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est 3" sheetId="1" state="visible" r:id="rId2"/>
    <sheet name="Session Detail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<sst xmlns="http://schemas.openxmlformats.org/spreadsheetml/2006/main" count="99219" uniqueCount="35084">
  <si>
    <t xml:space="preserve">Source: Thomson Reuters   Date: 14/07/2020</t>
  </si>
  <si>
    <t xml:space="preserve">Date
Sought</t>
  </si>
  <si>
    <t xml:space="preserve">Alliance
Date
Announced</t>
  </si>
  <si>
    <t xml:space="preserve">alliance_date_formatted</t>
  </si>
  <si>
    <t xml:space="preserve">Participants in
Venture / Alliance
(Short Name)</t>
  </si>
  <si>
    <t xml:space="preserve">Business Description</t>
  </si>
  <si>
    <t xml:space="preserve">Participant
Business
Description
Long</t>
  </si>
  <si>
    <t xml:space="preserve">Participant
Primary
SIC Code</t>
  </si>
  <si>
    <t xml:space="preserve">Participant
Nation</t>
  </si>
  <si>
    <t xml:space="preserve">Parti-
cipant
State
Code</t>
  </si>
  <si>
    <t xml:space="preserve">Participant
Ultimate Parent Name</t>
  </si>
  <si>
    <t xml:space="preserve">Participant
Ultimate
Parent
Nation</t>
  </si>
  <si>
    <t xml:space="preserve">Participant
Ultimate
Parent
Primary
SIC Code</t>
  </si>
  <si>
    <t xml:space="preserve">Alliance Deal Name</t>
  </si>
  <si>
    <t xml:space="preserve">Long Business Description</t>
  </si>
  <si>
    <t xml:space="preserve">Technology
 Transfer</t>
  </si>
  <si>
    <t xml:space="preserve">Primary
SIC Code
of
Alliance</t>
  </si>
  <si>
    <t xml:space="preserve">Nation of
Alliance</t>
  </si>
  <si>
    <t xml:space="preserve">State
Description</t>
  </si>
  <si>
    <t xml:space="preserve">Status</t>
  </si>
  <si>
    <t xml:space="preserve">Deal Text</t>
  </si>
  <si>
    <t xml:space="preserve">Transaction
   Type</t>
  </si>
  <si>
    <t xml:space="preserve"> Activity
Description</t>
  </si>
  <si>
    <t xml:space="preserve">Joint
Venture
Flag</t>
  </si>
  <si>
    <t xml:space="preserve">Cross
Border
Alliance</t>
  </si>
  <si>
    <t xml:space="preserve">Percent
Ownership
by
Participant</t>
  </si>
  <si>
    <t xml:space="preserve">Capitalization Text</t>
  </si>
  <si>
    <t xml:space="preserve">JV CUSIP</t>
  </si>
  <si>
    <t xml:space="preserve">Parti.
CUSIP</t>
  </si>
  <si>
    <t xml:space="preserve">Research
and Dev-
elopment
Agreement
Flag</t>
  </si>
  <si>
    <t xml:space="preserve">Nippon Sheet Glass Co Ltd
Olympus Corp</t>
  </si>
  <si>
    <t xml:space="preserve">Mnfr,whl flat glass
Mnfr,whl precision equip</t>
  </si>
  <si>
    <t xml:space="preserve">Nippon Sheet Glass Co Ltd,
headquartered in Tokyo, Japan,
is mainly engaged in the
manufacture and sale of glass
products. The Company operates
in four business segments. The
Construction Glass segment
provides sheet glass for
construction material market
and processed glass for
interior and exterior uses.
The Automobile Glass segment
offers provides glass products
for new automobile assembly
and repair uses. The
Functional Glass segment
offers thin sheet glass for
small displays, printer lens
and optical components, as
well as glass fiber products,
such as battery separators and
engine timing belt materials.
The Others segment is involved
in corporate management and
other small businesses. It was
founded in 1918.
Olympus Corp, headquartered
Tokyo, Japan, is engaged in
medical, life science,
industrial and imaging
business. The Company operates
in five segments: medical,
life sciences and industrial
system business, imaging
systems business, information
and communication business,
and other. The Medical Systems
Business covers
gastrointestinal endoscopes,
surgical endoscopes,
endotherapy devices,
endoscopic ultrasound systems
and medical information
systems. Olympus offers live
cell imaging and bio-imaging
technology, which enables the
observation of the movements
and mechanisms of molecules
within living organisms.
Olympus offers industrial
endoscopes, ultrasonic defect
detection devices, eddy
current flaw detectors,
andfluorescence and x-ray
diffraction analyzers, as well
as to contribute to research
and development of production
sites. Olympus offers products
in its digital camera and IC
recorder line ups. It was
founded, October 12, 1919.</t>
  </si>
  <si>
    <t xml:space="preserve">3211
3845</t>
  </si>
  <si>
    <t xml:space="preserve">Japan
Japan</t>
  </si>
  <si>
    <t xml:space="preserve">FF
FF</t>
  </si>
  <si>
    <t xml:space="preserve">NIPPON SHEET GLASS CO LTD/OLYMPUS CORP-STRATEGIC ALLIANCE</t>
  </si>
  <si>
    <t xml:space="preserve">N</t>
  </si>
  <si>
    <t xml:space="preserve">Japan</t>
  </si>
  <si>
    <t xml:space="preserve">Foreign</t>
  </si>
  <si>
    <t xml:space="preserve">Completed/Signed</t>
  </si>
  <si>
    <t xml:space="preserve">Nippon Sheet Glass C Ltd and Olympus Corp formed a strategic alliance to
provide research and development services in Japan. The alliance developed
a technology to process glass surfaces for use in optical components. The
alliance used a shard indenter to create condensed layers.</t>
  </si>
  <si>
    <t xml:space="preserve">Research &amp; Development Services</t>
  </si>
  <si>
    <t xml:space="preserve">No</t>
  </si>
  <si>
    <t xml:space="preserve">
</t>
  </si>
  <si>
    <t xml:space="preserve">65462M
J61240</t>
  </si>
  <si>
    <t xml:space="preserve">Yes</t>
  </si>
  <si>
    <t xml:space="preserve">Wyeth Pharmaceuticals Inc
True N Solutions Inc-Fed Govt</t>
  </si>
  <si>
    <t xml:space="preserve">Mnfr pharm prod
Pvd info security svcs</t>
  </si>
  <si>
    <t xml:space="preserve">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
Provide information security
solutions services to federal
government customers</t>
  </si>
  <si>
    <t xml:space="preserve">2834
7372</t>
  </si>
  <si>
    <t xml:space="preserve">United States
United States</t>
  </si>
  <si>
    <t xml:space="preserve">PA
VA</t>
  </si>
  <si>
    <t xml:space="preserve">Wyeth
American Systems Corp</t>
  </si>
  <si>
    <t xml:space="preserve">2834
7371</t>
  </si>
  <si>
    <t xml:space="preserve">WYETH PHARMACEUTICALS/TRUBION PHARMACEUTICALS-STRATEGIC ALLIANCE</t>
  </si>
  <si>
    <t xml:space="preserve">United States</t>
  </si>
  <si>
    <t xml:space="preserve">New Jersey</t>
  </si>
  <si>
    <t xml:space="preserve">Wyeth Pharmaceuticals, a unit of Wyeth, and Trubion Pharmaceuticals Inc
(TP) formed a strategic alliance to provide research and development
services in the United States. The alliance aimed to discover and develop
as well as commercialize novel biopharmaceutical products to treat
inflammatory disease and cancer. The alliance was expected to utilize TP's
proprietary small modular immunopharmaceutical technology(SMIP)(TM).</t>
  </si>
  <si>
    <t xml:space="preserve">98292L
89791Z</t>
  </si>
  <si>
    <t xml:space="preserve">Axonyx Inc
Daewoong Co Ltd</t>
  </si>
  <si>
    <t xml:space="preserve">Biopharmaceutical co
Mnfr pharm</t>
  </si>
  <si>
    <t xml:space="preserve">Biopharmaceutical company that
discover, develop and acquire
pharmaceutical compounds for
the treatment of memory and
cognitive disorders. The group
identifies and acquires novel
post-discovery central nervous
system drug candidates. It
acquires the patent rights to
these candidates and advances
the compounds through clinical
development towards regulatory
approval. The group has
acquired worldwide exclusive
patent rights to three main
classes of therapeutic
compounds designed for the
treatment of Alzheimer's
disease, mild cognitive
impairment and related
diseases. Phenserine is its
main product, which is used
for treating Alzheimer's
disease.
Daewoong Co Ltd,
headquartered in Seoul,
South Korea, manufactures
prescription pharmaceuticals
intended for final
consumption, including
biotech products and
antibiotics. It was founded
in 1945.</t>
  </si>
  <si>
    <t xml:space="preserve">2836
2834</t>
  </si>
  <si>
    <t xml:space="preserve">United States
South Korea</t>
  </si>
  <si>
    <t xml:space="preserve">CA
FF</t>
  </si>
  <si>
    <t xml:space="preserve">Sime Darby Bhd
Daewoong Co Ltd</t>
  </si>
  <si>
    <t xml:space="preserve">Malaysia
South Korea</t>
  </si>
  <si>
    <t xml:space="preserve">0831
2834</t>
  </si>
  <si>
    <t xml:space="preserve">AXONYX INC/DAEWOONG CO LTD-STRATEGIC ALLIANCE</t>
  </si>
  <si>
    <t xml:space="preserve">South Korea</t>
  </si>
  <si>
    <t xml:space="preserve">Axonyx Inc (AI) and Daewoong Co Ltd (DC) formed a strategic alliance
wherein AI exclusively licensed DC to develop new drug for treatment of
Alzheimer's disease in South Korea. Terms were not disclosed.</t>
  </si>
  <si>
    <t xml:space="preserve">Licensing Services
Exclusive Licensing Services
Research &amp; Development Services</t>
  </si>
  <si>
    <t xml:space="preserve">05461R
23517L</t>
  </si>
  <si>
    <t xml:space="preserve">Epitome Biosystems Inc
Bristol-Myers Squibb Co</t>
  </si>
  <si>
    <t xml:space="preserve">Biotechnology company
Manufactures pharmaceuticals and medical products</t>
  </si>
  <si>
    <t xml:space="preserve">Biotechnology company focusing
on the development of content
for protein microarrays and
other multiplex immunoassays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</si>
  <si>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MA
NY</t>
  </si>
  <si>
    <t xml:space="preserve">EPITOME BIOSYSTEMS INC/BRISTOL MYERS SQUIBB CO(DNU)-STRATEGIC ALLIANCE</t>
  </si>
  <si>
    <t xml:space="preserve">Y</t>
  </si>
  <si>
    <t xml:space="preserve">Massachusetts</t>
  </si>
  <si>
    <t xml:space="preserve">Epitome Biosystems Inc (EB) and Bristol Myers Squibb Co (BM) formed a
strategic alliance wherein EB licensed BM to use its EpiTag protein
measurement platform to provide research and development services in the
United States. The alliance was to develop custom antibody arrays for
quantitative and high throughput measurement of proteins to introduce new
biomarkers. EB was to receive development and funding and licensing fees.</t>
  </si>
  <si>
    <t xml:space="preserve">Licensing Services
Research &amp; Development Services</t>
  </si>
  <si>
    <t xml:space="preserve">29206W
110122</t>
  </si>
  <si>
    <t xml:space="preserve">Kalypsys Inc
Alcon Inc</t>
  </si>
  <si>
    <t xml:space="preserve">Mnfr pharmaceuticals
Manufacture and Wholesale eye care products</t>
  </si>
  <si>
    <t xml:space="preserve">Manufacture prescription
pharmaceuticals intended for
final consumption, including
biotech products and
antibiotics
Alcon Inc, headquarter in
Hunenberg, Switzerland,
manufacture and wholesale
eye care products. The
Company's core business is
centered on three key
divisions: Surgical,
Pharmaceutical and Consumer
Vision Care. It has offices
located in Canada and the
Far East; Europe, Middle
East and Africa; Latin
Americathe Caribbean; and
the United States. The
Company was founded in 1945.</t>
  </si>
  <si>
    <t xml:space="preserve">2834
3851</t>
  </si>
  <si>
    <t xml:space="preserve">United States
Switzerland</t>
  </si>
  <si>
    <t xml:space="preserve">Kalypsys Inc
Nestle SA</t>
  </si>
  <si>
    <t xml:space="preserve">2834
2095</t>
  </si>
  <si>
    <t xml:space="preserve">KALYPSYS INC/ALCON INC-STRATEGIC ALLIANCE</t>
  </si>
  <si>
    <t xml:space="preserve">California</t>
  </si>
  <si>
    <t xml:space="preserve">Kalypsys Inc (KI) and Alcon Inc (AI) formed a 4-year strategic alliance
wherein KI licensed AI to provide research and development services in the
United States. The alliance aims to deliver ophthalmic drug candidates for
development and commercialization. KI was to receive royalty payments on
net sales of commercial products. In addition, KI was to receive access
fee, milestone payments and research support.</t>
  </si>
  <si>
    <t xml:space="preserve">Licensing Services
Research &amp; Development Services
Retail &amp; Wholesale Services</t>
  </si>
  <si>
    <t xml:space="preserve">48484A
H01301</t>
  </si>
  <si>
    <t xml:space="preserve">Jabil Circuit Inc
Carl Zeiss AG</t>
  </si>
  <si>
    <t xml:space="preserve">Mnfr computer circuit boards
Manufacture,wholesale optical instrument,lenses</t>
  </si>
  <si>
    <t xml:space="preserve">Jabil Circuit Inc, located
in St Petersburg, Florida,
manufactures turnkey
systems, electronic circuit
board assemblies and systems
for major original equipment
manufacturers in the
communications, computer
peripherals, and personal
computers, automotive and
consumer products
industries. The Company
serves the healthcare &amp; life
sciences, industrial &amp; clean
technology, defense &amp;
aerospace, aftermarket
services, reverse logistics,
networking &amp;
telecommunications,
automotive, and enterprise &amp;
infrastructure industries.
It is also a holding
company. The Company was
founded in 1966.
Carl Zeiss AG, located in
Oberkochen, Germany,
manufactures and wholesales
optical instruments and
lenses. It also offers
ophthalmic goods, surgical
and medical instruments,
measuring and controlling
devices and photographic
equipment and supplies. Its
product portfolio includes
binoculars, riflescopes,
camera, cine lenses and
microscopes. It has
production centers in
Europe, North America,
Central America and Asia.
The Company was founded in
1846.</t>
  </si>
  <si>
    <t xml:space="preserve">3672
3827</t>
  </si>
  <si>
    <t xml:space="preserve">United States
Germany</t>
  </si>
  <si>
    <t xml:space="preserve">FL
FF</t>
  </si>
  <si>
    <t xml:space="preserve">Jabil Circuit Inc
Carl-Zeiss-Stiftung</t>
  </si>
  <si>
    <t xml:space="preserve">JABIL CIRCUIT INC/CARL ZEISS AG-JOINT VENTURE</t>
  </si>
  <si>
    <t xml:space="preserve">Manufacture and develop
optical modules and optical
engines for the consumer
electronics market</t>
  </si>
  <si>
    <t xml:space="preserve">Germany</t>
  </si>
  <si>
    <t xml:space="preserve">Jabil Circuit Inc (JC) and Carl Zeiss AG (CZ) formed a joint venture named
Spyro Optics GmbH (SO) to manufacture and develop optical modules and
optical engines for the consumer electronics market in Jena, Germany. Under
terms of the agreement, CZ provided its digital light processing (DLP)
technology know-how, including core competencies in the development,
technology, marketing, sales and production of display applications to SO.
JC held an 80.2% interest in SO while CZ held a 19.8% stake.</t>
  </si>
  <si>
    <t xml:space="preserve">Manufacturing Services
Research &amp; Development Services</t>
  </si>
  <si>
    <t xml:space="preserve">80.20
19.80</t>
  </si>
  <si>
    <t xml:space="preserve">85280J</t>
  </si>
  <si>
    <t xml:space="preserve">466313
98931B</t>
  </si>
  <si>
    <t xml:space="preserve">Sino Aviation Investment Co
Chengdu Aircraft Ind (Grp) Co
AVIC Intl(HK)Industrial Ltd</t>
  </si>
  <si>
    <t xml:space="preserve">Investment company
Mnfr,whl fighters
Investment company</t>
  </si>
  <si>
    <t xml:space="preserve">Investment company
Chengdu Aircraft Industrial
(Group) Co Ltd, headquartered
in China, manufactures and
wholesales fighters. The
company was founded in 1998.
AVIC
International(HK)Industrial
Ltd is an investment comapny,
located in Hong Kong. The
company operates as a wholly
owned subsidiary of Spotwin
Investment Ltd.</t>
  </si>
  <si>
    <t xml:space="preserve">6799
3721
6799</t>
  </si>
  <si>
    <t xml:space="preserve">China
China
Hong Kong</t>
  </si>
  <si>
    <t xml:space="preserve">FF
FF
FF</t>
  </si>
  <si>
    <t xml:space="preserve">CATIC Intl Hldg Ltd
Aviation Ind Corp Of China
CATIC Intl Hldg Ltd</t>
  </si>
  <si>
    <t xml:space="preserve">Hong Kong
China
Hong Kong</t>
  </si>
  <si>
    <t xml:space="preserve">1541
3721
1541</t>
  </si>
  <si>
    <t xml:space="preserve">SINO AVIATION INVESTMENT CO/CHENGDU AIRCRAFT INDUSTRIAL/AVIC-JOINT VENTURE</t>
  </si>
  <si>
    <t xml:space="preserve">Hong Kong</t>
  </si>
  <si>
    <t xml:space="preserve">Terminated</t>
  </si>
  <si>
    <t xml:space="preserve">AVIC International Holding(HK) Ltd, Sino Aviation Investment Co Ltd and
Chengdu Aircraft Industrial (Group)Co Ltd planned to form a 15:40:45 joint
venture to engage in the research and development, design and manufacture
of parts and components for commercial aircraft and provision of related
technical services.</t>
  </si>
  <si>
    <t xml:space="preserve">Airline Maintenance Services
Manufacturing Services
Research &amp; Development Services</t>
  </si>
  <si>
    <t xml:space="preserve">40.00
45.00
15.00</t>
  </si>
  <si>
    <t xml:space="preserve">01052N
16418Q
06576L</t>
  </si>
  <si>
    <t xml:space="preserve">Bayer Healthcare AG
Nuvelo Inc</t>
  </si>
  <si>
    <t xml:space="preserve">Mnfr pharmaceutical products
Biopharm co</t>
  </si>
  <si>
    <t xml:space="preserve">Bayer HealthCare AG, located
in Leverkusen, Germany,
manufactures pharmaceutical
products that diagnose,
prevent, and treat diseases of
both humans and animals. They
have four divisions: Animal
Health (veterinary drugs);
Consumer Care (OTC meds);
Diabetes Care; and
Pharmaceuticals (represented
by Bayer-Schering Pharma and
Bayer Healthcare
Pharmaceuticals), operating in
more than 120 countries
worldwide including the US and
Africa.
Nuvelo Inc, located in San
Carlos, California, is a
biopharmaceutical company
focused on the discovery,
development and
commercialization of novel
drugs for acute cardiovascular
disease, cancer and other
debilitating medical
conditions. The company's
pipeline includes NU172, a
direct thrombin inhibitor that
has completed Phase 1 clinical
development, for use as a
potential short-acting
anticoagulant during medical
or surgical procedures; and
Phase 1 clinical candidate
NU206 for the potential
treatment of gastrointestinal
(GI) injury, inflammatory
bowel disease, bone disease,
and wound-healing.</t>
  </si>
  <si>
    <t xml:space="preserve">2834
2834</t>
  </si>
  <si>
    <t xml:space="preserve">Germany
United States</t>
  </si>
  <si>
    <t xml:space="preserve">FF
CA</t>
  </si>
  <si>
    <t xml:space="preserve">Bayer AG
Nuvelo Inc</t>
  </si>
  <si>
    <t xml:space="preserve">2899
2834</t>
  </si>
  <si>
    <t xml:space="preserve">BAYER HEALTHCARE AG/NUVELO INC-STRATEGIC ALLIANCE</t>
  </si>
  <si>
    <t xml:space="preserve">Supranational</t>
  </si>
  <si>
    <t xml:space="preserve">Nuvelo Inc (NI) and Bayer Healthcare AG (BH), a unit of Bayer AG, formed a
strategic alliance to provide drug development and marketing services.
Under terms of the agreement, the alliance collaborated to develop and
commercialize alfimeprase for stroke and deep vein thrombosis. NI retained
all commercialization rights and profits from alfimeprase sales in the
United States while BH distributed alfimeprase in all territories outside
the U.S. and paid NI tiered royalties ranging up to 37.5% that reflect the
late-stage development status and significant market potential of
alfimeprase. In addition, NI received $385 mil US (318.08 mil euros) from
BH comprised of milestone, commercialization and upfront payments.</t>
  </si>
  <si>
    <t xml:space="preserve">Research &amp; Development Services
Marketing Services</t>
  </si>
  <si>
    <t xml:space="preserve">Nuvelo Inc received $385 mil US (318.08 mil euros) from Bayer Healthcare AG
comprised of $50 mil US (41.308 mil euros) up-front cash payment, up to
$165 mil US (136.318 mil euros) in development milestones and $170 mil US
(144.585 mil euros) in sales and commercialization milestones.</t>
  </si>
  <si>
    <t xml:space="preserve">07287J
67072M</t>
  </si>
  <si>
    <t xml:space="preserve">American Power Conversion
Rotel</t>
  </si>
  <si>
    <t xml:space="preserve">Mnfr,whl power supplies
Mnfr audio,video equip</t>
  </si>
  <si>
    <t xml:space="preserve">Manufacture and wholesale a
line of uninterruptible power
supply products ("UPS"),
electrical surge protection
devices, power conditioning
products, and associated
software and accessories for
use with personal computers ("
PCs"), engineering work
stations, networking equipment
and servers, communications
and internetworking equipment,
and a variety of other
sensitive electronic devices
which rely on electric utility
power
Manufacture receivers,
amplifiers, surround sound
processors, power amplifiers,
DVD players, CD players,
tuners and multi-zone
electronics for hi fi and home
theater</t>
  </si>
  <si>
    <t xml:space="preserve">3629
3651</t>
  </si>
  <si>
    <t xml:space="preserve">RI
MA</t>
  </si>
  <si>
    <t xml:space="preserve">AMERICAN POWER CONVERSION CORP{APC}/ROTEL-STRATEGIC ALLIANCE</t>
  </si>
  <si>
    <t xml:space="preserve">Rhode Island</t>
  </si>
  <si>
    <t xml:space="preserve">American Power Conversion Corp and Rotel (RT) formed a strategic alliance
to provide power conditioning and battery backup products development
services in the United States. The alliance was to offer high performance
power protection solutions designed to work with RT's home theater
equipment.</t>
  </si>
  <si>
    <t xml:space="preserve">029066
77864L</t>
  </si>
  <si>
    <t xml:space="preserve">Immunicon Corp
Kreatech Diagnostics BV</t>
  </si>
  <si>
    <t xml:space="preserve">Dvlp magnetic nanoparticles
Biotechnology company</t>
  </si>
  <si>
    <t xml:space="preserve">Develop magnetic nanoparticles
or ferrofluids, and devices
for magnetic collection,
manufacture and markets
ultra-high sensitive cancer
detection test kits (Cancer
Blood Test) and next
generation cell analysis
instruments (Cell Track
Cytometer) for various
research and clinical
applications.
Kreatech Diagnostics BV,
located in Amsterdam,
Netherlands, is a
biotechnology company. It
develops application software
and is focused on the
development and
commercialization of
innovative detection products.</t>
  </si>
  <si>
    <t xml:space="preserve">3826
2836</t>
  </si>
  <si>
    <t xml:space="preserve">United States
Netherlands</t>
  </si>
  <si>
    <t xml:space="preserve">PA
FF</t>
  </si>
  <si>
    <t xml:space="preserve">IMMUNICON CORP/KREATECH BIOTECHNOLOGY BV-STRATEGIC ALLIANCE</t>
  </si>
  <si>
    <t xml:space="preserve">Immunicon Corp (IC) and Kreatech Biotechnology BV (KB) formed a strategic
alliance wherein KB licensed IC to use its Universal Linkage System (ULS)
technology to provide research and development services in the United
States. The alliance represented an important technology advancement for IC
to demonstrate cells in patient blood samples be subjected to molecular
analysis. In addition, samples can be detected if it contains circulating
tumor cell. The alliance enabled IC to develop products and services in
earlier stages of disease.</t>
  </si>
  <si>
    <t xml:space="preserve">45260A
49932X</t>
  </si>
  <si>
    <t xml:space="preserve">Qiagen NV
Eppendorf AG</t>
  </si>
  <si>
    <t xml:space="preserve">Biotechnology company
Mnfr,dvlp,whl lab prod</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</si>
  <si>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Eppendorf AG, located in
Hamburg, Germany,
manufactures, develops and
wholesales laboratory
products such as pipettes,
dispensers and centrifuges
as well as consumables such
as micro test tubes and
pipette tips, instruments
and systems for cell
manipulation, automated
devices for liquid handling,
complete equipment for DNA
amplification and biochips.
The company was founded in
1945.</t>
  </si>
  <si>
    <t xml:space="preserve">2836
3821</t>
  </si>
  <si>
    <t xml:space="preserve">Netherlands
Germany</t>
  </si>
  <si>
    <t xml:space="preserve">QIAGEN NV/EPPENDORF AG-STRATEGIC ALLIANCE</t>
  </si>
  <si>
    <t xml:space="preserve">Qiagen NV (QN) and Eppendorf AG (EA) formed a strategic alliance to provide
research and development services. The alliance aimed to develop and market
optimized and complementary products. In addition, the alliance aimed to
link QN and EA's product lines to obtain compatibility of products
targeting applied testing and molecular diagnostics and research. The
alliance intended to focus on improving biological sample management and
analysis.</t>
  </si>
  <si>
    <t xml:space="preserve">N72482
29343C</t>
  </si>
  <si>
    <t xml:space="preserve">PacificGMP LLC
MediVas LLC</t>
  </si>
  <si>
    <t xml:space="preserve">Mnfr biologics
Biotechnology company</t>
  </si>
  <si>
    <t xml:space="preserve">PacificGMP LLC, headquartered
in San Diego, California,
manufactures biologics,
including monoclonal
antibodies, recombinant
proteins, vaccines, gene
therapy and cell therapy
products.
Biotechnology company focused
wtih drug and biological using
biodegradable polymers</t>
  </si>
  <si>
    <t xml:space="preserve">2836
2836</t>
  </si>
  <si>
    <t xml:space="preserve">CA
CA</t>
  </si>
  <si>
    <t xml:space="preserve">PACIFICGMP LLC/MEDIVAS LLC-STRATEGIC ALLIANCE</t>
  </si>
  <si>
    <t xml:space="preserve">PacificGMP LLC (PG) and MediVas LLC (ML) formed a strategic alliance to
provide commercial scale production process development for subunit vaccine
using novel amino acid-based Poly(Ester Amide) copolymers (PEA) in the
United States. Under terms of the agreement, PG was expected to work with
ML in developing the capability of manufacturing large quantities of
subunit vaccines to protect against such diseases as seasonal and pandemic
influenza.</t>
  </si>
  <si>
    <t xml:space="preserve">69635M
58592H</t>
  </si>
  <si>
    <t xml:space="preserve">Hoffmann-La Roche Inc
Amira Pharmaceuticals</t>
  </si>
  <si>
    <t xml:space="preserve">Mnfr pharmaceuticals
Manufacture pharmaceuticals</t>
  </si>
  <si>
    <t xml:space="preserve">Hoffman-La Roche Inc is a
pharmaceuticals manufacturer,
headquartered in Nutley, New
Jersey, US. Its operations
includes research and
development centers that
conduct leading-edge work in
advancing disease detection
and treatment The company was
founded in 1905.
Amira Pharmaceuticals, located
in San Diego, California, is a
molecule pharmaceutical
company that develops
compounds that treat
inflammatory disease. This
research and development focus
on therapies addressing
diseases and disorders
triggered by inflammation,
including asthma and
cardiovascular disease. It was
founded in 2005.</t>
  </si>
  <si>
    <t xml:space="preserve">NJ
CA</t>
  </si>
  <si>
    <t xml:space="preserve">Roche Holdings AG
Amira Pharmaceuticals</t>
  </si>
  <si>
    <t xml:space="preserve">Switzerland
United States</t>
  </si>
  <si>
    <t xml:space="preserve">HOFFMANN-LA ROCHE INC/AMIRA PHARMACEUTICALS-STRATEGIC ALLIANCE</t>
  </si>
  <si>
    <t xml:space="preserve">Hoffmann-La Roche Inc (HL), a unit of Roche Holding AG, and Amira
Pharmaceuticals (AP) formed a strategic alliance wherein AP was to license
HL to investigate targets in the field of inflammatory diseases in the
United States. HL was to investigate three mutually agreed targets in the
field of inflammatory diseases.</t>
  </si>
  <si>
    <t xml:space="preserve">43454M
03159C</t>
  </si>
  <si>
    <t xml:space="preserve">Human Genome Sciences Inc
Amgen Inc</t>
  </si>
  <si>
    <t xml:space="preserve">Mnfr biopharmaceutical prod
Manufacture human therapeutics</t>
  </si>
  <si>
    <t xml:space="preserve">Human Genome Sciences Inc,
located in Rockville,
Maryland, manufactures
biopharmaceutical products
with a pipeline of novel
compounds in clinical
development, including drugs
to treat such diseases as
hepatitis C, lupus, anthrax
disease, cancer, rheumatoid
arthritis and HIV/AIDS. The
company was founded in 1992.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</si>
  <si>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MD
CA</t>
  </si>
  <si>
    <t xml:space="preserve">HUMAN GENOME SCIENCES INC/AMGEN INC-STRATEGIC ALLIANCE</t>
  </si>
  <si>
    <t xml:space="preserve">Human Genome Sciences Inc (HG) and Amgen Inc (AI) formed a strategic
alliance wherein HG exclusively licensed AI to develop and commercialize
therapeutic biological products for human use based on a human gene
discovered by HG worldwide. HG received an upfront payment and certain
annual fees, as well as development milestone payments and royalties on
annual net sales for therapeutic and diagnostic products successfully
developed and commercialized using such rights.</t>
  </si>
  <si>
    <t xml:space="preserve">Exclusive Licensing Services
Licensing Services
Research &amp; Development Services
Marketing Services</t>
  </si>
  <si>
    <t xml:space="preserve">444903
031162</t>
  </si>
  <si>
    <t xml:space="preserve">Alkermes Inc
Eli Lilly &amp; Co</t>
  </si>
  <si>
    <t xml:space="preserve">Biotech co
Manufactures,wholesales pharmaceuticals</t>
  </si>
  <si>
    <t xml:space="preserve">Alkermes Inc, located in
Cambridge, Massachusetts, a
biotechnology company focused
on products based on
proprietary, extended-release
and pulmonary drug delivery
technologies for widespread
diseases such as central
nervous system disorders,
addiction, and diabetes. Its
products currently on the
market include Vivitrol and
Risperdal Consta. The company
was founded in 1987.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</si>
  <si>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MA
IN</t>
  </si>
  <si>
    <t xml:space="preserve">ALKERMES INC/ELI LILLY &amp; CO-STRATEGIC ALLIANCE</t>
  </si>
  <si>
    <t xml:space="preserve">Alkermes Inc (AI) and Eli Lilly &amp; Co formed a strategic alliance to provide
inhaled formulations of parathyroid hormone development and marketing
services in the United States. The alliance utilized AI's AIR? pulmonary
drug delivery system for the treatment of osteoporosis in postmenopausal
women who are at high risk for bone fracture and to increase bone mass in
men with primary or hypogonadal osteoporosis who are at high risk for
fracture.</t>
  </si>
  <si>
    <t xml:space="preserve">01642T
532457</t>
  </si>
  <si>
    <t xml:space="preserve">Lentigen Corp
ZGene A/S</t>
  </si>
  <si>
    <t xml:space="preserve">Biotech co
Biotechnology company</t>
  </si>
  <si>
    <t xml:space="preserve">Lentigen Corp, located in
Gaithersburg, Maryland, is a
is a biotechnology company
that develops treatments for
human diseases.
Biotechnology company</t>
  </si>
  <si>
    <t xml:space="preserve">United States
Denmark</t>
  </si>
  <si>
    <t xml:space="preserve">MD
FF</t>
  </si>
  <si>
    <t xml:space="preserve">LENTIGEN CORP/ZGENE AS-STRATEGIC ALLIANCE</t>
  </si>
  <si>
    <t xml:space="preserve">Lentigen Corp (LC) and ZGene A/S (ZA) formed a strategic alliance wherein
ZA exclusively licensed LC to use its multisubstrate kinase genes
technology in the development of lentiviral vectors worldwide. Under terms
of the agreement, ZA received an upfront and milestone payments as well as
royalties on resulting products. terms were not disclosed.</t>
  </si>
  <si>
    <t xml:space="preserve">Exclusive Licensing Services
Licensing Services
Research &amp; Development Services</t>
  </si>
  <si>
    <t xml:space="preserve">52632V
99098K</t>
  </si>
  <si>
    <t xml:space="preserve">Biotronik GmbH &amp; Co
Micrus Endovascular Corp</t>
  </si>
  <si>
    <t xml:space="preserve">Mnfr,whl electromed devices
Mnfr,wholesale medical devices</t>
  </si>
  <si>
    <t xml:space="preserve">Biotronik GmbH &amp; Co, located
in Germany, manufactures and
wholesales electromedical
devices for the electrotherapy
of the heart and vascular
intervention.
Micrus Endovascular Corp,
located in San Jose,
California, manufactures and
wholesales both implantable
and disposable medical devices
used in the treatment of
cerebral vascular diseases by
interventional
neuroradiologists and
neurosurgeons primarily to
treat cerebral aneurysms in
the brain responsible for
hemorrhagic stroke. The
company was founded in 1996.</t>
  </si>
  <si>
    <t xml:space="preserve">3845
3841</t>
  </si>
  <si>
    <t xml:space="preserve">BIOTRONIK GMBH &amp; CO/MICRUS ENDOVASCULAR CORP-STRATEGIC ALLIANCE</t>
  </si>
  <si>
    <t xml:space="preserve">Micrus Endovascular Corp (ME) and Biotronik Gmbh &amp; Co (BG) formed a
strategic alliance wherein BG exclusively licensed ME to develop and
wholesale neurovascular devices such as stents, catheters and balloon
technologies worldwide. Under terms of the agreement, ME paid an upfront
licensing fee, milestone payments, and royalties to BG upon receipt of
approvals to market products jointly developed through this agreement. The
alliance was subject to regulatory approvals.</t>
  </si>
  <si>
    <t xml:space="preserve">Exclusive Licensing Services
Licensing Services
Research &amp; Development Services
Retail &amp; Wholesale Services</t>
  </si>
  <si>
    <t xml:space="preserve">09092Q
59518V</t>
  </si>
  <si>
    <t xml:space="preserve">Purdue Pharma LP
Shionogi &amp; Co Ltd</t>
  </si>
  <si>
    <t xml:space="preserve">Biopharma co
Mnfr,whl pharmaceuticals</t>
  </si>
  <si>
    <t xml:space="preserve">Purdue Pharma LP,
headquartered in Stamford,
Connecticut, is a
pharmaceutical company. It
develops and provides
prescription medicines for
healthcare professionals,
patients, and caregivers.
The Company was founded in
1892.
Shionogi &amp; Co Ltd,
headquartered in Osaka,
Japan, is a pharmaceutical
company.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It was founded in
1878.</t>
  </si>
  <si>
    <t xml:space="preserve">United States
Japan</t>
  </si>
  <si>
    <t xml:space="preserve">CT
FF</t>
  </si>
  <si>
    <t xml:space="preserve">PURDUE PHARMA LP/SHIONOGI &amp; CO LTD-STRATEGIC ALLIANCE</t>
  </si>
  <si>
    <t xml:space="preserve">Purdue Pharma LP (PP) and Shionogi &amp; Co Ltd (SC) formed a strategic
alliance to provide development and marketing services of novel drug
compounds for the treatment of pain worldwide. Under terms of the
agreement, SC was expected to pay the research expenditures for the first 3
years of the deal, then provide additional payments to PP as the programs
reach its development milestones, while PP was also expected to make
payments to SC based on the sales revenue once the products were
commercialized. In addition, the alliance was a strategic collaboration
opportunity for the partners to strengthen their expertise and market
network in the pain management services.</t>
  </si>
  <si>
    <t xml:space="preserve">74616F
82466Q</t>
  </si>
  <si>
    <t xml:space="preserve">Elan Corp PLC
EntreMed Inc</t>
  </si>
  <si>
    <t xml:space="preserve">Biotechnology company
Pharmaceutical company</t>
  </si>
  <si>
    <t xml:space="preserve">Elan Corp PLC, based in
Dublin, Ireland, is a
neuroscience-based
biotechnology company. It
focuses on discovering,
developing, manufacturing and
marketing advanced therapies
in neurology, autoimmune
diseases, and severe pain. It
also manufactures
pharmaceuticals. The company
was founded in 1969.
company was founded in 1991.
Entremed Inc, located in
Rockville, Maryland, is a
clinical-stage
pharmaceutical company
developing targeted
therapeutics for the
treatment of cancer and
inflammatory disease using a
joint US-China drug
development model. Its drug
candidate is ENMD-2076, an
Aurora A and angiogenic
kinase inhibitor for the
treatment of cancer, and has
completed Phase I studies in
patients with advanced solid
tumors, multiple myeloma and
leukemia and is completing
data for a multi-center
Phase II study in patients
with platinum resistant
ovarian cancer. Its other
product candidates have
includes MKC-1, ENMD-1198
and 2-methoxyestrdiol (2ME2,
Panzem) for treatment of
rheumatoid arthritis. The</t>
  </si>
  <si>
    <t xml:space="preserve">Ireland-Rep
United States</t>
  </si>
  <si>
    <t xml:space="preserve">FF
MD</t>
  </si>
  <si>
    <t xml:space="preserve">Blisfont Ltd
EntreMed Inc</t>
  </si>
  <si>
    <t xml:space="preserve">6799
2834</t>
  </si>
  <si>
    <t xml:space="preserve">ELAN CORP PLC/ENTREMED INC-STRATEGIC ALLIANCE</t>
  </si>
  <si>
    <t xml:space="preserve">Elan Corp PLC (EC) and EntreMed Inc (EM) formed a strategic alliance
wherein EC licensed EM to utilize its NanoCrystal Technology to develop the
oncology product candidate, Panzem? NCD (2ME2 or 2-methoxyestradiol). Under
terms of the agreement, EC received payments upon the achievement of
certain clinical, manufacturing, and regulatory milestones. Additionally,
EC received royalty payments based on sales of Panzem? NCD.</t>
  </si>
  <si>
    <t xml:space="preserve">Licensing Services
Research &amp; Development Services
Manufacturing Services</t>
  </si>
  <si>
    <t xml:space="preserve">284131
29382F</t>
  </si>
  <si>
    <t xml:space="preserve">Human Genome Sciences-CoGenesy
PDV Unternehmungsberatung</t>
  </si>
  <si>
    <t xml:space="preserve">Pvd drug research,dvlp svcs
Develop software</t>
  </si>
  <si>
    <t xml:space="preserve">Provide drug research and
development services
Develop software and provide
computer services company</t>
  </si>
  <si>
    <t xml:space="preserve">8731
7372</t>
  </si>
  <si>
    <t xml:space="preserve">Human Genome Sciences Inc
PDV Unternehmungsberatung</t>
  </si>
  <si>
    <t xml:space="preserve">2836
7372</t>
  </si>
  <si>
    <t xml:space="preserve">COGENESYS/PDL BIOPHARMA INC-STRATEGIC ALLIANCE</t>
  </si>
  <si>
    <t xml:space="preserve">The CoGenesys division of Human Genome Sciences Inc (CG) and PDL Biopharma
Inc (PB) formed a strategic alliance wherein CG licensed PB to utilize its
intellectual property for an undisclosed target antigen for the development
of antibody therapeutics worldwide. Under terms of the agreement, CG
received an upfront licensing fee, development milestone payments and
royalties on future sales from PB. Terms were not disclosed.</t>
  </si>
  <si>
    <t xml:space="preserve">44493N
69633P</t>
  </si>
  <si>
    <t xml:space="preserve">Mylan Technologies Inc
Cephalon Inc</t>
  </si>
  <si>
    <t xml:space="preserve">Mnfr drug delivery sys
Mnfr,wholesale pharmaceuticals</t>
  </si>
  <si>
    <t xml:space="preserve">Manufacture transdermal drug
delivery systems; provide
research and development
services
Cephalon Inc, headquartered in
Frazer, Pennsylvania,
manufactures and wholesales
pharmaceutical products. It is
also engaged in the provision
of research and development
for the biopharmaceutical
sector. The company's
proprietary products include,
NUVIGIL(R) Tablets [C-IV],
TREANDA(R) for Injection,
AMRIX(R), FENTORA(R) [C-II],
TRISENOX(R) injection,
GABITRIL(R) PROVIGIL(R)
Tablets [C-IV] and ACTIQ(R)
[C-II]. The company was
founded in 1987.</t>
  </si>
  <si>
    <t xml:space="preserve">3841
2834</t>
  </si>
  <si>
    <t xml:space="preserve">VT
PA</t>
  </si>
  <si>
    <t xml:space="preserve">Mylan Laboratories Inc
Cephalon Inc</t>
  </si>
  <si>
    <t xml:space="preserve">MYLAN TECHNOLOGIES INC/CEPHALON INC-STRATEGIC ALLIANCE</t>
  </si>
  <si>
    <t xml:space="preserve">Pennsylvania</t>
  </si>
  <si>
    <t xml:space="preserve">Mylan Technologies Inc (MT), a unit of Mylan Laboratories Inc, and Cephalon
Inc (CI) formed a strategic alliance wherein MT licensed CI to utilize its
transdermal technology in order to develop and market branded transdermal
products for pain and central nervous system disorders in the United
States. MT was expected to receive milestone payments and royalties from
CI. Terms were not disclosed.</t>
  </si>
  <si>
    <t xml:space="preserve">Licensing Services
Research &amp; Development Services
Marketing Services</t>
  </si>
  <si>
    <t xml:space="preserve">63128F
156708</t>
  </si>
  <si>
    <t xml:space="preserve">Ablynx NV
Centocor Research &amp; Dvlp Inc</t>
  </si>
  <si>
    <t xml:space="preserve">Biotechnology company
Biotechnology company</t>
  </si>
  <si>
    <t xml:space="preserve">Belgium
United States</t>
  </si>
  <si>
    <t xml:space="preserve">FF
PA</t>
  </si>
  <si>
    <t xml:space="preserve">ABLYNX NV/CENTOCOR RESEARCH &amp; DVLP INC-STRATEGIC ALLIANCE</t>
  </si>
  <si>
    <t xml:space="preserve">Ablynx NV and Centocor Research &amp; Development Inc formed a strategic
alliance to provide research and development services of antibody-derived
therapeutic proteins globally. Terrms were not disclosed.</t>
  </si>
  <si>
    <t xml:space="preserve">40613C
15243X</t>
  </si>
  <si>
    <t xml:space="preserve">Safetek International Inc
Matrix Pharma Inc</t>
  </si>
  <si>
    <t xml:space="preserve">Whl medical prod
Biotechnology company</t>
  </si>
  <si>
    <t xml:space="preserve">Wholesale medical products
Biotechnology company</t>
  </si>
  <si>
    <t xml:space="preserve">5047
2836</t>
  </si>
  <si>
    <t xml:space="preserve">NV
NY</t>
  </si>
  <si>
    <t xml:space="preserve">Halter Capital Corp
Matrix Pharma Inc</t>
  </si>
  <si>
    <t xml:space="preserve">6211
2836</t>
  </si>
  <si>
    <t xml:space="preserve">SAFETEK INTERNATIONAL INC/MATRIX PHARMA INC-STRATEGIC ALLIANCE</t>
  </si>
  <si>
    <t xml:space="preserve">Safetek International Inc (SI), a unit of Halter Capital Corp, and Matrix
Pharma Inc (MP) formed a strategic alliance wherein SI was licensed to
develop a novel oral Direct Thrombin Inhibitor worldwide. Under terms of
the agreement, SI was given licensing rights for all MP's intellectual
property relating to its thrombin including the full scope of potential
indicators. In addition, MP was expected to receive specified amounts
either in cash or by issuance of shares of common stock of SI, if SI
achieved certain specified milestones with respect to the development and
sale of the products.</t>
  </si>
  <si>
    <t xml:space="preserve">786467
57663H</t>
  </si>
  <si>
    <t xml:space="preserve">PR Pharmaceuticals Inc
OSI Pharmaceuticals Inc</t>
  </si>
  <si>
    <t xml:space="preserve">Biopharm co
Mnfr,dvlp,whl pharm</t>
  </si>
  <si>
    <t xml:space="preserve">PR Pharmaceuticals Inc,
headquartered in Fort Collins,
Colorado, is a
biopharmaceutical company
focusing on the production and
development of long-acting
injectable formulations to
treat chronic diseases and
technology pipeline that can
provide solutions to many
marginally met or unmet and
growing medical conditions.
The company was founded in
1998.
OSI Pharmaceuticals Inc,
located in Melville, New York,
manufactures, develops and
wholesales pharmaceuticals
focused on oncology, diabetes
and obesity and eye diseases.
Its product pipeline includes
Tarceva, which is used for
cancer treatment in patients
living with advanced lung and
pancreatic cancer. It was
founded in 1983.</t>
  </si>
  <si>
    <t xml:space="preserve">CO
NY</t>
  </si>
  <si>
    <t xml:space="preserve">PR PHARMACEUTICALS INC/OSI PHARMACEUTICALS INC-STRATEGIC ALLIANCE</t>
  </si>
  <si>
    <t xml:space="preserve">Colorado</t>
  </si>
  <si>
    <t xml:space="preserve">PR Pharmaceuticals Inc (PP) and OSI Pharmaceuticals Inc (OP) formed a
strategic alliance wherein PP licensed OP to utilize its ProPhase
encapsulation technology in the development of a sustained release
formulation of Macugen in the United States. Macugen (pegaptanib sodium
injection) was expected to be a novel treatment for neovascular age-related
macular degeneration. Under terms of the agreement, PP was expected to
receive an undisclosed upfront payment from OP as well as milestone
payments and royalties.</t>
  </si>
  <si>
    <t xml:space="preserve">69463P
671040</t>
  </si>
  <si>
    <t xml:space="preserve">LAB Pharma Ltd
Teikoku Seiyaku Co Ltd</t>
  </si>
  <si>
    <t xml:space="preserve">Mnfr,whl inhaled therapeutics
Mnfr,dvlp,whl poultices</t>
  </si>
  <si>
    <t xml:space="preserve">Manufacture and wholesale
inhaled therapeutics; provide
research and development
services
Teikoku Seiyaku Co Ltd,
headquartered in Kagawa,
Japan, and with locations in
Tokyo, Osaka, Tokushima,
United States, United Kingdom,
and China, manufactures,
develops, and wholesales
medicated plasters and
poultices. The firm was
founded in 1848.</t>
  </si>
  <si>
    <t xml:space="preserve">2834
3842</t>
  </si>
  <si>
    <t xml:space="preserve">Finland
Japan</t>
  </si>
  <si>
    <t xml:space="preserve">Lab International Inc
Teikoku Seiyaku Co Ltd</t>
  </si>
  <si>
    <t xml:space="preserve">Canada
Japan</t>
  </si>
  <si>
    <t xml:space="preserve">LAB PHARMA LTD/TEIKOKU SEIYAKU CO LTD-STRATEGIC ALLIANCE</t>
  </si>
  <si>
    <t xml:space="preserve">Lab Pharma Ltd (LP), a unit of Lab International Inc, and Teikoku Seiyaku
Co Ltd (TS) formed a strategic alliance wherein LP licensed TS to develop
its Fentanyl Taifun formulation in Japan. Under terms of the agreement, LP
received a signing fee, development milestone payments, royalties and
reimbursements for development activities it conducted in support of the
development in Japan.</t>
  </si>
  <si>
    <t xml:space="preserve">50564Y
87784E</t>
  </si>
  <si>
    <t xml:space="preserve">Mylan Laboratories Inc
Forest Laboratories Hldgs Ltd</t>
  </si>
  <si>
    <t xml:space="preserve">Mnfr,whl pharm
Mnfr pharm</t>
  </si>
  <si>
    <t xml:space="preserve">Mylan Inc, based in
Pittsburgh, Pennsylvania,
manufactures generic
pharmaceuticals, branded
generics, and active
pharmaceutical ingredients.
The firm has commercial
presence in 92 countries in
North America, Europe, Asia,
and the Middle East. The
company's brand portfolio
includes Amnesteen, Avita,
Biobrane, Clozapine, Digitek,
Proderm, and Maxzide. It was
established in 1961.
Manufacture prescription
pharmaceuticals intended for
final consumption, including
biotech products and
antibiotics</t>
  </si>
  <si>
    <t xml:space="preserve">PA
NY</t>
  </si>
  <si>
    <t xml:space="preserve">Mylan Laboratories Inc
Forest Laboratories Inc</t>
  </si>
  <si>
    <t xml:space="preserve">MYLAN LABORATORIES INC/FOREST LABORATORIES HOLDINGS LTD-STRATEGIC ALLIANCE</t>
  </si>
  <si>
    <t xml:space="preserve">United States
Canada</t>
  </si>
  <si>
    <t xml:space="preserve">Pennsylvania
Foreign</t>
  </si>
  <si>
    <t xml:space="preserve">Mylan Laboratories Inc (ML) and Forest Laboratories Holdings Ltd (FL), a
unit of Forest Laboratories Inc, formed a strategic alliance wherein ML
licensed FL to develop, wholesale and market ML's novel beta blocker
nebivolol in the United States and Canada. Under terms of the agreement, ML
received from FL an upfront payment of $75 mil US as well as potential
future milestone payments and royalty payments based on nebivolol sales.</t>
  </si>
  <si>
    <t xml:space="preserve">Licensing Services
Research &amp; Development Services
Retail &amp; Wholesale Services
Marketing Services</t>
  </si>
  <si>
    <t xml:space="preserve">Mylan Laboratories Inc received from Forest Laboratories Holdings Ltd an
upfront payment of $75 mil US.</t>
  </si>
  <si>
    <t xml:space="preserve">628530
34558R</t>
  </si>
  <si>
    <t xml:space="preserve">Elite Pharmaceuticals Inc
Orit Laboratories LLC</t>
  </si>
  <si>
    <t xml:space="preserve">Mnfr pharm
Biotechnology company</t>
  </si>
  <si>
    <t xml:space="preserve">Elite Pharmaceuticals Inc,
located in Northvale, New
Jersey, manufactures
prescription pharmaceuticals
intended for final
consumption, including biotech
products and antibiotics. It
specializes in the development
of oral controlled release
products, such as delayed,
sustained, targeted and
pulsatile release tables,
pellets, capsules, granules
and powders, focused on the
therapeutic areas of pain
management, allergy,
cardiovascular and infection.
The company was incorporated
in 1984.
Orit Laboratories LLC,
located in West Caldwell,
New Jersey, manufactures
biological products. It
focuses on developing and
filing oral solid and liquid
products and has seven
approvedand four ANDAs
pending approval. The
Company was founded in
08-01-2005 00:00:00</t>
  </si>
  <si>
    <t xml:space="preserve">2834
2836</t>
  </si>
  <si>
    <t xml:space="preserve">NJ
NJ</t>
  </si>
  <si>
    <t xml:space="preserve">ELITE PHARMACEUTICALS INC/ORIT LABORATORIES LLC-STRATEGIC ALLIANCE</t>
  </si>
  <si>
    <t xml:space="preserve">Elite Pharmaceuticals Inc and Orit Laboratories LLC formed a strategic
alliance to provide development and marketing services of drug product for
treatment of anxiety in the United States.</t>
  </si>
  <si>
    <t xml:space="preserve">28659T
68605F</t>
  </si>
  <si>
    <t xml:space="preserve">Lantibio Inc
TRB Chemedica International SA</t>
  </si>
  <si>
    <t xml:space="preserve">Mnfr pharmaceuticals
Mnfr pharm</t>
  </si>
  <si>
    <t xml:space="preserve">Manufacture prescription
pharmaceuticals intended for
final consumption, including
biotech products and
antibiotics
TRB Chemedica International SA
is a manufacturer of
pharmaceutical preparation.
The company is located in
Geneva, Switzerland.</t>
  </si>
  <si>
    <t xml:space="preserve">NC
FF</t>
  </si>
  <si>
    <t xml:space="preserve">LANTIBIO INC/TRB CHEMIDICA-STRATEGIC ALLIANCE</t>
  </si>
  <si>
    <t xml:space="preserve">North Carolina</t>
  </si>
  <si>
    <t xml:space="preserve">Lantibio Inc (LI) and TRB Chemedica International SA (TC) formed a
strategic alliance wherein TC licensed LI to develop and market Vismed in
the United States. Vismed was TC's patented formulation containing sodium
hyaluronate for the treatment of dry eye syndrome.</t>
  </si>
  <si>
    <t xml:space="preserve">51659J
87570H</t>
  </si>
  <si>
    <t xml:space="preserve">Organon International NV
Sareum Holdings PLC</t>
  </si>
  <si>
    <t xml:space="preserve">Mnfr,whl pharm
Biotechnology company</t>
  </si>
  <si>
    <t xml:space="preserve">Manufacture prescription
pharmaceuticals intended for
final consumption, including
biotech products and
antibiotics; provide drug
research and development
services
Sareum Holdings PLC is a
biotechnology company. The
principal activity of the
company is the discovery and
development of therapeutic
drugs by a combination of
skills in biology,
computational chemistry and
medicinal chemistry. The
Company's drug discovery
research is structure-based;
the three dimensional (3D)
shapes of proteins and
molecules are determined
using X-ray crystallography.
The Company was founded in
August 2003 and is located
in Cambridge, the United
Kingdom.</t>
  </si>
  <si>
    <t xml:space="preserve">Netherlands
United Kingdom</t>
  </si>
  <si>
    <t xml:space="preserve">Akzo Nobel NV
Sareum Holdings PLC</t>
  </si>
  <si>
    <t xml:space="preserve">2851
2836</t>
  </si>
  <si>
    <t xml:space="preserve">NV ORGANON/SAREUM HOLDINGS PLC-STRATEGIC ALLIANCE</t>
  </si>
  <si>
    <t xml:space="preserve">Organon International NV, a unit of Akzo Pharma BV, and Sareum Holdings PLC
formed a strategic alliance to provide research and development services
worlwide. The alliance was expected to identify compounds, and its
automated medicinal chemistry platform for optimization of autoimmune
diseases such as rheumatoid arthritis. Terms were not disclosed.</t>
  </si>
  <si>
    <t xml:space="preserve">68590R
80356H</t>
  </si>
  <si>
    <t xml:space="preserve">De Novo Pharmaceuticals Ltd
Genzyme Corp</t>
  </si>
  <si>
    <t xml:space="preserve">Mnfr pharm;pvd research svcs
Biotechnology company</t>
  </si>
  <si>
    <t xml:space="preserve">Manufacture pharmaceuticals;
provide drug research and
development services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</si>
  <si>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United Kingdom
United States</t>
  </si>
  <si>
    <t xml:space="preserve">FF
MA</t>
  </si>
  <si>
    <t xml:space="preserve">DE NOVO PHARMACEUTICALS LTD/GENZYME CORP-STRATEGIC ALLIANCE</t>
  </si>
  <si>
    <t xml:space="preserve">De Novo Pharmaceuticals Ltd (DN) and Genzyme Corp (GC) formed a strategic
alliance to provide drug research services. Under terms of the agreement,
DN applied its novel molecular structure generating technology to focus on
a disease target of interest to GC. Financial terms were not disclosed.</t>
  </si>
  <si>
    <t xml:space="preserve">24023K
372917</t>
  </si>
  <si>
    <t xml:space="preserve">STMicroelectronics NV
Veredus Laboratories Pte Ltd</t>
  </si>
  <si>
    <t xml:space="preserve">Semiconductor and Related Device Manufacturing
Biotechnology company</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</si>
  <si>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Veredus Laboratories Pte Ltd
is a manufacturer of
biological products. The
Company was founded in 2004
and is located in Singapore.</t>
  </si>
  <si>
    <t xml:space="preserve">3674
2836</t>
  </si>
  <si>
    <t xml:space="preserve">Switzerland
Singapore</t>
  </si>
  <si>
    <t xml:space="preserve">STMicroelectronics NV
Ministry of Finance Singapore</t>
  </si>
  <si>
    <t xml:space="preserve">3674
999B</t>
  </si>
  <si>
    <t xml:space="preserve">STMICROELECTRONICS NV/VEREDUS LABORATORIES-STRATEGIC ALLIANCE</t>
  </si>
  <si>
    <t xml:space="preserve">STMicroelectronics NV and Veredus Laboratories Pte Ltd  formed a strategic
alliance to provide research and development services. The alliance
developed point-of-need diagnostic capability, VereFlu (TM), to detect
strains of Avian Flu and other influenza viruses. The alliance used STM's
In-Check (TM) platform with VL's newly developed application to identify
patient is infected with influenza in a single test instead of many tests.</t>
  </si>
  <si>
    <t xml:space="preserve">Research &amp; Development Services
Health &amp; Medical Services</t>
  </si>
  <si>
    <t xml:space="preserve">861012
92369Q</t>
  </si>
  <si>
    <t xml:space="preserve">Ablynx NV
Novartis AG</t>
  </si>
  <si>
    <t xml:space="preserve">Biotechnology company
Pharmaceutical Preparation Manufacturing</t>
  </si>
  <si>
    <t xml:space="preserve">Biotechnology company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</si>
  <si>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Belgium
Switzerland</t>
  </si>
  <si>
    <t xml:space="preserve">ABLYNX NV/NOVARTIS AG-STRATEGIC ALLIANCE</t>
  </si>
  <si>
    <t xml:space="preserve">Ablynx NV (AN) and Novartis AG (NA) formed a strategic alliance to provide
therapeutic Nanobodies development services. AN and NA collaborated to
discover and develop novel Nanobody based therapeutics against disease
targets that are difficult to address with conventional antibodies or their
fragments. Under terms of the agreement, AN received upfront fees, license
fees and funding for research and development. In addition, AN was expected
to receive milestone payments and royalties upon commercialization.
Financial terms  were not disclosed.</t>
  </si>
  <si>
    <t xml:space="preserve">40613C
66987V</t>
  </si>
  <si>
    <t xml:space="preserve">Cargill Inc
Monsanto Co</t>
  </si>
  <si>
    <t xml:space="preserve">Soybean Processing
Pesticide and Other Agricultural Chemical Manufacturing</t>
  </si>
  <si>
    <t xml:space="preserve">Cargill Inc is a producer
and wholesaler of grain and
field beans. It also
operates meat packing plants
and steel foundries. It
produces and wholesales
bread, flour and other food
products. It also
manufactures and wholesales
pharmaceuticals and
chemicals. It offers its
services to food, energy and
financial customers. It is
divided in agriculture,
financial, food and
industrial services
segments. The Company serves
also as a holding. It was
founded in 1865 and is
located in Minneapolis,
Minnesota.
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t>
  </si>
  <si>
    <t xml:space="preserve">2075
2879</t>
  </si>
  <si>
    <t xml:space="preserve">MN
MO</t>
  </si>
  <si>
    <t xml:space="preserve">CARGILL INC/MONSANTO CO-RENESSEN LLC JOINT VENTURE</t>
  </si>
  <si>
    <t xml:space="preserve">Manufacture ethanol</t>
  </si>
  <si>
    <t xml:space="preserve">Illinois</t>
  </si>
  <si>
    <t xml:space="preserve">Cargill Inc and Monsanto Co formed a joint venture named Renessen LLC (RL)
to manufacture ethanol in the United States. RL tested a new ethanol
production system through the combination of biotech corn hybrids and a
novel dry corn separation technique designed for ethanol facilities.RL was
expected to build a biotechnology plant in Eddyville, Iowa with an intial
of 15 employees.</t>
  </si>
  <si>
    <t xml:space="preserve">50.00
50.00</t>
  </si>
  <si>
    <t xml:space="preserve">75858Z</t>
  </si>
  <si>
    <t xml:space="preserve">141781
61166W</t>
  </si>
  <si>
    <t xml:space="preserve">Merck KGaA
TU Darmstadt</t>
  </si>
  <si>
    <t xml:space="preserve">Mnfr,wholesale pharmaceuticals,holding co
Own,op college,university</t>
  </si>
  <si>
    <t xml:space="preserve">Merck KGaA, located in
Darmstadt, Germany,
manufactures and wholesales
pharmaceuticals, specialty
chemicals, and cosmetic
pigments. The Company
operates under four
divisions: Merck Serono
(biopharmaceuticals),
Consumer Health
(over-the-counter
pharmaceuticals),
Performance Materials
(high-tech chemicals) and
Merck Millipore (products
for pharmaceutical research
and biotechnology). The
Company was founded in 1668.
Technische Universitat
Darmstadt is a college
operator. The Company is
located in Darmstadt,
Germany.</t>
  </si>
  <si>
    <t xml:space="preserve">2834
8221</t>
  </si>
  <si>
    <t xml:space="preserve">Germany
Germany</t>
  </si>
  <si>
    <t xml:space="preserve">MERCK KGAA/TECHNICAL UNIVERSITY OF DARMSTAD-JOINT VENTURE</t>
  </si>
  <si>
    <t xml:space="preserve">Merck KGaA (MK) and Technische Universitat Darmstadt (TUD) formed a 5-year
joint venture (JV) to provide research and development services in Germany.
MK and TUD established a research laboratory to develop an inorganic
composite materials that was to be used as printable components in
electronic applications. The JV focuses on printable radio frequency chips.
The JV was worth 1.2 mil US (1 min euros).</t>
  </si>
  <si>
    <t xml:space="preserve">The JV was worth 1.2 mil US (1 mil euro).</t>
  </si>
  <si>
    <t xml:space="preserve">589339
87783Y</t>
  </si>
  <si>
    <t xml:space="preserve">Premier Exhibitions Inc
Legal Access Technologies Inc</t>
  </si>
  <si>
    <t xml:space="preserve">Pvd touring exhibition svcs
Pvd research svcs</t>
  </si>
  <si>
    <t xml:space="preserve">Premier Exhibitions Inc,
headquartered in Peachtree
Corners, Georgia, provides
touring exhibition services.
It aims at obtaining oceanic
material and scientific
data, which include still
and moving photography and
artifacts from the wreck
site for historical
verification, scientific
education and public
awareness. The Company was
founded in 1993.
Provide research, planning and
recovery services focusing on
shipwrecks</t>
  </si>
  <si>
    <t xml:space="preserve">7999
8731</t>
  </si>
  <si>
    <t xml:space="preserve">GA
GA</t>
  </si>
  <si>
    <t xml:space="preserve">PREMIER EXHIBITIONS INC/LEGAL ACCESS TECHNOLOGIES INC-STRATEGIC ALLIANCE</t>
  </si>
  <si>
    <t xml:space="preserve">Georgia</t>
  </si>
  <si>
    <t xml:space="preserve">RMS Titanic Inc, a unit of Premier Exhibitions Inc and Legal Access
Technologies Inc formed a strategic alliance to provide research and
development services in the United States. The alliance aimed to be
co-expedition partners for deep water salvages of the ship RMS Titanic that
sank. The alliance also aimed to provide educational opportunity  for the
historical importance of the ship.</t>
  </si>
  <si>
    <t xml:space="preserve">Research &amp; Development Services
Educational Services</t>
  </si>
  <si>
    <t xml:space="preserve">74051E
52464H</t>
  </si>
  <si>
    <t xml:space="preserve">Orion Genomics
University of Glasgow</t>
  </si>
  <si>
    <t xml:space="preserve">Biotechnology company
Own,op university</t>
  </si>
  <si>
    <t xml:space="preserve">Biotechnology company
Own and operate university</t>
  </si>
  <si>
    <t xml:space="preserve">2836
8221</t>
  </si>
  <si>
    <t xml:space="preserve">United States
United Kingdom</t>
  </si>
  <si>
    <t xml:space="preserve">MT
FF</t>
  </si>
  <si>
    <t xml:space="preserve">ORION GENOMICS/UNIVERSITY OF GLASGOW-STRATEGIC ALLIANCE</t>
  </si>
  <si>
    <t xml:space="preserve">Orion Genomics (OG) and University of Glasgow formed a strategic alliance
to provide early cancer detection research and development services in the
United States. The alliance was expected to discover novel epigenetic
biomarkers for the development of test to screen cancer at early stage. The
alliance was also expected to provide information on how tumors are
treated. The alliance will use OG's methylation technologies to identify
biomarkers.</t>
  </si>
  <si>
    <t xml:space="preserve">68657E
91427Y</t>
  </si>
  <si>
    <t xml:space="preserve">Konka Group Co Ltd
TCL Corp
Shenzhen Shenchao Technology
Sichuan Changhong Elec Co Ltd
Skyworth Digital Group Ltd</t>
  </si>
  <si>
    <t xml:space="preserve">Audio and Video Equipment Manufacturing
Mnfr,whl electn,commun prod
Investment company
Mnfr,whl electrical appl
Mnfr,whl TV,audiovisual prod</t>
  </si>
  <si>
    <t xml:space="preserve">Konka Group Co Ltd is a
manufacturer and wholesaler
of audio and video
equipment. The Company was
founded in October 1980 and
is located in Shenzhen,
China.
TCL Corp, based in Huizhou,
China, manufactures and
wholesales electronic and
communication products. The
Company primarily offers
multimedia electronic
products such as liquid
crystal display (LCD)
televisions (TVs), cathode
ray tube (CRT) TVs, digital
versatile discs(DVDs) and
audiovisual (AV) products;
communication products such
as mobile phones under the
brand names of TCL and
ALCATEL; home appliances
such as air conditioners and
compressors, and component
products such as high
frequency electronics,
batteries, discs and LCDs.
The company was founded in
Jan 1981.
Shenzhen Shenchao Technology
Investment Ltd is an
investment company,
headquartered in China. The
company mainly engages in
hi-tech industry investment.
The company was founded in
2001.
Sichuan Changhong Electric
Co Ltd, located in China,
manufactures and wholesales
electrical appliances, air
conditioner, battery network
systems, televisions and
radio sets. The company was
founded in 1958.
Manufacture and wholesale
televisions and audio visual
products</t>
  </si>
  <si>
    <t xml:space="preserve">3651
3651
6799
3651
3651</t>
  </si>
  <si>
    <t xml:space="preserve">China
China
China
China
Hong Kong</t>
  </si>
  <si>
    <t xml:space="preserve">FF
FF
FF
FF
FF</t>
  </si>
  <si>
    <t xml:space="preserve">Konka Group Co Ltd
TCL Corp
Shenzhen Shenchao Technology
Sichuan Changhong Electn Hldg
Skyworth Digital Holdings Ltd</t>
  </si>
  <si>
    <t xml:space="preserve">3651
3651
6799
3625
3651</t>
  </si>
  <si>
    <t xml:space="preserve">KONKA/TCL CORP/SHENZHEN CITY SHENCHAO/SICHUAN CHANGHONG/SKYWORTH DIGITAL
GRP- JOINT VENTURE</t>
  </si>
  <si>
    <t xml:space="preserve">China</t>
  </si>
  <si>
    <t xml:space="preserve">Pending</t>
  </si>
  <si>
    <t xml:space="preserve">Konka Co Ltd, TCL Corp, Shenzhen City Shenchao Technology Investment Co
Ltd, Sichuan Changhong Electric Co Ltd, and Skyworth Digital Group Ltd
(SD), a unit of Skyworth Digital Holdings Ltd, planned to form a joint
venture named Shenzhen Julong Optical-Electronic Co Ltd (SJ) to provide
feasibility research services in China. SD was to hold a 20% stake in SJ.
SJ was to carry out research on the feasibility of entering into the
TFT-LCD (liquid crystal display) industry in China.</t>
  </si>
  <si>
    <t xml:space="preserve">20.00
20.00
20.00
20.00
20.00</t>
  </si>
  <si>
    <t xml:space="preserve">50484Z
87497T
82368T
82580J
83045Z</t>
  </si>
  <si>
    <t xml:space="preserve">Biovitrum AB
Syntonix Pharmaceuticals Inc</t>
  </si>
  <si>
    <t xml:space="preserve">Biotech co
Biotech co</t>
  </si>
  <si>
    <t xml:space="preserve">Biotechnology company
focused on pharmaceuticals,
primarily obesity and
diabetes, inflammation and
pain as well as in cancer
and eye diseases
Biotechnology company that
develops novel, long-acting,
proprietary therapeutic
products using Fc-fusion
proteins and other engineered
ligands which bind to specific
Fc receptors</t>
  </si>
  <si>
    <t xml:space="preserve">Sweden
United States</t>
  </si>
  <si>
    <t xml:space="preserve">BIOVITRUM AB/SYNTONIX PHARMACEUTICALS INC-STRATEGIC ALLIANCE</t>
  </si>
  <si>
    <t xml:space="preserve">Biovitrum AB and Syntonix Pharmaceuticals Inc formed a strategic alliance
to provide development and marketing services of recombinant factor (FIX)
for the treatment of hemophilia.</t>
  </si>
  <si>
    <t xml:space="preserve">09101L
871621</t>
  </si>
  <si>
    <t xml:space="preserve">Precision System Science
Medical ProteoScope Co Ltd</t>
  </si>
  <si>
    <t xml:space="preserve">Mnfr,dvlp DNA extraction equip
Biotechnology company</t>
  </si>
  <si>
    <t xml:space="preserve">Precision System Science Co
Ltd is based in Chiba, Japan.
The Group's principal activity
is the maintenance of clinical
equipments. The Group is also
involved in the supply of
pharmaceutical maker Rosh on
OEM basis. The operations are
carried out through the
following divisions: DNA
automatic extracting systems;
other scientific equipments;
other products and plastic
supplies.
Biotechnology company</t>
  </si>
  <si>
    <t xml:space="preserve">PRECISION SYSTEM SCIENCE CO LTD/MEDICAL PROTEOSCOPE-STRATEGIC ALLIANCE</t>
  </si>
  <si>
    <t xml:space="preserve">Precision System Science Co Ltd and Medical ProteoScope Co Ltd formed a
strategic alliance to provide automated plasma pretreatment system
development services in Japan. The alliance collaborated to develop a new
device that would enable quality plasma pretreatment for mass
spectrometry.</t>
  </si>
  <si>
    <t xml:space="preserve">74032E
58621Y</t>
  </si>
  <si>
    <t xml:space="preserve">Obagi Medical Products Inc
Revance Therapeutics Inc</t>
  </si>
  <si>
    <t xml:space="preserve">Mnfr,whl pharm
Mnfr,whl skincare pharm</t>
  </si>
  <si>
    <t xml:space="preserve">Manufacture and wholesale
proprietary prescription skin
care systems
Revance Therapeutics Inc,
located in Newark,
California, manufacture and
wholesale pharmaceuticals
for treating chronic disease
and age-related changes to
skin and soft tissue. The
company is a clinical stage
specialty biopharmaceutical
company focused on the
development, manufacturing
and commercialization of
novel botulinum toxin
products for multiple
aesthetic and therapeutic
applications. The company
was founded in 1999.</t>
  </si>
  <si>
    <t xml:space="preserve">OBAGI MEDICAL PRODUCTS INC/REVANCE THERAPEUTICS INC-STRATEGIC ALLIANCE</t>
  </si>
  <si>
    <t xml:space="preserve">Obagi Medical Products Inc (OM) and Revance Therapeutics Inc (RT) formed a
strategic alliance wherein RT licensed OM to utilize its technology  for
the development of skin products aimed at regenerating elastin in human
skin. OM gained rights to technology patented by RT covering the use of
compounds and formulations for the enhancement and regenration of elastin
and collage in the human skin.</t>
  </si>
  <si>
    <t xml:space="preserve">67423R
761330</t>
  </si>
  <si>
    <t xml:space="preserve">Astellas Pharma Inc
Toyama Chemical Co Ltd</t>
  </si>
  <si>
    <t xml:space="preserve">Mnfr,whl pharmaceutical
Mnfr pharm,chem</t>
  </si>
  <si>
    <t xml:space="preserve">Astellas Pharma Inc,
headquartered Tokyo, Japan,
manufactures and wholesales
prescription pharmaceuticals
intended for final
consumption, including
biotech products and
antibiotics. Its products
include Harnal, Lipitor,
Prograf, various
antibiotics, metabolic
drugs, and painkillers. The
company was founded in 1923.
Manufacture and wholesale
pharmaceuticals specializing
in the production of ethical
drugs, consumer health care
products and industrial
chemicals wherein operations
are carried out through
Pharmaceuticals and Other
division. Pharmaceuticals
division deals with
antibiotics, chemotherapeutics
and healthy foods and drinks.</t>
  </si>
  <si>
    <t xml:space="preserve">ASTELLAS PHARMA INC/TOYAMA CHEMICAL CO LTD-STRATEGIC ALLIANCE</t>
  </si>
  <si>
    <t xml:space="preserve">Astellas Pharma Inc (AP) and Toyama Chemical Co Ltd (TC) formed a strategic
alliance wherein TC licensed AP to develop and wholesale its T-3811 oral
preparation in Japan. AP was expected to make an upfront and milestone
payment to TC.</t>
  </si>
  <si>
    <t xml:space="preserve">J03393
89226Q</t>
  </si>
  <si>
    <t xml:space="preserve">Mimotopes Pty Ltd
Genzyme Corp</t>
  </si>
  <si>
    <t xml:space="preserve">Mnfr,dvlp custom peptides
Biotechnology company</t>
  </si>
  <si>
    <t xml:space="preserve">Manufacture, develop and
market custom peptides used in
biological applications such
as immunology and proteomics
research and solid phase
chemistry product known as
SynPhase Lantern used in a
variety of synthesis
techniques and equipment for
small molecule drug discovery
such as parallel array
synthesis, or 'split and mix'
type synthesis methodologies
using radio frequency tagging
or color coding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</si>
  <si>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Australia
United States</t>
  </si>
  <si>
    <t xml:space="preserve">PharmAust Ltd
Genzyme Corp</t>
  </si>
  <si>
    <t xml:space="preserve">MIMOTOPES PTY LTD/GEN ZYME CORP(DNU)-STRATEGIC ALLIANCE</t>
  </si>
  <si>
    <t xml:space="preserve">Mimotopes Pty Ltd, a unit of Pharmaust Ltd's Pharmaust Chemistry Ltd, and
Genzyme Corp formed a strategic alliance to provide research and
development services in the United States. The alliance provided a total
suite of peptide products and service for research to therapeutic grade
peptides. The alliance was expected to offer customers an integrated
one-stop shopping opportunity from the laboratory to the clinic by way of
referral agreement.</t>
  </si>
  <si>
    <t xml:space="preserve">60452N
372917</t>
  </si>
  <si>
    <t xml:space="preserve">MKU Pvt Ltd
JN Group
MDT Armor Corp</t>
  </si>
  <si>
    <t xml:space="preserve">Mnfr,whl helmets,rubber boots
Mnfr,whl auto,parts
Mnfr armored vehicles</t>
  </si>
  <si>
    <t xml:space="preserve">Manufacture and wholesale
canvas and vulcanised rubber
boots, canvas tents, bomb
suppression blankets and
safety rings, de-mining suits,
bulletproof jackets and body
armor, ballistic helmets, and
up-armor inserts
JN Group, located in Pune,
manufacture and wholesale
commercial and passenger
vehicles, parts; provide tire
re-treading, vehicle financing
and vehicle maintenance
services, own and operate
automobile dealerships. The
company was founded in 1933.
MDT Armor Corp, located in
Auburn, Alabama, manufactures
armored vehicles. The co was
founded on 2003.</t>
  </si>
  <si>
    <t xml:space="preserve">3021
3711
3711</t>
  </si>
  <si>
    <t xml:space="preserve">India
India
United States</t>
  </si>
  <si>
    <t xml:space="preserve">FF
FF
AL</t>
  </si>
  <si>
    <t xml:space="preserve">MKU Pvt Ltd
JN Group
Arotech Corp</t>
  </si>
  <si>
    <t xml:space="preserve">3021
3711
3692</t>
  </si>
  <si>
    <t xml:space="preserve">MKU PVT LTD/JN GROUP/MDT ARMOR CORP-CONCORD SAFETY SOLUTIONS LTD JOINT
VENTURE</t>
  </si>
  <si>
    <t xml:space="preserve">Concord Safety Solutions Ltd,
located in New Delhi, India,
manufactures and designs
armored vehicles. The company
was founded in 2006.</t>
  </si>
  <si>
    <t xml:space="preserve">India</t>
  </si>
  <si>
    <t xml:space="preserve">MKU Pvt Ltd, JN Group, and MDT Armor Corp, a unit of Arotech Corp, planned
to form a joint venture named Concord Safety Solutions Ltd to manufacture
and design armored vehicles in India.</t>
  </si>
  <si>
    <t xml:space="preserve">33.30
33.30
33.30</t>
  </si>
  <si>
    <t xml:space="preserve">20646M</t>
  </si>
  <si>
    <t xml:space="preserve">55557Q
46723V
55549V</t>
  </si>
  <si>
    <t xml:space="preserve">Proton Holdings Berhad
Petroliam Nasional Bhd</t>
  </si>
  <si>
    <t xml:space="preserve">Manufacture,whl motor vehicles
Oil &amp; gas exploration and production company</t>
  </si>
  <si>
    <t xml:space="preserve">Proton Holdings Berhad,
located in Selagor Darul
Ehsan, Malaysia,
manufacturer and wholesaler
of motor vehicles. It is
also engaged in
manufacturing and
wholesaling of automotive
parts and supplies. The
company was founded on May
07, 1983.
Petroliam Nasional Bhd is an
oil and gas exploration and
production company. Its
products and services
include crude oil products,
crude oil assays, petroleum
products, petrochemical
products, shipping and
maritime services, R&amp;D and
project management. The
Company operates as an
integrated oil and gas
company in Malaysia and
internationally. It operates
through Upstream,
Downstream, and Corporate
and Others segments. The
Company engages in the
exploration, development,
and production of crude oil
and natural gas; and
processing, liquefaction,
transportation, and sale of
liquefied natural gas (LNG);
and manufacture, refining,
and marketing of petroleum
products, including olefins,
polymers, fertilizers,
methanol, and other basic
chemicals and derivative
products. It is also
involved in the trade of
crude oil, petroleum, gas,
LNG, and petrochemical
products; and provision of
shipping and logistics
services related to LNG,
crude oil, and petroleum
products. The Company was
founded on 17 August 1974
and is located in Kuala
Lumpur, Malaysia.</t>
  </si>
  <si>
    <t xml:space="preserve">3711
1311</t>
  </si>
  <si>
    <t xml:space="preserve">Malaysia
Malaysia</t>
  </si>
  <si>
    <t xml:space="preserve">PROTON HOLDINGS BHD/PETROLIAM NASIONAL BHD{PETRONAS}-STRATEGIC ALLIANCE</t>
  </si>
  <si>
    <t xml:space="preserve">Malaysia</t>
  </si>
  <si>
    <t xml:space="preserve">Proton Holdings Bhd and Malaysian state-owned Petroliam Nasional Bhd formed
a strategic alliance to provide engine development services in Malaysia.
The alliance was expected to develop larger engines, environmentally
friendly alternative fuel systems and natural gas vehicles for automakers.</t>
  </si>
  <si>
    <t xml:space="preserve">69601R
71691W</t>
  </si>
  <si>
    <t xml:space="preserve">comScore Networks
Catalina Health Resource</t>
  </si>
  <si>
    <t xml:space="preserve">Pvd infrastructure svcs
Pvd medical/health svcs</t>
  </si>
  <si>
    <t xml:space="preserve">Provide infrastructure
services to the Internet
e-conomy
Provide medical/health
information services about
patients medical conditions
and medications</t>
  </si>
  <si>
    <t xml:space="preserve">7373
8099</t>
  </si>
  <si>
    <t xml:space="preserve">VA
FL</t>
  </si>
  <si>
    <t xml:space="preserve">comScore Networks
Catalina Marketing Corp</t>
  </si>
  <si>
    <t xml:space="preserve">7373
7311</t>
  </si>
  <si>
    <t xml:space="preserve">COMSCORE NETWORKS/CATALINA HEATH RESOURC-STRATEGIC ALLIANCE</t>
  </si>
  <si>
    <t xml:space="preserve">Virginia</t>
  </si>
  <si>
    <t xml:space="preserve">comScore Networks and Catalina Health Resource, a unit of Catalina
marketing Corp, formed a strategic alliance to provide research and
development services in the United States. The alliance was expected to
offer their clients with Behavior Activated Research solution for
pharmaceutical drug products. The alliance aimed to cost-effectively gauge
opinions and attitudes of low incidence patient segments. The alliance was
designed to offer marketers increased insight into consumer behavior. In
addition, the alliance allowed to pre-qualify and reach potential market
research participants.</t>
  </si>
  <si>
    <t xml:space="preserve">20562R
14884K</t>
  </si>
  <si>
    <t xml:space="preserve">GTx Inc
Gen-Probe Inc</t>
  </si>
  <si>
    <t xml:space="preserve">Biopharmaceutical company
Mnfr,whl diagnostic instrument</t>
  </si>
  <si>
    <t xml:space="preserve">GTx Inc, located in Memphis,
Tennessee, is a company
dedicated to the discovery,
development, and
commercialization of small
molecules that selectively
target hormone pathways to
treat cancer, osteoporosis
and bone loss, muscle
wasting and other serious
medical conditions. The
company was founded in 1997.
Gen-Probe Inc, located in San
Diego, California,
manufactures and wholesales
diagnostic instruments used
primarily to detect human
diseases and screen donated
human blood. It also makes
diagnostics to detect a host
of infectious, disease-causing
bacteria and fungi, including
those behind tuberculosis and
strep throat. In addition, the
company makes products that
screen donated blood for these
diseases. The company was
founded in 1983.</t>
  </si>
  <si>
    <t xml:space="preserve">2834
3841</t>
  </si>
  <si>
    <t xml:space="preserve">TN
CA</t>
  </si>
  <si>
    <t xml:space="preserve">GTX INC/GEN-PROBE INC-STRATEGIC ALLIANCE</t>
  </si>
  <si>
    <t xml:space="preserve">Tennessee</t>
  </si>
  <si>
    <t xml:space="preserve">GTx Inc and Gen-Probe Inc formed a strategic alliance to provide research
and development services of high grade prostatic intraepithelial neoplasia
in the United States. The alliance was expected to offer and allow patients
to find out whether they were at high risk for prostate  cancer.</t>
  </si>
  <si>
    <t xml:space="preserve">40052B
36866T</t>
  </si>
  <si>
    <t xml:space="preserve">MethylGene Inc
Pharmion Corp</t>
  </si>
  <si>
    <t xml:space="preserve">Biopharm co
Mnfr pharm prod</t>
  </si>
  <si>
    <t xml:space="preserve">MethylGene Inc, headquartered
in Montreal, Quebec, is a
biopharmaceutical company
focused on the discovery,
development and
commercialization of novel
therapeutics for cancer. The
company was founded in 1995.
Pharmion Corp, located in
Boulder, Colorado,
manufactures pharmaceutical
products for the treatment of
hematology and oncology
patients. The company was
founded in 1999.</t>
  </si>
  <si>
    <t xml:space="preserve">Canada
United States</t>
  </si>
  <si>
    <t xml:space="preserve">FF
CO</t>
  </si>
  <si>
    <t xml:space="preserve">METHYLGENE INC/PHARMION CORP-STRATEGIC ALLIANCE</t>
  </si>
  <si>
    <t xml:space="preserve">MethylGene Inc and Pharmion Corp formed a strategic alliance to provide
research and development services globally. The alliance was expected to
develop new class of compounds to regulate genes expression for oncology.</t>
  </si>
  <si>
    <t xml:space="preserve">591544
71715B</t>
  </si>
  <si>
    <t xml:space="preserve">Rotoblock Corp
Apollo Energy Systems Inc</t>
  </si>
  <si>
    <t xml:space="preserve">Mnfr piston engines
Mnfr,dvlp,whl fuel cells</t>
  </si>
  <si>
    <t xml:space="preserve">Rotoblock Corp located in San
Francisco, California,
manufactures piston engines.
The company also conducts
research on the development of
engines. It was founded in
2004.
Manufacture, develop and
wholesale alkaline fuel cells
and lead cobalt rechargeable
batteries</t>
  </si>
  <si>
    <t xml:space="preserve">3621
3691</t>
  </si>
  <si>
    <t xml:space="preserve">CA
FL</t>
  </si>
  <si>
    <t xml:space="preserve">ROTOBLOCK/APOLLO ENERGY SYSTEMS INC-STRATEGIC ALLIANCE</t>
  </si>
  <si>
    <t xml:space="preserve">Rotoblock Corp and Apollo Energy Systems Inc formed a strategic alliance to
provide hybrid electric drive-train development services in the United
States. The alliance was expected to develop the said hybrid train coupled
with an integrated oscillating piston engine and a lead foam cobalt
battery.</t>
  </si>
  <si>
    <t xml:space="preserve">778791
03802J</t>
  </si>
  <si>
    <t xml:space="preserve">Colgate-Palmolive Co
Forsyth Institute</t>
  </si>
  <si>
    <t xml:space="preserve">Manufactures and wholesales toilet preparations and cosmetics
Non-profit research org</t>
  </si>
  <si>
    <t xml:space="preserve">Colgate-Palmolive Co,
located in New York City,
New York, manufactures and
wholesales toilet
preparations and cosmetics
such as soaps, shampoo,
toothpastes, fabric
softeners, mouthwash,
healthcare products and pet
foods. Its brand names
include Total, Colgate Max
Fresh, Colgate 360, Colgate,
Colgate Plax, Palmolive,
Softsoap, Irish Spring,
Protex, Speed Stick, Lady
Speed Stick, Caprice, Ajax,
Fabuloso, Murphys, Suavitel,
Soupline, Mennen, Sorriso,
Kolynos, Elmex, Toms of
Maine and Axion. It also
acts as a holding company.
The Company was founded in
1806.
Non-profit research
organization focused on oral,
craniofacial and related
biomedical science</t>
  </si>
  <si>
    <t xml:space="preserve">2844
8641</t>
  </si>
  <si>
    <t xml:space="preserve">NY
MA</t>
  </si>
  <si>
    <t xml:space="preserve">COLGATE PALMOLIVE CO(DNU)/FORSYTH INSTITUTE-JOINT VENTURE</t>
  </si>
  <si>
    <t xml:space="preserve">Colgate-Forsyth Center for
Advancement of Global Oral
Health, located in New York,
provides oral health research
and development services.</t>
  </si>
  <si>
    <t xml:space="preserve">New York</t>
  </si>
  <si>
    <t xml:space="preserve">Colgate-Palmolive Co (CP) and Forsyth Institute (FI) formed a joint venture
named Colgate-Forsyth Center for Advancement of Global Oral Health (CF) to
provide oral health research and development services in the United States.
CF was expected to advance the cutting-edge research in oral health and its
effect on overall systemic health. CP and FI were expected to work together
to expand scientific, dental and medical knowledge for long-term product
development. CF will yield unique diagnostic tools and innovative
preventive and therapeutic approaches to improve oral health.</t>
  </si>
  <si>
    <t xml:space="preserve">19427V</t>
  </si>
  <si>
    <t xml:space="preserve">194162
34665N</t>
  </si>
  <si>
    <t xml:space="preserve">Medarex Inc
Organon International NV</t>
  </si>
  <si>
    <t xml:space="preserve">Biopharm co
Mnfr,whl pharm</t>
  </si>
  <si>
    <t xml:space="preserve">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
Manufacture prescription
pharmaceuticals intended for
final consumption, including
biotech products and
antibiotics; provide drug
research and development
services</t>
  </si>
  <si>
    <t xml:space="preserve">NJ
FF</t>
  </si>
  <si>
    <t xml:space="preserve">Medarex Inc
Akzo Nobel NV</t>
  </si>
  <si>
    <t xml:space="preserve">2836
2851</t>
  </si>
  <si>
    <t xml:space="preserve">MEDAREX INC/ORGANON-STRATEGIC ALLIANCE</t>
  </si>
  <si>
    <t xml:space="preserve">Medarex Inc (MI) and Organon International BV (OI), a unit of Akzo Nobel
NV's Akzo Pharma BV subsidiary, formed a strategic alliance to provide
research and development services. The alliance will develop therapeutic
antibodies. OI will use MI's UltiMab Human Antibody Development System to
generate therapeutic antibodies against a variety of disease targets
discovered.</t>
  </si>
  <si>
    <t xml:space="preserve">583916
68590R</t>
  </si>
  <si>
    <t xml:space="preserve">Cellegy Pharmaceuticals Inc
CONRAD</t>
  </si>
  <si>
    <t xml:space="preserve">Biopharmaceutical co
Pvd research,dvlp svcs</t>
  </si>
  <si>
    <t xml:space="preserve">Cellegy Pharmaceuticals Inc
is a biopharmaceutical
company, headquartered in
Huntingdon Valley,
Pennsylvania. The company
specializes in women's
health.
Provide research and
development services focusing
on improving reproductive
health supporting the
development of better,safer
and more acceptable methods to
prevent pregnancy and sexually
transmitted infections</t>
  </si>
  <si>
    <t xml:space="preserve">2834
8731</t>
  </si>
  <si>
    <t xml:space="preserve">CELLEGY PHARMACEUTICALS INC/CONRAD-STRATEGIC ALLIANCE</t>
  </si>
  <si>
    <t xml:space="preserve">Cellergy Pharmaceuticals Inc (CP) and Contraceptive Research and
Development Organization (CR) formed a strategic alliance wherein CP
licensed CR to provide reseach and development of CP's entire microbicide
pipeline worldwide. The agreement encompassed the licensing of Savvy, a
1.0% C31G vaginal gel that is currently in clinical trials.</t>
  </si>
  <si>
    <t xml:space="preserve">15115L
21245N</t>
  </si>
  <si>
    <t xml:space="preserve">Dr Reddy's Laboratories Ltd
Argenta Discovery Ltd</t>
  </si>
  <si>
    <t xml:space="preserve">Manufactures and wholesales prescription pharmaceutical
Biotechnology co</t>
  </si>
  <si>
    <t xml:space="preserve">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
Argenta Discovery Ltd, based
in Harlow, Essex, is a
biotechnology company. The
company engages in the
business of contract drug
discovery research and
proprietary in-house
therapeutics programme,
focusing on respiratory
disease. The company was
formed in 2000.</t>
  </si>
  <si>
    <t xml:space="preserve">India
United Kingdom</t>
  </si>
  <si>
    <t xml:space="preserve">DR REDDYS LABORATORIES LTD/ARGENTA DISCOVERY LTD-STRATEGIC ALLIANCE</t>
  </si>
  <si>
    <t xml:space="preserve">Dr Reddys Laboratories Ltd and Argenta Discovery Ltd formed a strategic
alliance to provide research and development services globally. Under terms
of the agreement, the partners were to collaborate to identify the clinical
candidates from a certain class of compounds use as potential treatments
for Chronic Obstructive Pulmonary Disease.</t>
  </si>
  <si>
    <t xml:space="preserve">256135
04025J</t>
  </si>
  <si>
    <t xml:space="preserve">MIV Therapeutics Inc
Sahajanand Med Tech Pvt Ltd</t>
  </si>
  <si>
    <t xml:space="preserve">Mnfr coatings for stents
Navigational, Measuring, Electromedical, and Control Instruments Manufacturing</t>
  </si>
  <si>
    <t xml:space="preserve">MIV Therapeutics Inc,
headquartered in Vancouver,
manufactures biocompatible
coatings and other medical and
drug delivery devices. The
company's main services
include research and
development for the medical
field.
Sahajanand Medical
Technologies Pvt Ltd,
located in Surat, India,
manufactures coronary stent.
The Company has sales in 50
countries and more than
80,000 implants. The Company
was founded in 1998.</t>
  </si>
  <si>
    <t xml:space="preserve">2835
3845</t>
  </si>
  <si>
    <t xml:space="preserve">Canada
India</t>
  </si>
  <si>
    <t xml:space="preserve">MIV Therapeutics Inc
MIV Therapeutics Inc</t>
  </si>
  <si>
    <t xml:space="preserve">Canada
Canada</t>
  </si>
  <si>
    <t xml:space="preserve">2835
2835</t>
  </si>
  <si>
    <t xml:space="preserve">MIV THERAPEUTICS INC/SAHAJANAND MEDICAL TECHNOLOGIES-STRATEGIC ALLIANCE</t>
  </si>
  <si>
    <t xml:space="preserve">MIV Therapeutics Inc and Sahajanand Medical Technologies Ltd formed a
strategic alliance to provide research and development services globally.
Under terms of the agreement, the partners were expected to develop
products based on the advanced technologies and solutions for the worldwide
vascular stent marketplace.</t>
  </si>
  <si>
    <t xml:space="preserve">55306V
78761L</t>
  </si>
  <si>
    <t xml:space="preserve">Pharming Group NV
Paul Royalty Fund</t>
  </si>
  <si>
    <t xml:space="preserve">Manufacture human medicines
Private equity fund</t>
  </si>
  <si>
    <t xml:space="preserve">Pharming Group NV, located
in Leiden, the Netherlands,
manufactures medicines from
the milk of transgenic
animals. The product range
includes medicines for
genetic disorders;
infectious diseases; tissue
and bone damage; surgery and
trauma; cardiovascular
diseases.
Private equity fund dedicated
on healthcare such as
pharmaceutical, biotechnology
and medical device sectors</t>
  </si>
  <si>
    <t xml:space="preserve">2834
6726</t>
  </si>
  <si>
    <t xml:space="preserve">Netherlands
United States</t>
  </si>
  <si>
    <t xml:space="preserve">Pharming Group NV
Paul Capital Partners LP</t>
  </si>
  <si>
    <t xml:space="preserve">2834
6799</t>
  </si>
  <si>
    <t xml:space="preserve">PHARMING GROUP NV(USE&gt;7/2/98)/PAUL ROYALTY FUND II LP-STRATEGIC ALLIANCE</t>
  </si>
  <si>
    <t xml:space="preserve">Pharming Group NV (PG) and Paul Royalty Fund II LP (PR) formed a strategic
alliance to provide research and development services on recombinant human
C1 inhibitor (rhC1INH) for the treatment of hereditary angioedema (HAE).
The alliance was valued $30 mil US (73.86 Netherlands guilders). PG was
expected to receive $18.5 mil US (45.54 Netherlands guilders) as upfront
payment, 1.5 mil US (8.62 Netherlands guilders) for investment on term
sheet signed with PR and 10 mil US (24.62 Netherlands guilders) on
milestone payments.</t>
  </si>
  <si>
    <t xml:space="preserve">The alliance was valued $30 mil US (73.86 Netherlands guilders). Pharming
Group NV was expected to receive $18.5 mil US (45.54 Netherlands guilders)
as upfront payment, 1.5 mil US (8.62 Netherlands guilders) for investment
on term sheet signed with PR and 10 mil US (24.62 Netherlands guilders) on
milestone payments.</t>
  </si>
  <si>
    <t xml:space="preserve">N69603
76238E</t>
  </si>
  <si>
    <t xml:space="preserve">Global Market Insite Inc
iHispanic Marketing Group LLC</t>
  </si>
  <si>
    <t xml:space="preserve">Pvd info tech svcs
Pvd Internet mktg svcs</t>
  </si>
  <si>
    <t xml:space="preserve">Global Market Insite Inc,
headquartered in Bellevue,
Washington, is a provider of
information technology
services for global market
intelligence for both market
research firms and corporate
market research departments.
It has offices in Los Angeles,
Boston, Vancouver, London,
Paris, Den Bosch (the
Netherlands), Munich, Sydney,
Hong Kong, Singapore, Shanghai
and Tokyo. It was founded in
1999.
Provide search engine
marketing, web and email
advertising services</t>
  </si>
  <si>
    <t xml:space="preserve">7376
8742</t>
  </si>
  <si>
    <t xml:space="preserve">WA
CA</t>
  </si>
  <si>
    <t xml:space="preserve">GLOBAL MARKET INSITE INC/IHISPANIC MARKETING GROUP-STRATEGIC ALLIANCE</t>
  </si>
  <si>
    <t xml:space="preserve">Global Market Insite Inc and iHispanic Marketing Group LLC formed a
strategic alliance to provide online market research services in Latin
America.</t>
  </si>
  <si>
    <t xml:space="preserve">Internet Services
Research &amp; Development Services</t>
  </si>
  <si>
    <t xml:space="preserve">37965E
45453J</t>
  </si>
  <si>
    <t xml:space="preserve">Ciphergen Biosystems Inc
Sanofi-Aventis SA</t>
  </si>
  <si>
    <t xml:space="preserve">Biotech co
Manufacture pharmaceuticals</t>
  </si>
  <si>
    <t xml:space="preserve">Biotechnology company
dedicated to the discovery,
development and
commercialization of novel,
high-value molecular
diagnostic tests to help
physicians diagnose, select
appropriate treatments and
improve outcomes for patients
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t>
  </si>
  <si>
    <t xml:space="preserve">United States
France</t>
  </si>
  <si>
    <t xml:space="preserve">CIPHERGEN BIOSYSTEMS INC/SANOFI-AVENTIS-STRATEGIC ALLIANCE</t>
  </si>
  <si>
    <t xml:space="preserve">Ciphergen Biosystems Inc (CB) and Sanofi-Aventis (SA) formed a strategic
alliance to provide pharmaceutical biomarker research services. Under terms
of the agreement, CB and SA collaborated to discover, validate, and
identify biomarkers for a pre-clinical  drug efficacy study in the field of
oncology. CB analyzed samples at one of its Biomarker Discovery Center?
laboratories using its suite of proteomic  solutions (Pattern Track
Process, and ProteinChip? System). Financial terms were not disclosed.</t>
  </si>
  <si>
    <t xml:space="preserve">17252Y
80105N</t>
  </si>
  <si>
    <t xml:space="preserve">Bristol-Myers Squibb Co
Otsuka Pharmaceutical Co Ltd</t>
  </si>
  <si>
    <t xml:space="preserve">Manufactures pharmaceuticals and medical products
Mnfr,whl pharm,cosmetics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</si>
  <si>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Otsuka Pharmaceutical Co
Ltd, located in Tokyo,
Japan, manufactures and
wholesales pharmaceuticals,
cosmetics, and medical
equipment. From its initial
focus on the intravenous
solutions business, the
company has grown to be a
leader in the field of
nutrition management in
healthcare settings. It is
also engaged in research and
development of innovative
products. The company was
founded in 1964.</t>
  </si>
  <si>
    <t xml:space="preserve">NY
FF</t>
  </si>
  <si>
    <t xml:space="preserve">BRISTOL-MYERS SQUIBB CO/OTSUKA PHARMACEUTICAL CO LTD-STRATEGIC ALLIANCE</t>
  </si>
  <si>
    <t xml:space="preserve">Bristol-Myers Squibb Co and Otsuka Pharmaceutical Co Ltd formed a strategic
alliance to manufacture and develop 2 mg Abilify? (Aripiprazole) tablet and
nonrefrigerated oral solution. The alliance collaborated on the development
of the said drug which is indicated for the treatment of schizophrenia,
acute manic and mixed episodes associated with Bipolar I Disorder.</t>
  </si>
  <si>
    <t xml:space="preserve">110122
68916Q</t>
  </si>
  <si>
    <t xml:space="preserve">Novo Nordisk A/S
G2 Inflammation Pty Ltd</t>
  </si>
  <si>
    <t xml:space="preserve">Healthcare company
Biotechnology company</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</si>
  <si>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Biotechnology company
developing and commercialising
novel antibody based therapies
in inflammation and cancer</t>
  </si>
  <si>
    <t xml:space="preserve">2833
2836</t>
  </si>
  <si>
    <t xml:space="preserve">Denmark
Australia</t>
  </si>
  <si>
    <t xml:space="preserve">Novo Nordisk Foundation
G2 Therapies Ltd</t>
  </si>
  <si>
    <t xml:space="preserve">6732
2836</t>
  </si>
  <si>
    <t xml:space="preserve">NOVO NORDISK A/S/G2 THERAPIES LTD-STRATEGIC ALLIANCE</t>
  </si>
  <si>
    <t xml:space="preserve">Novo Nordisk A/S (NN) and G2 Inflammation Pty Ltd (GI), a unit of G2
Therapies Ltd, formed a strategic alliance wherein GI licnesed NN to
utilize its C5a Receptor antibodies to develop, manufacture and market new
anti-inflammatory therapies. Under terms of the agreement, GI received an
upfront payment of $6 mil US (8.116 mil Australian dollars/11.734 mil
Deutsche Marks) and other success-based  payments to a potential total of
$102 mil US (137.987 mil Australian dollars/199.5 mil marks), plus
royalties on commercialised  therapeutics. Additionally, NN reimbursed GI
for expenses incurred  under this collaboration.</t>
  </si>
  <si>
    <t xml:space="preserve">Licensing Services
Research &amp; Development Services
Manufacturing Services
Marketing Services</t>
  </si>
  <si>
    <t xml:space="preserve">G2 Inflammation Pty Ltd received an upfront payment of $6 mil US (8.116 mil
Australian dollars/11.734 mil Deutsche Marks) and other success-based
payments to a potential total of $102 mil US (137.987 mil Australian
dollars/199.5 mil marks).</t>
  </si>
  <si>
    <t xml:space="preserve">670100
36385F</t>
  </si>
  <si>
    <t xml:space="preserve">Mphase Tech Inc
Bell Labs</t>
  </si>
  <si>
    <t xml:space="preserve">Primary Battery Manufacturing
Pvd research,dvlp svcs</t>
  </si>
  <si>
    <t xml:space="preserve">Mphase Technologies Inc is a
manufacturer of primary
batteries. The Company
develops smart surfaces
using materials science
engineering, nanotechnology
science and the principles
of micro-fluidics and
microelectromechanical
systems (MEMS). It develops
products for both commercial
and military applications.
Its main product is the
AlwaysReady Smart
NanoBattery. AlwaysReady Inc
is the company's
wholly-owned subsidiary,
focuses on the development
of its nanotechnology
products. The Company was
founded in 1996 and is
located in Gaithersburg,
Maryland.
Bell Laboratories Inc, located
in Murray Hill, New Jersey,
provide research and
development services. The
company was founded in 1974.</t>
  </si>
  <si>
    <t xml:space="preserve">3692
8731</t>
  </si>
  <si>
    <t xml:space="preserve">MD
NJ</t>
  </si>
  <si>
    <t xml:space="preserve">Mphase Tech Inc
Lucent Technologies Inc</t>
  </si>
  <si>
    <t xml:space="preserve">3692
3661</t>
  </si>
  <si>
    <t xml:space="preserve">MPHASE TECHNOLOGIES INC/LUCENT TECHNOLOGIES INC-STRATEGIC ALLIANCE</t>
  </si>
  <si>
    <t xml:space="preserve">mPhase Technologies Inc and Bell Labs, a unit of Lucent Technologies Inc
formed a strategic alliance to provide research and development services in
the United States. The alliance developed nano-based battery prototype and
had proven that it can store and convert energy on demand. The alliance
assembled prototype device that could generate enough power on demand to
light a light-emiting diode.</t>
  </si>
  <si>
    <t xml:space="preserve">62472C
07815J</t>
  </si>
  <si>
    <t xml:space="preserve">Millennium Cell Inc
Jadoo Power Systems Inc</t>
  </si>
  <si>
    <t xml:space="preserve">Mnfr pure hydrogen storage
Mnfr energy storage systems</t>
  </si>
  <si>
    <t xml:space="preserve">Manufacture pure hydrogen
storage equipment
Jadoo Power Systems Inc,
located in Folsom, California,
is a manufacturer of energy
storage systems for the
military and commercial
markets.</t>
  </si>
  <si>
    <t xml:space="preserve">3629
3691</t>
  </si>
  <si>
    <t xml:space="preserve">MILLENNIUM CELL INC/JADOO POWER SYSTEMS INC-STRATEGIC ALLIANCE</t>
  </si>
  <si>
    <t xml:space="preserve">Millennium Cell Inc (MC) and Jadoo Power Systems Inc (JP) formed a
strategic alliance wherein JP licensed MC's technology for development and
commercialization of JP's product offerings in the United States. MC's
Hydrogen on Demand technology was expected to provide JP with high energy
density, safe and cost-effective fuel cartridge to complement existing fuel
cell power units.</t>
  </si>
  <si>
    <t xml:space="preserve">60038B
46978L</t>
  </si>
  <si>
    <t xml:space="preserve">Ablynx NV
Kirin Brewery Co Ltd</t>
  </si>
  <si>
    <t xml:space="preserve">Biotechnology company
Prodn,whl beer,wine</t>
  </si>
  <si>
    <t xml:space="preserve">Biotechnology company
Kirin Brewery Co Ltd,
headquartered in Tokyo,
Japan, is engaged in the
production and wholesale of
alcoholic beverages, such as
beer and wine, and other
non-alcoholic beverages. The
group is also engaged in the
development of antibody
pharmaceuticals.</t>
  </si>
  <si>
    <t xml:space="preserve">2836
2082</t>
  </si>
  <si>
    <t xml:space="preserve">Belgium
Japan</t>
  </si>
  <si>
    <t xml:space="preserve">ABLYNX NV/KIRIN BREWERY CO LTD-STRATEGIC ALLIANCE</t>
  </si>
  <si>
    <t xml:space="preserve">Ablynx NV (AN) and Kirin Brewery Co Ltd (KB) formed a strategic alliance
wherein KB licensed AN to utilized its nanobody research technology
platform. The alliance was expected to provide structural and functional
properties of nanobodies for use as therapeutic products.</t>
  </si>
  <si>
    <t xml:space="preserve">40613C
497350</t>
  </si>
  <si>
    <t xml:space="preserve">Vaccinex Inc
Schering AG</t>
  </si>
  <si>
    <t xml:space="preserve">Biotechnology company
Mnfr tailored therapy pharm</t>
  </si>
  <si>
    <t xml:space="preserve">Biotechnology company
engaged in the discovery and
development of human
antibodies into novel
therapeutic drugs to treat a
variety of diseases
Manufacture and wholesale
hormonal contraceptives and
preparations, oral
formulation, human monoclonal
antibodies, immune and
therapeutic drugs for
hematological malignancies,
X-ray contrast media and
magnetic resonance imaging for
visual diagnostics, and
special therapeutic products
related to peripheral arterial
occlusive diseases, pulmonary
hypertension, and multiple
sclerosis; provide
pharmaceutical research and
development services</t>
  </si>
  <si>
    <t xml:space="preserve">VACCINEX INC/SCHERING AG-STRATEGIC ALLIANCE</t>
  </si>
  <si>
    <t xml:space="preserve">Vaccinex Inc (VI) and Schering AG formed a strategic alliance to provide
research and development services. The alliance was expected to identify
disease targets and potentially develop novel therapeutic antibodies for
treatment of cancers. VI was expected to receive technology access fee and
research funding and eligible for milestone payments and royalties.</t>
  </si>
  <si>
    <t xml:space="preserve">91875J
806585</t>
  </si>
  <si>
    <t xml:space="preserve">Archemix Corp
NascaCell IP GmbH</t>
  </si>
  <si>
    <t xml:space="preserve">Mnfr aptamer therapeutics
Biotechnology company</t>
  </si>
  <si>
    <t xml:space="preserve">Archemix Corp, located in
Cambridge, Massachusetts,
manufactures aptamer-based
therapeutics for the
prevention and treatment of
chronic and acute diseases
through the use of proprietary
technologies such as selected
RNA and DNA scaffolds as
mimics or substitutes for
antibody-like binding domains.
The company was founded in
2001.
Biotechnology company</t>
  </si>
  <si>
    <t xml:space="preserve">MA
FF</t>
  </si>
  <si>
    <t xml:space="preserve">ARCHEMIX CORP/NASCACELL IP GMBH-STRATEGIC ALLIANCE</t>
  </si>
  <si>
    <t xml:space="preserve">Archemix Corp and NascaCell IP GmbH formed a strategic alliance to provide
research and development services of aptamers for drug discovery
applications globally. The alliance was a strategic growth opportunity both
for the partners to leverage their medical development and application
services and to further expand their market coverage in the region.</t>
  </si>
  <si>
    <t xml:space="preserve">03949Q
62808V</t>
  </si>
  <si>
    <t xml:space="preserve">Hybrid Technologies Inc
Mullen Motor Co</t>
  </si>
  <si>
    <t xml:space="preserve">Mnfr lithium powered vehicles
Mnfr sports cars</t>
  </si>
  <si>
    <t xml:space="preserve">Hybrid Technologies Inc is a
manufacturer of
lithium-powered motorcycles
and other electric powered
vehicles and products,
headquartered in Las Vegas,
Nevada.
Manufacture sports cars</t>
  </si>
  <si>
    <t xml:space="preserve">3699
3711</t>
  </si>
  <si>
    <t xml:space="preserve">NV
CA</t>
  </si>
  <si>
    <t xml:space="preserve">HYBRID TECHNOLOGIES/MULLEN MOTOR-STRATEGIC ALLIANCE</t>
  </si>
  <si>
    <t xml:space="preserve">Hybrid Technologies Inc and Mullen Motor Co formed a strategic alliance to
manufacture and develop lithium powered supercar in the UNited States.</t>
  </si>
  <si>
    <t xml:space="preserve">44860H
62526P</t>
  </si>
  <si>
    <t xml:space="preserve">Opsona Therapeutics Ltd
Wyeth Pharmaceuticals Inc</t>
  </si>
  <si>
    <t xml:space="preserve">Mnfr pharmaceuticals
Mnfr pharm prod</t>
  </si>
  <si>
    <t xml:space="preserve">Opsona Therapeutics Ltd,
located in Dublin, Ireland,
manufacture pharmaceuticals.
The products manufactured are
used for final consumption,
including biotech products and
antibiotics to treat and
prevent autoimmune and
inflammatory diseases.
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t>
  </si>
  <si>
    <t xml:space="preserve">Opsona Therapeutics Ltd
Wyeth</t>
  </si>
  <si>
    <t xml:space="preserve">OPSONA THERAPEUTICS LTD/WYETH PHARMACEUTICALS-STRATEGIC ALLIANCE</t>
  </si>
  <si>
    <t xml:space="preserve">Opsona Therapeutics Ltd and Wyeth Pharmaceuticals, a unit of Wyeth, formed
a strategic alliance to provide research and development services. The
alliance was expected to discover and develop compounds to treat
inflammatory diseases based on Toll-like receptor (TLR) targets. The
alliance was expected to focus on certain TLR targets to discover new
chemical entities and biologics for treatment of autoimmune and
inflammatory diseases.</t>
  </si>
  <si>
    <t xml:space="preserve">66955R
98292L</t>
  </si>
  <si>
    <t xml:space="preserve">Sanyo Electric Co Ltd
Nokia Oyj</t>
  </si>
  <si>
    <t xml:space="preserve">Mnfr electn prod
Mnfr network infrastructure products</t>
  </si>
  <si>
    <t xml:space="preserve">Sanyo Electric Co Ltd,
headquartered in Osaka, Japan,
is engaged in the manufacture
of electronic products. The
operations are carried out
through the following
divisions: Consumer;
Commercial; Components; and
others. The consumer division
manufactures televisions, DVD
players, air conditioners,
washing machines, digital
cameras, cellular phones and
LCD projectors. The commercial
division manufactures
showcases and commercial air
conditioners. The components
division manufactures
semiconductors, liquid crystal
panels, electronic parts and
batteries. The other
operations involve
distribution, maintenance and
housing services. It was
founded in 1947.
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t>
  </si>
  <si>
    <t xml:space="preserve">3651
3663</t>
  </si>
  <si>
    <t xml:space="preserve">Japan
Finland</t>
  </si>
  <si>
    <t xml:space="preserve">SANYO ELECTRIC CO LTD/NOKIA CORP-JOINT VENTURE</t>
  </si>
  <si>
    <t xml:space="preserve">Sanyo Electric Co Ltd (SE) and Nokia Corp (NC) terminated their joint
venture (JV) agreement. Previously in February 2006, SE and NC planned to
form a JV to develop and manufacture code-division multiple access (CDMA)
advance cellular and mobile phones in Japan. Under terms of the agreement,
SE and NC were to combine their CDMA operations to globally position and to
expand their market share in the mobile industry. The JV was to employ
3,500 people and was to be operated in Osaka. The JV was to be operational
in the third quarter of 2006 with 50 mil units of new phones annually. In
addition, the JV was to target an annual profit of $255.72 mil US (30 bil
Japanese yen/214.549 mil euros) within 2 years. The partners were to have a
greater synergy to save cost and boost their competitive strengths in the
technological industry. The JV's formation was subject to due diligence and
approval by the relevant government authorities. Financial details were not
disclosed.</t>
  </si>
  <si>
    <t xml:space="preserve">The joint venture was to target an operating profit of $255.72 mil US (30
bil Japanese yen/214.549 mil euros).</t>
  </si>
  <si>
    <t xml:space="preserve">803038
654902</t>
  </si>
  <si>
    <t xml:space="preserve">Evotec AG
APEIRON Biologics AG</t>
  </si>
  <si>
    <t xml:space="preserve">Evotec AG, located in
Hamburg, Germany, is a
biotechnology company, with
locations in the UK and in
the US. The Group is
specializing in the
discovery and development of
novel small molecule drugs.
The company was founded in
1993.
APEIRON Biologics AG, located
in Vienna, Austria, is a
biotechnology company. It is
currently pursuing three
projects namely, APN01, Cbl-b
and DREAM. The Company was
founded in 2005.</t>
  </si>
  <si>
    <t xml:space="preserve">Germany
Austria</t>
  </si>
  <si>
    <t xml:space="preserve">EVOTEC AG/APEIRON-STRATEGIC ALLIANCE</t>
  </si>
  <si>
    <t xml:space="preserve">Evotec AG and Apeiron Biologics GmbH formed a strategic alliance to provide
research and development services of small molecules novel therapeutic for
pain relief in Germany. The alliance was expected to jointly develop
tailored biochemical and cellular assays for new drugs.</t>
  </si>
  <si>
    <t xml:space="preserve">D1646D
01115W</t>
  </si>
  <si>
    <t xml:space="preserve">BioWa Inc
Igeneon AG</t>
  </si>
  <si>
    <t xml:space="preserve">Biopharmaceutical co
Biotechnology company</t>
  </si>
  <si>
    <t xml:space="preserve">BioWa Inc, located in
Princeton, New Jersey, is a
biopharmaceutical company. It
is the exclusive worldwide
licensor of Potelligent
Technology, a patented
technology that creates 100%
fucose-free monoclonal
antibodies. The company was
founded in 2003.
Biotechnology company</t>
  </si>
  <si>
    <t xml:space="preserve">United States
Austria</t>
  </si>
  <si>
    <t xml:space="preserve">Kyowa Hakko Kogyo Co Ltd
Aphton Corp</t>
  </si>
  <si>
    <t xml:space="preserve">Japan
United States</t>
  </si>
  <si>
    <t xml:space="preserve">BIOWA INC/IGENEON AG(DNU)-STRATEGIC ALLIANCE</t>
  </si>
  <si>
    <t xml:space="preserve">BioWa Inc (BI), a unit f Kyowa Hakko Kogyo Co Ltd, and Igeneon AG (IA), a
unit of Aphton Corp, formed a strategic alliance wherein BI licensed IA to
utilize its POTELLIGENT technology for the development of IGN312, a
humanized monoclonal Lewis Y-specific antibody.</t>
  </si>
  <si>
    <t xml:space="preserve">09018J
45306C</t>
  </si>
  <si>
    <t xml:space="preserve">CytoDyn Inc
Timeway International Ltd</t>
  </si>
  <si>
    <t xml:space="preserve">CytoDyn Inc, located in
Lutz, Florida, is a
biotechnology company. It
provides research and
development services
focusing on targeted immune
therapies to treat
immunologically mediated
infectious diseases. The
Company is focused on the
clinical development and
commercialization of
humanized monoclonal
antibodies to treat Human
Immunodeficiency Virus (HIV)
infection. Its lead product
candidate, PRO 140, belongs
to a class of HIV therapies
known as entry inhibitors
that block HIV from entering
into and infecting certain
cells. The Company's product
pipeline also includes
Cytolin and CytoFeline.
Cytolin is a mouse
monoclonal antibody
developed to identify a
specific type of immune cell
called a cytotoxic T cell,
or cytotoxic T lymphocyte
(CTL). CytoFeline is an
anti-lymphocyte
function-associated
antigen-1 (LFA-1) antibody
for the treatment of Feline
Immunodeficiency Virus (FIV)
infection. PRO 140 blocks
HIV from entering a cell by
binding to a molecule called
C-C chemokine receptor type
5 (CCR5). The Company has
finished Phase II clinical
trials for PRO 140 with
demonstrated antiviral
activity in man.
Biotechnology company</t>
  </si>
  <si>
    <t xml:space="preserve">United States
China</t>
  </si>
  <si>
    <t xml:space="preserve">WA
FF</t>
  </si>
  <si>
    <t xml:space="preserve">CYTODYN INC/TIMEWAY INTL LTD-STRATEGIC ALLIANCE</t>
  </si>
  <si>
    <t xml:space="preserve">Letter of Intent</t>
  </si>
  <si>
    <t xml:space="preserve">CytoDyn Inc and Timeway International Ltd signed a letter of intent to form
a strategic alliance to provide research and development services in China.
The alliance was to develop targeted immune therapy for HIV/AIDS. The
alliance was shown to significantly reduce viral burden in preliminary
human studies.</t>
  </si>
  <si>
    <t xml:space="preserve">23283M
88727R</t>
  </si>
  <si>
    <t xml:space="preserve">Epitomics Inc
Biocare Medical LLC</t>
  </si>
  <si>
    <t xml:space="preserve">Epitomics Inc, located in
Burlingame, California, is a
biotechnology company. It
develops breakthrough
monoclonal antibody technology
for research and diagnostic
applications through its
RabMab monoclonal antibody
technology.
Biocare Medical LLC, Pacheco,
California, is a manufacturer
of Immunohistochemistry (IHC)
products. The Company was
founded in 1997.</t>
  </si>
  <si>
    <t xml:space="preserve">EPITOMICS INC/BIOCARE MEDICAL LLC-STRATEGIC ALLIANCE</t>
  </si>
  <si>
    <t xml:space="preserve">Epitomics Inc and Biocare Medical LLC formed a strategic alliance to
provide research and development services of  reagent products for the
immunohistochemistry in the United States.</t>
  </si>
  <si>
    <t xml:space="preserve">29211A
09129J</t>
  </si>
  <si>
    <t xml:space="preserve">PCAS SA
Proteus SA</t>
  </si>
  <si>
    <t xml:space="preserve">Manufacture custom chemicals
Biotechnology company</t>
  </si>
  <si>
    <t xml:space="preserve">Produits Chimiques Auxiliaires
et de Synthese SA, located in
Longjumeau, France,
manufactures custom chemicals
for pharmaceuticals intended
for final consumption, biotech
products and antibiotics,
cosmetic and fragrance
chemicals, lubricants,
microelectronics, and imaging
chemicals. The Company was
founded in 1962.
Proteus SA, located in Nimes,
France, is a biotechnology
company. It specializes in
discovery, engineering and
manufacturing of proteins of
industrial interest, and on
the development of
protein-based bioprocesses for
life science industry,
including healthcare, fine and
specialty chemicals,
environment and bioenergy. It
was founded in 1998.</t>
  </si>
  <si>
    <t xml:space="preserve">2899
2836</t>
  </si>
  <si>
    <t xml:space="preserve">France
France</t>
  </si>
  <si>
    <t xml:space="preserve">Dynaction SA
Proteus SA</t>
  </si>
  <si>
    <t xml:space="preserve">P.C.A.S/PROTEUS SA-JOINT VENTURE</t>
  </si>
  <si>
    <t xml:space="preserve">France</t>
  </si>
  <si>
    <t xml:space="preserve">Produits Chimiques Auxiliaires et de Synthese SA and Proteus SA planned to
form a joint venture named PCAS Biosolution (PB) to provide research and
development services in France. PB was to focus on the synthesis of active
pharmaceutical ingredients, intermediates and building blocks. PB was to
use new chemo-biocatalytic manufacturing routes to combine chemistry and
biocatalysis to provide new specificity and enhanced performance in
manufacturing process.</t>
  </si>
  <si>
    <t xml:space="preserve">74310A
74571F</t>
  </si>
  <si>
    <t xml:space="preserve">Millennium Cell Inc
Gecko Energy Technologies Inc</t>
  </si>
  <si>
    <t xml:space="preserve">Mnfr pure hydrogen storage
Mnfr planar fuel-cell</t>
  </si>
  <si>
    <t xml:space="preserve">Manufacture pure hydrogen
storage equipment
Manufacture planar fuel-cell</t>
  </si>
  <si>
    <t xml:space="preserve">3629
3629</t>
  </si>
  <si>
    <t xml:space="preserve">MILLENNIUM CELL INC/GECKO ENERGY TECHNOLOGIES-STRATEGIC ALLIANCE</t>
  </si>
  <si>
    <t xml:space="preserve">Millennium Cell Inc and Gecko Energy Technologies Inc formed a strategic
alliance to develop and manufacture portable fuel-cell systems for
military, medical, industrial and consumer electronics applications in the
United States. The alliance was expected to offer a less expensive and
superior powered battery.</t>
  </si>
  <si>
    <t xml:space="preserve">Research &amp; Development Services
Manufacturing Services</t>
  </si>
  <si>
    <t xml:space="preserve">60038B
36999K</t>
  </si>
  <si>
    <t xml:space="preserve">Diversa Corp
BASF AG</t>
  </si>
  <si>
    <t xml:space="preserve">Pvd research,dvlp svcs
Mnfr chem prod</t>
  </si>
  <si>
    <t xml:space="preserve">Provide research and
development services
particularly in developing
novel enzymes and other
biological active compounds,
such as small molecule drugs
and monoclonal antibodies
BASF SE, located in
Ludwigshafen, Germany,
manufactures chemical,
agricultural, plastics,
performance products and
functional solutions. The
Company's chemical products
include inorganic compounds,
petrochemicals, trioxane and
intermediates. Its plastic
products include foams,
styrenics, polyamide,
polyutheranes and
biodegradable plastics. It
also manufactures acrylics,
monomers, coatings,
detergents, montan waxes,
cosmetic ingredients, crop
protection chemicals and
pharmaceutical solutions.
BASF's products are used in
the automotive, packaging,
housing and construction,
health and nutrition, and
agricultural industries.
Through its Wintershall AG
subsidiary, BASF also
operates in the oil and gas
sector. Some of the
Company's production sites
are located in Germany,
Belgium, USA, Malaysia,
China, Japan, Mexico and
Spain. The Company was
founded in 1865.</t>
  </si>
  <si>
    <t xml:space="preserve">8731
2869</t>
  </si>
  <si>
    <t xml:space="preserve">Koninklijke Begemann Groep NV
BASF AG</t>
  </si>
  <si>
    <t xml:space="preserve">6799
2869</t>
  </si>
  <si>
    <t xml:space="preserve">DIVERSA CORP/BASF AG-STRATEGIC ALLIANCE</t>
  </si>
  <si>
    <t xml:space="preserve">Diversa Corp and BASF AG formed a strategic alliance to provide novel
enzyme research and development services globally. The alliance was
expected to provide a biocatalytic synthesis of a chiral pharmaceutical
intermediate.</t>
  </si>
  <si>
    <t xml:space="preserve">255064
055262</t>
  </si>
  <si>
    <t xml:space="preserve">ImQuest Pharmaceuticals Inc
Samjin Pharmaceutical Co Ltd</t>
  </si>
  <si>
    <t xml:space="preserve">Mnfr pharmaceuticals
Mnfr pharmaceuticals</t>
  </si>
  <si>
    <t xml:space="preserve">Manufacture prescription
pharmaceuticals intended for
final consumption, including
biotech products and
antibiotics; provide
pharmaceutical research
services
Manufacture prescription
pharmaceuticals intended for
final consumption, including
biotech products and
antibiotics</t>
  </si>
  <si>
    <t xml:space="preserve">IMQUEST PHARMACEUTICALS INC/SAMJIN PHARMACEUTICAL-STRATEGIC ALLIANCE</t>
  </si>
  <si>
    <t xml:space="preserve">ImQuest Pharmaceuticals Inc and Samjin Pharmaceutical Co Ltd formed a
strategic alliance to provide research and development services of novel
infectious disease and cancer agents globally.</t>
  </si>
  <si>
    <t xml:space="preserve">45450V
79595C</t>
  </si>
  <si>
    <t xml:space="preserve">Biosite Inc
Five Prime Therapeutics Inc</t>
  </si>
  <si>
    <t xml:space="preserve">Mnfr diagnostic,med equip
Mnfr pharmaceuticals</t>
  </si>
  <si>
    <t xml:space="preserve">Manufacture and wholesale
diagnostic and medical
equipment such as drug test
kit, cardiovascular,
infectious, cerebrovascular
and thromboembolic diseases
kit; provide research and
development services
Five Prime Therapeutics Inc,
located in San Francisco,
California, manufactures
pharmaceuticals. The company
is a clinical-stage
biotechnology company
focused on discovering and
developing protein
therapeutics. The company
was founded in 2001.</t>
  </si>
  <si>
    <t xml:space="preserve">3845
2834</t>
  </si>
  <si>
    <t xml:space="preserve">BIOSITE INC/FIVE PRIME THERAPEUTICS-STRATEGIC ALLIANCE</t>
  </si>
  <si>
    <t xml:space="preserve">Biosite Inc and Five Prime Therapeutics Inc formed a strategic alliance to
provide research and development services in the United States. The
alliance collaborated for the evaluation of disease targets for potential
commercialization of diagnostic and therapeutic products. FB provided BI
access to selected functional disease targets for use in developing
diagnostics. BI provided FP with Omniclonal antibodies for selected targets
to accelerate FP's therapeutic research efforts.</t>
  </si>
  <si>
    <t xml:space="preserve">090945
33830X</t>
  </si>
  <si>
    <t xml:space="preserve">Isis Pharmaceuticals Inc
Rosetta Genomics Ltd</t>
  </si>
  <si>
    <t xml:space="preserve">Biopharm co
Biotech co</t>
  </si>
  <si>
    <t xml:space="preserve">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
Biotechnology company</t>
  </si>
  <si>
    <t xml:space="preserve">United States
Israel</t>
  </si>
  <si>
    <t xml:space="preserve">ISIS PHARMACEUTICALS INC/ROSETTA GENOMICS LTD-STRATEGIC ALLIANCE</t>
  </si>
  <si>
    <t xml:space="preserve">Isis Pharmaceuticals Inc (IP) and Rosetta Genomics Ltd (RG) formed a
strategic alliance to provide research and development services to discover
antisense drugs that regulate microRNAs (miRNA) for the treatment of the
most prevalent type of liver cancer. The alliance was to bring
complementary expertise of IP and RG in miRNA and leverage IP's expertise
in oligonucleotide chemistry and antisense drug discovery and development
and RG's database of novel miRNA genes.</t>
  </si>
  <si>
    <t xml:space="preserve">464330
77821X</t>
  </si>
  <si>
    <t xml:space="preserve">Syngenta AG
Dupont Agricultural Products</t>
  </si>
  <si>
    <t xml:space="preserve">Mnfr,whl agricultural chemicals,products
Mnfr agricultural pesticides</t>
  </si>
  <si>
    <t xml:space="preserve">Syngenta AG, located in
Basel, Switzerland,
manufactures and wholesales
agricultural chemicals. Its
products include
insecticides, herbicides and
seed treatments designed to
improve crop yields and to
control weeds, insects and
diseases in crops. The
Company was founded in 2000.
Dupont Agricultural Products
is a manufacturer of
agricultural chemicals. The
Company is located in
Wilmington, Delaware.</t>
  </si>
  <si>
    <t xml:space="preserve">2879
2879</t>
  </si>
  <si>
    <t xml:space="preserve">FF
DE</t>
  </si>
  <si>
    <t xml:space="preserve">Syngenta AG
DuPont</t>
  </si>
  <si>
    <t xml:space="preserve">2879
2821</t>
  </si>
  <si>
    <t xml:space="preserve">SYNGENTA AG/DUPONT AGRICULTURAL PRODUCTS-STRATEGIC ALLIANCE</t>
  </si>
  <si>
    <t xml:space="preserve">Syngenta AG (SA) and Dupont Agricultural Products (DA), a unit of Ei Du
pont De Nemours &amp; Co, formed a strategic alliance wherein DA licensed SA to
develop new insecticide Rynaxypyr in mixtures with its own leading insect
control products. In addition, DA also acquired worldwide rights to SA's
strobilurin fungicide picoxystrobin. The transaction had been subjected to
regulatory approvals. Financial terms were not disclosed</t>
  </si>
  <si>
    <t xml:space="preserve">87160A
26356F</t>
  </si>
  <si>
    <t xml:space="preserve">Lupin Ltd
Aspen Pharmacare Holdings Ltd</t>
  </si>
  <si>
    <t xml:space="preserve">Mnfr,whl pharmaceutical prod
Pharmaceutical Preparation Manufacturing</t>
  </si>
  <si>
    <t xml:space="preserve">Lupin Ltd, located in
Mumbai, India, manufactures
and wholesales
pharmaceutical products. It
offers products in various
therapeutic areas, such as
the anti-tuberculosis,
cephalosporins,
cardiovascular, anti-asthma,
anti-infectives, pain
management, diabetes,
pediatrics, gynecology, and
non-steroidal
anti-inflammatory drugs, as
well as ace inhibitors,
statins and prils. Its
anti-TB products include
Ethambutol Hydrochloride,
Pyrazinamide, Rifampicin,
and Rifabutene;
cardiovascular products are
Benazeprila Hydrochloride,
Fosinopril Sodium,
Lisinopril, Quinapril
Hydrochloride, Ramipril,
Lovastatin, and Simvastatin;
and cephalosporins products
include Cefaclor,
Cefadroxil, Cefdinir,
Cefixime, Cefotaxime Sodium,
Cefuroxime Axetil,
Ceftazidime Pentahydrate,
Ceftriaxone Sodium, and
Cephalexin Monohydrate. The
company was founded in 1968.
Aspen Pharmacare Holdings
Ltd, located in Durban,
South Africa, manufactures
and supplies branded and
generic pharmaceutical
products, as well as infant
nutritional and consumer
healthcare products. The
Company's segments include
International, South Africa,
Asia Pacific and Sub-Saharan
Africa (SSA). Its
International business
includes operating
subsidiaries in Europe,
Commonwealth of Independent
States (CIS), Latin America,
the Middle East and North
Africa, Canada, as well as
Mauritius-based Aspen Global
Incorporated. The South
African business provides
branded, generic,
over-the-counter, consumer
health and infant
nutritional products, which
are supplied to pharmacies,
retail pharmacy chains,
hospitals, clinics,
prescribing specialists,
dispensing general
practitioners, managed
healthcare funders and
retail stores across the
private and public sectors
in South Africa. Its
business in Asia Pacific
includes operations in
Australasia, the
Philippines, Taiwan and
Japan. The Company was
founded in 1986.</t>
  </si>
  <si>
    <t xml:space="preserve">India
South Africa</t>
  </si>
  <si>
    <t xml:space="preserve">LUPIN LTD/ASPEN PHARMACARE HOLDINGS LTD-JOINT VENTURE</t>
  </si>
  <si>
    <t xml:space="preserve">Lupin Ltd and Aspen Pharmacare Holdings Ltd terminated their plans to form
a joint venture (JV) in 2007. Originally in 2006, the partners planned to
form a joint venture (JV) to develop, manufacture and market anti-TB
products in India. The partners were to each hold a 50% interest in the JV.</t>
  </si>
  <si>
    <t xml:space="preserve">Research &amp; Development Services
Manufacturing Services
Marketing Services</t>
  </si>
  <si>
    <t xml:space="preserve">55043Q
04568Z</t>
  </si>
  <si>
    <t xml:space="preserve">BAHF LLC
EnXnet Inc</t>
  </si>
  <si>
    <t xml:space="preserve">Dvlp software
Dvlp video compression tech</t>
  </si>
  <si>
    <t xml:space="preserve">Develop software
EnXnet Inc, located in Tulsa,
Oklahoma, is a developer of
video compression technology
that offer products like
OneDisc, EnXcase, EnXmedia and
ClearVideo for improved
listening and viewing
experiences in presenting
information.</t>
  </si>
  <si>
    <t xml:space="preserve">7372
3695</t>
  </si>
  <si>
    <t xml:space="preserve">TX
OK</t>
  </si>
  <si>
    <t xml:space="preserve">ENXNET INC/BAHF-JOINT VENTURE</t>
  </si>
  <si>
    <t xml:space="preserve">Medical D-Tect-OR LLC, located
in Tulsa, Oklahoma,
manufactures, develops and
sells medical and surgical
products. Founded in 2006.</t>
  </si>
  <si>
    <t xml:space="preserve">Oklahoma</t>
  </si>
  <si>
    <t xml:space="preserve">EnXnet Inc (EI) and BAHF LLC (BL) formed a joint venture (JV) named Medical
D-Tect-OR LLC to manufacture, develop and wholesale medical and surgical
products in the United States. BL held a 75% interest in the JV while EI
held a 25% stake. EI was responsible for the funding of the JV, which was
expected to offer a wide market scope of new technology in the health
industry.</t>
  </si>
  <si>
    <t xml:space="preserve">Manufacturing Services
Research &amp; Development Services
Retail &amp; Wholesale Services</t>
  </si>
  <si>
    <t xml:space="preserve">75.00
25.00</t>
  </si>
  <si>
    <t xml:space="preserve">58660T</t>
  </si>
  <si>
    <t xml:space="preserve">05902T
29411J</t>
  </si>
  <si>
    <t xml:space="preserve">Genetic Technologies Ltd
MetaMorphix Inc</t>
  </si>
  <si>
    <t xml:space="preserve">Biotechnology company
Pvd research,development svcs</t>
  </si>
  <si>
    <t xml:space="preserve">Genetic Technologies Ltd,
located in Fitzroy,
Australia,is a molecular
diagnostics company. The
Company is engaged in the
provision of molecular risk
assessment for cancer. The
Company offers predictive
testing and assessment tools
for physicians to manage
women's health. The
Company's lead product,
BREVAGenplus, is a
clinically validated risk
assessment test for
non-hereditary breast
cancer. The Company markets
BREVAGenplus to healthcare
professionals in breast
healthcare and imaging
centers, as well as to
obstetricians/gynecologists
(OBGYNs) and breast cancer
risk assessment specialists,
such as breast surgeons. The
Company operates in
Australia, the United States
and Switzerland. The
Company's subsidiaries
include Genetic Technologies
Corporation Pty. Ltd. and
Genetic Technologies
Corporation Pty. Ltd. is
engaged in genetic testing.
The Company has launched the
BREVAGen test across the
United States through
Phenogen Sciences Inc. The
company was founded in 1987.
MetaMorphix Inc, located in
Calverton, Maryland, provides
research and development
services of genetics
addressing all major livestock
sectors including cattle,
swine, poultry and
aquaculture. The company was
founded in 1994.</t>
  </si>
  <si>
    <t xml:space="preserve">2836
8731</t>
  </si>
  <si>
    <t xml:space="preserve">GENETIC TECHNOLOGIES LTD/METAMORPHIX INC-STRATEGIC ALLIANCE</t>
  </si>
  <si>
    <t xml:space="preserve">Genetic Technologies Ltd (GT) and MetaMorphix Inc (MM) formed a strategic
alliance to provide research and development services pursuing the
development of new technologies with applications in human health and
diagnostics and also in animal genetics and genomics. The alliance explored
the joint commercialization of the new opportunities utilizing the combined
power of the unique intellectual property held by GT and MM. The alliance
introduced  new genetics tests for livestock and companion animals
including polling in cattle and the ability to genetically confirm a dog's
breed.</t>
  </si>
  <si>
    <t xml:space="preserve">37185R
57652R</t>
  </si>
  <si>
    <t xml:space="preserve">OrthoLogic Corp
Quintiles Transnational Corp</t>
  </si>
  <si>
    <t xml:space="preserve">Biotech co
Biopharmaceutical company</t>
  </si>
  <si>
    <t xml:space="preserve">OrthoLogic Corp, located in
Tempe, Arizona, is a
biotechnology company
committed to developing a
pipeline of novel therapeutic
peptides and other molecules
aimed at helping patients with
under-served medical
conditions. The company was
founded in 1987.
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t>
  </si>
  <si>
    <t xml:space="preserve">AZ
NC</t>
  </si>
  <si>
    <t xml:space="preserve">ORTHOLOGIC CORP/QUINTILES TRANSNATIONAL CORP-STRATEGIC ALLIANCE</t>
  </si>
  <si>
    <t xml:space="preserve">Arizona</t>
  </si>
  <si>
    <t xml:space="preserve">OrthoLogic Corp and Quintiles Transnational Corp, a unit of Pharma Services
Co, formed a strategic alliance to provide research and development
services for Chrysalin in the United States. QT was expected to provide OC
clinical research services. Also, DT was expected to have the right of
first negotiation to promote Chrysalin upon approved by FDA.</t>
  </si>
  <si>
    <t xml:space="preserve">Research &amp; Development Services
Retail &amp; Wholesale Services</t>
  </si>
  <si>
    <t xml:space="preserve">Quintiles Transnational Corp was expected to invest 5 mil US.</t>
  </si>
  <si>
    <t xml:space="preserve">68750J
748767</t>
  </si>
  <si>
    <t xml:space="preserve">Novavax Inc
PacificGMP LLC</t>
  </si>
  <si>
    <t xml:space="preserve">Biotechnology company
Mnfr biologics</t>
  </si>
  <si>
    <t xml:space="preserve">Novavax Inc, located in
Rockville, Maryland, is a
biotechnology company
focused in the research,
development, marketing and
distribution of potent
vaccines to protect against
H5N1 pandemic influenza,
seasonal flu and other viral
diseases, including HIV,
SARS, influenza and
E-selection tolerogen for
the prevention of stroke.
The company's trademark
products were Nestabs(R),
NovaNatal(R) and
NovaStart(R), a line of
prescription prenatal
vitamins, Gynodiol(R)
(estradiol tablets, USP), an
oral form of estrogen
therapy, AVC(TM) Cream
(sulphanilamide vaginal
cream) for vaginal
infections and Analpram
HC(R), a prescription
corticosteroid and
antipruritic product for
hemorrhoids. The company was
founded in 1987.
PacificGMP LLC, headquartered
in San Diego, California,
manufactures biologics,
including monoclonal
antibodies, recombinant
proteins, vaccines, gene
therapy and cell therapy
products.</t>
  </si>
  <si>
    <t xml:space="preserve">NOVAVAX INC/PACIFICGMP INC-STRATEGIC ALLIANCE</t>
  </si>
  <si>
    <t xml:space="preserve">Novavax Inc (NI) and PacificGMP Inc (PG) formed a strategic alliance to
provide research and development services for the commercial scale
production process for NV's experimental pandemic influenza virus vaccine
and other biological products in the United States. PG was expected to
assist NV in developing the capability of manufacturing large quantities of
vaccine to accommodate the surge capacity that must be met. PG utilized
disposable bioprocessing technology to manufacture and produced NV's VLP
avian flu vaccine.</t>
  </si>
  <si>
    <t xml:space="preserve">670002
69635M</t>
  </si>
  <si>
    <t xml:space="preserve">Luminex Corp
Massachusetts Inst Of Tech</t>
  </si>
  <si>
    <t xml:space="preserve">Mnfr,whl biological tech
Colleges, Universities, and Professional Schools</t>
  </si>
  <si>
    <t xml:space="preserve">Luminex Corp, located in
Austin, Texas, manufactures
and wholesales biological
testing technologies with
applications throughout the
diagnostics, pharmaceutical
and life sciences
industries.Its products
are focused on the molecular
diagnostic testing market,
which includes human
genetics, personalized
medicine and infectious
disease segments. The
Company was founded in May
1995.
Massachusetts Institute Of
Technology is a college
operator. The Company is
located in Cambridge,
Massachusetts.</t>
  </si>
  <si>
    <t xml:space="preserve">3841
8221</t>
  </si>
  <si>
    <t xml:space="preserve">TX
MA</t>
  </si>
  <si>
    <t xml:space="preserve">LUMINEX CORP/MASSACHUSETTS INSTITUTE OF TECHNOLOGY-STRATEGIC ALLIANCE</t>
  </si>
  <si>
    <t xml:space="preserve">Texas</t>
  </si>
  <si>
    <t xml:space="preserve">Luminex Corp (LC) and Massachusetts Institute of Technology (MIT) formed a
strategic alliance wherein MIT licensed LC for non exclusive intellectual
property rights necessary to develop and commercialize microRNA assays and
related products. The rights and potential applications cover both the life
science research and clinical diagnostics markets.</t>
  </si>
  <si>
    <t xml:space="preserve">55027E
57571T</t>
  </si>
  <si>
    <t xml:space="preserve">Artemis Pharmaceuticals GmbH
Bristol-Myers Squibb Co</t>
  </si>
  <si>
    <t xml:space="preserve">Own,op mice breeding lab
Manufactures pharmaceuticals and medical products</t>
  </si>
  <si>
    <t xml:space="preserve">Artemis Pharmaceuticals GmbH,
located in Cologne, is an
owner and operator of
transgenic mouse generation
facilities. The company was
founded in 1998.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</si>
  <si>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0279
2834</t>
  </si>
  <si>
    <t xml:space="preserve">FF
NY</t>
  </si>
  <si>
    <t xml:space="preserve">Exelixis Inc
Bristol-Myers Squibb Co</t>
  </si>
  <si>
    <t xml:space="preserve">ARTEMIS PHARMACEUTICALS GMBH /BMS(DNU)-STRATEGIC ALLIANCE</t>
  </si>
  <si>
    <t xml:space="preserve">Artemis Pharmaceuticals GmbH (AP), a unit of Exelixis Inc, and
Bristol-Myers Squibb Co (BM) formed a strategic alliance to provide
research and development services in the United states. The alliance signed
a target validation collaboration wherein AP generated various
genetically-engineered murin models carrying selected genetic mutations. BM
was expected to use AP's models in its drug discovery research activities.
The alliance' targets were used to identify new compounds and therapies for
the treatment of human diseases.</t>
  </si>
  <si>
    <t xml:space="preserve">04299Z
110122</t>
  </si>
  <si>
    <t xml:space="preserve">Cooper Heart Institute
Coriell Inst for Med Research</t>
  </si>
  <si>
    <t xml:space="preserve">Pvd medical/health svcs
Non profit research inst</t>
  </si>
  <si>
    <t xml:space="preserve">Provide medical/health
services
Non profit basic biomedical
research institution</t>
  </si>
  <si>
    <t xml:space="preserve">8099
8641</t>
  </si>
  <si>
    <t xml:space="preserve">Cooper University Hospital
Coriell Inst for Med Research</t>
  </si>
  <si>
    <t xml:space="preserve">8221
8641</t>
  </si>
  <si>
    <t xml:space="preserve">COOPER HEART INSTITUTE/CORIELL INSTITUTE-STRATEGIC ALLIANCE</t>
  </si>
  <si>
    <t xml:space="preserve">Cooper Heart Institute, a unit of Cooper University Hospital, and Coriell
Institute for Medical Research formed a strategic alliance to provide
research and development services in the United States. The alliance aimed
to study that examines the role of stem cell research in repairing damaged
hearts. The alliance promises to treat and potentially cure heart disease
without the need for complex surgery or heart transplantation. The alliance
was financed by New Jersey Commission Science and Technology.</t>
  </si>
  <si>
    <t xml:space="preserve">The alliance was funded at 300,000 US dollars</t>
  </si>
  <si>
    <t xml:space="preserve">21669J
21783R</t>
  </si>
  <si>
    <t xml:space="preserve">Laureate Pharma Inc
Bradmer Pharmaceuticals Inc</t>
  </si>
  <si>
    <t xml:space="preserve">Mnfr biopharm
Biotech co</t>
  </si>
  <si>
    <t xml:space="preserve">Laureate Pharma Inc is a
manufacturer of
biopharmaceuticals,
headquartered in Princeton,
New Jersey. The company offers
bioprocessing services that
accelerate new products from
development through
production. Laureate provides
a wide range of specialized
services from process design
and development to full-scale
cGMP production, purification,
aseptic filling, testing,
validation, analytical
services, and regulatory
support. Laureate is focused
on two active segments of the
biopharmaceutical industry:
monoclonal antibodies and
recombinant protein products.
Bradmer Pharmaceuticals Inc,
located in Toronto, Ontario,
is a biotechnology company
focused on development and
commercialization of cancer
therapies. The company''s
first product candidate,
Neuradiab, invented by
world-class scientists at
Duke University, represents
a significant advance in the
treatment of certain brain
cancers. The company was
founded in 2005.</t>
  </si>
  <si>
    <t xml:space="preserve">Safeguard Scientifics Inc
Bradmer Pharmaceuticals Inc</t>
  </si>
  <si>
    <t xml:space="preserve">6799
2836</t>
  </si>
  <si>
    <t xml:space="preserve">LAUREATE PHARMA INC/BRADMER PHARMACEUTICALS INC-STRATEGIC ALLIANCE</t>
  </si>
  <si>
    <t xml:space="preserve">Laureate Pharma Inc, a unit of Safeguard Scientifics Inc, and Bradmer
Pharmaceuticals Inc formed a strategic alliance to provide process
development services and cGMP manufacture of monoclonal antibody precursor
of Neuradiab for treatment of brain cancer. Terms were not disclosed</t>
  </si>
  <si>
    <t xml:space="preserve">51901F
10463R</t>
  </si>
  <si>
    <t xml:space="preserve">Novavax Inc
Bharat Biotech Ltd</t>
  </si>
  <si>
    <t xml:space="preserve">Biotechnology company
Biotech Company</t>
  </si>
  <si>
    <t xml:space="preserve">Novavax Inc, located in
Rockville, Maryland, is a
biotechnology company
focused in the research,
development, marketing and
distribution of potent
vaccines to protect against
H5N1 pandemic influenza,
seasonal flu and other viral
diseases, including HIV,
SARS, influenza and
E-selection tolerogen for
the prevention of stroke.
The company's trademark
products were Nestabs(R),
NovaNatal(R) and
NovaStart(R), a line of
prescription prenatal
vitamins, Gynodiol(R)
(estradiol tablets, USP), an
oral form of estrogen
therapy, AVC(TM) Cream
(sulphanilamide vaginal
cream) for vaginal
infections and Analpram
HC(R), a prescription
corticosteroid and
antipruritic product for
hemorrhoids. The company was
founded in 1987.
Bharat Biotech Ltd is a
manufacturer of biological
products. It manufactures
vaccines, biotherapuetics,
and health care products.
The Company was founded in
1996 and is located in
Hyderabad, India.</t>
  </si>
  <si>
    <t xml:space="preserve">United States
India</t>
  </si>
  <si>
    <t xml:space="preserve">NOVAVAX INC/BHARAT BIOTECH INTERNATIONAL LTD-STRATEGIC ALLIANCE</t>
  </si>
  <si>
    <t xml:space="preserve">Novavax Inc and Bharat Biotech International Ltd formed a strategic
alliance to provide research and development services to pursue the rapid
development of pandemic influenza vaccine in India.</t>
  </si>
  <si>
    <t xml:space="preserve">670002
08876N</t>
  </si>
  <si>
    <t xml:space="preserve">Millennium Pharmaceuticals Inc
Johnson &amp; Johnson Pharm</t>
  </si>
  <si>
    <t xml:space="preserve">Biopharma co
Pvd pharm research svcs</t>
  </si>
  <si>
    <t xml:space="preserve">Millennium Pharmaceuticals
Inc, located in Cambridge,
Massachusetts is a
biopharmaceutical company. The
company's principal activity
is to develop and market
proprietary therapeutic
products. The research and
development activities are
focused on the disease areas
of cancer, cardiovascular
disease and inflammatory
disease. Its commercial drugs
include INTEGRILIN, for the
treatment of patients with
acute coronary syndromes and
VELCADE, for treatment of
patients with relapsed and
refractory multiple myeloma, a
form of bone marrow cancer.
The trademarks include
Millenium (r), Millennium
Pharmaceuticals TM, VELCADE
(R), INTEGRILIN (r). The
company has international
operations in the United
Kingdom. The company was
founded in 1993.
Provide pharmaceutical
research services</t>
  </si>
  <si>
    <t xml:space="preserve">MA
NJ</t>
  </si>
  <si>
    <t xml:space="preserve">Millennium Pharmaceuticals Inc
J&amp;J</t>
  </si>
  <si>
    <t xml:space="preserve">MILLENNIUM PHARMA/JOHNSON &amp; JOHNSON PHARMA- STRATEGIC ALLIANCE</t>
  </si>
  <si>
    <t xml:space="preserve">Millenium Pharmaceuticals Inc (MP) and Johnson &amp; Johnson Pharmaceutical
Research &amp; Development LLC (JJ), a unit of Johnson &amp; Johnson Inc's Johnson
&amp; Johnson Research and Development LLC subsidiary, formed a strategic
alliance to provide biotechnology research services in the United States.
MP and JJ collaborated to initiate a randomnized study of VELCADE and
pemetrexed for injection in patients with locally advanced or metastatic
non-small cell lung cancer who have failed prior chemotherapy treatment.
Velcade was being co-developed by MP and JJ.</t>
  </si>
  <si>
    <t xml:space="preserve">599902
47821C</t>
  </si>
  <si>
    <t xml:space="preserve">Faith Crown International Ltd
Kunshan Venture Capital Co Ltd
Shenzhen Tsinghua Leaguer</t>
  </si>
  <si>
    <t xml:space="preserve">Miscellaneous Financial Investment Activities
Investment holding company
Venture cap firm</t>
  </si>
  <si>
    <t xml:space="preserve">Faith Crown International
Ltd is a provider of
financial investment
services. The Company was
founded in September 2005
and is located in Hong Kong.
Investment holding company
Shenzhen Tsinghua Leaguer
Venture Capital Co Ltd,
located in China, is a
venture capital firm. The
company was founded in 1999.</t>
  </si>
  <si>
    <t xml:space="preserve">6799
6799
6799</t>
  </si>
  <si>
    <t xml:space="preserve">Hong Kong
China
China</t>
  </si>
  <si>
    <t xml:space="preserve">Faith Crown International Ltd
Kunshan Venture Capital Co Ltd
Tsinghua University</t>
  </si>
  <si>
    <t xml:space="preserve">6799
6799
8221</t>
  </si>
  <si>
    <t xml:space="preserve">FAITH CROWN INTL LTD/KUNSHAN VENTURE CAPITAL/SHENZHEN TSINGHUA
LEAGUER-KUNSHAN VISIONOX DISPLAY CO LTD JOINT VENTURE</t>
  </si>
  <si>
    <t xml:space="preserve">Kunshan Visionox Display
Technology Co Ltd is a
manufacturer and wholesaler
of electronic components.
The Company was founded in
March 2006 and is located in
Kunshan, China.</t>
  </si>
  <si>
    <t xml:space="preserve">Faith Crown International Ltd (FC), a unit of Antrix Investments Ltd's
Yeebo (International Holdings) Ltd subsidiary, Kunshan Venture Capital &amp;
Investment Co Ltd (KV) and Shenzhen Tsinghua Leaguer Venture Capital Co Ltd
(ST) planned to form a 30-year joint venture named Kunshan Visionox Display
Co Ltd (KD) to manufacture, develop and wholesale electronic components,
devices and equipment relating to display devices including Organic Light
Emitted Display in China. Under terms of the agreement, FC was to hold a
47.5% interest in KD while KV was to hold a 30% stake. The remaining 22.5%
stake was to be held by ST. KV agreed to grant FC the option to acquire its
shareholding in KD within a time period of 3 years. In addition, KD was to
have an investment of $93.279 mil US (750 mil Chinese yuan/723.884 mil Hong
Kong dollars). KD was subject to shareholders' and other relevant
government approvals.</t>
  </si>
  <si>
    <t xml:space="preserve">47.50
30.00
22.50</t>
  </si>
  <si>
    <t xml:space="preserve">Kunshan Visionox Display Co Ltd was to have an investment of $93.279 mil US
(750 mil Chinese yuan/723.884 mil Hong Kong dollars).</t>
  </si>
  <si>
    <t xml:space="preserve">50624W</t>
  </si>
  <si>
    <t xml:space="preserve">30593R
50479C
82301R</t>
  </si>
  <si>
    <t xml:space="preserve">Vaillant GmbH
Webasto AG</t>
  </si>
  <si>
    <t xml:space="preserve">Manufacture heating equipment
Mnfr,whl auto parts</t>
  </si>
  <si>
    <t xml:space="preserve">Vaillant GmbH, located in
Remscheid, Germany,
manufactures and wholesales
heating and air conditioning
equipment. The company was
founded in 1874.
Webasto AG, located in
Stockdorf, Germany,
manufactures and wholesales
automobile parts. It
specializes in automotive
components for roofing and
thermal systems. The company
was founded in 1901.</t>
  </si>
  <si>
    <t xml:space="preserve">3433
3714</t>
  </si>
  <si>
    <t xml:space="preserve">VAILLANT GMBH(WAS 47778D)/WEBASTO AG-STRATEGIC ALLIANCE</t>
  </si>
  <si>
    <t xml:space="preserve">Vaillant GmbH (VG) and Webasto AG (WA) formed a strategic alliance to
provide fuel cells development services in Germany. VG and WA collaborated
on the development of fuel cell-powered heating systems  for use in both
cars and stationary applications.</t>
  </si>
  <si>
    <t xml:space="preserve">91878K
94733T</t>
  </si>
  <si>
    <t xml:space="preserve">Umicore NV
Solvay SA</t>
  </si>
  <si>
    <t xml:space="preserve">Gasoline Engine and Engine Parts Manufacturing
Plastics Material and Resin Manufacturing &amp; Wholesale</t>
  </si>
  <si>
    <t xml:space="preserve">Umicore NV is a materials
technology company. It
provides recycable
components for the
automotive, energy,
chemicals, electronics,
construction, optical and
metals industries. It
focuses on technologies
related to environmetally
responsible solutions, such
as emission control
catalysts, materials for
rechargeable batteries and
recycling. The Company was
founded in 1837 and is
located in Brussels,
Belgium.
Solvay SA is a manufacturer
of plastics materials. It
manufactures and wholesales
chemicals. It operates in
the advanced formulations
field, providing consumer
oriented products via its
Novecare, Technology
Solutions and Aroma
Performance subsidiaries. It
also manufactures and
develops advanced materials,
including specialty polymers
via its Composite Materials,
Silica and Special Chem
units. Its performance
chemicals units include Soda
Ash &amp; Derivates, Peroxides
and Coatis, owning Eureco,
Interox, and other brands.
The Company is also involved
in the functional polymers
industry, supplying
performance chemicals,
fibers, including textile
and industrial yarns and
staple fibers as well as
chlorovinyls. The Company
was founded in 1863 and is
located in Brussels,
Belgium.</t>
  </si>
  <si>
    <t xml:space="preserve">3714
2821</t>
  </si>
  <si>
    <t xml:space="preserve">Belgium
Belgium</t>
  </si>
  <si>
    <t xml:space="preserve">NV UMICORE SA/SOLVAY SA-SOLVICORE JOINT VENTURE</t>
  </si>
  <si>
    <t xml:space="preserve">SolviCore GmbH &amp; Co KG,
located in Hanau, Germany,
manufactures, develops and
sells membrane electrode
assemblies (MEA) and related
compounds, to be used in fuel
cells (FC) applications.
Founded in 2006.</t>
  </si>
  <si>
    <t xml:space="preserve">NV Umicore SA (NU) and Solvay SA (SS) formed a joint venture named
SolviCore GmbH &amp; Co KG (SC) to manufacture, develop and wholesaleMembrane
Electrode Assemblies (MEA) in Hanau, Germany. Under terms of the agreement,
NU and SS each held a 50% interest in SC. SC became fully operational on
July 1, 2006 and was to employ 34 people in the first stage of its
development. SC assembled electrocatalysts with polymer membranes to
develop and manufacture MEA, the reactor where hydrogen reacts with oxygen
to generate electricity, which are used in fuel cell applications. SC had
been subjected to European Commission approval.</t>
  </si>
  <si>
    <t xml:space="preserve">83259A</t>
  </si>
  <si>
    <t xml:space="preserve">90305N
834437</t>
  </si>
  <si>
    <t xml:space="preserve">ACE BioSciences A/S
Nordic Vaccine A/S</t>
  </si>
  <si>
    <t xml:space="preserve">Mnfr,dvlp vaccines,antibodies
Manufacture,develop vaccines</t>
  </si>
  <si>
    <t xml:space="preserve">ACE BioSciences, located in
Odense, Denmark, is a
manufacturer and developer
protein-based vaccines and
antibodies that target
infectious diseases caused by
pathogens such as bacteria,
fungi and viruses. The company
was founded in 2000.
Nordic Vaccine A/S, located in
Copenhagen, Denmark,
manufactures and develops
vaccines for prophylactic and
therapeutic use. The company
was founded in 2001.</t>
  </si>
  <si>
    <t xml:space="preserve">Denmark
Denmark</t>
  </si>
  <si>
    <t xml:space="preserve">ACE BIOSCIENCES AS/NORDIC VACCINE A/S-STRATEGIC ALLIANCE</t>
  </si>
  <si>
    <t xml:space="preserve">Denmark</t>
  </si>
  <si>
    <t xml:space="preserve">Ace Biosciences AS (AB) and Nordic Vaccine A/S (NV) formed a strategic
alliance to provide vaccine development services in Denmark. Under terms of
the agreement, AB applied NV's non-alum adjuvants to its developmental
vaccines, with initial focus on Campylobacter which is the bacteria
responsible for travellers' diarrhea. The alliance also collaborated on
developing vaccines that can be delivered through parenteral, patch or oral
formulations.</t>
  </si>
  <si>
    <t xml:space="preserve">00526F
65311T</t>
  </si>
  <si>
    <t xml:space="preserve">Altair Nanotechnologies Inc
Boshart Engineering Inc</t>
  </si>
  <si>
    <t xml:space="preserve">Mnfr nano-crystalline material
Pvd vehicle testing svcs</t>
  </si>
  <si>
    <t xml:space="preserve">Altair Nanotechnologies Inc,
located in Reno, Nevada,
manufactures nano-crystalline
materials used in advanced
batteries, fuel cells, thermal
spray coatings, specialty
paints, catalysts, plastics,
cosmetics, solar cells and
self-cleaning and sanitizing
materials. The company was
incorporated in 1973.
Provide vehicle testing and
engineering services</t>
  </si>
  <si>
    <t xml:space="preserve">2819
7549</t>
  </si>
  <si>
    <t xml:space="preserve">ALTAIR NANOTECHNOLOGIES INC/BOSHART ENGINEENERING-STRATEGIC ALLIANCE</t>
  </si>
  <si>
    <t xml:space="preserve">Altair Nanotechnologies Inc (AN) and Boshart Engineering Inc (BE) formed a
2-year strategic alliance to provide electric vehicle (EV) development and
engineering services in the United States. Under terms of the agreement, AN
and BE jointly developed a prototype EV that showcased AN's rechargeable
lithium ion battery system and BE's vehicle integration and electric
vehicle conversions.</t>
  </si>
  <si>
    <t xml:space="preserve">Research &amp; Development Services
Engineering Services</t>
  </si>
  <si>
    <t xml:space="preserve">021373
10117R</t>
  </si>
  <si>
    <t xml:space="preserve">Berlex Inc
Chemdiv Inc</t>
  </si>
  <si>
    <t xml:space="preserve">Mnfr,dvlp,market pharm
Pvd research,dvlp svcs</t>
  </si>
  <si>
    <t xml:space="preserve">Manufacture, develop and
market pharmaceuticals
Chemdiv Inc, located in San
Diego, California, provides
synthetic and medicinal
chemistry research services
specializing in small-molecule
chemistry, screening
libraries, global logistics
and lead discovery. The
company has research
facilities in San Diego, USA,
and Moscow, Russia. The
company was founded in 1990.</t>
  </si>
  <si>
    <t xml:space="preserve">Schering AG
Chemdiv Inc</t>
  </si>
  <si>
    <t xml:space="preserve">BERLEX LABORATORIES INC/CHEMDIV INC-STRATEGIC ALLIANCE</t>
  </si>
  <si>
    <t xml:space="preserve">Berlex Inc, a unit of Schering AG, and Chemdiv Inc (CI) formed a strategic
alliance to provide biopharmaceutical research services in the United
States. The alliance collaborated to discover compounds against selected
G-protein coupled receptor targets. CI applied its integrated synthetic and
medicinal chemistry capabilities. Financial terms were not disclosed.</t>
  </si>
  <si>
    <t xml:space="preserve">08475M
16359E</t>
  </si>
  <si>
    <t xml:space="preserve">Integral Press SA
Novartis AG</t>
  </si>
  <si>
    <t xml:space="preserve">Publishing company
Pharmaceutical Preparation Manufacturing</t>
  </si>
  <si>
    <t xml:space="preserve">Publishing company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</si>
  <si>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2731
2834</t>
  </si>
  <si>
    <t xml:space="preserve">Spain
Switzerland</t>
  </si>
  <si>
    <t xml:space="preserve">INFINITY PHARMACEUTICALS INC/NOVARTIS AG-STRATEGIC ALLIANCE</t>
  </si>
  <si>
    <t xml:space="preserve">Infinity Pharmaceuticals Inc (IP) and Novartis AG (NA) formed a strategic
alliance to provide research and development services. The alliance aimed
to discover and develop drugs which target the Bcl-2 protein family That is
known to be involved in the survival of cancerous cells. The alliance
combined IP's small-molecule chemistries and cancer cell survival expertise
and NA's leadership in drug discovery.</t>
  </si>
  <si>
    <t xml:space="preserve">46218L
66987V</t>
  </si>
  <si>
    <t xml:space="preserve">Novo Nordisk A/S
Argos Therapeutics Inc</t>
  </si>
  <si>
    <t xml:space="preserve">Healthcare company
Mnfr,dvlp cancer vaccines</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</si>
  <si>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Argos Therapeutics Inc,
located in Durham, North
Carolina, manufactures and
develops vaccines against
carcinoma, melanoma, leukemia
and HIV. Products include the
treatment of metastatic renal
cell carcinoma AGS-003, the
treatment of HIV AGS-004 and
two developing products for
the treatment of lupus and
autoimmune and inflammatory
diseases AGS-009 and AGS-010.
The company owns 6 U.S.
patents, 15 U.S. patent
applications and over 100
foreign equivalents of patents
and patent applications. The
company was incorporated on
1997.</t>
  </si>
  <si>
    <t xml:space="preserve">2833
2834</t>
  </si>
  <si>
    <t xml:space="preserve">Denmark
United States</t>
  </si>
  <si>
    <t xml:space="preserve">FF
NC</t>
  </si>
  <si>
    <t xml:space="preserve">Novo Nordisk Foundation
Argos Therapeutics Inc</t>
  </si>
  <si>
    <t xml:space="preserve">6732
2834</t>
  </si>
  <si>
    <t xml:space="preserve">NOVO NORDISK A/S/ARGOS THERAPEUTICS-STRATEGIC ALLIANCE</t>
  </si>
  <si>
    <t xml:space="preserve">Novo Nordisk AS (NN) and Argos Therapeutics Inc (AT) formed a strategic
alliance wherein AT licensed NN to utilize its antibody technology to
develop a treatment for systemic immune disorders, including systemic lupus
erythematosus. Under terms of the agreement, AT received up to $69 mil US
(134.952 mil Deutsche marks) comprised of up front and milestone payments,
in addition to royalties on potential future sales of products.</t>
  </si>
  <si>
    <t xml:space="preserve">Argos Therapeutics Inc received up to $69 mil US (134.952 mil Deutsche
marks) comprised of up front and milestone payments.</t>
  </si>
  <si>
    <t xml:space="preserve">670100
040221</t>
  </si>
  <si>
    <t xml:space="preserve">Edison Pharmaceuticals Inc
University of Bologna
Columbia Univ Med Center</t>
  </si>
  <si>
    <t xml:space="preserve">Biotechnology company
Own,op college,university
Own,op college,university</t>
  </si>
  <si>
    <t xml:space="preserve">Biotechnology company that
provides development of drugs
to treat energy impairment
diseases also referred to as
mitochondrial disease
Own and operate college and
university
Own and operate college and
university; provide
international leadership in
pre-clinical and clinical
research services</t>
  </si>
  <si>
    <t xml:space="preserve">2836
8221
8221</t>
  </si>
  <si>
    <t xml:space="preserve">United States
Italy
United States</t>
  </si>
  <si>
    <t xml:space="preserve">CA
FF
NY</t>
  </si>
  <si>
    <t xml:space="preserve">Edison Pharmaceuticals Inc
University of Bologna
Columbia University</t>
  </si>
  <si>
    <t xml:space="preserve">EDISON PHARMA/UNIVERSITY OF BOLOGNA/COLUMBIA UNIVERSITY-STRATEGIC ALLIANCE</t>
  </si>
  <si>
    <t xml:space="preserve">Edison Pharmaceuticals Inc (EP), University of Bologna (UB) and Columbia
University Medical Center (CU), a unit of Columbia University, formed a
strategic alliance to provide research and development services. The
alliance combined UB and CU's preclinical biology skills and clinical
expertise with EP's translational and drug drug development competencies.
The alliance aimed to forward new therapeutic candidates to treat inherited
mitochondrial diseases.</t>
  </si>
  <si>
    <t xml:space="preserve">
</t>
  </si>
  <si>
    <t xml:space="preserve">28091R
91410R
19865M</t>
  </si>
  <si>
    <t xml:space="preserve">MorphoSys AG
Daiichi Sankyo Co Ltd</t>
  </si>
  <si>
    <t xml:space="preserve">Mnfr biopharmaceutical prod
Mnfr,whl pharm,agrochemicals</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</si>
  <si>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Daiichi Sankyo Co Ltd,
headquartered in Tokyo,
Japan, is engaged in the
manufacturing and sale of
pharmaceuticals. The company
has two business segments.
The Pharmaceuticals segment
is involved in the research,
development, manufacturing
and sale of pharmaceuticals,
as well as the provision of
intermediates and basic
materials for pharmaceutical
making. The Others segment
is involved in the real
estate leasing, the
insurance agency business,
human resources and
management services. As of
March 31, 2010, the company
had 100 subsidiaries and
four associated companies.
The company was founded in
2005. 2005.</t>
  </si>
  <si>
    <t xml:space="preserve">Germany
Japan</t>
  </si>
  <si>
    <t xml:space="preserve">MORPHOSYS AG/DAIICHI SANKYO CO LTD-STRATEGIC ALLIANCE</t>
  </si>
  <si>
    <t xml:space="preserve">MorphoSys AG (MA) and Daiichi Sankyo Co Ltd (DS) extended their strategic
alliance into 3 more years. Earlier in March 2006, MA and DS formed a
2-year strategic alliance wherein MA licensed DS to utilize MA's HuCAL GOLD
library to develop antibodies. DS was expected to be responsible for
preclinical and clinical development and marketing of products identified.
MA was expected to receive upfront payment, licensing and milestone
payments and royalties from sales of products resulting from the alliance.
Under terms of the new agreement, DS will continue to have access to MA's
antibody library HuCAL GOLD  and includes an option for DS to develop and
commercialize up to 6 HuCAL-derived therapeutic antibodies, in which case,
MA would receive exclusive license fees.</t>
  </si>
  <si>
    <t xml:space="preserve">617760
J11257</t>
  </si>
  <si>
    <t xml:space="preserve">Aastrom Biosciences Inc
Orthovita Inc</t>
  </si>
  <si>
    <t xml:space="preserve">Biotechnology company
Mnfr orthopedic biomaterials</t>
  </si>
  <si>
    <t xml:space="preserve">Aastrom Biosciences Inc, based
in Ann Arbor, Michigan, is a
biotechnology company
dedicated to the development
of treatments for critical
cardiovascular diseases and to
repair and regenerate damaged
tissues and organs to restore
to normal structure and
function. The company's
product includes Carticel,
Epicel, MACI, and Ixmyyelocel-
T. The company was founded on
1989.
Orthovita Inc, located in
Malvern, Pennsylvania,
manufactures orthopedic
biomaterials products for use
in surgical procedures in
spine and osteoporotic
fractures. It offers
spine/orthopedic surgical
materials for advanced bone
regeneration and soft tissue
healing technologies. The
Company has 4 key commercial
product platforms: Vitoss Bone
Graft substitute, Vitagel
surgical hemostat, Cortoss
Synthetic cortical bone, and
Imbibe delivery and disposable
systems.</t>
  </si>
  <si>
    <t xml:space="preserve">2836
3842</t>
  </si>
  <si>
    <t xml:space="preserve">MI
PA</t>
  </si>
  <si>
    <t xml:space="preserve">AASTROM BIOSCIENCES INC/ORTHOVITA INC-STRATEGIC ALLIANCE</t>
  </si>
  <si>
    <t xml:space="preserve">Michigan</t>
  </si>
  <si>
    <t xml:space="preserve">Aastrom Biosciences Inc (AB) and Orthovita Inc (OI) formed a strategic
alliance to provide research and development services for the orthopedics
market in the United States. The alliance was expected to utilize OI's
synthetic ceramic matrices and ceramic-collagen matrices and AB's
proprietary bone marrow derived cells.</t>
  </si>
  <si>
    <t xml:space="preserve">00253U
68750U</t>
  </si>
  <si>
    <t xml:space="preserve">Merck &amp; Co Inc
Neuromed Pharmaceutical Inc</t>
  </si>
  <si>
    <t xml:space="preserve">Mnfr,whl pharmaceutical prod
Mnfr pharm</t>
  </si>
  <si>
    <t xml:space="preserve">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
Neuromed Pharmaceutical Inc,
located in Vancouver, British
Columbia, with offices in
Philadelphia and Barbados,
manufactures pharmaceuticals
to treat chronic and
neuropathic pain. It was
founded in 1998.</t>
  </si>
  <si>
    <t xml:space="preserve">MERCK &amp; CO INC/NEUROMED PHARMACEUTICALS LTD-STRATEGIC ALLIANCE</t>
  </si>
  <si>
    <t xml:space="preserve">Neuromed Pharmaceuticals Inc (NP) and Merck &amp; Co Inc (MC) terminated their
strategic alliance. Earlier in March 2006, NP and MC formed a strategic
alliance wherein NP licensed MC to  research, develop and commercialize
NP's NMED-160 and other compounds that selectively target N-type calcium
channel blockers for treatment of pain and other disorders worldwide. Under
terms of the agreement, MC was expected to pay $202 mil (234 mil Canadian
dollars) as milestone payment for a successful development and launch of
NMED-160. Further financial terms were not disclosed.</t>
  </si>
  <si>
    <t xml:space="preserve">Merck &amp; Co Inc was expected to pay $202 mil (234 mil Canadian dollars) as
milestone payment for a successful development and launch of NMED-160.</t>
  </si>
  <si>
    <t xml:space="preserve">589331
64210N</t>
  </si>
  <si>
    <t xml:space="preserve">Exelixis Inc
Daiichi Sankyo Co Ltd</t>
  </si>
  <si>
    <t xml:space="preserve">Biotechnology company
Mnfr,whl pharm,agrochemicals</t>
  </si>
  <si>
    <t xml:space="preserve">Exelixis Inc, located in South
San Francisco, California, is
a biotechnology company
focused on the discovery and
development of novel small
molecule therapeutics for
cancer and other serious
diseases. The company was
founded in 1994.
Daiichi Sankyo Co Ltd,
headquartered in Tokyo,
Japan, is engaged in the
manufacturing and sale of
pharmaceuticals. The company
has two business segments.
The Pharmaceuticals segment
is involved in the research,
development, manufacturing
and sale of pharmaceuticals,
as well as the provision of
intermediates and basic
materials for pharmaceutical
making. The Others segment
is involved in the real
estate leasing, the
insurance agency business,
human resources and
management services. As of
March 31, 2010, the company
had 100 subsidiaries and
four associated companies.
The company was founded in
2005. 2005.</t>
  </si>
  <si>
    <t xml:space="preserve">EXELIXIS INC/SANKYO CO LTD (NOW 23186L)-STRATEGIC ALLIANCE</t>
  </si>
  <si>
    <t xml:space="preserve">Exelixis Inc (EI) and Daichi Sankyo Co Ltd formed a strategic alliance to
provide research and development services in the United States. The
alliance discovered and marketed novel therapies targeted against the
mineralocorticoid receptor, a nuclear hormone receptor implicated in a
variety of cardiovascular and metabolic diseases. EI received $20 mil
upfront payment upon signing of the agreement.</t>
  </si>
  <si>
    <t xml:space="preserve">Exelixis Inc received $20 mil US dollars as upfront payment once the
agreement is signed</t>
  </si>
  <si>
    <t xml:space="preserve">30161Q
23186L</t>
  </si>
  <si>
    <t xml:space="preserve">Pheromone Sciences Corp
Sertoli Technologies Inc</t>
  </si>
  <si>
    <t xml:space="preserve">Biotechnology company that
focuses on commercializing
technologies in the field of
human reproduction and
sexuality
Biotechnology company with
platform technology for
creating a local
immunoprivileged site enabling
the therapeutic
transplantation of cells and
cell-based gene therapy</t>
  </si>
  <si>
    <t xml:space="preserve">FF
AZ</t>
  </si>
  <si>
    <t xml:space="preserve">Sentry Select Global Index
Sertoli Technologies Inc</t>
  </si>
  <si>
    <t xml:space="preserve">PHEROMONE SCIENCES CORP/SERTOLI TECHNOLOGIES INC-STRATEGIC ALLIANCE</t>
  </si>
  <si>
    <t xml:space="preserve">Pheromone Sciences Corp (PS) and Sertoli Technologies Inc (ST) formed a
strategic alliance wherein ST licensed PS its patents and patent
applications for the therapeutic use of ST'si cell technology. In exchange,
PS issued to ST 6,527,500 common shares upon completion of the first
project financing of not less than $1 million and nine months after closing
pay Sertoli a licensing fee of $1,142,312 in cash or shares.</t>
  </si>
  <si>
    <t xml:space="preserve">71742P
81856A</t>
  </si>
  <si>
    <t xml:space="preserve">Schering-Plough Corp
PTC Therapeutics Inc</t>
  </si>
  <si>
    <t xml:space="preserve">Mnfr,whl pharm
Biopharmaceutical co</t>
  </si>
  <si>
    <t xml:space="preserve">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
PTC Therapeutics Inc,
headquartered in South
Plainfield, New Jersey, is a
biopharmaceutical company
focused on the discovery,
development and
commercialization of orally
administered, proprietary
small-molecule drugs that
target post-transcriptional
control processes. The
company's clinical and
preclinical products, which
include the PTC124 and
PTC299, address multiple
indications, including
genetic disorders, oncology,
and infectious diseases. The
company was founded in 1998.</t>
  </si>
  <si>
    <t xml:space="preserve">SCHERING-PLOUGH CORP/PTC THERAPEUTICS INC-STRATEGIC ALLIANCE</t>
  </si>
  <si>
    <t xml:space="preserve">Schering-Plough Corp (SP) and PTC Therapeutics Inc (PT) formed a strategic
alliance wherein PT licensed SP to develop its preclinical compounds for
the oral treatment of hepatitis C virus infection and other viral diseases
in the United States. Under terms of the agreement, SP and PT conducted a
research program wherein SP was expected to be responsible for the
development and commercialization efforts. SP was also expected to make an
upfront payment  of $12 mil US dollars.</t>
  </si>
  <si>
    <t xml:space="preserve">Schering-Plough Corp was expected to make an upfront payment of $12 mil US
dollars.</t>
  </si>
  <si>
    <t xml:space="preserve">806605
69366J</t>
  </si>
  <si>
    <t xml:space="preserve">Nicox SA
Merck &amp; Co Inc</t>
  </si>
  <si>
    <t xml:space="preserve">Manufacture biopharmaceutical products
Mnfr,whl pharmaceutical prod</t>
  </si>
  <si>
    <t xml:space="preserve">Nicox SA, located in
Valbonne, France,
manufactures
biopharmaceutical products.
The Company is engaged in
the research, development
and future commercialization
of eye care products for the
treatment of ophthalmic
diseases. It specializes in
the nitric oxide-donating
technology. The Company was
founded in February 1996.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</si>
  <si>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France
United States</t>
  </si>
  <si>
    <t xml:space="preserve">FF
NJ</t>
  </si>
  <si>
    <t xml:space="preserve">NICOX SA/MERCK &amp; CO INC-STRATEGIC ALLIANCE</t>
  </si>
  <si>
    <t xml:space="preserve">NicOx SA (NS) and Merck &amp; Co Inc (MC) formed a strategic alliance wherein
NS licensed MC to provide research and development services. The alliance
was expected to develop antihypertensive agents using NS' proprietary
nitric oxide-donating technology. NS was expected to receive $11.13 mil US
(9.2 mil EUROS/ 73.02 French francs) as upfront payment.</t>
  </si>
  <si>
    <t xml:space="preserve">NicOx SA was expected to receive $11.13 mil US (9.2 mil EUROS/ 73.02 French
francs) as upfront payment.</t>
  </si>
  <si>
    <t xml:space="preserve">65406K
589331</t>
  </si>
  <si>
    <t xml:space="preserve">Natl Cmnty Pharmacists Assn
United BioSource Corp</t>
  </si>
  <si>
    <t xml:space="preserve">Pharmacists assn
Biopharmaceutical company</t>
  </si>
  <si>
    <t xml:space="preserve">National Community
Pharmacists Association,
located in Alexandria,
Virginia, is a professional
organization. The
Organization was founded in
1898.
United BioSource Corp,
located in Bethesda,
Maryland, is a
biopharmaceutical company
that develops and
commercializes medical
devices and other health
care products. The company
was founded in 2003.</t>
  </si>
  <si>
    <t xml:space="preserve">8621
2836</t>
  </si>
  <si>
    <t xml:space="preserve">VA
MD</t>
  </si>
  <si>
    <t xml:space="preserve">UNITED BIOSOURCE CORP/NATIONAL COMMUNITY PHARMA-STRATEGIC ALLIANCE</t>
  </si>
  <si>
    <t xml:space="preserve">Maryland</t>
  </si>
  <si>
    <t xml:space="preserve">United Biosource Corp (UB) and National Community Pharmacists Association
(NP) formed a strategic alliance to provide research and development
services in the United States. The alliance was to create new opportunities
to implement patient-based product such as patient reported ourcomes
research and surveys, clinical trials and registries, medication therapy
management, disease management and patient education, and pharmacy branded
direct to consumer communications to meet growing demand by the
pharmaceutical, biotechnology and medical device industries.</t>
  </si>
  <si>
    <t xml:space="preserve">63547J
90958H</t>
  </si>
  <si>
    <t xml:space="preserve">Kobayashi Pharm Co Ltd
Toyo Shinyaku Co Ltd</t>
  </si>
  <si>
    <t xml:space="preserve">Mnfr,whl pharmaceuticals
Produce health foods</t>
  </si>
  <si>
    <t xml:space="preserve">Kobayashi Pharmaceutical Co
Ltd, based in Osaka, Japan is
engaged in manufacture and
wholesale of drug. The
Household Products
Manufacturing and Sales
segment offers medical
products, oral hygiene
products, deodorants, sundry
goods and food products. The
Mail Order segment involves in
the mail order of foods and
skincare. The Medical-related
segment involves in the
manufacture, trading of
medical equipment, and the
asset management business. The
Others segment involves in the
transportation business, the
manufacture and sale of
synthetic resin containers,
real estate management,
insurance agency business,
planning and production of
advertisement, promotional
goods production, marketing
promotion and market surveys,
and the retailing, cleaning
and information processing
business. The company was
founded in 1919.
Produce health foods including
Flavangenol, Green Juice
Foods, Diet Foods, Food for
specified health users and
manufacture cosmetic products</t>
  </si>
  <si>
    <t xml:space="preserve">2833
2037</t>
  </si>
  <si>
    <t xml:space="preserve">KOBAYASHI PHARMACEUTICAL CO LTD/TOYO SHINYAKU CO LTD-KOBAYASHI KENKO IYAKU
CO JOINT VENTURE</t>
  </si>
  <si>
    <t xml:space="preserve">Kobayashi Kenko Iyaku Co Ltd,
located in Japan, produce and
develop health foods products.
The company was founded in May
2006.</t>
  </si>
  <si>
    <t xml:space="preserve">Kobayashi Pharmaceutical Co Ltd (KP) and Toyo Shinyaku Co Ltd (TS) formed a
joint venture named Kobayashi Kenko Iyaku Co Ltd (KK) to produce and
develop health foods products in Japan. KP held a 51% interest in KK and
the remaining 49% stake was held by TS. KK was based in Chuo ward of Osaka
and was operational in May 2006. KK's formation was a strategic advantage
for the partners to further strengthen their product and market coverage in
the region.</t>
  </si>
  <si>
    <t xml:space="preserve">51.00
49.00</t>
  </si>
  <si>
    <t xml:space="preserve">49795M</t>
  </si>
  <si>
    <t xml:space="preserve">J3430E
89283M</t>
  </si>
  <si>
    <t xml:space="preserve">Genta Inc
Emisphere Technologies Inc</t>
  </si>
  <si>
    <t xml:space="preserve">Mnfr pharmaceuticals
Mnfr diagnostic pharm</t>
  </si>
  <si>
    <t xml:space="preserve">Genta Inc, located in Berkeley
Heights, New Jersey,
manufactures prescription
pharmaceuticals intended for
final consumption, including
biotech products and
antibiotics. The Group's
research platform is:
DNA/RNA-based Medicines and
Small Molecules. Genasense
(oblimersen sodium) Injection
is the Company's lead compound
from its DNA/RNA Medicines
program. The main drug in
Genta's Small Molecule program
is Ganite (gallium nitrate
injection), which the Company
is exclusively marketing in
the U.S. for treatment of
symptomatic patients with
cancer-related hypocalcaemia
that is resistant to
hydration. It has developed
G4544, an oral formulation of
the active ingredient in
Ganite that has recently
entered clinical trials as a
potential treatment for
diseases associated with
accelerated bone loss. The
company was founded in 1988.
Emisphere Technologies Inc,
located in Tarrytown, New
York, manufactures diagnostic
pharmaceuticals including oral
forms of injectible drugs.</t>
  </si>
  <si>
    <t xml:space="preserve">2836
2835</t>
  </si>
  <si>
    <t xml:space="preserve">NJ
NY</t>
  </si>
  <si>
    <t xml:space="preserve">GENTA INC/EMISPHERE TECHNOLOGIES INC-STRATEGIC ALLIANCE</t>
  </si>
  <si>
    <t xml:space="preserve">Genta Inc and Emisphere Technologies Inc formed a strategic alliance to
provide research and development services of gallium compound globally.</t>
  </si>
  <si>
    <t xml:space="preserve">37245M
291345</t>
  </si>
  <si>
    <t xml:space="preserve">Vertex Pharmaceuticals Inc
Cystic Fibrosis Foundation</t>
  </si>
  <si>
    <t xml:space="preserve">Biotech co
Pvd research,dvlp svcs</t>
  </si>
  <si>
    <t xml:space="preserve">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
Cystic Fibrosis Foundation
Pharmacy LLC, located in
Bethesda, Maryland, provides
research and development
services for cystic fibrosis.
The company was founded in
1955.</t>
  </si>
  <si>
    <t xml:space="preserve">MA
MD</t>
  </si>
  <si>
    <t xml:space="preserve">VERTEX PHARM INC/CYSTIC FIBROSIS FOUNDATION-STRATEGIC ALLIANCE</t>
  </si>
  <si>
    <t xml:space="preserve">Vertex Pharmaceuticals Inc (VP) and Cystic Fibrosis Foundation Foundation
Therapeutics Inc (CF) formed a strategic alliance to provide research and
development services in the United States, The alliance was to provide
clinical development of VX-770, a novel, oral drug candidate fot treatment
of cystic fibrosis. CF was to pay VP at $13.3 mil US in the development of
VX-770 until 2007.</t>
  </si>
  <si>
    <t xml:space="preserve">Cystic Fibrosis Foundation Therapeutics Inc was to pay Vertex
Pharmaceuticals Inc at $13.3 mil US in the development of VX-770 until
2007.</t>
  </si>
  <si>
    <t xml:space="preserve">92532F
23430M</t>
  </si>
  <si>
    <t xml:space="preserve">Campina Melkunie BV
Fonterra Co-operative Group</t>
  </si>
  <si>
    <t xml:space="preserve">Produce dairy prod
Produce,whl dairy products</t>
  </si>
  <si>
    <t xml:space="preserve">Campina Melkunie BV, located
in Zaltbommel, produces liquid
milk, yoghurt, cheese, butter,
long-life milk products and
milk constituents. The company
was founded in 1989.
Fonterra Co-operative Group
Limited is a co-operative
Company operating in the
international dairy
industry. It is involved in
the collection, manufacture
and sale of milk and
milk-derived products and in
fast-moving consumer goods
(FMCG) and foodservice
businesses. It operates
through five segments:
Global Ingredients and
Operations (GIO), Oceania,
Asia, Greater China and
Latin America. GIO processes
and distributes milk, sells
and markets milk products.
Oceania includes FMCG
businesses in New Zealand
and all FMCG and ingredients
businesses in Australia.
Asia includes FMCG and
foodservice businesses in
Asia, Africa and the Middle
East. Greater China includes
FMCG, foodservice and
farming businesses in
Greater China. Latin America
includes FMCG and
ingredients businesses in
South America and the
Caribbean. The Company
supplies dairy ingredients
to food companies, branded
dairy products to consumers,
and out-of-home foodservice
to food professionals in
bakeries and restaurants.
The Company was founded in
October 2001 and is located
in Auckland, New Zealand.</t>
  </si>
  <si>
    <t xml:space="preserve">2026
2026</t>
  </si>
  <si>
    <t xml:space="preserve">Netherlands
New Zealand</t>
  </si>
  <si>
    <t xml:space="preserve">CAMPINA MELKUNIE BV/FONTERRA CO-OPERATIVE GROUP LTD-JOINT VENTURE</t>
  </si>
  <si>
    <t xml:space="preserve">DMV-Fonterra Excipients GmbH
&amp; Co KG, located in Goch,
Germany, is a wholesale and
develops pharmaceutical
excipients. Founded in 2006.</t>
  </si>
  <si>
    <t xml:space="preserve">Campina Melkunie BV (CM) and Fonterra Co-operative Group Ltd (FC) formed a
joint venture (JV) named DMV-Fonterra Excipients GmbH &amp; Co KG to
manufacture and develop excipients in Germany. Under terms of the
agreement, CM and FC each held a 50% interest in the JV. The JV employed
100 people and was expected to generate a total turnover of $89.827 mil US
(75 mil euros/143.68 mil New Zealand dollars). In addition, the JV had its
own production facilities in the Netherlands, Germany and New Zealand but
headquarters was in Goch. CM contributed two production units through its
subsidiary DMV International; Foxhol, The Netherlands and
Noerten-Hardenburg, Germany while FC contributed its lactose plant at
Kapuni, New Zealand with material being used for inhalable formulations.
Excipients that were produced by the JV were to be used as carriers or
diluting agents in active drug formulations. The JV had been subjected to
European Commission approval.</t>
  </si>
  <si>
    <t xml:space="preserve">The joint venture was expected to generate a total turnover of $89.827 mil
US (75 mil euros/143.68 mil New Zealand dollars).</t>
  </si>
  <si>
    <t xml:space="preserve">23874Q</t>
  </si>
  <si>
    <t xml:space="preserve">13445B
37978T</t>
  </si>
  <si>
    <t xml:space="preserve">Cato Research Ltd
JSW Research Forschungslabor</t>
  </si>
  <si>
    <t xml:space="preserve">Pvd research,dvlp
Pvd research,dvlp svcs</t>
  </si>
  <si>
    <t xml:space="preserve">Cato Research Ltd,
headquartered in the United
States, provides contract
research and development to
pharmaceutical and
biotechnology companies. The
company was founded in 1988.
Provide research and
development services focusing
on treatment of age related
brain diseases</t>
  </si>
  <si>
    <t xml:space="preserve">8731
8731</t>
  </si>
  <si>
    <t xml:space="preserve">CATO RESEARCH/JSW RESEARCH FORSCHUNGSLABOR-STRATEGIC ALLIANCE</t>
  </si>
  <si>
    <t xml:space="preserve">Cato Research Ltd (CR)and JSW-Research Forschungslabor GmbH (JR) formed a
strategic alliance to provide research and development services. CR and JR
shared their proprietary contract research organization (CRO) know-how,
leverage their business development capabilities, and extend the reach of
preclinical and clinical development capabilities and regulatory expertise
to pharmaceutical and biotechnology industries that are seeking for new
medicines.</t>
  </si>
  <si>
    <t xml:space="preserve">14934W
46725M</t>
  </si>
  <si>
    <t xml:space="preserve">NOXXON Pharma NV
Pfizer Inc</t>
  </si>
  <si>
    <t xml:space="preserve">Pvd medical research svcs
Manufacture,wholesale pharmaceuticals</t>
  </si>
  <si>
    <t xml:space="preserve">Noxxon Pharma NV is a
provider of biotechnology
research and development
services. The Company is
located in Berlin, Germany.
It is a biotechnology
company that focuses on
cancer treatment.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</si>
  <si>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8731
2834</t>
  </si>
  <si>
    <t xml:space="preserve">NOXXON PHARMA AG/PFIZER INC-STRATEGIC ALLIANCE</t>
  </si>
  <si>
    <t xml:space="preserve">Noxxon Pharma AG (NP) and Pfizer Inc (PI) planned to form a strategic
alliance wherein NP licensed PI to utilize its preclinical lead Spiegelmer
for treating obesity. Under terms of the agreement, PI was expected to make
upfront cash payments. NP was expected to receive eligible royalties on
sale of products commercialized on the alliance. The alliance was expected
to create product candidates to disease-associated targets.</t>
  </si>
  <si>
    <t xml:space="preserve">67027Z
717081</t>
  </si>
  <si>
    <t xml:space="preserve">Senomyx Inc
Ajinomoto Co Inc</t>
  </si>
  <si>
    <t xml:space="preserve">Pvd flavor enhancers dvlp svcs
Produce,wholesale food seasonings</t>
  </si>
  <si>
    <t xml:space="preserve">Senomyx Inc, located in San
Diego, California, provides
flavor enhancers and taste
modulators research and
development services for the
food and beverage industry.
The Company was founded in
1998.
Ajinomoto Co Inc, located in
Tokyo, Japan, produces and
wholesales food seasonings.
The company operates in
Asia; Europe and America
through affiliates and
subsidiaries. The company
operates in six business
segments. The Domestic Food
segment manufactures and
sells seasonings and
processed food, delicatessen
and bakery products, frozen
food and beverages. The
Overseas Food segment offers
seasonings and processed
food, as well as flavor
seasonings for food
processing. The Biotech and
Fine segment offers
amino-acid for feeding
stuffs, medical drugs and
food, sweeteners, medicine
intermediate products and
chemical products. The
Medicine segment offers
pharmaceutical products. The
Affiliated segment provides
fat, oil and coffee. The
Others segment is engaged in
the healthcare, packaging
material, logistics and
other businesses. It was
founded in 1925.</t>
  </si>
  <si>
    <t xml:space="preserve">8731
2087</t>
  </si>
  <si>
    <t xml:space="preserve">SENOMYX INC /AJINOMOTO CO INC- STRATEGIC ALLIANCE</t>
  </si>
  <si>
    <t xml:space="preserve">Renegotiated</t>
  </si>
  <si>
    <t xml:space="preserve">Senomyx Inc (SI) and Ajinomoto Co Inc (AC) renegotiated their strategic
alliance agreement. Originally on March 2006, SI and AC formed a 3-year
strategic alliance wherein SI licensed AC to research, develop and market
novel flavor ingredients within Japan and other Asian markets including
China. The alliance was expected to work on exclusive basis in the soup,
sauce and culinary aids and noodle products and also in bouillon products.
AC has agreed to pay SI upfront, license fee, discovery and development
funding. On April 2007, SI and AC decided to expand their agreement by
including the additional territories of the United States and Canada.</t>
  </si>
  <si>
    <t xml:space="preserve">81724Q
009707</t>
  </si>
  <si>
    <t xml:space="preserve">AmberWave Systems Corp
Purdue University</t>
  </si>
  <si>
    <t xml:space="preserve">Mnfr semiconductors
Own,op colleges, schools</t>
  </si>
  <si>
    <t xml:space="preserve">AmberWave Systems Corp,
located in Salem, New
Hampshire, manufactures
semiconductors that offers
manufacturers the
opportunity to build a more
powerful microprocessors,
faster gaming devices and
longer-lasting mobile
devices. The Company was
founded in 1998.
Purdue University, located in
West Lafayette, Indiana, owns
and operates colleges and
schools. The Company was
founded in 1871.</t>
  </si>
  <si>
    <t xml:space="preserve">3674
8221</t>
  </si>
  <si>
    <t xml:space="preserve">NH
IN</t>
  </si>
  <si>
    <t xml:space="preserve">AMBERWAVE SYSTEMS CORP/PURDUE UNIVERSITY-STRATEGIC ALLIANCE</t>
  </si>
  <si>
    <t xml:space="preserve">New Hampshire</t>
  </si>
  <si>
    <t xml:space="preserve">AmberWave Systems Corp and Purdue University formed a strategic alliance to
develop semiconductor devices in the United States. The alliance was a
strategic move for the partners to expand their product coverage.</t>
  </si>
  <si>
    <t xml:space="preserve">5E7106
74616X</t>
  </si>
  <si>
    <t xml:space="preserve">SENOMYX INC/AJINOMOTO CO INC-STRATEGIC ALLIANCE</t>
  </si>
  <si>
    <t xml:space="preserve">Senomyx Inc (SI) and Ajinomoto Co Inc (AC) renegotiated their strategic
alliance. In March 2006, SI and AC formed a strategic alliance to provide
novel flavor ingredients development services worldwide. The products were
on an exclusive basis in the soup, sauce, and culinary aids and noodle
product categories and on a co-exclusive basis in the bouillon products in
Japan and other Asian markets including China and additional key countries.
AC agreed to pay SI an upfront license fee, discovery and development
funding and specified payments upon acheivement of milestones. Upon
commercialization, SI was expected to be entitled to royalty payments based
on sales of AC products containing any flavor ingredients developed under
the agreement. Under terms of the new agreement, SI and AC were to include
additional territories of the United States and Canada for its novel flavor
ingredients for soup and bouillon, sauce and culinary aids, noodles, snack
food and frozen foods product categories.</t>
  </si>
  <si>
    <t xml:space="preserve">Research &amp; Development Services
Licensing Services</t>
  </si>
  <si>
    <t xml:space="preserve">SGX Pharmaceuticals Inc
Novartis AG</t>
  </si>
  <si>
    <t xml:space="preserve">Biotech co
Pharmaceutical Preparation Manufacturing</t>
  </si>
  <si>
    <t xml:space="preserve">SGX Pharmaceuticals Inc,
headquartered in San Diego,
California, is a biotechnology
company focused on the
discovery, development, and
commercialization of cancer
therapeutics. It is developing
an internal oncology product
pipeline and lead compounds
through the application of its
proprietary drug discovery
platform, Fragments of Active
Structures (FAST). The
company's pre-clinical
development programs include
BCR-ABL Kinase Inhibitor
Program that focuses on
compounds, which inhibit
wild-type and
Gleevec-resistant mutant forms
of BCR-ABL tyrosine kinase,
the enzyme that is responsible
for CML and MET Tyrosine
Kinase Receptor Inhibitor
program that inhibits solid
tumors. The company was
founded in 1998.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</si>
  <si>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SGX PHARMACEUTICALS INC/NOVARTIS AG-STRATEGIC ALLIANCE</t>
  </si>
  <si>
    <t xml:space="preserve">SGX Pharmaceuticals Inc (SP) and Novartis AG (NA) formed a strategic
alliance wherein SG licensed NA to manufacture and wholesale BCR-ABL
inhibitors for the treatment of drug resistant Chronic Myelogenous
Leukemia. NA paid SP $25 mil US as upfront payment.</t>
  </si>
  <si>
    <t xml:space="preserve">Novartis AG paid SGX Pharmaceuticals Inc $25 mil US as upfront payment.</t>
  </si>
  <si>
    <t xml:space="preserve">78423C
66987V</t>
  </si>
  <si>
    <t xml:space="preserve">Ono Pharmaceutical Co Ltd
Medarex Inc</t>
  </si>
  <si>
    <t xml:space="preserve">Pharmaceutical Preparation Manufacturing
Biopharm co</t>
  </si>
  <si>
    <t xml:space="preserve">Ono Pharmaceutical Co Ltd,
located in Osaka, Japan,
manufactures and wholesales
pharmaceuticals and
diagnostic reagents focusing
primarily on prescription
pharmaceuticals. The company
was founded in 1717.
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t>
  </si>
  <si>
    <t xml:space="preserve">ONO PHARMACEUTICAL CO LTD/MEDAREX INC-STRATEGIC ALLIANCE</t>
  </si>
  <si>
    <t xml:space="preserve">Ono Pharmaceutical Co LTd (OP) and Medarex Inc (MI) formed a strategic
alliance to provide research and development services of human anti-SDF-1
antibodies for potential treatment of multiple indications. The alliance is
the second antibody development between OP and MI. OP and MI were expected
to work on potential commercialization of fully human antibody and plan to
share the costs and responsibilities.</t>
  </si>
  <si>
    <t xml:space="preserve">68273Q
583916</t>
  </si>
  <si>
    <t xml:space="preserve">BG Medicine Inc
Mitsubishi Chemical Holdings</t>
  </si>
  <si>
    <t xml:space="preserve">Biotech co
Mnfr,whl industrial chemicals</t>
  </si>
  <si>
    <t xml:space="preserve">BG Medicine Inc, located in
Waltham, Massachusetts, is a
biotechnology company focused
on the discovery, development
and commercialization of novel
diagnostic tests based on
biomarkers. The company's lead
product candidate is the BGM
Galectin-3 test for heart
failure and it measures
galectin-3 levels in blood
plasma or serum. The company
was founded in 2000.
Mitsubishi Chemical Holdings
Corp, headquartered in
Tokyo, Japan, is a holding
company engaged in
manufacture and wholesale
industrial chemicals.
Through its subsidiaries and
associated companies, the
Company is engaged in six
business segments. The
electronics applications
segment offers recording
materials,
electronics-related products
and information materials,
among others. The designed
materials segment offers
functional food materials,
battery materials, precision
chemicals, processed resin
products, compound
materials, inorganic
chemicals and chemical
fiber, among others. The
health care segment offers
pharmaceuticals, diagnosis
products and clinical
inspection services, among
others. The chemicals
segment provides basic
chemicals, compound
chemicals, synthetic fiber
raw materials and carbon
products, among others. The
polymers segment offers
synthetic resins. The Others
segment is engaged in
engineering, transportation
and storage businesses,
among others. The company
was founded on October 03,
2005.</t>
  </si>
  <si>
    <t xml:space="preserve">8071
2821</t>
  </si>
  <si>
    <t xml:space="preserve">BG MEDICINE INC/MITSUBISHI CHEMICAL HOLDINGS CORP-STRATEGIC ALLIANCE</t>
  </si>
  <si>
    <t xml:space="preserve">BG Medicine Inc and Mitsubishi Chemical Holdings Corp formed a strategic
alliance to provide preclinical research and development of muscle toxicity
globally. The alliance provided computational analyses to define the
molecular effects of lipid lowering agents on the skeletal muscle and
understand the specific plasma biomarkers of the effect.</t>
  </si>
  <si>
    <t xml:space="preserve">08861T
J44046</t>
  </si>
  <si>
    <t xml:space="preserve">Teijin Ltd
Musashino Chemical Laboratory</t>
  </si>
  <si>
    <t xml:space="preserve">Mnfr,whl chemical products
Mnfr lactic acid</t>
  </si>
  <si>
    <t xml:space="preserve">Teijin Ltd, headquartered in
Osaka, Japan, is engaged in
the manufacture, processing
and sale of chemical
products. The High-Function
Fiber segment is engaged in
the manufacture and sale of
aramid fiber and carbon
fiber products. The
Polyester Fiber segment
involves in the manufacture
and sale of synthetic fiber.
The Chemical Products
segment involves in the
manufacture and sale of
polyester films, resin
products and chemical
products. The Pharmaceutical
and Medical segment involves
in the manufacture and sale
of pharmaceuticals and
medical equipment, the
provision of home healthcare
services and the clinical
development of new drugs.
The Distribution and Retail
segment plans and sells
fiber products. The Others
segment involes in the
operation, development and
maintenance of information
systems. On October 1, 2012,
the Company merged with five
wholly owned subsidiaries,
and it took over all the
businesses (except appeal
business) of one subsidiary.
On April 1, 2013, it merged
with a wholly owned
subsidiary. The company was
founded, June 17, 1918.
Musashino Chemical Laboratory
Ltd, located in Japan,
manufactures lactic acid,
alanine and pyruvic acid</t>
  </si>
  <si>
    <t xml:space="preserve">2299
2899</t>
  </si>
  <si>
    <t xml:space="preserve">TEIJIN LTD/MUSASHINO CHEMICAL LABORATORY LTD-STRATEGIC ALLIANCE</t>
  </si>
  <si>
    <t xml:space="preserve">Teijin Ltd (TL) and Musashino Chemical Laboratory Ltd (MC) formed a
strategic alliance to provide heat resistant bioplastic development
services. The developed bioplastic was aimed to be in practical use by
2008.</t>
  </si>
  <si>
    <t xml:space="preserve">879063
62717Q</t>
  </si>
  <si>
    <t xml:space="preserve">Acrongenomics Inc
Molecular Vision Ltd</t>
  </si>
  <si>
    <t xml:space="preserve">Acrongenomics Inc, located in
London, UK, is a biotechnology
company that focuses on
investing and commercializing
novel technology platforms
concerning the Life Sciences
sector. The company was
founded in 2004.
Molecular Vision Ltd, located
in London, is a biotechnology
company that develops low-cost
diagnostic devices for use in
the doctor's surgery and in
the home, specializing in the
development of miniaturized
Point-of-Care (POC) medical
diagnostic devices. The
company was founded in 2002.</t>
  </si>
  <si>
    <t xml:space="preserve">United Kingdom
United Kingdom</t>
  </si>
  <si>
    <t xml:space="preserve">ACRONGENOMICS INC/MOLECULAR VISION-STRATEGIC ALLIANCE</t>
  </si>
  <si>
    <t xml:space="preserve">Acrongenomics Inc (AI) and Molecular Vision Ltd (MV) formed a strategic
alliance to provide diagnostic device development and marketing services.
Under terms of the agreement, AI and MV collaborated on the development and
commercialization of low-cost, easy-to-use and readily portable
Point-of-Care (POC) diagnostic devices for personalized medical testing
that will greatly extend the tools available to the medical community. The
alliance had a cost of $6.5 mil US (3.45 mil Bristish pounds/7.25 Canadian
dollars/5.056 mil euros) in its effort to develop novel POC devices for
on-the-spot diagnosis of diabetes management, STDs (Sexually Transmitted
Diseases), cardiovascular diseases and substances of abuse</t>
  </si>
  <si>
    <t xml:space="preserve">The alliance had a cost of $6.5 mil US (3.45 mil Bristish pounds/7.25
Canadian dollars/5.056 mil euros).</t>
  </si>
  <si>
    <t xml:space="preserve">005015
60857X</t>
  </si>
  <si>
    <t xml:space="preserve">Accelrys Inc
GlaxoSmithKline PLC</t>
  </si>
  <si>
    <t xml:space="preserve">Dvlp lifecycle mgmt software
Pharmaceutical Preparation Manufacturing</t>
  </si>
  <si>
    <t xml:space="preserve">Accelrys Inc, located in San
Diego, California, develops
lifecycle management software.
Its products and platform
includes Accelrys Enterprise
Platform, Workflow &amp;
Automation, Modelling &amp;
Simulation, Enterprise Lab
Management, and Data
Management and Informatics.
The company was founded in
1993.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</si>
  <si>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7372
2834</t>
  </si>
  <si>
    <t xml:space="preserve">ACCELRYS INC/GLAXOSMITHKLINE PLC-STRATEGIC ALLIANCE</t>
  </si>
  <si>
    <t xml:space="preserve">Accelrys Inc and GlaxoSmithKline PLC formed a strategic alliance to provide
research and development services of therapeutic candidates globally. The
alliancs was created to offer clinical proof of concept, yielding novel
candidates in    broad therapeutic areas.</t>
  </si>
  <si>
    <t xml:space="preserve">00430U
37733W</t>
  </si>
  <si>
    <t xml:space="preserve">Pharmacopeia Drug Discovery
GlaxoSmithKline PLC</t>
  </si>
  <si>
    <t xml:space="preserve">Biotechnology company,
focusing on drug discovery via
new small molecule
therapeutics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</si>
  <si>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PHARMACOPEIA INC(NOW 00430U)/GLAXOSMITHKLINE PLC(WAS 377327)-STRATEGIC
ALLIANCE</t>
  </si>
  <si>
    <t xml:space="preserve">Pharmacopeia Inc (PI) and GlaxoSmithKline PLC (GP) formed a strategic
alliance to provide research and development services for drug discovery.
The alliance aimed to discover active molecules and was expected to deliver
clinically validated therapeutic candidates to GSK's organization. GP
received $15 mil US as payment from PI. In addition, each drug development
program pursued under the alliance was subjected to success-based milestone
payments up to $83 mil US (47.5 British pounds). On March 2008, PI received
$5 mil US in milestone payment from GSk due to completion of certain early
discovery activities.</t>
  </si>
  <si>
    <t xml:space="preserve">Each drug development program pursued under the alliance was subjected to
success-based milestone payments up to $83 mil US (47.5 British pounds).</t>
  </si>
  <si>
    <t xml:space="preserve">7171EP
37733W</t>
  </si>
  <si>
    <t xml:space="preserve">Chemdiv Inc
Carna Biosciences Inc</t>
  </si>
  <si>
    <t xml:space="preserve">Pvd research,dvlp svcs
Dvlp medice</t>
  </si>
  <si>
    <t xml:space="preserve">Chemdiv Inc, located in San
Diego, California, provides
synthetic and medicinal
chemistry research services
specializing in small-molecule
chemistry, screening
libraries, global logistics
and lead discovery. The
company has research
facilities in San Diego, USA,
and Moscow, Russia. The
company was founded in 1990.
The company''s principal
activity is to develop
protein kinase. The
company''s operations are
carried out through the
following businesses:Drug
discovery support
division-Develop protein
kinase, assay and provide
profilling &amp; screening
services to pharmaceutical
companies. Drug discovery
division-Research and
develop protein kinase with
other companies and
univercities.</t>
  </si>
  <si>
    <t xml:space="preserve">8731
2836</t>
  </si>
  <si>
    <t xml:space="preserve">CHEMDIV INC/CARNA BIOSCIENCES INC-STRATEGIC ALLIANCE</t>
  </si>
  <si>
    <t xml:space="preserve">Chemdiv Inc and Carna Biosciences Inc formed a strategic alliance to
provide research, development and marketing services of kinase focused
libraries drug candidates globally.</t>
  </si>
  <si>
    <t xml:space="preserve">16359E
14347V</t>
  </si>
  <si>
    <t xml:space="preserve">BioFocus PLC
Arthrogen BV</t>
  </si>
  <si>
    <t xml:space="preserve">Biotechnology company
Pvd research dvlp svcs</t>
  </si>
  <si>
    <t xml:space="preserve">Biotechnology company
Provide research and
development services focusing
on local gene therapy for
patients with rheumatoid
arthritis</t>
  </si>
  <si>
    <t xml:space="preserve">United Kingdom
Netherlands</t>
  </si>
  <si>
    <t xml:space="preserve">BioFocus PLC
Dubai Bone &amp; Joint Center</t>
  </si>
  <si>
    <t xml:space="preserve">United Kingdom
Utd Arab Em</t>
  </si>
  <si>
    <t xml:space="preserve">2836
8093</t>
  </si>
  <si>
    <t xml:space="preserve">BIOFOCUS PLC/ARTHROGEN-STRATEGIC ALLIANCE</t>
  </si>
  <si>
    <t xml:space="preserve">Arthrogen BV (AB), a joint venture between Dubai Bone &amp; Joint Center and
Academic Medical Center, and BioFocus PLC (BP), formed a strategic alliance
provide research and develop services. The alliance focused on identifying
novel targets for gene therapy applications in rheumatoid arhritis.</t>
  </si>
  <si>
    <t xml:space="preserve">09040Y
04309J</t>
  </si>
  <si>
    <t xml:space="preserve">Lannett Co Inc
AZAD Pharma AG</t>
  </si>
  <si>
    <t xml:space="preserve">Lannett Co Inc, located in
Philadelphia, Pennsylvania,
is a manufacturer and
wholesaler of generic
prescription pharmaceutical
products in tablet, capsule
and oral liquid forms
intended for final
consumption, including
biotech products and
antibiotics. The company was
founded in 1942.
Manufacture prescription
pharmaceuticals intended for
final consumption, including
biotech products and
antibiotics</t>
  </si>
  <si>
    <t xml:space="preserve">Blisfont Ltd
AZAD Pharma AG</t>
  </si>
  <si>
    <t xml:space="preserve">Ireland-Rep
Switzerland</t>
  </si>
  <si>
    <t xml:space="preserve">LANNETT CO INC/AZAD PHARMA AG-STRATEGIC ALLIANCE</t>
  </si>
  <si>
    <t xml:space="preserve">Lannett Co Inc (LC) and AZAD Pharma AG (AP) formed a strategic alliance to
provide research and development services. The alliance aimed to develop
one pharmaceutical product and enter into supply agreement for 5 Active
Pharmaceutical Ingredients (APIs). AP was expected to supply APIs to LC for
development into finished dosage forms.</t>
  </si>
  <si>
    <t xml:space="preserve">516012
06085T</t>
  </si>
  <si>
    <t xml:space="preserve">Human BioSystems Inc
Evalubase Research Inc</t>
  </si>
  <si>
    <t xml:space="preserve">Pvd research,dvlp svcs
Pvd mktg research svcs</t>
  </si>
  <si>
    <t xml:space="preserve">Human Biosystems Inc, located
in Palo Alto, California,
provides research and
development services for an
exclusive and proprietary
preservation technology for
blood platelets and for human
organs including hearts,
kidneys, livers, lungs, heart
valves and other tissues. The
company was founded in 1998.
Provide market research,
enterprise technology ratings,
field expert analysis,
real-time scorecards and
consulting services</t>
  </si>
  <si>
    <t xml:space="preserve">8731
8732</t>
  </si>
  <si>
    <t xml:space="preserve">INDEPENDENT ORACLE USER GROUP/EVALUBASE RESEARCH-STRATEGIC ALLIANCE</t>
  </si>
  <si>
    <t xml:space="preserve">Independent Oracle Users Group (IO) and Evalubase Research Inc (ER) formed
a strategic alliance to provide market intelligence research services in
the United States. The alliance enhanced the sharing of peer-based
information and best practices in order to  make it easier for customers to
evaluate their information technology (IT) operations against industry
standards. The alliance also aimed to share actionable information and
informed decisions about products and features based on unbiased analysis
and real experience in the IT market.</t>
  </si>
  <si>
    <t xml:space="preserve">44485X
29961E</t>
  </si>
  <si>
    <t xml:space="preserve">Ciba Specialty Chemicals
Biosignal Ltd</t>
  </si>
  <si>
    <t xml:space="preserve">Mnfr,whl chem
Biotech co</t>
  </si>
  <si>
    <t xml:space="preserve">Ciba Specialty Chemicals
Holding Inc, based in Basel,
Switzerland, manufactures,
wholesales and distributes
chemicals that provide color,
performance and care for
plastics, coatings, textile,
paper, home and personal care
and other products. Its
activities are carried out
through four segments: Plastic
Additives, Coating Effects,
Water &amp; Paper Treatment and
Textile Effects. The company
was founded in 1971.
Biosignal Ltd, located in
Melbourne, Victoria,
Australia, is a biotechnology
research and development
company. The companys
technology is based on a
natural marine model. The
company is engaged in
developing anti-bacterial
products that solve industrial
and medical problems. It was
founded in 1999.</t>
  </si>
  <si>
    <t xml:space="preserve">2899
8071</t>
  </si>
  <si>
    <t xml:space="preserve">Switzerland
Australia</t>
  </si>
  <si>
    <t xml:space="preserve">CIBA SPECIALTY CHEMICALS HOLDING INC/BIOSIGNAL LTD-STRATEGIC ALLIANCE</t>
  </si>
  <si>
    <t xml:space="preserve">Ciba Specialty Chemicals Holding Inc (CS) and Biosignal Ltd (BL) formed a
strategic alliance wherein BL licensed CS to utilize its anti-biofilm
technology to develop anti-microbial compounds for consumer and industrial
products. The said technology was based on a discovery that the eastern
Australia seaweed Delisea pulchra produces natural furanones that disable
bacteria's ability to colonize.</t>
  </si>
  <si>
    <t xml:space="preserve">17162W
09116E</t>
  </si>
  <si>
    <t xml:space="preserve">GlaxoSmithKline PLC
Sirna Therapeutics Inc</t>
  </si>
  <si>
    <t xml:space="preserve">Pharmaceutical Preparation Manufacturing
Biotechnology company</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</si>
  <si>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Biotechnology company
developing RNAi-based
therapies in the following
areas: age-related macular
degeneration (AMD), hepatitis
B and C, dermatology, asthma,
Huntington's disease, diabetes
and oncology</t>
  </si>
  <si>
    <t xml:space="preserve">GLAXOSMITHKLINE PLC/SIRNA THERAPEUTICS INC-STRATEGIC ALLIANCE</t>
  </si>
  <si>
    <t xml:space="preserve">GlaxoSmithKline PLC (GP) and Sirna Therapeutics Inc (ST) formed a strategic
alliance to provide research, development and marketing services worldwide.
GP and ST collaborated to discover, develop and commercialize novel RNA
interference (RNAi)-based therapeutics for respiratory diseases. Under the
terms of the agreement, ST provided GP optimised and formulated siRNAs
against ST and GP targets. GP assumed all responsibility for the further
preclinical and clinical development of these compounds as well as
worldwide commercialisation of products resulting from the alliance. ST
received an initial payment of $12 mil US (6.896 mil British pounds) as
well as milestone payments in excess of $700 mil US (602.298 mil pounds)
for collaboration and clinical development events, as well as royalties on
worldwide sales of products which successfully result from the alliance</t>
  </si>
  <si>
    <t xml:space="preserve">Sirna Therapeutics Inc received an initial payment of $12 mil US (6.896 mil
British pounds)</t>
  </si>
  <si>
    <t xml:space="preserve">37733W
829669</t>
  </si>
  <si>
    <t xml:space="preserve">Bioinvent International AB
Immusol Inc</t>
  </si>
  <si>
    <t xml:space="preserve">Bioinvent International AB,
a biotechnology company, is
involved in the isolation
and development of human
antibodies through its
proprietary human antibody
library n-CoDeR, as well as
the out-licensing of the
same library. The Group also
establishes collaborative
research, development and
manufacturing partnerships
with pharmaceutical
companies and is developing
antibody-based drugs against
AIDS, atherosclerosis,
cancer and diseases of the
joints. The Company operates
from Sweden but has
customers from all over the
world. Its partners include
ALK-Abello, Antisoma,
Celltech, Igeneon and XOMA.
Biotechnology company engaged
in drug development for
keloids and hypertrophic scars
and for treatments for cancer,
viral infection and
ophthalmology</t>
  </si>
  <si>
    <t xml:space="preserve">Norsk Hydro ASA
Immusol Inc</t>
  </si>
  <si>
    <t xml:space="preserve">Norway
United States</t>
  </si>
  <si>
    <t xml:space="preserve">3334
2836</t>
  </si>
  <si>
    <t xml:space="preserve">BIOINVENT INTERNATIONAL/IMMUSOL INC-STRATEGIC ALLIANCE</t>
  </si>
  <si>
    <t xml:space="preserve">BioInvent International AB (BI), a unit of Norsk Hydro ASA, and Immusol Inc
(II) formed a strategic alliance to provide research and development
services of human monoclonal n-CoDer antibody. The alliance aimed to
discover treatment of age-related muscular degeneration (AMD) and other
ophthalmic disorders. Under terms of the agreement, BI contributed its
knowledge and experience in angiogenesis, immunology and therapeutic
antibody discovery and development while II contributed its ophthalmology
expertise and intellectual property. BI and II were expected to share cost
and revenues in further development and commercialization. Terms were not
disclosed.</t>
  </si>
  <si>
    <t xml:space="preserve">09059S
45298M</t>
  </si>
  <si>
    <t xml:space="preserve">Lumiphore Inc
Echelon Biosciences Inc</t>
  </si>
  <si>
    <t xml:space="preserve">Pvd research,dvlp svcs
Biotech co</t>
  </si>
  <si>
    <t xml:space="preserve">Provide research and
development services focusing
on proprietary lanthanide
technology for use in
high-value applications
Echelon Biosciences Inc,
located in Salt Lake City,
Utah, a biotechnology company,
engaged in furthering the
science of lipid cell
signaling and critical
metabolic enzymes, which
provide new and viable targets
for the development of
potential drugs and
diagnostics for cancer,
diabetes, inflammation,
infections, and cardiovascular
disease. The company was
founded in October 1997.</t>
  </si>
  <si>
    <t xml:space="preserve">CA
UT</t>
  </si>
  <si>
    <t xml:space="preserve">Lumiphore Inc
AEterna Zentaris Inc</t>
  </si>
  <si>
    <t xml:space="preserve">LUMIPHORE INC/ECHELON BIOSCIENCES INC-STRATEGIC ALLIANCE</t>
  </si>
  <si>
    <t xml:space="preserve">Lumiphore Inc (LI) and Echelon Biosciences Inc (EB), a unit of AEterna
Zentaris Inc, formed a strategic alliance wherein LI licensed EB to access
its proprietary lanthanide-complex technology for the development of
TR-FRET assays and reagents in the United States. The alliance was expected
to be used for research and drug discovery in the field of phospholipid
signalling and lipid-protein interactions.</t>
  </si>
  <si>
    <t xml:space="preserve">55030X
27913F</t>
  </si>
  <si>
    <t xml:space="preserve">Innate Pharma
Novo Nordisk A/S</t>
  </si>
  <si>
    <t xml:space="preserve">Pvd medical research svcs
Healthcare company</t>
  </si>
  <si>
    <t xml:space="preserve">Provide medical research
services in areas of
anti-cancer
immunotherapeutics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</si>
  <si>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8731
2833</t>
  </si>
  <si>
    <t xml:space="preserve">France
Denmark</t>
  </si>
  <si>
    <t xml:space="preserve">Inserm Transfert SA
Novo Nordisk Foundation</t>
  </si>
  <si>
    <t xml:space="preserve">8733
6732</t>
  </si>
  <si>
    <t xml:space="preserve">INNATE PHARMA/NOVO NORDISK A/S-STRATEGIC ALLIANCE</t>
  </si>
  <si>
    <t xml:space="preserve">Innate Pharma (IP), a unit of Inserm Transfert, and Novo Nordisk A/S (NN)
formed a 3-year strategic alliance to provide research and development
services. Under terms of the agreement, IP and NN collaborated to develop
natural killer cell-targeted therapies for cancer, autoimmune diseases and
other indications. NN was to assume responsibility for clinical development
and regulatory approval of drugs generated from this alliance and be its
exclusive licensee while IP was to receive $30.747 mil US (25 mil euros) in
a combination of upfront payment and preclinical milestone payments.</t>
  </si>
  <si>
    <t xml:space="preserve">Innate Pharma was expected to receive $30.747 mil US (25 mil euros) in
upfront and milestone payments.</t>
  </si>
  <si>
    <t xml:space="preserve">46037J
670100</t>
  </si>
  <si>
    <t xml:space="preserve">Arius Research Inc
Takeda Pharmaceutical Co Ltd</t>
  </si>
  <si>
    <t xml:space="preserve">Biotech co
Mnfr,whl pharmaceutical prod</t>
  </si>
  <si>
    <t xml:space="preserve">Arius Research Inc is a
biotechnology company
headquartered in Toronto,
Ontario. The company focuses
on discovering and developing
the next wave of antibody
therapeutics to treat cancer
and other diseases. The
company was founded in 1999.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</si>
  <si>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ARIUS RESEARCH INC/TAKEDA CHEMICAL INDUSTRIES LTD(DNU)-STRATEGIC ALLIANCE</t>
  </si>
  <si>
    <t xml:space="preserve">Arius Research Inc (AR) and Takeda Chemical Industries Ltd (TC) formed a
3-year strategic alliance wherein AR licensed TC to utilize its
FunctionFirst platform to provide research and development services for
treatments of cancer.Under terms of the agreement, AR was  expected to
receive upfront technology fee of $2 mil US (2.32 Canadian dollars/ 234.6
Japanese yen).</t>
  </si>
  <si>
    <t xml:space="preserve">Arius Research Inc was expected to receive upfront technology fee of $2 mil
US 2.32 Canadian dollars/ 234.6 Japanese yen).</t>
  </si>
  <si>
    <t xml:space="preserve">040454
874058</t>
  </si>
  <si>
    <t xml:space="preserve">Third Wave Technologies Inc
Mitsubishi Corp</t>
  </si>
  <si>
    <t xml:space="preserve">Mnf test kits prods
Mnfr,whl auto,chem,steel</t>
  </si>
  <si>
    <t xml:space="preserve">Third Wave Technologies Inc,
located in Madison, Wisconsin,
manufactures test kits,
components and related
products for the purpose of
analyzing genetic variations.
The company offers molecular
diagnostic products for
various DNA and RNA analysis
applications. It was founded
in 1993.
Mitsubishi Corp,
headquartered in Tokyo,
Japan, operates in seven
business segments. The New
Industrial Finance segment
involves in the asset
management, buyout
investment, leasing and
financing of real estate and
others. The Energy segment
provides petroleum products,
crude oil, liquefied natural
gas and others. The Metal
segment offers steel
products, iron ore,
non-ferrous metal products
and others. The Machinery
segment provides industrial
machinery, automobiles,
vessels and others. The
Chemical segment provides
petrochemicals, fertilizers,
foodstuff, drugs and others.
The Living Essentials
segment provides
distribution services, and
conducts retail-related
business. The Other segment
involves in the finance,
accounting and others. It
was founded in 1950.</t>
  </si>
  <si>
    <t xml:space="preserve">2836
2899</t>
  </si>
  <si>
    <t xml:space="preserve">WI
FF</t>
  </si>
  <si>
    <t xml:space="preserve">THIRD WAVE TECHNOLOGIES INC/MITSUBISHI CORP-JOINT VENTURE</t>
  </si>
  <si>
    <t xml:space="preserve">Third Wave Technologies Inc (TW)and Mitsubishi Corp (MC) planned to form a
joint venture named Third Wave Japan (TJ) to provide research and
development services and commercialization of clinical molecular diagnostic
products and pharmacogenetics in Japan. TJ was to accelerate and expand the
development of high-value clinical products. TJ was to be formed through
MC's minority investment in TJ.</t>
  </si>
  <si>
    <t xml:space="preserve">86.00
14.00</t>
  </si>
  <si>
    <t xml:space="preserve">88428W
606769</t>
  </si>
  <si>
    <t xml:space="preserve">Alenia Aeronautica SpA
CIRA ScpA</t>
  </si>
  <si>
    <t xml:space="preserve">Mnfr aerospace vehicles, equip
Pvd reserach,dvlp svcs</t>
  </si>
  <si>
    <t xml:space="preserve">Alenia Aeronautica SpA,
located in Roma, Italy,
manufactures aircraft,
aircraft parts, equipment,
guided missiles, space
vehicles, propulsion units and
parts.
Centro Italiano Ricerche
Aerospaziali ScpA, located in
Capua, Italy, provides
aeronautical research and
development services. It was
founded in1984.</t>
  </si>
  <si>
    <t xml:space="preserve">3721
8731</t>
  </si>
  <si>
    <t xml:space="preserve">Italy
Italy</t>
  </si>
  <si>
    <t xml:space="preserve">Finmeccanica SpA
CIRA ScpA</t>
  </si>
  <si>
    <t xml:space="preserve">3812
8731</t>
  </si>
  <si>
    <t xml:space="preserve">ALENIA AERONAUTICA SPA/CIRA-STRATEGIC ALLIANCE</t>
  </si>
  <si>
    <t xml:space="preserve">Italy</t>
  </si>
  <si>
    <t xml:space="preserve">Alenia Aeronautica SpA (AA), a unit of Finmeccanica SpA's Alenia Aerospazio
SpA subsidiary, and Centro Italiano Ricerche Aerospaziali {CIRA} formed  a
3-year strategic alliance to provide aerospace research and development
services in Italy. The alliance were expected to work together in the field
of advance materials technologies and competitiveness.</t>
  </si>
  <si>
    <t xml:space="preserve">Research &amp; Development Services
Defense Services</t>
  </si>
  <si>
    <t xml:space="preserve">01446N
15730X</t>
  </si>
  <si>
    <t xml:space="preserve">Sitronics Corp CJSC
Siemens AG</t>
  </si>
  <si>
    <t xml:space="preserve">Mnfr,ret,whl computers
Manufactures and wholesales telecommunications equipment</t>
  </si>
  <si>
    <t xml:space="preserve">Manufacture, retail and
wholesale computers and
peripheral equipment including
LCD monitor, dvd, audio and
video home theather, cellular
phones, television set. lap
top, and other electronic
equipments; develop systems
software
Siemens AG manufactures and
wholesales
telecommunications
equipment. The Company
operates through nine
segments: Power and Gas;
Wind Power and Renewables;
Energy Management; Building
Technologies; Mobility;
Digital Factory; Process
Industries and Drives;
Healthineers, and Financial
Services. Its product groups
include automation, building
technologies, drive
technology, healthcare,
mobility, energy, financing,
consumer products and
services. Its services
include industry services,
energy services, healthcare
services, rail and road
solutions services,
logistics and airport
solutions services, home
appliances services, and
building technologies
services. Its
market-specific solutions
are focused on markets, such
as aerospace, automotive,
data centers, fiber
industry, food and beverage,
and machinery and plant
construction. The Company
was founded in October 1847
and is located in Munich,
Germany.</t>
  </si>
  <si>
    <t xml:space="preserve">3663
3663</t>
  </si>
  <si>
    <t xml:space="preserve">Russian Fed
Germany</t>
  </si>
  <si>
    <t xml:space="preserve">SSA SISTEMA PJSFC
Siemens AG</t>
  </si>
  <si>
    <t xml:space="preserve">4813
3663</t>
  </si>
  <si>
    <t xml:space="preserve">SITRONICS CORP CJSC/SIEMENS AG-INNOVATIONS DEVELOPMENT CENTER LLC JOINT
VENTURE</t>
  </si>
  <si>
    <t xml:space="preserve">Innovative Development Center
LLC, located in Russia,
provides research and
development services of
security systems, software
adaptation and system
integration. The company was
founded in April 2006.</t>
  </si>
  <si>
    <t xml:space="preserve">Russian Fed</t>
  </si>
  <si>
    <t xml:space="preserve">Sitronics Corp CJSC (SC), a unit of AFK Sistema JSFC, and Siemens AG (SA)
formed a joint venture named Innovative Development Center LLC (ID) to
provide research and development services of security systems, software
adaptation and system integration in Russia. SC held a 50.1% interest in ID
and the remaining 49.9% stake was held by SA. Under terms of the agreement,
SC provided its expertise and development skills in ID while SA provided
its solution technology. In addition, ID manufactured equipment for
residential security such as video monitoring, fire protection and parking
automation. ID's formation was a strategic move for the partners to further
expand and strengthen their product coverage in the region. ID had a
charter capital valued at $6.113 mil US (5 mil euros).</t>
  </si>
  <si>
    <t xml:space="preserve">Research &amp; Development Services
Software Development Services
Computer Integrated Systems Svcs
Manufacturing Services</t>
  </si>
  <si>
    <t xml:space="preserve">50.10
49.90</t>
  </si>
  <si>
    <t xml:space="preserve">Innovative Development Center LLC had a charter capital valued at $6.113
mil US (5 mil euros).</t>
  </si>
  <si>
    <t xml:space="preserve">44707F</t>
  </si>
  <si>
    <t xml:space="preserve">83009T
826197</t>
  </si>
  <si>
    <t xml:space="preserve">Intercell AG
Kirin Brewery Co Ltd</t>
  </si>
  <si>
    <t xml:space="preserve">Biotech co
Prodn,whl beer,wine</t>
  </si>
  <si>
    <t xml:space="preserve">Intercell AG, headquartered in
Vienna, Austria, is a
biotechnology company which
focuses on the design and
development of novel vaccines
for the prevention and
treatment of infectious
diseases with substantial
unmet medical need. The
Company develops antigens and
adjuvants which are derived
from its proprietary
technology platforms, and has
in-house GMP manufacturing
capabilities. The company was
founded in 1998.
Kirin Brewery Co Ltd,
headquartered in Tokyo,
Japan, is engaged in the
production and wholesale of
alcoholic beverages, such as
beer and wine, and other
non-alcoholic beverages. The
group is also engaged in the
development of antibody
pharmaceuticals.</t>
  </si>
  <si>
    <t xml:space="preserve">Austria
Japan</t>
  </si>
  <si>
    <t xml:space="preserve">INTERCELL AG/KIRIN BREWERY CO LTD-STRATEGIC ALLIANCE</t>
  </si>
  <si>
    <t xml:space="preserve">Intercell AG and Kirin Brewery Co Ltd formed a strategic alliance to
provide research and development services of antibodies for the treatment
of severe pneumococcal infections globally. The alliance was a strategic
opportunity for the partner to further collaborate in the expansion of
their product coverage.</t>
  </si>
  <si>
    <t xml:space="preserve">45541V
497350</t>
  </si>
  <si>
    <t xml:space="preserve">AdipoGenix Inc
Unigen Pharmaceuticals Inc</t>
  </si>
  <si>
    <t xml:space="preserve">Biotechnology company
specializing in small molecule
pharmaceuticals to treat
obesity and its co-morbidities
Biotechnology company</t>
  </si>
  <si>
    <t xml:space="preserve">MA
WA</t>
  </si>
  <si>
    <t xml:space="preserve">ADIPOGENIX INC/UNIGEN PHARMA INC-STRATEGIC ALLIANCE</t>
  </si>
  <si>
    <t xml:space="preserve">Washington</t>
  </si>
  <si>
    <t xml:space="preserve">AdipoGenix Inc and Unigen Pharmaceuticals Inc formed a strategic alliance
to provide research and development services of plant-based natural
substances which reduce the fat content of human fat cells in the United
States. Terms were not disclosed.</t>
  </si>
  <si>
    <t xml:space="preserve">01141H
90224T</t>
  </si>
  <si>
    <t xml:space="preserve">Infinity Pharmaceuticals Inc
Novartis AG</t>
  </si>
  <si>
    <t xml:space="preserve">Mnfr pharm
Pharmaceutical Preparation Manufacturing</t>
  </si>
  <si>
    <t xml:space="preserve">Manufacture prescription
pharmaceuticals intended for
final consumption, including
biotech products and
antibiotics focusing on cancer
drug discovery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</si>
  <si>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Infinity Pharmaceuticals Inc and Novartis AG formed a strategic alliance to
provide research and development services of Bcl-2 protein for the
treatment of cancer globally. The partners were to conduct a joint research
to identify molecules for clinical development and treatment in oncology.</t>
  </si>
  <si>
    <t xml:space="preserve">45665G
66987V</t>
  </si>
  <si>
    <t xml:space="preserve">InNexus Biotechnology Inc
Affimed Therapeutics AG</t>
  </si>
  <si>
    <t xml:space="preserve">InNexus Biotechnology Inc,
located in Vancouver, British
Columbia, is a drug
development company
commercializing the next
generation of monoclonal
antibodies based on its
Dynamic Cross Linking
technology, which improves the
potency of existing antibody
products and create a novel
class of antibody based drugs.
The company was founded in
1997.
Biotechnology company involved
in the development of
monoclonal antibodies</t>
  </si>
  <si>
    <t xml:space="preserve">Canada
Germany</t>
  </si>
  <si>
    <t xml:space="preserve">INNEXUS BIOTECHNOLOGY INC/AFFIMED-STRATEGIC ALLIANCE</t>
  </si>
  <si>
    <t xml:space="preserve">Innexus Biotechnology Inc (IB) and Affimed Therapeutics AG (AT) formed a
strategic alliance to provide drug discovery services. Under terms of the
agreement, the alliance collaborated on the development of AT's antibodies
using IB's SuperAntiBody technology, which can be used to increase efficacy
of monoclonal antibodies to cell-surface antigens and can also be used to
develop antibodies to intracellular targets and develop antibody-based
vaccines.</t>
  </si>
  <si>
    <t xml:space="preserve">45771Q
01145X</t>
  </si>
  <si>
    <t xml:space="preserve">Pioneer Hi-Bred International
Syngenta Seeds Inc</t>
  </si>
  <si>
    <t xml:space="preserve">Pvd crop research services
Produce,wholesale seeds,crops</t>
  </si>
  <si>
    <t xml:space="preserve">Pioneer Hi-Bred International
Inc, located in Johnston,
Iowa, provides crop research
services. It provides genetic
research services for hybrid
corn, sorghum, sunflowers,
soybeans, alfalfa and wheat.
It also manufactures
agricultural pesticides and
produces and wholesales hybrid
seed corn, sorghum, sunflower,
soybean, alfalfa, canola and
wheat, as well as forage and
grain additives. The Company
was founded in 1926.
Syngenta Seeds Inc, located in
Minnetonka, Minnesota,
produces and wholesales corn,
soybean, alfalfa, wheat,
sunflower, field crop, sugar
beets, vegetable and flower
seeds. It is also involve in
research services for crops
and grains. The Company was
founded in 1976.</t>
  </si>
  <si>
    <t xml:space="preserve">8731
0115</t>
  </si>
  <si>
    <t xml:space="preserve">IA
MN</t>
  </si>
  <si>
    <t xml:space="preserve">DuPont
Syngenta AG</t>
  </si>
  <si>
    <t xml:space="preserve">2821
2879</t>
  </si>
  <si>
    <t xml:space="preserve">PIONEER HI BRED INTERNATIONAL INC/SYNGENTA SEEDS INC-GREENLEAF GENETICS LLC
JOINT VENTURE</t>
  </si>
  <si>
    <t xml:space="preserve">GreenLeaf Genetics LLC, based
in Omaha, Nebraksa, provides
research and development
services of herbicide-tolerant
trait for corn, soybeans and
other crops. It was founded in
2006.</t>
  </si>
  <si>
    <t xml:space="preserve">Nebraska</t>
  </si>
  <si>
    <t xml:space="preserve">Pioneer Hi-Bred International Inc (PH), a unit of EI du Pont de Nemours &amp;
Co, and Syngenta Seeds Inc (SS), a unit of Syngenta AG, formed a joint
venture named GreenLeaf Genetics LLC (GG) to provide research and
development services of herbicide-tolerant trait for corn, soybeans and
other crops in the United States. PH and SS each held a 50% interest in GG.
In addition, PH and S were expected to cross-license certain corn and
soybean technologies to commercialize independently under their own
respective seed brands.</t>
  </si>
  <si>
    <t xml:space="preserve">39535C</t>
  </si>
  <si>
    <t xml:space="preserve">723686
87371F</t>
  </si>
  <si>
    <t xml:space="preserve">Sosei Co Ltd
PsychoGenics Inc</t>
  </si>
  <si>
    <t xml:space="preserve">Mnfr pharm
Biotech co</t>
  </si>
  <si>
    <t xml:space="preserve">Manufacture prescription
pharmaceuticals intended for
final consumption, including
biotech products and
antibiotics
Biotechnology company involved
in preclinical neurobiology
and in the provision of CNS
drug discovery solutions</t>
  </si>
  <si>
    <t xml:space="preserve">SOSEI CO LTD/PSYCHOGENICS INC-STRATEGIC ALLIANCE</t>
  </si>
  <si>
    <t xml:space="preserve">PsychoGenics Inc (PI) and Sosei Co Ltd (SC) formed a strategic alliance to
provide drug discovery services. Under terms of the agreement, the alliance
combined SC's Drug  Reprofiling Platform and PI's proprietary Drug
Discovery Systems in order to rapidly discover and bring to market new CNS
therapies.</t>
  </si>
  <si>
    <t xml:space="preserve">83536A
73995V</t>
  </si>
  <si>
    <t xml:space="preserve">Forest Laboratories Hldgs Ltd
Almirall Prodesfarma SA</t>
  </si>
  <si>
    <t xml:space="preserve">Mnfr pharm
Mnfr pharm</t>
  </si>
  <si>
    <t xml:space="preserve">Manufacture prescription
pharmaceuticals intended for
final consumption, including
biotech products and
antibiotics
Manufacture prescription
pharmaceuticals intended for
final consumption, including
biotech products and
antibiotics
antibiotics</t>
  </si>
  <si>
    <t xml:space="preserve">United States
Spain</t>
  </si>
  <si>
    <t xml:space="preserve">Forest Laboratories Inc
Almirall Prodesfarma SA</t>
  </si>
  <si>
    <t xml:space="preserve">FOREST LABORATORIES HOLDINGS LTD/ALMIRALL PRODESFARMA SA - STRATEGIC
ALLIANCE</t>
  </si>
  <si>
    <t xml:space="preserve">Forest Laboratories Holdings Ltd (FL), a unit of Forest Laboratories Inc,
and Almirall Prodesfarma SA (AP) formed a strategic alliance wherein AP
licensed FL to develop and market its proprietary muscarinic antagonist LAS
34273 for the treatment of bronchitis and chronic obstructive pulmonary
disease (COPD)  in the United States. FL made an upfront payment of $60 mil
US and undisclosed milestone payments to AP. AP was expected to receive
royalty payments based on sales of the new product. The alliance had been
subjected to regulatory approval.</t>
  </si>
  <si>
    <t xml:space="preserve">Almirall Prodesfarma SA received an upfront payment of $60 mil US from
Forest Laboratories Holdings Ltd.</t>
  </si>
  <si>
    <t xml:space="preserve">34558R
00394A</t>
  </si>
  <si>
    <t xml:space="preserve">Kinemed Inc
Forbes Medi-Tech Inc</t>
  </si>
  <si>
    <t xml:space="preserve">Mnfr diagnostic assays
Pvd research,development svcs</t>
  </si>
  <si>
    <t xml:space="preserve">Manufacture and develop
diagnostic assays for labeling
and measuring molecular flaxes
in living organisms in order
to measure the ability of a
drug to intervene in a
targeted disease process
Forbes Medi-Tech Inc, located
in Vancouver, British
Columbia, provides research
and development services for
the commercialization of
innovative products for the
prevention and treatment of
cardiovascular disease. Its
focus is on nutraceutical
products that include
functional foods and
supplements. The company was
founded in 1992.</t>
  </si>
  <si>
    <t xml:space="preserve">2835
8731</t>
  </si>
  <si>
    <t xml:space="preserve">KINEMED INC/FORBES MEDI-TECH INC-STRATEGIC ALLIANCE</t>
  </si>
  <si>
    <t xml:space="preserve">KineMed Inc (KI) and Forbes Medi-Tech Inc (FM) formed a strategic alliance
to provide research and development services of non-cardiovascular
indications for an undisclosed compound in FM's library of small molecule
compounds. KI was expected to screen the FM compound using KI's proprietary
KineMarker assays. The alliance was expected to evaluate additional
therapeutic activity to identify potential applications that can address
unmet medical needs.</t>
  </si>
  <si>
    <t xml:space="preserve">49459P
344907</t>
  </si>
  <si>
    <t xml:space="preserve">www.sigmaaldrich.com
Vivalis Promesses</t>
  </si>
  <si>
    <t xml:space="preserve">Mnfr,whl vaccines,antibiotics
Biotechnology company</t>
  </si>
  <si>
    <t xml:space="preserve">Manufacture and wholesale
vaccines and antibiotics
Biotechnology company;
manufacture therapeutic
recombinant proteins in eggs
of transgenic chickens</t>
  </si>
  <si>
    <t xml:space="preserve">KS
FF</t>
  </si>
  <si>
    <t xml:space="preserve">Sigma-Aldrich Corp
Vivalis Promesses</t>
  </si>
  <si>
    <t xml:space="preserve">SAFC BIOSCIENCES(WAS 46629Z)/VIVALIS-STRATEGIC ALLIANCE</t>
  </si>
  <si>
    <t xml:space="preserve">SAFC Biosciences, a unit of Sigma-Aldrich Group, and Vivalis formed a
strategic alliance to provide research and development services. The
alliance launched EX-CELL EBx platform. The alliance was expected to
support chicken embryonic derived stem cell line, for growth and production
of viral vaccines for therapeutic use.</t>
  </si>
  <si>
    <t xml:space="preserve">78298C
93035W</t>
  </si>
  <si>
    <t xml:space="preserve">Novaled AG
Ciba Specialty Chemicals</t>
  </si>
  <si>
    <t xml:space="preserve">Mnfr light emitting diodes
Mnfr,whl chem</t>
  </si>
  <si>
    <t xml:space="preserve">Novaled AG, located in
Dresden, Germany, manufactures
Organic Light Emitting Diodes
(OLED). Other products are
Organic Thin Film Transistor
(OTFT) and Organic
Photovoltaics (OPV). The
company was founded in 2001.
Ciba Specialty Chemicals
Holding Inc, based in Basel,
Switzerland, manufactures,
wholesales and distributes
chemicals that provide color,
performance and care for
plastics, coatings, textile,
paper, home and personal care
and other products. Its
activities are carried out
through four segments: Plastic
Additives, Coating Effects,
Water &amp; Paper Treatment and
Textile Effects. The company
was founded in 1971.</t>
  </si>
  <si>
    <t xml:space="preserve">3674
2899</t>
  </si>
  <si>
    <t xml:space="preserve">Germany
Switzerland</t>
  </si>
  <si>
    <t xml:space="preserve">NOVALED AG/CIBA SPECIALTY CHEMICALS HOLDING INC-STRATEGIC ALLIANCE</t>
  </si>
  <si>
    <t xml:space="preserve">Novaled AG (NA) and Ciba Specialty Chemicals Holding Inc (CS) formed a
strategic alliance to provide organic light emitting diodes material
development services. Under terms of the agreement, CS was expected to
manufacture the unique dopant and transport materials developed by NA which
allow OLED devices to perform with the highest power efficiency.</t>
  </si>
  <si>
    <t xml:space="preserve">67195L
17162W</t>
  </si>
  <si>
    <t xml:space="preserve">Cerionx Inc
Merck Research Labs</t>
  </si>
  <si>
    <t xml:space="preserve">Mnfr lab prod
Pvd research,dvlp svcs</t>
  </si>
  <si>
    <t xml:space="preserve">Manufacture laboratory
products for research
applications known as
TipChargerSystems. a method to
clean pipette tips
Provide research and
development services</t>
  </si>
  <si>
    <t xml:space="preserve">3821
8731</t>
  </si>
  <si>
    <t xml:space="preserve">Cerionx Inc
Merck &amp; Co Inc</t>
  </si>
  <si>
    <t xml:space="preserve">3821
2834</t>
  </si>
  <si>
    <t xml:space="preserve">CERIONX INC/MERCK RESEARCH LABORATORIES-STRATEGIC ALLIANCE</t>
  </si>
  <si>
    <t xml:space="preserve">Cerionx Inc (CI) and Merck Research Laboratories (MR), a unit of Merck &amp; Co
Inc, formed a 1-year strategic alliance to provide research and development
services in the United States. MR utilized CI's TipCharger Systems in its
siRNA screening and was expected to work collaboratively with CI to further
optimize the system's performance.</t>
  </si>
  <si>
    <t xml:space="preserve">15729V
3A4520</t>
  </si>
  <si>
    <t xml:space="preserve">Aqua Society GmbH
Loick AG
OGAS OHG
Undisclosed German Partner</t>
  </si>
  <si>
    <t xml:space="preserve">Pvd water tech research svcs
Mnfr bioplastics,biogas sys
Whl biomass raw materials
Investment firm</t>
  </si>
  <si>
    <t xml:space="preserve">Provide water technology
research services
Manufacture and develop
bioplastics, biogas energy
systems and other renewable
resource products that are
biologically degradable
Wholesale and distribute plant
based biomass raw materials to
biogas facilities
Investment firm</t>
  </si>
  <si>
    <t xml:space="preserve">8731
3822
5191
6799</t>
  </si>
  <si>
    <t xml:space="preserve">Germany
Germany
Germany
Germany</t>
  </si>
  <si>
    <t xml:space="preserve">FF
FF
FF
FF</t>
  </si>
  <si>
    <t xml:space="preserve">Aqua Society Inc
Loick AG
OGAS OHG
Undisclosed German Partner</t>
  </si>
  <si>
    <t xml:space="preserve">3585
3822
5191
6799</t>
  </si>
  <si>
    <t xml:space="preserve">AQUA SOCIETY GMBH /LOICK AG/ODAS OHG/UNDISCLOSED GERMAN PARTNER- JOINT
VENTURE</t>
  </si>
  <si>
    <t xml:space="preserve">Provide research and
development of renewable
energy services</t>
  </si>
  <si>
    <t xml:space="preserve">Aqua Society Inc (AS), Loick AG (LA), ODAS OHG (OD) and Undisclosed German
Partner (UG) formed a joint venture named TMR GmbH (TMR) to provide
research and development of renewable energy services in Germany. Under
terms of the agreement, AS held 51% interest wherein LA and OD each held
23.5% stake while the remaining 2% stake was held by UG who has granted TMR
the right to use certain technical processes. TMR was also expected to
manage renewable energy facilities.</t>
  </si>
  <si>
    <t xml:space="preserve">Research &amp; Development Services
Management Services</t>
  </si>
  <si>
    <t xml:space="preserve">51.00
23.50
23.50
2.00</t>
  </si>
  <si>
    <t xml:space="preserve">87049A</t>
  </si>
  <si>
    <t xml:space="preserve">03810M
47222Y
68568J
9048GQ</t>
  </si>
  <si>
    <t xml:space="preserve">Chemdiv Inc and Carna Biosciences Inc formed a strategic alliance to
provide research, development and marketing services of kinase proteins
globally. The alliance was intended for the production of small molecule
drug development use for cancer and other serious  diseases.</t>
  </si>
  <si>
    <t xml:space="preserve">Elusys Therapeutics Inc
MedImmune Inc</t>
  </si>
  <si>
    <t xml:space="preserve">Biotech co
Mnfr vaccines,pvd research svc</t>
  </si>
  <si>
    <t xml:space="preserve">Biotechnology company focused
on the development of targeted
anti-effective therapeutics
using Heteropolymer Antibodies
for the treatment of
infectious disease
Manufacture vaccines which
include Synagis (palivizumab),
Ethyol (amifostine), FluMist
(Influenza Virus Vaccine Live,
Intranasal), and CytoGam
(cytomegalovirus immune
globulin intravenous (human))
and with additional products
in clinical testing; provide
research and development
services to discover, develop,
manufacture and market
products that treat or prevent
infectious disease, cancer and
inflammatory disease</t>
  </si>
  <si>
    <t xml:space="preserve">NJ
MD</t>
  </si>
  <si>
    <t xml:space="preserve">ELLUSYS THERAPEUTICS INC/MEDIMMUNE INC-STRATEGIC ALLIANCE</t>
  </si>
  <si>
    <t xml:space="preserve">Elusys Therapeutics Inc (ET) and MedImmune Inc (MI) formed a strategic
alliance wherein ET licensed MI to utilize its proprietary Heteropolymer
(HP) Antibodies to develop new therapeutics for infectious disease targets
in the United States. ET was expected to receive upfront and milestone
payments as well as royalties on any future marketed products.</t>
  </si>
  <si>
    <t xml:space="preserve">29042P
584699</t>
  </si>
  <si>
    <t xml:space="preserve">CytoPathfinder Inc
Santen Pharmaceutical Co Ltd</t>
  </si>
  <si>
    <t xml:space="preserve">Biotechnology company
Mnfr,wholesale pharmaceuticals</t>
  </si>
  <si>
    <t xml:space="preserve">Biotechnology company
Santen Pharmaceutical Co
Ltd, headquartered in Osaka,
Japan, develops,
manufactures and wholesales
pharmaceuticals. The Company
operates in two business
divisions. The Medicine
segment has two divisions.
The ethical pharmaceutical
division is engaged in the
manufacture, purchase and
sale of ethical
pharmaceutical products. The
general pharmaceutical
division is engaged in the
manufacture and sale of
general pharmaceutical
products through its agents.
The Others segment has two
divisions. The medical
equipment division is
engaged in the import and
sale of optical-related
medical equipment, as well
as the development,
manufacture and sale of
intraocular lens. The others
division is engaged in the
provision of cleaning
services for sterilized
clothes. It was founded in
1890.</t>
  </si>
  <si>
    <t xml:space="preserve">CYTOPATH FINDER INC/SANTEN PHARMACEUTICAL CO LTD-STRATEGIC ALLIANCE</t>
  </si>
  <si>
    <t xml:space="preserve">Santen Pharmaceutical Co Ltd and CytoPathfinder Inc formed a 3-year
strategic alliance to provide research and development services of
ophthalmic agents in Japan. The alliance was expected to analyze the
biological actions of about 1,500 types of gene from 10 ml of cultured
cells.</t>
  </si>
  <si>
    <t xml:space="preserve">23181R
80282A</t>
  </si>
  <si>
    <t xml:space="preserve">Vanson HaloSource
Gentex Corp</t>
  </si>
  <si>
    <t xml:space="preserve">Mnfr chitin,chitosan prod
Mnfr automotive parts</t>
  </si>
  <si>
    <t xml:space="preserve">Manufacture chitin and
chitosan products, used in
water, juice, beer, and wine
clarification; protein and
byproduct recovery; wastewater
treatment and detoxification;
enzyme/living cell
immobilization; personal care
products; biomedicine;
biotechnology; textiles; pulp
and paper; agriculture;
coatings; adhesives;
photography; emulsions and
dietary supplements
Gentex Corp, located in
Milwaukee, Wisconsin, is a
manufacturer of automotive
parts, dimmable aircraft
windows and fire protection
security systems. The
company's products include
automatic-dimming rearview
mirrors, camera-based lighting
and driver-assist systems for
the automotive, aerospace, and
commercial industries. The
company was founded in 1974.</t>
  </si>
  <si>
    <t xml:space="preserve">2899
3714</t>
  </si>
  <si>
    <t xml:space="preserve">WA
MI</t>
  </si>
  <si>
    <t xml:space="preserve">HALO SOURCE CORP/GENTEX CORP-STRATEGIC ALLIANCE</t>
  </si>
  <si>
    <t xml:space="preserve">Vanson HaloSource and Gentex Corp formed a strategic alliance to provide
research and development services of protective chemical/biological
apparel, strippable barriers, and eactive coatings in the United States.</t>
  </si>
  <si>
    <t xml:space="preserve">92215N
371901</t>
  </si>
  <si>
    <t xml:space="preserve">PIERIS Proteolab AG
GE Healthcare</t>
  </si>
  <si>
    <t xml:space="preserve">Biopharmaceutical co
Manufacture diagnostic imaging equipment</t>
  </si>
  <si>
    <t xml:space="preserve">PIERIS Proteolab AG, located
in Freising-Weihenstephan,
Germany, is a
biopharmaceutical company
engaged in the discovery and
development of Anticalins (R),
a human proteins designed to
diagnose and treat serious
human disorders. The company
was founded in 2001.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</si>
  <si>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2834
3845</t>
  </si>
  <si>
    <t xml:space="preserve">FF
WI</t>
  </si>
  <si>
    <t xml:space="preserve">PIERIS Proteolab AG
General Electric Co</t>
  </si>
  <si>
    <t xml:space="preserve">2834
3612</t>
  </si>
  <si>
    <t xml:space="preserve">PIERIS PROTEOLAB AG/GE HEALTHCARE LTD(WAS 36963Y)-STRATEGIC ALLIANCE</t>
  </si>
  <si>
    <t xml:space="preserve">Pieris Proteolab AG and GE Healthcare Ltd, a unit of General Electric Co,
formed a strategic alliance to provide research and development services
for the discovery of novel targeted in vivo diagnostic and medical imaging
compounds to enable earlier detection and diagnosis of major diseases.</t>
  </si>
  <si>
    <t xml:space="preserve">72030T
36069Q</t>
  </si>
  <si>
    <t xml:space="preserve">Alcon Inc
Amgen Inc</t>
  </si>
  <si>
    <t xml:space="preserve">Manufacture and Wholesale eye care products
Manufacture human therapeutics</t>
  </si>
  <si>
    <t xml:space="preserve">Alcon Inc, headquarter in
Hunenberg, Switzerland,
manufacture and wholesale
eye care products. The
Company's core business is
centered on three key
divisions: Surgical,
Pharmaceutical and Consumer
Vision Care. It has offices
located in Canada and the
Far East; Europe, Middle
East and Africa; Latin
Americathe Caribbean; and
the United States. The
Company was founded in 1945.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</si>
  <si>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3851
2836</t>
  </si>
  <si>
    <t xml:space="preserve">Nestle SA
Amgen Inc</t>
  </si>
  <si>
    <t xml:space="preserve">2095
2836</t>
  </si>
  <si>
    <t xml:space="preserve">ALCON INC/AMGEN INC-STRATEGIC ALLIANCE</t>
  </si>
  <si>
    <t xml:space="preserve">Alcon Inc, a unit of Nestle SA, and Amgen Inc formed a strategic alliance
to develop and market ophthalmic disease therapeutics treatment solution in
the United States. The diseases to be treated includes age-related macular
degeneration,  glaucoma, allergy and dry eye.</t>
  </si>
  <si>
    <t xml:space="preserve">H01301
031162</t>
  </si>
  <si>
    <t xml:space="preserve">DiBcom SA
Alcatel SA</t>
  </si>
  <si>
    <t xml:space="preserve">Mnfr integrated circuits
Pvd commun solutions svcs</t>
  </si>
  <si>
    <t xml:space="preserve">DiBcom SA, located in
Palaiseau, France,
manufactures chipsets and
integrated circuits for mobile
TV, broadband Internet and
personal digital assistants.
It was founded in 2000.
Provide communications
solutions services, focusing
on fixed wireline and wireless
services, including voice and
data network services,
satellite, broadband Internet,
network management and
switching installation;
manufacture telecommunications
equipment; provide turnkey
systems design services;
provide enterprise solutions,
including IP telephony</t>
  </si>
  <si>
    <t xml:space="preserve">3674
3669</t>
  </si>
  <si>
    <t xml:space="preserve">DIBCOM SA/ALCATEL SA-STRATEGIC ALLIANCE</t>
  </si>
  <si>
    <t xml:space="preserve">DiBcom SA and Alcatel SA formed a strategic alliance to provide research
and development services of chipsets for television in France. The alliance
was to create synergy and to leverage on both the terrestrial and satellite
frequencies for mobile handsets. Terms were not disclosed.</t>
  </si>
  <si>
    <t xml:space="preserve">25285K
013904</t>
  </si>
  <si>
    <t xml:space="preserve">Aspreva Pharmaceuticals Corp
Chugai Pharmaceutical Co Ltd</t>
  </si>
  <si>
    <t xml:space="preserve">Mnfr pharm
Mnfr pharm prod</t>
  </si>
  <si>
    <t xml:space="preserve">Aspreva Pharmaceuticals Corp,
located in Victoria, British
Columbia, manufactures
prescription pharmaceuticals
intended for final
consumption, including biotech
products and antibiotics. It
is focused on evidence-based
medicines for patients with
less common diseases. The
company was founded in 2001.
Chugai Pharmaceutical Co
Ltd, headquartered in Tokyo,
Japan, manufactures and
wholesales pharmaceutical
products. The Company
operates in two business
segments. The Domestic sale
of pharmaceutical products
manufactured by the Company
through its nationwide
appointed stores. This
segment is also involved in
the research, development,
transportation and storage
of pharmaceutical products,
as well as the provision of
literature research services
for pharmaceutical
information. The Overseas
segment is engaged in the
sale of its pharmaceutical
products in oversea markets,
such as Germany, the United
Kingdom, France, Taiwan,
China Mainland, Korea and
the United States. This
segment is also involved in
the provision of
pharmaceutical academic
information, as well as the
research, development and
registration of
pharmaceutical products. The
Company was founded in 1925.</t>
  </si>
  <si>
    <t xml:space="preserve">Aspreva Pharmaceuticals Corp
Roche Holdings AG</t>
  </si>
  <si>
    <t xml:space="preserve">Canada
Switzerland</t>
  </si>
  <si>
    <t xml:space="preserve">ASPREVA PHARMACEUTICALS CORP/CHUGAI PHARMACEUTICAL CO LTD-STRATEGIC
ALLIANCE</t>
  </si>
  <si>
    <t xml:space="preserve">Aspreva Pharmaceuticals Corp (AP) and Chugai Pharmaceutical Co Ltd (CP), a
unit of Roche Holding AG, formed a strategic alliance wherein AP licensed
CP to utilize its existing clinical trial data to support the development
of mycophenolate mofetil for treatment of autoimmune diseases Japan.</t>
  </si>
  <si>
    <t xml:space="preserve">04538T
171268</t>
  </si>
  <si>
    <t xml:space="preserve">Evotec AG
Daiichi Sankyo Co Ltd</t>
  </si>
  <si>
    <t xml:space="preserve">Biotech co
Mnfr,whl pharm,agrochemicals</t>
  </si>
  <si>
    <t xml:space="preserve">Evotec AG, located in
Hamburg, Germany, is a
biotechnology company, with
locations in the UK and in
the US. The Group is
specializing in the
discovery and development of
novel small molecule drugs.
The company was founded in
1993.
Daiichi Sankyo Co Ltd,
headquartered in Tokyo,
Japan, is engaged in the
manufacturing and sale of
pharmaceuticals. The company
has two business segments.
The Pharmaceuticals segment
is involved in the research,
development, manufacturing
and sale of pharmaceuticals,
as well as the provision of
intermediates and basic
materials for pharmaceutical
making. The Others segment
is involved in the real
estate leasing, the
insurance agency business,
human resources and
management services. As of
March 31, 2010, the company
had 100 subsidiaries and
four associated companies.
The company was founded in
2005. 2005.</t>
  </si>
  <si>
    <t xml:space="preserve">EVOTEC AG(WAS 30048N)/SANKYO-STRATEGIC ALLIANCE</t>
  </si>
  <si>
    <t xml:space="preserve">Evotec AG (EV) and Daiichi Sankyo Co Ltd (DS) formed a strategic alliance
to provide research and development services. The alliance aimed to
identify small molecule therapeutics for pharmaceutical discovery projects.
DS selected disease targets wherein EV was to apply its skills and
proprietary technologies in assay development and screening.</t>
  </si>
  <si>
    <t xml:space="preserve">D1646D
J11257</t>
  </si>
  <si>
    <t xml:space="preserve">Ilypsa Inc
Astellas Pharma Inc</t>
  </si>
  <si>
    <t xml:space="preserve">Biotechnology company
Mnfr,whl pharm</t>
  </si>
  <si>
    <t xml:space="preserve">disorders Biotechnology
company specializing in
developing non-absorbed drugs
for renal
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t>
  </si>
  <si>
    <t xml:space="preserve">ILYPSA INC/ASTELLAS PHARMA INC-STRATEGIC ALLIANCE</t>
  </si>
  <si>
    <t xml:space="preserve">Ilypsa Inc (II) and Astellas Pharma Inc (AP) formed a strategic alliance
wherein II exclusively licensed AP to develop and market ILY101 for the
treatment of hyperphosphatemia in Japan. The alliance was a strategic move
for the partners to manufacture a drug compound for the treatment of
abnormal high blood concentrations of phosphorus.</t>
  </si>
  <si>
    <t xml:space="preserve">Licensing Services
Exclusive Licensing Services
Research &amp; Development Services
Marketing Services</t>
  </si>
  <si>
    <t xml:space="preserve">45467Z
J03393</t>
  </si>
  <si>
    <t xml:space="preserve">Phosphagenics Ltd
Nestle SA</t>
  </si>
  <si>
    <t xml:space="preserve">Biotechnology company
Produce, wholesale general food products</t>
  </si>
  <si>
    <t xml:space="preserve">Phosphagenics Ltd is a
biotechnology company
headquartered in Melbourne,
Australia. It focuses on the
discovery of new cost
effective ways to enhance
the bioavailability,
activity, safety and
delivery of proven
pharmaceutical and
nutraceutical products.
Nestle SA, located in Vevey,
Switzerland, produces and
wholesales chocolate drinks,
cereals, baby foods, soups,
sauces and heat-and-serve
dishes, chocolate and
confectionery, frozen foods
and ice cream, and
refrigerated foods such as
yogurts, cheeses and cold
meats. The Company was
founded in 1860.</t>
  </si>
  <si>
    <t xml:space="preserve">2836
2095</t>
  </si>
  <si>
    <t xml:space="preserve">Australia
Switzerland</t>
  </si>
  <si>
    <t xml:space="preserve">PHOSPHAGENICS LTD(WAS 92820Y)/NESTLE SA-STRATEGIC ALLIANCE</t>
  </si>
  <si>
    <t xml:space="preserve">Phosphagenics Ltd (PL) and Nestle SA (NS) formed a strategic alliance to
provide research and development services. The alliance was expected to
develop PL's Phospha E for use in NS' products. The alliance was expected
to develop a product rich on vitamin E to prevent and treat metabolic
syndrome.</t>
  </si>
  <si>
    <t xml:space="preserve">71918E
641069</t>
  </si>
  <si>
    <t xml:space="preserve">Circadian Technologies Ltd
LICR
Licentia Oy</t>
  </si>
  <si>
    <t xml:space="preserve">Manufacture biologics drugs
Pvd cancer research svcs
Pvd licensing svcs</t>
  </si>
  <si>
    <t xml:space="preserve">Circadian Technologies Ltd,
headquartered in Toorak,
Victoria, manufactures
biologics drugs for cancer
treatment. It provides
management and funding
services for pharmaceutical
research and development
projects for Australian and
New Zealand universities to
the stage where it seeks
collaborative and/or licensing
arrangements with
international pharmaceutical
companies. It undertakes
programs in neurosciences and
cancer which includes
development of new
technologies with applications
in cancer vaccines and peptide
therapeutics. The company also
invests in Australian
technology.
Ludwig Institute for Cancer
Research {LICR}, based in New
York, New York, is a
non-profit research institute
that provides cancer research
studies and services. It
conducts long-term basic and
clinical research programs
that include scientific
studies such as genetics,
biochemistry, cell biology and
immunology. The company has
nine branches in seven
countries across Australasia,
Europe, North America and
South America.
Licentia Oy, headquartered in
Helsinki, Finland, provides
licensing services. It is
principally involved in
providing health care
technology and knowledge
transfer services,
specializing in valuation,
licensing, and
commercialization of
Intellectual Property. Its
clients are comprised of
small-medium sized
corporations, start-up
companies, private IP holders,
universities and research
institutions. Its chief
technologies are centered on
cancer research, neuroscience
and molecular diagnostics. The
company was established in
2001.</t>
  </si>
  <si>
    <t xml:space="preserve">2836
8641
6794</t>
  </si>
  <si>
    <t xml:space="preserve">Australia
United States
Finland</t>
  </si>
  <si>
    <t xml:space="preserve">FF
NY
FF</t>
  </si>
  <si>
    <t xml:space="preserve">Circadian Technologies Ltd
LICR
University of Helsinki</t>
  </si>
  <si>
    <t xml:space="preserve">2836
8641
8221</t>
  </si>
  <si>
    <t xml:space="preserve">CIRCADIAN TECHNOLOGIES LTD/LUDWIG INSTITUTE FOR CANCER RESEARCH/LICENTIA
LTD-VEGENICS LTD JOINT VENTURE</t>
  </si>
  <si>
    <t xml:space="preserve">Provide intellectual property
development services of
molecules known as vascular
endothelial growth factors
(VEGF)</t>
  </si>
  <si>
    <t xml:space="preserve">Australia</t>
  </si>
  <si>
    <t xml:space="preserve">Circadian Technologies Ltd (CT), Ludwig Institute for Cancer Research (LI)
and Licentia Oy (LO), a unit of University of Helsinki, formed a joint
venture named Vegenics Ltd (VL) to provide vascular endothelial growth
(VEGF) factors development and marketing services in Australia. Under terms
of the agreement, CT hel 50% interest while the reamining 50 interest was
to be held by LI and LO. VL initially focused on developing peptide and
antibody antagonists to two forms of VEGF (VEGF-C and VEGF-D) as anti
tumour agent. CT made an initial equity injection of $ 3.03 mil US (4 mil
Australian dollars/ 2.41 mil euros in VL.</t>
  </si>
  <si>
    <t xml:space="preserve">50.00
25.00
25.00</t>
  </si>
  <si>
    <t xml:space="preserve">Circadian Technologies Ltd made an initial equity injection of $ 3.03 mil
US (4 mil Australian dollars/ 2.41 mil euros in Vegenics Ltd.</t>
  </si>
  <si>
    <t xml:space="preserve">92317T</t>
  </si>
  <si>
    <t xml:space="preserve">17253R
54973M
53178T</t>
  </si>
  <si>
    <t xml:space="preserve">Biocoral Inc
Terumo Europe NV</t>
  </si>
  <si>
    <t xml:space="preserve">Biotechnology company
Manufacture,wholesale medical equipments</t>
  </si>
  <si>
    <t xml:space="preserve">Biotechnology company
Terumo Europe NV, located in
Leuven, Belgium, manufactures
and wholesales medical
equipments. It offers products
for angiography, cardiology
and cardiovascular systems,
transfusion, clinical test
systems and patient
monitoring. The company was
founded in 1971.</t>
  </si>
  <si>
    <t xml:space="preserve">2836
3841</t>
  </si>
  <si>
    <t xml:space="preserve">United States
Belgium</t>
  </si>
  <si>
    <t xml:space="preserve">DE
FF</t>
  </si>
  <si>
    <t xml:space="preserve">Biocoral Inc
Gambro AB</t>
  </si>
  <si>
    <t xml:space="preserve">United States
Sweden</t>
  </si>
  <si>
    <t xml:space="preserve">2836
8092</t>
  </si>
  <si>
    <t xml:space="preserve">BIOCORAL INC/TERUMO EUROPE NV-STRATEGIC ALLIANCE</t>
  </si>
  <si>
    <t xml:space="preserve">Biocoral Inc (BI) and Terumo Europe NV, a unit of Terumo Corp, formed a
strategic alliance to provide research and development services. The
alliance conducted a test protocol to insure the feasibility of producing
Thrombin from therapeutic plasma in contact with BI's product. The alliance
confirmed such feasibility of the technology. In addition, the alliance was
also expected to provide marketing services of medical devices.</t>
  </si>
  <si>
    <t xml:space="preserve">090935
88209J</t>
  </si>
  <si>
    <t xml:space="preserve">Genzyme Pharmaceuticals
Brookwood Pharmaceuticals Inc</t>
  </si>
  <si>
    <t xml:space="preserve">Mnfr pharm
Mnfr prescription pharm</t>
  </si>
  <si>
    <t xml:space="preserve">Manufacture prescription
pharmaceuticals intended for
final consumption, including
biotech products and
antibiotics
Manufacture prescription
pharmaceuticals intended for
final consumption</t>
  </si>
  <si>
    <t xml:space="preserve">MA
AL</t>
  </si>
  <si>
    <t xml:space="preserve">Genzyme Corp
Southern Research Institute</t>
  </si>
  <si>
    <t xml:space="preserve">GENZYME PHARMACEUTICALS/BROOKWOOD PHARMACEUTICALS INC-STRATEGIC ALLIANCE</t>
  </si>
  <si>
    <t xml:space="preserve">Genzyme Pharmaceuticals  (GP), a unit of Genzyme Corp, and Brookwood
Pharmaceuticals Inc (BP), a unit of Southern Research Institute, planned to
form a strategic alliance to provide research and development services in
the United States. The alliance was to develop novel drug delivery
solutions with initial focus on peptide delivery. The alliance was to
combine capabilities and knowledge of GP and BP in the design of peptide
and delivery systems to develop sophisticated pharmaceutical products for
patients.</t>
  </si>
  <si>
    <t xml:space="preserve">37275W
11474V</t>
  </si>
  <si>
    <t xml:space="preserve">New Life Scientific Inc
Biorigen Srl</t>
  </si>
  <si>
    <t xml:space="preserve">Mnfr pharmaceuticals
Biotechnology company</t>
  </si>
  <si>
    <t xml:space="preserve">Manufacture prescription
pharmaceuticals intended for
final consumption, including
biotech products and
antibiotics
Biotechnology company</t>
  </si>
  <si>
    <t xml:space="preserve">United States
Italy</t>
  </si>
  <si>
    <t xml:space="preserve">NEW LIFE SCIENCTIFIC INC/BIORIGEN SRL-JOINT VENTURE</t>
  </si>
  <si>
    <t xml:space="preserve">New Life Scientific Inc and Biorigen Srl planned to form a joint venture
(JV) to provide bone repair research and development services in the United
States. The JV was to provide and offer a treatment of large bone defects,
due to either  pathologies or trauma and for remodeling of bones in
repairing of inborn and accidental defects.</t>
  </si>
  <si>
    <t xml:space="preserve">64647Y
08996K</t>
  </si>
  <si>
    <t xml:space="preserve">Cellectricon AB
AstraZeneca AB</t>
  </si>
  <si>
    <t xml:space="preserve">Biotechnology company focused
on the development of
microfabricated cell-based
tools for pharmaceutical and
biotechnology industries
AstraZeneca AB, located in
Sodertalje, Sweden,
manufactures prescription
pharmaceuticals intended for
final consumption, including
biotech products and
antibiotics. The company was
founded in 1999.</t>
  </si>
  <si>
    <t xml:space="preserve">Sweden
Sweden</t>
  </si>
  <si>
    <t xml:space="preserve">Cellectricon AB
AstraZeneca PLC</t>
  </si>
  <si>
    <t xml:space="preserve">Sweden
United Kingdom</t>
  </si>
  <si>
    <t xml:space="preserve">CELLECTRICON AB/ASTRAZENECA AB-STRATEGIC ALLIANCE</t>
  </si>
  <si>
    <t xml:space="preserve">Sweden</t>
  </si>
  <si>
    <t xml:space="preserve">Cellectricon AB and AstraZeneca AB, a unit of AstraZeneca PLC, planned to
form a strategic alliance to provide research and development services in
Sweden. The alliance was to study the possibility of of developing a new
cell-based microfluidic screening platform. The alliance aims to advance
the performance of cell-based ion channel assays in screening applications.</t>
  </si>
  <si>
    <t xml:space="preserve">15095Y
04644K</t>
  </si>
  <si>
    <t xml:space="preserve">AEterna Zentaris Inc
University of Montreal</t>
  </si>
  <si>
    <t xml:space="preserve">Pvd drug dvlp svcs
Own,op college,university</t>
  </si>
  <si>
    <t xml:space="preserve">AEterna Zentaris Inc is a
manufacturer of biological
products. The Company was
founded in September 1990
and is located in Quebec,
Canada.
Own and operate college and
university</t>
  </si>
  <si>
    <t xml:space="preserve">AETERNA ZENTARIS INC/UNIVERSITY OF MONTREAL-STRATEGIC ALLIANCE</t>
  </si>
  <si>
    <t xml:space="preserve">Canada</t>
  </si>
  <si>
    <t xml:space="preserve">AEterna Zentaris Inc (AZ) and University of Montreal (UM) planned to form a
3-year strategic alliance to provide research and development services  in
Canada. The alliance was to launch a preclinical project on the role of
ghrelin in the development of obesity which was to cost 1.08 mil US dollars
(1.2 mil Canadian dollars). The alliance was to provide treatment against
obesity and other related metabolic disorders.</t>
  </si>
  <si>
    <t xml:space="preserve">The alliance was to cost 1.08 mil US dollars (1.2 Canadian dollars).</t>
  </si>
  <si>
    <t xml:space="preserve">007975
91439V</t>
  </si>
  <si>
    <t xml:space="preserve">Ultratech Stepper East-Resist
BioProgress PLC</t>
  </si>
  <si>
    <t xml:space="preserve">Mnfr lithography prods
Mnfr,whl soluble pharm prod</t>
  </si>
  <si>
    <t xml:space="preserve">Manufacture lithographs
products
Manufacture and wholesale non
gelatine-based soluble
pharmaceutical products,
including artificial saliva,
mouthwash, vein circulation
tonic, snoring-reduction
products and diuretic tablets
for the treatment of
hypertension, based on the
XGEL polymer technology</t>
  </si>
  <si>
    <t xml:space="preserve">3674
2834</t>
  </si>
  <si>
    <t xml:space="preserve">TX
FF</t>
  </si>
  <si>
    <t xml:space="preserve">Ultratech Inc
BioProgress PLC</t>
  </si>
  <si>
    <t xml:space="preserve">3559
2834</t>
  </si>
  <si>
    <t xml:space="preserve">ULURU INC/BIOPROGRESS PLC-STRATEGIC ALLIANCE</t>
  </si>
  <si>
    <t xml:space="preserve">ULURU Inc and BioProgress PLC formed a strategic alliance to provide
research and development services of anti-emetic product for the relief of
nausea globally. The joint product was in a form of films strips, which
dissolves instantly while releasing the embedded active ingredients. The
alliance was expected to create synergy and to leverage further the
partners market share in the pharmaceutical industry.</t>
  </si>
  <si>
    <t xml:space="preserve">90603H
G11218</t>
  </si>
  <si>
    <t xml:space="preserve">Visualant Inc
RatLab LLC</t>
  </si>
  <si>
    <t xml:space="preserve">Mnfr pattern scanning equip
Pvd research,dvlp svcs</t>
  </si>
  <si>
    <t xml:space="preserve">Visualant Inc, located in
Seattle, Washington,
manufactures pattern scanning
equipment. It also develops
security and quality control
software focused on homeland
security, anti-counterfeiting,
forgery, fraud prevention,
brand protection and process
control applications. The
company was founded in 1998.
Provide research and
development services in the
field of human interface
technology</t>
  </si>
  <si>
    <t xml:space="preserve">3829
8732</t>
  </si>
  <si>
    <t xml:space="preserve">WA
WA</t>
  </si>
  <si>
    <t xml:space="preserve">VISUALANT INC/RATLAB LLC-STRATEGIC ALLIANCE</t>
  </si>
  <si>
    <t xml:space="preserve">Visualant Inc (VI) and RatLab LLC formed a strategic alliance to provide
research and development services in the United States.</t>
  </si>
  <si>
    <t xml:space="preserve">928449
75401K</t>
  </si>
  <si>
    <t xml:space="preserve">Reveo Inc
University of Washington</t>
  </si>
  <si>
    <t xml:space="preserve">Pvd research,dvlp svcs
Own, operate university</t>
  </si>
  <si>
    <t xml:space="preserve">Provide research services for
the developmwnt of medical
equipment such as 3D
stereoscopic imaging device
and aligened cholesteric
liquid crystal inks; holding
company
University of Washington is a
college operator. The Company
is located in Seattle,
Washington.</t>
  </si>
  <si>
    <t xml:space="preserve">8731
8221</t>
  </si>
  <si>
    <t xml:space="preserve">NY
WA</t>
  </si>
  <si>
    <t xml:space="preserve">Reveo Inc
United States of America</t>
  </si>
  <si>
    <t xml:space="preserve">8731
999A</t>
  </si>
  <si>
    <t xml:space="preserve">REVEO INC/UNIVERSITY OF WASHINGTON AT SEATTLE-STRATEGIC ALLIANCE</t>
  </si>
  <si>
    <t xml:space="preserve">Reveo Inc (RI) and University of Washington (UW) formed a startegic
alliance to provide rapid DNA sequencer development services in the United
States. RI and UW collaborated to develop a technology that allows for
rapid sequencing of DNA using novel nano-scale electronic and photonic
effects that allow for bypassing many biochemical steps necessary in
conventional DNA sequencing methods.</t>
  </si>
  <si>
    <t xml:space="preserve">76214Y
91510P</t>
  </si>
  <si>
    <t xml:space="preserve">Viragen Inc
AFG Solutions Inc</t>
  </si>
  <si>
    <t xml:space="preserve">Viragen Inc, located in
Plantation, Florida, is a
biotechnology company
specializing in research,
development and
commercialization of natural
and recombinant protein-based
drugs for viral and malignant
disease. The firm operates in
the US, Scotland and Sweden.
Provide research and
development services focusing
on the development of vaccines
and antibodies for diagnostics
and treatments</t>
  </si>
  <si>
    <t xml:space="preserve">FL
MD</t>
  </si>
  <si>
    <t xml:space="preserve">VIRAGEN INC/AFG BIOSOLUTIONS INC-STRATEGIC ALLIANCE</t>
  </si>
  <si>
    <t xml:space="preserve">Florida</t>
  </si>
  <si>
    <t xml:space="preserve">Viragen Inc (VI) and AFG Biosolutions Inc (AB) formed a strategic alliance
to provide research and development services in the United States. AB was
expected to conduct in vivo research studies using Multiferon to evaluate
its utility as a broad-acting anti-viral agent against biological threats.
The alliance committed on identifying the best defenses, including the best
drug candidates, that can mitigate risks associated with biological
weapons.</t>
  </si>
  <si>
    <t xml:space="preserve">927638
01132M</t>
  </si>
  <si>
    <t xml:space="preserve">Angiotech Pharmaceuticals Inc
Genzyme Corp</t>
  </si>
  <si>
    <t xml:space="preserve">Angiotech Pharmaceuticals Inc,
located in Vancouver, British
Columbia, is a biotechnology
company focusing in the field
of drug-eluting medical
devices and biomaterials by
adding drugs to medical
devices and biomaterials. It
develops products for local
diseases or for complications
relating to medical device
implants, surgical
interventions, and acute
injury. It distributes its
surgical, bioscopy and
interventional products in the
US and Europe. The company was
founded in 1992.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</si>
  <si>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ANGIOTECH PHARMACEUTICALS INC/GENZYME CORP-STRATEGIC ALLIANCE</t>
  </si>
  <si>
    <t xml:space="preserve">Angiotech Pharmaceuticals Inc (AP) and Genzyme Corp (GP) formed a strategic
alliance to provide research and development services. The alliance aimed
to develop therapies for cancer patients undergoing surgical removal of
tumors. AP and GP were expected to create treatments that targets the
prevention of re-growth after a surgery through application of anti-cancer
therapeutic. AP and AG contributed their expertise in drug screening and
development, cell biology, biomaterials and oncology to develop products
for surgical oncologists and patients.</t>
  </si>
  <si>
    <t xml:space="preserve">034918
372917</t>
  </si>
  <si>
    <t xml:space="preserve">Paincare Holdings Inc
Solstice Neurosciences Inc</t>
  </si>
  <si>
    <t xml:space="preserve">Own,op health svc ctrs
Mnfr,whl pharmaceuticals</t>
  </si>
  <si>
    <t xml:space="preserve">PainCare Holdings Inc,
headquartered in the United
States, owns and operates
ancillary imaging and surgery
centers. It offers services
such as therapeutic
injections, radio frequency
treatments, physical and
behavioral therapies,
orthopedic surgery, minimally
invasive spine surgery and
foot and ankle surgery that
treat both the chronic and
acute pain patients. The
Company also provides
orthopedic rehabilitation,
electrodiagnostic, diagnostic
imagery and intra-articular
joint programs. The Company
was founded in 1984.
Solstice Neurosciences Inc is
a pharmaceuticals manufacturer
and wholesaler, headquartered
in San Francisco, California,
US. The company was founded in
2004.</t>
  </si>
  <si>
    <t xml:space="preserve">8099
2834</t>
  </si>
  <si>
    <t xml:space="preserve">FL
CA</t>
  </si>
  <si>
    <t xml:space="preserve">PAINCARE HOLDINGS INC/SOLSTICE NEUROSCIENCES INC-STRATEGIC ALLIANCE</t>
  </si>
  <si>
    <t xml:space="preserve">PainCare Holdings Inc (PH) and Solstice Neurosciences Inc (SN) formed a
strategic alliance to provide research and development services in the
United States. The alliance aimed to focus on reducing the suffering of
patients with neck pain associated with cervical dystonia.  PI  instituted
a screening program and had chosen SN's Myobloc as therapy to minimize the
use of narcotics as treatment for patients. In addition to the screening,
the alliance was expected to provide educational programs.</t>
  </si>
  <si>
    <t xml:space="preserve">69562E
83667R</t>
  </si>
  <si>
    <t xml:space="preserve">Medarex Inc
Oxford Genome Sciences UK Ltd</t>
  </si>
  <si>
    <t xml:space="preserve">Biopharm co
Biotechnology company</t>
  </si>
  <si>
    <t xml:space="preserve">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
Oxford Genome Sciences UK Ltd,
located in Oxon, UK, is a
biotechnology company focusing
in the discovery and
development of novel
therapeutic medicine for the
treatment of cancer. The
company was founded in 2004.</t>
  </si>
  <si>
    <t xml:space="preserve">MEDAREX INC/OXFORD GENOME SCIENCES UK LTD-STRATEGIC ALLIANCE</t>
  </si>
  <si>
    <t xml:space="preserve">Medarex Inc (MI) and Oxford Genome Sciences UK Ltd (OG) formed a strategic
alliance to provide research and development services. The alliance aimed
to develop and discover new antibody therapeutics for treatment of cancers,
particularly colorectal cancer. The alliance was expected to combine MI's
expertise in development of fully human antibody therapeutics and OG's
ability to discover novel targets for oncology. Financial terms were not
disclosed</t>
  </si>
  <si>
    <t xml:space="preserve">583916
69145F</t>
  </si>
  <si>
    <t xml:space="preserve">Intercell AG
Merck &amp; Co Inc</t>
  </si>
  <si>
    <t xml:space="preserve">Intercell AG, headquartered in
Vienna, Austria, is a
biotechnology company which
focuses on the design and
development of novel vaccines
for the prevention and
treatment of infectious
diseases with substantial
unmet medical need. The
Company develops antigens and
adjuvants which are derived
from its proprietary
technology platforms, and has
in-house GMP manufacturing
capabilities. The company was
founded in 1998.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</si>
  <si>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Austria
United States</t>
  </si>
  <si>
    <t xml:space="preserve">INTERCELL AG/MERCK &amp; CO INC-STRATEGIC ALLIANCE</t>
  </si>
  <si>
    <t xml:space="preserve">Intercell AG and Merck &amp; Co Inc formed a strategic alliance to provide
research and development services of human monoclonal antibodies against
severe infections caused by Staphylococcus aureu globally. Under terms of
the agreement, the partners were to be  responsible for the pre-clinical
and clinical development, registration and marketing of the product to
further leverage their combine expertise for the treatment of infectious
diseases.</t>
  </si>
  <si>
    <t xml:space="preserve">45541V
589331</t>
  </si>
  <si>
    <t xml:space="preserve">SoftBank Corp
Apple Computer Inc</t>
  </si>
  <si>
    <t xml:space="preserve">Pvd wireless telecommun svcs
Mnfr personal computers</t>
  </si>
  <si>
    <t xml:space="preserve">SoftBank Corp, located in
Tokyo, Japan, provides
wireless telecommunication
services. It is a holding
company which operates in
five business segments. The
mobile communication segment
provides mobile
communication services and
sells attached cellular
phone terminals. Broadband
and Infrastructure segment
provides high-speed Internet
access services, Internet
protocol (IP) phone services
and contents. The fixed
communication segment
provides fixed communication
service. Internet culture
segment is engaged in the
Internet advertising
business, the operation of
various electronic commerce
sites, and the provision of
membership services. Other
distribution of software and
peripheral devices for
personal computers and the
operation of Fukuoka
SoftBank Hawks-related
business. The company was
founded in 1981.
Manufacture, develop, sell
and support a series of
personal computers, portable
media players, computer
software, and computer
hardware accessories; its
most well known products
include the Macintosh line
of personal computers, the
Mac OS X operating system,
the iPod portable music
player, and the iTunes Store</t>
  </si>
  <si>
    <t xml:space="preserve">4812
3571</t>
  </si>
  <si>
    <t xml:space="preserve">SOFTBANK CORP/APPLE COMPUTER INC-STRATEGIC ALLIANCE</t>
  </si>
  <si>
    <t xml:space="preserve">Softbank Corp (SC) and Apple Computer Inc (AC) planned to form a strategic
alliance to provide research and development services of mobile phones that
have iPod music players function in Japan. Initially, the handsets were to
be connected to personal computers in order to access the iTunes Music
Store download music however, new service was to be offered next year that
allows users to download songs to compatible cell phones that SC and AC
were to develop. Financial terms were not disclosed</t>
  </si>
  <si>
    <t xml:space="preserve">J75963
037833</t>
  </si>
  <si>
    <t xml:space="preserve">Athersys Inc
ADDVANCE</t>
  </si>
  <si>
    <t xml:space="preserve">OH
FF</t>
  </si>
  <si>
    <t xml:space="preserve">BTHC VI Inc
Angiotech Pharmaceuticals Inc</t>
  </si>
  <si>
    <t xml:space="preserve">ATHERSYS INC/ADDVANCE-STRATEGIC ALLIANCE</t>
  </si>
  <si>
    <t xml:space="preserve">Athersys Inc (AI) and ADDVANCE (AD), a unit of Angiotech Pharmaceuticals
Inc, formed a strategic alliance to provide research and development
services. The alliance developed cell-based products for treating
cardiovascular diseases. AI and AD were expected to focus on AI's
proprietary adult-derived stem cell product known as MultiStem, to treat
patients who suffer a heart attack.</t>
  </si>
  <si>
    <t xml:space="preserve">04742F
75266Y</t>
  </si>
  <si>
    <t xml:space="preserve">deCode Genetics Inc
Illumina Inc</t>
  </si>
  <si>
    <t xml:space="preserve">Biopharm company
Manufacture,wholesale science tools,systems</t>
  </si>
  <si>
    <t xml:space="preserve">deCode Genetics Inc, located
in Reykjavik, Iceland, is a
biopharmaceutical company
applying its discoveries in
human genetics to develop
drugs and diagnostics for
common diseases.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</si>
  <si>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2836
3826</t>
  </si>
  <si>
    <t xml:space="preserve">Iceland
United States</t>
  </si>
  <si>
    <t xml:space="preserve">DECODE GENETICS INC/ILLUMINA INC-STRATEGIC ALLIANCE</t>
  </si>
  <si>
    <t xml:space="preserve">deCODE genetics Inc and Illumina Inc formed a strategic alliance to provide
research and development services. The alliance was expected to co-develop
and commercialize DNA-based diagnostic tests in major disease areas.</t>
  </si>
  <si>
    <t xml:space="preserve">243586
452327</t>
  </si>
  <si>
    <t xml:space="preserve">Carna Biosciences Inc
Enamine Ltd</t>
  </si>
  <si>
    <t xml:space="preserve">Dvlp medice
Biotech co</t>
  </si>
  <si>
    <t xml:space="preserve">The company''s principal
activity is to develop
protein kinase. The
company''s operations are
carried out through the
following businesses:Drug
discovery support
division-Develop protein
kinase, assay and provide
profilling &amp; screening
services to pharmaceutical
companies. Drug discovery
division-Research and
develop protein kinase with
other companies and
univercities.
Enamine Ltd is a
manufacturer of biological
products. The Company is
located in Kiev, Ukraine.</t>
  </si>
  <si>
    <t xml:space="preserve">Japan
Ukraine</t>
  </si>
  <si>
    <t xml:space="preserve">CARNA BIOSCIENCES INC/ENAMINE LTD-STRATEGIC ALLIANCE</t>
  </si>
  <si>
    <t xml:space="preserve">Carna Biosciences Inc (CB) and Enamine Ltd (EL) formed a strategic alliance
to provide research and development services. The alliance was expected to
discover and develop lead compounds against targeted kinase.</t>
  </si>
  <si>
    <t xml:space="preserve">14347V
29557J</t>
  </si>
  <si>
    <t xml:space="preserve">Samsung Electronics Co Ltd
MTI Micro Fuel Cells Inc</t>
  </si>
  <si>
    <t xml:space="preserve">Radio and Television Broadcasting and Wireless Communications Equipment Manufacturing
Mnfr battery</t>
  </si>
  <si>
    <t xml:space="preserve">Samsung Electronics Co Ltd,
located in Suwon, South
Korea, manufactures and
wholesales consumer
electronic products. It
operates in three business
divisions: consumer
electronics (CE) division,
which involves in the color
televisions (CTVs),
monitors, printers, air
conditioners, refrigerators,
laundry machines and others;
information technology &amp;
mobile communications (IM)
division, which involves in
the production of computers,
handhold phones (HHPs),
network systems, digital
cameras and others, as well
as device solutions (DM)
division, which is divided
into semiconductor and
display business parts,
providing dynamic random
access memories (DRAMs),
flashes, thin film
transistor-liquid crystal
displays (TFT-LCDs) and
others. It is also a holding
company. The Company
distributes its products
within domestic market and
to overseas markets. It was
founded in 1969.
MTI Micro Fuel Cells Inc,
located in albany, New York,
manufactures cord-free
rechargeable battery and
direct methanol fuel cell
(DMFC) technology called
Mobion for portable
electronics.</t>
  </si>
  <si>
    <t xml:space="preserve">3663
3691</t>
  </si>
  <si>
    <t xml:space="preserve">South Korea
United States</t>
  </si>
  <si>
    <t xml:space="preserve">Samsung Electronics Co Ltd
Mechanical Technology Inc</t>
  </si>
  <si>
    <t xml:space="preserve">3663
3511</t>
  </si>
  <si>
    <t xml:space="preserve">SAMSUNG ELECTRONICS CO LTD/MTI MICROFUEL CELLS INC-STRATEGIC ALLIANCE</t>
  </si>
  <si>
    <t xml:space="preserve">Samsung Electronics Co Ltd and MTI Micro Fuel Cells Inc, a unit of
Mechanical Technology Inc planned to form a strategic alliance to provide
research and development services of fuel cell prototypes battery globally.
The alliance was a strategic move for the partners to create synergy in
their product development.</t>
  </si>
  <si>
    <t xml:space="preserve">796050
06087M</t>
  </si>
  <si>
    <t xml:space="preserve">Xintek Inc
Mitsui &amp; Co Ltd</t>
  </si>
  <si>
    <t xml:space="preserve">Mnfr nanotube
Domestic,intl whl trading co</t>
  </si>
  <si>
    <t xml:space="preserve">Xintek Inc, located in
Research Triangle Park, North
Carolina, develops and
manufactures
nanotechnology-enabled
products for range of
applications including
diagnostic medical imaging,
homeland security, and
information display, with
products such as carbon
nanotube materials, and carbon
nanotube enabled cold diode
and triode cathodes, AFM tips
and x-ray tubes.
Mitsui &amp; Co Ltd, based in
Tokyo, Japan, is a domestic
and international wholesale
trading company. Its principal
activities are to distribute
various commodities, finance
for customers and organize and
coordinate industrial
projects. The operations are
carried out through the
following divisions: Iron &amp;
Steel Products include iron
and steel products. Iron &amp;
Steel Raw Materials and
Non-Ferrous Metals include
iron and non-ferrous metals.
Machinery &amp; Infrastructure
Projects is engaged in
machinery products, leasing,
financing. Chemical
manufactures division, sells
and trades chemical products.
Energy includes oil, gas and
related products. Foods &amp;
Retail manufactures division,
sells and trades foods.
Lifestyle, Consumer Service
and Information, Electronics &amp;
Telecommunication includes
textiles and IT products for
consumers. Logistics &amp;
Financial Markets engages in
logistics services, insurance
and financial businesses. The
Company conducts trades in
Americas, Europe, Asia and
Africa in various commodities
and related business, led by
overseas trading subsidiaries.
The company was founded in
1947.</t>
  </si>
  <si>
    <t xml:space="preserve">3671
5094</t>
  </si>
  <si>
    <t xml:space="preserve">Nano Proprietary Inc
Mitsui &amp; Co Ltd</t>
  </si>
  <si>
    <t xml:space="preserve">8731
5094</t>
  </si>
  <si>
    <t xml:space="preserve">APPLIED NANOTECH INC/MITSUI &amp; CO LTD-STRATEGIC ALLIANCE</t>
  </si>
  <si>
    <t xml:space="preserve">Xintek Inc, a unit of Nano-Proprietary Inc, and Mitsui &amp; Co Ltd planned to
form a strategic alliance to provide research and development services of
carbon nanotube (CNT) field emission products globally. The alliance was
for the partners to create synergy in their manufacturing technology and to
leverage their combined expertise.</t>
  </si>
  <si>
    <t xml:space="preserve">98415W
606827</t>
  </si>
  <si>
    <t xml:space="preserve">Devgen NV
Pioneer Hi-Bred International</t>
  </si>
  <si>
    <t xml:space="preserve">Mnfr biotechnology prod
Pvd crop research services</t>
  </si>
  <si>
    <t xml:space="preserve">Devgen NV, located in Ghent,
Belgium, manufactures
biotechnology products, to
protect crops from damage. It
also discovers, develops and
commercializes the products.
It has offices in Belgium,
Singapore, India and the
United States. The company was
founded in 1997.
Pioneer Hi-Bred International
Inc, located in Johnston,
Iowa, provides crop research
services. It provides genetic
research services for hybrid
corn, sorghum, sunflowers,
soybeans, alfalfa and wheat.
It also manufactures
agricultural pesticides and
produces and wholesales hybrid
seed corn, sorghum, sunflower,
soybean, alfalfa, canola and
wheat, as well as forage and
grain additives. The Company
was founded in 1926.</t>
  </si>
  <si>
    <t xml:space="preserve">FF
IA</t>
  </si>
  <si>
    <t xml:space="preserve">Devgen NV
DuPont</t>
  </si>
  <si>
    <t xml:space="preserve">2836
2821</t>
  </si>
  <si>
    <t xml:space="preserve">DEVGEN NV/PIONEER HI-BRED INTERNATIONAL INC-STRATEGIC ALLIANCE</t>
  </si>
  <si>
    <t xml:space="preserve">Pioneer Hi-Bred International Inc, a unit of Ei Du Pont De Nemours &amp; Co,
and Devgen NV formed a strategic alliance to provide research and
development services. The alliance was to develop superior crop varieties
with innate resistance to plant pests, such as plant parasitic nematodes,
which are a leading pest impacting soybean yields.</t>
  </si>
  <si>
    <t xml:space="preserve">25196E
723686</t>
  </si>
  <si>
    <t xml:space="preserve">Evenflo Co Inc
Janusz Liberkowski</t>
  </si>
  <si>
    <t xml:space="preserve">Mnfr infant,juvenile prod
Individual</t>
  </si>
  <si>
    <t xml:space="preserve">Evenflo Co Inc is a
manufacturer of infant and
juvenile products including
car seats, strollers, baby
bottles, pacifiers, gates,
high chairs, play yards,
activity centers, and cribs in
the US, Canada, Mexico and the
Philippines.
Individual</t>
  </si>
  <si>
    <t xml:space="preserve">3944
6799</t>
  </si>
  <si>
    <t xml:space="preserve">OH
OH</t>
  </si>
  <si>
    <t xml:space="preserve">Harvest Partners LP
Janusz Liberkowski</t>
  </si>
  <si>
    <t xml:space="preserve">6799
6799</t>
  </si>
  <si>
    <t xml:space="preserve">EVENFLO CO INC/JANUSZ LIBERKOWSKI-STRATEGIC ALLIANCE</t>
  </si>
  <si>
    <t xml:space="preserve">Ohio</t>
  </si>
  <si>
    <t xml:space="preserve">Evenflo Co Inc, a unit of Harvest Partners LLC, and Janusz Liberkowski
formed a strategic alliance to provide infant car seat development services
in the United States. The alliance was expected to develop a prototype
infant car seat where the baby sits inside a nested spheres that shield the
baby from destructive force at the time of collision.</t>
  </si>
  <si>
    <t xml:space="preserve">29973X
47083X</t>
  </si>
  <si>
    <t xml:space="preserve">Dyax Corp
ICOS Corp</t>
  </si>
  <si>
    <t xml:space="preserve">Dyax Corp, based in
Burlington, Massachusetts, is
a biotechnology company
focused to identify, develop
and provides commercialized
treatments for angioedemas
that are identified as PKM
angioedemas, including HAE.
The company was founded in
1995.
Biotechnology company</t>
  </si>
  <si>
    <t xml:space="preserve">DYAX CORP/ICOS CORP-STRATEGIC ALLIANCE</t>
  </si>
  <si>
    <t xml:space="preserve">Dyax Corp (DC) and Icos Corp (IC) formed a strategic alliance wherein DC
licensed IC to utilize its proprietary phage display libraries for the
discovery and development of therapeutic antibodies in the United States.
DC was expected to receive technology license fees as well as clinical
milestone payments and royalties on net sales of products that resulted
from the alliance.</t>
  </si>
  <si>
    <t xml:space="preserve">26746E
449295</t>
  </si>
  <si>
    <t xml:space="preserve">KDDI Corp
Sony Corp</t>
  </si>
  <si>
    <t xml:space="preserve">Provide telecommun services
Mnfr,whl teleision,audio prod</t>
  </si>
  <si>
    <t xml:space="preserve">KDDI Corp, located in
Chiyoda-Ku Tokyo, provides
telecommunications services.
The Group''s principal
activities are to provide
The operations are carried
out through the following
divisions: Mobile
telecommunication;
Fixed-line telecommunication
and others. The Mobile phone
division deals with mobile
phone services and sale of
mobile phone terminals. The
services include domestic
and international
communication, internet and
solution services. The other
division deals with
operation of call centers,
contents, cable service,
other fixed line
communication, other data
center service and other
mobile phone service. The
Company was founded in 1984.
Sony Corp, headquartered in
Tokyo, Japan, is primarily
focused on the electronics,
game, entertainment and
financial services sectors.
The company operates in
seven business segments. The
consumer products service
(CPS) segment manufactures
and sells liquid crystal
display (LCD) televisions,
cameras, audio and video
equipment, personal
computers (PCs) and personal
navigation systems, as well
as game consoles and
software. Professional
device solution (PDS)
segment provides audio,
videos and monitors for
broadcast and commercial
use, image sensors and other
semiconductors, optical
pickups, batteries, data
recording media and systems.
Movie segment produces movie
software. The music segment
provides music software and
animation works. Finance
segment provides life and
non-life insurance, banking
services and credit finance
services. Sony mobile
segment provides mobile
phones. Others segment
provides blue-ray disks,
network services and
advertising agency services,
among others. It was
founded, May 07, 1946.</t>
  </si>
  <si>
    <t xml:space="preserve">4813
3651</t>
  </si>
  <si>
    <t xml:space="preserve">KDDI CORP/SONY CORP-STRATEGIC ALLIANCE</t>
  </si>
  <si>
    <t xml:space="preserve">KDDI Corp and Sony Corp planned to form a strategic alliance to develop and
manufacture Walkman cellular phones in Japan. The new handsets was to have
1 gigabyte of built-in memory which was enough to store 630 songs, and can
be play for 30 hours straight. The alliance was for the partners to further
leverage their expertise in the communication industry.</t>
  </si>
  <si>
    <t xml:space="preserve">50313E
835699</t>
  </si>
  <si>
    <t xml:space="preserve">Pharmacopeia Drug Discovery
Cephalon Inc</t>
  </si>
  <si>
    <t xml:space="preserve">Biotechnology company,
focusing on drug discovery via
new small molecule
therapeutics
Cephalon Inc, headquartered in
Frazer, Pennsylvania,
manufactures and wholesales
pharmaceutical products. It is
also engaged in the provision
of research and development
for the biopharmaceutical
sector. The company's
proprietary products include,
NUVIGIL(R) Tablets [C-IV],
TREANDA(R) for Injection,
AMRIX(R), FENTORA(R) [C-II],
TRISENOX(R) injection,
GABITRIL(R) PROVIGIL(R)
Tablets [C-IV] and ACTIQ(R)
[C-II]. The company was
founded in 1987.</t>
  </si>
  <si>
    <t xml:space="preserve">NJ
PA</t>
  </si>
  <si>
    <t xml:space="preserve">PHARMACOPEIA DRUG DISCOVERY INC/CEPHALON INC- STRATEGIC ALLIANCE</t>
  </si>
  <si>
    <t xml:space="preserve">Pharmacopeia Drug Discovery Inc (PD) and Cephalon Inc (CI) formed a
strategic alliance to manufacture, develop and market pharmaceuticals in
the United States. The alliance was expected to identify active molecules
and bring it for clinical proof of concept, yielding novel candidates for
drug development in various therapeutic areas. CI was expected to be
responsible for identifying promising compounds and PD was expected to be
responsible for medicinal chemistry and primary biology. CI was expected to
pay PD $15 mil US as upfront payment program access fee.</t>
  </si>
  <si>
    <t xml:space="preserve">Cephalon Inc was expect to pay $15 mil US to Pharmacopeia Drug Discovery
Inc as upfront program access fee.</t>
  </si>
  <si>
    <t xml:space="preserve">7171EP
156708</t>
  </si>
  <si>
    <t xml:space="preserve">Battelle Memorial Institute
Accium BioSciences Inc</t>
  </si>
  <si>
    <t xml:space="preserve">Pvd research,dvlp svcs
Biotechnology company</t>
  </si>
  <si>
    <t xml:space="preserve">Battelle Memorial Institute,
located in Columbus, Ohio,
provides research and
development services and
manage laboratories for
customers. It also provides
cost-effective science and
technology in the areas of
national security, homeland
defense, energy and
environment, health and life
sciences, and transportation
and space. The company was
founded 1989.
Biotechnology company</t>
  </si>
  <si>
    <t xml:space="preserve">OH
WA</t>
  </si>
  <si>
    <t xml:space="preserve">BATTELLE MEMORIAL INSTITUTE/ACCIUM BIOSCIENCES INC-STRATEGIC ALLIANCE</t>
  </si>
  <si>
    <t xml:space="preserve">Battelle Memorial Institute and Accium BioSciences Inc formed a strategic
alliance to provide research and development services to speed up the
product development cycle in the United States. The alliance was expected
to develop new drugs and biological products which highlights the need of
the pharmaceutical and biotechnology industries to reduce product
development cycle times.</t>
  </si>
  <si>
    <t xml:space="preserve">07131F
98813L</t>
  </si>
  <si>
    <t xml:space="preserve">Commonwealth Medical Lab
Allergychoices Inc</t>
  </si>
  <si>
    <t xml:space="preserve">Pvd allergy testing svcs
Pvd allergy prod svcs</t>
  </si>
  <si>
    <t xml:space="preserve">Provide allergy testing
services
Provide allergy information,
products and services</t>
  </si>
  <si>
    <t xml:space="preserve">8734
8099</t>
  </si>
  <si>
    <t xml:space="preserve">VA
WI</t>
  </si>
  <si>
    <t xml:space="preserve">COMMONWEALTH MEDICAL LAB/ALLERGYCHOICES INC - STRATEGIC ALLIANCE</t>
  </si>
  <si>
    <t xml:space="preserve">Commonwealth Medical Laboratories (CM) and Allergychoices Inc (AI) formed a
strategic alliance to provider research and development services in the
United States. The alliance was expected  to provide services to allergists
interested in offering sublingual immunotheraphy to patients who currently
have no effective treatment options. CM was expected to provide information
and access to the La Cross Method (TM) Practice Protocol, a resource that
guides allergists in diagnosing and treating patients with SLIT.</t>
  </si>
  <si>
    <t xml:space="preserve">20312P
01847V</t>
  </si>
  <si>
    <t xml:space="preserve">Parker Hannifin Corp
National Science Foundation
Undisclosed JV Partner</t>
  </si>
  <si>
    <t xml:space="preserve">Manufactures and wholesales motion and control technologies and systems
State agency
Investment company</t>
  </si>
  <si>
    <t xml:space="preserve">Parker Hannifin Corp,
located in Cleveland, Ohio,
manufactures and wholesales
motion and control
technologies and systems. It
offers fluid power systems,
motion control systems
including hydraulic,
pneumatic cylinders and
automation components, fluid
connectors, tube fittings
and adapters,
instrumentation and
thermoplastic fittings and
diagnostic couplings,
sealing systems and
components for static,
reciprocating and rotary
applications,
air-conditioning and
refrigeration systems for
residential and auto
markets, metering gear
pumps, lubrication pumps,
linear motion control
systems, fuel systems, and
components for aircraft. The
Company was founded in 1917.
State agency; provide
professional science
membership foundation services
Investment company</t>
  </si>
  <si>
    <t xml:space="preserve">3491
999D
6799</t>
  </si>
  <si>
    <t xml:space="preserve">United States
United States
Unknown</t>
  </si>
  <si>
    <t xml:space="preserve">OH
VA
FF</t>
  </si>
  <si>
    <t xml:space="preserve">Parker Hannifin Corp
United States of America
Undisclosed JV Partner</t>
  </si>
  <si>
    <t xml:space="preserve">3491
999A
6799</t>
  </si>
  <si>
    <t xml:space="preserve">PARKER HANNIFIN CORP/NATIONAL SCIENCE FOUNDATION/UNDISCLOSED
PARTNER-STRATEGIC ALLIANCE</t>
  </si>
  <si>
    <t xml:space="preserve">Minnesota</t>
  </si>
  <si>
    <t xml:space="preserve">Parker Hannifin Corp (PH), National Science Foundation, and Undisclosed
Partners formed a strategic alliance to provide research and development
services in the United States. The alliance was expected to establish a new
Engineering Research Center for Compact and Efficient Fluid Power to help
expand the already vast range of fluid power applications that possibly
ensure growth for the industry with a cost of $21 mil US.</t>
  </si>
  <si>
    <t xml:space="preserve">The Engineering Research Center for Compact and Efficient Fluid Power was
to cost $21 mil US.</t>
  </si>
  <si>
    <t xml:space="preserve">701094
63747F
904JVP</t>
  </si>
  <si>
    <t xml:space="preserve">Kinemed Inc
CMIC Co Ltd</t>
  </si>
  <si>
    <t xml:space="preserve">Mnfr diagnostic assays
Pvd clinical tests services</t>
  </si>
  <si>
    <t xml:space="preserve">Manufacture and develop
diagnostic assays for labeling
and measuring molecular flaxes
in living organisms in order
to measure the ability of a
drug to intervene in a
targeted disease process
CMIC Co Ltd, based in Tokyo,
provides contracted clinical
tests services of drugs. In
this way it supports
pharmaceutical companies in
the development of new
drugs. The operations are
carried out through the
following divisions: CRO
business, CMO business and
CSO and others. The company
was founded in 1985.</t>
  </si>
  <si>
    <t xml:space="preserve">2835
8071</t>
  </si>
  <si>
    <t xml:space="preserve">KINEMED INC/CMIC CO LTD-STRATEGIC ALLIANCE</t>
  </si>
  <si>
    <t xml:space="preserve">Kinemed Inc (KI) and CMIC Co Ltd (CC) formed a strategic alliance to
provide research and development services in Asia. The alliance was
expected to identify compounds for indications discovery and potential
joint development. CC was expected to seek compounds within Japanese
pharmaceutical firms for  indications discovery wherein KI was expected to
apply its proprietary technologies.</t>
  </si>
  <si>
    <t xml:space="preserve">49459P
12576N</t>
  </si>
  <si>
    <t xml:space="preserve">Tokushukai
Oncotherapy Science Inc</t>
  </si>
  <si>
    <t xml:space="preserve">Own,operate hospitals
Biotech company</t>
  </si>
  <si>
    <t xml:space="preserve">Tokushukai, headquartered in
Tokyo, Japan, is engaged in
the operation of hospitals.
It is also engaged in the
regional medical care,
research and study. The
company was founded in 1973.
OncoTherapy Science Inc,
located in Kanagawa, Japan,
is a biotechnology company
mainly engaged in the
development of drugs. The
Company is involved in the
development of low molecular
drugs, antibody drugs and
other drugs, as well as the
provision and clinical
development of medical
candidate substances. The
Company operates its
business in cooperation with
universities and other
corporations The company was
founded in 2001.</t>
  </si>
  <si>
    <t xml:space="preserve">8062
8731</t>
  </si>
  <si>
    <t xml:space="preserve">ONCOTHERAPY SCIENCE INC/TOKUSHUKAI INC-JOINT VENTURE</t>
  </si>
  <si>
    <t xml:space="preserve">OncoTherapy Science Inc (OS) and Tokushukai Inc (TI) planned to form a
joint venture named Future Medical Care Research Center  (FM) to provide
research, testing and clinical development services in Japan. OS was to
hold a 70% interest in FM and the remaining 30% stake was to be held by TI.
FM was to be capitalized at $0.89 mil US (100 mil Japanese yen). FM was to
provide genomic drug development and advanced medical treatment services in
the cancer field.</t>
  </si>
  <si>
    <t xml:space="preserve">70.00
30.00</t>
  </si>
  <si>
    <t xml:space="preserve">Future Medical Care Research Center was to be capitalized at $0.89 mil US
(100 mil Japanese yen).</t>
  </si>
  <si>
    <t xml:space="preserve">04950E
68245L</t>
  </si>
  <si>
    <t xml:space="preserve">EvoGenix Ltd
CSL Ltd</t>
  </si>
  <si>
    <t xml:space="preserve">Biotechnology co
Mnfr,whl pharm,diagnostic prod</t>
  </si>
  <si>
    <t xml:space="preserve">Biotechnology company which
applies its proprietary
antibody engineering platforms
for humanisation, optimisation
and toxin conjugation to
develop highly potent
therapeutic antibodies against
validated drug targets
CSL Ltd, located in
Victoria, Australia,
manufactures and wholesales
pharmaceutical and
diagnostic products, cell
culture media and human
plasma fractions. It has
operations in Australia, New
Zealand and Asia, North and
South America, Europe, the
Middle East and Africa. It
is also a holding company.
The company was founded in
April 1991.</t>
  </si>
  <si>
    <t xml:space="preserve">Australia
Australia</t>
  </si>
  <si>
    <t xml:space="preserve">EVOGENIX PTY LTD/CSL LTD-STRATEGIC ALLIANCE</t>
  </si>
  <si>
    <t xml:space="preserve">EvoGenix Pty Ltd (EP) and CSL Ltd (CL) formed a strategic alliance to
provide research and development services in Australia. EP was expected to
apply its proprietary technologies to CL's selected antibody products. The
alliance was designed to generate superior antibodies that are more
effective as human therapeutics. CL was granted the right to commercialize
the resulting products while EP was expected to receive royalty payments.</t>
  </si>
  <si>
    <t xml:space="preserve">30056A
12637R</t>
  </si>
  <si>
    <t xml:space="preserve">Murex Pharmaceuticals
Gene Network Sciences Inc</t>
  </si>
  <si>
    <t xml:space="preserve">Biotech co
Mnfr pharm</t>
  </si>
  <si>
    <t xml:space="preserve">Biotechnology company focused
on developing cancer therapies
based on an individual's tumor
biology.
Manufacture prescription
pharmaceuticals intended for
final consumption, including
biotech products and
antibiotics</t>
  </si>
  <si>
    <t xml:space="preserve">TX
NY</t>
  </si>
  <si>
    <t xml:space="preserve">MUREX PHARMACEUTICALS INC/GENE NETWORKS INTERNATIONAL LTD-STRATEGIC
ALLIANCE</t>
  </si>
  <si>
    <t xml:space="preserve">Murex Pharmaceuticals Inc (MP) and Gene Network Sciences (GNS) formed a
strategic alliance to provide research and development services for cancer
therapeutics in the United States. MP was expected to utilize technology
from GNS to create computer-based models to enhance identification and
validation of cancer targets.</t>
  </si>
  <si>
    <t xml:space="preserve">62647C
36057Y</t>
  </si>
  <si>
    <t xml:space="preserve">Emergent BioSolutions Inc
Sanofi Pasteur SA</t>
  </si>
  <si>
    <t xml:space="preserve">Mnfr biopharmaceuticals
Mnfr,dvlp vaccines</t>
  </si>
  <si>
    <t xml:space="preserve">Manufacture
biopharmaceuticals with main
focus on protecting life
through the development,
manufacture and
commercialization of
immunobiotics which induce
the immune system to prevent
or treat disease.
Sanofi Pasteur SA, located in
Lyon Cedex, France,
manufactures and develops
human vaccines. Its range of
vaccines include TheraCys,
Adacel, Daptacel, TriHIBit,
Tripedia, ActHIB and Fluzone.</t>
  </si>
  <si>
    <t xml:space="preserve">Emergent BioSolutions Inc
Sanofi-Aventis SA</t>
  </si>
  <si>
    <t xml:space="preserve">EMERGENT BIOSOLUTIONS INC/SANOFI PASTEUR SA-STRATEGIC ALLIANCE</t>
  </si>
  <si>
    <t xml:space="preserve">Emergent BioSolutions Inc (EM) and sanofi pasteur, a unit of Sanofi-Aventis
SA, formed a strategic alliance to provide research and development
services. The alliance was expected to develop novel vaccine to protect
against Neisseria meningitidis serogroup B bacterial infections. In
addition, the alliance was expected to work on the product development
through regulatory approval.</t>
  </si>
  <si>
    <t xml:space="preserve">29089Q
80096R</t>
  </si>
  <si>
    <t xml:space="preserve">Human Genome Sciences Inc
Novartis AG</t>
  </si>
  <si>
    <t xml:space="preserve">Mnfr biopharmaceutical prod
Pharmaceutical Preparation Manufacturing</t>
  </si>
  <si>
    <t xml:space="preserve">Human Genome Sciences Inc,
located in Rockville,
Maryland, manufactures
biopharmaceutical products
with a pipeline of novel
compounds in clinical
development, including drugs
to treat such diseases as
hepatitis C, lupus, anthrax
disease, cancer, rheumatoid
arthritis and HIV/AIDS. The
company was founded in 1992.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</si>
  <si>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HUMAN GENOME SCIENCES INC/NOVARTIS AG-STRATEGIC ALLIANCE</t>
  </si>
  <si>
    <t xml:space="preserve">Human Genome Sciences Inc (HG) and Novartis AG (NA) planned to form a
strategic alliance wherein HG licensed NA to develop and commercialize HG's
Albuferon (TM) for chronic hepatitis C and all other uses. Under terms of
the agreement, NA was to pay HG an upfront payment of $45 mil US  and
development and milestone payments of up to $507.5 mil US. NA was to be
responsible for the commercialization outside US and was to pay HG royalty
on those sales.</t>
  </si>
  <si>
    <t xml:space="preserve">Novartis AG was to pay Human Genome Sciences Inc an upfront payment of $45
mil US (54.73 Swiss francs) and development and milestone payments of up to
$507.5 mil US (617.27 Swiss francs).</t>
  </si>
  <si>
    <t xml:space="preserve">444903
66987V</t>
  </si>
  <si>
    <t xml:space="preserve">GlaxoSmithKline PLC
Galapagos NV</t>
  </si>
  <si>
    <t xml:space="preserve">Pharmaceutical Preparation Manufacturing
Biopharmaceutical company</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</si>
  <si>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t>
  </si>
  <si>
    <t xml:space="preserve">United Kingdom
Belgium</t>
  </si>
  <si>
    <t xml:space="preserve">GLAXOSMITHKLINE PLC(WAS 377327)/GALAPAGOS GENOMICS NV-STRATEGIC ALLIANCE</t>
  </si>
  <si>
    <t xml:space="preserve">Glaxosmithkline PLC (GSK) and Galapagos Genomics NV (GG) planned to form a
strategic alliance to provide research and development services in the
field of osteoarthritis. The alliance was to deliver disease modifying
drugs with clinical proof of consent to GSK's global research and
development organization. GG was to receive upfront technology access fee
of $ 5.13 mil US (4 mil euros) and $ 83.32 mil US (65 mil euros) as
milestones payments.</t>
  </si>
  <si>
    <t xml:space="preserve">Galapagos Genomics NV was to receive upfront technology access fee of $
5.13 mil US (4 mil euros) and $ 83.32 mil US (65 mil euros) as milestones
payments.</t>
  </si>
  <si>
    <t xml:space="preserve">37733W
36315X</t>
  </si>
  <si>
    <t xml:space="preserve">PTC Therapeutics Inc
CV Therapeutics Inc</t>
  </si>
  <si>
    <t xml:space="preserve">Biopharmaceutical co
Biopharm co</t>
  </si>
  <si>
    <t xml:space="preserve">PTC Therapeutics Inc,
headquartered in South
Plainfield, New Jersey, is a
biopharmaceutical company
focused on the discovery,
development and
commercialization of orally
administered, proprietary
small-molecule drugs that
target post-transcriptional
control processes. The
company's clinical and
preclinical products, which
include the PTC124 and
PTC299, address multiple
indications, including
genetic disorders, oncology,
and infectious diseases. The
company was founded in 1998.
CV Therapeutics Inc, located
in Palo Alto, California, is a
biopharmaceutical company
focused on applying molecular
cardiology to the development,
discovery and
commercialization of drugs for
the treatment of
cardiovascular diseases. Its
approved product, Ranexa
(ranolazine extended-release
tablets) is indicated for the
treatment of chronic angina.
The company was founded in
1990.</t>
  </si>
  <si>
    <t xml:space="preserve">PTC THERAPEUTICS INC/CV THERAPEUTICS INC-STRATEGIC ALLIANCE</t>
  </si>
  <si>
    <t xml:space="preserve">PTC Therapeutics Inc (PT) and CV Therapeutics Inc (CT) formed a strategic
alliance wherein PT licensed CV to utilize its Gene Expression Modulation
by Small-Molecules (GEMS) technology for the development of orally
bioavailable small molecules for treatment of cardiovascular diseases in
the United States. CV was expected to pay PT an initial $ 10 mil US as
initial payment and up to $335 mil in milestone payments. PT and CT were
expected to select five targets to determine the applicability of GEMS
technology.</t>
  </si>
  <si>
    <t xml:space="preserve">CV Therapeutics Inc was expected to pay PTC Therapeutics Inc an initial
payment of $ 10 mil US and up to $335 mil in milestone payments.</t>
  </si>
  <si>
    <t xml:space="preserve">69366J
126667</t>
  </si>
  <si>
    <t xml:space="preserve">Sanyo Electric Co Ltd
Institut Technologi Bandung</t>
  </si>
  <si>
    <t xml:space="preserve">Mnfr electn prod
Own,op college,university</t>
  </si>
  <si>
    <t xml:space="preserve">Sanyo Electric Co Ltd,
headquartered in Osaka, Japan,
is engaged in the manufacture
of electronic products. The
operations are carried out
through the following
divisions: Consumer;
Commercial; Components; and
others. The consumer division
manufactures televisions, DVD
players, air conditioners,
washing machines, digital
cameras, cellular phones and
LCD projectors. The commercial
division manufactures
showcases and commercial air
conditioners. The components
division manufactures
semiconductors, liquid crystal
panels, electronic parts and
batteries. The other
operations involve
distribution, maintenance and
housing services. It was
founded in 1947.
Own and operate college and
university</t>
  </si>
  <si>
    <t xml:space="preserve">3651
8221</t>
  </si>
  <si>
    <t xml:space="preserve">Japan
Indonesia</t>
  </si>
  <si>
    <t xml:space="preserve">SANYO ELECTRIC CO LTD/INSTITUT TECHNOLOGI BANDUNG-STRATEGIC ALLIANCE</t>
  </si>
  <si>
    <t xml:space="preserve">Indonesia</t>
  </si>
  <si>
    <t xml:space="preserve">SANYO Electric Co Ltd (SE) and Indonesian state-owned Institut Technologi
Bandung planned to form a strategic alliance to provide research and
development services for household water decontamination in Indonesia. The
alliance was to develop water decontamination system that can be
commercialized and used widely in households. The alliance was to
contribute to Indonesian's commitment to an improved a sanitary
environment.</t>
  </si>
  <si>
    <t xml:space="preserve">Research &amp; Development Services
Environmental Services</t>
  </si>
  <si>
    <t xml:space="preserve">803038
45506N</t>
  </si>
  <si>
    <t xml:space="preserve">ViaCell Inc
Centocor Research &amp; Dvlp Inc</t>
  </si>
  <si>
    <t xml:space="preserve">ViaCell Inc is a biotechnology
company, headquartered in
Cambridge, Massachusetts. The
company focuses on the
widespread application of
human cells as medicine for
possible future medical use in
treating over 40 diseases
including certain blood
cancers and genetic diseases.
Biotechnology company</t>
  </si>
  <si>
    <t xml:space="preserve">MA
PA</t>
  </si>
  <si>
    <t xml:space="preserve">VIACELL INC/CENTOCOR RESEARCH &amp; DEVELOPMENT INC-STRATEGIC ALLIANCE</t>
  </si>
  <si>
    <t xml:space="preserve">ViaCell Inc (VC) and Centocor Research &amp; Development Inc (CR) formed a
strategic alliance to provide research and development services in the
United States. The alliance was expected to evaluate VC's cord
blood-derived multi-potent stem cells as treatment for cardiac diseases.</t>
  </si>
  <si>
    <t xml:space="preserve">92554J
15243X</t>
  </si>
  <si>
    <t xml:space="preserve">Flexpoint Sensor Systems Inc
Faurecia SA</t>
  </si>
  <si>
    <t xml:space="preserve">Mnfr sensing tech prod
All Other Motor Vehicle Parts Manufacturing</t>
  </si>
  <si>
    <t xml:space="preserve">Manufacture thin film sensing
technology which measures
mechanical movement, air flow,
water flow, or even vibration
for many industries, including
automotive, medical,
industrial controls, and
consumer products
Faurecia SA, located in
Nanterre, France,
manufactures and wholesales
motor vehicle parts,
specializing in car seats,
cockpits, doors, acoustic
packages, front end, and
exhaust systems. The Group
operates under four major
segments, automotive
seating, vehicle interiors,
exhaust systems and front
end. The Company was founded
in 1997.</t>
  </si>
  <si>
    <t xml:space="preserve">3812
3714</t>
  </si>
  <si>
    <t xml:space="preserve">UT
FF</t>
  </si>
  <si>
    <t xml:space="preserve">FLEXPOINT SENSOR SYSTEM INC /FAURECIA SA - STRATEGIC ALLIANCE</t>
  </si>
  <si>
    <t xml:space="preserve">Flexpoint Sensor Systems Inc (FS) and Faurecia SA (FA) planned to form a
strategic alliance to provide research and development services of the
Pedestrian Impact Detection System in Europe. The alliance was to combine
FS and FA's resources, knowledge and capabilities to develop the pedestrian
system by providing testing services with the use of FS' Bend Sensor to
detect crash impact.</t>
  </si>
  <si>
    <t xml:space="preserve">33938W
F3445A</t>
  </si>
  <si>
    <t xml:space="preserve">PGG Wrightson Ltd
Grasslanz</t>
  </si>
  <si>
    <t xml:space="preserve">Pvd agricultural svcs
Pvd plant research,dvlp svcs</t>
  </si>
  <si>
    <t xml:space="preserve">PGG Wrightson Ltd,
headquartered in Christchurch,
New Zealand, provides
agricultural services,
servicing mostly farmers,
growers and processors both in
New Zealand and in other
countries. It trades under the
PGG Wrightson brand in New
Zealand, apart from the Lower
North Island where the
Livestock, Wool and Rural
Supplies businesses are
conducted under the Williams &amp;
Kettle brand. In particular,
it is also servicing the
agricultural sector in
Australia and South America.
The agricultural commodities
provider was formed in October
2005.
Provide plant research and
development services; provide
and wholesale high quality
early generation seedstock
services</t>
  </si>
  <si>
    <t xml:space="preserve">0762
8731</t>
  </si>
  <si>
    <t xml:space="preserve">New Zealand
New Zealand</t>
  </si>
  <si>
    <t xml:space="preserve">Pyne Gould Corp Ltd
AgResearch Ltd</t>
  </si>
  <si>
    <t xml:space="preserve">6282
8731</t>
  </si>
  <si>
    <t xml:space="preserve">PGG WRIGHTSON LTD/GRASSLANZ-JOINT VENTURE</t>
  </si>
  <si>
    <t xml:space="preserve">New Zealand</t>
  </si>
  <si>
    <t xml:space="preserve">PGG Wrightson Ltd (PW), a unit of Pyne Gould Corp Ltd, and Grasslanz (GL),
a unit of New Zealand state-owned AgResearch Ltd, planned to form a 10-year
joint venture named Grasslands Innovation (GI) to provide agricultural
research and development services in New Zealand. GI aims to identify,
develop and wholesale on-farm forage technologies to pastoral industries.
In addition, GI was to develop new variety of pasture plants and management
techniques for maximum yield of products.</t>
  </si>
  <si>
    <t xml:space="preserve">Research &amp; Development Services
Agricultural, Forestry, &amp; Fishing Svcs
Retail &amp; Wholesale Services</t>
  </si>
  <si>
    <t xml:space="preserve">69244X
38882R</t>
  </si>
  <si>
    <t xml:space="preserve">BioCryst Pharmaceuticals Inc
Green Cross Holdings Corp</t>
  </si>
  <si>
    <t xml:space="preserve">Manufacture pharmaceuticals
Mnfr pharmaceuticals</t>
  </si>
  <si>
    <t xml:space="preserve">BioCryst Pharmaceuticals
Inc, located in Durham,
North Carolina, manufactures
novel, small-molecule
pharmaceutical products for
treatment of immunological,
viral, and cardiovascular
diseases and disorders using
structure-based drug design.
It has a Discovery Center of
Excellence located in
Birmingham, Alabama. The
Company was founded in 1986.
Green Cross Holdings Corp is
a manufacturer of
pharmaceutical preparation.
The Company was founded in
October 1967 and is located
in Kyonggi-Do Korea, South
Korea.</t>
  </si>
  <si>
    <t xml:space="preserve">BIOCRYST PHARMACEUTICALS INC/GREEN CROSS CO LTD(DNU)- STRATEGIC ALLIANCE</t>
  </si>
  <si>
    <t xml:space="preserve">Biocryst Pharmaceuticals Inc (BP) and Green Cross Co Ltd (GC) planned to
form a strategic alliance to provide research, development and marketing
services in South Korea. The alliance was to develop peramivir, a BP's
influenza neuraminidase inhibitor while GC was to conduct clinical trials
and was to share all data from the studies to BP to accelerate global
development and commercialization strategies for peramivir. BC was to
receive royalties for future commercialization.</t>
  </si>
  <si>
    <t xml:space="preserve">09058V
50414J</t>
  </si>
  <si>
    <t xml:space="preserve">Pfizer Inc
Bayer Pharmaceuticals Corp</t>
  </si>
  <si>
    <t xml:space="preserve">Manufacture,wholesale pharmaceuticals
Mnfr pharmaceuticals</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</si>
  <si>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Manufacture prescription
pharmaceuticals intended for
final consumption, including
biotech products and
antibiotics</t>
  </si>
  <si>
    <t xml:space="preserve">NY
CT</t>
  </si>
  <si>
    <t xml:space="preserve">Pfizer Inc
Bayer AG</t>
  </si>
  <si>
    <t xml:space="preserve">2834
2899</t>
  </si>
  <si>
    <t xml:space="preserve">PFIZER INC/BAYER PHARMACEUTICALS CORP-STRATEGIC ALLIANCE</t>
  </si>
  <si>
    <t xml:space="preserve">Pfizer Inc (PI) and Bayer Pharmaceuticals Corp (BP), a unit of Bayer AG's
Bayer Healthcare AG subsidiary, formed a strategic alliance wherein BP
licensed PI to utilize its DGAT-1 inhibitors which is a class of compound
that modify lipid metabolism worldwide. The alliance aimed to develop
potential treatment for obesity, type 2 diabetes and other related
disorders. BP was expected to receive upfront fee, milestone payments and
royalties on sales. The alliance was subject to Hart-Scott-Rodino approval.
Specific financial terms were not disclosed</t>
  </si>
  <si>
    <t xml:space="preserve">717081
07287T</t>
  </si>
  <si>
    <t xml:space="preserve">Metso  Automation Inc
Paprican</t>
  </si>
  <si>
    <t xml:space="preserve">Pvd info tech svcs
Pvd pulp,paper research svcs</t>
  </si>
  <si>
    <t xml:space="preserve">Metso Automation Inc,
headquartered in Helsinki,
Finland, provides information
and technology services for
automation and information
management application
networks and systems, field
control technology and
life-cycle performance
management.
Provide pulp and paper
research and technology
services</t>
  </si>
  <si>
    <t xml:space="preserve">7376
8732</t>
  </si>
  <si>
    <t xml:space="preserve">Finland
Canada</t>
  </si>
  <si>
    <t xml:space="preserve">Metso Oyj
Paprican</t>
  </si>
  <si>
    <t xml:space="preserve">3589
8732</t>
  </si>
  <si>
    <t xml:space="preserve">METSO AUTOMATION INC(WAS 64026P) /PAPRICAN- STRATEGIC ALLIANCE</t>
  </si>
  <si>
    <t xml:space="preserve">Metso Automation Inc (MA), a unit of Metso Oyj, and Paprican formed a
3-year strategic alliance to provide research and development services. The
alliance aimed to test and further develop advanced refiner control
technology to increase efficiency of mechanical pulp mills. The alliance
was expected to provide energy savings and reduce overall operating costs
for the industries.</t>
  </si>
  <si>
    <t xml:space="preserve">59270T
69958K</t>
  </si>
  <si>
    <t xml:space="preserve">Chevron Technology Ventures
Georgia Institute of</t>
  </si>
  <si>
    <t xml:space="preserve">Financial Sponsor
Pvd educ svcs</t>
  </si>
  <si>
    <t xml:space="preserve">Chevron Technology Ventures
LLC, located in Houston,
Texas, is a venture capital
firm. It invests in water
management, production
enhancement, emerging
materials, power systems,
information technology, and
subsurface &amp; base business.
The Company was founded in
1999.
Georgia Institute of
Technology, headquartered in
Atlanta, Georgia, provides
educational services mainly on
science and technology. It has
almost 20,000 undergraduate
and graduate students enrolled
in Colleges of Architecture,
Engineering, Sciences,
Computing, Management, and the
Ivan Allen College of Liberal
Arts. The school was founded
in 1885.</t>
  </si>
  <si>
    <t xml:space="preserve">6799
8221</t>
  </si>
  <si>
    <t xml:space="preserve">TX
GA</t>
  </si>
  <si>
    <t xml:space="preserve">Chevron Corp
Georgia Institute of</t>
  </si>
  <si>
    <t xml:space="preserve">2911
8221</t>
  </si>
  <si>
    <t xml:space="preserve">CHEVRON TECHNOLOGY VENTURES/GEORGIA INSTITUTE OF TECHNOLOGY- STRATEGIC
ALLIANCE</t>
  </si>
  <si>
    <t xml:space="preserve">Chevron Technology Ventures LLC (CT), a unit of Chevron Corp, and Georgia
Institute of Technology (GI) formed a strategic alliance to provide
research and development services in the United States. The alliance aimed
at developing cellulosic biofuels and hydrogen viable transportation fuels
from renewable resources such as forest and agricultural waste. The
alliance was to focus on four areas namely, production of cellulosic
biofuels, understanding the characteristics of biofuel feedstocks,
developing regenerative sorbents and improving sorbents used to produce
high-purity oxygen. CT was expected to invest $12 mil US for the research
and development of energy technologies.</t>
  </si>
  <si>
    <t xml:space="preserve">Chevron Technology Ventures was expected to invest $12 mil US for the
research and development of energy technologies.</t>
  </si>
  <si>
    <t xml:space="preserve">16689W
37322T</t>
  </si>
  <si>
    <t xml:space="preserve">Ameren Corp
Hitachi Power Systems America</t>
  </si>
  <si>
    <t xml:space="preserve">Electric utility;holding co
Whl power generation equip</t>
  </si>
  <si>
    <t xml:space="preserve">Ameren Corp. is a public
utility holding company
headquartered in St. Louis,
Missouri. The company provides
energy services to over
million customers in MO and
IL. Approximately 83 percent
of the company's $5.1 billion
revenues flow from electric
sales, with the remainder from
sales of natural gas. The
company was formed as the
result of the 1997 merger of
Union Electric Co. and CIPSCO
Inc. Founded in 1902 as
Central Illinois Public
Service Company Inc.,
AmerenCIPS operates a
rate-regulated electric and
natural gas transmission and
distribution business in IL.
Founded in 1902 as Union
Electric Co., AmerenUE
provides energy services to
1.2 million electric customers
in eastern MO, including the
St. Louis area. Founded in
1913 as Central Illinois Light
Co., AmerenCILCO operates an
electric transmission and
distribution business, in IL.
Its service territory includes
the IL communities of Peoria,
East Peoria, Pekin,
Washington, Lincoln, Morton,
Tuscola and Springfield
(natural gas only). Genco,
also known as Ameren Energy
Generating Co., operates a non
rate-regulated electric
generation business.
Wholesale power generation
equipment for thermal, nuclear
and hydro facilities such as
Pulverized Coal Boilers,
HRSGs, Turbines, Substation
Equipment and Air Quality
Control Systems</t>
  </si>
  <si>
    <t xml:space="preserve">4911
5065</t>
  </si>
  <si>
    <t xml:space="preserve">MO
CA</t>
  </si>
  <si>
    <t xml:space="preserve">Ameren Corp
Hitachi Ltd</t>
  </si>
  <si>
    <t xml:space="preserve">4911
3651</t>
  </si>
  <si>
    <t xml:space="preserve">AMEREN CORP/HITACHI POWER SYSTEMS AMERICA LTD- STRATEGIC ALLIANCE</t>
  </si>
  <si>
    <t xml:space="preserve">Ameren Corp (AC) and Hitachi Power Systems America Ltd, a unit of Hitachi
Ltd's Hitachi America Ltd subsidiary, formed a strategic alliance to
provide research and development services in the United States. The
alliance was expected to work on the areas of air quality control and
efficient power generation.</t>
  </si>
  <si>
    <t xml:space="preserve">023608
43394W</t>
  </si>
  <si>
    <t xml:space="preserve">PolyNovo Biomaterials Pty Ltd
John Greenwood AM</t>
  </si>
  <si>
    <t xml:space="preserve">Biotech co
Individual</t>
  </si>
  <si>
    <t xml:space="preserve">PolyNovo Biomaterials Pty Ltd
is a biotechnology company
located in Port Melbourne,
Victoria. It develops a
patented family of
biodegradable polymers
NovoSorb for use in medical
devices, mainly catering to
Australian medical device
companies. The company was
founded in May, 2004.
Individual</t>
  </si>
  <si>
    <t xml:space="preserve">2836
6799</t>
  </si>
  <si>
    <t xml:space="preserve">Metabolic Pharmaceuticals Ltd
John Greenwood AM</t>
  </si>
  <si>
    <t xml:space="preserve">POLYNOVO BIOMATERIALS PTY LTD/JOHN GREENWOOD AM-STRATEGIC ALLIANCE</t>
  </si>
  <si>
    <t xml:space="preserve">PolyNovo Biomaterials Pty Ltd, a joint venture between Commonwealth
Scientific &amp; Industrial Research Organization and Xceed Biotechnology Ltd,
and John Greenwood AM formed a strategic alliance to provide research and
development services of skin regeneration products in Australia. The
alliance was expected to develop an easy application synthetic epidermis to
spray on the poundage products to regenerate new skin cells.</t>
  </si>
  <si>
    <t xml:space="preserve">73191W
39304T</t>
  </si>
  <si>
    <t xml:space="preserve">Takara Bio Inc
Chinese Center for Disease</t>
  </si>
  <si>
    <t xml:space="preserve">Pvd biotech dvlp svcs
Non profit org</t>
  </si>
  <si>
    <t xml:space="preserve">Takara Bio Inc, based in
Shiga, Japan, is engaged in
provide biotech development
services. The Company has
three business segments. The
Genetic Engineering Research
segment is involved in the
research and development of
biotechnology; the
manufacture of research
reagents; the sale,
maintenance and repair of
physics and chemistry
equipment, such as reaction
temperature conversion
equipment, mass
spectroscopes and polymerase
chain reaction (PCR)
equipment, as well as the
provision of other
contracted research
services. The Genetic
Medicine segment is involved
in the research and
development of new drugs;
the provision of gene
therapy methods using retro
nectin; the clinical
development of
thymus-derived cell receptor
(TCR) gene-based treatment,
as well as the cell medical
care-related business, among
others. The Medical Food
segment is involved in the
development and sale of
health food materials, and
the research of cultivation
methods of mushrooms. The
company was founded in 2002.
Chinese Center for Disease
Control &amp; Prevention is a
nonprofit organization that
works in the fields of disease
control and prevention, public
health management and
provision of service.</t>
  </si>
  <si>
    <t xml:space="preserve">8071
8641</t>
  </si>
  <si>
    <t xml:space="preserve">Japan
China</t>
  </si>
  <si>
    <t xml:space="preserve">Takara Holdings Inc
Chinese Center for Disease</t>
  </si>
  <si>
    <t xml:space="preserve">2084
8641</t>
  </si>
  <si>
    <t xml:space="preserve">TAKARA BIO INC/CHINESE CENTER FOR DISEASE-STRATEGIC ALLIANCE</t>
  </si>
  <si>
    <t xml:space="preserve">Takara Bio Inc (TB), a unit of Takara Holdings Inc, and state-owned Chinese
Center for Disease Control &amp; Prevention (CC) formed a 3-year strategic
alliance to provide research and development services. The alliance was
expected to develop a gene therapy for Acquired Immunodeficiency Syndrome
(AIDS) using an enzyme that works to eliminate Human Immunodeficiency Virus
(HIV). TB and CC were expected to test gene therapy in vivo using such
primates as monkeys. If commercialized, the therapy would be the first
method for completely eliminating HIV.</t>
  </si>
  <si>
    <t xml:space="preserve">87140T
16896L</t>
  </si>
  <si>
    <t xml:space="preserve">NIR Diagnostics Inc
Shaklee Corp</t>
  </si>
  <si>
    <t xml:space="preserve">Mnfr med diagnostic instr
Mnfr nutritional prod</t>
  </si>
  <si>
    <t xml:space="preserve">NIR Diagnostics Inc, located
in Campbellville, Ontario,
manufactures medical
diagnostic instruments that
monitor key blood analytes
without the need for chemical
reagents. The company was
founded in 1978.
Manufacture and wholesale
nutritional supplements,
household and personal care
products</t>
  </si>
  <si>
    <t xml:space="preserve">3841
2833</t>
  </si>
  <si>
    <t xml:space="preserve">NIR Diagnostics Inc
Astellas Pharma Inc</t>
  </si>
  <si>
    <t xml:space="preserve">NIR DIAGNOSTICS INC/SHAKLEE CORP-STRATEGIC ALLIANCE</t>
  </si>
  <si>
    <t xml:space="preserve">NIR Diagnostics Inc (ND) and Shaklee Corp (SC), a unit of Astellas Pharma
Inc, formed a strategic alliance wherein ND exclusively licensed SC to
manufacture, develop, sell and market ND's multi-analyte in-vivo
light-based device and the HemoNIR CO-oximeter to its network of
idstributors worldwide. SC was expected to pay ND an upfront payment of $2
mil US (2.236 mil Canadian dollars) upon satisfaction of the conditions
under the agreement and a $1mil US (1.118 mil Canadian dollars) milestone
payment upon completion of a food supplement device within one year.</t>
  </si>
  <si>
    <t xml:space="preserve">Exclusive Licensing Services
Licensing Services
Manufacturing Services
Research &amp; Development Services
Retail &amp; Wholesale Services
Marketing Services</t>
  </si>
  <si>
    <t xml:space="preserve">Shaklee Corp was expected to pay NIR Diagnostics Inc an upfront payment of
$2 mil US (2.236 mil Canadian dollars) and a $1mil US (1.118 mil Canadian
dollars) milestone payment.</t>
  </si>
  <si>
    <t xml:space="preserve">629141
819148</t>
  </si>
  <si>
    <t xml:space="preserve">DuPont
BP PLC</t>
  </si>
  <si>
    <t xml:space="preserve">Mnfr chemical,electronic prod
Oil and gas company</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</si>
  <si>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BP PLC, located in London,
the United Kingdom, is an
oil and gas company. Its
segments include Upstream,
Downstream, Rosneft, and
Other businesses and
corporate. The Upstream
segment is engaged in oil
and natural gas exploration,
field development and
production, as well as
midstream transportation,
storage and processing. The
Downstream segment has
global manufacturing and
marketing operations. The
Rosneft segment has a
resource base of
hydrocarbons onshore and
offshore. The Other
businesses and corporate
segment comprises the
biofuels and wind
businesses, shipping and
treasury functions, and
corporate activities around
the world. It provides its
customers with fuel for
transportation, energy for
heat and light, lubricants
to keep engines moving and
the petrochemicals products
used to make everyday items
as diverse as paints,
clothes and packaging. The
Company was founded on April
14, 1909.</t>
  </si>
  <si>
    <t xml:space="preserve">2821
2911</t>
  </si>
  <si>
    <t xml:space="preserve">DU PONT CO/BP PLC-STRATEGIC ALLIANCE</t>
  </si>
  <si>
    <t xml:space="preserve">BP PLC and EI du Pont de Nemours and Co (DP) formed a stratgeic alliance to
manufacture, develop and market next generation biofuels globally. BP and
DP delivered advanced biofuels that will provide improved options for
expanding energy supplies and accelerate the move to renewable
transportation fuels which lower overall greenhouse gas emissions.
Moreover, the first product to be marketed is biobutanol, which will be
introduced in the United Kingdom as a gasoline bio-component.</t>
  </si>
  <si>
    <t xml:space="preserve">Manufacturing Services
Research &amp; Development Services
Marketing Services</t>
  </si>
  <si>
    <t xml:space="preserve">263534
055622</t>
  </si>
  <si>
    <t xml:space="preserve">The Dow Chemical Co
Mitsui Chemicals Inc</t>
  </si>
  <si>
    <t xml:space="preserve">Mnfr,wholesale chemicals
Manufacture,whl chemicals</t>
  </si>
  <si>
    <t xml:space="preserve">The Dow Chemical Co, located
in Midland, Michigan,
manufactures and wholesales
chemicals, plastic
materials, agricultural and
other specialized products
and services through its 6
segments namely, Performance
Plastics which offers
automotive products,
building and construction
products, epoxy resins and
intermediates, polyurethanes
and related systems,
specialty plastics and
elastomers, and technology
licensing and catalyst
products; Performance
Chemicals that offers
designed polymers, latex and
acrylic monomers, and
specialty chemicals;
Agricultural Sciences that
provides pest management,
agricultural, and crop
biotechnology products and
solutions; Basic Plastics
which offers polyethylene,
polypropylene, and
polystyrene resins; Basic
Chemicals which provides
chemicals, such as acids,
alcohols, caustic soda,
chlorine, chloroform, and
other chemicals; and
ethylene oxide/ethylene
glycol chemicals; and
Hydrocarbons and Energy,
which offers procurement of
fuels, natural gas liquids,
and crude oil-based raw
materials. The Company was
founded in 1897.
Mitsui Chemicals Inc,
headquartered in Tokyo,
Japan, is a mainly engaged
in the manufacture and sale
of chemicals. The company
has offices in Nagoya, Osaka
and Fukuoka which are also
in Japan. The petrochemical
segment produces and
distributes ethylene,
propylene, polyethylene and
polypropylene. The basic and
distributes phenol,
polyethylene terephthalate
(PET) resin and others. The
urethane segment produces
and distributes polyurethane
materials and coating
materials. The functional
resin segment produces and
distributes elastomers,
functional compounds and
functional polymers. The
processed products segment
produces and distributes
non-woven fabric, synthetic
resin films. The functional
chemical segment produces
and distributes fine
chemicals, healthcare
materials, agricultural
chemicals, fertilizers and
others. The others segment
chemical products ethylene
vinyl acetate copolymers and
ethylene copolymers,
fluorine resin and others.
The company was founded,
October 01, 1997.</t>
  </si>
  <si>
    <t xml:space="preserve">2821
2819</t>
  </si>
  <si>
    <t xml:space="preserve">MI
FF</t>
  </si>
  <si>
    <t xml:space="preserve">DOW CHEMICAL CO/MITSUI CHEMICALS INC-STRATEGIC ALLIANCE</t>
  </si>
  <si>
    <t xml:space="preserve">Sow Chemical Co and Mitsui Chemicals Inc formed a strategic alliance to
provide research and development services of catalyst systems for the
production of olefin  block copolymers globally. The alliance was for the
partners to further expand their product coverage in the copolymers
industries.</t>
  </si>
  <si>
    <t xml:space="preserve">260543
J4466L</t>
  </si>
  <si>
    <t xml:space="preserve">Evotec AG
Roche Holdings AG</t>
  </si>
  <si>
    <t xml:space="preserve">Biotech co
Manufactures, wholesales pharmaceuticals and medical instruments</t>
  </si>
  <si>
    <t xml:space="preserve">Evotec AG, located in
Hamburg, Germany, is a
biotechnology company, with
locations in the UK and in
the US. The Group is
specializing in the
discovery and development of
novel small molecule drugs.
The company was founded in
1993.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</si>
  <si>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EVOTEC AG/HOFFMANN-LA ROCH-STRATEGIC ALLIANCE</t>
  </si>
  <si>
    <t xml:space="preserve">Evotec AG and Roche Holding AG formed a strategic alliance to provide
research and development services of new drugs for the treatment of CNS
diseases globally. The alliance was expected to provide a quality research
results to the pharmaceutical and biotechnology industries.</t>
  </si>
  <si>
    <t xml:space="preserve">D1646D
77119M</t>
  </si>
  <si>
    <t xml:space="preserve">Transgene SA
National Cancer Inst</t>
  </si>
  <si>
    <t xml:space="preserve">Biopharmaceutical company
Pvd med research svcs</t>
  </si>
  <si>
    <t xml:space="preserve">Transgene SA, based in
Illkirch-Graffenstaden,
France, is a
biopharmaceutical company
focused on the discovery and
development of gene-based
therapeutic vaccines and
immunotherapy products for
the treatment of cancer and
infectious diseases. Some of
its products include TG4010,
TG4001, RG3484, TG4040, and
TG4023. The company was
founded in 1979.
National Cancer Institute,
located in Bethesda,
Maryland, provides medical
research services.</t>
  </si>
  <si>
    <t xml:space="preserve">Sanofi-Aventis SA
National Institutes of Health</t>
  </si>
  <si>
    <t xml:space="preserve">TRANSGENE SA /NATIONAL CANCER INSTITUTE- STRATEGIC ALLIANCE</t>
  </si>
  <si>
    <t xml:space="preserve">Transgene SA and American stated-owned National Cancer Institute signed
letter of intent to form strategic alliance to provide research and
development services. The alliance was to develop novel melanoma treatments
and aimed to manufacture viral-based vectors encoding gp100 or MART-1 and
use these vectors to immunize individuals against malignant melanoma.</t>
  </si>
  <si>
    <t xml:space="preserve">89365U
63306A</t>
  </si>
  <si>
    <t xml:space="preserve">Celera Genomics Corp
Medarex Inc</t>
  </si>
  <si>
    <t xml:space="preserve">Pvd genetic research,dvlp svcs
Biopharm co</t>
  </si>
  <si>
    <t xml:space="preserve">Celera Genomics Corp, located
in Rockville, Maryland,
provides identification and
validation of diagnostic
markers using genomics and
proteomics discovery services.
It manufactures five product
groups, including ViroSeq
HIV-1 Genotyping System, an
aid to physicians in
monitoring and treating HIV-1
infection; products that are
used for the detection of
mutations in the cystic
fibrosis transmembrane
conductance regulator gene,
which cause cystic fibrosis;
hepatitis C virus analyze
specific reagents (ASRs); ASRs
for the detection of mutations
in the FMR-1 gene, which cause
Fragile X Syndrome; and ASRs
for the detection of mutations
in genes known to be involved
in deep vein thrombosis. The
company was founded in 1998.
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t>
  </si>
  <si>
    <t xml:space="preserve">Applera Corp
Medarex Inc</t>
  </si>
  <si>
    <t xml:space="preserve">CELERA GENOMICS CORP/MEDAREX INC-STRATEGIC ALLIANCE</t>
  </si>
  <si>
    <t xml:space="preserve">Celera Genomics Corp (CG), a unit of Applera Corp, and Medarex Inc (MI)
formed a strategic alliance to provide research and development services in
the United States. The alliance was expected to discover and develop fully
human antibodies for the potential treatment of multiple cancer
indications. Under terms of the agreement, CG was to select targets from
its portfolio of novel cancer targets and MI was expected to generate fully
human monoclonal antibodies against the targets usings its UltiMab Human
Antibody Development System (R). Financial terms were not disclosed.</t>
  </si>
  <si>
    <t xml:space="preserve">03802A
583916</t>
  </si>
  <si>
    <t xml:space="preserve">Metabolex Inc
Janssen Pharmaceuticals Inc</t>
  </si>
  <si>
    <t xml:space="preserve">Mnfr novel therapeutics
Mnfr pharmaceutical products</t>
  </si>
  <si>
    <t xml:space="preserve">Metabolex Inc, headquartered
in California, United
States, manufactures novel
therapeutics and provides
research and development to
treat diabetes and related
metabolic disorders. The
company was founded in 1988.
Janssen Pharmaceuticals Inc,
located in Titusville, New
Jersey, manufactures
prescription pharmaceutical
products intended for final
consumption to treat pain,
acid reflux disease and
infectious diseases</t>
  </si>
  <si>
    <t xml:space="preserve">CA
NJ</t>
  </si>
  <si>
    <t xml:space="preserve">Metabolex Inc
J&amp;J</t>
  </si>
  <si>
    <t xml:space="preserve">METABOLEX INC/ORTHO-MCNEIL PHARMACEUTICAL INC-STRATEGIC ALLIANCE</t>
  </si>
  <si>
    <t xml:space="preserve">Metabolex Inc (MI) and Ortho McNeil Pharmaceutical Inc (OM), a unit of
Johnson and Johnson Inc, formed a strategic alliance wherein MI licensed OM
to develop and commercialize its metaglidasen and MBX-2044 and additional
follow-on compounds worldwide. The alliance collaborated to develop and
commercialize therapeutic programs for metabolic diseases, including type 2
diabetes, obesity and dyslipidemia. MI was expected to be eligible to
receive up to $508 mil US for achievement of specified development and
sales milestones. The alliance was subjected to Hart-Scott-Rodino Act
approval.</t>
  </si>
  <si>
    <t xml:space="preserve">Metabolex Inc was eligible to receive up to $508 mil US for achievement of
specified development and sales milestones.</t>
  </si>
  <si>
    <t xml:space="preserve">59102A
68756C</t>
  </si>
  <si>
    <t xml:space="preserve">American Pacific Corp
Gowan Co LLC</t>
  </si>
  <si>
    <t xml:space="preserve">Mnfr specialty chemicals
Mnfr,whl agricultural chem</t>
  </si>
  <si>
    <t xml:space="preserve">American Pacific Corp,
headquartered in Las Vegas,
Nevada, manufactures
specialty chemicals,
principally, oxidizers. It
is focused on three primary
business segments: Specialty
Chemicals, Fine Chemicals
and Aerospace Equipment. It
offers products for the
pharmaceutical, aerospace
and defense, and fire
protection, water treatment
industries. Its
manufacturing facilities are
located in California, New
York, Utah, US, the United
Kingdom and Ireland. The
company was founded in 1955.
Gowan Co LLC, located in Yuma,
Arizona, manufactures and
wholesales crop protection
products for the agriculture
and horticulture industries.
The company was founded in
1974.</t>
  </si>
  <si>
    <t xml:space="preserve">2819
2879</t>
  </si>
  <si>
    <t xml:space="preserve">NV
AZ</t>
  </si>
  <si>
    <t xml:space="preserve">AMERICAN PACIFIC CORP/GOWAN CO-STRATEGIC ALLIANCE</t>
  </si>
  <si>
    <t xml:space="preserve">America Pacific Corp (AP) and Gowan Co LLC (GW) formed a strategic alliance
alliance wherein  AP licensed GW to utilize its intellectual property
azide-based pest management products which includes SEP(TM) 100. The
alliance was expected to further develop and obtain regulatory registration
of azide-based pest management products to market worldwide.</t>
  </si>
  <si>
    <t xml:space="preserve">028740
38380A</t>
  </si>
  <si>
    <t xml:space="preserve">Eurocopter SAS
Hispano-Suiza Groupe Safran SA</t>
  </si>
  <si>
    <t xml:space="preserve">Manufacture civil aircrafts
Mnfr aircraft engine,parts</t>
  </si>
  <si>
    <t xml:space="preserve">Eurocopter SAS, located in,
Marignane, France,
manufactures civil aircrafts
such as Colibri EC 120B,
Ecureuil AS, EC 135 P21/T21,
EC 145, Dauphin and Super Puma
AS 332L1 and military
aircrafts such as Fennec, EC
635P2/T2, Panther, Cougar,
Tiger and NH90. The company
was founded in 1992.
Manufacture aircraft system
and specification engine
control and monitoring parts,
power transmission systems,
parts and accessories</t>
  </si>
  <si>
    <t xml:space="preserve">3721
3724</t>
  </si>
  <si>
    <t xml:space="preserve">EADS
Safran SA</t>
  </si>
  <si>
    <t xml:space="preserve">3721
3728</t>
  </si>
  <si>
    <t xml:space="preserve">EUROCOPTER ASA/HISPANO-SUIZA GROUPE SAFRAN SA-STRATEGIC ALLIANCE</t>
  </si>
  <si>
    <t xml:space="preserve">Eurocopter ASA, a unit of European Aeronautic Defense &amp; Space Co NV, and
Hispano-Suiza Groupe Safran SA, a unit of French state-owned Snecma SA,
formed a strategic alliance to develop and manufacture aircraft accessory
gearboxes for the EC175 helicopter in France. Under terms of the agreement,
the partners were expected to collaborate to provide and offer a drawing
file, a manufacturing-engineering technology services, a testing and a
production process of the combined accessory gearboxes for the new aircraft
engine design to eliminate expenditures.</t>
  </si>
  <si>
    <t xml:space="preserve">29875U
43356V</t>
  </si>
  <si>
    <t xml:space="preserve">Nastech Pharmaceutical Co Inc
Amylin Pharmaceuticals Inc</t>
  </si>
  <si>
    <t xml:space="preserve">Mnfr,whl pharm prod
Biopharmaceutical company</t>
  </si>
  <si>
    <t xml:space="preserve">Nastech Pharmaceutical Co Inc,
located in Bothell,
Washington, manufactures and
wholesales nasally
administered forms of
prescription and
over-the-counter
pharmaceuticals. The company
was founded in 1983.
Amylin Pharmaceuticals Inc,
headquartered in San Diego,
California, is a
biopharmaceutical company that
manufactures and develops
pharmaceuticals and
therapeutics based upon
peptide analogs, primarily in
regulation of glucose
metabolism. It also provides
research and development
services looking to develop
novel therapeutics based on
amylin, a newly discovered
hormone that play a role in
glucose metabolism regulation
for the treatment of diabetes,
obesity and other metabolic
diseases. The company was
founded in 1987.</t>
  </si>
  <si>
    <t xml:space="preserve">NASTECH PHARMACEUTICAL CO INC/AMYLIN PHAMCEUTICAL INC-STRATEGIC ALLIANCE</t>
  </si>
  <si>
    <t xml:space="preserve">Nastech Pharmceutical Co Inc (NP) and Amylin Pharmaceuticals Inc (AP)
formed a strategic alliance wherein NP licensed AP to utiize its
proprietary nasal delivery technology in the United States. NP and AP
collaborated to develop a nasal spray formulation of exenatide. NP was
expected to receive up to $89 mil US in milestone payments based on
specific development, regulatory, and commercialization goals. Financial
terms were not disclosed.</t>
  </si>
  <si>
    <t xml:space="preserve">Nastech Pharmceutical Co Inc was expected to receive $89 mil US in
milestone payments.</t>
  </si>
  <si>
    <t xml:space="preserve">631728
032346</t>
  </si>
  <si>
    <t xml:space="preserve">Sosei Co Ltd
Mundipharma Int Ltd</t>
  </si>
  <si>
    <t xml:space="preserve">Mnfr pharm
Manufacture pharmaceuticals</t>
  </si>
  <si>
    <t xml:space="preserve">Manufacture prescription
pharmaceuticals intended for
final consumption, including
biotech products and
antibiotics
Mundipharma Int Ltd is a
manufacturer of
pharmaceutical preparation.
The Company was founded in
1992 and is located in
Cambridge, the United
Kingdom.</t>
  </si>
  <si>
    <t xml:space="preserve">Japan
United Kingdom</t>
  </si>
  <si>
    <t xml:space="preserve">SOSEI CO LTD/MUNDIPHARMA INTERNATIONAL LTD-STRATEGIC ALLIANCE</t>
  </si>
  <si>
    <t xml:space="preserve">Sosei Co Ltd (SC) and Mundipharma International Corp Ltd (MP) formed a
strategic alliance to provide research and development services in Europe
and other international markets excluding North America and Japan. The
alliance aimed to develop and market AD 923, a SC's novel sublingual
fentanyl spray for cancer specifically designed to provide rapid onset of
analgesia in a device that was easy to use by either the patient or the
caregiver. Under terms of the agreement, SC was expected to be responsible
for developing and registering AD 923 while MP was expected to be
responsible for manufacture, marketing and sales within the licensed
territories. SC was expected to receive $ 22.02 mil US (17.5 mil euros/
2.560 bil Japanese yen) as upfront and milestone payments and royalties on
product sales.</t>
  </si>
  <si>
    <t xml:space="preserve">Sosei Co Ltd was expected to receive $ 22.02 mil US (17.5 mil euros/ 2.560
bil Japanese yen) as upfront and milestone payments and royalties on
product sales.</t>
  </si>
  <si>
    <t xml:space="preserve">83536A
62615M</t>
  </si>
  <si>
    <t xml:space="preserve">Epigenomics AG
Affymetrix Inc</t>
  </si>
  <si>
    <t xml:space="preserve">Mnfr molecular diagnostic prod
Mnfr,whl medical equipment</t>
  </si>
  <si>
    <t xml:space="preserve">Epigenomics AG, located in
Berlin, Germany,
manufactures molecular
diagnostic products. It
divides its products into
two areas: solutions for
early diagnosis of cancer
and products for special
diagnosis of cancer. The
Company produces and
develops tests that help in
the diagnosis of the
colorectal cancer, prostate
cancer and lung cancer. It
also offers services in the
field of identification and
development of methylated
deoxyribonucleic acid (DNA)
biomarkers. The Company was
founded in 1998.
Affymetrix Inc, located in
Santa Clara, California,
manufactures and wholesales
electromedical and
electrotherapeutic
apparatus, microarrays,
reagents and assays. The
company offers GeneChip
system consisting of
expression monitoring
arrays, DNA analysis arrays,
DNA analysis products. It
was incorporated in Delaware
in 1992.</t>
  </si>
  <si>
    <t xml:space="preserve">2835
3826</t>
  </si>
  <si>
    <t xml:space="preserve">EPIGENOMICS AG/AFFYMETRIX INC-STRATEGIC ALLIANCE</t>
  </si>
  <si>
    <t xml:space="preserve">Affymetrix Inc (AI) and Epigenomics AG (EA) formed a strategic alliance
wherein AI licensed EA to utilize its microarray technology to develop and
market microarray-based in-vitro diagnostic (IVD) tests for oncology and
other indications. The alliance enabled EA to provide a complete platform
for its pathology tests based on its proprietary DNA methylation methods,
which will result into products such as pathology tests in prostate and
breast cancer.</t>
  </si>
  <si>
    <t xml:space="preserve">29431M
00826T</t>
  </si>
  <si>
    <t xml:space="preserve">Aurigene Discovery Tech Ltd
Debiopharm International SA</t>
  </si>
  <si>
    <t xml:space="preserve">Pvd drug discovery svcs
Manufacture biopharmaceuticals</t>
  </si>
  <si>
    <t xml:space="preserve">Aurigene Discovery
Technologies Ltd, located in
Bangalore, India, is a
partnership-focused
collaborative discovery
company that partners with
pharmaceutical and biotech
companies for drug discovery
activities.
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t>
  </si>
  <si>
    <t xml:space="preserve">India
Switzerland</t>
  </si>
  <si>
    <t xml:space="preserve">Dr Reddy's Laboratories Ltd
Debiopharm International SA</t>
  </si>
  <si>
    <t xml:space="preserve">AURIGENE DISCOVERY TECHNOLOGIES LTD/DEBIOPHARM GROUP SA-STRATEGIC ALLIANCE</t>
  </si>
  <si>
    <t xml:space="preserve">Aurigene Discovery Technologies Ltd (Aurigene) and Debiopharm Group SA
(Debiopharm) formed a strategic alliance to identify and develop compounds
for two innovative immuno-oncology targets. Under the agreement, Aurigene
will contribute in the discovery of in-vivo optimisation of lead compounds
and Debipharm will develop drugs.</t>
  </si>
  <si>
    <t xml:space="preserve">05193K
24275A</t>
  </si>
  <si>
    <t xml:space="preserve">Thomson SA
Microsoft Corp</t>
  </si>
  <si>
    <t xml:space="preserve">Mnfr,whl video tech prod
Develops and wholesales computer software products</t>
  </si>
  <si>
    <t xml:space="preserve">Thomson SA, located in
Boulogne-Billancourt,
France, manufactures and
wholesales digital video
technology products. It
operates through 3 main
segments: the Systems and
Equipment segment produces
and sells retail products
such as television, video,
audio and DVDs. Services
segment provides services to
the film and media industry,
produces and distributes
motion picture films, DVDs,
CDs and video cassettes; and
the Technology segment
includes research and
development, patents and
licensing, provides silicon
solutions, software and
technological solutions. Its
customers include Disney,
Universal, Dreamworks,
Paramount, TF1, Canal Plus,
ABC, NBC, CNN, Fox, DirecTV,
Telefonica and France
Telecom, with products sold
in some 30 countries
throughout Asia, Europe, and
North America under the
Grass Valley, RCA,
Technicolor, and THOMSON
brand names. The company was
founded in 1983.
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t>
  </si>
  <si>
    <t xml:space="preserve">3651
7372</t>
  </si>
  <si>
    <t xml:space="preserve">FF
WA</t>
  </si>
  <si>
    <t xml:space="preserve">THOMSON/MICROSOFT CORP-STRATEGIC ALLIANCE</t>
  </si>
  <si>
    <t xml:space="preserve">Thomson SA (TS) and Microsoft Corp (MC) formed a strategic alliance to
manufacture, develop and market IP-enabled business desktop phones
specifically designed to integrate seamlessly with MC's Office
Communications Server 2007. The alliance was expected to help TS and MC to
deliver new IP technologies that enable businesses to raise productivity
and lower costs through enhanced and smarter communications.</t>
  </si>
  <si>
    <t xml:space="preserve">885118
594918</t>
  </si>
  <si>
    <t xml:space="preserve">Asterand PLC
Rubicon Genomics Inc</t>
  </si>
  <si>
    <t xml:space="preserve">Asterand PLC, located in
Royston, UK, is a
biotechnology company that
provides human tissue and
human tissue-based research
services to pharmaceutical,
biotech, and diagnostic
companies engaged in drug
discovery research in Europe,
North America, and Japan. The
company offers human tissues,
biofluids, and derivatives for
research use. It was founded
in 2000.
Rubicon Genomics Inc is a
manufacturer of biological
products. The Company is
located in Ann Arbor,
Michigan.</t>
  </si>
  <si>
    <t xml:space="preserve">FF
MI</t>
  </si>
  <si>
    <t xml:space="preserve">ASTERAND PLC(USE&gt;01/03/06)/RUBICON GENOMICS-STRATEGIC ALLIANCE</t>
  </si>
  <si>
    <t xml:space="preserve">Asterand PLC (AP) and Rubicon Genomics Inc (RG) formed a strategic alliance
to provide research and development services. The alliance aimed to
discover novel biomarkers for cancer diagnosis. Under terms of the
agreement, AP was expected to supply tissue and biofluid samples from its
biorepository and its worldwide network of clinical collaborators while RG
performed retrospective and prospective studies with samples using its
proprietary MethyPlex (TM) technology to discover more sensitive and
specific methylated DNA markers for cancer diagnosis and prognosis.</t>
  </si>
  <si>
    <t xml:space="preserve">04671X
78118Y</t>
  </si>
  <si>
    <t xml:space="preserve">Genuine Pharmaceuticals Ltd
Biogen Idec Inc</t>
  </si>
  <si>
    <t xml:space="preserve">Manufacture pharmaceuticals
Biotechnology company</t>
  </si>
  <si>
    <t xml:space="preserve">Manufacture pharmaceuticals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</si>
  <si>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India
United States</t>
  </si>
  <si>
    <t xml:space="preserve">GENOPTIX INC/BIOGEN IDEC INC(WAS 449370)-STRATEGIC ALLIANCE</t>
  </si>
  <si>
    <t xml:space="preserve">Genoptix Inc (GI) and Biogen Idec Inc (BI) planned to form a strategic
alliance to provide research and development services in the United States.
GI was to provide its expertise in flow cytometry testing to BI and were to
also collaborate on assay development to support the development of new
drugs.</t>
  </si>
  <si>
    <t xml:space="preserve">37280A
09062X</t>
  </si>
  <si>
    <t xml:space="preserve">Microbonds Inc
SPT Asia Pte Ltd</t>
  </si>
  <si>
    <t xml:space="preserve">Mnfr insulated bonding wire
Mnfr semiconductors</t>
  </si>
  <si>
    <t xml:space="preserve">Manufacture insulated bonding
wire for semiconductor
packaging and devices
Manufacture semiconductors</t>
  </si>
  <si>
    <t xml:space="preserve">3357
3674</t>
  </si>
  <si>
    <t xml:space="preserve">Canada
Singapore</t>
  </si>
  <si>
    <t xml:space="preserve">Microbonds Inc
SPT Roth Ltd</t>
  </si>
  <si>
    <t xml:space="preserve">MICROBONDS INC/SMALL PRECISION TOOL INC-STRATEGIC ALLIANCE</t>
  </si>
  <si>
    <t xml:space="preserve">SPT Asia Pte Ltd (SPT), a unit of SPT Roch Ltd, and Microbonds Inc (MI)
formed a strategic alliance to provide technology development services. The
alliance was to align the technology roadmaps of the advanced wire bonding
capillaries of SPT with MB's insulated bonding wire technology known as
X-Wire(TM) technology to provide end customers take full advantage of the
manufacturing and package design capabilities inherent in the use of
insulated bonding wires.</t>
  </si>
  <si>
    <t xml:space="preserve">59545M
78289C</t>
  </si>
  <si>
    <t xml:space="preserve">Sosei Co Ltd
Vectura Group PLC</t>
  </si>
  <si>
    <t xml:space="preserve">Manufacture prescription
pharmaceuticals intended for
final consumption, including
biotech products and
antibiotics
Vectura Group PLC, located in
Chippenham, the United
Kingdom, is a manufacturer of
pharmaceuticals. The Company
manufactures prescription
pharmaceuticals intended for
final consumption for the
treatment of lung diseases.
The Company was founded in
1997.</t>
  </si>
  <si>
    <t xml:space="preserve">SOSEI CO LTD/VECTURA GROUP PLC-STRATEGIC ALLIANCE</t>
  </si>
  <si>
    <t xml:space="preserve">Sosei Co Ltd (SC) and Vectura Group PLC (VG) formed a strategic alliance to
provide research and development services. The alliance collaborated on
NVA237 for treatment for chronic obstructive pulmonary disease (COPC).
NVA237 was developed and commercialized by Novartis AG under global license
agreement in April 2006.</t>
  </si>
  <si>
    <t xml:space="preserve">83536A
92305M</t>
  </si>
  <si>
    <t xml:space="preserve">SurModics Inc
AbbeyMoor Medical Inc</t>
  </si>
  <si>
    <t xml:space="preserve">Mnfr,dvlp drug delivery tech
Mnfr urological device</t>
  </si>
  <si>
    <t xml:space="preserve">SurModics Inc, located in
Eden Prairie, Minnesota,
manufactures and develops
drug delivery technology, as
well as, surface
modification technology for
the healthcare industry. Its
offerings include: drug
delivery technologies
(coatings, microparticles
and implants) and surface
modification coating
technologies that impart
lubricity, prohealing, and
biocompatibility
capabilities. The Company
was founded in 1979.
Manufacture urological
stenting devices</t>
  </si>
  <si>
    <t xml:space="preserve">3841
3841</t>
  </si>
  <si>
    <t xml:space="preserve">MN
MN</t>
  </si>
  <si>
    <t xml:space="preserve">SURMODICS INC/ABBEYMOOR MEDCIAL LLC-STRATEGIC ALLIANCE</t>
  </si>
  <si>
    <t xml:space="preserve">SurModics Inc and AbbeyMoor Medical Inc formed a strategic alliance to
provide research and development services of therapeutic agents for the
treatment of prostatitis and prostate cancer in the United States. The
alliance was expected to create synergy and leverage their portfolio of
medical devices</t>
  </si>
  <si>
    <t xml:space="preserve">868873
01143C</t>
  </si>
  <si>
    <t xml:space="preserve">US Display Consortium
National Starch &amp; Chemical Co</t>
  </si>
  <si>
    <t xml:space="preserve">Pvd research,dvlp svcs
Mnfr starches,resins,adhesives</t>
  </si>
  <si>
    <t xml:space="preserve">Provide research and
development services for flat
panel display manufacturers
and developers, FPD users and
the supplier base
National Starch &amp; Chemical Co,
based in Bridgewater, New
Jersey, manufactures starches,
resins, adhesives and chemical
products. It was founded in
1920.</t>
  </si>
  <si>
    <t xml:space="preserve">8731
2842</t>
  </si>
  <si>
    <t xml:space="preserve">US Display Consortium
ICI PLC</t>
  </si>
  <si>
    <t xml:space="preserve">8731
2851</t>
  </si>
  <si>
    <t xml:space="preserve">US DISPLAY CONSORTIUM/NATIONAL STARCH &amp; CHEMICAL CO-STRATEGIC ALLIANCE</t>
  </si>
  <si>
    <t xml:space="preserve">US Display Consortium (USD) and National Starch &amp; Chemical Co (NS), a unit
of Imperial Chemical Industries PLC, formed a strategic alliance to provide
research and development services on packaging technology for organic
light-emitting diode (OLED) displays in the United States. The alliance
yielded commercially viable sealants and packaging adhesives products under
the Eccoseal brand name. USD and NS invested at $ 2.21 mil US for the
research and development.</t>
  </si>
  <si>
    <t xml:space="preserve">US Display Consortium and National Starch and Chemical Co invested $ 2.21
mil US for the research and development.</t>
  </si>
  <si>
    <t xml:space="preserve">91179C
637776</t>
  </si>
  <si>
    <t xml:space="preserve">Kinemed Inc
Organon International Inc</t>
  </si>
  <si>
    <t xml:space="preserve">Mnfr diagnostic assays
Mnfr,whl pharm</t>
  </si>
  <si>
    <t xml:space="preserve">Manufacture and develop
diagnostic assays for labeling
and measuring molecular flaxes
in living organisms in order
to measure the ability of a
drug to intervene in a
targeted disease process
Manufacture and wholesale
prescription pharmaceuticals
in the fields of gynecology,
fertility, neuroscience and
anesthesia</t>
  </si>
  <si>
    <t xml:space="preserve">2835
2834</t>
  </si>
  <si>
    <t xml:space="preserve">Kinemed Inc
Akzo Nobel NV</t>
  </si>
  <si>
    <t xml:space="preserve">2835
2851</t>
  </si>
  <si>
    <t xml:space="preserve">KINEMED INC /ORGANON- STRATEGIC ALLIANCE</t>
  </si>
  <si>
    <t xml:space="preserve">KineMed Inc (KM) and Organon International Inc (OI), a unit of Akzo Nobel
NV, formed a strategic alliance to provide  research and development
services on new applications for multiple drug candidates in the United
States. Under terms of the agreement, KM as expected to apply its
proprietary technologies AquaTag (TM) and KineMarker (TM) to find
alternative applications for discontinued compounds formerly in OI's
clinical stage pipeline and KM and OI were to jointly  determine a
potential development and commercialization path from there.</t>
  </si>
  <si>
    <t xml:space="preserve">49459P
68579T</t>
  </si>
  <si>
    <t xml:space="preserve">Polaris Geothermal Inc
Sinclair Knight Merz Pty Ltd</t>
  </si>
  <si>
    <t xml:space="preserve">Pvd renewable energy svcs
Provide engineering services</t>
  </si>
  <si>
    <t xml:space="preserve">Polaris Geothermal Inc,
located in Toronto, Ontario,
provides renewable energy
services focused on the
development of geothermal
energy projects in Latin
America. It was founded in
2004.
Sinclair Knight Merz, located
in Adelaide, Australia,
provides engineering, sciences
and project delivery services.
The company has 42 major
offices across Australia, New
Zealand, Europe, the Middle
East, South America and Asia.
It provides independent
technical, strategic and
commercial advice to deliver a
range of projects in the
communities. It operates in
four broad markets: Buildings
and Infrastructure; Mining and
Metals; Power and Industry;
and Water and Environment. It
employs around 6500 employees.
The company was founded in
1964.</t>
  </si>
  <si>
    <t xml:space="preserve">499A
8711</t>
  </si>
  <si>
    <t xml:space="preserve">Canada
Australia</t>
  </si>
  <si>
    <t xml:space="preserve">POLARIS GEOTHERMAL INC/SINCLAIR KNIGHT MERZ-STRATEGIC ALLIANCE</t>
  </si>
  <si>
    <t xml:space="preserve">Sinclair Knight Merz and Polaris Geothermal Inc formed a strategic alliance
to provide research and development services of geothermal power energy
globally. The alliance was expected to seek and renew energy resources to
reduce and eliminate environmental pollutions.</t>
  </si>
  <si>
    <t xml:space="preserve">731063
82923T</t>
  </si>
  <si>
    <t xml:space="preserve">Vertex Pharmaceuticals Inc
Tibotec-Virco NV</t>
  </si>
  <si>
    <t xml:space="preserve">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
Biotechnology company
primarily dedicated to combat
HIV and improve the quality of
life for patients</t>
  </si>
  <si>
    <t xml:space="preserve">Vertex Pharmaceuticals Inc
J&amp;J</t>
  </si>
  <si>
    <t xml:space="preserve">VERTEX PHARMACEUTICALS INC/TIBOTEC-VIRCO NV-STRATEGIC ALLIANCE</t>
  </si>
  <si>
    <t xml:space="preserve">Vertex Pharmaceuticals Inc (VP) and Tibotec-Virco NV (TV), a unit of
Johnson &amp; Johnson Inc, formed a strategic alliance to provide research and
development services. VP and TV were expected to establish a global health
initiative to increase prevention, diagnosis, treatment and cure of
hepatitis C virus (HCV)  infection. The alliance was expected to be
financially supported by both VP and TV and were subjected to regulatory
approval for the development and commercialization of VX-950, a HCV
protease inhibitor. Concurrently, V also entered into an agreement with
Janssen Pharmaceutica NV.</t>
  </si>
  <si>
    <t xml:space="preserve">92532F
88660Z</t>
  </si>
  <si>
    <t xml:space="preserve">Vertex Pharmaceuticals Inc
Janssen Pharmaceutica NV</t>
  </si>
  <si>
    <t xml:space="preserve">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
Janssen Pharmaceutica NV,
located in Beerse, Belgium,
manufactures prescription
pharmaceuticals intended for
final consumption, including
biotech products and
antibiotics.</t>
  </si>
  <si>
    <t xml:space="preserve">VERTEX PHARM INC/JANSSEN PHARMACEUTICA INC(- STRATEGIC ALLIANCE</t>
  </si>
  <si>
    <t xml:space="preserve">Vertex Pharmaceuticals Inc (VP) and Janssen Pharmaceutica NV (JP), a unit
of Johnson &amp; Johnson Inc, planned to form a strategic alliance to provide
research and development services of hepatitis C virus (HCV) protease
inhibitor VX-950. Under terms of the agreement, JP was expected to have the
exclusive rights in Europe, South America. Middle East, Africa and
Australia while VP was to retain commercial rights in North America. VP was
to receive $165 mil US as upfront payments. Concurrently VP also entered
into an alliance with Tibotec Pharmaceuticals Ltd for development and
commercialization of V-950.</t>
  </si>
  <si>
    <t xml:space="preserve">Vertex Pharmaceuticals Inc was to receive up to $165 mil US as upfront
payments.</t>
  </si>
  <si>
    <t xml:space="preserve">92532F
47088B</t>
  </si>
  <si>
    <t xml:space="preserve">Advanced Engine Components Ltd
Dongfeng Nanchong Automobile</t>
  </si>
  <si>
    <t xml:space="preserve">Mnfr electn fuel injection sys
Mnfr auto,engines</t>
  </si>
  <si>
    <t xml:space="preserve">Advanced Engine Components
Ltd, located in Perth,
Australia, manufactures and
wholesales electronic fuel
injection and engine control
systems for natural gas
vehicles; provides research
and development of
electronic fuel injection
and engine management
technologies. The Company
was founded in 1984.
Manufacture automobiles and
engines</t>
  </si>
  <si>
    <t xml:space="preserve">3714
3711</t>
  </si>
  <si>
    <t xml:space="preserve">Australia
China</t>
  </si>
  <si>
    <t xml:space="preserve">Sunpex Investments Ltd
Dongfeng Motor Corp</t>
  </si>
  <si>
    <t xml:space="preserve">British Virgin
China</t>
  </si>
  <si>
    <t xml:space="preserve">6799
3711</t>
  </si>
  <si>
    <t xml:space="preserve">ADVANCED ENGINE COMPONENTS LTD/DONGFENG NANCHONG-STRATEGIC ALLIANCE</t>
  </si>
  <si>
    <t xml:space="preserve">Advanced Engine Components Ltd (AEC), a unit of the 698 Capital
International Ltd subsidiary of Sunpex Investments Ltd's High Target
Investments Ltd unit, and Dongfeng Nanchong Automobile Co Ltd (DN), a unit
of Dongfeng Motor Corp, formed a strategic alliance to manufacture and
develop natural gas powered engines. The alliance was expected to
manufacture engine compliant with Euro 3 emission standards which is
currently at Euro 2 emission standards. Testing and certification was
expected to be completed by the end of the year. In addition, DM was
expected to purchase 300 natural gas engine kits from ACE and was also
expected to deliver base engines to ACE in August.</t>
  </si>
  <si>
    <t xml:space="preserve">00732X
25868X</t>
  </si>
  <si>
    <t xml:space="preserve">Abbott Labs
AstraZeneca PLC</t>
  </si>
  <si>
    <t xml:space="preserve">Mnfr,whl pharm,med equip
Manufactures, wholesales pharmaceutical products</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</si>
  <si>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</si>
  <si>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IL
FF</t>
  </si>
  <si>
    <t xml:space="preserve">ABBOTT LAB(DNU)/ASTRAZENECA PLC-STRATEGIC ALLIANCE</t>
  </si>
  <si>
    <t xml:space="preserve">Abbot Laboratories (AL) and AstraZeneca PLC (AZ) planned to form a
strategic alliance to provide research and development services. The
alliance was to develop and market CRESTOR (R) and TriCor (R) fixed-dose
combination for treatment regimen. The alliance was to target three
important blood lipids namely LDL-C bad cholesterol, HDL-C good
Cholesterol, and triglycerides, in one single pill as treatment regimen.</t>
  </si>
  <si>
    <t xml:space="preserve">002824
046353</t>
  </si>
  <si>
    <t xml:space="preserve">Anika Therapeutics Inc
Galderma Pharma SA</t>
  </si>
  <si>
    <t xml:space="preserve">Mnfr,whl therapeutic prod
Manufacture skin care products</t>
  </si>
  <si>
    <t xml:space="preserve">Anika Therapeutics Inc,
headquartered in Bedford,
Massachusetts, manufactures
and wholesales therapeutic
products intended to repair,
protect and heal bone,
cartilage and soft tissue.
Its products are based on
hyaluronic acid (HA), a
biocompatible polymer found
throughout the body that
enhances joint function and
coats, protects, cushions
and lubricates soft tissues.
Galderma Pharma SA, located
in company was founded in
1981. Lausanne, Switzerland,
manufactures skin care
products such as treatment
for major skin conditions,
acne, rosacea, fungal nail
infections, psoriasis,
seborrheic dermatitis,
non-melanoma skin cancer and
photodamage, and
hyperpigmentation disorders.
Its products are distributed
in over 70 countries. The
company was founded in 1981.</t>
  </si>
  <si>
    <t xml:space="preserve">Anika Therapeutics Inc
Nestle SA</t>
  </si>
  <si>
    <t xml:space="preserve">3841
2095</t>
  </si>
  <si>
    <t xml:space="preserve">ANIKA THERAPEUTICS INC/GALDERMA PHARMA SA-STRATEGIC ALLIANCE</t>
  </si>
  <si>
    <t xml:space="preserve">Anika Therapeutics Inc (AT) and Galderma Pharma SA (GP) , a joint venture
between Nestle SA and L'Oreal, terminated their alliance. Earlier in July
2007, AT and GP formed a strategic alliance to provide research and
development services worldwide. The alliance was expected to develop and
wholesale cosmetic tissue augmentation (CTA) therapies for the correction
of facial wrinkles, scar remediation, and lip augmentation. AT was expected
to receive $ 1 mil US (1.23 mil Swiss francs) as upfront payments and was
also expected to receive royalties and transfer payments for the supply of
CTA products. The alliance was subjected to regulatory approvals.</t>
  </si>
  <si>
    <t xml:space="preserve">Anika Therapeutics Inc was expected to receive $ 1 mil US (1.23 mil Swiss
francs) as upfront payments and was also expected to receive royalties and
transfer payments for the supply of Cosmetic Tissue Augmentation  products.</t>
  </si>
  <si>
    <t xml:space="preserve">035255
36319A</t>
  </si>
  <si>
    <t xml:space="preserve">Asterand PLC
Mitsui Corp Co Ltd
Toyobo Co Ltd</t>
  </si>
  <si>
    <t xml:space="preserve">Biotech co
Pvd cosmetic products
Mnfr,whl fims,resins</t>
  </si>
  <si>
    <t xml:space="preserve">Asterand PLC, located in
Royston, UK, is a
biotechnology company that
provides human tissue and
human tissue-based research
services to pharmaceutical,
biotech, and diagnostic
companies engaged in drug
discovery research in Europe,
North America, and Japan. The
company offers human tissues,
biofluids, and derivatives for
research use. It was founded
in 2000.
Provide cosmetic products
Toyobo Co Ltd, located in
Osaka, Japan, manufactures and
wholesales films and resins.
It operates in six business
segments. The Film and
Functional Plastic segment
offers packaging films,
industrial films, industrial
adhesives, engineering plastic
and optical functional
materials. The Industrial
Material segment offers
textile materials for
automobile uses, super fibers,
functional filters and
non-woven cloth. The Life
Science segment offers
biotechnology products, such
as enzymes for diagnostic
drugs, as well as
pharmaceuticals, medical
films, medical devices and
aquatic films. The Clothing
Textile segment offers
functional clothing, apparel
products, clothing textiles
and clothing fibers. The Real
Estate segment is involved in
the sale, leasing and
management of real estate
properties. The Others segment
is engaged in the design and
construction of buildings and
machines, the sale of
machines, as well as the
provision of financial,
information, logistics and
linen supply services, among
others. It was founded in
1882.</t>
  </si>
  <si>
    <t xml:space="preserve">2836
5122
3081</t>
  </si>
  <si>
    <t xml:space="preserve">United Kingdom
Japan
Japan</t>
  </si>
  <si>
    <t xml:space="preserve">ASTERAND PLC(USE&gt;01/03/06)/MITSUI CORP /TOYOBO CO LTD - STRATEGIC ALLIANCE</t>
  </si>
  <si>
    <t xml:space="preserve">Asteran PLC (AP), Mitsui Corp (MC) and Toyobo Co Ltd (TC) formed a
strategic alliance to provide research and development services in Japan.
The alliance was expected to offer drug discovery services wherein AP was
expected to supply drug discovery companies with biological samples, data
and research services covering diseases such as cancer, gastrointestinal,
respiratory, metabolic disorders, inflammatory, cardiovascular, and
diseases of the central nervous system including alzheimer's.</t>
  </si>
  <si>
    <t xml:space="preserve">04671X
60713P
892314</t>
  </si>
  <si>
    <t xml:space="preserve">Bioseek Inc
GlaxoSmithKline PLC</t>
  </si>
  <si>
    <t xml:space="preserve">Dvlp human biology software
Pharmaceutical Preparation Manufacturing</t>
  </si>
  <si>
    <t xml:space="preserve">BioSeek Inc, located in South
San Francisco, California,
develops human biology systems
software. The company provides
cell-based human disease
models for drug discovery and
development. It offers BioMap
Systems, which are human
primary cell-based assay
systems for indications in
vascular inflammation,
cardiovascular and respiratory
diseases, and fibrosis. It was
founded in 2000.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</si>
  <si>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BIOSEEK INC /GLAXOSMITHKLINE PLC(WAS 377327)- STRATEGIC ALLIANCE</t>
  </si>
  <si>
    <t xml:space="preserve">Bioseek Inc (BI) and Glaxosmithkline PLC (GSK) formed a strategic alliance
to provide research and development services. BI was expected to apply its
BioMAP (R) systems for the characterization of compounds from GSK. The
alliance was expected to provide in-depth characterization of drug
function, including defining mechanism of action and secondary activities
and provided insights into potential clinical applications. Financial terms
were not disclosed.</t>
  </si>
  <si>
    <t xml:space="preserve">09145E
37733W</t>
  </si>
  <si>
    <t xml:space="preserve">Abbott Labs
Dharmacon Inc</t>
  </si>
  <si>
    <t xml:space="preserve">Mnfr,whl pharm,med equip
Pvd research,dvlp RNA tech svc</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</si>
  <si>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Provide RNA oligonucleotide
synthesis research and
development services;
wholesale and supply RNA and
RNA-interference research
products</t>
  </si>
  <si>
    <t xml:space="preserve">IL
CO</t>
  </si>
  <si>
    <t xml:space="preserve">Abbott Labs
Thermo Electron Corp</t>
  </si>
  <si>
    <t xml:space="preserve">ABBOTT LABORATORIES/DHARMACON INC-STRATEGIC ALLIANCE</t>
  </si>
  <si>
    <t xml:space="preserve">Abbott Laboratories (AL) and Dharmacon Inc (DI), a unit of Fisher
Scientific International Inc, planned to form a strategic alliance to
provide research and development services for new therapeutic agents based
on a gene silencing technology of RNA interference in the United States. AL
and DI were to work to identify therapeutic siRNAs initially focused on
oncology. AL was to manage the drug discovery and development process and
commercialization for the alliance. In addition, the alliance was to extend
drug discovery efforts into disease targets. Financial terms were not
disclosed.</t>
  </si>
  <si>
    <t xml:space="preserve">002824
25287A</t>
  </si>
  <si>
    <t xml:space="preserve">Invitrogen Corp
Human Proteome Organization</t>
  </si>
  <si>
    <t xml:space="preserve">Mnfr biological prod
Professional org</t>
  </si>
  <si>
    <t xml:space="preserve">Invitrogen Corp, located in
Carlsbad, California,
manufactures biological
products, research tools in
reagent and kit form, and
provides other research
services, including
informatics software, to
customers engaged in life
sciences research, drug
discovery, diagnostics and the
commercial manufacture of
biological products. The
company was founded in 1987.
Professional organization that
promotes the development and
awareness of proteomics
research, advocates on behalf
of proteomics researchers
throughout the world, and
facilitates scientific
collaborations between HUPO
members and Initiatives</t>
  </si>
  <si>
    <t xml:space="preserve">2836
8621</t>
  </si>
  <si>
    <t xml:space="preserve">INVITROGEN CORP/HUMAN PROTEOME ORGANIZATION-STRATEGIC ALLIANCE</t>
  </si>
  <si>
    <t xml:space="preserve">Invitrogen Corp (IC) and Human Proteome Organization (HUPO) formed a
strategic alliance to provide research and development services focused on
advancing proteomic research through education initiatives, standardization
of research protocols and development of advanced proteomic products. Under
terms of the agreement, IC's scientists were to support efforts driven by
HUPO and its members. Financial terms were not disclosed.</t>
  </si>
  <si>
    <t xml:space="preserve">46185R
44494V</t>
  </si>
  <si>
    <t xml:space="preserve">Alfacell Corp
West German Cancer Center</t>
  </si>
  <si>
    <t xml:space="preserve">Biotechnology company
Pvd research,dvlp svcs</t>
  </si>
  <si>
    <t xml:space="preserve">Alfacell Corp, located in
Bloomfield, New Jersey is a
biotechnology company
focused on the dicovery,
development, and
commercialization of
ribonuclease therapeutics
for cancer and other
life-threatening diseases
Provide research and
development services</t>
  </si>
  <si>
    <t xml:space="preserve">Alfacell Corp
Universitat Duisburg Essen</t>
  </si>
  <si>
    <t xml:space="preserve">ALFACELL CORP/WEST GERMAN CANCER CENTER-STRATEGIC ALLIANCE</t>
  </si>
  <si>
    <t xml:space="preserve">Alfacell Corp (AC) and West German Cancer Center, a unit of Universitat
Duisburg Essen, planned to form a strategic alliance to provide research
and development services. The alliance was to develop novel fusion protein
for non-Hodgkin's lymphoma, a therapy for cancer.</t>
  </si>
  <si>
    <t xml:space="preserve">015404
37411X</t>
  </si>
  <si>
    <t xml:space="preserve">EWI Inc
Oak Ridge National Laboratory</t>
  </si>
  <si>
    <t xml:space="preserve">Pvd engineering svcs
Pvd research,lab testing svcs</t>
  </si>
  <si>
    <t xml:space="preserve">Provide engineering services
focused on the exploration of
practical welding, bonding and
joining processes in
manufacturing
Oak Ridge National
Laboratory provides research
and laboratory testing
services for nuclear energy
research and for the
physical and life sciences
industries.The Company was
founded in 1943 and is
located in Oak Ridge,
Tennessee.</t>
  </si>
  <si>
    <t xml:space="preserve">8711
8731</t>
  </si>
  <si>
    <t xml:space="preserve">OH
TN</t>
  </si>
  <si>
    <t xml:space="preserve">EWI INC/OAK RIDGE NATIONAL LABORATORY-STRATEGIC ALLIANCE</t>
  </si>
  <si>
    <t xml:space="preserve">EWI Inc (EI) and Oak Ridge National Laboratory (OR), a unit of US
state-owned Department of Energy,  formed a strategic alliance to provide
research services in welding science and technology across industrial
sectors in the United States. The alliance aimed to create innovative uses
for new technologies in welding. OR provided computational models that were
posted on EI's website for use of EI's member companies. In addition, EI
and R were expected to identify other opportunities to apply their joint
capabilities to improve advanced manufacturing,in industries such as fuel
cells, advanced nuclear power, and automotive industries.</t>
  </si>
  <si>
    <t xml:space="preserve">26927A
67177T</t>
  </si>
  <si>
    <t xml:space="preserve">Procter &amp; Gamble Pharm Inc
Bruce Power LP</t>
  </si>
  <si>
    <t xml:space="preserve">Mnfr pharm
Electric utility</t>
  </si>
  <si>
    <t xml:space="preserve">Procter &amp; Gamble
Pharmaceuticals Inc, based in
Cincinnati, Ohio, manufactures
prescription pharmaceuticals
intended for final
consumption, including biotech
products and antibiotics such
as Actonel, Asacol, Enablex,
Dantrium, Dantrium IV,
Didronel, Macrobid,
Macrodantin, Entex, and Ziac
and a variety of
over-the-counter and oral care
products such as Crest,
Oral-B, Prilosec OTC, Vicks,
Metamucil, Pepto-Bismol and
ThermaCare.
Bruce Power LP, located in
Tiverton, Ontario, provides
electric power services. It
is a private nuclear power
generator that provides 30%
of Ontario's power. It
operates eight units and
provides 4,000 full-time
direct jobs. The Company was
founded in 2001.</t>
  </si>
  <si>
    <t xml:space="preserve">2834
4911</t>
  </si>
  <si>
    <t xml:space="preserve">Procter &amp; Gamble Co
Bruce Power LP</t>
  </si>
  <si>
    <t xml:space="preserve">2841
4911</t>
  </si>
  <si>
    <t xml:space="preserve">PROCTER &amp; GAMBLE PHARMACEUTICALS INC/ARYX THERAPEUTICS-STRATEGIC ALLIANCE</t>
  </si>
  <si>
    <t xml:space="preserve">Procter &amp; Gamble Pharmaceuticals Inc (PG), a unit of Procter &amp; Gamble Co,
and ARYx Therapeutics (AT) planned to form a strategic alliance to provide
research and development services of AT's novel drug ATI-7505 for treatment
of gastrointestinal disorders such as gastroesophageal reflux disease
(GERD) and gastroparesis (delayed emptying of the stomach) worldwide. AT
was to grant PG the right to develop and commercialize ATI-7505 in exchange
for $25 mil US as upfront fee, milestone payments and royalties on product
sales. The alliance was subject to Hart-Scott-Rodino Improvements Act
approval. No other financial terms were disclosed.</t>
  </si>
  <si>
    <t xml:space="preserve">ARYx Therapeutics was to receive $25 mil US from Procter &amp; Gamble
Pharmaceuticals Inc as upfront, milestone and royalty payments.</t>
  </si>
  <si>
    <t xml:space="preserve">74276A
04395A</t>
  </si>
  <si>
    <t xml:space="preserve">Archemix Corp
Elan Corp PLC</t>
  </si>
  <si>
    <t xml:space="preserve">Archemix Corp, located in
Cambridge, Massachusetts,
manufactures aptamer-based
therapeutics for the
prevention and treatment of
chronic and acute diseases
through the use of proprietary
technologies such as selected
RNA and DNA scaffolds as
mimics or substitutes for
antibody-like binding domains.
The company was founded in
2001.
Elan Corp PLC, based in
Dublin, Ireland, is a
neuroscience-based
biotechnology company. It
focuses on discovering,
developing, manufacturing and
marketing advanced therapies
in neurology, autoimmune
diseases, and severe pain. It
also manufactures
pharmaceuticals. The company
was founded in 1969.</t>
  </si>
  <si>
    <t xml:space="preserve">United States
Ireland-Rep</t>
  </si>
  <si>
    <t xml:space="preserve">Archemix Corp
Blisfont Ltd</t>
  </si>
  <si>
    <t xml:space="preserve">ARCHEMIX CORP/ELAN CORP PLC-STRATEGIC ALLIANCE</t>
  </si>
  <si>
    <t xml:space="preserve">Archemix Corp (AC) and Elan Corp formed a strategic alliance to develop,
manufacture and market aptamer therapeutics for the treatment of autoimmune
disease globally. Under terms of the agreement, AC was expected to receive
an upfront payment of $7 mil US and was dependent upon the number of
products effectively commercialize under the growth and sales agreement in
excess of $350 mil US. The alliance was a considerable move for the
partners to further expand and manage their market coverage and increase
their sales revenue in the region. Other financial terms were not
disclosed.</t>
  </si>
  <si>
    <t xml:space="preserve">Research &amp; Development Services
Manufacturing Services
Health &amp; Medical Services</t>
  </si>
  <si>
    <t xml:space="preserve">Under terms of the agreement, Archemix Corp was expected to receive an
upfront payment of $7 mil US and was dependent upon the number of products
effectively commercialize under the growth and sales agreement in excess of
$350 mil US.</t>
  </si>
  <si>
    <t xml:space="preserve">03949Q
284131</t>
  </si>
  <si>
    <t xml:space="preserve">Schering AG
Avid Radiopharmaceuticals Inc</t>
  </si>
  <si>
    <t xml:space="preserve">Mnfr tailored therapy pharm
Mnfr radiopharmaceuticals</t>
  </si>
  <si>
    <t xml:space="preserve">Manufacture and wholesale
hormonal contraceptives &amp;
preparations, oral
formulation, human monoclonal
antibodies, immune and
therapeutic drugs for
hematological malignancies,
X-ray contrast media and
magnetic resonance imaging for
visual diagnostics, and
special therapeutic products
related to peripheral arterial
occlusive diseases, pulmonary
hypertension, and multiple
sclerosis; provide
pharmaceutical research and
development services
Avid Radiopharmaceuticals Inc,
headquartered in Philadelphia,
Pennsylvania, manufactures
radiopharmaceuticals for
diagnosis and monitoring of
disease processes at the
molecular level. The company
manufactures and develops
novel molecular imaging
compounds intended for the
detection and monitoring of
chronic human diseases such as
Alzheimers disease, Parkinsons
disease, Dementia and Diabetes
mellitus. It was founded in
2004.</t>
  </si>
  <si>
    <t xml:space="preserve">Bayer AG
Avid Radiopharmaceuticals Inc</t>
  </si>
  <si>
    <t xml:space="preserve">SCHERING AG/AVID RADIOPHARMACEUTICALS-STRATEGIC ALLIANCE</t>
  </si>
  <si>
    <t xml:space="preserve">Schering AG (SA) and Avid Radiopharmaceuticals Inc (AR) planned to form a
strategic alliance to provide research and development services to develop
novel diagnostic imaging agents for Alzheimer's disease.</t>
  </si>
  <si>
    <t xml:space="preserve">806585
06100M</t>
  </si>
  <si>
    <t xml:space="preserve">Biorthex Inc
Nitinol Devices &amp; Components</t>
  </si>
  <si>
    <t xml:space="preserve">Biotechnology company
specializing in the design,
development, production,
manufacture and
commercialization of
orthopaedic products and
devices, with a focus on
spinal disorders
Nitinol Device &amp; Components
Inc, located in Fremont,
California, manufactures
medical equipment. The company
was founded in 1991.</t>
  </si>
  <si>
    <t xml:space="preserve">BIORTHEX INC/NITINOL DEVICES AND COMPONENTS- STRATEGIC ALLIANCE</t>
  </si>
  <si>
    <t xml:space="preserve">Biorthex Inc and Nitinol Device &amp; Components, a unit of Johnson &amp; Johnson
Inc, formed a strategic alliance to provide research and development
services to develop porous surface coating based on Actipore(TM)
technology. The alliance was expected to develop porous surface coating on
titanium and cobalt-chome, the most common materials used for orthopaedic
implants. The alliance was expected to offer solution to the age old
problem being the rapid and long lasting implant to bone fixation.</t>
  </si>
  <si>
    <t xml:space="preserve">09146T
65709K</t>
  </si>
  <si>
    <t xml:space="preserve">Kiwa Bio-Tech Prods Group Corp
Tianjin Challenge Biotech</t>
  </si>
  <si>
    <t xml:space="preserve">Mnfr bio-tech prod
Mnfr,dvlp animal pharma</t>
  </si>
  <si>
    <t xml:space="preserve">Kiwa Bio-Tech Products Group
Corp is a manufactures,
develops, distribute and
market bio-technological
products for agriculture. It
offers bio-fertilizer,
biologically enhanced
livestock feed, and animal
drugs and disinfectants. The
company has rights to
manufacture and market AF-01
anti-viral aerosol agent
product to prevent and cure
various virus infections in
fowl and livestock. The
Company was founded in 2002
and is located in Ontario,
California.
Manufacture and develop animal
pharmaceuticals</t>
  </si>
  <si>
    <t xml:space="preserve">2048
2834</t>
  </si>
  <si>
    <t xml:space="preserve">Kiwa Bio-Tech Prods Group Corp
Chinese Academy of Agriculturl</t>
  </si>
  <si>
    <t xml:space="preserve">2048
8731</t>
  </si>
  <si>
    <t xml:space="preserve">KIWA BIO-TECH PRODUCTS GROUP CORP/TIANJIN CHALLENGE FEED CO LTD-TIANJIN
KIWA FEED LLC JOINT VENTURE</t>
  </si>
  <si>
    <t xml:space="preserve">Manufacture, develop and
market bio-feed products</t>
  </si>
  <si>
    <t xml:space="preserve">Kiwa Bio-tech Products Group Corp (KB) and Tianjin Challenge Feed Co Ltd
(TC), a unit of Chinese Academy of Agricultural Sciences' Beijing Challenge
Science &amp; Technology Co Ltd unit, formed a joint venture named Tianjin Kiwa
Feed LLC (TK) to manufacture, develop and market bio-feed products in
China. Under terms of the agreement, KB held an 80% interest in TK while TC
held the remaining 20% stake. KB invested $0.48 mil US (3.832 mil Chinese
yuan) into TK. TK had been subjected to Chinese government approval.</t>
  </si>
  <si>
    <t xml:space="preserve">80.00
20.00</t>
  </si>
  <si>
    <t xml:space="preserve">Kiwa Bio-tech Products Group Corp invested $0.48 mil US (3.832 mil Chinese
yuan) into Tianjin Kiwa Feed LLC.</t>
  </si>
  <si>
    <t xml:space="preserve">88698N</t>
  </si>
  <si>
    <t xml:space="preserve">49834X
88613M</t>
  </si>
  <si>
    <t xml:space="preserve">Ballistic Recovery Sys Inc
Diamond Aircraft Inds Inc</t>
  </si>
  <si>
    <t xml:space="preserve">Mnfr parachute sys
Manufacture aircraft</t>
  </si>
  <si>
    <t xml:space="preserve">Ballistic Recovery Systems
Inc, located in South St.
paul, Minnesota, manufactures
ballistically deployed
parachute recovery system for
use on ultra light and
experimental aircraft. The
company was founded in 1980.
Diamond Aircraft Industries
Inc, located in London,
Ontario, manufactures single
and twin-engine propeller
aircraft and a single-engine
jet aircraft. It also operates
a flight training school and
pilot shops, operating through
facilities in Canada and
Austria. The company was
founded in 1992.</t>
  </si>
  <si>
    <t xml:space="preserve">2399
3721</t>
  </si>
  <si>
    <t xml:space="preserve">MN
FF</t>
  </si>
  <si>
    <t xml:space="preserve">Ballistic Recovery Sys Inc
Diamond Aircraft Inds GmbH</t>
  </si>
  <si>
    <t xml:space="preserve">BALLISTIC RECOVERY SYSTEMS INC/DIAMOND AIRCRAFT-STRATEGIC ALLIANCE</t>
  </si>
  <si>
    <t xml:space="preserve">Ballistic Recovery Systems Inc (BR) and Diamond Aircraft Industries Inc
(DA) formed a strategic alliance to provide aircraft recovery parachute
development services. The alliance collaborated to develop and install BR's
parachute system in DA's new D-JET aircrafts.</t>
  </si>
  <si>
    <t xml:space="preserve">058659
25297Q</t>
  </si>
  <si>
    <t xml:space="preserve">Narhex Life Sciences Ltd
Shaanxi Dacheng Intl Trade</t>
  </si>
  <si>
    <t xml:space="preserve">Biotechnology company
Domestic,intl whl trading co</t>
  </si>
  <si>
    <t xml:space="preserve">Narhex Life Sciences Ltd,
located in Melbourne,
Australia, is a
biotechnology company
engaged in the research and
commercial development of
drugs for the treatment of
Human immunodeficiency virus
(HIV) / acquired
immunodeficiency syndrome
(AIDS) through its
associated entity, Narhex
Life Sciences International
Pty Ltd. It focuses on the
development and
commercialization of its
anti-HIV protease inhibitor
DG-17. The company is also
involved in mineral
exploration. It operates in
two business segments:
pharmaceuticals,
biotechnology and life
sciences, as well as mineral
exploration. The company was
founded in 1990.
Domestic and international
wholesale trading company</t>
  </si>
  <si>
    <t xml:space="preserve">2836
5099</t>
  </si>
  <si>
    <t xml:space="preserve">NARHEX LIFE SCIENCES LTD/SHAANXI DACHENG INTERNATIONAL TRADE-STRATEGIC
ALLIANCE</t>
  </si>
  <si>
    <t xml:space="preserve">Narhex Life Sciences Ltd (NL) and China Shaanxi Dacheng Internationa
Trade(group)Co Ltd (CS) formed a strategic alliance to provide research and
development services on the clinical trials of anti-HIV/AIDS drug DG17 in
China.</t>
  </si>
  <si>
    <t xml:space="preserve">63117N
81873N</t>
  </si>
  <si>
    <t xml:space="preserve">Actelion Ltd
Roche Holdings AG</t>
  </si>
  <si>
    <t xml:space="preserve">Mnfr,wholesale pharmaceuticals
Manufactures, wholesales pharmaceuticals and medical instruments</t>
  </si>
  <si>
    <t xml:space="preserve">Actelion Ltd, located in
Allschwil, Switzerland,
manufactures and wholesales
pharmaceuticals to treat and
prevent diseases related to
the endothelium. The Company
specializes in the field of
pulmonary arterial
hypertension (PAH), a chronic,
life-threatening disorder
characterized by abnormally
high blood pressure in the
arteries between the heart and
lungs. Its portfolio of PAH
treatments includes Opsumit
(macitentan), Tracleer
(bosentan), Uptravi
(selexipag), Veletri
(epoprostenol for injection)
and Ventavis (iloprost). It
has operative affiliates in
over 30 countries. The Company
was founded in December 1997.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</si>
  <si>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Switzerland
Switzerland</t>
  </si>
  <si>
    <t xml:space="preserve">ACTELION LTD/ROCHE HOLDING AG-STRATEGIC ALLIANCE</t>
  </si>
  <si>
    <t xml:space="preserve">Switzerland</t>
  </si>
  <si>
    <t xml:space="preserve">Actelion Ltd and Roche Holding AG planned to form a strategic alliance to
develop and market autoimmune disorder medicine in Switzerland.</t>
  </si>
  <si>
    <t xml:space="preserve">00516Q
77119M</t>
  </si>
  <si>
    <t xml:space="preserve">Perlos Corp
Ratos AB
Undisclosed JV Partner</t>
  </si>
  <si>
    <t xml:space="preserve">Mnfr electromechanical module
Private equity firm
Investment company</t>
  </si>
  <si>
    <t xml:space="preserve">Perlos Corp is an
electromechanical modules
manufacturer headquartered
in Finland. The company's
main products include
plastic casings, connectors,
antennas and automated
manufacturing assembly
solutions for the
telecommunications and
electronics industries as
well as drug delivery and
disease management devices
for the healthcare industry.
The company was founded in
1953.
Ratos AB is a private equity
firm focused on investing in
unlisted companies in the
Nordic Region, specifically
Swedish companies through
capital increase, expertise
and business development
support through its holding
companies which include
Alimak Hek, Arcus,
Anticimex, Atle Industri,
Bisnode, Bluegarden.
Preferable Investment size
is between SEK 300 million
and SEK 5000 million. It
takes minimum a 20% stake.
The Company was founded in
1934 and is located in
Stockholm, Sweden.
Investment company</t>
  </si>
  <si>
    <t xml:space="preserve">3663
6799
6799</t>
  </si>
  <si>
    <t xml:space="preserve">Finland
Sweden
Unknown</t>
  </si>
  <si>
    <t xml:space="preserve">Lite-On Technology Corp
Ratos AB
Undisclosed JV Partner</t>
  </si>
  <si>
    <t xml:space="preserve">Taiwan
Sweden
Unknown</t>
  </si>
  <si>
    <t xml:space="preserve">3575
6799
6799</t>
  </si>
  <si>
    <t xml:space="preserve">PERLOS CORP/RATOS AB-JOINT VENTURE</t>
  </si>
  <si>
    <t xml:space="preserve">Manufacture and develop drug
delivery systems, disease
management devices,
point-of-care diagnostics
devices, and supplies for a
wide area of applications for
healthcare professionals</t>
  </si>
  <si>
    <t xml:space="preserve">Finland</t>
  </si>
  <si>
    <t xml:space="preserve">Ratos AB (RA), Perlos Corp (PC), and an undisclosed management team planned
to form a joint venture named Perlos Healthcare (PH) to manufacture and
develop drug delivery systems, disease management devices, point-of-care
diagnostics devices, and supplies for a wide area of applications for
healthcare professionals in Finland. Under terms of the agreement, RA was
to hold a 78% interest in PH while PC was to hold a 20% stake. The
remaining 2% stake was to be held by PH's management team. PH was to be
formed through the aquisition of its 80% interest by RA and its management
team. PH was to be comprised of its production facilities in Kontiolahti,
Finland and Sunderland, England.</t>
  </si>
  <si>
    <t xml:space="preserve">20.00
78.00
2.00</t>
  </si>
  <si>
    <t xml:space="preserve">58652K</t>
  </si>
  <si>
    <t xml:space="preserve">70559P
34995M
904JVP</t>
  </si>
  <si>
    <t xml:space="preserve">Charoen Pokphand Group Co Ltd
PTT PCL</t>
  </si>
  <si>
    <t xml:space="preserve">Own,operate general farms
Mnfr,retail petrochemicals</t>
  </si>
  <si>
    <t xml:space="preserve">Charoen Pokphand Group Co Ltd,
located in Bangkok, Thailand,
is engaged in the operation of
general farms. It is also an
investment holding company
with operations and
investments in agribusiness,
crop integration, pet food
manufacturing, seed and
fertilizers manufacturing,
plastic materials
manufacturing, motorcycle
manufacturing, real estate
development and
telecommunications. Its core
business includes the
production of livestock feed
and horticulture products,
distribution of vegetable and
flower seeds and cultivation
of prawns, shrimp and fish.
The Company was founded in
1976.
PTT PCL is a petrochemicals
manufacturer and retailer,
headquartered in Bangkok,
Thailand. It is also engaged
in oil and gas exploration
and production. The group's
activities include the
production of petroleum,
operation of natural gas,
international trading of
crude oil, condensate,
petroleum and petrochemical
products and investment in
domestic refining and
petrochemical industries as
well as storage and
international marketing. The
company was founded in 1978.</t>
  </si>
  <si>
    <t xml:space="preserve">0273
2911</t>
  </si>
  <si>
    <t xml:space="preserve">Thailand
Thailand</t>
  </si>
  <si>
    <t xml:space="preserve">CHAROEN POKPHAND GROUP CO LTD/PTT PCL-STRATEGIC ALLIANCE</t>
  </si>
  <si>
    <t xml:space="preserve">Thailand</t>
  </si>
  <si>
    <t xml:space="preserve">Charoen Pokphand Group Co Ltd and Thai state-owned PTT PCL formed a
strategic alliance to develop bio-diesel and related products in Thailand.
The alliance was a strategic advantage for the partners to promote and
introduce an alternative energy from palm trees to have a steady supply of
bio-diesel in the region.</t>
  </si>
  <si>
    <t xml:space="preserve">16114T
716565</t>
  </si>
  <si>
    <t xml:space="preserve">Isagro SpA
Sipcam SpA</t>
  </si>
  <si>
    <t xml:space="preserve">Pesticide and Other Agricultural Chemical Manufacturing
Manufacture, whl agrochemicals</t>
  </si>
  <si>
    <t xml:space="preserve">Isagro SpA is a manufacturer
of agricultural chemicals.
The Company manufactures and
wholesales crop protection
products such as fungicides,
insecticides, herbicides,
biostimulants of biological
origin and pheromones, and
biostimulants of synthetic
origin and phytoregulators.
The Company was founded in
1992 and is located in
Milano, Italy.
Sipcam SpA, located in Pero,
Italy, manufactures and
wholesales agrochemicals,
pesticides and seeds. The
company was founded in 1946.</t>
  </si>
  <si>
    <t xml:space="preserve">Piemme SRL
Sipcam-Oxon SpA</t>
  </si>
  <si>
    <t xml:space="preserve">5082
2879</t>
  </si>
  <si>
    <t xml:space="preserve">ISAGRO SPA/SIPCAM-ISAGRO SIPCAM INTERNATIONAL JOINT VENTURE</t>
  </si>
  <si>
    <t xml:space="preserve">Isagro SpA and Societa Italiana Prodotti Chimici Per l'Agricoltura Milano
{Sipcam}, a unit of Sipcam-Oxon Group, planned to form a joint venture
named Isagro Sipcam International (ISI) to manufacture, develop and
wholesale new agrochemical products in Italy. ISI was also to be active in
acquiring stakes in agrochemical distribution companies.</t>
  </si>
  <si>
    <t xml:space="preserve">46425R
83383N</t>
  </si>
  <si>
    <t xml:space="preserve">Emisphere Technologies Inc
Roche Holdings AG</t>
  </si>
  <si>
    <t xml:space="preserve">Mnfr diagnostic pharm
Manufactures, wholesales pharmaceuticals and medical instruments</t>
  </si>
  <si>
    <t xml:space="preserve">Emisphere Technologies Inc,
located in Tarrytown, New
York, manufactures diagnostic
pharmaceuticals including oral
forms of injectible drugs.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</si>
  <si>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EMISPHERE TECHNOLOGIES INC/HOFFMANN-LA ROCHE(DNU)-STRATEGIC ALLIANCE</t>
  </si>
  <si>
    <t xml:space="preserve">Emisphere Technologies Inc (ET) and Roche Holdings AG (RH) formed  a
strategic alliance to provide research and development services. The
alliance was expected to explore the use of ET's eligen (R) technology for
oral formulations. RH was expected to fund the research collaboration.</t>
  </si>
  <si>
    <t xml:space="preserve">291345
77119M</t>
  </si>
  <si>
    <t xml:space="preserve">Sharp Corp
Electrolux AB</t>
  </si>
  <si>
    <t xml:space="preserve">Mnfr,whl consumer electn prod
Mnfr,whl household appliances</t>
  </si>
  <si>
    <t xml:space="preserve">Sharp Corp, headquartered in
Osaka, Japan, is engaged in
manufacture and wholesale of
consumer electronic
products. Other activities
include development, design
and wholesaling of consumer
electric and electronic
products. The operations are
carried out through the
following divisions:
Electronics and Electric
components. The electronics
division includes audio and
video (AV)/communication
products, including liquid
crystal color televisions,
projectors, digital
versatile disc (DVD) players
and recorders, compact disc
(CD) players and various
telephones; electric
appliances, personal
computers (PCs), digital
dictionaries, calculators,
liquid crystal color
monitors, information
displays and copy machines.
Electric components division
includes CCD/CMOS imagers,
LSIs for LCDs,
microcomputers, flash
memories, TFT LCD modules,
System LCD modules, solar
cells, components for
satellite broadcasting,
laser diodes, optical
pickups, optical sensors and
optical communication
components. The company was
founded in 1912.
Electrolux AB, located in
Stockholm, Sweden,
manufactures and wholesales
household appliances and
appliances for personal use.
Electrolux product range
includes cookers, ovens,
hoods, refrigerators,
freezers, dishwashers,
washing machines,
tumble-dryers and vacuum
cleaners under brands, such
as Electrolux,
AEG-Electrolux, Eureka and
Frigidaire. The Company was
established in 1910.</t>
  </si>
  <si>
    <t xml:space="preserve">3651
3632</t>
  </si>
  <si>
    <t xml:space="preserve">Japan
Sweden</t>
  </si>
  <si>
    <t xml:space="preserve">SHARP CORP/ELECTROLUX AB-STRATEGIC ALLIANCE</t>
  </si>
  <si>
    <t xml:space="preserve">Sharp Corp (SC) and Electrolux AB planned to form a strategic alliance to
manufacture, develop and market environmentally-friendly, energy-saving
small and medium-sized frost-free refrigerators in SC's plant in Thailand.
The alliance aim to sell $85.29 mil US (68.188 mil euros/10 bil Japanese
yen) worth of the jointly developed refrigerators in the year 2007.</t>
  </si>
  <si>
    <t xml:space="preserve">The alliance aim to sell $85.29 mil US (68.188 mil euros/10 bil Japanese
yen) worth of the jointly developed refrigerators in the year 2007.</t>
  </si>
  <si>
    <t xml:space="preserve">819882
285378</t>
  </si>
  <si>
    <t xml:space="preserve">Everlight Electronics Co Ltd
Epistar Corp
Hua Chuang Auto Info
Yamaha Motor Taiwan Co Ltd
Ta Yih Industrial Co Ltd
Depo Auto Parts Ind Co Ltd
ARTC</t>
  </si>
  <si>
    <t xml:space="preserve">Mnfr,whl LED prod
Mnfr,whl LED prod
Mnfr motor vehicle head lamps
Mnfr,whl motorcycles
Mnfr motor vehicle parts
Mnfr automotive lamps
Pvd research,dvlp svcs</t>
  </si>
  <si>
    <t xml:space="preserve">Everlight Electronics Co Ltd,
headquartered in New Taipei,
Taiwan, is a manufacturer and
wholesaler of semiconductors
and related device. The
company is engaged in
electronic products,
photoelectric controller,
semiconductor materials and
equipment processing,
manufacturing and trading
business. The Company was
founded in 1983.
Epistar Corp, headquartered
in Hsinchu, Taiwan, is
principally engaged in the
development, manufacture and
distribution of light
emitting diode (LED) wafers
and chips, mainly applied to
outdoor display appliances,
automobile lights, consumer
electronics, communication
products, information
products,
industrial/apparatus
indicator lights and thin
film transistor liquid
crystal display (TFT-LCD)
monitors. The company was
founded in September 15,
1996.
Hua Chuang Automobile
Information Technical Center
Co Ltd, located in New
Taipei City, Taiwan, is a
manufacturer of vehicular
lighting equipment.
Manufacture and wholesale
motorcycles, scooters,
electro-hybrid bicycles,
boats, sail boats, water
vehicles, pools, utility
boats, fishing boats, outboard
motors, diesel engines,
4-wheel ATVs, side-by-side
vehicles, racing karts, golf
cars, multi-purpose engines,
generators, water pumps,
snowmobiles, small-sized snow
throwers, automotive engines,
intelligent machinery,
industrial-use remote control
helicopters, electrical power
units for wheelchairs, helmets
Manufacture automobile spare
parts, motorcycle, bicycle,
airplane and ship parts
Depo Auto Parts Ind Co Ltd is
a manufacturer of vehicular
lighting equipment. The
company was founded in October
1987 and is located in Taipei,
Taiwan.
Provide research and
development services on the
LED headlamps</t>
  </si>
  <si>
    <t xml:space="preserve">3674
3674
3647
3751
3714
3647
8731</t>
  </si>
  <si>
    <t xml:space="preserve">Taiwan
Taiwan
Taiwan
Taiwan
Taiwan
Taiwan
Taiwan</t>
  </si>
  <si>
    <t xml:space="preserve">FF
FF
FF
FF
FF
FF
FF</t>
  </si>
  <si>
    <t xml:space="preserve">Everlight Electronics Co Ltd
Epistar Corp
Yulon Motor Co Ltd
Yamaha Motor Co Ltd
Ta Yih Industrial Co Ltd
Depo Auto Parts Ind Co Ltd
ARTC</t>
  </si>
  <si>
    <t xml:space="preserve">Taiwan
Taiwan
Taiwan
Japan
Taiwan
Taiwan
Taiwan</t>
  </si>
  <si>
    <t xml:space="preserve">3674
3674
3711
3751
3714
3647
8731</t>
  </si>
  <si>
    <t xml:space="preserve">EVERLIGHT ELEC/EPISTAR/HUA-CHUANG AUTO/YAMAHA MOTOR/TA YIH
INDUSTRIAL/AUTOMOTIVE RESEARCH-STRATEGIC ALLIANCE</t>
  </si>
  <si>
    <t xml:space="preserve">Taiwan</t>
  </si>
  <si>
    <t xml:space="preserve">Everlight Electronics Co Ltd, Epistar Corp, Hua chuang Automobile
Information Technical Center Co Ltd (HAITEC), Yamaha Motor Taiwan Co Ltd, a
unit of Yamaha Motor Co Ltd, Ta Yih Industrial Co, Depo Auto  Parts Ind Co
Ltd, and Automotive Research and Testing Center (ARTC) formed a strategic
alliance to manufacture and develop LED head lamps for cars and motorcycles
in Taiwan. Under terms of the agreement, ARTC was expected to solve
overheating problems in LED headlamps and develop it with better efficiency
while HAITEC was expected to be responsible for the design integration of
the automotive headlamps.</t>
  </si>
  <si>
    <t xml:space="preserve">
</t>
  </si>
  <si>
    <t xml:space="preserve">30035N
29430X
43333Q
98466Y
87319H
24967R
05194N</t>
  </si>
  <si>
    <t xml:space="preserve">DelSite Biotechnologies Inc
Brookwood Pharmaceuticals Inc</t>
  </si>
  <si>
    <t xml:space="preserve">Biotech co
Mnfr prescription pharm</t>
  </si>
  <si>
    <t xml:space="preserve">Biotechnology company that
provides pharmaceutical and
biotechnology industries with
novel delivery solutions for
new and existing proteins and
peptides
Manufacture prescription
pharmaceuticals intended for
final consumption</t>
  </si>
  <si>
    <t xml:space="preserve">TX
AL</t>
  </si>
  <si>
    <t xml:space="preserve">Carrington Laboratories Inc
Southern Research Institute</t>
  </si>
  <si>
    <t xml:space="preserve">DELSITE BIOTECHNOLOGIES INC/BROOKWOOD PHARMACEUTICALS INC-STRATEGIC
ALLIANCE</t>
  </si>
  <si>
    <t xml:space="preserve">Delsite Biotechnologies Inc (DB), a unit of Carrington Laboratories Inc,
and Brookwood Pharmaceuticals Inc (BP), a unit of Southern Research
Institute, formed a strategic alliance to provide research and development
services in the United States. DB and BP were expected to evaluate DB's
GelSite (R) patented drug-delivery technology, as a matrix for injectable
applications and for selected classes of drugs. GelSite technology was also
expected to protect and deliver peptides and proteins effectively while
reducing the frequency of drug administration.</t>
  </si>
  <si>
    <t xml:space="preserve">24740R
11474V</t>
  </si>
  <si>
    <t xml:space="preserve">China Natl Offshore Oil Corp
Bio Sweet Sdn Bhd</t>
  </si>
  <si>
    <t xml:space="preserve">Pvd oil,gas drilling svcs
Biotechnology company</t>
  </si>
  <si>
    <t xml:space="preserve">Provides oil, gas drilling
and exploration services
Bio Sweet Sdn Bhd is a
biotechnology company
specializing in biotech and
palm diesel research and
development services,
headquartered in Kuala Lumpur,
Malaysia.</t>
  </si>
  <si>
    <t xml:space="preserve">1382
2836</t>
  </si>
  <si>
    <t xml:space="preserve">China
Malaysia</t>
  </si>
  <si>
    <t xml:space="preserve">1311
2836</t>
  </si>
  <si>
    <t xml:space="preserve">CHINA NATIONAL OFFSHORE OIL CORP OIL BASE GROUP LTD/BIO SWEET SDN BHD-CNOOC
MALAYSIA BIOFUEL SDN BHD JOINT VENTURE</t>
  </si>
  <si>
    <t xml:space="preserve">CNOOC (Malaysia) Biofuel Sdn
Bhd, based in Malaysia,
provides research and
development services of palm
oil-based biodiesel and
related petrochemical
products. Founded in 2006.</t>
  </si>
  <si>
    <t xml:space="preserve">CNOOC Oil Base Group Ltd, a unit of China National Offshore Oil Corp, and
Bio Sweet Sdn Bhd, formed a joint venture named CNOOC (Malaysia) Biofuel
Sdn Bhd (CM) to provide research and development services of palm oil-based
biodiesel and related petrochemical products in Malaysia. CM was expected
to build a 120,000 tonnes capacity biodiesel plant to leverage the partners
renewable energy sources locally.</t>
  </si>
  <si>
    <t xml:space="preserve">13080R</t>
  </si>
  <si>
    <t xml:space="preserve">16995E
09219P</t>
  </si>
  <si>
    <t xml:space="preserve">Genentech Inc
Inotek Pharms Corp</t>
  </si>
  <si>
    <t xml:space="preserve">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
Inotek Pharmaceuticals Corp,
located in Lexington,
Massachusetts, is a
biopharmaceutical company
focused on the development
of therapies for patients
with glaucoma in the United
States. The company''s lead
product, trabodenoson, is a
selective adenosine mimetic
designed to lower IOP by
restoring the eye''s natural
pressure mechanism. The
company was founded on 1996.</t>
  </si>
  <si>
    <t xml:space="preserve">CA
MA</t>
  </si>
  <si>
    <t xml:space="preserve">Roche Holdings AG
Inotek Pharms Corp</t>
  </si>
  <si>
    <t xml:space="preserve">GENENTECH INC/INOTEK PHARMACEUTICALS-STRATEGIC ALLIANCE</t>
  </si>
  <si>
    <t xml:space="preserve">Genentech Inc (GI) and Inotek Pharmaceuticals Corp (IP) formed a strategic
alliance to develop, manufacture, market and wholesale inhibitors of poly
(ADP-ribose) polymerase for the potential treatment of cancer in the United
States. Under terms of the agreement, GI was expected to make make an
upfront payment of $20 mil US to IP, with the potential for up to $405 mill
in additional milestone payments based upon the successful completion of
the product.</t>
  </si>
  <si>
    <t xml:space="preserve">Research &amp; Development Services
Manufacturing Services
Marketing Services
Retail &amp; Wholesale Services</t>
  </si>
  <si>
    <t xml:space="preserve">Genentech Inc was expected to make an upfront payment of $20 mil US to
Inotek Pharmaceuticals Corp, with the potential for up to $405 mill in
additional milestone payments based upon the successful completion of the
product.</t>
  </si>
  <si>
    <t xml:space="preserve">368710
45780V</t>
  </si>
  <si>
    <t xml:space="preserve">Argenta Discovery Ltd
AstraZeneca PLC</t>
  </si>
  <si>
    <t xml:space="preserve">Biotechnology co
Manufactures, wholesales pharmaceutical products</t>
  </si>
  <si>
    <t xml:space="preserve">Argenta Discovery Ltd, based
in Harlow, Essex, is a
biotechnology company. The
company engages in the
business of contract drug
discovery research and
proprietary in-house
therapeutics programme,
focusing on respiratory
disease. The company was
formed in 2000.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</si>
  <si>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ARGENTA DISCOVERY LTD/ASTRAZENECA PLC-STRATEGIC ALLIANCE</t>
  </si>
  <si>
    <t xml:space="preserve">United Kingdom</t>
  </si>
  <si>
    <t xml:space="preserve">Argenta Discovery Ltd and AstraZeneca PLC formed a strategic alliance to
provide respiratory drug research and development services in United
Kingdom. Under terms of the agreement, the partner's was expected to
provide their expertise in medicinal chemistry to support drug discovery
activities bringing quality compounds globally. Financial terms were not
disclosed.</t>
  </si>
  <si>
    <t xml:space="preserve">04025J
046353</t>
  </si>
  <si>
    <t xml:space="preserve">Momenta Pharmaceuticals Inc
Novartis AG</t>
  </si>
  <si>
    <t xml:space="preserve">Mnfr biotech prod
Pharmaceutical Preparation Manufacturing</t>
  </si>
  <si>
    <t xml:space="preserve">Momenta Pharmaceuticals Inc,
located in Cambridge,
Massachusetts, manufactures
biotechnological products
specializing in the detailed
structural analysis and design
of complex sugars
(polysaccharides) for the
development of improved
versions of existing drugs,
the development of novel
drugs, and the discovery of
new biological processes. The
company was incorporated in
2001.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</si>
  <si>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MOMENTA PHARMACEUTICALS INC/SANDOZ AG (DNU&gt;12/17/96)-STRATEGIC ALLIANCE</t>
  </si>
  <si>
    <t xml:space="preserve">Momenta Pharmaceuticals Inc (MP) and Novartis AG (NV) planned to form a
strategic alliance to provide research and development services. The
alliance was to develop four follow-on and complex generic versions of
previously approved recombinant biotechnology and complex drugs. MP and NV
were to jointly develop, manufacture and commercialize all of the
candidates and share profits from the sales. MP was eligible to receive up
to $ 188 mil US (235.62 Swiss francs) as milestone payments for the four
product candidates. The alliance was subject to regulatory approvals and
antitrust review under the Hart-Scott-Rodino Act.</t>
  </si>
  <si>
    <t xml:space="preserve">Research &amp; Development Services
Manufacturing Services
Retail &amp; Wholesale Services</t>
  </si>
  <si>
    <t xml:space="preserve">Momenta Pharmaceuticals Inc was to receive $188 mil (235.62 mil Swiss
francs) as milestone payments.</t>
  </si>
  <si>
    <t xml:space="preserve">60877T
66987V</t>
  </si>
  <si>
    <t xml:space="preserve">Genpathway Inc
Affymetrix Inc</t>
  </si>
  <si>
    <t xml:space="preserve">Pvd ChIP svcs
Mnfr,whl medical equipment</t>
  </si>
  <si>
    <t xml:space="preserve">Provide chromatin
immunoprecipitation (ChIP)
technologies and services that
identify and analyze
gene-expression mechanisms and
biological pathways to
discover and test novel
pharmaceuticals, biomarkers
and diagnostic tests
Affymetrix Inc, located in
Santa Clara, California,
manufactures and wholesales
electromedical and
electrotherapeutic
apparatus, microarrays,
reagents and assays. The
company offers GeneChip
system consisting of
expression monitoring
arrays, DNA analysis arrays,
DNA analysis products. It
was incorporated in Delaware
in 1992.</t>
  </si>
  <si>
    <t xml:space="preserve">8731
3826</t>
  </si>
  <si>
    <t xml:space="preserve">GENPATHWAY/AFFYMETRIX INC - STRATEGIC ALLIANCE</t>
  </si>
  <si>
    <t xml:space="preserve">Genpathway Inc (GP) and Affymetrix Inc (AM) formed a strategic alliance to
provide research and development services worldwide. GP was expected to
provide chromatin immunoprecipitation (ChIP)-on-chip assays, services, and
analysis to pharmaceutical, biotechnology, and academic/institutional
researchers using AM's GeneChip(R) Tiling Array Systems. The alliance was
expected to provide researchers in any laboratory have an instant access to
ChIP-on-Chip data and enable them to look beyond the known protein-coding
gene sequences to thoroughly study gene structure, function and
regulation.</t>
  </si>
  <si>
    <t xml:space="preserve">37276R
00826T</t>
  </si>
  <si>
    <t xml:space="preserve">Grupo TCI SA
E-THERAPEUTICS PLC</t>
  </si>
  <si>
    <t xml:space="preserve">Pvd computer programming svcs
Biotechnology company</t>
  </si>
  <si>
    <t xml:space="preserve">Provide computer programming
and outsourcing services for
managed operating solutions
Biotechnology company
focused on discovering new
bioactive compounds,
de-risking candidates
against efficacy and safety,
discovering combinations of
compounds with specific
therapeutic effects and
surprising new indications
for existing compounds</t>
  </si>
  <si>
    <t xml:space="preserve">7371
2836</t>
  </si>
  <si>
    <t xml:space="preserve">Brazil
United Kingdom</t>
  </si>
  <si>
    <t xml:space="preserve">GRUPO TCI SA/E-THERAPEUTICS-STRATEGIC ALLIANCE</t>
  </si>
  <si>
    <t xml:space="preserve">Brazil</t>
  </si>
  <si>
    <t xml:space="preserve">Grupo TCI SA and e-Therapeutics Ltd formed a strategic alliance to provide
research and development as well as manufacture new medications using
tropical plants Brazil. Under terms of the agreement, the alliance was to
focus on screening medical and other uses of compounds discovered in the
country's Atlantic and Amazonian rainforests. The alliance was to cost $30
mil US (23.59 mil euros).</t>
  </si>
  <si>
    <t xml:space="preserve">The alliance was to cost $30 mil US (23.59 mil euros).</t>
  </si>
  <si>
    <t xml:space="preserve">40084H
26758P</t>
  </si>
  <si>
    <t xml:space="preserve">Empresas Iansa SA
ENAP</t>
  </si>
  <si>
    <t xml:space="preserve">Investment company
Oil,gas exploration,production</t>
  </si>
  <si>
    <t xml:space="preserve">Empresas Iansa SA,
headquartered in Santiago,
Chile, is a producer and
wholesaler of sugar and its
derivatives. Through its
subsidiaries, it produces,
commercializes and sells
agricultural products and
services. It produces sugar,
natural fruit juices,
tomato-based products,
canned vegetables, farm
supplies and, cattle and
horse feeds. The company was
founded in 1953.
Empresa Nacional del Petroleo
{ENAP}, located in Santiago,
Chile, is an oil and gas
exploration and production
company. The Company also
engages in the production of
fuels and other oil byproducts
through its Refining and
Logistics division. It was
founded in June 1950.</t>
  </si>
  <si>
    <t xml:space="preserve">2062
1311</t>
  </si>
  <si>
    <t xml:space="preserve">Chile
Chile</t>
  </si>
  <si>
    <t xml:space="preserve">Empresas Iansa SA
Chile</t>
  </si>
  <si>
    <t xml:space="preserve">2062
999A</t>
  </si>
  <si>
    <t xml:space="preserve">EMPRESA IANSA/ENAP-STRATEGIC ALLIANCE</t>
  </si>
  <si>
    <t xml:space="preserve">Chile</t>
  </si>
  <si>
    <t xml:space="preserve">Chilean state-owned Empresa Nacional de Petroleo and Empresas Iansa SA
planned to form a strategic alliance to provide research and development
services of biofuel and related products in Chile. The alliance was to
produce an estimated 100 mil litres of ethanol to sustain  steady supply of
fuel and to reduce the energy prices in the region. The alliance was to be
operational in March 2007.</t>
  </si>
  <si>
    <t xml:space="preserve">29246F
29245J</t>
  </si>
  <si>
    <t xml:space="preserve">Raptor Pharmaceuticals Corp
William Mobley</t>
  </si>
  <si>
    <t xml:space="preserve">Raptor Pharmaceuticals Corp,
located in Novato, California,
is a biotechnology company
focused on the development of
drug and drug targeting
platforms based on RAP and
related proteins. The company
was founded in 2005.
Individual</t>
  </si>
  <si>
    <t xml:space="preserve">RAPTOR PHARMA INC/WILLIAM MOBLEY-STRATEGIC ALLIANCE</t>
  </si>
  <si>
    <t xml:space="preserve">Raptor Pharmaceuticals Corp (RP) and William Mobley (WM) formed a strategic
alliance to provide research and development services in the United States.
Under terms of the agreement, WM was expected to study the utility of RP's
receptor associated protein (RAP) vectors known as NeuroTrans as potential
transporters of intravenously administered therapeutics across the blood
brain barrier. The alliance was expected to lead to a deeper understanding
of the biology of the blood-brain barrier as well as the potential of RAP
as a means of delivering protein therapeutics into the brain. In addition,
the alliance was also expected to lead to potential treatments of a wide
variety of neurodegenerative diseases.</t>
  </si>
  <si>
    <t xml:space="preserve">75381H
96922P</t>
  </si>
  <si>
    <t xml:space="preserve">CHDI Inc
Edison Pharmaceuticals Inc</t>
  </si>
  <si>
    <t xml:space="preserve">Pvd drug discovery svcs
Biotechnology company</t>
  </si>
  <si>
    <t xml:space="preserve">CHDI Inc is a non profit
organization focused on the
search for Huntington disease
(HD) treatments. It
collaborates with other
companies in order to pursue
drug discovery and development
as well as translational
research.
Biotechnology company that
provides development of drugs
to treat energy impairment
diseases also referred to as
mitochondrial disease</t>
  </si>
  <si>
    <t xml:space="preserve">CHDI INC/EDISON PHARMACEUTICALS INC - STRATEGIC ALLIANCE</t>
  </si>
  <si>
    <t xml:space="preserve">CHDI Inc (CI) and Edison Pharmaceuticals Inc (EP) formed a strategic
alliance to provide research and development of analogs of CoQ(10)
selectively targeted to reach the brain and address the mitochondrial
component of Huntington's disease in the United States. EP was expected to
contribute its expertise in redox pharmacology and translational biology
pertaining to bioenergetics and disease while CI was expected to contribute
its competencies in Huntington's disease and drug development. Financial
terms were not disclosed.</t>
  </si>
  <si>
    <t xml:space="preserve">12385W
28091R</t>
  </si>
  <si>
    <t xml:space="preserve">Nerites Corp
MORF</t>
  </si>
  <si>
    <t xml:space="preserve">Mnfr surgical adhesives
Pvd research,dvlp svcs</t>
  </si>
  <si>
    <t xml:space="preserve">Nerites Corp, located in
Madison, Wisconsin, is a
manufacturer of surgical
adhesives and coating products
used for closing internal
tears, affixing synthetic
devices, preventing bacterial
biofilm formation, and
immobilizing local
therapeutics. The company was
founded in 2004.
Provide research and
development services
conducting orthopaedic
research on innovative
surgical and rehabilitative
techniques and technologies
aimed at improving patient
outcomes</t>
  </si>
  <si>
    <t xml:space="preserve">2891
8731</t>
  </si>
  <si>
    <t xml:space="preserve">WI
MN</t>
  </si>
  <si>
    <t xml:space="preserve">NERITES CORP/MIDWEST ORTHOPAEDIC RESEARCH FOUNDATION-STRATEGIC ALLIANCE</t>
  </si>
  <si>
    <t xml:space="preserve">Nerites Corp (NC) and Midwest Orthopaedic Research Foundation (MORF) formed
a strategic alliance to provide research and development services in the
United States. NC and MORF were expected to evaluate and develop NC's
SurPhys antifouling coating technologies for medical devices and Medhesive
aqueous-compatible adhesives for internal tissue applications, for use as
surgical adhesives and implant coatings. The alliance was expected to bring
NC's world class polymer scientists and MORF"s biomechanical and clinical
expertise in Orthopaedic surgery.</t>
  </si>
  <si>
    <t xml:space="preserve">64204L
59836V</t>
  </si>
  <si>
    <t xml:space="preserve">DuPont
Affinergy Inc</t>
  </si>
  <si>
    <t xml:space="preserve">Mnfr chemical,electronic prod
Mnfr coatings</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</si>
  <si>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Manufacture and develop
coatings and medical devices
for the orthopedic and
cardiovascular markets</t>
  </si>
  <si>
    <t xml:space="preserve">2821
3842</t>
  </si>
  <si>
    <t xml:space="preserve">DE
NC</t>
  </si>
  <si>
    <t xml:space="preserve">DUPONT CO(DNU)/AFFINERGY INC-STRATEGIC ALLIANCE</t>
  </si>
  <si>
    <t xml:space="preserve">Delaware</t>
  </si>
  <si>
    <t xml:space="preserve">El du Pont de Nemours &amp; Co (DP) and Affinergy Inc (AI) formed a strategic
alliance to provide research and development services in the United States.
AI's expertise in site-specific biological delivery technology called
Interfacial Biomaterials was combined with DP's biotechnology and coating
know how to create a new line of bio-based products for DP's BioSurfaces
business. Financial terms were not disclosed.</t>
  </si>
  <si>
    <t xml:space="preserve">263534
98811L</t>
  </si>
  <si>
    <t xml:space="preserve">US Oncology Inc
Molecular Profiling Institute</t>
  </si>
  <si>
    <t xml:space="preserve">Pvd research,development svcs
Pvd lab testing svcs</t>
  </si>
  <si>
    <t xml:space="preserve">US Oncology Inc is a
research and development
firm, headquartered in
Houston, Texas, US. Its
services are dedicated
exclusively to cancer
treatment and research. It
is affiliated with more than
1,000 physicians practicing
in approximately 440
locations, including over 90
cancer centers and radiation
facilities in 39 states. The
company was founded in 1992.
Molecular Profiling Institute
Inc, located in Phoenix,
Arizona provide laboratory
testing facilities and
prognostic testing services,
and resources for genomic and
proteomic profiling and
treatment of cancer and other
complex diseases</t>
  </si>
  <si>
    <t xml:space="preserve">8731
8071</t>
  </si>
  <si>
    <t xml:space="preserve">TX
AZ</t>
  </si>
  <si>
    <t xml:space="preserve">Welsh Carson Anderson &amp; Stowe
Molecular Profiling Institute</t>
  </si>
  <si>
    <t xml:space="preserve">6799
8071</t>
  </si>
  <si>
    <t xml:space="preserve">US ONCOLOGY INC /MOLECULAR PROFILING INSTITUTE -TISSUE BANKING &amp; ANALYSIS
CENTER INC JOINT VENTURE</t>
  </si>
  <si>
    <t xml:space="preserve">Provide research and
development services for
personalized cancer treatments</t>
  </si>
  <si>
    <t xml:space="preserve">US Oncology Inc (UO), a unit of Welsh Carson Anderson &amp; Stowe Co, and
Molecular Profiling Institute Inc (MP) formed a joint venture named Tissue
Banking &amp; Analysis Center Inc (TB) to provide research and development
services in the United States. TB was expected to handle biospecimen
collection and analytical services for UO. In addition, TB was also
expected to provide access to tissue samples, clinical trial design,
biomarker development and esoteric testing under the guidance of top
scientists from government and industry. UO and MP's expertise were
combined to accelerate the clinical development of targeted therapies for
cancer patients.</t>
  </si>
  <si>
    <t xml:space="preserve">88818P</t>
  </si>
  <si>
    <t xml:space="preserve">90338W
60857V</t>
  </si>
  <si>
    <t xml:space="preserve">Essentia SpA
CSP scarl</t>
  </si>
  <si>
    <t xml:space="preserve">Dvlp software
Pvd research,dvlp svcs</t>
  </si>
  <si>
    <t xml:space="preserve">Develop telecommunciation and
security software
Provide research and
development services focused
on information and
communication technology</t>
  </si>
  <si>
    <t xml:space="preserve">7372
8731</t>
  </si>
  <si>
    <t xml:space="preserve">Essentia Group Ltd
CSP scarl</t>
  </si>
  <si>
    <t xml:space="preserve">United Kingdom
Italy</t>
  </si>
  <si>
    <t xml:space="preserve">7389
8731</t>
  </si>
  <si>
    <t xml:space="preserve">ESSENTIA SPA/CSP-STRATEGIC ALLIANCE</t>
  </si>
  <si>
    <t xml:space="preserve">Essentia SPA (ES), a unit of Gruppo Essentia Telecommunicazioni SRL, and
CSP s.c.a.r.l. (CSP) formed a strategic alliance to provide wireless
telecommunications research and development services in Italy. The alliance
was expected to focus on the digital divide, video surveillance, territory
monitoring and mesh networks. In addition, ES and CSP were expected to
develop operating system Essentia OpenWifless Ess, introduction of
specialized operating system for the wireless platform Essentia Wifless
Ess, and development of add-on hardware (HW) and software (SW) interface
for automotive sector.</t>
  </si>
  <si>
    <t xml:space="preserve">Research &amp; Development Services
Telecommunications Services
Communications Services</t>
  </si>
  <si>
    <t xml:space="preserve">29681C
12385N</t>
  </si>
  <si>
    <t xml:space="preserve">Tata Sons Pvt Ltd
Rashmi Barbhaiya</t>
  </si>
  <si>
    <t xml:space="preserve">Investment holding company
Individual</t>
  </si>
  <si>
    <t xml:space="preserve">Tata Sons Pvt Ltd, located
in Mumbai, India, provides
investment services. It is a
holding company which holds
98 operating subsidiaries in
seven business sectors
namely: information systems
and communications,
engineering, materials,
services, energy, consumer
products and chemicals. The
Company operates through its
Tata Consultancy Services,
Tata Financial Services and
Tata Quality Management
Services divisions. It is
the owner of the Tata
corporate name and the TATA
trademark. The Company was
founded in 1868.
Rashmi Barbhaiya, based in
India, is an individual
investor.</t>
  </si>
  <si>
    <t xml:space="preserve">India
India</t>
  </si>
  <si>
    <t xml:space="preserve">TATA SONS LTD/RASHMI BARBHIYA-ADVINUS THERAPEUTICS JOINT VENTURE</t>
  </si>
  <si>
    <t xml:space="preserve">Advinus Therapeutics Ltd,
located in Pune, India, is a
biotechnology company with
specialization in drug
discovery, pharmaceutical
and agrochemical products.</t>
  </si>
  <si>
    <t xml:space="preserve">Tata Sons Ltd and Rashimi Barbhiya formed a joint venture named Advinus
Therapeutics Ltd (AT) to provide biotechnology services with specialization
in drug discovery, pharmaceutical and agrochemical products in India. AT's
formation was a strategic opportunity for the partners to combined their
expertise in the medical industry.</t>
  </si>
  <si>
    <t xml:space="preserve">01152P</t>
  </si>
  <si>
    <t xml:space="preserve">87660C
75427F</t>
  </si>
  <si>
    <t xml:space="preserve">Genstruct Inc
GlaxoSmithKline PLC</t>
  </si>
  <si>
    <t xml:space="preserve">Biotechy co
Pharmaceutical Preparation Manufacturing</t>
  </si>
  <si>
    <t xml:space="preserve">Biotechnology company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</si>
  <si>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GENSTRUCT INC/GLAXOSMITHKLINE PLC-STRATEGIC ALLIANCE</t>
  </si>
  <si>
    <t xml:space="preserve">Genstruct Inc (GI) and GlaxoSmithKline PLC (GSK) formed a strategic
alliance to provide research and development services. The alliance was
expected to investigate compound mechanisms in oncology and to identify
biomarkers for patient stratification and drug response. Under terms of the
agreement, GSK paid an upfront fee and was expected to continue to fund
research projects for the agreement. Additional financial terms were not
disclosed.</t>
  </si>
  <si>
    <t xml:space="preserve">37265V
37733W</t>
  </si>
  <si>
    <t xml:space="preserve">Roche Diagnostics Corp
American Type Culture</t>
  </si>
  <si>
    <t xml:space="preserve">Mnfr diagnostic equip,prod
Pvd bioscience research svcs</t>
  </si>
  <si>
    <t xml:space="preserve">Roche Diagnostics Corp,
located in Indianapolis,
Indiana, manufactures
diagnostic equipment, products
and hematology instruments.
These are used for early
detection, targeted screening,
evaluation and monitoring of
the diseases. The company was
founded in 1968.
Provide bioscience research
services; wholesale biological
products such as bacteria,
yeast, fungi, protozoa,
antisera, genomic DNA, and
stem cells</t>
  </si>
  <si>
    <t xml:space="preserve">2835
8733</t>
  </si>
  <si>
    <t xml:space="preserve">IN
VA</t>
  </si>
  <si>
    <t xml:space="preserve">Roche Holdings AG
American Type Culture</t>
  </si>
  <si>
    <t xml:space="preserve">2834
8733</t>
  </si>
  <si>
    <t xml:space="preserve">ROCHE DIAGNOSTICS CORP/AMERICAN TYPE CULTURE COLLECTION-STRATEGIC ALLIANCE</t>
  </si>
  <si>
    <t xml:space="preserve">Roche Diagnostics Corp (RD),a unite of Roche Holding AG's F Hoffman-La
Roche Ltd subsidiary, and American Type Culture Collection (ATCC) formed a
strategic alliance to provide research and development services worldwide.
Under terms of the agreement, RD and ATCC were expected to combine their
resources for the benefit of scientists by consolidation information on
transfection and cell lines routinely used in life science research. ATCC
was expected to supply RD a selection of genuine cell lines for testing
using RD's transfection reagents. In addition RD and ATCC were expected to
offer links on their website and provide detailed information on cell lines
transfection information and references. The alliance provided efficiencies
in experimental design and improved the rate of successful transfection for
the life science research community.</t>
  </si>
  <si>
    <t xml:space="preserve">77117P
03028A</t>
  </si>
  <si>
    <t xml:space="preserve">Micell Technologies Inc
Pacific Northwest National Lab</t>
  </si>
  <si>
    <t xml:space="preserve">Mnfr,dvlp med devices
Pvd research,dvlp svcs</t>
  </si>
  <si>
    <t xml:space="preserve">Micell Technologies Inc,
headquartered in Raleigh,
North Carolina, manufactures
and develops medical devices
focus on the advanced method
for vascular drug delivery.
The company's lead product
candidate, MiStent, is being
developed to merge the
therapeutic efficacy potential
of a drug-eluting stent with
the long-term safety and
stability characteristics of a
bare-metal stent. The company
was founded in 1995.
Provide research and
development services
delivering breakthrough in
science and technology</t>
  </si>
  <si>
    <t xml:space="preserve">3845
8731</t>
  </si>
  <si>
    <t xml:space="preserve">NC
WA</t>
  </si>
  <si>
    <t xml:space="preserve">MICELL TECHNOLOGIES, INC/PACIFIC NORTHWEST NATIONAL LABORATORY-STRATEGIC
ALLIANCE</t>
  </si>
  <si>
    <t xml:space="preserve">Micell Technologies Inc (MT) and Pacific Northwest National Laboratory, a
unit of American state-owned Department of Energy, formed a strategic
alliance wherein PN licensed MT to utilize its Electrostatic- Rapid
Expansion from Supercritical Solution (e-REES) for creating medical device
surface modifications in the United States. The alliance was expected to
provide research services focused on e-RESS technology for creating
drug-eluting coatings for cardiovascular stents. By combining PN's
expertise in supercritical fluid technology with MT's internal expertise
creates a powerful combination for continued development of unique medical
device surface modification technology.</t>
  </si>
  <si>
    <t xml:space="preserve">59405M
69651E</t>
  </si>
  <si>
    <t xml:space="preserve">Sandia National Laboratories
Monsanto Co</t>
  </si>
  <si>
    <t xml:space="preserve">Pvd research,dvlp svcs
Pesticide and Other Agricultural Chemical Manufacturing</t>
  </si>
  <si>
    <t xml:space="preserve">Provide research and
development services to
support United States'
national security
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t>
  </si>
  <si>
    <t xml:space="preserve">8731
2879</t>
  </si>
  <si>
    <t xml:space="preserve">NM
MO</t>
  </si>
  <si>
    <t xml:space="preserve">Honeywell International Inc
Monsanto Co</t>
  </si>
  <si>
    <t xml:space="preserve">3812
2879</t>
  </si>
  <si>
    <t xml:space="preserve">SANDIA NATIONAL LABORATORIES/MONSANTO CO - STRATEGIC ALLIANCE</t>
  </si>
  <si>
    <t xml:space="preserve">American state-owned Sandia National Laboratories (SNL) and Monsanto Co
(MC) formed a 3-year strategic alliance to provide biology and bioenergy
research services in the United States. The alliance aimed at aligning
SNL's capabilities in bioanalytical imaging and analysis with MC's research
in developing new seed-based products for farmers which includes corn
products that may be able to produce more ethanol per bushel. Financial
terms were not disclosed.</t>
  </si>
  <si>
    <t xml:space="preserve">80004D
61166W</t>
  </si>
  <si>
    <t xml:space="preserve">Traceguard Technologies Inc
Rapiscan Systems Inc</t>
  </si>
  <si>
    <t xml:space="preserve">Mnfr explosives detectors
Mnfr,whl security sys</t>
  </si>
  <si>
    <t xml:space="preserve">Manufacture explosives
detectors; develop security
solutions software
Rapiscan Systems Inc, located
in Torrance, California,
manufactures and wholesales
security systems such as
baggage and parcel security
systems, metal detectors,
automated explosive detection
systems, air cargo screening
solutions and container
inspection systems. It was
founded in 1993.</t>
  </si>
  <si>
    <t xml:space="preserve">3829
7382</t>
  </si>
  <si>
    <t xml:space="preserve">NY
CA</t>
  </si>
  <si>
    <t xml:space="preserve">Traceguard Technologies Inc
OSI Systems Inc</t>
  </si>
  <si>
    <t xml:space="preserve">3829
3674</t>
  </si>
  <si>
    <t xml:space="preserve">TRACEGUARD TECHNOLOGIES INC/RAPISCAN SYSTEMS INC-STRATEGIC ALLIANCE</t>
  </si>
  <si>
    <t xml:space="preserve">Traceguard Technologies Inc (TT) and Rapiscan Systems Inc (RS), a unit of
OSI Systems Inc, formed a 1-year strategic alliance to provide development
services of TaceScan, an advanced combined bulk/trace detection system for
interdiction of explosive devices and weapons worldwide. Upon development,
TraceScan was expected to be marketed exclusively by RS to US Government
and through global direct sales and distributor network.</t>
  </si>
  <si>
    <t xml:space="preserve">892354
75380C</t>
  </si>
  <si>
    <t xml:space="preserve">Koninklijke Philips Elect
BG Medicine Inc</t>
  </si>
  <si>
    <t xml:space="preserve">Manufacture, wholesale electronic products
Biotech co</t>
  </si>
  <si>
    <t xml:space="preserve">Koninklijke Philips
Electronics NV, located in
Amsterdam, the Netherlands,
manufactures and wholesales
electronic products offered to
more than 100 countries. It
focuses on consumer electronic
products including home
entertainment products and
house appliances; electronic
healthcare products such as
medical diagnostic imaging and
patient monitoring machine;
and lightning products. It is
also engaged in the production
of telecommunication equipment
and other electronic products.
It is also a holding company
and acts as parent company of
the Philips Group. The Company
was founded in 1891.
BG Medicine Inc, located in
Waltham, Massachusetts, is a
biotechnology company focused
on the discovery, development
and commercialization of novel
diagnostic tests based on
biomarkers. The company's lead
product candidate is the BGM
Galectin-3 test for heart
failure and it measures
galectin-3 levels in blood
plasma or serum. The company
was founded in 2000.</t>
  </si>
  <si>
    <t xml:space="preserve">3651
8071</t>
  </si>
  <si>
    <t xml:space="preserve">KONINKLIJKE PHILIPS ELECTRONICS NV/BG MEDICINE INC-STRATEGIC ALLIANCE</t>
  </si>
  <si>
    <t xml:space="preserve">Koninklijke Philips Electronics NV (KP) and BG Medicine Inc (BM) formed a
strategic alliance to provide systems biology research services. The
alliance was expected to develop the next generation of molecular
healthcare products for application in areas such as molecular imaging and
point-of-care diagnostics. The alliance was expected to to bring together
the important capabilities and resources that are required to execute
healthcare vision and strategy. The alliance was expected to revolutionize
the practice of healthcare by allowing earlier detection of disease and
drug response,increasing the effectiveness of treatment and minimizing
severinity of duration of an illness.</t>
  </si>
  <si>
    <t xml:space="preserve">500472
08861T</t>
  </si>
  <si>
    <t xml:space="preserve">Takeda Pharmaceutical Co Ltd
Evotec AG</t>
  </si>
  <si>
    <t xml:space="preserve">Mnfr,whl pharmaceutical prod
Biotech co</t>
  </si>
  <si>
    <t xml:space="preserve">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
Evotec AG, located in
Hamburg, Germany, is a
biotechnology company, with
locations in the UK and in
the US. The Group is
specializing in the
discovery and development of
novel small molecule drugs.
The company was founded in
1993.</t>
  </si>
  <si>
    <t xml:space="preserve">Japan
Germany</t>
  </si>
  <si>
    <t xml:space="preserve">TAKEDA PHARMACEUTICAL CO LTD/EVOTEC AG-STRATEGIC ALLIANCE</t>
  </si>
  <si>
    <t xml:space="preserve">Evotec AG (EA) and Takeda Pharmaceutical Co Ltd (TP) formed a strategic
alliance to provide research and development services. EA and TP aimed at
jointly identifying and validating novel targets relating to different
aspects of the causes and progression of Alzheimer's disease with the goal
of developing innovative small molecule therapeutics.</t>
  </si>
  <si>
    <t xml:space="preserve">874058
D1646D</t>
  </si>
  <si>
    <t xml:space="preserve">H7 Security Systems Inc
Lincasia Inc</t>
  </si>
  <si>
    <t xml:space="preserve">Dvlp surveillance sys software
Dvlp Internet software</t>
  </si>
  <si>
    <t xml:space="preserve">Develop high-tech surveillance
and warning systems software
for high-risk terrorist
targets
Develop Internet software that
enhances Broadband wireless by
implementing its unique MIMO
(multiple-input
multiple-output) algorithms
for WiMax applications</t>
  </si>
  <si>
    <t xml:space="preserve">7372
7372</t>
  </si>
  <si>
    <t xml:space="preserve">Globe Bank
Lincasia Inc</t>
  </si>
  <si>
    <t xml:space="preserve">Lebanon
United States</t>
  </si>
  <si>
    <t xml:space="preserve">6000
7372</t>
  </si>
  <si>
    <t xml:space="preserve">H7 SECURITY SYSTEMS INC/LINCASIA INC-STRATEGIC ALLIANCE</t>
  </si>
  <si>
    <t xml:space="preserve">H7 Security Systems Inc (H7), a unit of Global General Technologies Inc,
and Lincasia Inc (LI) formed a strategic alliance to provide advanced
communication development techniques for Silent Soldier Surveillance
System, the H7's early warning surveillance systems available for the
prevention of terrorist attacks, in the United States. The alliance was
expected to make H7's Silent Soldier product an even more effective
deterrent against global terrorism threat. The alliance was expected to
apply LI's technology into H7's Silent Soldier product to further enhance
early warning technologies.</t>
  </si>
  <si>
    <t xml:space="preserve">Research &amp; Development Services
Computer Integrated Systems Svcs</t>
  </si>
  <si>
    <t xml:space="preserve">41489Z
53281T</t>
  </si>
  <si>
    <t xml:space="preserve">Medarex Inc
GenPat77 Pharmacogenetics AG</t>
  </si>
  <si>
    <t xml:space="preserve">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
Biotechnology company focused
on the discovery and
development of innovative
therapeutics for immune
mediated diseases</t>
  </si>
  <si>
    <t xml:space="preserve">MEDAREX INC/GENPAT77 PHARMACOGENETICS AG-STRATEGIC ALLIANCE</t>
  </si>
  <si>
    <t xml:space="preserve">Medarex Inc (MI) and GenPat77 Pharmacogenetics AG (GP) formed a strategic
alliance to provide research and development services. The alliance was
expected to develop fully human therapeutic antibody products. The alliance
planned to use MI's UltiMAb Human Antibody Development System to generate
antibodies to novel disease target provided by GP. MI and GP planned to
share product development and commercialization responsibilities on any
antibody products resulting from the agreement. Other financial terms were
not disclosed.</t>
  </si>
  <si>
    <t xml:space="preserve">583916
37276Q</t>
  </si>
  <si>
    <t xml:space="preserve">SpaceForm Inc
EWI Inc</t>
  </si>
  <si>
    <t xml:space="preserve">Mnfr mobile spaceframe
Pvd engineering svcs</t>
  </si>
  <si>
    <t xml:space="preserve">Manufacture mobile spaceframe
using Deformation Resistance
Welding (DRW)
Provide engineering services
focused on the exploration of
practical welding, bonding and
joining processes in
manufacturing</t>
  </si>
  <si>
    <t xml:space="preserve">3548
8711</t>
  </si>
  <si>
    <t xml:space="preserve">MI
OH</t>
  </si>
  <si>
    <t xml:space="preserve">SPACEFORM INC/EDISON WELDING INSTITUTE(DNU)-STRATEGIC ALLIANCE</t>
  </si>
  <si>
    <t xml:space="preserve">SpaceForm Inc (SF) and EWI Inc (EI) formed  a strategic alliance to provide
research and development services in the United States. The alliance was
expected to develop and market innovative Deformation Resistance Welding
(DRW) technology and enable SF to advance DRW development toward production
capabilities, narrow manufacturing parameters, and become a reliable,
proven process. SF and EI planned to offer customized product development
services to the automotive and manufacturing industries. Customers were
expected to utilize the extensive resources and staff of EI to design and
carryout feasibility, prototype and validation studies while SF was
expected to provide customers with design services and commercial access to
the technology and coordinate a central knowledge basis that benefit all
users of DRW.</t>
  </si>
  <si>
    <t xml:space="preserve">84622Z
26927A</t>
  </si>
  <si>
    <t xml:space="preserve">Cohesive Technologies Inc
Mayo Clinic</t>
  </si>
  <si>
    <t xml:space="preserve">Mnfr liquid chromatography sys
Provides medical care and research services</t>
  </si>
  <si>
    <t xml:space="preserve">Manufacture liquid
chromatography systems
Mayo Foundation for Medical
Education &amp; Research,
located in Rochester,
Minnesota, provides medical
care and research services.
The Company has offices in
Florida, and Arizona. The
Company's services include
solution-oriented products
and services designed to
improve people's health
like for population health
management (health risk
assessment, behavior change
programs and self-care
tools), consumer health
education books and
newsletters), health
benefits administration
(third-party administration,
health savings accounts and
pharmacy benefit
management), pharmacy
services, and medical
supplies. The Company was
founded in 1836.</t>
  </si>
  <si>
    <t xml:space="preserve">3826
8099</t>
  </si>
  <si>
    <t xml:space="preserve">MA
MN</t>
  </si>
  <si>
    <t xml:space="preserve">COHESIVE TECHNOLOGIES INC/MAYO CLINIC INC-STRATEGIC ALLIANCE</t>
  </si>
  <si>
    <t xml:space="preserve">Cohesive Technologies Inc (CT) and Mayo Clinic Inc (MC) formed a strategic
alliance to provide research and development services in the United States.
CT and MC were expected to increase patient sample throughput and improve
data quality using CT's flow chromatography systems known as TurboFlow
technology, for clinical assays using tandem mass spectrometry. The
alliance was expected to accelerate the development of clinical assays in
areas such as endrocrinology, toxicology, drug monitoring, and neonatal
screening. In addition, CT and MC were expected to develop new TurboFlow
and mass spectrometry methods in order to improve quality and efficiency in
diagnostics.</t>
  </si>
  <si>
    <t xml:space="preserve">19232C
57847P</t>
  </si>
  <si>
    <t xml:space="preserve">Mnfr explosives detectors
Mnfr,whl optoelectn devices</t>
  </si>
  <si>
    <t xml:space="preserve">Manufacture explosives
detectors; develop security
solutions software
OSI Systems Inc, located in
Hawthorne, California,
manufactures and wholesales
optoelectronic devices for
homeland security, healthcare,
and defense and aerospace. The
Company operates in three
divisions: Security,
Healthcare, and
Optoelectronics and
Manufacturing. The Security
division offers security and
inspection systems under the
trade name Rapiscan Systems.
The Healthcare division
provides patient monitoring,
diagnostic cardiology, and
anesthesia systems under the
trade name Spacelabs
Healthcare. The
Manufacturing division
delivers optoelectronic
devices for aerospace and
defense electronics, security
and inspection systems,
medical imaging and
diagnostics, computed
tomography, fiber optics,
telecommunications, weapons
simulation systems, gaming,
office automation, computer
peripherals, and industrial
automation under the OSI
Optoelectronics and OSI
Electronics trade names. The
Company also offers weapons
simulation systems under OSI
Defense Systems trade name,
toll and traffic management
systems under OSI LaserScan
trade name, and peripheral
bone densitometers and
ultrasound bone sonometers
under Osteometer trade name.
The Company was founded in
1987.</t>
  </si>
  <si>
    <t xml:space="preserve">TRACEGUARD TECHNOLOGIES INC/OSI SYSTEMS INC-STRATEGIC ALLIANCE</t>
  </si>
  <si>
    <t xml:space="preserve">Traceguard Technologies Inc and OSI Systems Inc formed a 1-year strategic
alliance to provide research and development services of bulk/trace
detection system interdiction of explosive devices and weapons in the
United States. The alliance was expected to provide an  integrated
checkpoint x-ray system with a secondary screening based on the automated
trace extraction and detection which can be easily incorporated into
current aviation passenger checkpoints.</t>
  </si>
  <si>
    <t xml:space="preserve">892354
671044</t>
  </si>
  <si>
    <t xml:space="preserve">Auriga Laboratories Inc
Degussa GmbH</t>
  </si>
  <si>
    <t xml:space="preserve">Mnfr pharmaceuticals
Mnfr specialty chem</t>
  </si>
  <si>
    <t xml:space="preserve">Auriga Laboratories Inc.,
Located in Camarillo,
California, manufactures
prescription pharmaceuticals
intended for final
consumption, including biotech
products and antibiotics.
Manufacture specialty, fine
and industrial, and
construction chemicals,
coatings, and specialty
polymers; holding company</t>
  </si>
  <si>
    <t xml:space="preserve">2834
2869</t>
  </si>
  <si>
    <t xml:space="preserve">Auriga Laboratories Inc
RAG AG</t>
  </si>
  <si>
    <t xml:space="preserve">2834
1221</t>
  </si>
  <si>
    <t xml:space="preserve">AURIGA LABORATORIES INC/DEGUSSA HUELS AG-STRATEGIC ALLIANCE</t>
  </si>
  <si>
    <t xml:space="preserve">Auriga Laboratories Inc and Degussa AG, a unit of RAG AG formed a strategic
alliance to provide research and development services of medical
formulation treatment for chronic gastrointestinal diseases globally. Under
terms of the agreement, the partners were to provide the drug delivery
technology and formulation concentrating with the therapeutic benefits of
the selected corticosteroid.</t>
  </si>
  <si>
    <t xml:space="preserve">62541M
24483K</t>
  </si>
  <si>
    <t xml:space="preserve">ChemoCentryx Inc
GlaxoSmithKline PLC</t>
  </si>
  <si>
    <t xml:space="preserve">ChemoCentryx Inc,located in
Mountainveiw,California, is
a biotechnology company
focused on discovering and
developing
orally-administered
therapeutics for autoimmune
diseases, inflammatory
disorders and cancer.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</si>
  <si>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CHEMOCENTRYX INC/GLAXOSMITHKLINE CAPITAL PLC-STRATEGIC ALLIANCE</t>
  </si>
  <si>
    <t xml:space="preserve">ChemoCentryx Inc (CC) and GlaxoSmithKline PLC formed a strategic alliance
to provide research and development services of therapeutic medicines
targeting four chemokine and chemoattractant receptors for the treatment of
inflammatory disorders globally. Under terms of the agreement, CC was
responsible with the discovery of small molecule drug candidates needed in
the formulation of the new drug.</t>
  </si>
  <si>
    <t xml:space="preserve">16383L
37733W</t>
  </si>
  <si>
    <t xml:space="preserve">MedImmune Inc
Infinity Pharmaceuticals Inc</t>
  </si>
  <si>
    <t xml:space="preserve">Mnfr vaccines,pvd research svc
Mnfr pharm</t>
  </si>
  <si>
    <t xml:space="preserve">Manufacture vaccines which
include Synagis (palivizumab),
Ethyol (amifostine), FluMist
(Influenza Virus Vaccine Live,
Intranasal), and CytoGam
(cytomegalovirus immune
globulin intravenous (human))
and with additional products
in clinical testing; provide
research and development
services to discover, develop,
manufacture and market
products that treat or prevent
infectious disease, cancer and
inflammatory disease
Manufacture prescription
pharmaceuticals intended for
final consumption, including
biotech products and
antibiotics focusing on cancer
drug discovery</t>
  </si>
  <si>
    <t xml:space="preserve">MD
MA</t>
  </si>
  <si>
    <t xml:space="preserve">MEDIMMUNE INC/INFINITY PHARMACEUTICALS INC - STRATEGIC ALLIANCE</t>
  </si>
  <si>
    <t xml:space="preserve">MedImmune Inc (MI) and Infinity Pharmaceuticals Inc (IP) formed a strategic
alliance to provide research, development and commercialization services of
novel small molecule cancer drugs targeting Heat Shock Protein 90 (Hsp90)
and the Hedgehog cell-signaling pathway in the United States. The alliance
also included IPI-504, the most advanced drug candidate and an Hsp90
inhibitor in the agreement. The alliance planned to accelerate development
of the intravenous formulation of IP-504 and expand into additional tumor
types and was expected to commence clinical testing of the next generation
oral formulation of IPI-504. MI and IP were expected to share equally all
costs and products from the development and commercialization of any future
products. MI was expected to pay IP $70 mil US as upfront payment and $430
mil as milestone payment.</t>
  </si>
  <si>
    <t xml:space="preserve">MedImmune Inc was expected to pay Infinity Pharmaceuticals Inc $70 mil US
as upfront payment and an additional $430 mil US as milestone payment.</t>
  </si>
  <si>
    <t xml:space="preserve">584699
45665G</t>
  </si>
  <si>
    <t xml:space="preserve">Hydrogen Engine Center Inc
Grasim Industries Ltd</t>
  </si>
  <si>
    <t xml:space="preserve">Mnfr,whl engines,generators
Manufacture,wholesale fiber,chemicals,cement</t>
  </si>
  <si>
    <t xml:space="preserve">Hydrogen Engine Center Inc,
headquartered in Algona, Iowa,
manufactures and wholesales
internal combustion engines
and power generators for the
industrial and power
generation industries. Its
engines run on alternative
fuels, such as gasoline,
propane, natural gas, ethanol,
and hydrogen. The company
sells its engines and engine
products under the brand name
Oxx Power. The company was
founded in 2003.
Grasim Industries Ltd
located in Mumbai, India, is
a manufacturer and
wholesaler of fiber and
pulp, chemicals, cement,
sponge iron and textiles
worldwide. Its fiber and
pulp products include
viscose staple fiber, modal
and solvent spun fibers,
spun-dyed specialty fiber,
rayon grade pulp; and cement
products comprise grey
cement and white cement. The
Company also offers sponge
iron, as well as provides
various chemical products,
such as rayon grade caustic
soda; bleaching powder used
in water purification,
sanitation, and as a
bleaching agent; poly
aluminium chloride used in
water treatment, paper
sizing, and effluent
treatment; and chloro
sulphonic acid used in vinyl
sulphate, the raw material
for dyes and intermediates,
saccharin, drugs, and
pharmaceuticals. It was
founded in 1947.</t>
  </si>
  <si>
    <t xml:space="preserve">3519
2611</t>
  </si>
  <si>
    <t xml:space="preserve">IA
FF</t>
  </si>
  <si>
    <t xml:space="preserve">Green Mt Labs Inc
Grasim Industries Ltd</t>
  </si>
  <si>
    <t xml:space="preserve">6799
2611</t>
  </si>
  <si>
    <t xml:space="preserve">HYDROGEN ENGINE CENTER INC /GRASIM INDUSTRIES LTD- STRATEGIC ALLIANCE</t>
  </si>
  <si>
    <t xml:space="preserve">Hydrogen Engine Center Inc (HEC), a unit of Green MT Labs Inc and Grasim
Industries Inc (GI) formed a strategic alliance to provide development of
close loop systems services for stationary, near zero emission power
generation for chlor-alkali manufacturing plants. The alliance aimed to
operate the system using HEC's Oxx Power engines and highly scalable genset
technology.</t>
  </si>
  <si>
    <t xml:space="preserve">448876
38891M</t>
  </si>
  <si>
    <t xml:space="preserve">Lentigen Corp
Dharmacon Inc</t>
  </si>
  <si>
    <t xml:space="preserve">Biotech co
Pvd research,dvlp RNA tech svc</t>
  </si>
  <si>
    <t xml:space="preserve">Lentigen Corp, located in
Gaithersburg, Maryland, is a
is a biotechnology company
that develops treatments for
human diseases.
Provide RNA oligonucleotide
synthesis research and
development services;
wholesale and supply RNA and
RNA-interference research
products</t>
  </si>
  <si>
    <t xml:space="preserve">MD
CO</t>
  </si>
  <si>
    <t xml:space="preserve">Lentigen Corp
Thermo Electron Corp</t>
  </si>
  <si>
    <t xml:space="preserve">LENTIGEN CORP/DHARMACON INC-STRATEGIC ALLIANCE</t>
  </si>
  <si>
    <t xml:space="preserve">Lentigen Corp (LC) and Dharmacon Inc (DI), a unit of Fisher Scientific
International Inc, planned to form a strategic alliance to provide research
and development services in the United States. The alliance was to develop
and manufacture lentiviral expression reagents to deliver short hairpin RNA
(shRNA) expression vectors into cells using RNA interference (RNAi)
mediated gene silencing. The alliance was to create commercially available,
reliable, efficient lentiviral reagents for RNAi research. The alliance was
to utilize DI's expertise in designing potent and specific gene silencing
reagents combined with LC's high-titer LentiMax vector system to develop
the new lentiviral particles. Resulting products were to be commercialized
by DI and manufactured by LI.</t>
  </si>
  <si>
    <t xml:space="preserve">52632V
25287A</t>
  </si>
  <si>
    <t xml:space="preserve">BioDiem Ltd
Nobilon International BV
CDC</t>
  </si>
  <si>
    <t xml:space="preserve">Manufacture pharmaceuticals
Biotech co
State agency</t>
  </si>
  <si>
    <t xml:space="preserve">BioDiem Ltd, located in
Melbourne, Australia,
manufactures pharmaceuticals.
The company manufactures and
out-licenses its
pharmaceuticals at appropriate
stages to international
pharmaceutical companies. It
is also involved in medical
research for vaccines,
infectious disease, and other
therapeutic areas.
Nobilon International BV is a
biotechnology company
headquartered in Boxmeer,
Netherlands. The Company,
develops, manufactures, and
sells human vaccines against
bacterial and viral diseases
and monoclonal antibodies.
Founded in 2003.
Centers for Disease Control &amp;
Prevention {CDC} is a state
government agency
headquartered in Atlanta,
Georgia. The Company maintains
several departments concerned
with occupational safety and
health, such as the Center for
Injury Prevention and Control,
and the National Center for
Health Marketing.</t>
  </si>
  <si>
    <t xml:space="preserve">2834
2836
999D</t>
  </si>
  <si>
    <t xml:space="preserve">Australia
Netherlands
United States</t>
  </si>
  <si>
    <t xml:space="preserve">FF
FF
GA</t>
  </si>
  <si>
    <t xml:space="preserve">BioDiem Ltd
Akzo Nobel NV
United States of America</t>
  </si>
  <si>
    <t xml:space="preserve">2834
2851
999A</t>
  </si>
  <si>
    <t xml:space="preserve">BIODIEM LTD/NOBILON INTERNATIONAL BV/CENTERS FOR DISEASE CONTROL-STRATEGIC
ALLIANCE</t>
  </si>
  <si>
    <t xml:space="preserve">Extended</t>
  </si>
  <si>
    <t xml:space="preserve">BioDiem Ltd (BL), Nobilon International BV, a unit of Schering Plough
Corp's Organon Biosciences NV subsidiary, and Centers for Disease Control &amp;
Prevention {CDC}, a unit of American state-owned Department of Health &amp;
Human Services, extended their strategic alliance agreement for one more
year starting on October 20, 2008. Originally in August 2006, the alliance
was formed to provide research and development services for BL's Live
Attenuated Influenza Vaccine for pandemic indications.</t>
  </si>
  <si>
    <t xml:space="preserve">09115X
65763C
15146Y</t>
  </si>
  <si>
    <t xml:space="preserve">Syntaxin Ltd
Allergan Inc</t>
  </si>
  <si>
    <t xml:space="preserve">Biotechnology company
Mnfr eye care,skin care pharmaceutical products</t>
  </si>
  <si>
    <t xml:space="preserve">Syntaxin Ltd, located in UK,
is a biotechnology company
focused on discovering
treatment for therapeutic
diseases.
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t>
  </si>
  <si>
    <t xml:space="preserve">SYNTAXIN LTD/ALLERGAN INC-STRATEGIC ALLIANCE</t>
  </si>
  <si>
    <t xml:space="preserve">Syntaxin Ltd (SL) and Allergan Inc (AI) formed a strategic alliance to
provide pharmaceutical research and development services. Under terms of
the agreement, SL and AI collaborated to develop and design novel
clostridial  endopeptidase-based compounds and were to jointly fund
research efforts utilising  Syntaxin's proprietary technology to engineer
clostridial endopeptidase-based  proteins that are specific for target
cells and thus have potential use as therapeutics  within the agreed
field.</t>
  </si>
  <si>
    <t xml:space="preserve">87715R
018490</t>
  </si>
  <si>
    <t xml:space="preserve">ETI Tech Corp Bhd
Esmart Holdings Ltd</t>
  </si>
  <si>
    <t xml:space="preserve">Mnfr storage batteries
Mnfr,whl electronic products</t>
  </si>
  <si>
    <t xml:space="preserve">ETI Tech Corp Bhd, located
in Kulim, Malaysia,
manufacture storage
batteries. It is also an
investment holding company.
The company was founded in
2002.
Esmart Holdings Ltd, located
in Singapore, is a
manufacturer and wholesaler
of electronic components.
Its design and supply
solutions range from
designing the entire
subsystems of electronic
products to supplying the
main active devices for the
multimedia information and
entertainment, data
communications, wireless
applications and digital
video services and systems.
The Group distributes
electronic components such
as ICs (Integrated Circuit)
and active and passive
devices, various types of
PCBs (Printed Circuit
Board), and other parts for
various principals from the
USA, Europe, China, Japan,
Korea and Taiwan. The
company was founded in
August 1989.</t>
  </si>
  <si>
    <t xml:space="preserve">3691
3679</t>
  </si>
  <si>
    <t xml:space="preserve">Malaysia
Singapore</t>
  </si>
  <si>
    <t xml:space="preserve">ETI TECH CORP BHD/ESMART HOLDINGS LTD-STRATEGIC ALLIANCE</t>
  </si>
  <si>
    <t xml:space="preserve">Esmart Holdings Ltd (EH) and ETI Tech Corp Bhd (ET) formed a strategic
alliance to manufacture, develop, market and wholesale consumer electronic
products globally. Under terms of the agreement, ET incorporated its
Battery Management Systems (BMS) solutions and power storage devices with
EH's high volume consumer electronic products to manufacture the high-end
consumer electronic technology and to commercialize it under EH?s network
channels. The alliance was a strategic growth opportunity both for the
partners to leverage and further expand their product and market coverage
in the electronic industry.</t>
  </si>
  <si>
    <t xml:space="preserve">Manufacturing Services
Research &amp; Development Services
Marketing Services
Retail &amp; Wholesale Services</t>
  </si>
  <si>
    <t xml:space="preserve">27045J
29647J</t>
  </si>
  <si>
    <t xml:space="preserve">ROBE Show Lighting sro
Color Kinetics Inc</t>
  </si>
  <si>
    <t xml:space="preserve">Mnfr LED lighting tech
Mnfr LED lighting prods</t>
  </si>
  <si>
    <t xml:space="preserve">Manufacture moving and LED
lightning technology used in
areas of professional
entertainment and leisure and
commercial and architectural
industries
Manufacture LED lighting
products; provide marketing,
design and licensing services
for intelligent solid-state
lighting systems</t>
  </si>
  <si>
    <t xml:space="preserve">3641
3646</t>
  </si>
  <si>
    <t xml:space="preserve">Czech Republic
United States</t>
  </si>
  <si>
    <t xml:space="preserve">ROBE SHOW LIGHTING/COLOR KINETICS INC-STRATEGIC ALLIANCE</t>
  </si>
  <si>
    <t xml:space="preserve">Color Kinetics Inc (CK) and ROBE Show Lighting sro (RS) planned to form a
strategic alliance wherein CK was to license RS to utilize its patent LED
lighting portfolio to develop and wholesale RS' LED series and Anolinis
lighting product lines globally. The licensing agreement alliance was to be
applicable to sales of RS product in all markets covered by CK's patent
portfolio.</t>
  </si>
  <si>
    <t xml:space="preserve">77042H
19624P</t>
  </si>
  <si>
    <t xml:space="preserve">Mundipharma Int Ltd
SkyePharma PLC</t>
  </si>
  <si>
    <t xml:space="preserve">Manufacture pharmaceuticals
Pharmaceutical Preparation Manufacturing</t>
  </si>
  <si>
    <t xml:space="preserve">Mundipharma Int Ltd is a
manufacturer of
pharmaceutical preparation.
The Company was founded in
1992 and is located in
Cambridge, the United
Kingdom.
SkyePharma PLC is a
manufacturer of
pharmaceuticals. Its products
are intended for final
consumption, such as
antibiotics, injectable,
inhalation, oral, topical and
solubilization drugs, and also
include biotechnology. Its
brands include Flutiform,
Pulmicort, Foradil,
Certihaler, Paxil CR, Xatral,
Solaraze, Triglide, Requip and
Lodotra. The company also
provides drug research and
development services. It is
located in London, the United
Kingdom and was founded in
1996.</t>
  </si>
  <si>
    <t xml:space="preserve">SKYEPHARMA PLC/MUNDI PHARMA INTL LTD(DNU)-STRATEGIC ALLIANCE</t>
  </si>
  <si>
    <t xml:space="preserve">SkyePharma PLC (SP) and Mundipharma International Corp Ltd (MI) formed a
strategic alliance to develop, market and distribute Flutiform (TM), a
product for asthma and chronic obstructive pulmonary diseases in Europe.</t>
  </si>
  <si>
    <t xml:space="preserve">Research &amp; Development Services
Marketing Services
Retail &amp; Wholesale Services</t>
  </si>
  <si>
    <t xml:space="preserve">62615M
830808</t>
  </si>
  <si>
    <t xml:space="preserve">Power Air Corporation
H-Plus Eco Ltd</t>
  </si>
  <si>
    <t xml:space="preserve">Pvd energy svcs
Pvd envi consulting svcs</t>
  </si>
  <si>
    <t xml:space="preserve">Power Air Corporation, located
in Livermore, California,
provides energy services
through development of
Zinc-Air Fuel Cell ("ZAFC")
technology that generates
reliable, environmentally
sustainable, zero emission
energy for portable,
stationary, light mobility,
and transportation
applications. The company was
incorporated in 1997.
Provide environmental
consulting, engineering and
construction services for
contaminated soil and
wastewater</t>
  </si>
  <si>
    <t xml:space="preserve">499A
9511</t>
  </si>
  <si>
    <t xml:space="preserve">POWER AIR CORP/H-PLUS GROUP-JOINT VENTURE</t>
  </si>
  <si>
    <t xml:space="preserve">H-Plus PAC Co Ltd, located in
South Korea, manufactures,
develops and wholesales
back-up power systems using
Power Air Corp's zinc air fuel
cell as power source.</t>
  </si>
  <si>
    <t xml:space="preserve">Power Air Corp (PA) and H-Plus Eco Ltd (HP) formed a joint venture named
H-Plus PAC Co Ltd (HPP) to manufacture, develop and wholesale back-up power
systems using PA's zinc air fuel cell as power source in Korea. HPP was
expected to develop a range of environmentally-friendly energy products and
distribute them throughout Asia. PA and HP were expected to complete due
diligence activities necessary to structure a binding JV agreement and JV
was formalized in fourth quarter of 2006 and operations to begin on the
first quarter of 2007. HP invested $5.5 mil US (5 bil Korean won) into
HPP.</t>
  </si>
  <si>
    <t xml:space="preserve">H-Plus Eco Ltd invested $5.5 mil US (5 bil Korean won) into H-Plus PAC.</t>
  </si>
  <si>
    <t xml:space="preserve">40671P</t>
  </si>
  <si>
    <t xml:space="preserve">739191
40343T</t>
  </si>
  <si>
    <t xml:space="preserve">Lentigen Corp
University of Pennsylvania</t>
  </si>
  <si>
    <t xml:space="preserve">Biotech co
Own,operate university</t>
  </si>
  <si>
    <t xml:space="preserve">Lentigen Corp, located in
Gaithersburg, Maryland, is a
is a biotechnology company
that develops treatments for
human diseases.
Own and operate university</t>
  </si>
  <si>
    <t xml:space="preserve">MD
PA</t>
  </si>
  <si>
    <t xml:space="preserve">LENTIGEN CORP/UNIVERSITY OF PENNSYLVANIA-STRATEGIC ALLIANCE</t>
  </si>
  <si>
    <t xml:space="preserve">Lentigen Corp (LC) and the University of Pennsylvania (UP) formed a second
strategic alliance to provide research and development services in the
United States. The alliance, together with Dr. Carl H. June, was expected
to develop LC's lentiviral vector for clinical gene therapy research.
Financial terms were not disclosed.</t>
  </si>
  <si>
    <t xml:space="preserve">52632V
91476C</t>
  </si>
  <si>
    <t xml:space="preserve">Epion Corp
Undisclosed Japanese Partner</t>
  </si>
  <si>
    <t xml:space="preserve">Mnfr GCIB tech
Investment firm</t>
  </si>
  <si>
    <t xml:space="preserve">Manufacture Gas Cluster Ion
Beam (GCIB) technology and
equipment for the
microelectronics and related
manufacturing industries.
Investment firm</t>
  </si>
  <si>
    <t xml:space="preserve">3569
6799</t>
  </si>
  <si>
    <t xml:space="preserve">EPION CORP/UNDISCLOSED JAPANESE PARTNER-STRATEGIC ALLIANCE</t>
  </si>
  <si>
    <t xml:space="preserve">Epion Corp (EC) and an Undisclosed Japanese Partner (UJ) formed a strategic
alliance to provide research and development services. The alliance was
expected to utilize EC's Gas Cluster Ion Beam (GCIB) technology to develop
advanced processes for CMOS logic structures for 45nm and smaller devices.
EC's nFusion ? doping systems were to be installed in the UJ's plants to
allow the device to be evaluated on the technical and production
capabilities.</t>
  </si>
  <si>
    <t xml:space="preserve">29574L
9044JH</t>
  </si>
  <si>
    <t xml:space="preserve">Cascade Microtech Inc
Koninklijke Philips Elect
Agilent Technologies Inc</t>
  </si>
  <si>
    <t xml:space="preserve">Mnfr,whl measuring equipments
Manufacture, wholesale electronic products
Manufactures life sciences, diagnostics, applied chemical products</t>
  </si>
  <si>
    <t xml:space="preserve">Cascade Microtech Inc, located
in Beaverton, Oregon,
manufactures and wholesales
measuring equipments. It
offers precise electrical and
mechanical measurement and
test of integrated circuits
(ICs) and other small
structures. It delivers access
to electrical data from
wafers, integrated circuits
(ICs), IC packages, circuit
boards and modules, MEMS,
biological structures, 3D TSV
and LED devices. The company
was founded in 1983.
Koninklijke Philips
Electronics NV, located in
Amsterdam, the Netherlands,
manufactures and wholesales
electronic products offered to
more than 100 countries. It
focuses on consumer electronic
products including home
entertainment products and
house appliances; electronic
healthcare products such as
medical diagnostic imaging and
patient monitoring machine;
and lightning products. It is
also engaged in the production
of telecommunication equipment
and other electronic products.
It is also a holding company
and acts as parent company of
the Philips Group. The Company
was founded in 1891.
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t>
  </si>
  <si>
    <t xml:space="preserve">3825
3651
3826</t>
  </si>
  <si>
    <t xml:space="preserve">United States
Netherlands
United States</t>
  </si>
  <si>
    <t xml:space="preserve">OR
FF
CA</t>
  </si>
  <si>
    <t xml:space="preserve">CASCADE MICROTECH INC/PHILIPIS MICROSYS PLAZA/AGILENT TECHNOLOGIES INC -
STRATEGIC ALLIANCE</t>
  </si>
  <si>
    <t xml:space="preserve">Netherlands</t>
  </si>
  <si>
    <t xml:space="preserve">Aprimo Inc (AI) and SPSS Inc (SI) formed a strategic alliance to provide
integrated customer data mining and EMM solution services globally. AI was
expected to resell SI's suite of enterprise data mining products as an
integrated component of marketing application. AI was expected to integrate
its EMM software Aprimo Marketing ? with SI's Predictive Marketing product
and market and promote the offering to current customers. The integration
of AI and SI was expected to provide marketers with analytical modeling and
segmentation capabilities, allowing joint customers to manage multiple
channels, products and offers to specialized target audiences. The
partnership was also expected to enable automated and real-time marketing
via the call center, mail and email marketing providing the right offer to
the right target via the right channel at the right time and contact
optimization capabilities to customers trying to maximize contact
strategies with their customers.</t>
  </si>
  <si>
    <t xml:space="preserve">147322
500472
00846U</t>
  </si>
  <si>
    <t xml:space="preserve">CeNeS Pharmaceuticals PLC
Tripos Discovery Research Ltd</t>
  </si>
  <si>
    <t xml:space="preserve">Mnfr pharm
Pvd research svcs</t>
  </si>
  <si>
    <t xml:space="preserve">CeNeS Pharmaceuticals PLC,
headquartered in Cambridge,
United Kingdom, manufactures
prescription pharmaceuticals
for disorders related to the
central nervous system
particularly in the areas of
pain, anesthesia and
neurology. The group is
focused on the development and
commercialization of novel
drugs for use by
hospital-based anesthetists,
pain specialists and
neurologists. The companys
portfolio of drug candidates
is targeted at postoperative
pain, neuropathic pain,
sedation, anaesthesia and
Parkinsons disease. The
company was founded in 1992.
Provide research services to
the biotechnology,
pharmaceutical and other life
science enterprises</t>
  </si>
  <si>
    <t xml:space="preserve">CeNeS Pharmaceuticals PLC
Tripos Inc</t>
  </si>
  <si>
    <t xml:space="preserve">CENES PHARMACEUTICALS PLC/TRIPOS RECEPTOR RESEARCH LTD-STRATEGIC ALLIANCE</t>
  </si>
  <si>
    <t xml:space="preserve">CeNeS Pharmaceuticals PLC and Tripos Discovery Research Ltd, a unit of the
Tripos Inc's Tripos UK Holdings Ltd subsidiary formed a strategic alliance
to provide research and development services of
catechol-O-methyltransferase (COMT) inhibitors for treatment of Parkinson's
disease in the United Kingdom. The alliance was a significant strategy for
the partners to leverage and expand their products and market coverage.</t>
  </si>
  <si>
    <t xml:space="preserve">15145R
89661M</t>
  </si>
  <si>
    <t xml:space="preserve">VIASPACE Inc
Citadel International LLC</t>
  </si>
  <si>
    <t xml:space="preserve">Pvd biogas production svcs
Pvd consulting services</t>
  </si>
  <si>
    <t xml:space="preserve">VIASPACE Inc, located in
Walnut, California, is a
provider of biogas production
services through its Giant
King Grass crop. The company
was founded in 1998.
Provide consulting services</t>
  </si>
  <si>
    <t xml:space="preserve">0721
8748</t>
  </si>
  <si>
    <t xml:space="preserve">United States
Utd Arab Em</t>
  </si>
  <si>
    <t xml:space="preserve">VIASPACE INC/CITADEL INTERNATIONAL LLC-STRATEGIC ALLIANCE</t>
  </si>
  <si>
    <t xml:space="preserve">VIASPACE Inc and Citadel International LLC planned to form a strategic
alliance to develop search and detection security system globally. The
alliance was to provide a range of specialist technical and operational
security advice and services, including the implementation and operation of
the security screening systems.</t>
  </si>
  <si>
    <t xml:space="preserve">92554W
17337Q</t>
  </si>
  <si>
    <t xml:space="preserve">Alliant Techsystems Inc
Lockheed Martin Corp
Pratt &amp; Whitney Rocketdyne Inc</t>
  </si>
  <si>
    <t xml:space="preserve">Mnfr,whl defense prod
Mnfr aerospace sys,prod
Manufacture rocket engines</t>
  </si>
  <si>
    <t xml:space="preserve">Alliant Techsystems Inc,
located in Arlington,
Virginia, manufactures and
wholesales aerospace and
defense technologies,
products, and systems
including medium caliber
ammunition, tank ammunition,
munitions propellants,
commercial gun powders,
solid rocket propulsion
systems, flares, warheads,
composite structures,
defense systems, smart
munitions, fuses, electronic
systems, unmanned vehicles,
and aerial vehicle systems
for the U.S. and allied
governments as well as for
commercial applications. It
is also engaged in the
manufacturing and wholesale
of outdoor recreation
products. The company was
founded on September 28,
1990.
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
Pratt &amp; Whitney Rocketdyne
Inc, located in Canoga Park,
California, manufactures
rocket engines and space
propulsion systems.</t>
  </si>
  <si>
    <t xml:space="preserve">3482
3761
3724</t>
  </si>
  <si>
    <t xml:space="preserve">United States
United States
United States</t>
  </si>
  <si>
    <t xml:space="preserve">VA
MD
CA</t>
  </si>
  <si>
    <t xml:space="preserve">Alliant Techsystems Inc
Lockheed Martin Corp
United Technologies Corp</t>
  </si>
  <si>
    <t xml:space="preserve">ALLIANT TECHSYSTEMS INC/LOCKHEED MARTIN CORP/PRATT &amp; WHITNEY
ROCKETDYNE-STRATEGIC ALLIANCE</t>
  </si>
  <si>
    <t xml:space="preserve">Alabama</t>
  </si>
  <si>
    <t xml:space="preserve">Alliant Techsystems Inc (AT), Lockheed Martin Corp (LM) and Pratt &amp; Whitney
Rocketdyne Inc (WR), a unit of United Technologies Corp, planned to form a
strategic alliance to provide airline development services in the United
States. The alliance was expected to work on ARES I project and provide
springboard to minimize program costs, maintain aggressive development and
test schedules, and reduce the technical risk going forward. AT was to be
responsible for the Ares I  first stage hardware, which includes the
interface and separation with the  upper stage, WR was to be responsible
for the liquid-fuel  J-2x engine and related interfaces with the main
propulsion system of the  Ares I upper stage and LM was to  provide the
avionics for the  early Ares I -1 test flight -- and is a recognized
industry expert on large  cryogenic tanks that are essential to Ares I
success.</t>
  </si>
  <si>
    <t xml:space="preserve">Research &amp; Development Services
Airline Maintenance Services</t>
  </si>
  <si>
    <t xml:space="preserve">018804
539830
73845T</t>
  </si>
  <si>
    <t xml:space="preserve">Lockheed Martin Corp
Univ of Oklahoma Bd of Regents</t>
  </si>
  <si>
    <t xml:space="preserve">Mnfr aerospace sys,prod
Own,op college,university</t>
  </si>
  <si>
    <t xml:space="preserve">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
Own and operate college and
university</t>
  </si>
  <si>
    <t xml:space="preserve">3761
8221</t>
  </si>
  <si>
    <t xml:space="preserve">MD
OK</t>
  </si>
  <si>
    <t xml:space="preserve">Lockheed Martin Corp
United States of America</t>
  </si>
  <si>
    <t xml:space="preserve">3761
999A</t>
  </si>
  <si>
    <t xml:space="preserve">LOCKHEED MARTIN CORP/UNIVERSITY OF OKLAHOMA BOARD OF REGENTS-STRATEGIC
ALLIANCE</t>
  </si>
  <si>
    <t xml:space="preserve">Lockheed Martin Corp (LM) and University of Oklahoma (UO) formed a
strategic alliance to provide research and development services in the
United States. LM was expected to fund and support UO researchers to
determine which radar signals were best suited for a planned Multifunction
Phased Array Radar (MPAR) to provide more precise weather prediction and
warning capabilities when deadly weather such as tornadoes happen. The
alliance' new system was expected to provide enhanced coverage with fewer
radar units, saving taxpayers in purchase and life-cycle support costs.</t>
  </si>
  <si>
    <t xml:space="preserve">539830
91476Z</t>
  </si>
  <si>
    <t xml:space="preserve">DuPont
Bayer Cropscience LP</t>
  </si>
  <si>
    <t xml:space="preserve">Mnfr chemical,electronic prod
Nitrogenous Fertilizer Manufacturing</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</si>
  <si>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Bayer CropScience LP,
located in Research Triangle
Park, North Carolina,
manufactures and wholesales
agricultural chemicals such
as fungicides, herbicides,
insecticides and seed
treatments.</t>
  </si>
  <si>
    <t xml:space="preserve">2821
2873</t>
  </si>
  <si>
    <t xml:space="preserve">DuPont
Bayer AG</t>
  </si>
  <si>
    <t xml:space="preserve">2821
2899</t>
  </si>
  <si>
    <t xml:space="preserve">DU PONT CO(DNU)/BAYER CROPSCIENCE LP-STRATEGIC ALLIANCE</t>
  </si>
  <si>
    <t xml:space="preserve">El du Pont de Nemours &amp; Co (DP) and Bayer Cropscience LP (BC), a unit of
Bayer AG's BAyer Cropscience AG subsidiary, planned to form a strategic
alliance to provide co-marketing services in the United States. Under terms
of the agreement, DP was to acquire access to BC's products isoxadifen and
isoxaflutole for use with its corn sulfonylurea products. In turn, BS was
to gain access to participate in the Pioneer TruChoice program and to
co-promote its Liberty/Liberty Link program with Pioneer Hi-Bred
International, DP's subsidiary.</t>
  </si>
  <si>
    <t xml:space="preserve">263534
07290J</t>
  </si>
  <si>
    <t xml:space="preserve">Kirin Brewery Co Ltd
Yakult Honsha Co Ltd</t>
  </si>
  <si>
    <t xml:space="preserve">Prodn,whl beer,wine
Produce,whl lactic drinks</t>
  </si>
  <si>
    <t xml:space="preserve">Kirin Brewery Co Ltd,
headquartered in Tokyo,
Japan, is engaged in the
production and wholesale of
alcoholic beverages, such as
beer and wine, and other
non-alcoholic beverages. The
group is also engaged in the
development of antibody
pharmaceuticals.
Yakult Honsha Co Ltd is
based in Tokyo, Japan, is
mainly engaged in the
manufacture and sale of food
and beverage products. The
Company operates in three
business segments. The
Beverages and Food segment
manufactures and sells dairy
products, beverages,
including juices and soft
drinks, and food, including
noodles and chlorella. This
segment is also involved in
the transportation of its
products and the sale of
materials. The
Pharmaceuticals segment is
involved in the manufacture
and sale of medicines to
local hospitals and
pharmacies through
pharmaceutical wholesalers,
as well as the sale of its
products to its overseas
affiliated drug
manufacturers. The Others
segment is engaged in the
production and sale of
cosmetics, as well as the
operation of its
professional baseball club.
The company was founded in
1935.</t>
  </si>
  <si>
    <t xml:space="preserve">2082
2026</t>
  </si>
  <si>
    <t xml:space="preserve">KIRIN BREWERY CO LTD/YAKULT HONSHA CO LTD-KIRIN YAKULT NEXTSTAGE CO LTD
JOINT VENTURE</t>
  </si>
  <si>
    <t xml:space="preserve">Kirin Yakult NextStage Co Ltd,
based in Tokyo, Japan,
produces and wholesales
health, nutritional, and
functional foods.</t>
  </si>
  <si>
    <t xml:space="preserve">Kirin Brewery Co Ltd (KB) and Yakult Honsha Co Ltd (YH) formed a joint
venture named Kirin Yakult NextStage Co Ltd (KY) to produce and wholesale
dairy and lactic milk products, and develop health, nutritional and
functional foods in Japan. KB held a 55% interest in KY and the remaining
45% stake was held by YH. Under terms of the agreement, KB was expected to
contribute its Kirin Well-foods Co Ltd subsidiary effective January 1,
2007, while YH was to provide its technological expertise and production
skills to KY. KY was capitalized at an estimated $17.012 mil US (2 bil
Japanese yen). KY was targeting an annual sales revenue of $170.12 mil (20
bil yen) in 2009. KY was to be operational in October 1, 2006. KY's
formation was a strategic growth opportunity for the partners to leverage
their resources in the food industry while expanding their market and
product coverage in the region.</t>
  </si>
  <si>
    <t xml:space="preserve">Manufacturing Services
Retail &amp; Wholesale Services
Research &amp; Development Services</t>
  </si>
  <si>
    <t xml:space="preserve">55.00
45.00</t>
  </si>
  <si>
    <t xml:space="preserve">Kirin Yakult NextStage Co Ltd (KY) was capitalized at an estimated $17.012
mil US (2 bil Japanese yen). KY was targeting an annual sales revenue of
$170.12 mil (20 bil yen) in 2009.</t>
  </si>
  <si>
    <t xml:space="preserve">49743C</t>
  </si>
  <si>
    <t xml:space="preserve">497350
98453Q</t>
  </si>
  <si>
    <t xml:space="preserve">Fujitsu Ltd
Advantest Corp</t>
  </si>
  <si>
    <t xml:space="preserve">Mnfr,whl computer,sys
Mnfr,whl measuring instruments</t>
  </si>
  <si>
    <t xml:space="preserve">Fujitsu Ltd, headquartered
in Tokyo, Japan, is engaged
in the information
communication technology
(ICT) business. It has three
segments. The Technology
Solution segment
manufactures and sells
products including various
servers, storage systems,
various types of software,
network management systems
and optical transport
systems, as well as the
provision of system
integrations services,
consulting services, front
technology services, network
services and system support
services. The Ubiquitous
personal computers, mobile
phones, as well as audio
navigational devices, mobile
communication equipment and
automobile electronic
devices. The Device Solution
segment manufactures and
sells large scale
integrations (LSIs),
semiconductor packages,
batteries, relays and
connectors, optical
transmitter and receiver
modules, among others. It
was founded in 1935.
Advantest Corp,
headquartered in Tokyo,
Japan, operates in three
business divisions. The
Semiconductor and Components
Test Systems division
manufactures and sells test
systems for semiconductor
and electronic component
manufacturers. The
Mechatronics Systems
division manufactures and
sells test handlers, device
interfaces and
nanotechnology-related
products. The Service and
others division provides
customer solution, support
and equipment leasing
services. It was founded in
1954.</t>
  </si>
  <si>
    <t xml:space="preserve">3577
3674</t>
  </si>
  <si>
    <t xml:space="preserve">FUJITSU LTD/ADVANTEST CORP-JOINT VENTURE</t>
  </si>
  <si>
    <t xml:space="preserve">Manufacture and develop
electron beam direct
lithography technologies for
65 and 45 nanometer process
technologies; provide
semiconductor prototyping
services</t>
  </si>
  <si>
    <t xml:space="preserve">Fujitsu Ltd (FL) and Advantest Corp (AC) formed a joint venture named
e-Shuttle Inc (EI) to manufacture and develop electron beam direct
lithography technologies for 65 and 45 nanometer process technologies in
Japan. FL held a 55% interest in EI and the remaining 45% stake was held by
AC. Under terms of the agreement, FL and AC combined their technologies
using the 65 nanometer and 45 nanometer semiconductor processing platform
with electron beam exposure systems. EI's new technology has a circuit
pattern for  semiconductor devices which were directly drawn on a wafer, by
using a beam formed by  accelerating and concentrating electrons. In
addition, EI provided semiconductor prototyping services.</t>
  </si>
  <si>
    <t xml:space="preserve">27060Z</t>
  </si>
  <si>
    <t xml:space="preserve">359590
00762U</t>
  </si>
  <si>
    <t xml:space="preserve">AstraZeneca PLC
Schering AG</t>
  </si>
  <si>
    <t xml:space="preserve">Manufactures, wholesales pharmaceutical products
Mnfr tailored therapy pharm</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</si>
  <si>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Manufacture and wholesale
hormonal contraceptives &amp;
preparations, oral
formulation, human monoclonal
antibodies, immune and
therapeutic drugs for
hematological malignancies,
X-ray contrast media and
magnetic resonance imaging for
visual diagnostics, and
special therapeutic products
related to peripheral arterial
occlusive diseases, pulmonary
hypertension, and multiple
sclerosis; provide
pharmaceutical research and
development services</t>
  </si>
  <si>
    <t xml:space="preserve">United Kingdom
Germany</t>
  </si>
  <si>
    <t xml:space="preserve">AstraZeneca PLC
Bayer AG</t>
  </si>
  <si>
    <t xml:space="preserve">ASTRA ZENECA GROUP PLC(DNU)/SCHERING AG-STRATEGIC ALLIANCE</t>
  </si>
  <si>
    <t xml:space="preserve">PLC and Schering AG, a unit of Bayer AG formed a strategic alliance to
provide research and development services of selective estrogen receptor
downregulator for breast cancer treatment globally. The alliance was a
significant growth strategy for the partners to further collaborate their
expertise and reinforce their combined technology in oncoloy. Financial
terms were not disclosed.</t>
  </si>
  <si>
    <t xml:space="preserve">046353
806585</t>
  </si>
  <si>
    <t xml:space="preserve">ZTE Corp
BT Movio Ltd</t>
  </si>
  <si>
    <t xml:space="preserve">Mnfr telecommun equip
Pvd digital TV mobile svcs</t>
  </si>
  <si>
    <t xml:space="preserve">ZTE Corp is a manufacturer
and wholesaler of telephone
apparatuses and other
related products. The
Company was founded in 1985
and is located in Shenzhen,
China.
Provide broadcast digital
television mobile service</t>
  </si>
  <si>
    <t xml:space="preserve">3661
4833</t>
  </si>
  <si>
    <t xml:space="preserve">China
United Kingdom</t>
  </si>
  <si>
    <t xml:space="preserve">ZTE Holdings Co Ltd
BT Group PLC</t>
  </si>
  <si>
    <t xml:space="preserve">3661
4813</t>
  </si>
  <si>
    <t xml:space="preserve">ZTE CORP/BT MOVIO LTD-STRATEGIC ALLIANCE</t>
  </si>
  <si>
    <t xml:space="preserve">ZTE Corp and BT Movio Ltd, a unit of BT Group PLC planned to form a
strategic alliance to provide research and development services of 3G
mobile phone globally. The alliance was to produce a 3G WCDMA/DAB-IP mobile
phone that provides television broadcasting services in the cellular
phones.</t>
  </si>
  <si>
    <t xml:space="preserve">82328J
06109T</t>
  </si>
  <si>
    <t xml:space="preserve">Integrated Genomics Inc
Chr Hansen A/S</t>
  </si>
  <si>
    <t xml:space="preserve">Pvd genome analysis svcs
Manufactures food ingredients</t>
  </si>
  <si>
    <t xml:space="preserve">Integrated Genomics Inc,
headquartered in the United
States and founded in 1997,,
provides web-based genome
analysis platform services for
research in microbial
genomics, biochemistry and
gene expression.
Chr Hansen A/S, based in
Horsholm, Denmark,
manufactures food
ingredients. The company
develops natural ingredients
such as cultures, enzymes,
colors and functional
systems. The company was
founded in 1874. founded in
1874.</t>
  </si>
  <si>
    <t xml:space="preserve">7375
2099</t>
  </si>
  <si>
    <t xml:space="preserve">Integrated Genomics Inc
PAI Partners SAS</t>
  </si>
  <si>
    <t xml:space="preserve">7375
6799</t>
  </si>
  <si>
    <t xml:space="preserve">INTEGRATED GENOMICS INC/CHR HANSEN HOLDING A/S(WAS 17073M)-STRATEGIC
ALLIANCE</t>
  </si>
  <si>
    <t xml:space="preserve">Integrated Genomics Inc (IG) and Chr. Hansen A/S (CH) formed a strategic
alliance to provide research and development services. IG and CH were
expected to sequence, close, and annotate the genome of a probiotic lactic
acid bacterium. CH's scientists were expected to use the new sequence along
with the extensive database of existing lactic acid bacteria genomic
sequences and metabolic reconstructions in IG's ERGO (TM) bioinformatics
systems to characterize and develop lactic acid bacteria used in foods and
as probiotics for human health.</t>
  </si>
  <si>
    <t xml:space="preserve">45975P
17086V</t>
  </si>
  <si>
    <t xml:space="preserve">NovaCal Pharmaceuticals Inc
Alcon Inc</t>
  </si>
  <si>
    <t xml:space="preserve">NovaCal Pharmaceuticals Inc
Nestle SA</t>
  </si>
  <si>
    <t xml:space="preserve">NOVACAL PHARMACEUTICALS/ALCON INC-STRATEGIC ALLIANCE</t>
  </si>
  <si>
    <t xml:space="preserve">NovaCal Pharmaceuticals Inc (NP) and Alcon Inc (AI), a unit of Nestle Inc
formed a 4-year strategic alliance wherein NP licensed AI to develop and
market NP's Aganocide compounds to treat infections of the eye, ear and
sinus in the United States. Under terms of the agreement, AI was to be
responsible with the funding of the collaboration agreement and approval of
products, while NP was to retain all the rights in the production of the
compound. The alliance was a strategic advantage for the partners to
leverage and expand their product coverage for the treatment of bacterial,
viral and fungal infections.</t>
  </si>
  <si>
    <t xml:space="preserve">66950V
H01301</t>
  </si>
  <si>
    <t xml:space="preserve">Serono International SA
Syntonix Pharmaceuticals Inc</t>
  </si>
  <si>
    <t xml:space="preserve">Biotechnology company
specializes in multiple
sclerosis, reproductive
health, dermatology, growth
deficiencies and HIV
associated diseases
Biotechnology company that
develops novel, long-acting,
proprietary therapeutic
products using Fc-fusion
proteins and other engineered
ligands which bind to specific
Fc receptors</t>
  </si>
  <si>
    <t xml:space="preserve">SERONO AG(DNU)/SYNTONIX PHARMACEUTICALS INC-STRATEGIC ALLIANCE</t>
  </si>
  <si>
    <t xml:space="preserve">Serono International SA (SI) and Syntonix Pharmaceuticals Inc (SP) formed a
strategic alliance to provide research and development services. The
alliance was expected to evaluate SP's FSH: Fc SynFusion (TM) products for
further development of a long-acting FSH therapy for treatment of
infertility that can be inhaled and dosed less frequently instead of
injected daily.</t>
  </si>
  <si>
    <t xml:space="preserve">81752M
871621</t>
  </si>
  <si>
    <t xml:space="preserve">DuPont
CASST</t>
  </si>
  <si>
    <t xml:space="preserve">Mnfr chemical,electronic prod
Own,op academy</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</si>
  <si>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Own and operate major accident
investigation academy</t>
  </si>
  <si>
    <t xml:space="preserve">2821
8249</t>
  </si>
  <si>
    <t xml:space="preserve">DU PONT CO(DNU)/CHINA ACADEMY OF SAFETY SCIENCE &amp; TECH-STRATEGIC ALLIANCE</t>
  </si>
  <si>
    <t xml:space="preserve">El du Pont de Nemours &amp; Co (DP) and China Academy of Safety Sciences &amp;
Technology (CA), a unit of Chinese state-owned State Administration Work
Safety, planned to form a strategic alliance to provide research and
development services on workplace safety practices in China. The alliance
was to set forth the roles, responsibilities and parameters for working
collaboratively to improve industrial safety performance.  Initially, CA
and DP were to focus their attention on the areas of  chemical production
and handling, and industrial flash fire safety and  protection. Both
parties anticipate that the scope of work may broaden  considerably over
time.</t>
  </si>
  <si>
    <t xml:space="preserve">263534
16894C</t>
  </si>
  <si>
    <t xml:space="preserve">Chevron Corp
University of California,Davis</t>
  </si>
  <si>
    <t xml:space="preserve">Petroleum Refineries
Own,op college,university</t>
  </si>
  <si>
    <t xml:space="preserve">Chevron Corp, located in San
Ramon, California, is an oil
and gas exploration,
production and refinery
company. It is also a
holding company. It also
wholesales petroleum and
other energy products under
the Chevron, Texaco, Caltex,
Havoline and Delo brands.
The Company also
manufactures commodity
petrochemicals and plastics,
fuel and lubricant oil
additives for industrial
uses. It has operations in
Asia, Australia, Europe,
North and South America and
Africa. The Company was
founded in 1879.
Own and operate college and
university; provide research
and development services</t>
  </si>
  <si>
    <t xml:space="preserve">CHEVRON CORP(USE&gt;5/9/2005)/UNIVERSITY OF CALIFORNIA AT DAVIS- STRATEGIC
ALLIANCE</t>
  </si>
  <si>
    <t xml:space="preserve">Chevron Corp (CC) and University of California, Davis formed a 5-year
strategic alliance to provide research and development services in the
United States. The alliance aimed at converting cellulosic biomass into
transportation fuels and was expected to coordinate with the California
Biomass Collaborative to focus on renewable feedstocks available in
California including agricultural waste such as rice straw. The alliance
was expected to develop commercially viable processes for the production of
transportation fuels from renewable resources such as new energy crops,
forest and agricultural residues, and municipal solid waste. Once
developed, next-generation processing technology was expected to allow
locally grown biomass to be harvested, processed into transportation fuels
and distributed to consumers.  Chevron Technology Ventures LLC, a unit of
CC funded the alliance at $25 mil US.</t>
  </si>
  <si>
    <t xml:space="preserve">Chevron Technology Ventures LLC funded the alliance at $25 mil US.</t>
  </si>
  <si>
    <t xml:space="preserve">166764
91510K</t>
  </si>
  <si>
    <t xml:space="preserve">AberdeenGroup Inc
Purchasing Magazine</t>
  </si>
  <si>
    <t xml:space="preserve">Pvd bus,market research svcs
Publish magazines</t>
  </si>
  <si>
    <t xml:space="preserve">Provide fact-based business
and market research services
focused on global
technology-driven solution
providers and data retrieval
services
Publish magazines of total
supply chain management and
e-procurement for puchasng
professionals</t>
  </si>
  <si>
    <t xml:space="preserve">8732
2721</t>
  </si>
  <si>
    <t xml:space="preserve">MA
MA</t>
  </si>
  <si>
    <t xml:space="preserve">ABERDEEN GROUP(DNU)/PURCHASING MAGAZINE-STRATEGIC ALLIANCE</t>
  </si>
  <si>
    <t xml:space="preserve">AberdeenGroup Inc (AG) and Purchasing Magazine (PM) formed a strategic
alliance to provide comprehensive, Web-based research services for
procurement and supply management professionals in the United States. The
alliance was expected to offer unbiased and fact-based and reflects the
interests and priorities of a combined community of 240,000 members. AG's
AberdeenAccess and Supply Management Research Channel  provided ongoing
access to a dynamic virtual learning center allowing customers to  assess
company's supply management competency and define strategies  for
improvement using the actionable research, benchmarks, briefings, and
value assessment tools while PM provided timely, buyer-oriented data that
can be  used as economic indicators, a basis for forecasts, and a point of
comparison for performance.</t>
  </si>
  <si>
    <t xml:space="preserve">Research &amp; Development Services
Internet Services</t>
  </si>
  <si>
    <t xml:space="preserve">00300X
73983N</t>
  </si>
  <si>
    <t xml:space="preserve">ChemBridge Corp
AstraZeneca PLC
ChemBridge Research Labs Inc</t>
  </si>
  <si>
    <t xml:space="preserve">Biotechnology company
Manufactures, wholesales pharmaceutical products
Biotechnology company</t>
  </si>
  <si>
    <t xml:space="preserve">Biotechnology company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Biotechnology company</t>
  </si>
  <si>
    <t xml:space="preserve">2836
2834
2836</t>
  </si>
  <si>
    <t xml:space="preserve">United States
United Kingdom
United States</t>
  </si>
  <si>
    <t xml:space="preserve">CA
FF
CA</t>
  </si>
  <si>
    <t xml:space="preserve">CHEMBRIDGE CORP/ASTRAZENECA PLC-STRATEGIC ALLIANCE</t>
  </si>
  <si>
    <t xml:space="preserve">ChemBridge Corp, ChemBridge Research Laboratories Inc and AstraZeneca PLC
formed a strategic alliance to provide research and development services of
small molecule libraries of drugs globally. The alliance was a significant
growth strategy for the partners to leverage and expand their products in
the pharmaceutical industry. Financial terms were not disclosed.</t>
  </si>
  <si>
    <t xml:space="preserve">16356V
046353
16357H</t>
  </si>
  <si>
    <t xml:space="preserve">NV Melexis SA
Toshiba Corp</t>
  </si>
  <si>
    <t xml:space="preserve">Mnfr integrated circuits
Mnfr,whl digital,electn prod</t>
  </si>
  <si>
    <t xml:space="preserve">NV Melexis SA, located in
Ieper, Belgium, manufactures
advanced Mixed Signal
semiconductors, sensor ICs,
and programmable sensor IC
systems for the automotive
electronics and sensor
applications market as well as
fully protected
microcontrollers with sensor
compatible interfaces for
cars, appliances, industrial
machinery and consumer goods.
The company was founded in
October 24, 1988.
Toshiba Corp, located in
Tokyo, Japan, manufactures
and wholesales digital and
electronic products. The
company has five business
segments. The Digital
Product segment manufactures
and sells televisions,
blu-ray disc (BD) players
and recorders, digital
versatile disc (DVD) players
and recorders, personal
computers (PCs) and combined
machines, among others. The
Electronic Device segment
provides general logic
integrated circuits (ICs),
optical semiconductors,
power devices, logic
large-scale integrated (LSI)
circuits, image sensors and
others. The Social
Infrastructure segment
offers various generation
systems, power distribution
systems, water and sewer
systems, transportation
systems and station
automation systems. The Home
Appliance segment provides
refrigerators, drying
machines, washing machines,
cooking utensils, cleaners
and lighting equipment. The
Others segment is involved
in the logistics business.
The company was founded in
1875.</t>
  </si>
  <si>
    <t xml:space="preserve">3674
3651</t>
  </si>
  <si>
    <t xml:space="preserve">MELEXIS MICROELECTRONIC /TOSHIBA CORP- STRATEGIC ALLIANCE</t>
  </si>
  <si>
    <t xml:space="preserve">NV Melexis SA (MN) and Toshiba Corp (TC) formed a strategic alliance to
manufacture and develop Optical Sensor IC solutions for the HD-DVD format.
MN and TC collaborated on the development of two critical system
components, which were the Photo Detector IC (PDIC) that detects the laser
beam reflected from the DVD disk and converts the light signal to an
electronic signal and the Automatic Power Control Circuit (APC) that
detects and controls the laser power delivered to the DVD disk during the
write operation.</t>
  </si>
  <si>
    <t xml:space="preserve">58554C
891493</t>
  </si>
  <si>
    <t xml:space="preserve">Quantum Fuel Systems Tech Inc
Miljo Innovasjon AS</t>
  </si>
  <si>
    <t xml:space="preserve">Manufactures propulsion systems
Mnfr elec vehicles,parts</t>
  </si>
  <si>
    <t xml:space="preserve">Quantum Fuel Systems
Technologies Worldwide Inc,
located in Lake Forest,
California, manufactures and
develops clean propulsion
systems and renewable energy
generation systems and
services. It also
manufactures and wholesales
hybrid electric vehicles,
fuel storage and electronic
control systems for
alternative-fueled vehicles.
It classifies its business
operations into three
segments: Electric Drive &amp;
Fuel Systems, Renewable
Energy and Corporate. It has
operations and affiliations
in the United States,
Canada, and India. The
Company was founded in 2000.
Miljo Innovasjon AS, based in
Norway, manufactures electric
vehicles, car bodies, parts
and accessories. It also
provides car leasing services.</t>
  </si>
  <si>
    <t xml:space="preserve">3714
3699</t>
  </si>
  <si>
    <t xml:space="preserve">United States
Norway</t>
  </si>
  <si>
    <t xml:space="preserve">Quantum Fuel Systems Tech Inc
Miljobil Grenland AS</t>
  </si>
  <si>
    <t xml:space="preserve">QUANTUM FUEL SYSTEMS/MILJO INNOVASJON AS-STRATEGIC ALLIANCE</t>
  </si>
  <si>
    <t xml:space="preserve">Norway</t>
  </si>
  <si>
    <t xml:space="preserve">Quantum Fuel Systems Technologies Worldwide Inc and Miljo Innovasjon AS, a
unit of Miljobil Grenland AS signed letter of intent to form a strategic
alliance to manufacture and develop electric vehicles and related products
in Norway. Under terms of the agreement, the partners were to build and
construct an electric vehicle and battery pack manufacturing plant to
leverage and expand their resources and product coverage. The alliance
includes a possible joint venture establishment with the objective to
deliver a sophisticated advance propulsion systems, lithium-ion battery
technologies, and second-stage assembly to provide solution for electric
and hybrid electric vehicles in the region, Europe and China.</t>
  </si>
  <si>
    <t xml:space="preserve">74765E
59878F</t>
  </si>
  <si>
    <t xml:space="preserve">SavaJe Technologies
Shanghai Longcheer Technology</t>
  </si>
  <si>
    <t xml:space="preserve">Dvlp mobile software
Pvd mobile handset design svcs</t>
  </si>
  <si>
    <t xml:space="preserve">Develop JAVA mobile software
enabling operators and handset
manufacturers to rapidly brand
and customize mobile handsets,
while simultaneously
delivering high performance
and an advanced feature set
Shanghai Longcheer Technology
Co Ltd is a provider of
computer systems design
services. The company was
founded in October 2004 and is
located in Shanghai, China.</t>
  </si>
  <si>
    <t xml:space="preserve">7372
7373</t>
  </si>
  <si>
    <t xml:space="preserve">SAVAJE TECHNOLOGIES/LONGCHEER TECHNOLOGY(SHANGHAI) CO LTD-STRATEGIC
ALLIANCE</t>
  </si>
  <si>
    <t xml:space="preserve">SavaJe Technologies (ST) and Longcheer Technology(Shanghai)Co Ltd (LT), a
unit of Longcheer Holdings Ltd, formed a strategic alliance to provide
research and development services in China. ST and LT were expected to work
on 2.5 G and 3G handsets for local and export markets including handset
ODMs and OEMs as well as communications vendors.</t>
  </si>
  <si>
    <t xml:space="preserve">80456H
54241X</t>
  </si>
  <si>
    <t xml:space="preserve">Waters Corp
Imperial College London</t>
  </si>
  <si>
    <t xml:space="preserve">Manufacture,wholesale chromatography instrument systems
Own,op college,university</t>
  </si>
  <si>
    <t xml:space="preserve">Waters Corp, located in
Milford, Massachusetts,
manufactures and wholesales
chromatography instrument
systems. It also offers mass
spectrometry instrument
systems and associated
service and support products
including chromatography
columns and other consumable
products for the
pharmaceutical, life
science, biochemical,
industrial, academic and
government industries, for
research and development,
quality assurance and other
laboratory applications. The
company was founded in 1958.
Imperial College London is a
college operator. The
Company was founded in 1851
and is located in London,
the United Kingdom.</t>
  </si>
  <si>
    <t xml:space="preserve">3826
8221</t>
  </si>
  <si>
    <t xml:space="preserve">WATERS CORP/IMPERIAL COLLEGE LONDON-STRATEGIC ALLIANCE</t>
  </si>
  <si>
    <t xml:space="preserve">Waters Corp (WC) and Imperial College London (IC) formed a strategic
alliance to provide research and development services. WC was expected to
equip its Waters Laboratory of Molecular  Spectroscopy at IC with three
high-end research  instruments -- the Waters(R) ACQUITY UPLC(TM) System,
and Waters Q-Tof  Premier(TM) and GCT Premier(TM) Mass Spectrometers. The
alliance was expected to allow researchers to address fundamental
medicinal-biology problems that was expected to pave the way for a better
understanding of the underlying causes of disease and the effect of
lifestyle and diet on health and overall well-being.</t>
  </si>
  <si>
    <t xml:space="preserve">941848
45228W</t>
  </si>
  <si>
    <t xml:space="preserve">Axcan Pharma Inc
AGI Therapeutics PLC</t>
  </si>
  <si>
    <t xml:space="preserve">Mnfr pharmaceuticals
Mnfr pharmaceutical products</t>
  </si>
  <si>
    <t xml:space="preserve">Manufacture, develop, market
and distribute prescription
pharmaceuticals intended for
final consumption, including
biotech products and
antibiotics
AGI Therapeutics PLC, located
in Dublin, Ireland,
manufactures pharmaceutical
products. The company is
focused on the development and
commercialization of
differentiated drug products
to treat unmet medical needs.
The company was founded in
2003.</t>
  </si>
  <si>
    <t xml:space="preserve">Canada
Ireland-Rep</t>
  </si>
  <si>
    <t xml:space="preserve">AXCAN PHARMA INC/AGI THERAPEUTICS PLC-STRATEGIC ALLIANCE</t>
  </si>
  <si>
    <t xml:space="preserve">AGI Therapeutics Plc (AT) and Axcan Pharma Inc (AP) formed a strategic
alliance wherein AT exclusively licensed AP to develop CHRONAB omeprazole
(CO) globally. CO was to be produced for the treatment of gastro-esophageal
reflux disease to control and prevent nighttime gastric acidity. AP paid an
initial license fee of $1.5 mil US (1.7 mil Canadian dollars/1.2 mil Irish
punts) and milestone payments amounting to $17.5 mil US (19.6 mil Canadian
dollars/13.78 mil punts).</t>
  </si>
  <si>
    <t xml:space="preserve">Axcan Pharma Inc paid an initial license fee of $1.5 mil US (1.7 mil
Canadian dollars/1.2 mil Irish punts) and milestone payments amounting to
$17.5 mil US (19.6 mil Canadian dollars/13.78 mil punts).</t>
  </si>
  <si>
    <t xml:space="preserve">054923
01115N</t>
  </si>
  <si>
    <t xml:space="preserve">Axela Biosensors Inc
Abnova Corp</t>
  </si>
  <si>
    <t xml:space="preserve">Mnfr,develop lab instr
Mnfr antibody</t>
  </si>
  <si>
    <t xml:space="preserve">Axela Biosensors Inc, located
in Canada, manufactures and
develops assay development and
routine analysis laboratory
instruments that enable
real-time detection of
biomolecular interactive and
immuno assays without the use
of labels; and develops
biosensor software.
Manufacture monoclonal
antibody and wheat geron in
vitro protein</t>
  </si>
  <si>
    <t xml:space="preserve">Canada
Taiwan</t>
  </si>
  <si>
    <t xml:space="preserve">AXELA BIOSENSORS INC/ABNOVA CORP-STRATEGIC ALLIANCE</t>
  </si>
  <si>
    <t xml:space="preserve">Axela Biosensors Inc (AB) and Abnova Corp (AC) formed a strategic alliance
to provide research and development services. AB and AC were expected to
co-develop reagents and biomarket panels for use on AB's dotLab System. The
dotLab System accelerates the analysis, validation and commercialization of
protein biomarkers by providing simple, affordable real-time protein
detection.  AC was expected to optimize a series of monoclonal antibodies
for the quantitation of specific serum protein biomarkers for use with AB's
dotLab sensors. Researchers were to be able to combine the monoclonal
antibodies with their own reagents to create custom panels for multiplexed
biomarker detection.</t>
  </si>
  <si>
    <t xml:space="preserve">05900V
01166P</t>
  </si>
  <si>
    <t xml:space="preserve">Mitsubishi Heavy Industries
Nippon Steel Corp</t>
  </si>
  <si>
    <t xml:space="preserve">Mnfr,whl ships,power engine
Manufacture,whl steel products</t>
  </si>
  <si>
    <t xml:space="preserve">Mitsubishi Heavy Industries
Ltd, located in Tokyo,
Japan, manufactures and
wholesales ships, power
engine and other
construction machinery. The
Marine Vessel and Ocean
segment offers passenger
ships, gas ships, car
ferries and others. The
Power Engine segment offers
boilers, turbines,
windmills, diesel engines
and pumps. The Machinery and
Steel Structure segment
offers exhaust fume
treatment equipment, waste
treatment and traffic
systems, cranes, bridges,
chimney pipes and printing
machinery. The Aviation and
Space segment offers space
equipment, aircrafts and
torpedoes. The General
Machinery and Special
Vehicle segment offers
forklifts, construction
machinery and agricultural
machinery. The Others
segment offers
air-conditioning equipment,
real estate sales and
printing services, among
others. The company was
founded in 1884.
Nippon Steel Corp, located
in Tokyo, Japan,
manufactures and wholesales
steel products. It operates
through the following
divisions: Steel &amp;
Fabrication; Engineering;
Urban Development; Chemicals
and Nonferrous Materials;
System Solutions and New
Material. The Steel &amp;
Fabrication segment
manufactures specialty steel
and secondary products.
Engineering activities
include the operation of
plants, industrial
equipment/furnaces and civil
engineering. Urban
Development includes
development of city,
condominiums and real
estate. Chemicals and
Nonferrous Materials include
coal-tar, ammonium sulphate,
coke and fine ceramics.
System Solutions operations
include computer system
related engineering and
consulting. It is also a
holding company. The company
was founded on 1970.</t>
  </si>
  <si>
    <t xml:space="preserve">3731
3312</t>
  </si>
  <si>
    <t xml:space="preserve">MITSUBISHI HEAVY INDUSTRIES LTD/NIPPON STEEL CORP-STRATEGIC ALLIANCE</t>
  </si>
  <si>
    <t xml:space="preserve">Mitsubishi Heavy Industries Ltd and Nippon Steel Corp formed a strategic
alliance to develop and manufacture 47 kgf/mm2 HISS container ship in
Japan. Under terms of the agreement, the partners were expected to build a
supersized containerships using higher tensile strength steel which
increases strength and reduces thickness contributing to the ship weight
reduction and fuel efficiency as well to enlarg the reliability of the
ship's hull. The alliance was a significant strategy for the partners to
leverage their strength, toughness and weldability of steel expertise in
the ship building while reducing environmental load through improved fuel
efficiency .</t>
  </si>
  <si>
    <t xml:space="preserve">606793
654619</t>
  </si>
  <si>
    <t xml:space="preserve">Dr Reddy's Laboratories Ltd
Clintec International Ltd</t>
  </si>
  <si>
    <t xml:space="preserve">Manufactures and wholesales prescription pharmaceutical
Pvd biotechnology services</t>
  </si>
  <si>
    <t xml:space="preserve">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
Clintec International Ltd is a
provider of a biotechnology
services. The company
conducted over 100 clinical
trials in therapeutic areas
including anti-infective,
cardiology, dermatology,
gastroenterology, neurology,
oncology, respiratory medicine
and rheumatology. The company
is headquartered in Middlesex,
UK.</t>
  </si>
  <si>
    <t xml:space="preserve">Dr Reddy's Laboratories Ltd
Nestle SA</t>
  </si>
  <si>
    <t xml:space="preserve">DR REDDYS LABORATORIES LTD/CLINTEC INTERNATIONAL LTD-STRATEGIC ALLIANCE</t>
  </si>
  <si>
    <t xml:space="preserve">Dr Reddys Laboratories Ltd and Clintec International Ltd, a joint venture
between Nestle SA and Baxter Healthcare, a unit of Baxter International,
planned to form a strategic alliance to develop anti-cancer compound, DRF
1042, for potential treatment of various types of cancer globally.
Financial terms were not disclosed.</t>
  </si>
  <si>
    <t xml:space="preserve">256135
18681P</t>
  </si>
  <si>
    <t xml:space="preserve">Georgia Tech Info Sec Center
BellSouth Corp
Internet Sec Sys Inc</t>
  </si>
  <si>
    <t xml:space="preserve">Pvd research,dvlp svcs
Pvd telecom svcs
Dvlp Internet sec software</t>
  </si>
  <si>
    <t xml:space="preserve">Provide research and
development services
BellSouth Corp. is a
communications services
company that provides local
and long distance voice and
data services. BellSouth
provides voice, broadband data
and e-commerce solutions to
business customers. In the
residential market, the
company offers (DSL) digital
subscriber lines high-speed
Internet access and advanced
voice features. It also
provides online and directory
advertising services.
BellSouth operates in three
segments: communications;
domestic wireless; and
advertising and publishing.
Internet Security Systems,
Inc. (ISS) provides network
and information security
products and services that are
designed to shield businesses
from security vulnerabilities
before they impact operations.
ISS software and appliance
products provide preemptive
security across all layers of
IT infrastructure: network
gateways, servers and endpoint
devices like PCs, laptops and
handhelds. The company's
products incorporate a variety
of security technologies,
including intrusion prevention
systems, intrusion detection
systems, firewall and virtual
private networking (VPN),
content security, web
filtering, antispam,
antivirus, vulnerability
assessment and security
management.</t>
  </si>
  <si>
    <t xml:space="preserve">8731
4813
7372</t>
  </si>
  <si>
    <t xml:space="preserve">GA
GA
GA</t>
  </si>
  <si>
    <t xml:space="preserve">GEORGIA TECH INFO SEC/BELLSOUTH CORP/INTERNET SECURITY SYSTEMS-STRATEGIC
ALLIANCE</t>
  </si>
  <si>
    <t xml:space="preserve">Georgia Tech Information Security Center (GT), BellSouth Corp (BC) and
Internet Security Systems Group Inc (IS) formed a strategic alliance to
provide research and development services in the United States. The
alliance was expected to explore security surrounding the emerging Voice
over Internet Protocol (VoIP) technology. As communication services migrate
to Internet-based platforms,  it is important that the security and
dependability users expect in the  current public switched networks be
maintained with these new converged  technologies.</t>
  </si>
  <si>
    <t xml:space="preserve">37358Y
079860
46060X</t>
  </si>
  <si>
    <t xml:space="preserve">Arena Pharmaceuticals Inc
Janssen Pharmaceuticals Inc</t>
  </si>
  <si>
    <t xml:space="preserve">Research and Development in Biotechnology
Mnfr pharmaceutical products</t>
  </si>
  <si>
    <t xml:space="preserve">Arena Pharmaceuticals Inc,
located in San Diego,
California, is a provider of
biotechnology research and
development services. The
Company was founded in April
1997.
Janssen Pharmaceuticals Inc,
located in Titusville, New
Jersey, manufactures
prescription pharmaceutical
products intended for final
consumption to treat pain,
acid reflux disease and
infectious diseases</t>
  </si>
  <si>
    <t xml:space="preserve">Arena Pharmaceuticals Inc
J&amp;J</t>
  </si>
  <si>
    <t xml:space="preserve">ARENA PHARMACEUTICALS INC /ORTHO MCNEIL PHARMACEUTICAL INC(DNU)- STRATEGIC
ALLIANCE</t>
  </si>
  <si>
    <t xml:space="preserve">Arena Pharmaceuticals Inc (AP) and Ortho-McNeil Pharmaceutical Inc (OM), a
unit of Johnson &amp; Johnson Inc, formed a strategic alliance to provide
research and development services in the United STates. The alliance was
expected to develop compounds targeting the Glucose-Dependent
Insulinotropic Receptor or GDIR. The GDIR was expected to have the
potential to stimulate insulin production in response to increases in blood
glucose. OM was committed to fund AP $2.4 mil US.</t>
  </si>
  <si>
    <t xml:space="preserve">Ortho-McNeil Pharmaceutical Inc as committed to fund AP $2.4 mil US.</t>
  </si>
  <si>
    <t xml:space="preserve">040047
68756C</t>
  </si>
  <si>
    <t xml:space="preserve">PME International Co Ltd
Shanghai XInhua Chem Factory</t>
  </si>
  <si>
    <t xml:space="preserve">Mnfr,whl polishing materials
Mnfr chem</t>
  </si>
  <si>
    <t xml:space="preserve">PME International Co Ltd is a
manufacturer and wholesaler of
polishing materials. The
company is headquartered in
Hong Kong.
Manufacture chemicals</t>
  </si>
  <si>
    <t xml:space="preserve">3291
2899</t>
  </si>
  <si>
    <t xml:space="preserve">Hong Kong
China</t>
  </si>
  <si>
    <t xml:space="preserve">PME Group Ltd
Shanghai XInhua Chem Factory</t>
  </si>
  <si>
    <t xml:space="preserve">3471
2899</t>
  </si>
  <si>
    <t xml:space="preserve">PME INTERNATIONAL/SHANGHAI XIN HUA CHEMICAL FACTORY-SHANGHAI PME-XINHUA
POLISHING MATERIALS SYS JOINT VENTURE</t>
  </si>
  <si>
    <t xml:space="preserve">PME International Co Ltd (PI), a unit of PME Group Ltd, and Shanghai XinHua
Chemical Factory (SX) planned to form a joint venture named Shanghai
PME-Xinhua Polishing Materials Systems (SP) to manufacture, develop and
wholesale polishing materials and equipment in China. Under terms of the
agreement, PI was to hold a 60% interest in SP while SX was to hold the
remaining 40% stake. SX was to contribute plant, machinery and inventories
intot SP.</t>
  </si>
  <si>
    <t xml:space="preserve">60.00
40.00</t>
  </si>
  <si>
    <t xml:space="preserve">69237Q
81872A</t>
  </si>
  <si>
    <t xml:space="preserve">DT Search &amp; Designs LLC
KLA Environmental Services Inc</t>
  </si>
  <si>
    <t xml:space="preserve">Pvd research,dvlp,mktg svcs
Pvd waste mgmt,disposal svcs</t>
  </si>
  <si>
    <t xml:space="preserve">Provide research and
development and marketing
services
Provide waste management and
disposal services</t>
  </si>
  <si>
    <t xml:space="preserve">8731
4953</t>
  </si>
  <si>
    <t xml:space="preserve">MT
KS</t>
  </si>
  <si>
    <t xml:space="preserve">DT Search &amp; Designs LLC
Kansas Livestock Association</t>
  </si>
  <si>
    <t xml:space="preserve">8731
0212</t>
  </si>
  <si>
    <t xml:space="preserve">DT SEARCH &amp; DESIGNS LLC/KLA ENVIRONMENTAL SERVICES INC-KANSAS ENVIRONMENTAL
MANAGEMENT ASSOCIATES LLC JOINT VENTURE</t>
  </si>
  <si>
    <t xml:space="preserve">Manufacture, develop and
market phosphorus farm
management test system and
equipment for the livestock
industry</t>
  </si>
  <si>
    <t xml:space="preserve">Kansas</t>
  </si>
  <si>
    <t xml:space="preserve">DT Search &amp; Designs LLC and KLA Environmental Services Inc, a unit of
Kansas Livestock Association, formed a joint venture named Kansas
Environmental Management Associates LLC (KE) to manufacture, develop and
market phosphorus farm management test system and equipment for the
livestock industry in the United States. Under terms of the agreement, KE
was expected to work with Advanced Manufacturing Institute of Kansas  State
University to check and investigate the new system with the desired
results. KE was to ensure and eliminate the negative effects of the new
equipment, as an excessive formulation of phosphorus can increase the
potential for phosphorus transport from the application fields to surface
water quality, which was an essential need for plant growth. KE's formation
was a strategic opportunity for the partners to comply with the regulatory
crop production and livestock waste management authorities in the region.</t>
  </si>
  <si>
    <t xml:space="preserve">48490W</t>
  </si>
  <si>
    <t xml:space="preserve">23176J
48499Y</t>
  </si>
  <si>
    <t xml:space="preserve">Edison Pharmaceuticals Inc
Instituto Vidi</t>
  </si>
  <si>
    <t xml:space="preserve">Biotechnology company that
provides development of drugs
to treat energy impairment
diseases also referred to as
mitochondrial disease
Provide research and
development services on the
prevention of childhood low
vision and blindness</t>
  </si>
  <si>
    <t xml:space="preserve">United States
Brazil</t>
  </si>
  <si>
    <t xml:space="preserve">Edison Pharmaceuticals Inc
Universidade Federal</t>
  </si>
  <si>
    <t xml:space="preserve">EDISON PHARMACEUTICALS INC/INSTITUTE OF VISION-STRATEGIC ALLIANCE</t>
  </si>
  <si>
    <t xml:space="preserve">Edison Pharmaceuticals Inc (EP) and Instituto Vidi (IV), a unit of
Universidade Federal de Sao Paulo, formed a strategic alliance to provide
research and development services. The alliance was expected to develop
drugs targeting Leber's Hereditary Optic Neuropathy (LHON), an inherited
disease affecting vision. The alliance was also expected to enable
evaluation of EP's drugs that target inherited mitochondrial diseases.</t>
  </si>
  <si>
    <t xml:space="preserve">28091R
46400V</t>
  </si>
  <si>
    <t xml:space="preserve">Xoma Ltd
Affimed Therapeutics AG</t>
  </si>
  <si>
    <t xml:space="preserve">Dvlp antibody therapeutics
Biotechnology company</t>
  </si>
  <si>
    <t xml:space="preserve">Xoma Ltd, located in
Berkeley, California,
discovers and develops
innovative antibody-based
therapeutics. Its lead drug
candidate is gevokizumab
(formerly XOMA 052), a
humanized antibody that
binds to the inflammatory
cytokine interleukin-1 beta.
Biotechnology company involved
in the development of
monoclonal antibodies</t>
  </si>
  <si>
    <t xml:space="preserve">XOMA LTD/AFFIMED THERAPEUTICS AG-STRATEGIC ALLIANCE</t>
  </si>
  <si>
    <t xml:space="preserve">Xoma Ltd (XL) and Affimed Therapeutics AG (AT) formed a strategic alliance
wherein XL and AT cross-licensed each other to utilize each other's
technology worldwide. Under terms of the agreement, AT licensed XL to
utilize its antibody library patents for antibody discovery purposes as
well as for the development and commercialization of antibodies. AT also
built customized patient-derived human antibody phage display libraries
according to XL's specifications. On the other hand, XL licensed AT to
utilize its Bacterial Cell Expression (BCE) technology for reseach
purposes. XL also agreed to provide AT with cell line development and
process development services. Financial terms were not disclosed.</t>
  </si>
  <si>
    <t xml:space="preserve">G9825R
01145X</t>
  </si>
  <si>
    <t xml:space="preserve">Xenon Pharmaceuticals Inc
Takeda Pharmaceutical Co Ltd</t>
  </si>
  <si>
    <t xml:space="preserve">Pharmaceutical Preparation Manufacturing
Mnfr,whl pharmaceutical prod</t>
  </si>
  <si>
    <t xml:space="preserve">Xenon Pharmaceuticals Inc,
located in Burnaby, British
Columbia, is a
biopharmaceutical company
focused on clinical genetic
based drug discovery,
developing novel small
molecule therapies based on
the genetic causes of select
metabolic, neurological and
cardiovascular diseases. The
company has built a enabling
discovery platform for the
discovery of validated drug
targets by studying rare
human diseases with extreme
traits, including diseases
caused by mutations in ion
channels, known as
channelopathies. It was
incorporated on November 5,
1996.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</si>
  <si>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XENON PHARMACEUTICALS INC/TAKEDA PHARMACEUTICAL CO LTD-STRATEGIC ALLIANCE</t>
  </si>
  <si>
    <t xml:space="preserve">Xenon Pharmaceuticals Inc (XP) and Takeda Pharmaceutical Co Ltd (TP) formed
a strategic alliance wherein XP licensed TP to develop and wholesale its
oral formulations XEN401, the lead product for pain in Japan and certain
Asian countries. TP was expected to be responsible for all development and
commercialization activities and related costs in the licensed territories.
XP was expected to receive up to $75.5 mil US (84.23 Canadian dollars/ 8.9
bil Japanese yen) in upfront payment, development and sales milestones
payments.</t>
  </si>
  <si>
    <t xml:space="preserve">Xenon Pharmaceuticals Inc was expected to receive up to $75.5 mil US (84.23
mil Canadian dollars/ 8.9 bil Japanese yen) in upfront payment, development
and sales milestones payments.</t>
  </si>
  <si>
    <t xml:space="preserve">98420N
874058</t>
  </si>
  <si>
    <t xml:space="preserve">Tate &amp; Lyle PLC
Microbia Inc</t>
  </si>
  <si>
    <t xml:space="preserve">Produce,whl carbohydrates,industrial ingredients
Mnfr prescription pharm</t>
  </si>
  <si>
    <t xml:space="preserve">Tate &amp; Lyle PLC, located in
London, United Kingdom,
produces and wholesales
carbohydrates and industrial
ingredients including, corn
wet milling, sugar and
sweeteners for the food,
beverage, pharmaceutical,
cosmetic, paper, packaging
and building industries. It
also manufactures farm
machinery and wholesales
groceries and nondurable
goods, and is also an
investment holding company.
The Company was founded in
1921.
Microbia Inc, located in
Lexington, Massachusetts,
manufactures prescription
pharmaceuticals intended for
final consumption. Its
products include
biotechnological products and
antibiotics.</t>
  </si>
  <si>
    <t xml:space="preserve">2046
2834</t>
  </si>
  <si>
    <t xml:space="preserve">TATE &amp; LYLE PLC/MICROBIA PRECISION ENGINEERING INC-STRATEGIC ALLIANCE</t>
  </si>
  <si>
    <t xml:space="preserve">Tate &amp; Lyle PLC (TL) and Microbia Precision Engineering Inc (MP), a unit of
Microbia Inc, formed a strategic alliance to provide research and
development services. The alliance was expected to develop
fermentation-derived renewable ingredients to stimulate new product
development.</t>
  </si>
  <si>
    <t xml:space="preserve">876570
59477M</t>
  </si>
  <si>
    <t xml:space="preserve">Qiagen NV
Veterinary Laboratories Agency</t>
  </si>
  <si>
    <t xml:space="preserve">Biotechnology company
National agency</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</si>
  <si>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National agency of regional
network of 16 veterinary
laboratories</t>
  </si>
  <si>
    <t xml:space="preserve">2836
999B</t>
  </si>
  <si>
    <t xml:space="preserve">Qiagen NV
United Kingdom Of Great</t>
  </si>
  <si>
    <t xml:space="preserve">2836
999A</t>
  </si>
  <si>
    <t xml:space="preserve">QIAGEN NV/BRITISH VETERINARY LABORATORIES AGENCY-STRATEGIC ALLIANCE</t>
  </si>
  <si>
    <t xml:space="preserve">Qiagen NV and British state-owned Veterinary Laboratories Agency formed a
strategic alliance to provide veterinary testing and laboratories services
in Netherlands. Under terms of the agreement, the partners were expected to
develop and test seven PCR-based assays for infectious veterinary diseases
affecting livestock such as cows and horses in their region.</t>
  </si>
  <si>
    <t xml:space="preserve">N72482
92523H</t>
  </si>
  <si>
    <t xml:space="preserve">Abt Associates Inc
Outcomes International</t>
  </si>
  <si>
    <t xml:space="preserve">Pvd research,consulting svcs
Biotechnology company</t>
  </si>
  <si>
    <t xml:space="preserve">Abt Associates Inc, located in
Cambridge, Massachusetts,
provide research and
management consulting services
applying scientific research
and technical assistance
expertise to a wide range of
social, economic, and health
and policy issues,
international development,
clinical trials and
registries, and complex
business problems. The company
was founded in 1965.
Biotechnology company</t>
  </si>
  <si>
    <t xml:space="preserve">8732
2836</t>
  </si>
  <si>
    <t xml:space="preserve">ABT ASSOCIATES INC/OUTCOME INTERNATIONAL-STRATEGIC ALLIANCE</t>
  </si>
  <si>
    <t xml:space="preserve">Abt Associates Inc and Outcomes International formed a strategic alliance
to provide health, economics, clinical and market research and development
services globally. The alliance was a strategic growth opportunity for the
partners to leverage and expand their resources and product coverage</t>
  </si>
  <si>
    <t xml:space="preserve">00386Z
69004W</t>
  </si>
  <si>
    <t xml:space="preserve">Genentech Inc
CGI Pharmaceuticals Inc</t>
  </si>
  <si>
    <t xml:space="preserve">Biotech co
Pharmaceutical company</t>
  </si>
  <si>
    <t xml:space="preserve">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
CGI Pharmaceuticals Inc,
located in Branford,
Connecticut, is a
pharmaceutical company focused
on the discovery and
development of breakthrough
small molecule therapeutics
for a broad range of oncology
and allergy/ autoimmune/
inflammatory disease (AAID)
indications. The company was
founded in 2000.</t>
  </si>
  <si>
    <t xml:space="preserve">CA
CT</t>
  </si>
  <si>
    <t xml:space="preserve">Roche Holdings AG
CGI Pharmaceuticals Inc</t>
  </si>
  <si>
    <t xml:space="preserve">GENENTECH INC/CGI PHARMACEUTICALS INC-STRATEGIC ALLIANCE</t>
  </si>
  <si>
    <t xml:space="preserve">Genetech Inc (GI) and CGI Pharmaceuticals Inc (CP) formed a strategic
alliance wherein CP exclusively licensed GI to manufacture, develop and
market therapeutics and small molecules based on an undisclosed target for
the potential treatment of multiple oncology and autoimmune indications
worldwide. Under the terms of the agreement, GI made an upfront payment to
CP of $25 mil US, comprised of both license fees and an equity investment
in CP. GI was expected to discover, develop and market the products
globally except in the European Union. In the EU, CP retained the right to
develop and commercialize potential molecules arising from the
collaboration. Further financial terms were not disclosed.</t>
  </si>
  <si>
    <t xml:space="preserve">Exclusive Licensing Services
Licensing Services
Manufacturing Services
Research &amp; Development Services
Marketing Services</t>
  </si>
  <si>
    <t xml:space="preserve">Genentech Inc paid CGI Pharmaceuticals Inc $25 mil US in licensing fees.</t>
  </si>
  <si>
    <t xml:space="preserve">368710
12984C</t>
  </si>
  <si>
    <t xml:space="preserve">Eurand SpA
GlaxoSmithKline PLC</t>
  </si>
  <si>
    <t xml:space="preserve">Mnfr pharmaceuticals
Pharmaceutical Preparation Manufacturing</t>
  </si>
  <si>
    <t xml:space="preserve">Manufacture prescription
pharmaceuticals intended for
final consumption, including
biotech products and
antibiotics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</si>
  <si>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Italy
United Kingdom</t>
  </si>
  <si>
    <t xml:space="preserve">EURAND SPA/GLAXOSMITHKLINE PLC-STRATEGIC ALLIANCE</t>
  </si>
  <si>
    <t xml:space="preserve">GlaxoSmithKline PLC (GP) and Eurand SpA (ES) formed a strategic alliance
wherein GP licensed ES to utilize it's Microcaps taste-masking and AdvaTab
oral disintegration tablet technologies to develop a new formulation of an
undisclosed product in the United States. Under terms of the agreement, GP
was to provide financial and funding assistance to the production process,
while ES was expected to receive royalties on product sales.</t>
  </si>
  <si>
    <t xml:space="preserve">29950L
37733W</t>
  </si>
  <si>
    <t xml:space="preserve">Keryx Biopharmaceuticals Inc
Kyowa Hakko Kogyo Co Ltd</t>
  </si>
  <si>
    <t xml:space="preserve">Biotechnology company
Kyowa Hakko Kogyo Co Ltd,
headquartered in Japan and
founded in 1949,
manufactures and wholesales
pharmaceutical products such
as drugs for cancer,
cardiovascular conditions
and fungal infections,
agrochemicals, diagnostic
reagents, plasticizers and
solvents and produce food
and liquor such as umeshu
and imported scotch. It also
manufactures specialty
chemicals, seasonings,
confectionery and baking
ingredients and processed
foods.</t>
  </si>
  <si>
    <t xml:space="preserve">Israel
Japan</t>
  </si>
  <si>
    <t xml:space="preserve">KERYX BIOPHARMACEUTICALS INC/KYOWA HAKKO KOGYO CO LTD-STRATEGIC ALLIANCE</t>
  </si>
  <si>
    <t xml:space="preserve">Kyowa Hakko Kogyo Co Ltd (KH) and Keryx Biopharmaceuticals Inc (KB) formed
a strategic alliance wherein KH exclusively licensed KB to develop its
UCN-01 (7-hydroxystaurosporine), multi-kinase inhibitor for the treatment
of cancer globally.</t>
  </si>
  <si>
    <t xml:space="preserve">1A9410
50156V</t>
  </si>
  <si>
    <t xml:space="preserve">Optigenex Inc
McGovern Capital LLC</t>
  </si>
  <si>
    <t xml:space="preserve">Biotechnology company
Investment company</t>
  </si>
  <si>
    <t xml:space="preserve">Biotechnology company focused
on researching, developing and
marketing AC- 11, a bioactive
form of the medicinal herb
Uncaria tomentosa for skin
care and age-related issues
Investment company with
expertise in the intellectual
property rights strategy,
originates structures and
implements capital formation
for emerging companies and
consulting services</t>
  </si>
  <si>
    <t xml:space="preserve">NY
NY</t>
  </si>
  <si>
    <t xml:space="preserve">OPTIGENEX INC/MCGOVERN CAPITAL LLC-STRATEGIC ALLIANCE</t>
  </si>
  <si>
    <t xml:space="preserve">Optigenex Inc (OI) and McGovern Capital LLC (MC) formed a strategic
alliance wherein OI exclusively licensed MC to utilize its AC-11 for the
commercial use as an ingredient in beverages globally. MC was expected to
evaluate and strengthen an independent research to produce a beverage which
helps the body enhance its own natural ability to repair its DNA. Financial
terms were not disclosed.</t>
  </si>
  <si>
    <t xml:space="preserve">683886
55573N</t>
  </si>
  <si>
    <t xml:space="preserve">Roche Diagnostics Corp
OraSure Technologies Inc</t>
  </si>
  <si>
    <t xml:space="preserve">Mnfr diagnostic equip,prod
Mnfr diagnostic test prod</t>
  </si>
  <si>
    <t xml:space="preserve">Roche Diagnostics Corp,
located in Indianapolis,
Indiana, manufactures
diagnostic equipment, products
and hematology instruments.
These are used for early
detection, targeted screening,
evaluation and monitoring of
the diseases. The company was
founded in 1968.
OraSure Technologies Inc,
located in Bethlehem,
Pennsylvania, manufactures
and distributes oral fluid
diagnostic and collection
devices and other
technologies designed to
detect or diagnose critical
medical conditions. Products
include tests for the
detection of antibodies to
the HIV virus and
cryosurgical products. Its
products are sold to various
clinical laboratories,
hospitals, clinics,
community-based
organizations and other
public health organizations,
research and academic
institutions, distributors,
government agencies,
physicians' offices, and
commercial and industrial
entities.</t>
  </si>
  <si>
    <t xml:space="preserve">2835
3841</t>
  </si>
  <si>
    <t xml:space="preserve">IN
PA</t>
  </si>
  <si>
    <t xml:space="preserve">Roche Holdings AG
OraSure Technologies Inc</t>
  </si>
  <si>
    <t xml:space="preserve">ROCHE DIAGNOSTICS CORP/ORASURE TECHNOLOGIES INC-STRATEGIC ALLIANCE</t>
  </si>
  <si>
    <t xml:space="preserve">Roche Diagnostics Corp (RD), a unit of Roche Holdings AG's F Hoffman-La
Roche subsidiary, and Orasure Technologies Inc (OT) signed letter of intent
to form a strategic alliance to provide development and commercialization
services for homogeneous fully-automated oral fluid drugs that can run on
random access chemistry analyzers. The oral fluid analyzers were designed
to run on various automated analyzers and allow oral fluid samples to be
processed with the same efficiency as current urine based tests for use
with OT's Intercept (R) oral specimen collection device and RD's kinetic
interaction of microparticles in solution (KIMS) technology. The alliance
was expected to enable RD and OT to run these assays on the most advanced,
flexible chemistry analyzers used in laboratories that lead to higher
volumes of oral fluid testing.</t>
  </si>
  <si>
    <t xml:space="preserve">77117P
68554V</t>
  </si>
  <si>
    <t xml:space="preserve">Chevron Technology Ventures
National Renewable Energy</t>
  </si>
  <si>
    <t xml:space="preserve">Financial Sponsor
Pvd research,dvlp svcs</t>
  </si>
  <si>
    <t xml:space="preserve">Chevron Technology Ventures
LLC, located in Houston,
Texas, is a venture capital
firm. It invests in water
management, production
enhancement, emerging
materials, power systems,
information technology, and
subsurface &amp; base business.
The Company was founded in
1999.
Provide research and
development services regarding
solar power, wind energy,
advanced vehicle systems,
geothermal energy and hydrogen
technologies</t>
  </si>
  <si>
    <t xml:space="preserve">6799
8731</t>
  </si>
  <si>
    <t xml:space="preserve">TX
CO</t>
  </si>
  <si>
    <t xml:space="preserve">Chevron Corp
National Renewable Energy</t>
  </si>
  <si>
    <t xml:space="preserve">2911
8731</t>
  </si>
  <si>
    <t xml:space="preserve">CHEVRON TECHNOLOGY VENTURES LLC/NATIONAL RENEWABLE ENERGY
LABORATORY-STRATEGIC ALLIANCE</t>
  </si>
  <si>
    <t xml:space="preserve">Chevron Technology Ventures LLC (CT), a unit of Chevron Corp, and National
Renewable Energy Laboratory (NR), a unit of state-owned US Department of
Energy, formed a 5-year strategic alliance to provide cellulosic biofuels
research and development services in the United States. The alliance
collaborated to research and develop new production technologies for
biofuels as well as to advance the development of renewable transportation
fuels. Researchers from CT and NR collaborated on projects to develop the
next generation of process technologies that will convert cellulosic
biomass such as forestry and agricultural wastes into biofuels such as
ethanol and renewable diesel.</t>
  </si>
  <si>
    <t xml:space="preserve">16689W
63736P</t>
  </si>
  <si>
    <t xml:space="preserve">Biotica Technology Ltd
Wyeth Pharmaceuticals Inc</t>
  </si>
  <si>
    <t xml:space="preserve">Biotech co
Mnfr pharm prod</t>
  </si>
  <si>
    <t xml:space="preserve">Biotica Technology Ltd,
located in the United Kingdom,
is a biotechnology company
focused on the discovery of
novel polyketide
pharmaceuticals. Founded in
1996.
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t>
  </si>
  <si>
    <t xml:space="preserve">Biotica Technology Ltd
Wyeth</t>
  </si>
  <si>
    <t xml:space="preserve">BIOTICA TECHNOLOGY LTD/WYETH PHARMACEUTICALS-STRATEGIC ALLIANCE</t>
  </si>
  <si>
    <t xml:space="preserve">Biotica Technology Ltd (BT) and Wyeth Pharmaceuticals Inc (WP), a unit of
Wyeth formed a strategic alliance wherein BT exclusively licensed WP to
develop novel rapamycin analogs which target diseases in multiple
therapeutic areas globally. Under terms of the agreement, the alliance was
expected to utilized BT's biosynthetic engineering technology to create
compounds that were not readily accessible through conventional synthetic
chemistry.</t>
  </si>
  <si>
    <t xml:space="preserve">90968E
98292L</t>
  </si>
  <si>
    <t xml:space="preserve">LifeCycle Pharma A/S
Merck Generics BV</t>
  </si>
  <si>
    <t xml:space="preserve">Manufacture prescription
pharmaceuticals intended for
final consumption, including
biotech products and
antibiotics such as the
cholesterol-lowering
LCP-FenoChol and
Lercanidipine which is a
calcium-channel blocker for
hypertension hypertension
Manufacture prescription
pharmaceuticals intended for
final consumption, including
biotech products and
antibiotics</t>
  </si>
  <si>
    <t xml:space="preserve">Denmark
Netherlands</t>
  </si>
  <si>
    <t xml:space="preserve">LifeCycle Pharma A/S
Merck KGaA</t>
  </si>
  <si>
    <t xml:space="preserve">Denmark
Germany</t>
  </si>
  <si>
    <t xml:space="preserve">LIFECYCLE PHARMA A/S/MERCK GENERICS BV-STRATEGIC ALLIANCE</t>
  </si>
  <si>
    <t xml:space="preserve">LifeCycle Pharma A/S (LCP) and Merck Generics BV (MG), a unit of Merck
KGaA, formed a strategic alliance to provide research, development and
marketing services to an undisclosed fenofibrate product developed by LCP
in Europe. MG was expected to conduct the future development and
commercialization of the fenofibrate product and was also expected to be
responsible for all costs associated with the activities. LCP was expected
to receive milestone payments in addition to significant double digit
royalty rate of future sales. Concurrently, LCP also antered into a
strategic alliance with H Lundbeck A/S and Novartis AG.</t>
  </si>
  <si>
    <t xml:space="preserve">53248N
58934E</t>
  </si>
  <si>
    <t xml:space="preserve">Ascent Solar Technologies Inc
PermaCity Solar Inc</t>
  </si>
  <si>
    <t xml:space="preserve">Manufacturer &amp; wholesaler of flexible photovoltaic (PV) modules
Mnfr photovoltaic sys</t>
  </si>
  <si>
    <t xml:space="preserve">Ascent Solar Technologies Inc
is engaged in commercializing
flexible photovoltaic (PV)
modules using its technology.
The Company's manufacturing
process deposits multiple
layers of materials, including
a thin film of
copper-indium-gallium-diselen
ide (CIGS) semiconductor
material, on a plastic
substrate using a roll-to-roll
manufacturing process and then
laser patterns the layers to
create interconnected PV cells
or PV modules, in a process
known as monolithic
integration. The Company is
producing consumer oriented
products focusing on charging
devices powered by its solar
modules. It manufactures its
products by affixing a thin
CIGS layer to a flexible,
plastic substrate using a
roll-to-roll process. Its
EnerPlex products are
available on
www.goenerplex.com and a range
of third-party e-commerce
sites, including
www.amazon.com,
www.bestbuy.com,
www.walmart.com,
www.newegg.com, www.frys.com,
www.cabelas.com and several
others. The Company was
founded in October 2005 and is
located in Thornton, Colorado.
PermaCity Solar Inc is a
manufacturer of photovaltic
systems, headquartered in Los
Angeles, California. The
company's emphasis has been in
designing and installing
systems atop large commercial
buildings, master planned
communities, vertical
high-rise structures and
individual homes.</t>
  </si>
  <si>
    <t xml:space="preserve">3674
3674</t>
  </si>
  <si>
    <t xml:space="preserve">CO
CA</t>
  </si>
  <si>
    <t xml:space="preserve">ASCENT SOLAR TECHNOLOGIES INC/PERMACITY SOLAR INC-STRATEGIC ALLIANCE</t>
  </si>
  <si>
    <t xml:space="preserve">Ascent Solar Technologies Inc and PermaCity Solar Corp formed a strategic
alliance to develop photovoltaic electric devices and equipment in the
United States. The alliance was expected to produce and develop an
integrated manufacturing technique to link the PV system computer aided
design (CAD) directly to the laser patterning control to customize the size
and shape of the product.</t>
  </si>
  <si>
    <t xml:space="preserve">043635
71414Y</t>
  </si>
  <si>
    <t xml:space="preserve">LifeCycle Pharma A/S
H Lundbeck A/S</t>
  </si>
  <si>
    <t xml:space="preserve">Mnfr pharmaceuticals
Manufactures and wholesales pharmaceutical products</t>
  </si>
  <si>
    <t xml:space="preserve">Manufacture prescription
pharmaceuticals intended for
final consumption, including
biotech products and
antibiotics such as the
cholesterol-lowering
LCP-FenoChol and
Lercanidipine which is a
calcium-channel blocker for
hypertension hypertension
H Lundbeck A/S, located in
Valby, Denmark, manufactures
and wholesales
pharmaceutical products. It
is engaged in the research,
development, manufacturing
and marketing of
pharmaceuticals for the
treatment of brain disorders
such as Alzheimer's
disease, Bipolar disorder,
depression, epilepsy,
Huntington's disease,
Parkinson's disease and
schizophrenia. Its product
portfolio includes: Cipralex
for the treatment of
depression and anxiety
disorders, Ebixa for the
treatment of Alzheimer's
disease, Azilect for the
treatment of Parkinson's
disease, Xenazine for the
treatment of Huntington's
disease and Sabril for the
treatment of epilepsy, among
others. It also operates
through a number of
subsidiaries, such as
Lundbeck SAS, Lundbeck GmbH,
SIA Lundbeck Latvia and
Lundbeck LLC. The Company
was founded on August 14,
2015.</t>
  </si>
  <si>
    <t xml:space="preserve">LifeCycle Pharma A/S
Lundbeckfonden</t>
  </si>
  <si>
    <t xml:space="preserve">LIFECYCLE PHARMA A/S/H LUNDBECK A/S-STRATEGIC ALLIANCE</t>
  </si>
  <si>
    <t xml:space="preserve">H Lundbeck A/S (HL) and LifeCycle Pharma A/S (LCP) formed a strategic
alliance wherein LCP licensed HL to utilize its MeltDose technology for
development of internal pre-clinical CNS-related projects in Denmark. LCP
was expected to receive milestone payments related to achieved results in
future developments however due to an existing agreement between HL and
LCP, LCP was expected to not receive royalties on future possible revenues
of these CNS-related projects. Concurrently, LCP also entered into a
strategic alliance with Novartis AG and Merck Generics BV.</t>
  </si>
  <si>
    <t xml:space="preserve">53248N
4F8715</t>
  </si>
  <si>
    <t xml:space="preserve">Aldagen Inc
Innovative Micro Technology</t>
  </si>
  <si>
    <t xml:space="preserve">Biopharmaceutical company
Mnfr MEMS foundry</t>
  </si>
  <si>
    <t xml:space="preserve">Aldagen Inc is a
biopharmaceutical company,
headquartered in Durham, North
Carolina, US. It is engaged in
the development of proprietary
adult stem cell products for
tissue repair and
regeneration.
Manufacture, design MEMS
foundry services addressing a
spectrum of applications on
surface and bulk MEMS devices,
electrostatic and
electromagnetic actuators
bi-stable devices and
microfluidic devices and
valving</t>
  </si>
  <si>
    <t xml:space="preserve">2836
3674</t>
  </si>
  <si>
    <t xml:space="preserve">NC
CA</t>
  </si>
  <si>
    <t xml:space="preserve">ALDAGEN INC/INNOVATIVE MICRO TECHNOLOGY INC-STRATEGIC ALLIANCE</t>
  </si>
  <si>
    <t xml:space="preserve">Aldagen Inc (AI) and Innovative Micro Technology Inc (IMT) formed a
strategic alliance to provide development and commercialization of Rare
Cell Purification System for clinical cell therapies services in the United
States. The alliance's system called ALDESORTER (TM) was expected to be
used with AI's ALDESORT product designed to isolate unique stem cell
populations for treatment of chronic heart failure, peripheral vascular
disease, leukemias, gentic enzyme deficiencies and other diseases.</t>
  </si>
  <si>
    <t xml:space="preserve">01411Q
45771R</t>
  </si>
  <si>
    <t xml:space="preserve">LifeCycle Pharma A/S
Novartis AG</t>
  </si>
  <si>
    <t xml:space="preserve">Manufacture prescription
pharmaceuticals intended for
final consumption, including
biotech products and
antibiotics such as the
cholesterol-lowering
LCP-FenoChol and
Lercanidipine which is a
calcium-channel blocker for
hypertension hypertension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</si>
  <si>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Denmark
Switzerland</t>
  </si>
  <si>
    <t xml:space="preserve">LIFECYCLE PHARMA/NOVARTIS AG-STRATEGIC ALLIANCE</t>
  </si>
  <si>
    <t xml:space="preserve">LifeCycle Pharma A/S (LCP) and Novartis AG (NV) formed a strategic alliance
to provide research, development and marketing services on an undisclosed
fenofibrate product by LCP. LCP and NV were expected to be responsible for
future development while NV was expected to be solely responsible on the
commercialization of the product in the United States. LCP was expected to
receive milestone payments and a significant double digit royalty rate of
future sales. Concurrently LCP also entered into a strategic alliance with
Merck Genericks BV and H Lundbeck A/S.</t>
  </si>
  <si>
    <t xml:space="preserve">53248N
66987V</t>
  </si>
  <si>
    <t xml:space="preserve">Arbor Vita Corp
NoNO Inc</t>
  </si>
  <si>
    <t xml:space="preserve">Biotechnology company focused
on the discovery, development,
and commercialization of novel
drugs and diagnostics
addressing disease through a
new family of targets, PDZ
proteins
Biotechnology company focused
on development and
commercialization of
therapeutic compounds for the
treatment of stroke and
related CNS disorders</t>
  </si>
  <si>
    <t xml:space="preserve">ARBOR VITA CORP/NONO INC-STRATEGIC ALLIANCE</t>
  </si>
  <si>
    <t xml:space="preserve">Arbor Vita Corp (AV) and NoNO Inc (NI) formed a strategic alliance to
provide research and development services. The alliance was expected to
develop and commercialize drugs for the treatment of stroke through
combination of AV's PDZ-based Drug Discovery Platform and NI's expertise in
the area of neurological disorders. Financial terms were not disclosed.</t>
  </si>
  <si>
    <t xml:space="preserve">03877E
63161L</t>
  </si>
  <si>
    <t xml:space="preserve">Serono International SA
Newron Pharmaceuticals SpA</t>
  </si>
  <si>
    <t xml:space="preserve">Biotech co
Biopharmaceutical co</t>
  </si>
  <si>
    <t xml:space="preserve">Biotechnology company
specializes in multiple
sclerosis, reproductive
health, dermatology, growth
deficiencies and HIV
associated diseases
Biopharmaceutical company
focused on the discovery and
development of small
molecule drugs for the
treatment of central nervous
system (CNS) diseases</t>
  </si>
  <si>
    <t xml:space="preserve">Switzerland
Italy</t>
  </si>
  <si>
    <t xml:space="preserve">SERONO INTERNATIONAL SA(WAS 04009Q)/NEWRON PHARMACEUTICALS-STRATEGIC
ALLIANCE</t>
  </si>
  <si>
    <t xml:space="preserve">Serono International SA (SI) and Newron Pharmaceuticals SpA (NP) formed a
strategic alliance to manufacture, develop and wholesale safinamide for
Parkinson's disease (PD), Alzheimer's disease and other cognitive disorders
worldwide. Under the terms of the agreement, SI was expected to be
responsible for all future development, manufacture and commercialization
costs and was expected to make an upfront payment and additional milestone
payments to NP of up to $200 million based on defined development and
commercialization achievements in all major markets. In addition, SI was
also expected to pay NP undisclosed royalties on worldwide net sales. Other
details of the financial terms of the agreement were not disclosed.</t>
  </si>
  <si>
    <t xml:space="preserve">Serono International SA was expected to make an upfront payment and
additional milestone payments to Newron Pharmaceuticals SpA of up to $200
million based on defined development and commercialization achievements in
all major markets.</t>
  </si>
  <si>
    <t xml:space="preserve">81752M
65232L</t>
  </si>
  <si>
    <t xml:space="preserve">Santarus Inc
Schering Plough Healthcare</t>
  </si>
  <si>
    <t xml:space="preserve">Biopharmaceutical company
Mnfr pharm</t>
  </si>
  <si>
    <t xml:space="preserve">Santarus Inc, San Diego,
California, is a
biopharmaceutical company that
manufactures prescription
pharmaceuticals that treat
gastrointestinal diseases and
disorders, including gastro
esophageal reflux disease
(GERD) in the United States.
It offers Zegerid family of
products, which are
proprietary immediate-release
formulations that combine
omeprazole, a proton pump
inhibitor (PPI), and one or
more antacids. The company's
products are prescribed for
the treatment of upper
gastrointestinal diseases and
disorders, including heartburn
and other symptoms associated
with GERD, erosive
esophagitis, upper
gastrointestinal bleeding, and
gastric and duodenal ulcers.
Santarus offers products in
capsule, powder for oral
suspension, and chewable
tablet dosage forms. The
company was founded in 1996.
Schering Plough Healthcare
Products Inc, located in New
Jersey, manufactures
prescription pharmaceuticals
such as Claritin, Afrin,
MiraLAX, Correctol, and
Tinactin. It also manufactures
beauty aids such as Coppertone
sunblock and Dr. Scholl's foot
care.</t>
  </si>
  <si>
    <t xml:space="preserve">Santarus Inc
Schering-Plough Corp</t>
  </si>
  <si>
    <t xml:space="preserve">SANTARUS INC/SCHERING PLOUGH HEALTHCARE PRODUCTS-STRATEGIC ALLIANCE</t>
  </si>
  <si>
    <t xml:space="preserve">Santarus Inc (SI) and Schering Plough Healthcare Products Inc (SP), a unit
of Schering-Plough Corp, formed a strategic alliance wherein SI licensed SP
to develop, manufacture and sell SI's ZEGERID(R) brand products for the
over-the-counter (OTC) market in the United States. SI received $15 mil US
in license fee and was expected to receive up to an additional $65 mil US
in milestone payments upon the achievement of certain regulatory and sales
milestones. The alliance had been subjected to the Hart-Scott-Rodino
Antitrust Improvements Act. On July 2007, a $5 million milestone relating
to progress on clinical product development strategy has been achieved
while a further $2.5 mil US regulatory milestone was reached in May 2008.
Moreover, on March 2008, SP submitted a New Drug Application to the U.S.
Food and Drug Administration for a ZEGERID branded omeprazole/sodium
bicarbonate product in a 20 mg dosage strength of omeprazole which it was
seeking approval to sell the product in the U.S. over-the-counter heartburn
market.</t>
  </si>
  <si>
    <t xml:space="preserve">Licensing Services
Research &amp; Development Services
Manufacturing Services
Retail &amp; Wholesale Services</t>
  </si>
  <si>
    <t xml:space="preserve">Santarus Inc received $15 mil US in license fee and was expected to receive
up to an additional $65 mil US in milestone payments upon the achievement
of certain regulatory and sales milestones.</t>
  </si>
  <si>
    <t xml:space="preserve">802817
80660P</t>
  </si>
  <si>
    <t xml:space="preserve">Bayer AG
Regeneron Pharmaceuticals Inc</t>
  </si>
  <si>
    <t xml:space="preserve">Manufacture and Wholesale Chemicals &amp; Pharmaceuticals
Mnfr,dvlp biopharm</t>
  </si>
  <si>
    <t xml:space="preserve">Bayer AG, located in
Leverkusen, Germany,
manufactures organic
chemicals. The Company was
founded in August 1863.
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t>
  </si>
  <si>
    <t xml:space="preserve">BAYER AG/REGENERON PHARMACEUTICALS INC-STRATEGIC ALLIANCE</t>
  </si>
  <si>
    <t xml:space="preserve">Bayer AG (BY) and Regeneron Pharmaceuticals Inc (RP) formed a strategic
alliance to provide research and development services for the treatment of
eye disease globally. The alliance was expected to develop and
commercialize VEGF Trap-Eye, a protein that traps to or traps vascular
endothelial growth factor (VEGF) outside US. Under terms of the agreement,
BY and RP were expected to develop VEGF Trap-Eye through an integrated plan
that encompasses the neovascular form of age-related macular degeneration,
diabetic eye diseases, and other eye diseases and disorders. BY was
expected to make an upfront payment of $75 mil US (60 euros) to RP and an
initial development cost of $250 mil US (199 mil euros).</t>
  </si>
  <si>
    <t xml:space="preserve">Bayer AG was expected to make an upfront payment of $75 mil US (60 mil
auros) to Regeneron Pharmaceuticals Inc and an initial development cost of
$250 mil US (199 mil euros)</t>
  </si>
  <si>
    <t xml:space="preserve">072730
75886F</t>
  </si>
  <si>
    <t xml:space="preserve">Sanko Junyaku Co Ltd
Eisai Co Ltd
Miraca Holdings Inc</t>
  </si>
  <si>
    <t xml:space="preserve">Mnfr diagnostic pharmaceutical
Mnfr,whl pharmaceuticals
Mnfr,whl diagnostic chem</t>
  </si>
  <si>
    <t xml:space="preserve">Sanko Junyaku Co Ltd's main
activity is to manufacture
diagnostic pharmaceuticals
including in-vitro and invivo
substances, intended for final
consumption. The company is
headquartered in Tokyo and was
founded in 1954.
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December 06,
1941.
Miraca Holdings Inc, located
in Shinjuku-Ku Tokyo, Japan,
operates in three business
segments. The Clinical
Diagnostic segment is
engaged in the manufacture
and sale of clinical
diagnostics. The Entrusted
Clinical Examination segment
is involved in the special
clinical examination, the
general clinical
examination, as well as the
maintenance, management and
development of clinical
testing systems. The
Healthcare segment is
engaged in the provision of
sterilization services and
clinical trial services. In
addition, the company
involves in the operation of
medical offices, as well as
the provision of rental of
nursing care products. On
November 24, 2011, the
company announced the
completion of the
acquisition of Caris
Diagnostics, Inc. and the
related subsidiaries. The
company was founded in 1950.</t>
  </si>
  <si>
    <t xml:space="preserve">2835
2834
2834</t>
  </si>
  <si>
    <t xml:space="preserve">Japan
Japan
Japan</t>
  </si>
  <si>
    <t xml:space="preserve">Eisai Co Ltd
Eisai Co Ltd
Miraca Holdings Inc</t>
  </si>
  <si>
    <t xml:space="preserve">2834
2834
2834</t>
  </si>
  <si>
    <t xml:space="preserve">SANKO JUNYAKU CO/EISAI CO LTD /FUJIREBIO INC(NOW 60460M)-STRATEGIC
ALLIANCE</t>
  </si>
  <si>
    <t xml:space="preserve">Sanko Junyaku Co Ltd, a unit of Eisai Co Ltd (EC), EC and Miraca Holdings
Inc formed a strategic alliance to provide research and development
services of EITEST KL-6 (sandwich enzyme immunoassay method) and PICOLUMI
KL-6  (electrochemiluminescence immunoassay) in Japan. The alliance was
expected to produce a serum marker which was distinctive for the diagnosis
of the interstitial pneumonia disease.</t>
  </si>
  <si>
    <t xml:space="preserve">80103X
282579
60460M</t>
  </si>
  <si>
    <t xml:space="preserve">Lahey Clinic Foundation Inc
US Genomics Inc</t>
  </si>
  <si>
    <t xml:space="preserve">Own,operate care center
Mnfr molecule biology analyzer</t>
  </si>
  <si>
    <t xml:space="preserve">Lahey Clinic Foundation Inc,
located in Burlington,
Massachusetts, owns and
operates ambulatory care
center with 317-bed hospital.
The company was founded in
1923.
US Genomics Inc, headquartered
Woburn, Massachusetts,
manufactures and develops
Trilogy analyzer and
associated reagents to enable
single molecule biology for
the life sciences industry.
The company was founded in
1997.</t>
  </si>
  <si>
    <t xml:space="preserve">8011
3826</t>
  </si>
  <si>
    <t xml:space="preserve">LAHEY CLINIC/GENOMICS INC-STRATEGIC ALLIANCE</t>
  </si>
  <si>
    <t xml:space="preserve">Lahey Clinic Foundation Inc (LC) and US Genomics Inc (UG) formed a
strategic alliance to provide research and development services in the
United States. The alliance was expected to study the role microRNAs play
in the development of urologic cancers and develop more accurate prognoses
for bladder and prostate cancer patients. The alliance combined UG's
patented Trilogy(R) 2020 platform and Direct (TM) miRNA assay with LC's
expertise in the analysis of tumor progression and experience in disease
management.</t>
  </si>
  <si>
    <t xml:space="preserve">50727E
91202W</t>
  </si>
  <si>
    <t xml:space="preserve">BluGlass Ltd
Cie de Saint-Gobain SA</t>
  </si>
  <si>
    <t xml:space="preserve">Manufacture semiconductors
Glass Product Manufacturing Made Of Purchased Glass</t>
  </si>
  <si>
    <t xml:space="preserve">BluGlass Ltd, based in
Silverwater, Australia,
manufactures semiconductors;
develops and commercializes
technology for producing the
semiconductor material
gallium nitride. Its
products include Remote
Plasma Chemical Vapour
Deposition. The Company was
founded in 2005.
Cie de Saint-Gobain SA,
located in Courbevoie,
France, manufactures and
wholesales glass and
abrasive products. Its
products include ceramics,
plastics, cast iron and
related products for the
automotive, aerospace, power
generation, ceramics,
electronics, bearings,
cutting machine tools, stone
and construction industries
and operates into five
business sectors such as
Flat Glass, Packaging,
Construction Projects,
Building Materials
Distribution and High
Performance Materials. The
Company was founded in 1665.</t>
  </si>
  <si>
    <t xml:space="preserve">3674
3231</t>
  </si>
  <si>
    <t xml:space="preserve">Australia
France</t>
  </si>
  <si>
    <t xml:space="preserve">BLUGLASS LTD/CIE DE SAINT-GOBAIN SA-STRATEGIC ALLIANCE</t>
  </si>
  <si>
    <t xml:space="preserve">BluGlass Ltd (BG) and Cie de Saint-Gobain SA (SG) formed a strategic
alliance to provide engineered substrates development services for gallium
nitride (GaN) layers and devices. Under terms of the agreement, substrate
development was expected to be in SG's facility in Paris while GaN
deposition at BG's production plant in Syney.</t>
  </si>
  <si>
    <t xml:space="preserve">09532W
789585</t>
  </si>
  <si>
    <t xml:space="preserve">PowerFilm Inc
Corus Group PLC</t>
  </si>
  <si>
    <t xml:space="preserve">Manufacture solar modules
Mnfr steel,aluminum prod</t>
  </si>
  <si>
    <t xml:space="preserve">PowerFilm Inc, based in Ames,
Iowa, manufactures thin,
flexible solar modules. The
company was founded in 1998.
Manufacture steel and aluminum
products such as stainless,
coated strip, uncoated strip,
sections, plates, engineering,
tubular, wire rod and
semi-finished steel products</t>
  </si>
  <si>
    <t xml:space="preserve">3674
3312</t>
  </si>
  <si>
    <t xml:space="preserve">POWERFILM/CORUS GROUP PLC-STRATEGIC ALLIANCE</t>
  </si>
  <si>
    <t xml:space="preserve">PowerFilm Inc and Corus Group PLC signed letter of intent to form a
strategic alliance to develop, manufacture, wholesale and distribute solar
panel roofing products globally. Under terms of the agreement, the partners
were to combine their respective resources to leverage and to further
expand their market and product coverage in the building industry.</t>
  </si>
  <si>
    <t xml:space="preserve">73914P
22087M</t>
  </si>
  <si>
    <t xml:space="preserve">Pioneer Hi-Bred International
CIMMYT</t>
  </si>
  <si>
    <t xml:space="preserve">Pvd crop research services
Non profit org</t>
  </si>
  <si>
    <t xml:space="preserve">Pioneer Hi-Bred International
Inc, located in Johnston,
Iowa, provides crop research
services. It provides genetic
research services for hybrid
corn, sorghum, sunflowers,
soybeans, alfalfa and wheat.
It also manufactures
agricultural pesticides and
produces and wholesales hybrid
seed corn, sorghum, sunflower,
soybean, alfalfa, canola and
wheat, as well as forage and
grain additives. The Company
was founded in 1926.
Non profit organization
focused on research and
development services on
improving livelihoods in
developing countries</t>
  </si>
  <si>
    <t xml:space="preserve">8731
8641</t>
  </si>
  <si>
    <t xml:space="preserve">United States
Mexico</t>
  </si>
  <si>
    <t xml:space="preserve">DuPont
CIMMYT</t>
  </si>
  <si>
    <t xml:space="preserve">2821
8641</t>
  </si>
  <si>
    <t xml:space="preserve">PIONEER HI-BRED INTL INC/CENTRO INTL DE MEJORAMIENTO DE-STRATEGIC ALLIANCE</t>
  </si>
  <si>
    <t xml:space="preserve">South Africa</t>
  </si>
  <si>
    <t xml:space="preserve">Pioneer Hi-Bred International Inc (HB), a unit of Ei Du Pont de Nemourse &amp;
Co, and Centro Internacional de Mejoramiento de Maiz y Trigo (CMI) formed a
3-year startegic alliance to provide research and development services in
Africa. The alliance was expected to develop novel traits to improve
production agriculture and address food chalenges in developing countreis
globally. The alliance was to cost $1.3 mil US (9.9 mil African rand/ 14.1
mil Mexican peso) for the reseach, product development and technical
support collaboration.</t>
  </si>
  <si>
    <t xml:space="preserve">The alliance was to cost $1.3 mil US (9.9 mil African rand/ 14.1 mil
Mexican peso) for the reseach, product development and technical support
collaboration.</t>
  </si>
  <si>
    <t xml:space="preserve">723686
15620R</t>
  </si>
  <si>
    <t xml:space="preserve">Accium BioSciences Inc
CMIC Co Ltd</t>
  </si>
  <si>
    <t xml:space="preserve">Biotechnology company
Pvd clinical tests services</t>
  </si>
  <si>
    <t xml:space="preserve">Biotechnology company
CMIC Co Ltd, based in Tokyo,
provides contracted clinical
tests services of drugs. In
this way it supports
pharmaceutical companies in
the development of new
drugs. The operations are
carried out through the
following divisions: CRO
business, CMO business and
CSO and others. The company
was founded in 1985.</t>
  </si>
  <si>
    <t xml:space="preserve">2836
8071</t>
  </si>
  <si>
    <t xml:space="preserve">ACCIUM BIOSCIENCES INC/CMIC CO LTD-STRATEGIC ALLIANCE</t>
  </si>
  <si>
    <t xml:space="preserve">Accium BioSciences Inc and CMIC Co Ltd formed a strategic alliance to
provide Exploratory-IND (microdosing) and low-radiation PK/ADMEclinical
trial services in Japan. The alliance was a strategical opportunity for the
partners to to reduce the time and cost of drug development.</t>
  </si>
  <si>
    <t xml:space="preserve">98813L
12576N</t>
  </si>
  <si>
    <t xml:space="preserve">Correlogic Systems Inc
Mitsui &amp; Co Ltd</t>
  </si>
  <si>
    <t xml:space="preserve">Correlogic Systems Inc,
located in Germantown,
Maryland, is a biotechnology
company focused on clinical
proteomics and early detection
of various cancers and other
diseases through the use of
high throughput bioassays and
pattern discovery software. It
is also a clinical laboratory
that performs high complexity
testing.
Mitsui &amp; Co Ltd, based in
Tokyo, Japan, is a domestic
and international wholesale
trading company. Its principal
activities are to distribute
various commodities, finance
for customers and organize and
coordinate industrial
projects. The operations are
carried out through the
following divisions: Iron &amp;
Steel Products include iron
and steel products. Iron &amp;
Steel Raw Materials and
Non-Ferrous Metals include
iron and non-ferrous metals.
Machinery &amp; Infrastructure
Projects is engaged in
machinery products, leasing,
financing. Chemical
manufactures division, sells
and trades chemical products.
Energy includes oil, gas and
related products. Foods &amp;
Retail manufactures division,
sells and trades foods.
Lifestyle, Consumer Service
and Information, Electronics &amp;
Telecommunication includes
textiles and IT products for
consumers. Logistics &amp;
Financial Markets engages in
logistics services, insurance
and financial businesses. The
Company conducts trades in
Americas, Europe, Asia and
Africa in various commodities
and related business, led by
overseas trading subsidiaries.
The company was founded in
1947.</t>
  </si>
  <si>
    <t xml:space="preserve">2836
5094</t>
  </si>
  <si>
    <t xml:space="preserve">CORRELOGIC SYSTEMS INC/MITSUI &amp; CO LTD-STRATEGIC ALLIANCE</t>
  </si>
  <si>
    <t xml:space="preserve">Correlogic Systems Inc (CS) and Mitsui &amp; Co Ltd (MC) formed a strategic
alliance to provide research and development services in Japan. The
alliance was expected to develop a range pattern recognition blood tests
for the detection of ovarian cancer and other cancers prevailing in Japan.</t>
  </si>
  <si>
    <t xml:space="preserve">22030N
606827</t>
  </si>
  <si>
    <t xml:space="preserve">GenOdyssee SA
Baxter AG</t>
  </si>
  <si>
    <t xml:space="preserve">Biotechnology company
Mnfr pharmaceuticals</t>
  </si>
  <si>
    <t xml:space="preserve">Biotechnology company that is
involved in the discovery of
natural variants of proteins
with higher efficacy and
safety than marketed versions
of the same therapeutic
proteins
Manufacture prescription
pharmaceuticals intended for
final consumption, including
biotech products and
antibiotics</t>
  </si>
  <si>
    <t xml:space="preserve">France
Switzerland</t>
  </si>
  <si>
    <t xml:space="preserve">GenOdyssee SA
Baxter International Inc</t>
  </si>
  <si>
    <t xml:space="preserve">GENODYSSEE SA/BAXTER AG-STRATEGIC ALLIANCE</t>
  </si>
  <si>
    <t xml:space="preserve">GenOdyssee SA (GS) and Baxter AG (BA) formed a strategic alliance to
provide novel therapeutic proteins research and development services. GS
was expected to use its unique  intellectual property position in the field
of protein therapeutics, as well as its  proprietary technology and
integrated processes, in the discovery of novel blood  clotting factors.
Under the agreement, any resulting commercially viable products will  be
developed and brought to market by BA. Financial terms and conditions of
the agreement were not disclosed.</t>
  </si>
  <si>
    <t xml:space="preserve">37265K
07174L</t>
  </si>
  <si>
    <t xml:space="preserve">ViroPharma Inc
Wyeth Pharmaceuticals Inc</t>
  </si>
  <si>
    <t xml:space="preserve">Mnfr,whl biopharmaceuticals
Mnfr pharm prod</t>
  </si>
  <si>
    <t xml:space="preserve">ViroPharma Inc, located in
Exton, Pennsylvania,
manufactures, develops and
wholesales proprietary
antiviral biopharmaceuticals
for treatment of viral
diseases including summer flu,
common cold, influenza,
hepatitis C and viral
pneumonia for physician
specialists in
hospital/transplant medicine,
and gastroenterology. Its
products are marketed through
the brands CINRYZE, for
treatment of genetic
inflammatory disorder, Auralis
and VANCOCIN. The company was
founded in 1994.
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t>
  </si>
  <si>
    <t xml:space="preserve">PA
PA</t>
  </si>
  <si>
    <t xml:space="preserve">ViroPharma Inc
Wyeth</t>
  </si>
  <si>
    <t xml:space="preserve">VIROPHARMA INC/WYETH PHARMACEUTICALS INC-STRATEGIC ALLIANCE</t>
  </si>
  <si>
    <t xml:space="preserve">ViroPharma Inc (VP) and Wyeth Pharmaceuticals Inc (WP), a unit of Wyeth,
planned to form a strategic alliance to provide research and development
services in the United States. The alliance was to commence in Phase 2
study of HCV-796, a unique orally dosed hepatitis C viral polymerase
inhibitor that interferes with the replication of hepatitis C virus. The
alliance was to assess the safety, tolerability,  pharmacokinetic profile,
and antiviral activity of HCV-796, when used in  combination with pegylated
interferon alfa-2b plus ribavirin compared to  the current standard of care
in treatment-naive subjects with HCV genotype  1 infection and in patients
with HCV genotype 1 infection who were  non-responders to prior HCV
therapy.</t>
  </si>
  <si>
    <t xml:space="preserve">928241
98292L</t>
  </si>
  <si>
    <t xml:space="preserve">Cargill Inc
Microgy Cogeneration Sys Inc</t>
  </si>
  <si>
    <t xml:space="preserve">Soybean Processing
Own,op energy facilities</t>
  </si>
  <si>
    <t xml:space="preserve">Cargill Inc is a producer
and wholesaler of grain and
field beans. It also
operates meat packing plants
and steel foundries. It
produces and wholesales
bread, flour and other food
products. It also
manufactures and wholesales
pharmaceuticals and
chemicals. It offers its
services to food, energy and
financial customers. It is
divided in agriculture,
financial, food and
industrial services
segments. The Company serves
also as a holding. It was
founded in 1865 and is
located in Minneapolis,
Minnesota.
Microgy Cogeneration Systems
Inc is an owner and operator
of energy production
facilities, headquartered in
Golden, Colorado. The company
develops biogas facilities
which produce clean, renewable
gas from agriculture and food
industry wastes.</t>
  </si>
  <si>
    <t xml:space="preserve">2075
499A</t>
  </si>
  <si>
    <t xml:space="preserve">MN
CO</t>
  </si>
  <si>
    <t xml:space="preserve">Cargill Inc
Environmental Power Corp</t>
  </si>
  <si>
    <t xml:space="preserve">2075
1311</t>
  </si>
  <si>
    <t xml:space="preserve">CARGILL INC/MICROGY INC-STRATEGIC ALLIANCE</t>
  </si>
  <si>
    <t xml:space="preserve">Cargill Inc (CI) and Microgy Cogeneration Systems Inc (MC), a unit of
Environmental Power Corp, formed a strategic alliance to provide research
and development services in the United States. Under terms of the
agreement, CI and MC collaborated to identify renewable energy and
greenhouse gas offset opportunities for farmers and others in the food
supply chain to turn their waste productys into biobased energy and carbon
offset credits and share in the resulting revenue streams.</t>
  </si>
  <si>
    <t xml:space="preserve">141781
59481M</t>
  </si>
  <si>
    <t xml:space="preserve">Credence Systems Corp
Fibics Inc</t>
  </si>
  <si>
    <t xml:space="preserve">Mnfr automatic test equip
Mnfr semiconductors</t>
  </si>
  <si>
    <t xml:space="preserve">Credence Systems Corp, located
in Milpitas, California,
manufactures automatic test
equipment (ATE) used for
testing semiconductor
integrated circuits (ICs) and
develop related software
products. Its products are
used primarily by
manufacturers of
semiconductors used worldwide
in computing, consumer and
automotive industries. The
company was founded in 1978.
Manufacture focused ion beam,
secondary ion mass
spectrometry and transmission
electron microscopy
semiconductors</t>
  </si>
  <si>
    <t xml:space="preserve">3825
3674</t>
  </si>
  <si>
    <t xml:space="preserve">CREDENCE SYSTEMS CORP/FIBICS INC-STRATEGIC ALLIANCE</t>
  </si>
  <si>
    <t xml:space="preserve">California
Foreign</t>
  </si>
  <si>
    <t xml:space="preserve">Credence Systems Corp (CS) and Fibics Inc (FI) formed a strategic alliance
to manufacture and develop circuit editing solutions for advanced
integrated circuit processes in the United States and Canada. CS and FI
collaborated to develop new processes and enhancements to meet the CE
reuqirements of the 45 nm and 32 nm design nodes.</t>
  </si>
  <si>
    <t xml:space="preserve">225302
31589M</t>
  </si>
  <si>
    <t xml:space="preserve">Ethnic Print Media Group
Geoscape International Inc</t>
  </si>
  <si>
    <t xml:space="preserve">Pvd advg svcs
Pvd mkt intelligence svcs</t>
  </si>
  <si>
    <t xml:space="preserve">Provide advertising services
via newspapers focused on
Hispanic advertising and
African-American marketing
Geoscape International Inc,
located in Miami, Florida,
provides market intelligence
with demographic data
services via information
products, software and
consulting services in order
to help clients recognize
opportunities for
multinational and
multi-cultural business
growth; develop web-based
market intelligence
software. The Company was
founded in 1995.</t>
  </si>
  <si>
    <t xml:space="preserve">8742
8732</t>
  </si>
  <si>
    <t xml:space="preserve">Ethnic Print Media Group
Latin Force LLC</t>
  </si>
  <si>
    <t xml:space="preserve">8742
8742</t>
  </si>
  <si>
    <t xml:space="preserve">ETHNIC PRINT MEDIA GROUP/GEOSCAPE INTERNATIONAL-STRATEGIC ALLIANCE</t>
  </si>
  <si>
    <t xml:space="preserve">Ethnic Print Media Group (EP) and Geoscape International Inc (GI) formed a
strategic alliance to provide market intelligence research and consultancy
services in the United States. Under terms of the agreement, EP and GI were
expected to offer clients a thorough understanding of the multicultural
marketplace by delivering the most accurate, relevant and timely
multicultural market data and research.</t>
  </si>
  <si>
    <t xml:space="preserve">29784W
37389L</t>
  </si>
  <si>
    <t xml:space="preserve">dunnhumby Ltd
Casino Guichard-Perrachon SA</t>
  </si>
  <si>
    <t xml:space="preserve">Pvd marketing consulting svcs
Own,op dept stores,supermarket</t>
  </si>
  <si>
    <t xml:space="preserve">dunnhumby Ltd, located in
London, UK, provides
marketing consulting
services offered to retail,
manufacturing, consumer
markets, and retail media
industries. The company was
founded in 1989.
Casino Guichard-Perrachon
SA, located in
Saint-Etienne, France, owner
and operatot of department
stores, supermarkets,
grocery and convenience
stores, restaurants and
other eating places. It
operates through the brands
named: Geant Casino and
Leader Price Bio, among
others in various countries,
including Brazil, Uruguay,
Argentina, Colombia,
Thailand, Madagascar,
Vietnam and Mauritius. The
Company was founded in 1892.</t>
  </si>
  <si>
    <t xml:space="preserve">8742
5311</t>
  </si>
  <si>
    <t xml:space="preserve">United Kingdom
France</t>
  </si>
  <si>
    <t xml:space="preserve">Tesco PLC
Casino Guichard-Perrachon SA</t>
  </si>
  <si>
    <t xml:space="preserve">5411
5311</t>
  </si>
  <si>
    <t xml:space="preserve">DUNNHUMBY LTD/CASINO GUICHARD-PERRACHON SA-DUNNHUMBYFRANCE JOINT VENTURE</t>
  </si>
  <si>
    <t xml:space="preserve">Provide marketing research and
consultancy services including
information about customer
strategy, customer
segmentation, pricing,
promotion and product ranges</t>
  </si>
  <si>
    <t xml:space="preserve">dunnhumby Ltd, a unit of Tesco PLC, and Casino Guichard-Perrachon SA formed
a joint venture named dunnhumbyFrance to provide marketing research and
consultancy services including information about customer strategy,
customer segmentation, pricing, promotion and product ranges in France.</t>
  </si>
  <si>
    <t xml:space="preserve">Research &amp; Development Services
Consulting Services
Marketing Services</t>
  </si>
  <si>
    <t xml:space="preserve">26584T</t>
  </si>
  <si>
    <t xml:space="preserve">26584N
147582</t>
  </si>
  <si>
    <t xml:space="preserve">Cellnet Technology Inc
Corporate Systems Engineering</t>
  </si>
  <si>
    <t xml:space="preserve">Pvd wireless fixed data svcs
Dvlp energy mgmt software</t>
  </si>
  <si>
    <t xml:space="preserve">Provide scalable wireless
fixed data communication
network services for automated
solutions, such as Advanced
Metering Infrastructure,
Automated Meter Reading,
Distribution Automation, and
Supervisory Control and Data
Acquisition to electric, water
and natural gas utilities
Develop energy managent
software that integrate
billing, SCADA, GIS,
installation, outage
management, Demand Response
and Distribution Automation
systems; provide power
distribution path systems
integration services;
manufacture load control
switches and remote
transmitting units</t>
  </si>
  <si>
    <t xml:space="preserve">4899
7372</t>
  </si>
  <si>
    <t xml:space="preserve">GA
IN</t>
  </si>
  <si>
    <t xml:space="preserve">CELL NET(DNU)/CORPORATE SYSTEMS ENGINEERING-STRATEGIC ALLIANCE</t>
  </si>
  <si>
    <t xml:space="preserve">Cellnet Technologies Inc (CT) and Corporate Systems Engineering (CS),
formed a strategic alliance to provide energy control devices development
and marketing services in the United States. The alliance was expected to
utilize CT's two-way UtilitiNet mesh technology communications system
wherein CT and CS demonstrated a two-way load control switch for demand
response programs in the AMRA Show. CT and CS' partnership encompassed
product development and marketing efforts to take advantage of their
synergies to provide improved product solutions for energy companies. In
addition, the alliance provided customers with two-way open standards
communications that enable smart home functionality.</t>
  </si>
  <si>
    <t xml:space="preserve">15098M
22018M</t>
  </si>
  <si>
    <t xml:space="preserve">Qualia Clinical Research Svcs
Tandem Labs</t>
  </si>
  <si>
    <t xml:space="preserve">Pvd clinical research svcs
Pvd bioanalytical svcs</t>
  </si>
  <si>
    <t xml:space="preserve">Qualia Clinical Research
Services Inc is a provider of
clinical research services,
headquartered in Omaha,
Nebraska. The company offers
early and late phase
development, including
clinical conduct, patient
recruitment, scientific
consultation, protocol and CRF
design, and data management.
Tandem Labs, located in Salt
lake City, Utah, provides
bioanalytical Contract
Research Organization (CRO)
services specializing in
advanced mass spectrometry,
immunoanalytical support,
pharmacokinetics and
pharmacodynamics for the
pharmaceutical and
biotechnology industries in
the US and internationally.
The company was founded in
1981.</t>
  </si>
  <si>
    <t xml:space="preserve">8733
8731</t>
  </si>
  <si>
    <t xml:space="preserve">NE
UT</t>
  </si>
  <si>
    <t xml:space="preserve">Holmes Biopharma Inc
NWT Inc</t>
  </si>
  <si>
    <t xml:space="preserve">QUALIA CLINICAL RESEARCH SERVICES INC/TANDEM LABS-STRATEGIC ALLIANCE</t>
  </si>
  <si>
    <t xml:space="preserve">Qualia Clinical Research Services Inc (QC), a unit of Holmes Herbs Inc, and
Tandem Labs (TL), a unit of NWT Inc, formed a strategic alliance to provide
research and development services in the United States. The alliance was
expected to create a compelling value proposition for the pharmaceutical,
biotechnology and generic industries through access to streamlined drug
development services. The alliance was expected to allow clients achieve
synchronized scheduling by minimizing downtime between clinical completion
and sample transfer for bioanalysis, effectively utilize the companies as
one resource, from signing one agreement, to the receipt of an integrated
and customized report and maintain a single point of contact providing
consistent oversight throughout all aspects of the project.</t>
  </si>
  <si>
    <t xml:space="preserve">74863R
87057X</t>
  </si>
  <si>
    <t xml:space="preserve">Idenix Pharmaceuticals Inc
Metabasis Therapeutics Inc</t>
  </si>
  <si>
    <t xml:space="preserve">Biopharmaceutical company
Biopharm co</t>
  </si>
  <si>
    <t xml:space="preserve">Idenix Pharmaceuticals Inc,
located in Cambridge,
Massachusetts, is a
biopharmaceutical company
engaged in the discovery and
development of drugs for
treatment of human viral
diseases. It focuses on the
treatment of hepatitis C virus
(HCV) infections. It also
operated in Montpellier,
France. The company was
founded in 1998.
Metabasis Therapeutics Inc,
located in La Jolla,
Caslifornia, is a
biopharmaceutical company
focused on the discovery,
development and
commercialization of novel
small molecule drugs
principally to treat metabolic
and liver diseases. Its
product pipeline includes
clinical-stage product
candidates and advanced
discovery programs for the
treatment of metabolic
diseases, such as diabetes and
hyperlipidemia. The Company
was founded in 1997.</t>
  </si>
  <si>
    <t xml:space="preserve">MA
CA</t>
  </si>
  <si>
    <t xml:space="preserve">IDENIX PHARMACEUTICALS INC(WAS 67037R)/METABASIS THERAPEUTICS INC-STRATEGIC
ALLIANCE</t>
  </si>
  <si>
    <t xml:space="preserve">Idenix Pharmaceuticals Inc (IP) and Metabasis Therapeutics Inc (MT) planned
to form a 2-year strategic alliance to provide research and development
services in the United States. Under terms of the agreement, MT's
HepDirect(TM) liver-targeted technology was to be applied to proprietary IP
compounds to develop second-generation nucleoside analog drug candidates
for the treatment of hetatitis C. In addition, IP was to provide $2 mil in
upfront payment to MT. For any resultant marketed products, IP was to
retain full commercial rights and pay MT a royalty on net sales.</t>
  </si>
  <si>
    <t xml:space="preserve">Idenix Pharmaceuticals Inc was to pay Metabasis Therapeutics Inc $2 mil US
as upfront payment</t>
  </si>
  <si>
    <t xml:space="preserve">45166R
59101M</t>
  </si>
  <si>
    <t xml:space="preserve">CryoLife Inc
Bio Sight Capital Co Ltd</t>
  </si>
  <si>
    <t xml:space="preserve">Mnfr,wholesale medical devices
Venture capital firm</t>
  </si>
  <si>
    <t xml:space="preserve">CryoLife Inc, located in
Georgia, manufactures and
wholesales biomaterials,
implantable medical devices,
and preserve and distribute
human tissues for
cardiovascular and vascular
transplant applications. The
company operates in two
segments: Implantable Medical
Devices and Human Tissue
Preservation Services. The
Implantable medical devices
segment includes the sales of
BioGlue and bioprosthetic
devices, including stentless
porcine heart valves and
SynerGraft processed bovine
vascular grafts. The Human
Tissue Preservation Services
segment includes the
preservation of cardiac,
vascular, and orthopaedic
allograft tissues. The Group's
products are distributed in
Latin America, Europe, the
Middle East, Canada, South
America, Australia and Asia.
The company was founded in
1984.
Bio Sight Capital Co Ltd,
headquartered in Osaka, Japan,
is a venture capital firm. The
company is headquartered in
Osaka. Founded in 2002, the
company's main business is
investing capital to
bio-medial companies.</t>
  </si>
  <si>
    <t xml:space="preserve">3841
6799</t>
  </si>
  <si>
    <t xml:space="preserve">GA
FF</t>
  </si>
  <si>
    <t xml:space="preserve">CRYOLIFE INC/BIOFORM MEDICAL INC-STRATEGIC ALLIANCE</t>
  </si>
  <si>
    <t xml:space="preserve">CryoLife Inc (CL) and BioForm Medical Inc (BF) formed a strategic alliance
wherein CL licensed BF to develop and commercialize CL's BioGlue (R)
Surgical Adhesive for use in cosmetic and plastic surgery indications. BF
was expected to fund the clinical development and regulatory approval
process for commercializing BioGlue in the United States, Canada and
various countries in Europe. Under terms of the agreement, BF was expected
to pay CL milestone payment upon the first FDA approval.</t>
  </si>
  <si>
    <t xml:space="preserve">228903
09146P</t>
  </si>
  <si>
    <t xml:space="preserve">BOC Edwards
Aviza Technology Inc</t>
  </si>
  <si>
    <t xml:space="preserve">Mnfr chem blending equip
Mnfr,whl semiconductors</t>
  </si>
  <si>
    <t xml:space="preserve">Manufacture chemical blending
equipment for the production
of semiconductors; products
include gas and chemical
distribution equipment, vacuum
pumps, exhaust gas management
systems, chemical dispense
systems, temperature control
units and software
Aviza Technology Inc,
headquartered in the United
States, manufactures and
wholesales semiconductors
processing equipment and
supplier of advanced wafer
processing equipment.</t>
  </si>
  <si>
    <t xml:space="preserve">Linde AG
Aviza Technology Inc</t>
  </si>
  <si>
    <t xml:space="preserve">2813
3674</t>
  </si>
  <si>
    <t xml:space="preserve">BOC EDWARDS INC/AVIZA TECHNOLOGY INC-STRATEGIC ALLIANCE</t>
  </si>
  <si>
    <t xml:space="preserve">BOC Edwards Inc and Aviza Technology Inc formed a strategic alliance to
develop Atomic Layer Deposition (ALD) technology for advanced semiconductor
manufacturing globally. The alliance was expected to reduce cost and
improve the efficiency of processes by increasing precursor utilization,
with stable and consistent  delivery without decomposition or condensation,
and increasing growth rates for higher output.</t>
  </si>
  <si>
    <t xml:space="preserve">05703A
05381A</t>
  </si>
  <si>
    <t xml:space="preserve">Dyax Corp
ZymoGenetics Inc</t>
  </si>
  <si>
    <t xml:space="preserve">Dyax Corp, based in
Burlington, Massachusetts, is
a biotechnology company
focused to identify, develop
and provides commercialized
treatments for angioedemas
that are identified as PKM
angioedemas, including HAE.
The company was founded in
1995.
ZymoGenetics Inc,
headquartered in Seattle,
Washington, is a biotechnology
company and a pharmaceutical
manufacturing firm committed
to developing protein drugs
for the treatment of human
diseases. The company was
founded in 1981.</t>
  </si>
  <si>
    <t xml:space="preserve">Dyax Corp
Novo Nordisk Foundation</t>
  </si>
  <si>
    <t xml:space="preserve">2836
6732</t>
  </si>
  <si>
    <t xml:space="preserve">DYAX CORP/ZYMOGENETICS INC-STRATEGIC ALLIANCE</t>
  </si>
  <si>
    <t xml:space="preserve">Dyax Corp (DC) and ZymoGenetics Inc (ZG), a unit of Novo Nordisk A/S,
formed a strategic alliance wherein DC licensed ZG to utilize its
proprietary antibody phage display libraries for the discovery of
therapeutic antibodies in the United States. DC was expected to receive
upfront and annual technology license fees, clinical milestone payments,
and royalties on net sales of products. In addition, the alliance provided
ZG a license to DC's sublicenses to relevant third party antibody phage
display patents that may be used with DC's antibody phage display
technology. Financial terms were not disclosed.</t>
  </si>
  <si>
    <t xml:space="preserve">26746E
98985T</t>
  </si>
  <si>
    <t xml:space="preserve">Avecia Ltd
Illumigen Biosciences Inc</t>
  </si>
  <si>
    <t xml:space="preserve">Biotechnology company
Biotech co</t>
  </si>
  <si>
    <t xml:space="preserve">Biotechnology company
Illumigen Biosciences Inc,
headquartered in Seattle,
Washington, a
biopharmaceutical company that
develops drugs to treat
hepatitis C infection,
obesity, respiratory syncytial
virus, and other diseases.</t>
  </si>
  <si>
    <t xml:space="preserve">Nicholas Piramal India Ltd
Illumigen Biosciences Inc</t>
  </si>
  <si>
    <t xml:space="preserve">AVECIA INC/ILLUMIGEN BIOSCIENCES INC-STRATEGIC ALLIANCE</t>
  </si>
  <si>
    <t xml:space="preserve">Avecia Ltd, a unit of Nicholas Piramal India Ltd, and Illumigen Biosciences
Inc (IB) formed a strategic alliance to provide research and development
services. The alliance was expected to work on the process development and
manufacture IB's lead development product IB657 for the treatment of
Hepatitis C and other RNA viruses.</t>
  </si>
  <si>
    <t xml:space="preserve">98939H
45493V</t>
  </si>
  <si>
    <t xml:space="preserve">Clinical Genomics Pty Ltd
CSIRO</t>
  </si>
  <si>
    <t xml:space="preserve">Biotech co
Research and Development in The Physical, Engineering and Lifesciences (Except Biotechnology)</t>
  </si>
  <si>
    <t xml:space="preserve">Clinical Genomics Pty Ltd,
located in North Ryde,
Australia, is a biotechnology
company. It is engaged in the
development and
commercialization of molecular
markers for colorectal
disease. The company was
founded in 2006.
Commonwealth Scientific &amp;
Industrial Research
Organization is a provides
research and development
services for the
agribusiness, energy and
transport, natural
resources, health,
communication, manufacturing
and mineral resources
industries. The Company was
founded in 1949 and is
located in Canberra,
Australia.</t>
  </si>
  <si>
    <t xml:space="preserve">CLINICAL GENOMICS PTY LTD/CSIRO- STRATEGIC ALLIANCE</t>
  </si>
  <si>
    <t xml:space="preserve">Clinical Genomics Pty Ltd and Commonwealth Scientific &amp; Industrial Research
Organisation {CSIRO} planned to form a strategic alliance to develop
improved diagnostics for cancers of the colon and rectum. Under terms of
the agreement, CSIRO and Clinical Genomics will now use these proprietary
technologies to research and develop a clinical test aimed at testing
patient blood and stool for the early detection of bowel cancer. If this
research is successful, these assays will be commercially developed and
delivered by Clinical Genomics.</t>
  </si>
  <si>
    <t xml:space="preserve">18735K
20327N</t>
  </si>
  <si>
    <t xml:space="preserve">Sapient Discovery LLC
Lpath Inc</t>
  </si>
  <si>
    <t xml:space="preserve">Pvd research,dvlp svcs
Pvd research,dvlp svcs</t>
  </si>
  <si>
    <t xml:space="preserve">Provide research and
development services offering
integrated services and
products that span the drug
discovery including target
analyses, virtual screening
based lead generation, lead
optimization, custom chemistry
library design, protein X-ray
crystallography and other
custom services
Lpath Inc, headquartered in
San Diego, California,
provides research and
development services focused
on lipidomics-based
therapeutics, an emerging
field of medical science
whereby bioactive signaling
lipids are targeted for
treating important human
diseases. Its lead product
candidate, ASONEP, is a
monoclonal antibody against a
validated cancer target,
sphingosine-1-phosphate (S1P).
ASONEP is potently
anti-angiogenic, yet it has
other mechanisms of action
that may prove advantageous in
the clinical setting. The
company was founded in 1997.</t>
  </si>
  <si>
    <t xml:space="preserve">SAPIENT DISCOVERY LLC/LPATH INC(WAS 64015N)-STRATEGIC ALLIANCE</t>
  </si>
  <si>
    <t xml:space="preserve">Sapient Technology LLC (SP) and Lpath Inc (LP) formed a strategic alliance
to provide research and development services in the United States. The
alliance used SP's computational platform to understand the binding
properties of LP's humanized Sphingomab (TM) antibody as an agent to treat
cancer and various ocular diseases. The alliance provided an important
information to confirm the selection of therapeutic antibody for clinical
development and furthers ongoing efforts to advance pipeline of therapeutic
antibodies against bioactive lipids.</t>
  </si>
  <si>
    <t xml:space="preserve">80336K
548910</t>
  </si>
  <si>
    <t xml:space="preserve">AGA Medical Corp
Ample Medical Inc
Aberdare Ventures LP</t>
  </si>
  <si>
    <t xml:space="preserve">Mnfr, mkt cardio med devices
Mnfr med devices
Venture capital firm</t>
  </si>
  <si>
    <t xml:space="preserve">AGA Medical Corp,
headquartered in Minnesota, is
dedicated to the development,
design, manufacture and
marketing of nitinol-based
occlusion devices and
accessories for the minimally
invasive treatment of
cardiovascular defects and
peripheral vascular diseases.
The company was founded in
1995.
Manufacture, develop and
design endovascular medical
devices for repairing heart
valves
Aberdare Ventures LP, located
in San Francisco, California,
is a venture capital firm.</t>
  </si>
  <si>
    <t xml:space="preserve">3841
3845
6799</t>
  </si>
  <si>
    <t xml:space="preserve">MN
CA
CA</t>
  </si>
  <si>
    <t xml:space="preserve">AGA MEDICAL CORP/AMPLE MEDICAL CORP/ABERDARE VENTURES-STRATEGIC ALLIANCE</t>
  </si>
  <si>
    <t xml:space="preserve">AGA Medical Corp, Ample Medical Corp (AM), and Aberdare Ventures formed a
strategic alliance to provide research and development services in the
United States. The alliance was expected to develop programs for the
clinical development and commercialization of AM's PS3 System (TM), a novel
percutaneous system used to treat mitral valve regurgitation associated
with congestive heart failure. Terms of the agreement were not disclosed.</t>
  </si>
  <si>
    <t xml:space="preserve">01087P
03246Z
01174K</t>
  </si>
  <si>
    <t xml:space="preserve">Medarex Inc
Pacmab Ltd</t>
  </si>
  <si>
    <t xml:space="preserve">Biopharm co
Biopharm co</t>
  </si>
  <si>
    <t xml:space="preserve">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
Biopharmaceutical company
specialising in the
development and
commercialisation of
therapeutic products for the
treatment of blood cancers and
other blood disorders</t>
  </si>
  <si>
    <t xml:space="preserve">United States
Australia</t>
  </si>
  <si>
    <t xml:space="preserve">MEDAREX INC/PACMAB LTD-STRATEGIC ALLIANCE</t>
  </si>
  <si>
    <t xml:space="preserve">Medarex Inc (MI) and PacMab Ltd (PM) formed a strategic alliance to provide
novel monoclonal anti-body-based therapies development services for blood
cancers. MI and PM were expected to undertake clinical trials for an
existing antibody therapeutic for cancer developed by PM beginning in 2007
and planned to use MI's UltiMab Human Antibody Development System (R) to
generate fully human antibodies for novel disease targets. In addition, MI
and PM were expected to share product development and commercialization
responsibilities on any antibody products resulting from the agreement.
Financial terms were not disclosed.</t>
  </si>
  <si>
    <t xml:space="preserve">583916
69244K</t>
  </si>
  <si>
    <t xml:space="preserve">MediaTech Inc
GlobalStem Inc</t>
  </si>
  <si>
    <t xml:space="preserve">Dvlp Internet software
Biotechnology company</t>
  </si>
  <si>
    <t xml:space="preserve">Develop web-based electronic
presentation software;
manufacture control boxes for
RS-232, IR and contact closure
control which include
MT-444-CM, MT-CCS32, MT-CC8,
and the ButtonMate of control
system modules
Biotechnology company with
specialization in standardized
stem cell tools</t>
  </si>
  <si>
    <t xml:space="preserve">7372
2836</t>
  </si>
  <si>
    <t xml:space="preserve">MEDIATECH INC/GLOBALSTEM-STRATEGIC ALLIANCE</t>
  </si>
  <si>
    <t xml:space="preserve">MediaTech Inc and GlobalStem Inc formed a strategic alliance to develop,
manufacture and wholesale embryonic stem cell-qualified growth media and
supplements in the United States. The new product was expected to provide
cell replacement therapies aimed at remedying disease such as diabetes,
Parkinson's, spinal cord injuries and stroke.</t>
  </si>
  <si>
    <t xml:space="preserve">58447N
38013Q</t>
  </si>
  <si>
    <t xml:space="preserve">Melior Discovery Inc
Merck &amp; Co Inc</t>
  </si>
  <si>
    <t xml:space="preserve">Mnfr pharmaceuticals
Mnfr,whl pharmaceutical prod</t>
  </si>
  <si>
    <t xml:space="preserve">Manufacture prescription
pharmaceuticals intended for
final consumption, including
biotech products and
antibiotics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</si>
  <si>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PA
NJ</t>
  </si>
  <si>
    <t xml:space="preserve">MELIOR DISCOVERY INC/MERCK &amp; CO INC-STRATEGIC ALLIANCE</t>
  </si>
  <si>
    <t xml:space="preserve">Melior Discovery Inc (MD) and Merck &amp; Co Inc, (MC) formed a strategic
alliance to provide research and development services in the United States.
MD and MC were expected to evaluate the activity of select MC neuroscience
compounds utilizing elements of MD's in vivo Indication Discovery platform.</t>
  </si>
  <si>
    <t xml:space="preserve">58632Y
589331</t>
  </si>
  <si>
    <t xml:space="preserve">Nokia Oyj
US Army</t>
  </si>
  <si>
    <t xml:space="preserve">Mnfr network infrastructure products
Army</t>
  </si>
  <si>
    <t xml:space="preserve">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
The United States Army
provides national security
services.</t>
  </si>
  <si>
    <t xml:space="preserve">3663
9711</t>
  </si>
  <si>
    <t xml:space="preserve">Finland
United States</t>
  </si>
  <si>
    <t xml:space="preserve">Nokia Oyj
United States of America</t>
  </si>
  <si>
    <t xml:space="preserve">3663
999A</t>
  </si>
  <si>
    <t xml:space="preserve">NOKIA OYJ/US ARMY-STRATEGIC ALLIANCE</t>
  </si>
  <si>
    <t xml:space="preserve">Nokia Oyj (NO) and state-owned US Army (AU) formed a 5-year strategic
alliance to provide cooperative research and development services. NO and
AU were expected to evaluate in the areas of PCS, WCDMA 3G, GSM, WiMAX and
advanced wireless networking protocoals for potential military and defense
applications. The alliance was expected to consist of a series of tests,
demonstrations, experiments  and exploratory exchange efforts and the
devices and systems were expected to be evaluated to potentially meet the
requirements for deployed forces to have access to  high-capacity
throughput to support Command, Control, Communications, and  Intelligence
information flow.</t>
  </si>
  <si>
    <t xml:space="preserve">Research &amp; Development Services
Communications Services</t>
  </si>
  <si>
    <t xml:space="preserve">654902
91157P</t>
  </si>
  <si>
    <t xml:space="preserve">Lipid Sciences Inc
Elanco Animal Health Inc</t>
  </si>
  <si>
    <t xml:space="preserve">Biotechnology company
Manufacture protein,animal health products</t>
  </si>
  <si>
    <t xml:space="preserve">Biotechnology company
Elanco Animal Health Inc,
located in Greenfield,
Indiana, manufactures
protein, companion animal
health and food safety
products. It also provides
research and development
services for the health and
production of animals. The
Company was founded in 1954.</t>
  </si>
  <si>
    <t xml:space="preserve">CA
IN</t>
  </si>
  <si>
    <t xml:space="preserve">Lipid Sciences Inc
Eli Lilly &amp; Co</t>
  </si>
  <si>
    <t xml:space="preserve">LIPID SCIENCES INC/ELANCO ANIMAL HEALTH-STRATEGIC ALLIANCE</t>
  </si>
  <si>
    <t xml:space="preserve">Lipid Sciences Inc (LS) and Elanco Animal Health Inc  (EA), a unit of Eli
Lilly &amp; Co planned to form a strategic alliance wherein LS was to license
EA to develop vaccines and immunological products for animal  health
applications in the United States. Under terms of the agreement, EA was to
pay for the associated research and development expenses for each targeted
product.</t>
  </si>
  <si>
    <t xml:space="preserve">53630P
28418Z</t>
  </si>
  <si>
    <t xml:space="preserve">Peptimmune Inc
Orphan Europe SARL</t>
  </si>
  <si>
    <t xml:space="preserve">Biotech co
Mnfr,dvlp pharm</t>
  </si>
  <si>
    <t xml:space="preserve">Biotechnology company
developing a pipeline of
peptide based therapeutics for
the treatment of chronic
inflammatory diseases
Orphan Europe SARL,
headquartered in Paris,
France, is a manufacturer and
developer of pharmaceuticals
for treatment of urea cycle
disorders in neonates. The
company was founded in 1990.</t>
  </si>
  <si>
    <t xml:space="preserve">Genzyme Corp
Orphan Europe SARL</t>
  </si>
  <si>
    <t xml:space="preserve">PEPTIMMUNE INC/ORPHAN EUROPE SARL-STRATEGIC ALLIANCE</t>
  </si>
  <si>
    <t xml:space="preserve">Peptimmune Inc (PI), a unit of Genzyme Corp's Genzyme General, and Orphan
Europe SARL (OE) formed a strategic alliance to provide peptide
immunotheraphy development services for the treatment of  pemphigus
vulgaris. The alliance was expected to bring to market a new efficient drug
to treat the rare skin disease pemphigus vulgarischaracterized by
blistering of the skin and the mucous membranes.</t>
  </si>
  <si>
    <t xml:space="preserve">71346C
68729R</t>
  </si>
  <si>
    <t xml:space="preserve">Institute of Microelectronics
Physical Logic-Bio Research</t>
  </si>
  <si>
    <t xml:space="preserve">Pvd microelectn research svcs
Pvd research,dvlp svcs</t>
  </si>
  <si>
    <t xml:space="preserve">Provide microelectronics
research and development
services covering the
semiconductor technology
chain, viz integrated circuit
design, wafer fabrication
process technology, packaging
and assembly, and reliability
testing and analysis, as well
as niche areas such as
micro-electro-mechanical-syst
ems (MEMS) and bio-electronics
Provide research and
development services</t>
  </si>
  <si>
    <t xml:space="preserve">Singapore
Switzerland</t>
  </si>
  <si>
    <t xml:space="preserve">Singapore
Physical Logic AG</t>
  </si>
  <si>
    <t xml:space="preserve">999A
3674</t>
  </si>
  <si>
    <t xml:space="preserve">INSTITUTE OF MICROELECTRONICS/PHYSICAL LOGIC-STRATEGIC ALLIANCE</t>
  </si>
  <si>
    <t xml:space="preserve">Singapore</t>
  </si>
  <si>
    <t xml:space="preserve">Institute of MicroElectronics (IM), a unit of Agency for Science,
technology &amp; Research, and Physical Logic-Bio Research Pte Ltd (PL), a unit
of Physical Logic AG, formed a strategic alliance to manufacture and
develop a Micro-Electro-Mechanical-System (MEMS)  accelerometer device for
biomedical applications in Singapore. IM and PL worked together on the
fabrication of a uniquely structured MEMS 3-  D Accelerometer, for
inclusion within the leads of cardiac devices, which are implanted  into
the human heart. The 3-D Accelerometer will continuously monitor and
analyse  the heart?s wall motion and communicate this information to the
cardiac device, which  is either a Pacemaker or Implantable Cardioverter
Defibrillator.</t>
  </si>
  <si>
    <t xml:space="preserve">45778N
71966X</t>
  </si>
  <si>
    <t xml:space="preserve">Rotoblock Corp
Autocraft Industries Inc</t>
  </si>
  <si>
    <t xml:space="preserve">Mnfr piston engines
Mnfr motor vehicle parts</t>
  </si>
  <si>
    <t xml:space="preserve">Rotoblock Corp located in San
Francisco, California,
manufactures piston engines.
The company also conducts
research on the development of
engines. It was founded in
2004.
Manufacture motor vehicle
parts</t>
  </si>
  <si>
    <t xml:space="preserve">3621
3714</t>
  </si>
  <si>
    <t xml:space="preserve">CA
OK</t>
  </si>
  <si>
    <t xml:space="preserve">ROTOBLOCK CORP/AUTOCRAFT INDUSTRIES INC-STRATEGIC ALLIANCE</t>
  </si>
  <si>
    <t xml:space="preserve">Rotoblock Corp and Autocraft Industries Inc signed letter of intent to form
a strategic alliance to develop propulsion system for on-and off-road
vehicles in the United States. The alliance was expected to increase torque
and efficiency of micro cars powered by internal combustion engines, hybrid
systems or electric drives.</t>
  </si>
  <si>
    <t xml:space="preserve">778791
052765</t>
  </si>
  <si>
    <t xml:space="preserve">Balchem Corp
Curemark Llc</t>
  </si>
  <si>
    <t xml:space="preserve">Mnfr ind organic chem
Biotechnology company</t>
  </si>
  <si>
    <t xml:space="preserve">Manufacture industrial
organic chemicals
CureMark LLC is a
manufacturer of biological
products. The Company is
located in Rye, New York. It
is a biotechnology company
focused on treatment of
neurological and other
diseases by addressing
certain key
gastrointestinal/pancreatic
secretory deficiencies.</t>
  </si>
  <si>
    <t xml:space="preserve">2869
2836</t>
  </si>
  <si>
    <t xml:space="preserve">BALCHEM CORP/CUREMARK-STRATEGIC ALLIANCE</t>
  </si>
  <si>
    <t xml:space="preserve">CureMark (CM) and Balchem Corp (BC) formed a strategic alliance wherein BC
licensed CM to utilize its novel drug delivery technology, PharmaShure (TM)
to optimize its enzyme formulation in the United States. PharmaShure was
expected to be used in all of CM's digestive/pancreatic enzyme products.</t>
  </si>
  <si>
    <t xml:space="preserve">057665
23134X</t>
  </si>
  <si>
    <t xml:space="preserve">Codexis Inc
Equilon Enterprises LLC</t>
  </si>
  <si>
    <t xml:space="preserve">Biotech co
Oil,gas exploration,productionn company</t>
  </si>
  <si>
    <t xml:space="preserve">Codexis Inc is a
biotechnology company
focused on developing
biocatalytic chemical
processes. The company is
located in Redwood City,
California, and has
facilities in Germany,
Hungary, India and
Singapore. The company was
founded in 2002.
Equilon Enterprises LLC,
doing business as Shell Oil
Products US, headquartered
in Houston, Texas, is an oil
and gas exploration and
production company. The
Company also manufactures
and wholesales petroleum and
petroleum refined products.
It was founded in 1912.</t>
  </si>
  <si>
    <t xml:space="preserve">2869
1311</t>
  </si>
  <si>
    <t xml:space="preserve">CA
TX</t>
  </si>
  <si>
    <t xml:space="preserve">Codexis Inc
Royal Dutch Shell PLC</t>
  </si>
  <si>
    <t xml:space="preserve">2869
2911</t>
  </si>
  <si>
    <t xml:space="preserve">CODEXIS INC/SHELL OIL PRODUCTS US-STRATEGIC ALLIANCE</t>
  </si>
  <si>
    <t xml:space="preserve">499A</t>
  </si>
  <si>
    <t xml:space="preserve">Codexis Inc and Shell Oil Products US, a unit of Royal Dutch Shell PLC's
Shell Oil Co subsidiary, formed a strategic alliance to provide alternative
fuel development services in the United States. The alliance was expected
to explore enhanced methods of converting biomass to biofuels. Terms were
not disclosed.</t>
  </si>
  <si>
    <t xml:space="preserve">Oil and Gas; Petroleum Services
Research &amp; Development Services</t>
  </si>
  <si>
    <t xml:space="preserve">192005
82262N</t>
  </si>
  <si>
    <t xml:space="preserve">Oki Electric Industry Co Ltd
Nautilus Hyosung Co Ltd</t>
  </si>
  <si>
    <t xml:space="preserve">Mnf,whl info,telecommun sys
Mnfr,whl ATM machs</t>
  </si>
  <si>
    <t xml:space="preserve">Oki Electric Industry Co
Ltd, based in Tokyo, Japan,
manufactures and wholesales
products, technologies,
software and solutions for
telecommunications systems
and information systems,
including IT services
distribution and
constructions related to
these businesses. The
Company was founded in 1881.
Nautilus Hyosung Co Ltd,
located in Gangnam-Gu, Seoul,
manufactures and wholesales
automated teller machine {ATM}
machines. The company also
develops application software.
The company was founded in
1987.</t>
  </si>
  <si>
    <t xml:space="preserve">3571
3575</t>
  </si>
  <si>
    <t xml:space="preserve">Japan
South Korea</t>
  </si>
  <si>
    <t xml:space="preserve">Oki Electric Industry Co Ltd
Hyosung Corp</t>
  </si>
  <si>
    <t xml:space="preserve">3571
2281</t>
  </si>
  <si>
    <t xml:space="preserve">OKI ELECTRIC INDUSTRY CO LTD/NAUTILUS HYOSUNG CO LTD-STRATEGIC ALLIANCE</t>
  </si>
  <si>
    <t xml:space="preserve">OKI Electric Industry Co Ltd (OE) and Nautilus Hyosung Co Ltd (NH) formed a
strategic alliance to develop, manufacture, wholesale and distribute
Automated Teller Machine (ATM) machines and cash processing equipments
globally. Under terms of the agreement, the partners were expected to
utilize their strengths and collaborate further with their key resources.
OE was to provide its information processing systems to the alliance, while
NH was to contribute its ATM production expertise. The alliance was
expected to commercialize their products in Korea and China. In addition,
the alliance was a strategic synergy both for OE and NH to enhance their
technologies and to deliver an efficient financial system in the banking
industry.</t>
  </si>
  <si>
    <t xml:space="preserve">678492
63910X</t>
  </si>
  <si>
    <t xml:space="preserve">Hospira Inc
STADA Arzneimittel AG
Bioceuticals Arzneimittel Ag</t>
  </si>
  <si>
    <t xml:space="preserve">Mnfr,whl injectable pharm
Pharmaceutical Preparation Manufacturing
Mnfr pharmaceuticals</t>
  </si>
  <si>
    <t xml:space="preserve">Hospira Inc, located in Lake
Forest, Illinois, manufactures
and wholesales specialty
injectable pharmaceuticals and
medication delivery systems
that deliver drugs and
intravenous fluids. It also
manufactures medication
management systems that
include electronic pumps and
sets for IV drug delivery and
patient controlled analgesia
devices for pain management.
It develops the Hospira MedNet
safety software system and
offers contract manufacturing
services such as formulation
development, filling and
finishing of injectable
pharmaceuticals. The company
was founded in 1930.
STADA Arzneimittel AG,
located in Bad Vilbel,
Germany, manufactures
pharmaceutical products. It
develops and wholesales
products with off-patent
active pharmaceutical
ingredients. The Company's
primary business segments
are Generics and Branded
Products. Generics is
comprised of low-priced and
active-ingredient products.
Branded Products focuses on
multisource products that
are accessible without
active ingredient research.
Its brands are Grippostad,
APO-Go, Ladival, Mobilat,
Hoggar and Magnetrans. The
Company has production
facilities in Germany,
England, Russia, Serbia,
Bosnia-Herzegovina,
Montenegro, Vietnam, China,
Austria and Argentina. Its
sales companies in Germany
include: ALIUD PHARMA GmbH,
cell pharm, STADA GmbH,
STADApharm GmbH, STADAvita
GmbH and Hemopharm GmbH. The
Company was founded in March
1895.
Manufacture prescription
pharmaceuticals intended for
final consumption, including
biotech products and
antibiotics</t>
  </si>
  <si>
    <t xml:space="preserve">United States
Germany
Germany</t>
  </si>
  <si>
    <t xml:space="preserve">IL
FF
FF</t>
  </si>
  <si>
    <t xml:space="preserve">HOSPIRA INC/STADA ARZNEIMITTEL AG/BIOCEUTICALS ARZNEIMITTEL AG-STRATEGIC
ALLIANCE</t>
  </si>
  <si>
    <t xml:space="preserve">Hospira Inc (HI), Stada Arzneimittel AG (SA) and Bioceuticals Arzneimittel
AG (BA) planned to form a strategic alliance to manufacture, develop and
wholesale a biosimilar or generic version of the anemia drug
erythropoietin. HI was to have exclusive rights to sell BA's drug in the
European Union and other parts of Europe, excluding Germany. HI was to also
retain exclusive distribution rights in the United States and Canada, where
it will also be solely responsible for the development and manufacture of
the product. BA was to receive an upfront $21 million payment and would get
additional payments of up to $34 million over the next several years
contingent upon meeting specified objectives, and incremental royalty
payments on commercial sales. Further details were not disclosed.</t>
  </si>
  <si>
    <t xml:space="preserve">Bioceuticals Arzneimittel AG was to receive an upfront $21 million
payment.</t>
  </si>
  <si>
    <t xml:space="preserve">441060
85234B
08993Y</t>
  </si>
  <si>
    <t xml:space="preserve">Caliper Life Sciences Inc
Molecular Probes Inc</t>
  </si>
  <si>
    <t xml:space="preserve">Mnfr,whl lab analytical instr
Whl reagents,assays</t>
  </si>
  <si>
    <t xml:space="preserve">Caliper Life Sciences Inc,
headquartered in Hopkinton,
Massachusetts, manufactures
and wholesales laboratory
analytical instrument such
as DNA sequencing equipment,
reagents and microfluids
used gene and protein
detection, preclinical
imaging instruments and
automated laboratory
equipment primarily to
pharmaceutical,
biotechnology, and
diagnostics companies, and
government and other
not-for-profit research
institutions. The company
was founded in 1995.
Wholesale fluorescent reagents
and detection solutions for
multiple applications:
reactive dyes, bioassays,
signal transduction, and
detection solutions that
advance scientific and
biomedical research; provide
licensing services</t>
  </si>
  <si>
    <t xml:space="preserve">3826
5122</t>
  </si>
  <si>
    <t xml:space="preserve">MA
OR</t>
  </si>
  <si>
    <t xml:space="preserve">Caliper Life Sciences Inc
Invitrogen Corp</t>
  </si>
  <si>
    <t xml:space="preserve">CALIPER LIFE SCIENCES INC/MOLECULAR PROBES INC-STRATEGIC ALLIANCE</t>
  </si>
  <si>
    <t xml:space="preserve">Caliper Life Sciences Inc (CL) and Molecular Probes Inc (MP), a unit of
Invitrogen Corp, formed a strategic alliance to manufacture, develop and
wholesale fluorescence kits for optical imaging in the United States. Cl
and MP collaborated to develop and distribute custom fluorescence labeling
kits optimized for use in combination with CL's IVIS in vivo optical
imaging systems. The kits serve to enable researchers to lmore accurately
identify and tag specific molecular targets, such as antibodies, proteins
and peptides in living animals.</t>
  </si>
  <si>
    <t xml:space="preserve">130872
60854A</t>
  </si>
  <si>
    <t xml:space="preserve">Mercury Computer Systems Inc
Institute of Medical Physics</t>
  </si>
  <si>
    <t xml:space="preserve">Mnfr,whl computer systems
Biotechnology company</t>
  </si>
  <si>
    <t xml:space="preserve">Mercury Computer Systems Inc,
headquartered in Chelmsford,
Massachusetts, manufactures
and wholesales computing
systems. It also develops
software for data-intensive
applications, which include
image processing, signal
processing, and visualization.
The company operates in five
segments such as Defense
Electronics, Commercial
Imaging, Advanced solution,
Moduler products &amp; Other. The
products under defense
electronics segment are
digital signal and image
processing computer systems
that are embedded into air,
sea and land-based platforms
for processing radar, sonar
and SIGINT data. The products
under medical imaging segment
are MRI, digital x-ray, PET,
computed tomography and
ultrasound devices. Advanced
Solutions supplies high
performance computing
solutions, specialized
software, professional
services and intellectual
property. The company's
software products include the
development versions of its
MCOE multi-computer operating
system, the Scientific
Algorithm Library and the
Parallel. It has locations in
the United States, United
Kingdom, and Japan. The
company was founded in 1981.
Biotechnology company</t>
  </si>
  <si>
    <t xml:space="preserve">3571
2836</t>
  </si>
  <si>
    <t xml:space="preserve">MERCURY COMPUTER SYSTEMS INC/INSTITUTE OF MEDICAL PHYSICS-STRATEGIC
ALLIANCE</t>
  </si>
  <si>
    <t xml:space="preserve">Mercury Computer Systems Inc and Institute of Medical Physics of Erlangen
formed a strategic alliance to provide research and development services of
cell broadband engine processor-based solutions in the United States. The
new technology was expected to deliver an architectural design, which
accelerates the reconstruction and visualization of medical imaging data.</t>
  </si>
  <si>
    <t xml:space="preserve">589378
00615T</t>
  </si>
  <si>
    <t xml:space="preserve">China Digital TV Industry
Shenzhen State Microelectronic
Undisclosed Chinese Co</t>
  </si>
  <si>
    <t xml:space="preserve">Business Development Co
Mnfr semiconductors
Investment company</t>
  </si>
  <si>
    <t xml:space="preserve">Business Development Company
Shenzhen State
Microelectronics Co Ltd,
located in China, manufactures
semiconductors.
Investment company</t>
  </si>
  <si>
    <t xml:space="preserve">6726
3674
6799</t>
  </si>
  <si>
    <t xml:space="preserve">China
China
China</t>
  </si>
  <si>
    <t xml:space="preserve">SHENZHEN STATE MICROELECTRONICS CO/CHINA DIGITAL TV INDUSTRY/UNDISCLOSED
CHINESE CO-STRATEGIC ALLIANCE</t>
  </si>
  <si>
    <t xml:space="preserve">Shenzhen State Microelectronics Co Ltd, China Digital TV Industry Alliance
and an undisclosed Chinese company formed a strategic alliance to develop
and market digital television sets in China. The alliance was a strategic
growth opportunity both for the partners to leverage their digital products
and to further expand their market coverage.</t>
  </si>
  <si>
    <t xml:space="preserve">17096Y
82369Y
9047CX</t>
  </si>
  <si>
    <t xml:space="preserve">Bull SAS
JBoss Inc</t>
  </si>
  <si>
    <t xml:space="preserve">Pvd info technology services
Dvlp middleware</t>
  </si>
  <si>
    <t xml:space="preserve">Bull SAS, located in Les
Clayes-Sous-Bois, France,
provides information
technology services. Its
products include Bio Data
Centre to improve the energy
efficiency of servers,
optimize the topology, and
optimize operational processes
through service level
management; high performance
computing for industrial
modelization, environment
research, genetics, and
nuclear simulation; and
servers. It was founded in
1931.
JBoss Inc is a middleware
development company,
headquartered in Atlanta, GA.
Founded in 2001.</t>
  </si>
  <si>
    <t xml:space="preserve">7376
7372</t>
  </si>
  <si>
    <t xml:space="preserve">FF
GA</t>
  </si>
  <si>
    <t xml:space="preserve">Bull SAS
Red Hat Inc</t>
  </si>
  <si>
    <t xml:space="preserve">BULL/JBOSS INC-STRATEGIC ALLIANCE</t>
  </si>
  <si>
    <t xml:space="preserve">Bull and JBoss Inc, a unit of Red Hat Inc, planned to form a strategic
alliance to provide interoperable open source middleware solutions
development and deployment services for enterprise service-oriented
architecture (SOA) in the United States. The alliance was to increase open
source innovation, interoperability, integration, delivery and support
capabilities.</t>
  </si>
  <si>
    <t xml:space="preserve">Research &amp; Development Services
Software Development Services</t>
  </si>
  <si>
    <t xml:space="preserve">12044L
46694T</t>
  </si>
  <si>
    <t xml:space="preserve">Supelco Inc
MIP Technologies AB</t>
  </si>
  <si>
    <t xml:space="preserve">Mnfr chromatography supplies
Biotech co</t>
  </si>
  <si>
    <t xml:space="preserve">Manufacture chromatography
supplies and inorganic
chemicals; provide research
and development laboratory
services
MIP Technologies AB, located
in Lund, Sweden is a
biotechnology company. The
company specializes in the
development of separation
products via usage of
molecularly imprinted polymers
and other novel chemistries.
It provides state-of-the-art
solutions for several
multi-national blue chip
customers in the food and
beverage industries and
develops front line analytical
products for food,
environmental, veterinary and
pharmaceutical laboratories.
The company was founded in
2000.</t>
  </si>
  <si>
    <t xml:space="preserve">2819
2836</t>
  </si>
  <si>
    <t xml:space="preserve">Sigma-Aldrich Corp
MIP Technologies AB</t>
  </si>
  <si>
    <t xml:space="preserve">SUPELCO INC/LUND-STRATEGIC ALLIANCE</t>
  </si>
  <si>
    <t xml:space="preserve">Supelco Inc (SI), a unit of Sigma-Aldrich Corp, and MIP Technologies AB
(MT) formed a strategic alliance to wholesale and distribute analytical and
preparative molecularly imprinted polymer (MIP) separation products
globally. In addition, SI and MT were expected to develop new products to
be applied in pharmaceutical. food and beverage and forensic markets,
veterinary institutes, environmental laboratories, and health agencies to
be used in isolating trace compounds from complex matrices.</t>
  </si>
  <si>
    <t xml:space="preserve">Retail &amp; Wholesale Services
Research &amp; Development Services</t>
  </si>
  <si>
    <t xml:space="preserve">86787I
55575T</t>
  </si>
  <si>
    <t xml:space="preserve">NanoOpto Corp
Moxtek Inc</t>
  </si>
  <si>
    <t xml:space="preserve">Mnfr nano-optics
Mnfr x-ray,TV electn prods</t>
  </si>
  <si>
    <t xml:space="preserve">Manufacture nano-optic and
nano technology for novel
components for optical systems
and networking
Moxtek Inc is an x-ray and
television electronic products
manufacturer, headquartered in
Orem, Utah, US. The company
was founded in 1986.</t>
  </si>
  <si>
    <t xml:space="preserve">3674
3844</t>
  </si>
  <si>
    <t xml:space="preserve">NJ
UT</t>
  </si>
  <si>
    <t xml:space="preserve">NanoOpto Corp
Nippon Kayaku Co Ltd</t>
  </si>
  <si>
    <t xml:space="preserve">NANOOPTO CORP/MOXTEK INC-STRATEGIC ALLIANCE</t>
  </si>
  <si>
    <t xml:space="preserve">Utah</t>
  </si>
  <si>
    <t xml:space="preserve">NanoOpto Corp and Moxtek Inc, a unit of Polatechno Co Ltd formed a
strategic alliance to provide research and development services of
nanotechnology-based optical products in the United States. The partners
were expected to produce and deliver a nano-fabrication technology to the
digital imaging, displays, telecommunication, and the government and
military sector. The alliance was a strategic growth opportunity both for
the partners to leverage their technology and to further expand their
market coverage.</t>
  </si>
  <si>
    <t xml:space="preserve">62818E
55511Z</t>
  </si>
  <si>
    <t xml:space="preserve">Ciphergen Biosystems Inc
OSU Research Foundation</t>
  </si>
  <si>
    <t xml:space="preserve">Biotechnology company
dedicated to the discovery,
development and
commercialization of novel,
high-value molecular
diagnostic tests to help
physicians diagnose, select
appropriate treatments and
improve outcomes for patients
Provide research and
development services</t>
  </si>
  <si>
    <t xml:space="preserve">CA
OH</t>
  </si>
  <si>
    <t xml:space="preserve">CIPHERGEN BIOSYSTEMS INC/OHIO STATE UNIVERSITY RESEARCH- STRATEGIC
ALLIANCE</t>
  </si>
  <si>
    <t xml:space="preserve">Ciphergen Biosystems Inc (CB) and Ohio State University Research Foundation
(OS) planned to form a strategic alliance to provide clinical development
and validation services to a diagnostic test to detect thrombotic
thrombocytopenic purpura, a hematologic disease in the United States. The
alliance was to help physicians determine when to initiate plasma exchange
and monitor response to the therapy. CB and OS were to optimize the assay
to measure enzyme and antibody inhibition activity and conduct multi-center
studies to validate the test. Financial terms were not disclosed.</t>
  </si>
  <si>
    <t xml:space="preserve">17252Y
677653</t>
  </si>
  <si>
    <t xml:space="preserve">China Ent &amp; Land Inv Holdings
Hyte Research LLC</t>
  </si>
  <si>
    <t xml:space="preserve">Property investment co
Biotechnology company</t>
  </si>
  <si>
    <t xml:space="preserve">Property investment company
Biotechnology company</t>
  </si>
  <si>
    <t xml:space="preserve">China
United States</t>
  </si>
  <si>
    <t xml:space="preserve">Alto Trust Ltd
Hyte Research LLC</t>
  </si>
  <si>
    <t xml:space="preserve">Hong Kong
United States</t>
  </si>
  <si>
    <t xml:space="preserve">CHINA BIOPHARMA INC/HYTE RESEARCH LLC-STRATEGIC ALLIANCE</t>
  </si>
  <si>
    <t xml:space="preserve">China Biopharma Inc (CB) and Hyte Research LLC (HR) signed letter of intent
to form a strategic alliance to provide Nano-Poly Enhancement technology
development and marketing services in the United States. The alliance was
to develop and commericalize the said technology in order to improve the
effectiveness and reduce the side effects of human vaccines.</t>
  </si>
  <si>
    <t xml:space="preserve">16892W
44789A</t>
  </si>
  <si>
    <t xml:space="preserve">AFV Solutions Inc
BBF Intl Auto Tech Co Ltd
FAW-Hongta Yunnan Automotive</t>
  </si>
  <si>
    <t xml:space="preserve">Investment holding company
Mnfr motor vehicles
Mnfr,whl pickups</t>
  </si>
  <si>
    <t xml:space="preserve">Investment holding company
with interest in alternative
fuel industry; Provide
research and development
services of hybrid cars and
fuel propane and compressed
natural gas
Manufacture motor vehicles
Manufacture and wholesale
pickups and light trucks</t>
  </si>
  <si>
    <t xml:space="preserve">6799
3711
3713</t>
  </si>
  <si>
    <t xml:space="preserve">United States
China
China</t>
  </si>
  <si>
    <t xml:space="preserve">CA
FF
FF</t>
  </si>
  <si>
    <t xml:space="preserve">AFV Solutions Inc
BBF Intl Auto Tech Co Ltd
China FAW Group Corp</t>
  </si>
  <si>
    <t xml:space="preserve">6799
3711
3711</t>
  </si>
  <si>
    <t xml:space="preserve">AFV SOLUTIONS INC/BBF INTERNATIONAL AUTOMOBILE/FAW-HONGTA AUTOMOBILE-JOINT
VENTURE</t>
  </si>
  <si>
    <t xml:space="preserve">AFV Solutions Inc (AS), BBF International Automobile Technology Co Ltd
(BI), and FAW-Hongta Automobile Co Ltd (FH), a joint venture among
state-owned China FAW Group Corp , Yunnan Hongta Group Co Ltd, a unit of
Chinese state-owned Yuxi Hongta Tobacco (Group) Ltd, and Yunnan Light
Vehicle (Group) Corp, planned to form a joint venture (JV) to manufacture
and develop ESPACE III technology-based vehicles in China. The ESPACE III's
technology was based on a European chassis and was being sought by FH for
their second and third generation MPV's.</t>
  </si>
  <si>
    <t xml:space="preserve">00106X
06124E
30333W</t>
  </si>
  <si>
    <t xml:space="preserve">Flexpoint Sensor Systems Inc
Precision Pumping Systems Inc</t>
  </si>
  <si>
    <t xml:space="preserve">Mnfr sensing tech prod
Mnfr,whl fluid control sys</t>
  </si>
  <si>
    <t xml:space="preserve">Manufacture thin film sensing
technology which measures
mechanical movement, air flow,
water flow, or even vibration
for many industries, including
automotive, medical,
industrial controls, and
consumer products
Manufacture and wholesale
fluid control systems,
equipment and accessories such
as pumps, flow controls,
sensors, swithes,
transmittors, and control
packages.</t>
  </si>
  <si>
    <t xml:space="preserve">3812
3492</t>
  </si>
  <si>
    <t xml:space="preserve">UT
WA</t>
  </si>
  <si>
    <t xml:space="preserve">FLEXPOINT SENSOR SYSTEMS INC /PRECISION PUMP SYSTEMS INC-STRATEGIC
ALLIANCE</t>
  </si>
  <si>
    <t xml:space="preserve">Flexpoint Sensor Systems Inc (FS) and Precision Pump System Inc (PP) formed
a strategic alliance to provide research and development as well as
marketing services for Bend Sensor (R) technology in the United States.
Under terms of the agreement, the alliance was expected to integrate PP's
industry experience with FS' cutting edge patented technology to further
develop and market a flow meter.</t>
  </si>
  <si>
    <t xml:space="preserve">33938W
74650A</t>
  </si>
  <si>
    <t xml:space="preserve">Home Depot Inc
Arnell Group</t>
  </si>
  <si>
    <t xml:space="preserve">Retail home improvement products
Pvd mktg,advg svcs</t>
  </si>
  <si>
    <t xml:space="preserve">Home Depot Inc, located in
Atlanta, Georgia, is a
retailer of home improvement
products. The Company
operates with warehouse type
of stores which sell an
assortment of building
materials, home improvement
and lawn and garden products
which are sold to
do-it-yourself clients. It
operates more than 2,281
stores in the United States
as well as the Commonwealth
of Puerto Rico and the
territories of the US Virgin
Islands and Guam, Canada and
Mexico. The Company was
founded in 1978.
Provide traditional and
interactive marketing and
advertising services as well
as consulting specializing in
integrated branding, strategy
and communications solutions</t>
  </si>
  <si>
    <t xml:space="preserve">5211
7319</t>
  </si>
  <si>
    <t xml:space="preserve">GA
NY</t>
  </si>
  <si>
    <t xml:space="preserve">Home Depot Inc
Omnicom Group Inc</t>
  </si>
  <si>
    <t xml:space="preserve">5211
7311</t>
  </si>
  <si>
    <t xml:space="preserve">HOME DEPOT INC/ARNELL GROUP-ORANGE WORKS JOINT VENTURE</t>
  </si>
  <si>
    <t xml:space="preserve">Home Depot Inc (HD) and Arnell Group (AG), a unit of Omnicom Group Inc,
planned to form a joint venture named Orange Works (OW) to provide market
research and home improvement product development services in the United
States. OW was to work with expert vendors on unique and proprietary
innovation within HD to meet the needs of emerging lifestyle and product
trends. In addition, OW was to drive unique product design and accelerate
the speed to market with products that are best in class across the store.
OW was to be charged with getting closer to consumers' needs and wants, and
creating innovative products to embody high levels of functionality,
next-generation technology, consumer appeal, style and design.</t>
  </si>
  <si>
    <t xml:space="preserve">437076
04252X</t>
  </si>
  <si>
    <t xml:space="preserve">Zarlink Semiconductor Inc
Embedded Planet LLC</t>
  </si>
  <si>
    <t xml:space="preserve">Mnfr,whl commun,med components
Mnfr single board computers</t>
  </si>
  <si>
    <t xml:space="preserve">Zarlink Semiconductor Inc is a
communication and medical
components manufacturer and
wholesaler, headquartered in
Ottawa, Ontario, Canada. The
company's products are
microelectronic components and
semiconductors that are
capable of broadband
connectivity over wired,
wireless and optical media
including products like
network access products that
provide connectivity to the
network's core backbone and
feeder, aggregation and
transmission applications, and
basic solutions for
applications such as
pacemakers, hearing aids and
portable instruments. It has
operations in Canada, the
United States, Europe and the
Asia/Pacific region. The
company was founded in 1971.
Manufacture single board
computer modules; develop
embedded software</t>
  </si>
  <si>
    <t xml:space="preserve">FF
OH</t>
  </si>
  <si>
    <t xml:space="preserve">ZARLINK SEMICONDUCTOR INC/EMBEDDED PLANET LLC-STRATEGIC ALLIANCE</t>
  </si>
  <si>
    <t xml:space="preserve">Zarlink Semiconductor Inc (ZS) and Embedded Planet LLC (EP) formed a
strategic alliance to manufacture and develop pseudowire module carrying
TDM traffic over packet networks. Under terms of the agreement, ZS and EP
collaborated to develop a pseudowire module that reduces the design time
and complexity of networking equipment supporting TDM services over
packet-based networks. The said module targets low-density applications
requiering TFM-over-packet capability, including customer premise routers,
integarted access devices, Passive Optical Network equipment, and broadband
DLCs.</t>
  </si>
  <si>
    <t xml:space="preserve">989139
29096N</t>
  </si>
  <si>
    <t xml:space="preserve">Alfa Wassermann Proteomic
Pressure BioSciences Inc</t>
  </si>
  <si>
    <t xml:space="preserve">Biotechnology company
Mnfr disease diagnostic prod</t>
  </si>
  <si>
    <t xml:space="preserve">Biotechnology company
Manufacture infectious
disease diagnostic products;
provide laboratory
instrumentation, contract
research and specialty
infectious disease testing
services to the in-vitro
diagnostic industry,
government agencies, blood
banks, hospitals and other
health care providers
worldwide</t>
  </si>
  <si>
    <t xml:space="preserve">NJ
MA</t>
  </si>
  <si>
    <t xml:space="preserve">Alfa Wassermann SpA
Pressure BioSciences Inc</t>
  </si>
  <si>
    <t xml:space="preserve">Italy
United States</t>
  </si>
  <si>
    <t xml:space="preserve">2834
2835</t>
  </si>
  <si>
    <t xml:space="preserve">ALFA WASSERMANN PROTEOMIC/PRESSURE BIOSCIENCES INC-STRATEGIC ALLIANCE</t>
  </si>
  <si>
    <t xml:space="preserve">Pressure BioSciences Inc and Alfa Wassermann Proteomic Technologies LLC, a
unit of Alfa Wassermann SpA planned to form a strategic alliance to provide
cell proteins and subcellular organelles  research and development services
in the United States. The alliance was a strategic growth opportunity both
for the partners to leverage their services and to further expand their
market coverage.</t>
  </si>
  <si>
    <t xml:space="preserve">01549C
74112E</t>
  </si>
  <si>
    <t xml:space="preserve">Linguatec GmbH
Chinese Academy of Sciences</t>
  </si>
  <si>
    <t xml:space="preserve">Dvlp language software
Pvd scientific research svcs</t>
  </si>
  <si>
    <t xml:space="preserve">Develop language-technology
software focusing on three
areas of language technology:
automatic translation, voice
output and speech recognition
Chinese Academy of Sciences
is a provider of research
and development services.
The Company was founded in
November 1949 and is located
in Beijing, China.</t>
  </si>
  <si>
    <t xml:space="preserve">Germany
China</t>
  </si>
  <si>
    <t xml:space="preserve">Linguatec GmbH
Peoples Republic of China</t>
  </si>
  <si>
    <t xml:space="preserve">7372
999A</t>
  </si>
  <si>
    <t xml:space="preserve">LINGUATEC GMBH/CHINESE ACADEMY OF SCIENCES-STRATEGIC ALLIANCE</t>
  </si>
  <si>
    <t xml:space="preserve">Linguatec GmbH (LG) and state-owned Chinese Academy of Sciences (CAS)
planned to form a strategic alliance to provide research and development
services on new language technology solutions. The alliance was to further
develop the multilingual language technology applications through
combination of LG's and CAS' academic and practical strengths and
competencies. The alliance was to develop an innovative high end linguistic
solution and introduce it into the industry.</t>
  </si>
  <si>
    <t xml:space="preserve">53563R
16890H</t>
  </si>
  <si>
    <t xml:space="preserve">Avexa Ltd
TargetDrug</t>
  </si>
  <si>
    <t xml:space="preserve">Avexa Ltd, located in
Melbourne, Victoria, is a
biotechnology company
involved in the research and
development of
anti-infective
pharmaceutical medicines for
the treatment of diseases
caused by HIV and
vancomycin- and
methicillin-resistant
bacteria. During fiscal
2008, Avexa initiated a
Phase III development
program for its lead
product, apricitabine (ATC),
and received positive data
from the 48-week Phase IIb
study for ATC. In fiscal
2008, the human
immunodeficiency virus (HIV)
integrase and antibacterial
projects also progressed
towards pre-clinical
studies. In its Integrase
program, the Company has
developed a number of small
molecules that inhibit HIV
infection of cells. Avexa
Limited has entered into a
collaboration with
TargetDrug of Shanghai to
develop small molecule
inhibitors of hepatitis C
virus (HCV). Founded in
2004.
Biotechnology company</t>
  </si>
  <si>
    <t xml:space="preserve">AVEXA LTD(WAS 03224T)/TARGET DRUG-STRATEGIC ALLIANCE</t>
  </si>
  <si>
    <t xml:space="preserve">Avexa Ltd and TargetDrug formed a strategic alliance to provide drug
discovery services to identify new CCR5 inhibitors for the treatment of HIV
infections in China. Under terms of the agreement, AL was expected to now
have exclusive marketing rights in China and was expected to license TD's
lead CCR5 inhibitor with anti-HIV activity, nifeviroc.</t>
  </si>
  <si>
    <t xml:space="preserve">Research &amp; Development Services
Marketing Services
Licensing Services</t>
  </si>
  <si>
    <t xml:space="preserve">05399W
87753A</t>
  </si>
  <si>
    <t xml:space="preserve">Tokyo Electron Ltd
ASML Holding NV</t>
  </si>
  <si>
    <t xml:space="preserve">Mnfr,whl semiconductor equip
Semiconductor Machinery Manufacturing</t>
  </si>
  <si>
    <t xml:space="preserve">Tokyo Electron Ltd, located in
Tokyo, Japan, manufactures and
wholesales semiconductor
production equipment, FPD
Production Equipment, and PV
Production Equipment for
semiconductors and flat panel
displays including plasma
etching systems, thermal
processing systems, Expedius
auto wet station, Precio water
prober and flat panel display
coater. The company was
founded in 1963.
ASML Holding NV, located in
Veldhoven, the Netherlands,
manufactures and wholesales
semiconductor machinery. Its
main products are lithography
systems, including wafer
steppers and Step and Scan
systems used to fabricate
semiconductors. It also offers
equipment options and software
upgrades for use in the
telecommunications,
industrial, automotive and
consumer electronics sectors.
It has technological
agreements with IC
manufacturers and research and
development institutions in
Europe, the US, and the
Asia/Pacific region. The
Company was founded in
December 1984.</t>
  </si>
  <si>
    <t xml:space="preserve">3674
3559</t>
  </si>
  <si>
    <t xml:space="preserve">Japan
Netherlands</t>
  </si>
  <si>
    <t xml:space="preserve">TOKYO ELECTRON LTD/ASML HOLDING NV-STRATEGIC ALLIANCE</t>
  </si>
  <si>
    <t xml:space="preserve">Tokyo Electron Ltd and ASML Holding NV planned to form a strategic alliance
to provide research and development services of 45nm node mass production
immersion ArF processes globally. The alliance's objective was to reduce
the defects and improve the critical dimension technology of the product.
The alliance was a strategic growth opportunity both for the partners to
leverage their resources and technological expertise and to further expand
their market coverage.</t>
  </si>
  <si>
    <t xml:space="preserve">J86957
N07059</t>
  </si>
  <si>
    <t xml:space="preserve">Gen-Probe Inc
3M Health Care Ltd</t>
  </si>
  <si>
    <t xml:space="preserve">Mnfr,whl diagnostic instrument
Mnfr,whl med,surgical supplies</t>
  </si>
  <si>
    <t xml:space="preserve">Gen-Probe Inc, located in San
Diego, California,
manufactures and wholesales
diagnostic instruments used
primarily to detect human
diseases and screen donated
human blood. It also makes
diagnostics to detect a host
of infectious, disease-causing
bacteria and fungi, including
those behind tuberculosis and
strep throat. In addition, the
company makes products that
screen donated blood for these
diseases. The company was
founded in 1983.
Manufacture and wholesale
medical, surgical and dental
supplies such as wound care
dressings, stethoscopes,
dental crowns and bridges,
metered dose inhalers,
orthopedic braces and
implants, disposable diaper
tape tabs, facial oil control
fim, and animal care solutions</t>
  </si>
  <si>
    <t xml:space="preserve">3841
3842</t>
  </si>
  <si>
    <t xml:space="preserve">Gen-Probe Inc
3M Co</t>
  </si>
  <si>
    <t xml:space="preserve">GEN-PROBE INC/3M HEALTH CARE LTD-STRATEGIC ALLIANCE</t>
  </si>
  <si>
    <t xml:space="preserve">Gen-Probe Inc (GP) and 3M Health Care Ltd (3H), a unit of 3M Co's 3M United
Kingdom PLC subsidary, formed a strategic alliance to develop, manufacture
and market innovative nucleic acid tests in the United States. The alliance
collaborated to provide food processors with products that can enhance food
safety and increase the efficiency of testing. Under terms of the
agreement, 3H was responsible for developing sample processing methods that
will be used with GP's nucleic acid tests while GP was responsible for
assay development and manufacturing.</t>
  </si>
  <si>
    <t xml:space="preserve">36866T
88554H</t>
  </si>
  <si>
    <t xml:space="preserve">Powerchip Semiconductor Corp
Elpida Memory Inc</t>
  </si>
  <si>
    <t xml:space="preserve">Mnfr,whl semiconductors
Mnfr,whl integrated circuits</t>
  </si>
  <si>
    <t xml:space="preserve">Powerchip Semiconductor Corp
is a manufacturer and
wholesaler of semiconductors,
headquartered in Hsinchu,
Taiwan. It is also involved in
testing, assembling and
selling of integrated circuit
products. The company's
products include SDRAM, DDR
SDRAM, graphic DRAM and
others. It was founded on 20
December 1994.
Elpida Memory Inc,
headquartered in Tokyo, Japan,
is a manufacturer and
wholesaler of dynamic random
access memory (DRAM)
integrated circuits for
applications that include
servers, mobile phones and
digital electronics. The
products include registered
DIMM and DDR2, RAM, SDRAM, and
SO-DIMM and un-buffered DIMM
and so on. The company was
founded in December 20, 1999.</t>
  </si>
  <si>
    <t xml:space="preserve">Taiwan
Japan</t>
  </si>
  <si>
    <t xml:space="preserve">POWERCHIP SEMICONDUCTORS CORP/ELPIDA MEMORY INC-JOINT VENTURE</t>
  </si>
  <si>
    <t xml:space="preserve">Elpida Memory Inc (EM) and Powerchip Semiconductor Corp (PS) planned to
form a joint venture named Rexchip Electronics Corp (RE) to develop and
manufacture DRAM wafer semiconductor and related products in Taiwan. EM and
PS were to each hold a 50% interest in RE. The partners were to invest an
estimated $1.238 bil US (40 bil Taiwanese dollars/142.692 bil Japanese yen)
for the working capital funds of RE. RE was to operate a DRAM production
facility in Central Taiwan Science Park, Houli, Taichung county with a
total capacity of 240,000 unit of a 12 inches wafers on a monthly basis.
RE's formation was strategic opportunity both for PS and EM to leverage
their combined expertise in the semiconductor industry.</t>
  </si>
  <si>
    <t xml:space="preserve">The partners were to invest an estimated $1.238 bil US (40 bil Taiwanese
dollars/142.692 bil Japanese yen) for the working capital funds of the
joint venture.</t>
  </si>
  <si>
    <t xml:space="preserve">73934W
64390Q</t>
  </si>
  <si>
    <t xml:space="preserve">Sellcell.Net
Safe-com GmbH &amp; Co KG</t>
  </si>
  <si>
    <t xml:space="preserve">Pvd online telephony svcs
Pvd sec info tech svcs</t>
  </si>
  <si>
    <t xml:space="preserve">Provide online telephony
services for cellular phone
subscribers
Provide security information
technology services</t>
  </si>
  <si>
    <t xml:space="preserve">7375
7376</t>
  </si>
  <si>
    <t xml:space="preserve">BODYTEL SCIENTIFIC INC/SAFE-COM-GLUCOTEL SCIENTIFIC INC JOINT VENTURE</t>
  </si>
  <si>
    <t xml:space="preserve">Provide research, development
and commercialization of blood
glucose meter capable of
transmitting data from a
diabetic patient to a secure
database using BlueTooth and
cellular phone technology
services</t>
  </si>
  <si>
    <t xml:space="preserve">Sellcell.Net (SN) and Safe-com GmbH &amp; KG (SG) formed a joint venture named
GlucoTel Scientific Inc (GT) to provide research, development and
commercialization of blood glucose meter capable of transmitting data from
a diabetic patient to a secure database using BlueTooth and cellular phone
technology services in Canada. Under terms of the agreement, SN and SG each
held 50% interest in GT. SN was expected to invest up to $2.5 mil US in
GT.</t>
  </si>
  <si>
    <t xml:space="preserve">Research &amp; Development Services
Manufacturing Services
Retail &amp; Wholesale Services
Marketing Services</t>
  </si>
  <si>
    <t xml:space="preserve">BodyTel Scientific Inc was expected to invest up to $2.5 mil US in GlucoTel
Scientific Inc.</t>
  </si>
  <si>
    <t xml:space="preserve">38118Z</t>
  </si>
  <si>
    <t xml:space="preserve">81641X
78285A</t>
  </si>
  <si>
    <t xml:space="preserve">Genentech Inc
AC Immune SA</t>
  </si>
  <si>
    <t xml:space="preserve">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
AC Immune SA, located in
Lausanne, Switzerland,
provides research and
development services. It
involves in the combination of
an immunology and a chemistry
platform technology to develop
therapies against
conformational diseases and
cancer. The company was
founded in 2003.
founded in 2003.</t>
  </si>
  <si>
    <t xml:space="preserve">Roche Holdings AG
AC Immune SA</t>
  </si>
  <si>
    <t xml:space="preserve">GENENTECH INC/AC IMMUNE SA-STRATEGIC ALLIANCE</t>
  </si>
  <si>
    <t xml:space="preserve">AC Immune SA (AI) and Genentech Inc (GI) formed a strategic alliance
wherein AI licensed GI to utilize its anti-amyloid antibodies for treatment
of Alzheimer's disease and other diseases. AI was expected to receive an
upfront payment and was to be eligible to receive over $300 mil US for
achieving clinical and regulatory milestones. GI was also expected to pay
royalties  on net sales upon commercialization of product from the
agreement,</t>
  </si>
  <si>
    <t xml:space="preserve">AC Immune SA was to be eligible to receive over $300 mil US for achieving
clinical and regulatory milestones.</t>
  </si>
  <si>
    <t xml:space="preserve">368710
01182X</t>
  </si>
  <si>
    <t xml:space="preserve">Xenon Pharmaceuticals Inc
Roche Holdings AG</t>
  </si>
  <si>
    <t xml:space="preserve">Pharmaceutical Preparation Manufacturing
Manufactures, wholesales pharmaceuticals and medical instruments</t>
  </si>
  <si>
    <t xml:space="preserve">Xenon Pharmaceuticals Inc,
located in Burnaby, British
Columbia, is a
biopharmaceutical company
focused on clinical genetic
based drug discovery,
developing novel small
molecule therapies based on
the genetic causes of select
metabolic, neurological and
cardiovascular diseases. The
company has built a enabling
discovery platform for the
discovery of validated drug
targets by studying rare
human diseases with extreme
traits, including diseases
caused by mutations in ion
channels, known as
channelopathies. It was
incorporated on November 5,
1996.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</si>
  <si>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XENON PHARMACEUTICALS INC/HOFFMANN-LA ROCHE(DNU)-STRATEGIC ALLIANCE</t>
  </si>
  <si>
    <t xml:space="preserve">Xenon Pharmaceuticals Inc (XP) and Roche Holding AG formed a 2-year
strategic alliance to provide  hemojuvelin (HJV) protein therapeutics
discovery and development services as a novel approach for the treatment of
anemia of inflammation. XP and RH were expected to jointly research
protein-based inhibitors of HJV and XP was expected to be eligible to
receive payments of up to $44 mil US for the first product upon achievement
of a series of research, development and regulatory milestones. RH was also
expected to pay XP undisclosed royalties on sales of resulting products.</t>
  </si>
  <si>
    <t xml:space="preserve">Xenon Pharmaceuticals Inc was expected to be eligible to receive payments
of up to $44 mil US for the first product upon achivement of a series of
research, development and regulatory milestones.</t>
  </si>
  <si>
    <t xml:space="preserve">98420N
77119M</t>
  </si>
  <si>
    <t xml:space="preserve">Response Biomedical Corp
3M Co</t>
  </si>
  <si>
    <t xml:space="preserve">Mnfr,whl cell testing kits
Mnfr,whl surgical,med equip</t>
  </si>
  <si>
    <t xml:space="preserve">Response Biomedical Corp,
headquartered in Vancouver,
British Columbia, Canada,
manufactures and wholesales
cell testing kits. The
company's products are used
for cardiovascular, infectious
diseases, biodefense, and west
nile virus testing. The
company was founded in 1980.
3M Co, headquartered in St.
Paul, Minnesota, manufactures
and wholesales surgical and
medical equipment and
apparatus, adhesives, tapes,
tape dispensers, glue sticks,
sponges, picture paper,
sandpaper, reflective sheeting
for highway signs, display
enhancement films, dental
resins, crowns, bridges and
impression materials, drug
delivery systems such as
metered dose inhalation
technologies and transdermal
technologies, scrapbooks,
batting and golf gloves,
insect repellent,
stethoscopes, infant diapers,
adult incontinence and
feminine hygiene products, and
branded prescription drugs
related to dermatology,
women's health, sexual health,
cardiology and respiratory
medicine. It is also a holding
company. The company was
founded in 1902.</t>
  </si>
  <si>
    <t xml:space="preserve">3826
3841</t>
  </si>
  <si>
    <t xml:space="preserve">FF
MN</t>
  </si>
  <si>
    <t xml:space="preserve">RESPONSE BIOMEDICAL CORP/3M CO-STRATEGIC ALLIANCE</t>
  </si>
  <si>
    <t xml:space="preserve">Response Biomedical Corp and 3M Co formed a strategic alliance to develop
and manufacture RAMP-based pharmaceutical products for the treatment of
infectious diseases globally. The alliance was a strategic growth
opportunity both for the partners to leverage their clinical and regulatory
services and to further expand their market coverage.</t>
  </si>
  <si>
    <t xml:space="preserve">76123L
88579Y</t>
  </si>
  <si>
    <t xml:space="preserve">Tank Sports Inc
Long SA de CV</t>
  </si>
  <si>
    <t xml:space="preserve">Retail vehicles
Mnfr motorcycles</t>
  </si>
  <si>
    <t xml:space="preserve">Tank Sports Inc, located in
california, USA, is a vehicles
retailer. The Company's
principal activity is to sell
and distribute recreational
and transportation
motorcycles, dirt bikes,
scooters and Go Karts. It
markets its products through
Tank Sports, Inc and as well
as 151 dealers and
distributors worldwide. It
operates in the United States,
Mexico, Ecuador, Jamaica and
Finland. The company was
founded in 2001.
Manufacture motorcycles</t>
  </si>
  <si>
    <t xml:space="preserve">5561
3751</t>
  </si>
  <si>
    <t xml:space="preserve">TANK SPORTS INC/LONG SA DE CV-STRATEGIC ALLIANCE</t>
  </si>
  <si>
    <t xml:space="preserve">Tank Sports Inc and Long SA de CV formed a strategic alliance to provide
research and development services of motorcycles globally. Under terms of
the agreement, the partners were to collaborate with new product
developmental, research and sharing of resources. The alliance was a
strategic growth opportunity both for the partners to leverage their
production services and to further expand their market coverage.</t>
  </si>
  <si>
    <t xml:space="preserve">87583U
54236Z</t>
  </si>
  <si>
    <t xml:space="preserve">Merck &amp; Co Inc
Idera Pharmaceuticals Inc</t>
  </si>
  <si>
    <t xml:space="preserve">Mnfr,whl pharmaceutical prod
Mnfr diagnostic pharmaceutical</t>
  </si>
  <si>
    <t xml:space="preserve">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
Idera Pharmaceuticals Inc,
located in Cambridge,
Massachusetts, manufacture
diagnostic pharmaceuticals
including in-vitro and in
vivo substances, intended
for final consumption.</t>
  </si>
  <si>
    <t xml:space="preserve">MERCK &amp; CO INC/IDERA PHARMACEUTICALS INC-STRATEGIC ALLIANCE</t>
  </si>
  <si>
    <t xml:space="preserve">Merck &amp; Co Inc (MC) and Idera Pharmaceuticals Inc (IP) formed a strategic
alliance to provide research, development and commercialization services of
Alzheimer's disease therapeutic and prophylactic vaccines in the United
States. The alliance was a strategic growth opportunity both for the
partners to leverage their medical research services and to further expand
their market coverage. Under terms of the agreement, MC was expected to
receive worldwide exclusive rights to a number of IP's TLR-7, -8 and -9
agonists. MC was expected to pay an upfront license fee of $20 mil US to
IP. In addition, IP was expected to receive $165 mil US as milestone
payments  if vaccines were succesfully developed. IP was also entitled to
receive royalties on products generated from the alliance that reach the
market. Further details were not disclosed.</t>
  </si>
  <si>
    <t xml:space="preserve">Merck &amp; Co Inc (MC) was expected to pay an upfront license fee of $20 mil
US to Idera Pharmaceuticals Inc (IP). In addition, IP was expected to
receive $165 mil US as milestone payments  if vaccines were succesfully
developed</t>
  </si>
  <si>
    <t xml:space="preserve">589331
45168K</t>
  </si>
  <si>
    <t xml:space="preserve">Health Discovery Corp Inc
Pfizer Inc</t>
  </si>
  <si>
    <t xml:space="preserve">biotech co
Manufacture,wholesale pharmaceuticals</t>
  </si>
  <si>
    <t xml:space="preserve">Health Discovery Corp, based
in Georgia, operates as a
pattern recognition company
that uses mathematical
techniques to analyze large
amounts of data to uncover
patterns in the United States.
The company also licenses its
breast cancer diagnostic
technologies for identifying
circulating tumor cells in the
blood. It was founded in 2001.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</si>
  <si>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HEALTH DISCOVERY CORP INC/PFIZER INC-STRATEGIC ALLIANCE</t>
  </si>
  <si>
    <t xml:space="preserve">Health Discovery Corp (HD) and Pfizer Inc (PI) formed a strategic alliance
wherein HD licensed PI to utilize its pattern recognition technology for
use in research and development activities worldwide. The alliance was
expected to include HD's Support Vector Machine (SVM), Fractal Genomic
Modeling (FGM) and related methods for data analysis. The alliance was
expected to be an important tool for the discovery of new drug targets such
as proteins, genes, or other molecules that a drug is intended to affect
and might also be helpful in possible identification of new biomarkers to
assess both efficacy and toxic responses to new drugs. Financial terms were
not disclosed.</t>
  </si>
  <si>
    <t xml:space="preserve">42218R
717081</t>
  </si>
  <si>
    <t xml:space="preserve">EPIX Pharmaceuticals Inc
GlaxoSmithKline PLC</t>
  </si>
  <si>
    <t xml:space="preserve">EPIX Pharmaceuticals Inc,
located in Cambridge,
Massachusetts, manufactures
pharmaceuticals focused on
discovering and developing
novel therapeutics through the
use of its proprietary silico
drug discovery platform. The
company has a pipeline of
internally-discovered drug
candidates currently in
clinical development to treat
diseases of the central
nervous system and lung
conditions. The company was
founded in 1988.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</si>
  <si>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GLAXOSMITHKLINE PLC/EPIX PHARMACEUTICALS INC-STRATEGIC ALLIANCE</t>
  </si>
  <si>
    <t xml:space="preserve">GlaxoSmithKline PLC and EPIX Pharmaceuticals Inc formed a strategic
alliance to provide research and development services of medicines
targeting four G-protein coupled receptors for the treatment of a variety
of diseases globally. The alliance was a strategic growth opportunity both
for the partners to leverage their therapeutic and vaccines products and to
further expand their market coverage.</t>
  </si>
  <si>
    <t xml:space="preserve">26881Q
37733W</t>
  </si>
  <si>
    <t xml:space="preserve">Abbott Labs
Enanta Pharmaceuticals Inc</t>
  </si>
  <si>
    <t xml:space="preserve">Mnfr,whl pharm,med equip
Biotechnology company</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</si>
  <si>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Enanta Pharmaceuticals Inc,
based in Watertown,
Massachusetts, is a research
and development-focused
biotechnology company. The
company focuses on discovering
and developing inhibitors
designed for use against the
hepatitis C virus. It uses
robust chemistry-driven
approach and drug discovery
capabilities to create small
molecule drugs in the
infectious disease field. It
was incorporated under the
laws of the State of Delaware
in 1995.</t>
  </si>
  <si>
    <t xml:space="preserve">IL
MA</t>
  </si>
  <si>
    <t xml:space="preserve">ABBOTT LABORATORIES/ENANTA PHARMACEUTICALS INC-STRATEGIC ALLIANCE</t>
  </si>
  <si>
    <t xml:space="preserve">Abbott Laboratories (AL) and Enanta Pharmaceuticals Inc (EP) formed a
strategic alliance to provide hepatitis C virus (HCV) NS3 and NS3/4A
protease inhibitors development and commercialization services worldwide.
Under terms of the agreement, AL gained a worldwide access to EP's
substantial intellectual property position for a variety of different types
of compounds including several issued US patents while AL gained access to
EP's drug discovery capabilities in the HCV protease inhibitor field. The
alliance was subject to antitrust clearance under the Hart-Scott-Rodino
Act. EP was expected to receive an upfront payment of $57 mil US and if all
potential clinical and regulatory milestones were met, EP was to receive
$250 mil US. EP was also expected to receive double-digit royalties.</t>
  </si>
  <si>
    <t xml:space="preserve">Enanta Pharmaceuticals Inc (EP) was expected to receive an upfront payment
of $57 mil US and if all potential clinical and regulatory milestones were
met, EP was to receive $250 mil US. EP was also expected to receive
double-digit royalties.</t>
  </si>
  <si>
    <t xml:space="preserve">002824
29251M</t>
  </si>
  <si>
    <t xml:space="preserve">CIGNA Healthcare
University of Michigan</t>
  </si>
  <si>
    <t xml:space="preserve">Pvd med,dental ins svcs
Own,op college,university</t>
  </si>
  <si>
    <t xml:space="preserve">CIGNA Healthcare, located in
Hartford, Connecticut,
provides medical and dental
insurance services.
University of Michigan,
located in Ann Arbor,
Michigan, is an owner and
operator of a college and
university that offers
degree programs for
undergraduate and graduate
students.</t>
  </si>
  <si>
    <t xml:space="preserve">6324
8221</t>
  </si>
  <si>
    <t xml:space="preserve">CT
MI</t>
  </si>
  <si>
    <t xml:space="preserve">Cigna Corp
University of Michigan</t>
  </si>
  <si>
    <t xml:space="preserve">CIGNA HEALTHCARE/UNIVERSITY OF MICHIGAN-STRATEGIC ALLIANCE</t>
  </si>
  <si>
    <t xml:space="preserve">Connecticut</t>
  </si>
  <si>
    <t xml:space="preserve">CIGNA Healthcare (CH), a unit of CIGNA Corp, and University of Michigan
(UM), formed a strategic alliance wherein CH licensed UM to utilize its
sophisticated analytics that help consumers identify and address health
risks and help employers develop worksite health and wellness program in
the United States. CH was also expected to license the UM's Health
Management Research Center health rish assessment questionnaire and have
access to additional employer reporting capabilities.In addition, CH and UM
were also expected to research on health and wellness promotion.</t>
  </si>
  <si>
    <t xml:space="preserve">17180W
91445Q</t>
  </si>
  <si>
    <t xml:space="preserve">Sigma-Aldrich Corp
Rubicon Genomics Inc</t>
  </si>
  <si>
    <t xml:space="preserve">Mnfr,whl chemicals
Biotech co</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</si>
  <si>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Rubicon Genomics Inc is a
manufacturer of biological
products. The Company is
located in Ann Arbor,
Michigan.</t>
  </si>
  <si>
    <t xml:space="preserve">MO
MI</t>
  </si>
  <si>
    <t xml:space="preserve">SIGMA ALDRICH CORP(DNU)/RUBICON GENOMICS INC-STRATEGIC ALLIANCE</t>
  </si>
  <si>
    <t xml:space="preserve">Sigma-Aldrich Corp (SC) and Rubicon Genomics Inc (RG) formed a strategic
alliance to provide TransPlex (TM) Whole Transcriptome Amplification (WTA)
technology development and commercialization services in the United States.
TransPlex technology was expected as the fastest, most sensitive robust
method available for amplifying total RNA from a variety of sample sources.</t>
  </si>
  <si>
    <t xml:space="preserve">826552
78118Y</t>
  </si>
  <si>
    <t xml:space="preserve">Valeant Pharmaceuticals Intl
Metabasis Therapeutics Inc
Schering-Plough Corp</t>
  </si>
  <si>
    <t xml:space="preserve">Manufacture,wholesale specialty pharm prod
Biopharm co
Mnfr,whl pharm</t>
  </si>
  <si>
    <t xml:space="preserve">Valeant Pharmaceuticals
International Inc,
headquartered in Bridgewater,
New Jersey, is a manufacturer
and wholesaler of specialty
pharmaceutical products. Its
brands include Mestinon,
Tasmar, Virazole, Dermatix and
Kinerase, focusing in the
neurology and dermatology
therapeutic areas, while also
producing branded generics,
and consumer and cosmeceutical
products. The company was
founded on 1960.
Metabasis Therapeutics Inc,
located in La Jolla,
Caslifornia, is a
biopharmaceutical company
focused on the discovery,
development and
commercialization of novel
small molecule drugs
principally to treat metabolic
and liver diseases. Its
product pipeline includes
clinical-stage product
candidates and advanced
discovery programs for the
treatment of metabolic
diseases, such as diabetes and
hyperlipidemia. The Company
was founded in 1997.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</si>
  <si>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2834
2836
2834</t>
  </si>
  <si>
    <t xml:space="preserve">NJ
CA
NJ</t>
  </si>
  <si>
    <t xml:space="preserve">VALEANT PHARM INTL/METABASIS THERAPEUTICS INC/SCHERING PLOUGH
CORP-STRATEGIC ALLIANCE</t>
  </si>
  <si>
    <t xml:space="preserve">Valeant Pharmaceuticals International (VP), Metabasis Therapeutics Inc (MT)
and Schering-Plough Corp (SP) formed a strategic alliance wherein VP and MT
licensed SP to develop their Hepatitis-B compund, Pradefovir, in the United
States. Under terms of the agreement, SP was expected to make an upfront
payment of $19.2 mil US to VP and $1.8 mil US to MT plus an additional $90
mil US in aggregate fees upon the achievement of certain development and
regulatory milestones to VP and MT.</t>
  </si>
  <si>
    <t xml:space="preserve">Schering-Plough Corp was expected to make $111 mil US in upfront and
milestone payments.</t>
  </si>
  <si>
    <t xml:space="preserve">91911X
59101M
806605</t>
  </si>
  <si>
    <t xml:space="preserve">Syntax-Brillian Corp
LG Philips LCD Co Ltd</t>
  </si>
  <si>
    <t xml:space="preserve">Mnfr,mkt HDTV-ready LCD TV
Mnfr LCD panels</t>
  </si>
  <si>
    <t xml:space="preserve">Syntax-Brillian Corp,
headquartered in Tempe,
Arizona, manufactures, designs
and markets widescreen
HDTV-ready LCD television and
digital entertainment
products. The company lead
products include its Olevia
brand high definition
widescreen LCD televisions and
Vivitar brand digital still
and video cameras. The company
was founded in 2005.
LG Philips LCD Co Ltd, located
in Seoul, South Korea,
manufactures Liquid Crystal
Displays (LCD) panels for
televisions, monitors,
notebooks and emerging mobile
applications.</t>
  </si>
  <si>
    <t xml:space="preserve">3663
3679</t>
  </si>
  <si>
    <t xml:space="preserve">AZ
FF</t>
  </si>
  <si>
    <t xml:space="preserve">SYNTAX-BRILLIAN CORP/LG PHILIPS LCD CO LTD-STRATEGIC ALLIANCE</t>
  </si>
  <si>
    <t xml:space="preserve">Syntax-Brillian Corp (SB) and LG Philips LCD Co Ltd (LP) formed a strategic
alliance to wholesale and supply LCD panels for the manufacture of Olevia
LCD TV worldwide. LP was expected to supply approximately 700,000 panels to
SB with its full line of panels including 26", 32", 37", 42", 47", 52",
55", 57" and 65" panels. SB and LP were also expected to collaborate on
future research and development efforts at a joint office in Nanjing,
China.</t>
  </si>
  <si>
    <t xml:space="preserve">87163L
50186V</t>
  </si>
  <si>
    <t xml:space="preserve">Certified Envi Services Inc
Red Owl Stores-Warehouse Bus</t>
  </si>
  <si>
    <t xml:space="preserve">Pvd envi consulting svcs
Provide food warehousing svcs</t>
  </si>
  <si>
    <t xml:space="preserve">Provide environmental
consulting and testing
services
Provide warehousing services;
wholesale groceries</t>
  </si>
  <si>
    <t xml:space="preserve">9511
4225</t>
  </si>
  <si>
    <t xml:space="preserve">NY
MN</t>
  </si>
  <si>
    <t xml:space="preserve">Certified Envi Services Inc
Red Owl Stores Inc</t>
  </si>
  <si>
    <t xml:space="preserve">9511
5411</t>
  </si>
  <si>
    <t xml:space="preserve">CERTIFIED ENVIRONMENTAL SERVICES INC/RED REEF LABORATORIES INTERNATIONAL
INC-JOINT VENTURE</t>
  </si>
  <si>
    <t xml:space="preserve">Certified Environmental Services Inc (CE) and Red Reef Laboratories
International Inc (RR) planned to form a joint venture (JV) to provide
environmental testing services in the United States. Under terms of the
agreement, CE and RR were to open a series of satellite environmental test
laboratories to focus on the creation of services for remediation
organization which was to offer a broad range of services such as soil
reclamation, water purification, bio hazard and trauma site remediation and
brownfield redevelopment, etc. CE and RR were to open their first satellite
laboratory in South Florida.</t>
  </si>
  <si>
    <t xml:space="preserve">Environmental Services
Research &amp; Development Services</t>
  </si>
  <si>
    <t xml:space="preserve">15735Z
75686X</t>
  </si>
  <si>
    <t xml:space="preserve">Peregrine Pharmaceuticals Inc
Biotecnol SA</t>
  </si>
  <si>
    <t xml:space="preserve">Peregrine Pharmaceuticals Inc,
located in Tustin, California,
is a biotechnology company
focused on developing
therapeutic agents that effect
blood vessels and blood flow
in cancer and other diseases.
The company was founded in
1981.
Biotechnology company focused
on the development of
antibody-based therapeutics to
treat life-threatening
diseases such as cancer</t>
  </si>
  <si>
    <t xml:space="preserve">2835
2836</t>
  </si>
  <si>
    <t xml:space="preserve">United States
Portugal</t>
  </si>
  <si>
    <t xml:space="preserve">PEREGRINE PHARMACEUTICALS INC/BIOTECNOL SA-STRATEGIC ALLIANCE</t>
  </si>
  <si>
    <t xml:space="preserve">Peregrine Pharmaceuticals Inc (PP) and Biotecnol SA (BS) planned to form a
strategic alliance to provide novel targeted immunocytokine agents
development services for the treatment of cancer and other disease
indications. The alliance was to apply technology from PP's Vascular
Targeting Agent (VTA) platform with BS' Tribody (TM) technology to engineer
novel agents that fuse PP's anti-phospholipid targeting agents to one or
more cytokines in a Tribody format. Terms were not disclosed.</t>
  </si>
  <si>
    <t xml:space="preserve">713661
09094K</t>
  </si>
  <si>
    <t xml:space="preserve">H Lee Moffitt Cancer Center
Merck &amp; Co Inc</t>
  </si>
  <si>
    <t xml:space="preserve">Specialty (Except Psychiatric and Substance Abuse) Hospitals
Mnfr,whl pharmaceutical prod</t>
  </si>
  <si>
    <t xml:space="preserve">H Lee Moffitt Cancer Center
&amp; Research Institute Inc,
located in Tampa, Florida,
owns and operates
comprehensive cancer centers
engaged in research,
clinical trials, prevention
and cancer control. The
Company was founded in 1983.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</si>
  <si>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8069
2834</t>
  </si>
  <si>
    <t xml:space="preserve">FL
NJ</t>
  </si>
  <si>
    <t xml:space="preserve">H LEE MOFFITT CANCER CENTER/MERCK &amp; CO INC-STRATEGIC ALLIANCE</t>
  </si>
  <si>
    <t xml:space="preserve">H Lee Moffitt Cancer Center &amp; Research Institute (HL) and Merck &amp; Co Inc
(MC) planned to form a strategic alliance to provide  research and
development services to improve cancer prevention and treatment in the
United States. The alliance was to expand its efforts in research and
biotech with the goal of developing personalized medicine by using
molecular technology to enhance the ability to diagnose and treat patients.
The alliance was expected to draw new high paying jobs and serve as a
magnet for other companies to help create a robust biotechnology industry.</t>
  </si>
  <si>
    <t xml:space="preserve">52795F
589331</t>
  </si>
  <si>
    <t xml:space="preserve">Cell Signaling Technology Inc
AstraZeneca PLC</t>
  </si>
  <si>
    <t xml:space="preserve">Pvd research,dvlp svcs
Manufactures, wholesales pharmaceutical products</t>
  </si>
  <si>
    <t xml:space="preserve">Cell Signaling Technology Inc,
located in Danvers,
Massachusetts, provides
research and development
services of phospho-specific
antobodies for kinase and
pathway activation
measurement. The company was
founded in 1999.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</si>
  <si>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CELL SIGNALING TECHNOLOGY INC/ASTRAZENECA PLC-STRATEGIC ALLIANCE</t>
  </si>
  <si>
    <t xml:space="preserve">Cell Signaling Technology Inc (CST), and AstraZeneca PLC (AZ) formed a
strategic alliance to provide rabbit monoclonal technologies development
for biomarker assays services. AZ was expected to employ its novel and
proprietary rabbit monoclonal antibody (RmAb) technologies to develop high
specificity and high affinity RmAbs to AZ's oncology targets. CST applied
its expertise and capabilities in assay development to perform rigorous
validation of RmAbs for applications important to the advancement of AZ's
lead small molecule therapeutics.</t>
  </si>
  <si>
    <t xml:space="preserve">15158P
046353</t>
  </si>
  <si>
    <t xml:space="preserve">MicroFuze International PLC
Applied Thermal Coatings Inc</t>
  </si>
  <si>
    <t xml:space="preserve">Mnfr microwave diffusion tech
Mnfr indl frunace mach,equip</t>
  </si>
  <si>
    <t xml:space="preserve">MicroFuze International PLC
is a manufacturer of metal
cutting machine tools. The
Company is located in
London, the United Kingdom.
Manufacture industrial furnace
machinery and equipments</t>
  </si>
  <si>
    <t xml:space="preserve">3541
3567</t>
  </si>
  <si>
    <t xml:space="preserve">FF
TN</t>
  </si>
  <si>
    <t xml:space="preserve">MICROFUZE INTERNATIONAL PLC/APPLIED THERMAL COATINGS-JOINT VENTURE</t>
  </si>
  <si>
    <t xml:space="preserve">MicroFuze International PLC (MI) and Applied Thermal Coatings (AT) planned
to form a joint venture named MicroFuze Energy LLC (ME) to provide research
and development services of microwave diffusion treatment technology
globally. ME's formation alliance was a strategic growth opportunity both
for the MI and AT to leverage their technology services and to further
expand their network coverage. MI was to hold a 90% interest in ME and the
remaining 10% stake was to be held by AT. Financial terms were not
disclosed</t>
  </si>
  <si>
    <t xml:space="preserve">90.00
10.00</t>
  </si>
  <si>
    <t xml:space="preserve">59473K
03805L</t>
  </si>
  <si>
    <t xml:space="preserve">Bayerische Motoren Werke AG
PSA Peugeot Citroen SA</t>
  </si>
  <si>
    <t xml:space="preserve">Automobile Manufacturing
Manufacture, wholesale motor vehicles</t>
  </si>
  <si>
    <t xml:space="preserve">Bayerische Motoren Werke AG
is a Germany-based
automobile and motorcycle
manufacturer. It divides its
activities into four
segments: Automobiles,
Motorcycles, Financial
Services and Other Entities.
The Automotive segment
develops, manufactures,
assembles and sells cars and
off-road vehicles under the
brands BMW, MINI and
Rolls-Royce as well as spare
parts and accessories. The
Motorcycles segment
assembles and sells
motorcycles as well as spare
Financial Services segment
focuses on car leasing,
multi-brand financing, fleet
business, retail customer
and dealer financing,
customer deposit business
and insurance activities.
The Other Entities segment
comprises other operating
companies, such as BMW
Services Ltd, BMW (UK)
Investments Ltd, Bavaria
Lloyd Reisebuero GmbH and
MITEC Mikroelektronik
Mikrotechnik Informatik.
PSA Peugeot Citroen SA,
located in Paris, France,
manufactures and wholesales
motor vehicles, including
passenger cars and light
commercial vehicles, under
the Peugeot, Citroen and DS
Automobiles brands. It also
runs software development
operations via its Free2Move
brand, rental leasing, via
Banque PSA Finance, and
engine and gear boxes
manufacturing via Mister
Auto. It has operations in
China, CIS countries, Latin
America, Europe, Japan,
Korea, Middle East and
Africa. It also acts as a
holding company. It was
founded in 1976.</t>
  </si>
  <si>
    <t xml:space="preserve">3711
3711</t>
  </si>
  <si>
    <t xml:space="preserve">Germany
France</t>
  </si>
  <si>
    <t xml:space="preserve">BAYERISCHE MOTOR WERKE AG/PEUGEOT CITROEN SA-STRATEGIC ALLIANCE</t>
  </si>
  <si>
    <t xml:space="preserve">Bayerische Motor Werke AG and PSA Peugeot Citroen signed letter of intent
to form a strategic alliance to provide research and development services
of gasoline four-cylinder engines in Germany. The alliance was a strategic
growth opportunity both for the partners to leverage their automotive
services and to further expand their market coverage.</t>
  </si>
  <si>
    <t xml:space="preserve">072743
716825</t>
  </si>
  <si>
    <t xml:space="preserve">AVI Biopharma Inc
Ercole Biotech Inc</t>
  </si>
  <si>
    <t xml:space="preserve">Biopharm company
Biopharm co</t>
  </si>
  <si>
    <t xml:space="preserve">AVI Biopharma Inc, located
in Corvallis, Oregon, is a
biopharmaceutical company
developing drugs to treat
life-threatening diseases
using its patented
third-generation antisense
technology. With its
flagship NeuGene antisense
drugs, they have completed
eleven clinical trials in
more than 300 subjects
addressing cardiovascular
restenosis, infectious
disease, cancer, polycystic
kidney disease and drug
metabolism.
Ercole Biotech Inc, located in
Research Triangle Park, North
Carolina, is a
biopharmaceutical company that
manufactures oligonucleotide
drugs for the treatment of
cancer, inflammatory diseases
and inherited diseases, such
as thalassemia, cystic
fibrosis and muscular
dystrophy.</t>
  </si>
  <si>
    <t xml:space="preserve">OR
NC</t>
  </si>
  <si>
    <t xml:space="preserve">AVI BIOPHARMA INC/ERCOLE BIOTECH INC-STRATEGIC ALLIANCE</t>
  </si>
  <si>
    <t xml:space="preserve">Oregon</t>
  </si>
  <si>
    <t xml:space="preserve">Avi Biopharma Inc (AB) and Ercole Biotech Inc (EB) formed a strategic
alliance wherein AB and EB cross-licensed each other's patents for RNA
splice-altering technologies in the United States. Under the license
agreement, AB and EB were expected to each select a set of specific gene
targets and take the respective lead in investigating the potential
therapeutic effects of shifting splicing of those genes. AB referred to its
therapeutic approach as ESPRIT or Exon Skipping Pre-RNA Interference
Technology while EB used the term Splice Switching Oligonucleotide.</t>
  </si>
  <si>
    <t xml:space="preserve">002346
29474M</t>
  </si>
  <si>
    <t xml:space="preserve">Genomatica Inc
Diversa Corp</t>
  </si>
  <si>
    <t xml:space="preserve">Genomatica Inc, located in
San Diego, California, is
biotechnology company that
develops and commercializes
superior biological
factories (Bio-Factories)
and innovative
biomanufacturing processes
for the manufacture of high
value chemical and
biological products. It was
founded on 1998.
Provide research and
development services
particularly in developing
novel enzymes and other
biological active compounds,
such as small molecule drugs
and monoclonal antibodies</t>
  </si>
  <si>
    <t xml:space="preserve">Genomatica Inc
Koninklijke Begemann Groep NV</t>
  </si>
  <si>
    <t xml:space="preserve">GENOMATICA INC/DIVERSA CORP-STRATEGIC ALLIANCE</t>
  </si>
  <si>
    <t xml:space="preserve">Genomatica Inc (GI) and Diversa Corp (DC) formed a strategic alliance to
provide bio-manufacturing processes development for biologically-derived
enzyme products in the United States. GI was expected to strive to attain
important productivity and yield targets to improve manufacturing
efficiency and costs. GI was also expected to receive research support,
commercial milestone payments and eligible for royalty payments based on
future product sales.</t>
  </si>
  <si>
    <t xml:space="preserve">37238E
255064</t>
  </si>
  <si>
    <t xml:space="preserve">GE Global Research
Sumitomo Electric Industries</t>
  </si>
  <si>
    <t xml:space="preserve">Pvd research,dvlp svcs
Mnfr,whl auto parts</t>
  </si>
  <si>
    <t xml:space="preserve">GE Global Research,
headquartered in Niskayuna,
New York, provides research
and development services.
Sumitomo Electric Industries
Ltd, headquartered in Osaka,
Japan, is engaged in the
manufacture and wholesale of
automobile parts. The
company has five business
segments. The
automobile-related segment
offers wire harnesses,
rubber cushions, hoses for
automobiles, automobile
electrical parts and others.
The information
communications-related
segment offers fiber-optic
cables, electrical cables
and equipment for
communications use, optical
communications-related parts
and others.
Electronics-related segment
offers electronic wires,
compound semiconductors,
flexible print circuit
boards, fluorine resin
products and others. The
cable, equipment and
energy-related segment is
engaged in the provision of
conductive products,
electric wire cables and
equipment, coil wires and
air springs, as well as the
electrical construction
works. Industrial material
and other segment offers
steel wires for precision
springs, steel rods, carbide
tools and optical parts for
lasers. It was founded in
1897.</t>
  </si>
  <si>
    <t xml:space="preserve">8731
3714</t>
  </si>
  <si>
    <t xml:space="preserve">General Electric Co
Sumitomo Electric Industries</t>
  </si>
  <si>
    <t xml:space="preserve">3612
3714</t>
  </si>
  <si>
    <t xml:space="preserve">GE GLOBAL RESEARCH/SUMITOMO ELECTRIC INDUSTRIES LTD-STRATEGIC ALLIANCE</t>
  </si>
  <si>
    <t xml:space="preserve">GE Global Research (GG), a unit of General Electric Co, and Sumitomo
Electric Industries (SE) planned to form a strategic alliance to provide
research collaboration services. Under terms of the agreement, GG and SE
were to develop industrial equipment using higher temperature
superconducting materials. SE was to concentrate their research activities
on superconducting wire development while GG was to focus on the design and
prototyping of new industrial applications for superconducting wires.</t>
  </si>
  <si>
    <t xml:space="preserve">36301X
865617</t>
  </si>
  <si>
    <t xml:space="preserve">Albany Molecular Research Inc
Bristol-Myers Squibb Co</t>
  </si>
  <si>
    <t xml:space="preserve">Albany Molecular Research Inc,
located in Albany, New York,
is a biotechnology company
focused on chemistry-based
drug discovery, development
and manufacture of small
molecule prescription drugs.
It also operates in Europe and
Asia. The Company was founded
in 1991.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</si>
  <si>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ALBANY MOLECULAR RESEARCH INC/BMS(DNU)-STRATEGIC ALLIANCE</t>
  </si>
  <si>
    <t xml:space="preserve">Albany Molecular Research Inc (AM) and Bristol-Myers Squibb Co (BM) formed
a strategic alliance to provide natural products-based drug discovery
services in the United States. Under terms of the agreement, AM was
expected to test samples from its natural product hit seeking collections
against multiple drug targets with the goal of identifying hit compounds
with desired biological activity in a potential range of therapeutic areas.
In addition, AM was expected to provide follow-up medicinal chemistry
hit-to-lead optimization, biocatalysis or chemical synthesis support on
compounds of interest to BM. AM was also expected to receive milestone
payments based on the achievement of specific development and
commercialization goals and royalty payments on sales of commercial
products that result from the alliance. More specific financial terms were
not disclosed.</t>
  </si>
  <si>
    <t xml:space="preserve">012423
110122</t>
  </si>
  <si>
    <t xml:space="preserve">YM BioSciences Inc
TTY Biopharm Co Ltd</t>
  </si>
  <si>
    <t xml:space="preserve">Biotech co
Mnfr,whl pharm</t>
  </si>
  <si>
    <t xml:space="preserve">YM BioSciences Inc, located in
Mississauga, Ontario, is a
biotechnology company that
provides research and
development services focused
on advancing cancer products
along the regulatory and
clinical pathways towards
commercial approval. Its
current products in clinical
development target solid
tumors including colorectal,
prostate, head &amp; neck, breast,
pancreatic, esophageal,
specific types of brain tumors
and acute pain, including
cancer pain. The company was
founded in 1994.
TTY Biopharm Co Ltd,
headquartered in Taipei,
Taiwan, manufactures and
wholesales prescription
pharmaceuticals intended for
final consumption, including
biotech products and
antibiotics specializing in
anti-cancer drugs and in new
formula technology. It was
founded in 1960.</t>
  </si>
  <si>
    <t xml:space="preserve">YM BIOSCIENCES INC(WAS 986901)/TTY BIOPHARM CO LTD-STRATEGIC ALLIANCE</t>
  </si>
  <si>
    <t xml:space="preserve">YM Biosciences Inc (YM) and TTY Biopharm Co Ltd (TTY) formed a strategic
alliance to provide drug development services in Taiwan. The alliance aimed
to expand the drug's TESMILIFENE, market potential for the treatment of
hepatic cancer as well as to demonstrate its benefits in additional cancer
indications beyond metastatic breast, hormone-refractory prostate and
gastric cancer. YM and TTY were expected to design a clinical trial that
will oversee the development of tesmilifene in additional indications. TTY
was expected to fully fund development costs and provide an undisclosed
amount of upfront, milestone and royalty payments. In addition, TTY agreed
to conduct a bridging study in the local population in 2007 to support
approval in Taiwan for the treatment of metastatic breast cancer, should
the current pivotal study being conducted by YM be successful.</t>
  </si>
  <si>
    <t xml:space="preserve">984238
87443V</t>
  </si>
  <si>
    <t xml:space="preserve">Oxford BioMedica PLC
Sigma-Aldrich Corp
GlaxoSmithKline PLC</t>
  </si>
  <si>
    <t xml:space="preserve">Manufacture pharmaceutical products
Mnfr,whl chemicals
Pharmaceutical Preparation Manufacturing</t>
  </si>
  <si>
    <t xml:space="preserve">Oxford BioMedica PLC is a
manufacturer of
pharmaceutical preparation.
The Company was founded in
1995 and is located in
Oxford, the United Kingdom.
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</si>
  <si>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2834
2899
2834</t>
  </si>
  <si>
    <t xml:space="preserve">United Kingdom
United States
United Kingdom</t>
  </si>
  <si>
    <t xml:space="preserve">FF
MO
FF</t>
  </si>
  <si>
    <t xml:space="preserve">OXFORD BIOMEDICA PLC/SIGMA-ALDRICH CORP/GLAXO HOLDINGS PLC(DNU)-STRATEGIC
ALLIANCE</t>
  </si>
  <si>
    <t xml:space="preserve">Oxford Biomedica PLC (OB), Sigma-Aldrich Corp (SA) and GlaxoSmithKline PLC
(GSK) formed a strategic alliance wherein OB licensed GSK to utilize its
LentiVector technology. The alliance was expected to provide GSK with
access to the technology for research activities. SA was OB's strategic
partner and exclusive licensee in the commercialization of the LentiVector
technology for research use. Financial terms were not disclosed.</t>
  </si>
  <si>
    <t xml:space="preserve">69140J
826552
37733W</t>
  </si>
  <si>
    <t xml:space="preserve">Armstrong Industrial Corp Ltd
Universal Forme Pty Ltd</t>
  </si>
  <si>
    <t xml:space="preserve">Mnfr engineering materials
Mnfr adhesives</t>
  </si>
  <si>
    <t xml:space="preserve">Armstrong Industrial Corp Ltd,
located in Singapore, is a
manufacturer of electrometric
materials. Its main business
include plastic cellular
products, adhesives, films,
metallic foils, specialty
materials and metal stamping
parts. It has factories in
Thailand, China, Malaysia,
Indonesia and Vietnam. The
company was founded in 1974.
Manufacture adhesives and
sealants</t>
  </si>
  <si>
    <t xml:space="preserve">3469
2891</t>
  </si>
  <si>
    <t xml:space="preserve">Singapore
Australia</t>
  </si>
  <si>
    <t xml:space="preserve">ARMSTRONG INDUSTRIAL CORP/UNIVERSAL FORME PTY LTD-STRATEGIC ALLIANCE</t>
  </si>
  <si>
    <t xml:space="preserve">Armstrong Industrial Corp Ltd and Universal Forme Pty Ltd formed a
strategic alliance to provide research and development services of
adhesives materials globally. The alliance was a strategic growth
opportunity both for the partners to leverage their production services and
to further expand their market coverage.</t>
  </si>
  <si>
    <t xml:space="preserve">04238T
91355C</t>
  </si>
  <si>
    <t xml:space="preserve">Procter &amp; Gamble Co
Inverness Med Innovations Inc</t>
  </si>
  <si>
    <t xml:space="preserve">Manufactures and wholesales beauty care products
Mnfr diagnostic pharm prod</t>
  </si>
  <si>
    <t xml:space="preserve">Procter &amp; Gamble Co,
headquartered in Cincinnati,
Ohio, manufactures and
wholesales beauty care
products. It also
distributes and markets
cosmetics, deodorants,
feminine care, fragrances,
hair care and colorants and
skin products, oral care,
pharmaceuticals, household
cleaning items like fabric,
dish, air and commercial
cares products, diapers,
baby wipes, bath tissue,
kitchen towels and facial
tissue, blades and razors,
batteries and small
appliances, and produce
coffee, pet health food, and
potato chips snack and
beverages. It also acts as a
holding company. The Company
was founded in 1837.
Inverness Medical Innovations
Inc, located in Waltham,
Massachusetts, manufactures
over-the-counter diagnostic
pharmaceutical products and
women's health nutritional
supplements and family
planning products such as
pregnancy and fertility tests.
The company also provides
research and development
services. The company was
founded in 2001.</t>
  </si>
  <si>
    <t xml:space="preserve">2841
2835</t>
  </si>
  <si>
    <t xml:space="preserve">OH
MA</t>
  </si>
  <si>
    <t xml:space="preserve">PROCTER &amp; GAMBLE CO/INVERNESS MEDICAL INNOVATIONS INC-JOINT VENTURE</t>
  </si>
  <si>
    <t xml:space="preserve">Swiss Precision Diagnostics
GmbH, located in Geneva,
Switzerland, is a manufacturer
of diagnostic products. Its
products were engaged in
womens health and chronic and
infectious diseases. It is
also a supplier of home
pregnancy and fertility test.
The company was founded in
2007.</t>
  </si>
  <si>
    <t xml:space="preserve">Inverness Medical Innovations Inc (IM) and Procter &amp; Gamble Co (PG) formed
a joint venture named SPD Swiss Precision Diagnostic GmbH (SS) to develop,
manufacture, wholesale, distribute and market consumer diagnostic products
including home pregnancy tests and fertility/ovulation monitoring products,
with brands like Clearblue, PERSONA, Accu-Clear, Fact Plus and Clearplan in
Germany. The partners each held a 50% interest in SS. Under terms of the
agreement, IM was to contribute its consumer diagnostic assets, including
its manufacturing facility and intellectual property rights, while PG was
to provide cash worth $325 mil US to SS. In addition, IM was to be
responsible with the SS' development and production of diagnostics
products, while PG was to market, wholesale and distribute SS'  new
manufactured goods to the consumers. SS' formation was a strategic
investment opportunity both for the partners to leverage their healthcare
production services and to further expand their network and product
coverage.The JV was to be operational in the latter half of the first
quarter of 2007. SS' formation has been subjected to the closing conditions
and regulatory approvals.</t>
  </si>
  <si>
    <t xml:space="preserve">Procter &amp; Gamble Co was to provide cash worth $325 mil US to the JV.</t>
  </si>
  <si>
    <t xml:space="preserve">78839T</t>
  </si>
  <si>
    <t xml:space="preserve">742718
46126P</t>
  </si>
  <si>
    <t xml:space="preserve">MMRC
Keryx Biopharmaceuticals Inc</t>
  </si>
  <si>
    <t xml:space="preserve">Pvd r&amp;d, clinical trial svcs
Biotechnology company</t>
  </si>
  <si>
    <t xml:space="preserve">MMRC, based in Norwalk,
Connecticut, is non profit
organization that provides
research and development
services of novel,
cutting-edge treatments for
patients afflicted by multiple
myeloma. It also has its own
MMRC Tissue Bank for the
purpose of drug development.
In addition, the MMRC also
conducts pre-clinical
validation studies to identify
the necessary novel compounds
and combination therapies, and
conducts genomics studies to
increase the knowledge on the
biology of the multiple
myeloma. The company was
founded in 2004.
Biotechnology company</t>
  </si>
  <si>
    <t xml:space="preserve">MULTIPLE MYELOMA RESEARCH CONSORTIUM/KERYX BIOPHARMACEUTICALS INC-STRATEGIC
ALLIANCE</t>
  </si>
  <si>
    <t xml:space="preserve">Multiple Myeloma Research Consortium (MM) and Keryx Biopharmaceuticals Inc
(KB) formed a strategic alliance to provide research and development
services in the United States. The alliance was expected to explore the
convenient all-oral combination of KRX-0401 (perifosine), Revlimid
(lenalidomide) and dexamethasone for the treatment of relapsed or
refractory multiple myeloma. The alliance was also expected to determine
the safety and efficacy of the drug combination in the treatment of
patients as well as the highest dose at which KRX-0401 can be safely
administered to multiple myeloma patients when combined with Revlimid and
detamethasone.</t>
  </si>
  <si>
    <t xml:space="preserve">62568N
1A9410</t>
  </si>
  <si>
    <t xml:space="preserve">Addex Pharmaceuticals
Merck &amp; Co Inc</t>
  </si>
  <si>
    <t xml:space="preserve">Mnfr diagnostic pharmaceutical
Mnfr,whl pharmaceutical prod</t>
  </si>
  <si>
    <t xml:space="preserve">Manufacture diagnostic
pharmaceuticals including
in-vitro and invivo
substances, intended for
final consumption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</si>
  <si>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ADDEX PHARMACEUTICALS/MERCK &amp; CO INC-STRATEGIC ALLIANCE</t>
  </si>
  <si>
    <t xml:space="preserve">Addex Pharmaceuticals SA (AP) and Merck &amp; Co Inc (MC) formed a strategic
alliance wherein AP licensed MC to develop ADX63365, an orally available
drug candidate for the potential treatment of schizophrenia and other
undisclosed indications. Under terms of the agreement, AP was expected to
receive $22 mil US (24.5 mil Swiss francs) as upfront payment and eligible
to up to $455 mil US (250 mil francs) in research, development, regulatory
and sales milestones.
</t>
  </si>
  <si>
    <t xml:space="preserve">Addex Pharmaceuticals SA was expected to receive $22 mil US (24.5 mil Swiss
francs) as upfront payment and eligible to up to $455 mil US (250 mil
francs) in research, development, regulatory and sales milestones.</t>
  </si>
  <si>
    <t xml:space="preserve">01237M
589331</t>
  </si>
  <si>
    <t xml:space="preserve">ALK-Abello A/S
Schering-Plough Corp</t>
  </si>
  <si>
    <t xml:space="preserve">Mnfr pharmaceutical products
Mnfr,whl pharm</t>
  </si>
  <si>
    <t xml:space="preserve">ALK-Abello A/S, located in
Horsholm, Denmark,
manufactures pharmaceutical
products focusing on allergy
treatment, prevention and
diagnosis. It was founded in
1923 and currently employs
1500 employees. It has
subsidiaries and associated
companies in Austria, China,
Denmark, Finland, France,
Germany, Italy, the
Netherlands, Norway, Poland,
Spain, Sweden, Switzerland,
the United Kingdom and the
USA.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</si>
  <si>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ALK-ABELLO A/S/SCHERING-PLOUGH CORP-STRATEGIC ALLIANCE</t>
  </si>
  <si>
    <t xml:space="preserve">ALK-Abello A/S (AA), a unit of CHR-Hansen Holding A/S and Schering-Plough
Corp (SP) formed a strategic alliance to manufacture, develop and
commercialize tablet-based treatments in the United States, Canada and
Mexico. The alliance was expected to cover an immunotherapy designed to
treat grass pollen allergy, house dust mite allergy and ragweed allergy. AA
was expected to receive an upfront payment of $35 mil US (198 mil Danish
krone) from SP along with a potential further $255 mil US (1.44 bil Danish
krone) as milestone payments. The alliance was subject to the approval of
Federal Trade Commission.</t>
  </si>
  <si>
    <t xml:space="preserve">ALK-Abello A/S was expected to receive an upfront payment of $35 mil US
(198 mil Danish krone) from Schering-Plough Corp along with a potential
further $255 mil US (1.44 bil Danish krone) as milestone payments.</t>
  </si>
  <si>
    <t xml:space="preserve">02007Y
806605</t>
  </si>
  <si>
    <t xml:space="preserve">Exelixis Inc
Genentech Inc</t>
  </si>
  <si>
    <t xml:space="preserve">Exelixis Inc, located in South
San Francisco, California, is
a biotechnology company
focused on the discovery and
development of novel small
molecule therapeutics for
cancer and other serious
diseases. The company was
founded in 1994.
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</si>
  <si>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Exelixis Inc
Roche Holdings AG</t>
  </si>
  <si>
    <t xml:space="preserve">EXELIXIS INC/GENENTECH INC-STRATEGIC ALLIANCE</t>
  </si>
  <si>
    <t xml:space="preserve">Exelixis Inc and Genentech Inc, a unit of Roche Holding AG formed a
strategic alliance to provide research and development services of small
molecule oncology compound in the United States. The alliance was a
strategic growth opportunity both for the partners to leverage their
investigational compounds and clinical development services for cancer and
renal disease and to further expand their market coverage.</t>
  </si>
  <si>
    <t xml:space="preserve">30161Q
368710</t>
  </si>
  <si>
    <t xml:space="preserve">Cytokinetics Inc
Amgen Inc</t>
  </si>
  <si>
    <t xml:space="preserve">Biotechnology company
Manufacture human therapeutics</t>
  </si>
  <si>
    <t xml:space="preserve">Cytokinetics Inc is a
biotechnology company
headquartered in San
Francisco, California. It
focuses on the discovery and
development of small molecule
therapeutics that modulate
muscle function for the
potential treatment of serious
diseases and medical
conditions. The company's
research and development
programs relating to the
biology of muscle function are
directed to small molecule
modulators of the
contractility of cardiac,
skeletal and smooth muscle.
The firm was incorporated in
Delaware in August 1997.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</si>
  <si>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CYTOKINETICS INC/AMGEN INC-STRATEGIC ALLIANCE</t>
  </si>
  <si>
    <t xml:space="preserve">Cytokinetics Inc (CI) and Amgen Inc (AI) planned to form a strategic
alliance to provide development and commercialization of novel
small-molecule therapeutics services that activate cardiac muscle
contractility for potential applications in the treatment of heart failure
worldwide excluding Japan. Under terms of the agreement, CI was to receive
a non-refundable upfront license and technology access fee of $42 mil US.
AI obtained an option to participate in future development and
commercialization of CI's lead drug candidate arising from the alliance,
CK-1827452. The alliance was to focus on identifying and characterizing
activators of cardiac myosin as back-up and follow-on potential drug
candidates to CK-1827452. CI was also eligible to receive
pre-commercialization and commercialization milestone payments of up to
$600 mil US on CK-1827452 as well as royalties that escalate based on
increasing levels of annual net sales of products.</t>
  </si>
  <si>
    <t xml:space="preserve">Cytokinetics Inc was to receive a non-refundable upfront license and
technology access fee of $42 mil US and was also eligible to receive
pre-commercialization and commercialization milestone payments of up to
$600 mil US on CK-1827452.</t>
  </si>
  <si>
    <t xml:space="preserve">23282W
031162</t>
  </si>
  <si>
    <t xml:space="preserve">Cobasys LLC
A123 Systems Inc</t>
  </si>
  <si>
    <t xml:space="preserve">Mnfr,whl battery sys
Mnfr lithium-ion batteries</t>
  </si>
  <si>
    <t xml:space="preserve">Cobasys LLC, headquartered
in Orion, Michigan,
manufactures and wholesales
nickel metal hydride (NiMH)
battery systems. The battery
system used in hybrid
electric vehicles electric
vehicles (EV), 42-Volt and
plug-in hybrid electric
vehicle (PHEV)
transportation applications.
The products include NiMHax,
HDV battery system, HEV
battery system, 42 volt
system, series 1000, series
9500 and typical series 1000
based PSDS.
A123 Systems Inc, located in
Watertown, Massachusetts,
designs, develops,
manufactures, and wholesales
rechargeable lithium-ion
batteries and battery systems.
The company operates in the
transportation, electric grid
services, and portable power
markets in North America,
Asia, and Europe. The company
was founded in 2001.</t>
  </si>
  <si>
    <t xml:space="preserve">3691
3691</t>
  </si>
  <si>
    <t xml:space="preserve">MI
MA</t>
  </si>
  <si>
    <t xml:space="preserve">Chevron Corp
A123 Systems Inc</t>
  </si>
  <si>
    <t xml:space="preserve">2911
3691</t>
  </si>
  <si>
    <t xml:space="preserve">COBASYS LLC/A123SYSTEMS-STRATEGIC ALLIANCE</t>
  </si>
  <si>
    <t xml:space="preserve">Cobasys LLC (CL), a joint venture between Energy Coversion Devices Inc and
Chevron Technology Ventures LLC, a unit of Chevron Corp, and A123Systems
(AS) formed a strategic alliance to develop, manufacture, wholesale and
distribute lithium ion energy storage batteries for hybrid electric vehicle
in the United States. Under terms of the agreement, CL was responsible with
the technical assistance and  expertise for the design and development of
battery system products, while AS was to provide its nanophosphate lithium
ion cells technology to the alliance. The alliance was a strategic growth
opportunity both for AS and CL to leverage their production services and to
further expand their network coverage.</t>
  </si>
  <si>
    <t xml:space="preserve">19078N
03739T</t>
  </si>
  <si>
    <t xml:space="preserve">Warner Chilcott Co Inc
Foamix Ltd</t>
  </si>
  <si>
    <t xml:space="preserve">Warner Chilcott Co Inc,
located in Rockaway, New
Jersey, manufactures
pharmaceuticals. It is a
specialty pharmaceutical
company currently focused on
the women's healthcare,
gastroenterology, dermatology
and urology segments of the
U.S. and Western European
pharmaceuticals market.
Foamix Ltd, located in Ness
Ziona, Israel, manufactures
and develops innovative
topical and dermatological
foam drug delivery
formulations.</t>
  </si>
  <si>
    <t xml:space="preserve">Warner Chilcott PLC
Foamix Ltd</t>
  </si>
  <si>
    <t xml:space="preserve">WARNER CHILCOTT CO INC/FOAMIX LTD-STRATEGIC ALLIANCE</t>
  </si>
  <si>
    <t xml:space="preserve">Warner Chilcott Co Inc (WC), a unit of the Waren Acquisition Ltd's Warner
Chilcott PLC's subsidiary, and Foamix Ltd (FL) formed a strategic alliance
to provide research and development services of antibiotic foam for the
treatment of acne globally. Under terms of the agreement, WC was
responsible with further development and commercialization of new
antibiotics, while FL was to produce alcohol-free foam formulations. The
alliance was a strategic investment opportunity both for the partners to
leverage their research services for new acne cure and to further expand
their market and product coverage. Terms were not disclosed.</t>
  </si>
  <si>
    <t xml:space="preserve">93444V
34426X</t>
  </si>
  <si>
    <t xml:space="preserve">AM General LLC
General Dynamics Land Systems</t>
  </si>
  <si>
    <t xml:space="preserve">Mnfr,whl military vehicles
Mnfr armored vehicles</t>
  </si>
  <si>
    <t xml:space="preserve">AM General LLC,
headquartered in South Bend,
Indiana, manufactures and
wholesales armored humvee,
hammer, military vehicles
and related parts and
equipment. The Company was
founded in 1970.
Manufacture armored army land
vehicles, tanks and related
defense automotive components
and equipments</t>
  </si>
  <si>
    <t xml:space="preserve">3795
3795</t>
  </si>
  <si>
    <t xml:space="preserve">The Renco Group Inc
General Dynamics Corp</t>
  </si>
  <si>
    <t xml:space="preserve">6799
3812</t>
  </si>
  <si>
    <t xml:space="preserve">AM GENERAL LLC/GENERAL DYNAMICS LAND SYSTEMS INC-JOINT VENTURE</t>
  </si>
  <si>
    <t xml:space="preserve">AM General LLC (AG), a unit of Renco Group Inc, and General Dynamics Land
Systems Inc (GD), a unit of General Dynamics Corp, planned to form a joint
venture named General Tactical Vehicles Inc (GT) to develop, design and
manufacture armored light tactical and wheeled utility vehicles in the
United States. GT was to produce Combat Tactical Variant, Command and
Control Variant, the Utility Variant, the Light Infantry Squad Carrier,
Reconnaissance Variant and compatible trailers. GT's formation was a
strategic investment opportunity both for GD and AG to leverage their
armored vehicle production, to furthercompete with market and to further
expand their network coverage.</t>
  </si>
  <si>
    <t xml:space="preserve">00596Y
36955M</t>
  </si>
  <si>
    <t xml:space="preserve">Elusys Therapeutics Inc
Pfizer Inc</t>
  </si>
  <si>
    <t xml:space="preserve">Biotech co
Manufacture,wholesale pharmaceuticals</t>
  </si>
  <si>
    <t xml:space="preserve">Biotechnology company focused
on the development of targeted
anti-effective therapeutics
using Heteropolymer Antibodies
for the treatment of
infectious disease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</si>
  <si>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ELUSYS THERAPEUTICS INC/PFIZER INC-STRATEGIC ALLIANCE</t>
  </si>
  <si>
    <t xml:space="preserve">Pfizer Inc (PI) and Elusys Therapeutics Inc (ET) formed a strategic
alliance wherein ET licensed PI to utilize its HP Antibody technology to
develop new therapeutics for select infectious diseases in the United
States. The alliance was expected to include ETI-211, an HP Antibody for
the treatment of methicillin-resistant Staphylococcus aureus (MRSA)
infections. PI and ET were expected to determine the full product profile
of ETI-211 and perform research on other indications of the he HP Antibody
technology. ET was expected to receive an upfront equity investment,
research and development funding plus near-term research milestones.</t>
  </si>
  <si>
    <t xml:space="preserve">29042P
717081</t>
  </si>
  <si>
    <t xml:space="preserve">Pharmacopeia Drug Discovery
Wyeth Pharmaceuticals Inc</t>
  </si>
  <si>
    <t xml:space="preserve">Biotechnology company
Mnfr pharm prod</t>
  </si>
  <si>
    <t xml:space="preserve">Biotechnology company,
focusing on drug discovery via
new small molecule
therapeutics
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t>
  </si>
  <si>
    <t xml:space="preserve">Pharmacopeia Drug Discovery
Wyeth</t>
  </si>
  <si>
    <t xml:space="preserve">PHARMACOPEIA DRUG DISCOVERY INC/WYETH PHARMACEUTICALS INC-STRATEGIC
ALLIANCE</t>
  </si>
  <si>
    <t xml:space="preserve">Pharmacopeia Drug Discovery Inc (PD) and Wyeth Pharmaceuticals Inc (WP), a
unit of Wyeth, formed a strategic alliance to provide research,
development, and commercialization services of JAK3 inhibitor-based
therapeutic products in the United States. JAK3 was expected to modulate
disease outcomes, and has a significant potential for the development of
novel and improved treatments for rheumatoid arthritis, psoriasis and
certain other immunological conditions. PD was expected to receive $5 mil
US upfront payment and may receive over the next three years up to $9 mil
in research funding. PD may also receive up to $175 mil US milestone
payments upon WP's achievement of certain preclinical, clinical, regulatory
and commercialization as well as double digit royalties on net sales.</t>
  </si>
  <si>
    <t xml:space="preserve">Pharmacopeia Drug Discovery Inc (PD) was expected to receive $5 mil US
upfront payment and may receive over the next three years up to $9 mil in
research funding. PD may also receive up to $175 mil US milestone payments
upon Wyeth Pharmaceuticals Inc's achievement of certain preclinical,
clinical, regulatory and commercialization as well as double digit
royalties on net sales.</t>
  </si>
  <si>
    <t xml:space="preserve">7171EP
98292L</t>
  </si>
  <si>
    <t xml:space="preserve">Alkermes Inc
Indevus Pharmaceuticals Inc</t>
  </si>
  <si>
    <t xml:space="preserve">Alkermes Inc, located in
Cambridge, Massachusetts, a
biotechnology company focused
on products based on
proprietary, extended-release
and pulmonary drug delivery
technologies for widespread
diseases such as central
nervous system disorders,
addiction, and diabetes. Its
products currently on the
market include Vivitrol and
Risperdal Consta. The company
was founded in 1987.
Indevus Pharmaceuticals Inc,
located in Lexington,
Massachusetts, manufactures,
wholesales, and develops
prescription pharmaceuticals
for multiple therapeutic
areas, with a primary
commitment to urology,
gynecology and men's health.
The company's products include
sanctura and delatestryl. The
company was founded in 1988.</t>
  </si>
  <si>
    <t xml:space="preserve">ALKERMES INC/INDEVUS PHARMACEUTICALS INC(WAS 460573)-STRATEGIC ALLIANCE</t>
  </si>
  <si>
    <t xml:space="preserve">Alkermes Inc (AI) and Indevus Pharmaceuticals Inc (IP) formed a strategic
alliance to provide trospium chloride inhaled formulation development
services in the United States. The alliance was expected to develop ALKS
27, an inhaled formulation of trospium chloride, for treatment of chronic
obstructive pulmonary disease (COPD).AI and IP were expected to share
equally all costs of development and commercial returns In addition, AI was
expected to perform all formulation work and manufacturing while IP was
expected to conduct the clinical development program.</t>
  </si>
  <si>
    <t xml:space="preserve">01642T
454072</t>
  </si>
  <si>
    <t xml:space="preserve">Roche Holdings AG
Synosis Therapeutics Inc</t>
  </si>
  <si>
    <t xml:space="preserve">Manufactures, wholesales pharmaceuticals and medical instruments
Biotechnology company</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</si>
  <si>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Biotechnology company</t>
  </si>
  <si>
    <t xml:space="preserve">ROCHE HOLDING AG/SYNOPSIS THERAPEUTICS-STRATEGIC ALLIANCE</t>
  </si>
  <si>
    <t xml:space="preserve">Roche Holding AG (RH) and Synosis Therapeutics Inc (ST) formed a strategic
alliance to provide research and development services of drug compounds for
the treatments of schizophrenia, cognitive disorders, Parkinson's, drug
dependency and pain in the United States. Under terms of the agreement, RH
was expected to provide its expertise in the reprioritization processes of
the compund, while ST was responsible for the clinical development.
Financial terms were not disclosed.</t>
  </si>
  <si>
    <t xml:space="preserve">77119M
87737X</t>
  </si>
  <si>
    <t xml:space="preserve">ev3 Inc
FoxHollow Technologies Inc</t>
  </si>
  <si>
    <t xml:space="preserve">Manufacture medical instrument
Mnfr,whl med devices</t>
  </si>
  <si>
    <t xml:space="preserve">ev3 Inc, located in Plymouth,
Minnesota, manufactures and
wholesales medical instruments
including endovascular
technologies for
interventional radiology,
interventional cardiology, and
interventional neurology
therapies which includes guide
wires, snares, thrombectomy
systems, embolic protection
devices, infusion
catheters/wires, and a range
of peripheral vascular,
bronchial and biliary stent
systems. It also has offices
in Irvine, California, and
Paris, France. The company was
founded in 2000.
Manufacture and wholesale
medical devices primarily for
the treatment of peripheral
artery disease.</t>
  </si>
  <si>
    <t xml:space="preserve">MN
CA</t>
  </si>
  <si>
    <t xml:space="preserve">EV3 INC/FOXHOLLOW TECHNOLOGIES INC-STRATEGIC ALLIANCE</t>
  </si>
  <si>
    <t xml:space="preserve">ev3 Inc (EV) and FoxHollow Technologies Inc (FH) formed a strategic
alliance to provide clinical study services of FH's calcium cutting device
and EV's SpideRX endovascular devices for treatment of calcified lesions in
peripheral artery disease in the United States. As part of the agreement,
FH was expected to have the exclusive right to market the two devices
together.</t>
  </si>
  <si>
    <t xml:space="preserve">26928A
35166A</t>
  </si>
  <si>
    <t xml:space="preserve">Seattle Genetics Inc
Agensys Inc</t>
  </si>
  <si>
    <t xml:space="preserve">Manufactures biotechnology products
Biotech co</t>
  </si>
  <si>
    <t xml:space="preserve">Seattle Genetics Inc,
located in Bothell,
Washington, manufactures
biotechnology products. It
is a clinical stage
biotechnology company
focused on the development
and commercialization of
monoclonal antibody-based
therapies for the treatment
of cancer and autoimmune
disease. The Company was
founded on July 15, 1997.
Agensys Inc, located in Santa
Monica, California, is a
biotechnology company
currently focused on
developing a pipeline of
therapeutic fully human
monoclonal antibodies (MAbs)
to treat solid tumor cancers
based on its own proprietary
targets. The company was
founded in 1996.</t>
  </si>
  <si>
    <t xml:space="preserve">SEATTLE GENETICS INC/AGENSYS INC-STRATEGIC ALLIANCE</t>
  </si>
  <si>
    <t xml:space="preserve">Seattle Genetics Inc and Agensys Inc formed a strategic alliance to provide
research and development services of antibody-drug conjugate (ADC) based
treatments for cancer in the United States. The alliance was a strategic
growth opportunity both for the partners to leverage their health and
medical production services and to further expand their market coverage in
the region.</t>
  </si>
  <si>
    <t xml:space="preserve">812578
00996L</t>
  </si>
  <si>
    <t xml:space="preserve">Syngenta AG
Diversa Corp</t>
  </si>
  <si>
    <t xml:space="preserve">Mnfr,whl agricultural chemicals,products
Pvd research,dvlp svcs</t>
  </si>
  <si>
    <t xml:space="preserve">Syngenta AG, located in
Basel, Switzerland,
manufactures and wholesales
agricultural chemicals. Its
products include
insecticides, herbicides and
seed treatments designed to
improve crop yields and to
control weeds, insects and
diseases in crops. The
Company was founded in 2000.
Provide research and
development services
particularly in developing
novel enzymes and other
biological active compounds,
such as small molecule drugs
and monoclonal antibodies</t>
  </si>
  <si>
    <t xml:space="preserve">2879
8731</t>
  </si>
  <si>
    <t xml:space="preserve">Syngenta AG
Koninklijke Begemann Groep NV</t>
  </si>
  <si>
    <t xml:space="preserve">Switzerland
Netherlands</t>
  </si>
  <si>
    <t xml:space="preserve">2879
6799</t>
  </si>
  <si>
    <t xml:space="preserve">SYNGENTA AG/DIVERSA CORP-STRATEGIC ALLIANCE</t>
  </si>
  <si>
    <t xml:space="preserve">Syngenta AG (SA) and Diversa Corp (DC) formed a 10-year strategic alliance
to provide novel enzymes discovery and development services to convert
pre-treated cellulosic biomass economically to mixed sugars. The alliance
allowed DC to independently develop and commercialize fermentation-based
enzyme combinations from its proprietary platform. SA was expected to have
exclusive access to enzymes from DC's platform to express in plants for
enhanced-cost effective production. SA was expected to pay DC $16 mil US
(19.8 mil Swiss francs) of guaranteed research funding in the first two
years. In addition, DC was eligible to product development certain
milestone and royalty payments aligned to product development success.</t>
  </si>
  <si>
    <t xml:space="preserve">Syngenta AG was expected to pay Diversa Corp $16 mil US (19.8 mil Swiss
francs) of guaranteed research funding.</t>
  </si>
  <si>
    <t xml:space="preserve">87160A
255064</t>
  </si>
  <si>
    <t xml:space="preserve">Cytochroma Inc
aOvaTechnologies Inc</t>
  </si>
  <si>
    <t xml:space="preserve">Mnfr integrated pharm prod
Biotech co</t>
  </si>
  <si>
    <t xml:space="preserve">Cytochroma Inc, headquartered
in Markham, Ontario, Canada,
is a manufacturer of
integrated specialty
pharmaceutical products to
treat and prevent the clinical
consequences of diseases and
disorders related to vitamin D
deficiency. It has three lead
product candidates in
development for chronic kidney
disease patients.
Biotechnology company focused
on the purpose of
commercializing its patented,
natural egg protein product</t>
  </si>
  <si>
    <t xml:space="preserve">CYTOCHROMA INC/AOVATECHNOLOGIES INC-STRATEGIC ALLIANCE</t>
  </si>
  <si>
    <t xml:space="preserve">Cytochroma Inc (CI) and aOvaTechnologies Inc (AT) formed a strategic
alliance wherein AT licensed CI to utilize its proprietary technology to
develop and commercialize products directed at treating and preventing
hyperphosphatemia in patients with chronic kidney disease (CKD). AT was
expected to receive an upfront license fee and royalties on the sale of
products covered by the license.</t>
  </si>
  <si>
    <t xml:space="preserve">23518X
67207K</t>
  </si>
  <si>
    <t xml:space="preserve">Qiagen GmbH
Sequenom Inc</t>
  </si>
  <si>
    <t xml:space="preserve">Biotechnology company
Mnfr DNA detection equip</t>
  </si>
  <si>
    <t xml:space="preserve">Qiagen GmbH, located in
Hilden, Germany, is a
biotechnology company.
Sequenom Inc, headquartered in
San, Diego, California,
manufactures DNA detection and
sequencing equipment. The
company was incorporated in
1994.</t>
  </si>
  <si>
    <t xml:space="preserve">Qiagen NV
Sequenom Inc SPV</t>
  </si>
  <si>
    <t xml:space="preserve">QIAGEN GMBH/SEQUENOM INC-STRATEGIC ALLIANCE</t>
  </si>
  <si>
    <t xml:space="preserve">Qiagen GmbH (QG), a unit of Qiagen NV, and Sequenom Inc (SI) formed a
strategic alliance to provide gold-standard preanalytical solution
development services. The alliance was expected to be for small molecule
(fetal) DNA enrichment for prenatal diagnostics. SI was expected to retain
exclusive distribution rights to the specific technology for enriching
short nucleic acids developed under the alliance. The alliance combined
QG's expertise in analytical sample preparation technologies in life
sciences and molecular diagnostics with SI's capabilities in genetic
analysis technology. The alliance developed a robust and reliable set of
reagents that optimize the enrichment of small nucleic acid fragments, such
as circulating free fetal nucleic acids in maternal plasma or serum as well
as short nucleic acids in blood, plasma or serum, for the analysis of
cancer and other disorders.</t>
  </si>
  <si>
    <t xml:space="preserve">74716N
817337</t>
  </si>
  <si>
    <t xml:space="preserve">Skystar Bio-Pharmaceutical Co
TNI-Penta Inc</t>
  </si>
  <si>
    <t xml:space="preserve">Skystar Bio-Pharmaceutical Co,
located in Xian Province,
China, is a biotechnology
company engaged in research,
development, and production of
bio-pharmaceutical products
including veterinary drugs,
fodder additive, microorganism
preparation products. The
company was originally
incorporated in Nevada under
the name Hollywood
Entertainment Network, Inc. on
September 24, 1998.
Biotechnology company</t>
  </si>
  <si>
    <t xml:space="preserve">Skystar Bio-Pharmaceutical Co
TNI Pharmaceuticals Inc</t>
  </si>
  <si>
    <t xml:space="preserve">SKYSTAR BIO-PHARMACEUTICAL CO LTD/NICHOLAS P PLOTNIKOFF-STRATEGIC ALLIANCE</t>
  </si>
  <si>
    <t xml:space="preserve">Skystar Bio-Pharmaceutical Co Ltd and TNI-Penta Inc, a joint venture
between PentaBiotech Inc and TNI Pharmaceuticals Inc signed letter of
intent to form a strategic alliance to provide research and development
services of Avian Flu vaccines and related therapeutic drugs in China. The
alliance was a strategic growth opportunity both for the partners to
leverage their bio-pharmaceutical product and services and to further
strengthen their production coverage.</t>
  </si>
  <si>
    <t xml:space="preserve">830884
87712H</t>
  </si>
  <si>
    <t xml:space="preserve">Stallergenes SA
Paladin Labs Inc</t>
  </si>
  <si>
    <t xml:space="preserve">Manufacture pharmaceuticals
Manufacture and wholesale pharmaceuticals</t>
  </si>
  <si>
    <t xml:space="preserve">Stallergenes SA, located in
Antony, France, manufactures
pharmaceuticals. Its products
include vivo prick tests,
vitro tests, subcutaneous
injections, sublingual drops
and therapeutic products for
diagnostic purpose as well as
treatments. It operates in
France, Spain, Portugal,
Italy, Greece and Switzerland.
The company was founded in
1962.
Paladin Labs Inc, located in
St. Laurent, Quebec,
manufactures and wholesales
pharmaceutical products. Its
key brands are Metadol, which
contains methadon
hydrochloride and used as an
analgesic in acute cancer
pain, palliative pain and
chronic pain disorders and
maintenance treatment of
opioid-dependent individuals;
Twinject, an auto injector
with two doses of epinephrine
used to treat severe allergic
reactions in emergency cases;
Oxytrol, a patch medication
used for overactive bladder
disorders; and Pennsaid, which
is a lotion for treatment of
knee osteoarthritis and
contraceptive pills, Plan B
and Seasonale. The company was
established in February 1983.</t>
  </si>
  <si>
    <t xml:space="preserve">France
Canada</t>
  </si>
  <si>
    <t xml:space="preserve">STALLERGENES SA/PALADIN LABS INC-STRATEGIC ALLIANCE</t>
  </si>
  <si>
    <t xml:space="preserve">Stallergenes SA and Paladin Labs Inc formed a strategic alliance to develop
and market Oralair allergen extract immunotherapy sublingual tablets
globally. The new drug was use for the treatment and therapy of allergic
rhinitis in grass sensitive patients. The alliance was a strategic growth
opportunity both for the partners to leverage their pharmaceutical
production and services and to further expand their product coverage in the
region.</t>
  </si>
  <si>
    <t xml:space="preserve">85258K
695942</t>
  </si>
  <si>
    <t xml:space="preserve">Onmark Inc
Quintiles Transnational Corp</t>
  </si>
  <si>
    <t xml:space="preserve">Pvd medical/health svcs
Biopharmaceutical company</t>
  </si>
  <si>
    <t xml:space="preserve">Provide medical/health
services
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t>
  </si>
  <si>
    <t xml:space="preserve">8099
8731</t>
  </si>
  <si>
    <t xml:space="preserve">CA
NC</t>
  </si>
  <si>
    <t xml:space="preserve">ONMARK INC/QUINTILES TRANSNATIONAL CORP-STRATEGIC ALLIANCE</t>
  </si>
  <si>
    <t xml:space="preserve">Quintiles Transnational Corp, a unit of Pharma Services Co, and Onmark Inc
formed a strategic alliance to provide clinical trial network, research and
development services in the United States. The alliance was expected to
enable the onclogiest and medical allies to participate in Phase II and
III clinical trials of investigational cancer treatments. The alliance was
a strategic growth opportunity both for the partners to leverage their
clinical trial services and to further strengthen their portfolio of health
products.</t>
  </si>
  <si>
    <t xml:space="preserve">68183F
748767</t>
  </si>
  <si>
    <t xml:space="preserve">AstraZeneca PLC
Bristol-Myers Squibb Co</t>
  </si>
  <si>
    <t xml:space="preserve">Manufactures, wholesales pharmaceutical products
Manufactures pharmaceuticals and medical products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</si>
  <si>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</si>
  <si>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ASTRAZENECA PLC/BRISTOL-MYERS SQUIBB CO-STRATEGIC ALLIANCE</t>
  </si>
  <si>
    <t xml:space="preserve">AstraZeneca PLC and Bristol-Myers Squibb Co (BM) formed a strategic
alliance to provide diabetes compound development and marketing services.
The partners collaborated to develop and commercialise two investigational
compounds being studied for the treatment of Type 2 diabetes, both of which
were discovered by BM. Saxagliptin, a dipeptidyl peptidase-4 (DPP-4)
inhibitor, is currently in Phase III development while Dapagliflozin
(previously referred to as BMS-512148), a sodium-glucose cotransporter-2
(SGLT2) inhibitor, is currently in Phase IIb development.</t>
  </si>
  <si>
    <t xml:space="preserve">046353
110122</t>
  </si>
  <si>
    <t xml:space="preserve">Solvay SA
Wyeth</t>
  </si>
  <si>
    <t xml:space="preserve">Plastics Material and Resin Manufacturing &amp; Wholesale
Mnfr,whl pharm</t>
  </si>
  <si>
    <t xml:space="preserve">Solvay SA is a manufacturer
of plastics materials. It
manufactures and wholesales
chemicals. It operates in
the advanced formulations
field, providing consumer
oriented products via its
Novecare, Technology
Solutions and Aroma
Performance subsidiaries. It
also manufactures and
develops advanced materials,
including specialty polymers
via its Composite Materials,
Silica and Special Chem
units. Its performance
chemicals units include Soda
Ash &amp; Derivates, Peroxides
and Coatis, owning Eureco,
Interox, and other brands.
The Company is also involved
in the functional polymers
industry, supplying
performance chemicals,
fibers, including textile
and industrial yarns and
staple fibers as well as
chlorovinyls. The Company
was founded in 1863 and is
located in Brussels,
Belgium.
Wyeth,a pharmaceutical
manufacturing firm,
headquartered in New Jersey,
USA with locations in Europe,
Africa, Asia and Australia.
The company's brands include
Advil, Caltrate, ChapStick,
Dimetapp, Hetacin-K, Lo/Ovral
Tablets, etc.The company
specifically manufactures
female oral contraceptives,
cardiovascular therapies,
mental health agents,
anti-inflammatory drugs,
hospitable injectables,
diabetic therapeutics, cold
and allergy products,
influenza, cholera, typhoid,
diphteria, adenovirus and
other vaccines and
biologicals, oral hygienes,
hemorrhoidal and asthama
products, lip care, medicated
shampoos, topical analgesics,
natural sedatives, disposable
syringes and needles, tube,
catheter and chest drainage
products, obstetrical
monitoring products,
cardiopulmonary
instrumentation, clinical
laboratory stems, enteral
feeding systems, wound care
dressings, animal health
cares, poultry feed additives
and medical supplies and
produce entrees and side
dishes, such as Chef Boyardee,
condiments and snacks. Founded
in 1410.</t>
  </si>
  <si>
    <t xml:space="preserve">2821
2834</t>
  </si>
  <si>
    <t xml:space="preserve">SOLVAY SA/WYETH-STRATEGIC ALLIANCE</t>
  </si>
  <si>
    <t xml:space="preserve">Solvay SA and Wyeth formed a strategic alliance to provide small molecule
anti-psychotics discovery services in the United States. The alliance was
expected to target small molecules with potential utility for the treatment
of psychotic disorders. Compounds resulting from the alliance were expected
to be co-owned and co-patented by SS and WY and could be selected for
co-development and co-commercialization.</t>
  </si>
  <si>
    <t xml:space="preserve">834437
983024</t>
  </si>
  <si>
    <t xml:space="preserve">Cleveland Biolabs Inc
Roswell Park Cancer Institute</t>
  </si>
  <si>
    <t xml:space="preserve">Cleveland Biolabs Inc,
located in Cleveland, Ohio,
is a biotechnology company
engaged in the manufacture
and development of new drugs
for protection of normal
tissues from exposure to
radiation and other
stresses, such as toxic
chemicals and for cancer
treatment. The Company was
founded in 2003.
Roswell Park Cancer
Institute, located in
Buffalo, New York, provides
research and development
services into the causes,
treatment and prevention of
cancer. The Company was
founded in 1898.</t>
  </si>
  <si>
    <t xml:space="preserve">CLEVELAND BIOLABS INC/ROSWELL PARK CANCER INSTITUTE INC-STRATEGIC ALLIANCE</t>
  </si>
  <si>
    <t xml:space="preserve">Cleveland BioLabs Inc (CB) and Roswell Park Cancer Institute (RP) formed a
strategic alliance to provide research and development services on cancer
and radio-protectant drug candidates in the United States. CB was expected
to establish a major research/clinical facility at RP campus in Buffalo,
New York that will become the foundation for its advanced research and
clinical trials. RP and various agencies was expected to provide CB with up
to $5 mil US non-dilutive funding.</t>
  </si>
  <si>
    <t xml:space="preserve">Roswell Park Cancer Institute and various agencies was expected to provide
Cleveland BioLabs Inc with up to $5 mil US non-dilutive funding.</t>
  </si>
  <si>
    <t xml:space="preserve">185860
77847J</t>
  </si>
  <si>
    <t xml:space="preserve">Bioinvent International AB
Genentech Inc</t>
  </si>
  <si>
    <t xml:space="preserve">Bioinvent International AB,
a biotechnology company, is
involved in the isolation
and development of human
antibodies through its
proprietary human antibody
library n-CoDeR, as well as
the out-licensing of the
same library. The Group also
establishes collaborative
research, development and
manufacturing partnerships
with pharmaceutical
companies and is developing
antibody-based drugs against
AIDS, atherosclerosis,
cancer and diseases of the
joints. The Company operates
from Sweden but has
customers from all over the
world. Its partners include
ALK-Abello, Antisoma,
Celltech, Igeneon and XOMA.
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</si>
  <si>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Norsk Hydro ASA
Roche Holdings AG</t>
  </si>
  <si>
    <t xml:space="preserve">Norway
Switzerland</t>
  </si>
  <si>
    <t xml:space="preserve">3334
2834</t>
  </si>
  <si>
    <t xml:space="preserve">BIOINVENT INTERNATIONAL AB/GENENTECH INC-STRATEGIC ALLIANCE</t>
  </si>
  <si>
    <t xml:space="preserve">BioInvent International AB (BI), a unit of Norsk Hydro ASA, and Genentech
Inc (GI) formed a strategic alliance to provide antibody BI-207 development
services for the potential treatment of multiple cardiovascular conditions.
GI was expected to make an upfront payment of $15 mil US (105.5 mil Swedish
krona) to BI and, in addition, BI could receive further milestone payments
of up to $175 mil US (1.2 bil Swedish krona) as well as royalties on sales
in North America. Under the terms of the agreement, GI and BI were expected
to be jointly responsible for clinical development. GI was expected to be
responsible for, and will solely control, any commercialization of the drug
in North America, while BI was expected to be responsible for, and will
solely control, commercialization in the rest of the world. Throughout
development GI and BI were expected to share the development costs.</t>
  </si>
  <si>
    <t xml:space="preserve">Genentech Inc was expected to make an upfront payment of $15 mil US (105.5
mil Swedish krona) to BioInvent International AB (BI) and, in addition, BI
could receive further milestone payments of up to $175 mil US (1.2 bil
Swedish krona) as well as royalties on sales in North America.</t>
  </si>
  <si>
    <t xml:space="preserve">09059S
368710</t>
  </si>
  <si>
    <t xml:space="preserve">Cytonet GmbH &amp; Co KG
Vesta Therapeutics Inc</t>
  </si>
  <si>
    <t xml:space="preserve">Biotechnology company
Mnfr cell therapy products</t>
  </si>
  <si>
    <t xml:space="preserve">Cytonet GmbH &amp; Co KG is a
manufacturer of biological
products. The company was
founded in April 2000 and is
located in Weinheim, Germany.
Manufacture cell therapy
products</t>
  </si>
  <si>
    <t xml:space="preserve">CYTONET  GMBH/VESTA THERAPEUTICS INC-STRATEGIC ALLIANCE</t>
  </si>
  <si>
    <t xml:space="preserve">Cytonet GmbH &amp; Co KG (CG) and Vesta Therapeutics Inc (VT) formed a
strategic alliance to provide research and development services focused on
the field of liver cell therapy in the United States. Under terms of the
agreement, a GMP facility was expected to be constructed on the premises of
VT's headquarters, where liver cell products for CG's clinical trials were
to be produced in the coming years. In line with this, VT was expected to
become the only producer of European GMP compliant cell-therapeutic liver
preparations in the US, with the aid of CG's technologies.</t>
  </si>
  <si>
    <t xml:space="preserve">23678J
92572E</t>
  </si>
  <si>
    <t xml:space="preserve">BioCryst Pharmaceuticals Inc
Mundipharma Int Ltd</t>
  </si>
  <si>
    <t xml:space="preserve">Manufacture pharmaceuticals
Manufacture pharmaceuticals</t>
  </si>
  <si>
    <t xml:space="preserve">BioCryst Pharmaceuticals
Inc, located in Durham,
North Carolina, manufactures
novel, small-molecule
pharmaceutical products for
treatment of immunological,
viral, and cardiovascular
diseases and disorders using
structure-based drug design.
It has a Discovery Center of
Excellence located in
Birmingham, Alabama. The
Company was founded in 1986.
Mundipharma Int Ltd is a
manufacturer of
pharmaceutical preparation.
The Company was founded in
1992 and is located in
Cambridge, the United
Kingdom.</t>
  </si>
  <si>
    <t xml:space="preserve">BIOCRYST PHARMACEUTICALS INC/MUNDIPHARMA INTERNATIONAL LTD-STRATEGIC
ALLIANCE</t>
  </si>
  <si>
    <t xml:space="preserve">BioCryst Pharmaceuticals Inc and Mundipharma International Ltd formed a
strategic alliance to provide research, development and marketing services
of oncology drug, Fodosine globally. The alliance was a strategic growth
opportunity both for the partners to leverage their therapeutic safety and
efficacy services and to further expand their product coverage in the
region.</t>
  </si>
  <si>
    <t xml:space="preserve">09058V
62615M</t>
  </si>
  <si>
    <t xml:space="preserve">Olympus Life and Material Sci
Saladax Biomedical Inc</t>
  </si>
  <si>
    <t xml:space="preserve">Mnfr,whl microscope systems
Biotechnology company</t>
  </si>
  <si>
    <t xml:space="preserve">Manufacture and wholesale
microscope systems for life
and material science, high
performance analytical systems
and reagents for clinica
laboratories
Saladax Biomedical Inc is a
manufacturer of biological
products. he Company is
focused on providing kits to
test drug levels for
adherence and personalized
dose management. The
Companys line of MyCare
Psychiatry includes MyCare
Total Risperidone Assay Kit
and MyCare Paliperidone
Assay Kit. Its products are
used to measure the total
antipsychotic medication in
a patients blood. The
Company was founded in 2004
and is located in Bethlehem,
Pennsylvania.</t>
  </si>
  <si>
    <t xml:space="preserve">Olympus Corp
Saladax Biomedical Inc</t>
  </si>
  <si>
    <t xml:space="preserve">3845
2836</t>
  </si>
  <si>
    <t xml:space="preserve">OLYMPUS LIFE AND MATERIAL SCIENCE/SALADAX BIOMEDICAL-STRATEGIC ALLIANCE</t>
  </si>
  <si>
    <t xml:space="preserve">Olympus Life and Material Science Europa GmbH, a unit of Olympus Europa
GmbH, and Saladax Biomedical Inc formed a strategic alliance to provide
research and development services of 5-FU blood test therapeutic solutions
globally. Under terms of the agreement, the partners were expected to adapt
and use the  personalized chemotherapy management (PCM) assays for
quantifying the concentration of blood for the therapeutic effects and
minimizing toxicity.</t>
  </si>
  <si>
    <t xml:space="preserve">68167K
79403Q</t>
  </si>
  <si>
    <t xml:space="preserve">Cepheid Inc
bioMerieux SA</t>
  </si>
  <si>
    <t xml:space="preserve">Mnfr bio testing equip
Mnfr diagnostic pharm prod</t>
  </si>
  <si>
    <t xml:space="preserve">Cepheid Inc, located in
Sunnyvale, California,
manufactures and markets micro
fluidic systems that
integrate, automate, and
accelerate biological testing
as well as fully-integrated
systems that perform genetic
analysis, including DNA and
RNA analysis. The Company was
founded in 1996.
bioMerieux SA, located in
Marcy L'Etoile, France,
manufactures in vitro
diagnostics for medical and
industrial applications. The
Group offers 'in vitro'
diagnosis which serves as
the basis for medical
diagnosis, patient treatment
and therapy monitoring. The
Group contributes to the
field of infectious diseases
such as hepatitis, HIV,
tuberculosis and respiratory
infection and pathologies
such as cancer and
cardiovascular diseases. The
Group performs clinical
diagnosis through three
technologies, bacteriology,
immunoassays and molecular
biology. It also develops
software used to interpret
the results of biological
tests. The Group operates in
Europe, North America,
Asia-Pacific and Latin
America. The Company was
founded in 1897.</t>
  </si>
  <si>
    <t xml:space="preserve">3826
2835</t>
  </si>
  <si>
    <t xml:space="preserve">Cepheid Inc
Sanofi-Aventis SA</t>
  </si>
  <si>
    <t xml:space="preserve">3826
2834</t>
  </si>
  <si>
    <t xml:space="preserve">CEPHEID INC/BIOMERIEUX PIERRE FABRE-STRATEGIC ALLIANCE</t>
  </si>
  <si>
    <t xml:space="preserve">Cepheid Inc and bioMerieux Pierre Fabre formed a strategic alliance to
provide research and development services of sepsis medical test products
in the United States. The partners were to develop both bacterial and
fungal identification assays as well a series of genetic markers for
antibiotic resistance. The alliance was a strategic investment opportunity
both for the partners to leverage their medical development services and to
further expand their market and product coverage.</t>
  </si>
  <si>
    <t xml:space="preserve">15670R
09098Z</t>
  </si>
  <si>
    <t xml:space="preserve">Archemix Corp
Merck KGaA</t>
  </si>
  <si>
    <t xml:space="preserve">Mnfr aptamer therapeutics
Mnfr,wholesale pharmaceuticals,holding co</t>
  </si>
  <si>
    <t xml:space="preserve">Archemix Corp, located in
Cambridge, Massachusetts,
manufactures aptamer-based
therapeutics for the
prevention and treatment of
chronic and acute diseases
through the use of proprietary
technologies such as selected
RNA and DNA scaffolds as
mimics or substitutes for
antibody-like binding domains.
The company was founded in
2001.
Merck KGaA, located in
Darmstadt, Germany,
manufactures and wholesales
pharmaceuticals, specialty
chemicals, and cosmetic
pigments. The Company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</si>
  <si>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ARCHEMIX CORP/MERCK KGAA-STRATEGIC ALLIANCE</t>
  </si>
  <si>
    <t xml:space="preserve">Archemix Corp and Merck KGaA formed a strategic alliance to provide
research and development services of aptamer-based therapeutics to treat
cancer globally. The alliance was a strategic investment opportunity both
for the partners to leverage their medical development services and to
further expand their market and product coverage worldwide.</t>
  </si>
  <si>
    <t xml:space="preserve">03949Q
589339</t>
  </si>
  <si>
    <t xml:space="preserve">Spatialight Inc
SI InfoComm
SCRAM Technologies Inc</t>
  </si>
  <si>
    <t xml:space="preserve">Mnfr,whl projection equip
Mnfr mobile electn sys
Mnfr rear projection screen</t>
  </si>
  <si>
    <t xml:space="preserve">Manufacture, develop and
wholesale liquid crystal on
silicon microdisplays and high
technology projection
equipment utilizing the flat
panel liquid crystal display
for computer and video
Manufacture mobile electronics
systems and Liquid crystal on
silicon based miniaturized
projection systems
Manufacture rear projection
screen technology called
SCRAMscreen as well as optics
and LED illumination systems</t>
  </si>
  <si>
    <t xml:space="preserve">3679
3679
3679</t>
  </si>
  <si>
    <t xml:space="preserve">United States
South Korea
United States</t>
  </si>
  <si>
    <t xml:space="preserve">CA
FF
MD</t>
  </si>
  <si>
    <t xml:space="preserve">SPATIALIGHT INC/SI INFOCOMM INC/SCRAM TECHNOLOGIES INC-STRATEGIC ALLIANCE</t>
  </si>
  <si>
    <t xml:space="preserve">Spatialight Inc, SI InfoComm Inc, and SCRAM Technologies Inc planned to
form a strategic alliance to provide laser-diode based micro-projector
development services in the United States. Under terms of the agreement,
the alliance was to design and develop a new class of projection display
called Micro-projectors.</t>
  </si>
  <si>
    <t xml:space="preserve">847248
78283F
81064Y</t>
  </si>
  <si>
    <t xml:space="preserve">Progenitor Cell Therapy LLC
Invitrogen Corp</t>
  </si>
  <si>
    <t xml:space="preserve">Biopharmaceutical company
Mnfr biological prod</t>
  </si>
  <si>
    <t xml:space="preserve">Progenitor Cell Therapy LLC,
located in Allendale, New
Jersey, is a biopharmaceutical
company. It provides
client-based cell therapy
services such as contract
manufacturing, consulting,
product and process
development, GTP services,
storage, distribution,
transport, and cord blood
banking. The company was
founded in 1997.
Invitrogen Corp, located in
Carlsbad, California,
manufactures biological
products, research tools in
reagent and kit form, and
provides other research
services, including
informatics software, to
customers engaged in life
sciences research, drug
discovery, diagnostics and the
commercial manufacture of
biological products. The
company was founded in 1987.</t>
  </si>
  <si>
    <t xml:space="preserve">PROGENITOR CELL THERAPY LLC/INVITROGEN CORP-STRATEGIC ALLIANCE</t>
  </si>
  <si>
    <t xml:space="preserve">Progenitor Cell Therapy LLC and Invitrogen Corp (IC) formed a strategic
alliance to provide research and development as well as marketing services
for IC's media and cell separation technologies in the United States.</t>
  </si>
  <si>
    <t xml:space="preserve">73999J
46185R</t>
  </si>
  <si>
    <t xml:space="preserve">Napo Pharmaceuticals Inc
Nicholas Piramal India Ltd</t>
  </si>
  <si>
    <t xml:space="preserve">Napo Pharmaceuticals Inc is
a manufacturer of
pharmaceuticals
headquartered in San
Francisco, California. Its
lead drug candidate,
crofelemer, is under
development for
gastrointestinal indications
including chronic diarrhea
in persons living with
HIV/AIDS.
Nicholas Piramal India Ltd,
located in Mumbai, India,
manufactures prescription
pharmaceuticals intended for
final consumption, including
biotech products and
antibiotics.</t>
  </si>
  <si>
    <t xml:space="preserve">NAPO PHARMACUEITCALS INC/NICHOLAS PIRAMAL INDIA LTD-STRATEGIC ALLIANCE</t>
  </si>
  <si>
    <t xml:space="preserve">Napo Pharmaceuticals Inc (NP) and Nicholas Piramal India Ltd (NI) formed a
strategic alliance to provide novel diabetes therapeutic agents discovery
services. NI was expected to utilize its high throughput screening facility
and natural product chemistry expertise along with biological testing
capabilities to identify active compounds from NP's library of medicinal
plant extracts from topical regions.</t>
  </si>
  <si>
    <t xml:space="preserve">63156N
65374F</t>
  </si>
  <si>
    <t xml:space="preserve">Hyflux Ltd
Marmon Water LLC</t>
  </si>
  <si>
    <t xml:space="preserve">Pvd water treatment svcs
Mnfr water treatment sys</t>
  </si>
  <si>
    <t xml:space="preserve">Hyflux Ltd, located in
Singapore, provides water
treatment services. It is a
provider of integrated
management and environmental
solutions for advanced water
treatment and membrane
filtration facilities. It has
operations and projects in
Southeast Asia, China, India,
the Middle East and North
Africa. The Company was
founded in 1989.
Manufacture residential and
commercial water treatment
systems</t>
  </si>
  <si>
    <t xml:space="preserve">4941
3589</t>
  </si>
  <si>
    <t xml:space="preserve">Singapore
United States</t>
  </si>
  <si>
    <t xml:space="preserve">HYFLUX LTD/MARMON WATER LLC-JOINT VENTURE</t>
  </si>
  <si>
    <t xml:space="preserve">Hyflux Ltd (HL) and Marmon Water LLC (MW) planned to form a 5-year joint
venture (JV) to provide research and development services in Singapore.
Under terms of the agreement, HL and MW were to each hold 50% interest in
the JV. The JV was to invest $32.5 mil US (50 mil Singaporean dollars) to
develop products and technologies with residential and commercial
applications. Concurrently, Hylux Consumer Products Pte Ltd, a unit of HL,
and MW entered into a manufacturing joint venture in China.</t>
  </si>
  <si>
    <t xml:space="preserve">The joint venture was to invest $32.5 mil US (50 mil Singaporean dollars)
to develop products and technologies with residential and commercial
applications.</t>
  </si>
  <si>
    <t xml:space="preserve">44853K
57131T</t>
  </si>
  <si>
    <t xml:space="preserve">China Health Holding Inc
Beijing Jifatang Chinese Med</t>
  </si>
  <si>
    <t xml:space="preserve">Biotechnology company;
wholesale natural medicinal
products
Biotechnology company</t>
  </si>
  <si>
    <t xml:space="preserve">Canada
China</t>
  </si>
  <si>
    <t xml:space="preserve">CHINA HEALTH HOLDING INC/BEIJING JIFATANG-STRATEGIC ALLIANCE</t>
  </si>
  <si>
    <t xml:space="preserve">China Health Holding Inc and Beijing Jifatang Chinese Medicine Research &amp;
Development  Institution formed a 10-year strategic alliance to provide
research and development services of drug compounds for the treatment of
diabetes, cancer, neurological and cardiovascular disorders globally. The
alliance was a strategic investment opportunity both for the partners to
leverage their pharmaceutical and medicinal services and to further expand
their product coverage in the region.</t>
  </si>
  <si>
    <t xml:space="preserve">42798P
07836Q</t>
  </si>
  <si>
    <t xml:space="preserve">Medarex Inc
Compugen Ltd</t>
  </si>
  <si>
    <t xml:space="preserve">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
Compugen Ltd is a
manufacturer of biological
products.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 Company was founded in
1993 and is located in
Holon, Israel.</t>
  </si>
  <si>
    <t xml:space="preserve">MEDAREX INC/COMPUGEN LTD-STRATEGIC ALLIANCE</t>
  </si>
  <si>
    <t xml:space="preserve">Medarex Inc and Compugen Ltd formed a strategic alliance to provide
research and development services of antibody-base therapeutics products
for oncology and autoimmune diseases globally. The alliance was a strategic
growth opportunity both for the partners to leverage their development
services and to further expand their pharmaceutical coverage.</t>
  </si>
  <si>
    <t xml:space="preserve">583916
M25722</t>
  </si>
  <si>
    <t xml:space="preserve">Health Discovery Corp Inc
Atlantic Alpha Strategies LLC</t>
  </si>
  <si>
    <t xml:space="preserve">biotech co
Investment management services</t>
  </si>
  <si>
    <t xml:space="preserve">Health Discovery Corp, based
in Georgia, operates as a
pattern recognition company
that uses mathematical
techniques to analyze large
amounts of data to uncover
patterns in the United States.
The company also licenses its
breast cancer diagnostic
technologies for identifying
circulating tumor cells in the
blood. It was founded in 2001.
Investment management services</t>
  </si>
  <si>
    <t xml:space="preserve">2836
6282</t>
  </si>
  <si>
    <t xml:space="preserve">HEALTH DISCOVERY CORP INC/ATLANTIC ALPHA STRATEGIES LLC-SVM CAPITAL LLC
JOINT VENTURE</t>
  </si>
  <si>
    <t xml:space="preserve">Health Discovery Corp (HD) and Atlantic Alpha Strategies LLC (AA) planned
to form a joint venture named SVM Capital LLC (SC) to provide quantitative
research and development services of support vector machines (SVM) in the
United States. The partners were to each hold a 50% interest in SC. Under
terms of the agreement, HD was to provide its worldwide exclusive license
for the use of SVMs in the financial industry, while AA was to contribute
its historical database for equity, debt, currency and commodities markets
to SC. In addition, SC was to develop predictive financial models for
investment management and hedging techniques. SC's formation was a
strategic growth opportunity both for the partners to leverage their
technological services and to further expand their business coverage in the
region.</t>
  </si>
  <si>
    <t xml:space="preserve">42218R
04821W</t>
  </si>
  <si>
    <t xml:space="preserve">Welding Research Institute
Paton Welding Institute</t>
  </si>
  <si>
    <t xml:space="preserve">Pvd welding research svcs
Pvd welding research svcs</t>
  </si>
  <si>
    <t xml:space="preserve">Provide welding research
services
Provide welding research
services</t>
  </si>
  <si>
    <t xml:space="preserve">India
Ukraine</t>
  </si>
  <si>
    <t xml:space="preserve">India
Paton Welding Institute</t>
  </si>
  <si>
    <t xml:space="preserve">999A
8731</t>
  </si>
  <si>
    <t xml:space="preserve">WELDING RESEARCH INSTITUTE/PATON WELDING INSTITUTE-STRATEGIC ALLIANCE</t>
  </si>
  <si>
    <t xml:space="preserve">Ukraine</t>
  </si>
  <si>
    <t xml:space="preserve">Welding Research Institute, a unit of Bharat Heavy Electricals Ltd, and
Paton Welding Institute formed a strategic alliance to provide welding
research services in Ukraine. The alliance was a strategic growth
opportunity both for the partners to leverage their welding services and to
further expand their business coverage in the region.</t>
  </si>
  <si>
    <t xml:space="preserve">94936V
70343C</t>
  </si>
  <si>
    <t xml:space="preserve">Kirin Brewery Co Ltd
Astellas Pharma Inc</t>
  </si>
  <si>
    <t xml:space="preserve">Prodn,whl beer,wine
Mnfr,whl pharm</t>
  </si>
  <si>
    <t xml:space="preserve">Kirin Brewery Co Ltd,
headquartered in Tokyo,
Japan, is engaged in the
production and wholesale of
alcoholic beverages, such as
beer and wine, and other
non-alcoholic beverages. The
group is also engaged in the
development of antibody
pharmaceuticals.
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t>
  </si>
  <si>
    <t xml:space="preserve">2082
2834</t>
  </si>
  <si>
    <t xml:space="preserve">KIRIN BREWERY CO LTD/ASTELLAS PHARMA INC-STRATEGIC ALLIANCE</t>
  </si>
  <si>
    <t xml:space="preserve">Kirin Brewery Co Ltd (KB) and Astellas Pharma Inc (AP) formed a strategic
alliance wherein KB licensed its anti-CD40 antagonistic monoclonal antibody
to AP for research and marketing purposes worldwide. Under terms of the
agreement, KB was expected to receive a certain upfront payment as well as
milestone payments while AP had the right to sell the product. The profit
was expected to be equally shared by KB and AP.</t>
  </si>
  <si>
    <t xml:space="preserve">497350
J03393</t>
  </si>
  <si>
    <t xml:space="preserve">PRA International
US Oncology Inc</t>
  </si>
  <si>
    <t xml:space="preserve">Pvd clinical research svcs
Pvd research,development svcs</t>
  </si>
  <si>
    <t xml:space="preserve">Provide clinical drug research
and development services on a
worldwide basis primarily to
the pharmaceutical and
biotechnology industries
US Oncology Inc is a
research and development
firm, headquartered in
Houston, Texas, US. Its
services are dedicated
exclusively to cancer
treatment and research. It
is affiliated with more than
1,000 physicians practicing
in approximately 440
locations, including over 90
cancer centers and radiation
facilities in 39 states. The
company was founded in 1992.</t>
  </si>
  <si>
    <t xml:space="preserve">VA
TX</t>
  </si>
  <si>
    <t xml:space="preserve">PRA International
Welsh Carson Anderson &amp; Stowe</t>
  </si>
  <si>
    <t xml:space="preserve">8731
6799</t>
  </si>
  <si>
    <t xml:space="preserve">PRA INTERNATIONAL/US ONCOLOGY INC-STRATEGIC ALLIANCE</t>
  </si>
  <si>
    <t xml:space="preserve">PRA International and US Oncology Inc, a unit of Welsh Carson Anderson &amp;
Stowe Co, formed a strategic alliance to provide research and development
services for cancer treatment in the United States. The alliance was
expected to focus on accelerating the clinical development of new cancer
treatments with the reduction of redundancies or conflicts that can hamper
the timely implementation of the trial.</t>
  </si>
  <si>
    <t xml:space="preserve">69353C
90338W</t>
  </si>
  <si>
    <t xml:space="preserve">Foamix Ltd
Dr Reddy's Laboratories Ltd</t>
  </si>
  <si>
    <t xml:space="preserve">Mnfr pharm
Manufactures and wholesales prescription pharmaceutical</t>
  </si>
  <si>
    <t xml:space="preserve">Foamix Ltd, located in Ness
Ziona, Israel, manufactures
and develops innovative
topical and dermatological
foam drug delivery
formulations.
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t>
  </si>
  <si>
    <t xml:space="preserve">Israel
India</t>
  </si>
  <si>
    <t xml:space="preserve">FOAMIX LTD/DR REDDYS LABORATORIES LTD-STRATEGIC ALLIANCE</t>
  </si>
  <si>
    <t xml:space="preserve">Foamix Ltd (FL) and Dr. Reddy's Laboratories Ltd (DR) formed a strategic
alliance wherein FL licensed DR to develop its prescription emollient foam
for the treatment of psoriasis worldwide. FL was expected to receive
certain development fees and milestone payments as well as royalties based
on net sales upon commercialization.</t>
  </si>
  <si>
    <t xml:space="preserve">34426X
256135</t>
  </si>
  <si>
    <t xml:space="preserve">MediVas LLC
Pfizer Inc</t>
  </si>
  <si>
    <t xml:space="preserve">Biotechnology company
Manufacture,wholesale pharmaceuticals</t>
  </si>
  <si>
    <t xml:space="preserve">Biotechnology company focused
wtih drug and biological using
biodegradable polymers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</si>
  <si>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CA
NY</t>
  </si>
  <si>
    <t xml:space="preserve">MEDIVAS LLC/PFIZER INC-STRATEGIC ALLIANCE</t>
  </si>
  <si>
    <t xml:space="preserve">MediVas LLC (ML) and Pfizer Inc (PI) formed a strategic alliance to provide
research and development services in the United States. The alliance was
expected to develop delivery methods for proprietary PI compounds to treat
diseases of the eye. The alliance combined the fully biodegradable and
biocompatible ML's polymers with the PI compounds. ML and PI hoped to
create a product that can change the paradigm of how ophthalmic treatments
are administered. Financial terms of the agreement were not disclosed.</t>
  </si>
  <si>
    <t xml:space="preserve">58592H
717081</t>
  </si>
  <si>
    <t xml:space="preserve">ArunA Biomedical Inc
Univ of GA Research Foundation</t>
  </si>
  <si>
    <t xml:space="preserve">Biotech company
Pvd research,dvlp svcs</t>
  </si>
  <si>
    <t xml:space="preserve">ArunA Biomedical Inc,
located in Athens, Georgia,
is a biotechnology company.
It is dedicated to the
discovery, manufacturing and
commercialization of
emerging new technologies in
human embryonic stem cell
research for use in drug
discovery and neuroscience
research. The Company was
founded in 2003.
University of Georgia Research
Foundation Inc, located in
Athens, Georgia, provides
research and development
services for the University of
Georgia. It secures gifts,
contracts, and grants from
industry, public and private
non-profits, and government
agencies for the performance
of research and education. In
addition to serving as the
legal recipient for research
awards to be conducted by the
university faculty and staff,
it performs the technology
transfer function for the
university, taking assignment
of inventions, obtaining
patents and copyright or other
intellectual property
protection, and licensing
inventions to the private
sector in return for royalty
income to further support the
research mission of the
university.</t>
  </si>
  <si>
    <t xml:space="preserve">ArunA Biomedical Inc
University of Georgia</t>
  </si>
  <si>
    <t xml:space="preserve">ARUNA BIOMEDICAL INC/UNIVERSITY OF GEORGIA RESEARCH-STRATEGIC ALLIANCE</t>
  </si>
  <si>
    <t xml:space="preserve">Aruna Biomedical Inc (AB) and University of Georgia Research Foundation Inc
(UG) formed a strategic alliance wherein UG licensed AB to manufacture,
develop and market its neural cells derived from human embryonic stem
cells.</t>
  </si>
  <si>
    <t xml:space="preserve">05181V
91427M</t>
  </si>
  <si>
    <t xml:space="preserve">Hubbard SAS
MetaMorphix Inc</t>
  </si>
  <si>
    <t xml:space="preserve">Broilers and Other Meat Type Chicken Production
Pvd research,development svcs</t>
  </si>
  <si>
    <t xml:space="preserve">Hubbard SAS is engaged in the
poultry breeding business. It
provides poultry solutions
services that focus on the
performance, health and
well-being of breeding stock.
The Company is located in Le
Foeil, France.
MetaMorphix Inc, located in
Calverton, Maryland, provides
research and development
services of genetics
addressing all major livestock
sectors including cattle,
swine, poultry and
aquaculture. The company was
founded in 1994.</t>
  </si>
  <si>
    <t xml:space="preserve">0251
8731</t>
  </si>
  <si>
    <t xml:space="preserve">Groupe Grimaud La Corbiere SA
MetaMorphix Inc</t>
  </si>
  <si>
    <t xml:space="preserve">HUBBARD SAS /METAMORPHIX INC - STRATEGIC ALLIANCE</t>
  </si>
  <si>
    <t xml:space="preserve">0752</t>
  </si>
  <si>
    <t xml:space="preserve">Hubbard SAS and MetaMorphix Inc (MM) formed a strategic alliance to provide
genomic markers development services to maximize the genetic progress of
products. The alliance was expected to use MM's GENIUS- Whole Genome System
(TM) to develop predictive genetic markers for desired broiler performance
traits. MM was entitled to receive a royalty on revenues generated from the
new breeds.</t>
  </si>
  <si>
    <t xml:space="preserve">44318H
57652R</t>
  </si>
  <si>
    <t xml:space="preserve">PsychoGenics Inc
Amylin Pharmaceuticals Inc</t>
  </si>
  <si>
    <t xml:space="preserve">Biotechnology company involved
in preclinical neurobiology
and in the provision of CNS
drug discovery solutions
Amylin Pharmaceuticals Inc,
headquartered in San Diego,
California, is a
biopharmaceutical company that
manufactures and develops
pharmaceuticals and
therapeutics based upon
peptide analogs, primarily in
regulation of glucose
metabolism. It also provides
research and development
services looking to develop
novel therapeutics based on
amylin, a newly discovered
hormone that play a role in
glucose metabolism regulation
for the treatment of diabetes,
obesity and other metabolic
diseases. The company was
founded in 1987.</t>
  </si>
  <si>
    <t xml:space="preserve">PSYCHOGENICS INC/AMYLIN PHARMACEUTICALS INC-PSYLIN NEUROSCIENCES INC JOINT
VENTURE</t>
  </si>
  <si>
    <t xml:space="preserve">Provide peptide hormones
discovery and development
services for treatment of
psychiatric disorders</t>
  </si>
  <si>
    <t xml:space="preserve">PsychoGenics Inc (PG) and Amylin Pharmaceuticals Inc (AP) formed a joint
venture named Psylin Neurosciences Inc (PN) to provide peptide hormones
discovery and development services for treatment of psychiatric disorders
in the United States. PN was expected to have access to molecules in AM's
proprietary polypeptide hormone library known as PHORMOL and to PG's
proprietary drug discovery technologies. AP and PG's expertise was expected
to provide PN with a unique drug discovery resource and PN was expected to
have the right to develop a number of drug candidates emerging from the
alliance.</t>
  </si>
  <si>
    <t xml:space="preserve">74656V</t>
  </si>
  <si>
    <t xml:space="preserve">73995V
032346</t>
  </si>
  <si>
    <t xml:space="preserve">Debiopharm International SA
Kirin Brewery Co Ltd</t>
  </si>
  <si>
    <t xml:space="preserve">Manufacture biopharmaceuticals
Prodn,whl beer,wine</t>
  </si>
  <si>
    <t xml:space="preserve">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
Kirin Brewery Co Ltd,
headquartered in Tokyo,
Japan, is engaged in the
production and wholesale of
alcoholic beverages, such as
beer and wine, and other
non-alcoholic beverages. The
group is also engaged in the
development of antibody
pharmaceuticals.</t>
  </si>
  <si>
    <t xml:space="preserve">2834
2082</t>
  </si>
  <si>
    <t xml:space="preserve">Switzerland
Japan</t>
  </si>
  <si>
    <t xml:space="preserve">DEBIOPHARM SA/KIRIN BREWERY CO LTD-STRATEGIC ALLIANCE</t>
  </si>
  <si>
    <t xml:space="preserve">Debiopharm SA (DB) and Kirin Brewery Co Ltd (KB) to provide research and
development services. The alliance was expected to develop and
commercialize DB's Debio-0719, a highly potent inhibitor of
lysophosphatidic acid (LPA) signaling, in early preclinical development for
the treatment of local as well as metastatic cancer. Under terms of the
agreement, DB was to fully manage and fund the development of Debio-0719,
before out-licensing to sales and marketing partners in all territories
outside of Asia, where KB will maintain development and commercialisation
rights. KB will receive milestone payments, as well as royalties based on
DB?s revenues from worldwide sales.</t>
  </si>
  <si>
    <t xml:space="preserve">24275A
497350</t>
  </si>
  <si>
    <t xml:space="preserve">Marien Hospital
Indivumed GmbH</t>
  </si>
  <si>
    <t xml:space="preserve">Own,op hospital
Provide research,dvlp services</t>
  </si>
  <si>
    <t xml:space="preserve">Own and operate a hospital
Indivumed GmbH, located in
Hamburg, Germany, provides
research and development
services for the treatment of
GI-tract (colorectal, gastric,
pancreatic), breast, prostate
and lung cancer. The company
was founded in 2002.</t>
  </si>
  <si>
    <t xml:space="preserve">MARIEN HOSPITAL/INDIVUMED GMBH-STRATEGIC ALLIANCE</t>
  </si>
  <si>
    <t xml:space="preserve">Marien Hospital and Indivumed GmbH formed a strategic alliance to provide
cancer therapy development services in Germany. The alliance focuses on a
comprehensive sample and data collection of cancer patients, in particular,
lung and colon cancer.</t>
  </si>
  <si>
    <t xml:space="preserve">56764A
46459W</t>
  </si>
  <si>
    <t xml:space="preserve">Integrated Genomics Inc
Arla Foods AmbA</t>
  </si>
  <si>
    <t xml:space="preserve">Pvd genome analysis svcs
Produce,wholesale dairy products</t>
  </si>
  <si>
    <t xml:space="preserve">Integrated Genomics Inc,
headquartered in the United
States and founded in 1997,,
provides web-based genome
analysis platform services for
research in microbial
genomics, biochemistry and
gene expression.
Arla Foods AmbA, located in
Viby, Denmark, produces and
wholesales dairy products
including milk, cheese,
butter and preserved milk
products. The firm has
operations in the UK,
Sweden, Germany, Denmark,
Argentina, China, USA,
Brazil and Canada. The
company was founded in 2000.</t>
  </si>
  <si>
    <t xml:space="preserve">7375
2026</t>
  </si>
  <si>
    <t xml:space="preserve">INTEGRATED GENOMICS INC/ARLA FOODS AMBA-STRATEGIC ALLIANCE</t>
  </si>
  <si>
    <t xml:space="preserve">Integrated Genomics Inc (IG) and Arla Fodds Amba (AF) formed a strategic
alliance to provide research and development services. IG and Af
collaborated to sequence and annotate the genome of a dairy lactic acid
bacterium. Scientists of AF were expected to use the new sequence and
metabolic reconstructions in IG's ERGO bioinformatics system to
characterize and develop lactic acid bacteria used in foods such as milk,
cheese, butter and milk based products for human consumption.</t>
  </si>
  <si>
    <t xml:space="preserve">45975P
04133Y</t>
  </si>
  <si>
    <t xml:space="preserve">Intl Institute of Info Tech
Motorola Inc</t>
  </si>
  <si>
    <t xml:space="preserve">Pvd research,dvlp svcs
Mnfr integrated commun prod</t>
  </si>
  <si>
    <t xml:space="preserve">Provide research and
development as well as
academic services in
information technologies and
their societal, scientific,
industrial and financial
applications
Motorola Inc, located in
Schaumburg, Illinois, is a
manufacturer of integrated
communication and embedded
electronic products
including software-enhanced
wireless telephone, two-way
radio, messaging and
satellite communications
products and systems, as
well as networking and
Internet-access products.
The company was founded in
1928.</t>
  </si>
  <si>
    <t xml:space="preserve">8732
3663</t>
  </si>
  <si>
    <t xml:space="preserve">FF
IL</t>
  </si>
  <si>
    <t xml:space="preserve">INTL INST OF INFO TECH/MOTOROLA INC-STRATEGIC ALLIANCE</t>
  </si>
  <si>
    <t xml:space="preserve">International Institute of Information Technology and Motorla Inc planned
to form a strategic alliance to provide research and development services
in the field of innovative solutions related to resource and capacity
management in India. Under terms of the agreement, MI was to be allowed to
effectively use the results of the research efforts to develop new wireless
broadband solutions for emerging markets like India.</t>
  </si>
  <si>
    <t xml:space="preserve">46395E
620076</t>
  </si>
  <si>
    <t xml:space="preserve">Shanghai Institute of Materia
Global Alliance For Tb Drug</t>
  </si>
  <si>
    <t xml:space="preserve">Pvd research,dvlp svcs
Provide medical,health svcs</t>
  </si>
  <si>
    <t xml:space="preserve">Provide research and
development services
Global Alliance for TB Drug
Development is a provider of
ambulatory health care
services. The Company is
located in New York, New
York.</t>
  </si>
  <si>
    <t xml:space="preserve">8731
8099</t>
  </si>
  <si>
    <t xml:space="preserve">Peoples Republic of China
Global Alliance For Tb Drug</t>
  </si>
  <si>
    <t xml:space="preserve">999A
8099</t>
  </si>
  <si>
    <t xml:space="preserve">INSTITUTE OF MATERIA MEDICA(NOW 81932N)/TB DRUG DVLP- STRATEGIC ALLIANCE</t>
  </si>
  <si>
    <t xml:space="preserve">Shanghai Institute of Materia Medica (SI), a unit of state-owned Chinese
Academy of Sciences, and Global Alliance for TB Drug Development (GA),
formed a strategic alliance to provide novel anti-tuberculosis agents
research and development services. SI and GA were expected to work together
on the design, synthesis and evaluation of a class of compounds  known  as
riminophenazines.</t>
  </si>
  <si>
    <t xml:space="preserve">81932N
38127P</t>
  </si>
  <si>
    <t xml:space="preserve">Sonae Industria SGPS SA
Swedwood International AB</t>
  </si>
  <si>
    <t xml:space="preserve">Manufacture wood-based panels
Own,op ret furniture stores</t>
  </si>
  <si>
    <t xml:space="preserve">Sonae Industria SGPS SA,
located in Maia, Portugal, is
a manufacturer of wood-based
panels and derivative items.
The Company's product
portfolio includes
particleboard (PB), medium
density fiberboard (MDF),
oriented strand board (OSB),
eucalyptus hardboard, wood
veneer faced board, laminate
flooring, high pressure
decorative laminates and
melamine faced chipboard
(MFC), which are used in
various applications, such as
furniture, floors, doors,
packaging and interior
decoration. Sonae Industria
Sgps SA operates industrial
plants and commercial
facilities in Portugal, Spain,
France, Germany, United
Kingdom, Switzerland, the
Netherlands, Canada and South
Africa. The Company operates
through a numerous of
subsidiaries, including Agepan
Eiweiler Management GmbH,
Agloma Investimentos SGPS SA,
Aserraderos de Cuellar SA, BHW
Beeskow Holzwerkstoffe GmbH
and Darbo SAS, among others. .
The Company was founded in
1959.
Swedwood International AB,
located in Angelholm, Sweden,
owns and operates retail
furniture stores.</t>
  </si>
  <si>
    <t xml:space="preserve">2435
5712</t>
  </si>
  <si>
    <t xml:space="preserve">Portugal
Sweden</t>
  </si>
  <si>
    <t xml:space="preserve">Efanor Investimentos SGPS SA
IKEA Svenska AB</t>
  </si>
  <si>
    <t xml:space="preserve">6799
2434</t>
  </si>
  <si>
    <t xml:space="preserve">SONAE INDUSTRIA SGPS SA /SWEDWOOD POLEN FUPRIN HOLGIND II BV- STRATEGIC
ALLIANCE</t>
  </si>
  <si>
    <t xml:space="preserve">Sonae Industrial SGPS SA, a unit of Sonae SGPS SA, and Swedwood BV, a unit
of IKEA Svenska AB formed a strategic alliance to provide research and
development services of wood panels and furnitures globally. The alliance
was a strategic investment opportunity both for the partners to leverage
their furniture and industrial wood products and to further expand their
market and product coverage worldwide.</t>
  </si>
  <si>
    <t xml:space="preserve">83541C
87033C</t>
  </si>
  <si>
    <t xml:space="preserve">MediVas LLC
Merck &amp; Co Inc</t>
  </si>
  <si>
    <t xml:space="preserve">Biotechnology company
Mnfr,whl pharmaceutical prod</t>
  </si>
  <si>
    <t xml:space="preserve">Biotechnology company focused
wtih drug and biological using
biodegradable polymers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</si>
  <si>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MEDIVAS LLC/MERCK &amp; CO INC-STRATEGIC ALLIANCE</t>
  </si>
  <si>
    <t xml:space="preserve">Medivas LLC (ML) and Merck &amp; Co Inc formed a strategic alliance to provide
biologics technology evaluation services in the United States. The alliance
focused on several orally available biologics delivered using ML's
proprietary polymer delivery system. ML was expected to receive an upfront
cash payment as well as research funding and milestones during the
evaluation period. Financial terms were not disclosed.</t>
  </si>
  <si>
    <t xml:space="preserve">58592H
589331</t>
  </si>
  <si>
    <t xml:space="preserve">AstraZeneca PLC
Palatin Technologies Inc</t>
  </si>
  <si>
    <t xml:space="preserve">Manufactures, wholesales pharmaceutical products
Biopharm co</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</si>
  <si>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Palatin Technologies Inc,
based in New Jersey, is a
biopharmaceutical company
engaging in the discovery and
development of peptide,
peptide mimetic, and small
molecule agonist compounds The
company was founded in 1986.</t>
  </si>
  <si>
    <t xml:space="preserve">ASTRAZENECA PLC(WAS 046353)/PALATIN TECHNOLOGIES INC-STRATEGIC ALLIANCE</t>
  </si>
  <si>
    <t xml:space="preserve">AstraZeneca PLC (AZ) and Palatin Technologies Inc (PT) formed a startegic
alliance wherein PT licensed AZ to develop and commercialize its small
molecule compounds that target melanocortin receptors. This collaboration
was based on PT's melanocortin receptor Obesity programme and includes
access to compound libraries, core technologies and expertise in
melanocortin receptor drug discovery and development. Under terms of the
agreement, PT was expected to receive an upfront payment of $10 mil US from
AZ and was eligible for milestone payments totalling $300 mil US, with up
ti $180 mil contingent upon development and regulatory milestones and the
balance on achievement of sales targets, together with the payment of
stepped royalties on product sales to double digit rates, dependent on
sales achieved.</t>
  </si>
  <si>
    <t xml:space="preserve">Palatin Technologies Inc was expected to receive $10 mil US in upfront
payment.</t>
  </si>
  <si>
    <t xml:space="preserve">046353
696077</t>
  </si>
  <si>
    <t xml:space="preserve">Tokyo Stock Exchange Inc
NYSE Group Inc</t>
  </si>
  <si>
    <t xml:space="preserve">Pvd securities exchange svcs
Pvd sec trdg,brkg svcs</t>
  </si>
  <si>
    <t xml:space="preserve">Tokyo Stock Exchange Inc,
headquartered in Tokyo, Japan,
provides securities exchange
services. It is also
developing networks linking
stock markets. It was founded
in 2007.
Provide securities listing,
trading and market data
products and services. In
May 1792, 24 brokers and
merchants signed the
historic "Buttonwood
Agreement," under which they
agreed to trade securities
on a commission basis.</t>
  </si>
  <si>
    <t xml:space="preserve">6231
6231</t>
  </si>
  <si>
    <t xml:space="preserve">Tokyo Stock Exchange Group Inc
NYSE Group Inc</t>
  </si>
  <si>
    <t xml:space="preserve">TOKYO STOCK EXCHANGE INC/NYSE GROUP INC-STRATEGIC ALLIANCE</t>
  </si>
  <si>
    <t xml:space="preserve">NYSE Group Inc and Tokyo Stock Exchange Inc signed letter of intent to form
a strategic alliance to provide research and development services of
security trading systems, investor and issuer strategies, investment
products, and governance and regulation technicalities globally. In
addition, the partners were to provide each other business consulting
services to identify their respective strengths and weaknesses, and to
further forecast and leverage the opportunities in both the Japanese and
American security trading industries. The alliance was a strategic
investment opportunity both for the partners to expand their market and
product coverage worldwide.</t>
  </si>
  <si>
    <t xml:space="preserve">Research &amp; Development Services
Consulting Services</t>
  </si>
  <si>
    <t xml:space="preserve">88928T
62949W</t>
  </si>
  <si>
    <t xml:space="preserve">Arbitron Inc
Nielsen Co</t>
  </si>
  <si>
    <t xml:space="preserve">Pvd media,mktg research svcs
Pvd mktg info research svcs</t>
  </si>
  <si>
    <t xml:space="preserve">Arbitron Inc, located in
Columbia, Maryland, provides
media and marketing research
services serving radio
broadcasters, cable companies,
advertisers, advertising
agencies, broadcast
television, magazine,
newspaper, outdoor and online
industries. Its core
businesses are measuring
network and local market radio
audiences across the United
States; surveying the retail,
media and product patterns of
local market consumers; and
providing application software
used for analyzing media
audience and marketing
information data. The company
was founded in 1957.
Nielsen Co, based in Haarlem,
provides marketing information
research and measurement
analysis services for various
business segments. The company
provides marketing
information, audience
measurement, and business
media products and services.
Its major businesses include
ACNielsen, ACNielsen, Analytic
Consulting, ACNielsen Hci,
ACNielsen Homescan &amp; Spectra,
BASES, Claritas Decisions Made
Easy, IMS, Nielsen Business
Media, Nielsen Entertainment,
Nielsen Media Research,
Nielsen online, Nielsen
Outdoor, Nielsen Sports,
PERQ/HCI, Scarborough
Research, SRDS, Nielsen
Mobile.</t>
  </si>
  <si>
    <t xml:space="preserve">8732
8732</t>
  </si>
  <si>
    <t xml:space="preserve">Arbitron Inc
Valcon Acquisition BV</t>
  </si>
  <si>
    <t xml:space="preserve">ARBITRON INC/NIELSEN CO- JOINT VENTURE</t>
  </si>
  <si>
    <t xml:space="preserve">Arbitron Inc (AI) and Nielsen Co (NC), a unit of Valcon Acquisition BV,
planned to form a joint venture (JV) to provide "Project Apollo" marketing
research services in the United States. The JV was to use AI's Portable
People Meter (TM) system, ACNielsen Homescan technology and other
technologies to provide advertisers with a better understanding of the
connection between consumer exposure to advertising on multiple media and
their shopping/ purchase behavior. The link of AI and NC's technologies was
to help make a "single source" consumer research service.</t>
  </si>
  <si>
    <t xml:space="preserve">Research &amp; Development Services
Marketing Services
Computer Integrated Systems Svcs</t>
  </si>
  <si>
    <t xml:space="preserve">03875Q
65743C</t>
  </si>
  <si>
    <t xml:space="preserve">Fresenius Medical Care AG &amp; Co
Amgen GmbH</t>
  </si>
  <si>
    <t xml:space="preserve">Mnfr,whl med equip
Biotechnology company</t>
  </si>
  <si>
    <t xml:space="preserve">Manufacture and wholesale
renal and kidney dialysis
products; provide renal and
kidney dialysis care
services
Amgen GmbH is a manufacturer
of biological products. The
Company was founded in 1989
and is located in Munich,
Germany.</t>
  </si>
  <si>
    <t xml:space="preserve">Fresenius AG
Amgen Inc</t>
  </si>
  <si>
    <t xml:space="preserve">FRESENIUS MEDICAL CARE AG &amp; CO KGAA/AMGEN EUROPE-STRATEGIC ALLIANCE</t>
  </si>
  <si>
    <t xml:space="preserve">Fresenius Medical Care AG &amp; Co KGaA (FM), a unit of Fresenius AG, and Amgen
GmbH, a unit of Amgen Inc, formed a strategic alliance to provide research
and development services in Europe. The alliance  aimed at further
improving treatment outcomes for kidney patients and was expected to
facilitate working group  of experts to analyze practices in the treatment
of chronic kidney disease (CKD) and publish their findings for improved
therapeutic options.</t>
  </si>
  <si>
    <t xml:space="preserve">358029
03113P</t>
  </si>
  <si>
    <t xml:space="preserve">DelSite Biotechnologies Inc
AriaVax Inc</t>
  </si>
  <si>
    <t xml:space="preserve">Biotechnology company that
provides pharmaceutical and
biotechnology industries with
novel delivery solutions for
new and existing proteins and
peptides
Biotechnology company using
its proprietary Deadlock (TM)
technology to create novel
peptide-based vaccine
candidates for a variety of
indications</t>
  </si>
  <si>
    <t xml:space="preserve">TX
MD</t>
  </si>
  <si>
    <t xml:space="preserve">Carrington Laboratories Inc
AriaVax Inc</t>
  </si>
  <si>
    <t xml:space="preserve">DELSITE BIOTECHNOLOGIES INC/ARIAVAX INC-STRATEGIC ALLIANCE</t>
  </si>
  <si>
    <t xml:space="preserve">DelSite Biotechnologies Inc (DB), a unit of Carrington Laboratories Inc,
and AriaVax inc (AV) formed a strategic alliance wherein DB licensed AV to
utilize its proprietary GelSite polymer delivery technology for developing
and evaluating an investigational vaccine against HIV infection in the
United States. Financial terms were not disclosed.</t>
  </si>
  <si>
    <t xml:space="preserve">24740R
03905Z</t>
  </si>
  <si>
    <t xml:space="preserve">Anacor Pharmaceuticals Inc
Schering-Plough Corp</t>
  </si>
  <si>
    <t xml:space="preserve">Biopharma co
Mnfr,whl pharm</t>
  </si>
  <si>
    <t xml:space="preserve">Anacor Pharmaceuticals Inc,
located in Palo Alto,
California, is a
biopharmaceutical firm
engaged in the discovery,
development, and production
of novel drugs based on
proprietary boron chemistry
for the treatment of
inflammatory and infectious
diseases such as psoriasis,
gingivitis, acne, vaginal
candidiasis and tinea pedis.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</si>
  <si>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ANANCOR PHARMACEUTICALS/SCHERING-PLOUGH CORP-STRATEGIC ALLIANCE</t>
  </si>
  <si>
    <t xml:space="preserve">Anacor Pharmaceuticals Inc (AP) and Schering-Plough Corp (SP) formed a
strategic alliance wherein AP licensed SP to manufacture, develop and
wholesale its AN2690 drug worldwide. Under terms of the agreement, AP was
expected to receive $40 mil as upfront payment and a $10 mil financial
commitment from SP. In addition, AP was expected to be eligible to receive
$575 mil for development, regulatory and commercial milestones and receive
double-digit royalty payments on future sales.</t>
  </si>
  <si>
    <t xml:space="preserve">Exclusive Licensing Services
Licensing Services
Manufacturing Services
Research &amp; Development Services
Retail &amp; Wholesale Services</t>
  </si>
  <si>
    <t xml:space="preserve">Anacor Pharmaceuticals Inc (AP) was expected to receive $40 mil as upfront
payment and a $10 mil financial commitment from Schering Plough Corp. In
addition, AP was expected to be eligible to receive $575 mil for
development, regulatory and commercial milestones and receive double-digit
royalty payments on future sales.</t>
  </si>
  <si>
    <t xml:space="preserve">032420
806605</t>
  </si>
  <si>
    <t xml:space="preserve">Shionogi &amp; Co Ltd
Eli Lilly Japan KK</t>
  </si>
  <si>
    <t xml:space="preserve">Mnfr,whl pharmaceuticals
Mnfr,whl pharmaceuticals</t>
  </si>
  <si>
    <t xml:space="preserve">Shionogi &amp; Co Ltd,
headquartered in Osaka,
Japan, is a pharmaceutical
company.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It was founded in
1878.
Manufacture and wholesale
prescription pharmaceuticals
intended for final
consumption, including biotech
products and antibiotics</t>
  </si>
  <si>
    <t xml:space="preserve">Shionogi &amp; Co Ltd
Eli Lilly &amp; Co</t>
  </si>
  <si>
    <t xml:space="preserve">SHIONOGI &amp; CO LTD/ELI LILLY JAPAN KK-STRATEGIC ALLIANCE</t>
  </si>
  <si>
    <t xml:space="preserve">Shionogi &amp; Co Ltd and Eli Lilly Japan KK, a unit of Eli Lilly &amp; Co formed a
strategic alliance to develop and wholesale duloxetine hydrochloride for
the treatment of depression and neuropathic pain in Japan. The alliance was
a strategic investment opportunity both for the partners to leverage their
medical development services and to further expand their market and product
coverage worldwide.</t>
  </si>
  <si>
    <t xml:space="preserve">82466Q
53246C</t>
  </si>
  <si>
    <t xml:space="preserve">Algynomics Inc
Orthogen Corp</t>
  </si>
  <si>
    <t xml:space="preserve">Biotechnology company
Biotechnology company ith
specialixation in tissue
engineering</t>
  </si>
  <si>
    <t xml:space="preserve">NC
NJ</t>
  </si>
  <si>
    <t xml:space="preserve">Algynomics Inc
HealthpointCapital LLC</t>
  </si>
  <si>
    <t xml:space="preserve">ALGYNOMICS INC/ORTHOGEN CORP-STRATEGIC ALLIANCE</t>
  </si>
  <si>
    <t xml:space="preserve">Orthogen Corp, a unit of Bio-Lok International Inc, and Algynomics Inc
formed a strategic alliance to provide research and development services of
orthopedic diseases and responses to pharmacological and
non-pharmacological treatments in the United States.</t>
  </si>
  <si>
    <t xml:space="preserve">01562H
68749J</t>
  </si>
  <si>
    <t xml:space="preserve">Wyeth Pharmaceuticals Inc
MediVas LLC</t>
  </si>
  <si>
    <t xml:space="preserve">Mnfr pharm prod
Biotechnology company</t>
  </si>
  <si>
    <t xml:space="preserve">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
Biotechnology company focused
wtih drug and biological using
biodegradable polymers</t>
  </si>
  <si>
    <t xml:space="preserve">PA
CA</t>
  </si>
  <si>
    <t xml:space="preserve">Wyeth
MediVas LLC</t>
  </si>
  <si>
    <t xml:space="preserve">WYETH PHARMACEUTICALS INC/MEDIVAS LLC-STRATEGIC ALLIANCE</t>
  </si>
  <si>
    <t xml:space="preserve">Wyeth Pharmaceuticals Inc (WP), a unit of Wyeth, and MediVas LLC (ML)
formed a strategic alliance to develop, manufacture and wholesale
polymer-based novel biopharmaceuticals products for the treatments of
hemophilia in the United States. Under terms of the agreement, MP was
expected to receive milestone payments associated with development,
regulatory filings and approvals and royalty payments based on net sales of
products, while WP was responsible with the research, development,
production and commercialization of any therapeutics derived from the
agreement. Hemophilia was a rare, inherited blood clotting disorder
characterized by spontaneous hemorrhages or prolonged bleeding, typically
into joints and soft tissue. The alliance was a strategic investment
opportunity both for the partners to leverage their medical development
technology and to further expand and strengthen their market and product
coverage.</t>
  </si>
  <si>
    <t xml:space="preserve">98292L
58592H</t>
  </si>
  <si>
    <t xml:space="preserve">BioWa Inc
UCB SA</t>
  </si>
  <si>
    <t xml:space="preserve">Biopharmaceutical co
Biopharmaceutical company</t>
  </si>
  <si>
    <t xml:space="preserve">BioWa Inc, located in
Princeton, New Jersey, is a
biopharmaceutical company. It
is the exclusive worldwide
licensor of Potelligent
Technology, a patented
technology that creates 100%
fucose-free monoclonal
antibodies. The company was
founded in 2003.
UCB SA, located in Brussels,
Belgium, is a
biopharmaceutical company
focused on the discovery and
development of innovative
medicines and solutions. It
specializes in two
therapeutic areas: diseases
of the central nervous
system (CNS) and immunology.
In the area of central
nervous system disorders, it
is focused on epilepsy,
diabetic neuropathic pain,
multiple sclerosis,
fibromyalgia, restless legs
syndrome and Parkinsons
disease, and the area of
immunology includes, bone
loss disorders, Crohns
disease, rheumatoid
arthritis and respiratory
disease. It also delivers
molecule solutions to
specialists for use in the
treatment of severe
diseases. Its product
portfolio includes drugs,
such as Neupro, Vimpat,
Cimzia, among others. The
Company was founded on
January 18, 1928.</t>
  </si>
  <si>
    <t xml:space="preserve">Kyowa Hakko Kogyo Co Ltd
UCB SA</t>
  </si>
  <si>
    <t xml:space="preserve">Japan
Belgium</t>
  </si>
  <si>
    <t xml:space="preserve">BIOWA INC/UCB SA-STRATEGIC ALLIANCE</t>
  </si>
  <si>
    <t xml:space="preserve">BioWa Inc (BI), a unit of Kyowa Hakko Kogyo Co Ltd, and Union Chimique
Belge SA (UC) formed a strategic alliance wherein BI licensed UC to
research and develop antibody-dependent cellular cytotoxicity (ADCC) using
its POTELLIGENT technology (PT) platform globally. Under terms of the
agreement, BI was expected to receive license fees, milestone payments and
royalties on products being developed by UC. The partners were to explore
and develop therapeutic treatments for cancer and other life-threatening
diseases. ADCC was a function of the human immune system,  whereby immune
cells could kill target cancer cells. Using BI's PT, the alliance would
enhance ADCC process of an antibody in vitro, thereby increasing the
potential for improved activity in anti-cancer therapeutic antibodies.
Financial terms were not disclosed.</t>
  </si>
  <si>
    <t xml:space="preserve">09018J
903480</t>
  </si>
  <si>
    <t xml:space="preserve">Wyeth Pharmaceuticals Inc
Nautilus Biotech</t>
  </si>
  <si>
    <t xml:space="preserve">Mnfr pharm prod
Mnfr pharm</t>
  </si>
  <si>
    <t xml:space="preserve">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
Manufacture and develop
pharmaceuticals focused in
next-generation therapeutic
proteins such as Beleforon
used for the treatment og
chronic Hepatitis C infection
and Vitatropin used for the
treatment of growth
deficiencies</t>
  </si>
  <si>
    <t xml:space="preserve">Wyeth
Nautilus Biotech</t>
  </si>
  <si>
    <t xml:space="preserve">WYETH PHARMACEUTICALS INC/NAUTILUS BIOTECH-STRATEGIC ALLIANCE</t>
  </si>
  <si>
    <t xml:space="preserve">Wyeth Pharmaceuticals Inc, a unit of Wyeth , and Nautilus Biotech formed a
strategic alliance to provide research and development services of Factor
IX proteins for hemophilia treatment globally. The alliance was a strategic
investment opportunity both for the partners to leverage their medical
development services and to further expand their market and product
coverage worldwide.</t>
  </si>
  <si>
    <t xml:space="preserve">98292L
63876X</t>
  </si>
  <si>
    <t xml:space="preserve">Regeneron Pharmaceuticals Inc
AstraZeneca PLC</t>
  </si>
  <si>
    <t xml:space="preserve">Mnfr,dvlp biopharm
Manufactures, wholesales pharmaceutical products</t>
  </si>
  <si>
    <t xml:space="preserve">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</si>
  <si>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REGENERON PHARMACEUTICALS INC/ASTRAZENECA PLC-STRATEGIC ALLIANCE</t>
  </si>
  <si>
    <t xml:space="preserve">Regeneron Pharmaceuticals Inc (RP) and AstraZeneca PLC (AP) planned to form
a strategic alliance wherein RP was to license AP to utilize its
VelocImmune technology (VT) to develop human monoclonal antibodies in
United Kingdom. Under terms of the agreement, AP was to conduct its
research work at the Cambridge Antibody Technology with the objective to
build a biopharmaceutical market share in the region. VT generates human
monoclonal antibodies to address medical relevant targets of therapeutic
studies. AP was to pay an estimated $120 mil US (61.234 mil British pounds)
upfront and milestone fees to RP, and an additional mid-single-digit
royalty on any product sales. The alliance was a strategic investment
opportunity both for the partners to leverage their therapeutic development
services and to further expand their market and product coverage
worldwide.</t>
  </si>
  <si>
    <t xml:space="preserve">AP was to pay an estimated $120 mil US (61.234 mil British pounds) upfront
and milestone fees to RP, and an additional mid-single-digit royalty on any
product sales.</t>
  </si>
  <si>
    <t xml:space="preserve">75886F
046353</t>
  </si>
  <si>
    <t xml:space="preserve">BASF AG
Rieke Metals Inc</t>
  </si>
  <si>
    <t xml:space="preserve">Mnfr chem prod
Mnfr,whl zinc,magnesium</t>
  </si>
  <si>
    <t xml:space="preserve">BASF SE, located in
Ludwigshafen, Germany,
manufactures chemical,
agricultural, plastics,
performance products and
functional solutions. The
Company's chemical products
include inorganic compounds,
petrochemicals, trioxane and
intermediates. Its plastic
products include foams,
styrenics, polyamide,
polyutheranes and
biodegradable plastics. It
also manufactures acrylics,
monomers, coatings,
detergents, montan waxes,
cosmetic ingredients, crop
protection chemicals and
pharmaceutical solutions.
BASF's products are used in
the automotive, packaging,
housing and construction,
health and nutrition, and
agricultural industries.
Through its Wintershall AG
subsidiary, BASF also
operates in the oil and gas
sector. Some of the
Company's production sites
are located in Germany,
Belgium, USA, Malaysia,
China, Japan, Mexico and
Spain. The Company was
founded in 1865.
Manufacture and wholesale
highly reactive zinc and
magnesium, novel organozinc
reagents and Grignard reagents
and fine organic chemicals</t>
  </si>
  <si>
    <t xml:space="preserve">2869
2819</t>
  </si>
  <si>
    <t xml:space="preserve">FF
NE</t>
  </si>
  <si>
    <t xml:space="preserve">BASF AG/RIEKE METALS INC- STRATEGIC ALLIANCE</t>
  </si>
  <si>
    <t xml:space="preserve">BASF AG and Rieke Metals Inc formed a strategic alliance to manufacture and
develop organic semiconductors (polythiophenes) on an industrial scale by
early 2007. Terms were not disclosed.</t>
  </si>
  <si>
    <t xml:space="preserve">055262
76647T</t>
  </si>
  <si>
    <t xml:space="preserve">PAM
Taiwan Semiconductor Mfg Co</t>
  </si>
  <si>
    <t xml:space="preserve">Mnfr,whl semiconductors
Mnfr,whl semiconductors</t>
  </si>
  <si>
    <t xml:space="preserve">Power Analog Microelectronics
Inc, located in Santa Clara,
California, manufactures and
wholesales semiconductors. Its
products include class-D audio
amplifiers, DC-DC converter,
LDO linear regulators, LED
driver, and headphone driver.
The company has offices in
Japan, China, and Taiwan. It
was founded in 2004.
Taiwan Semiconductor
Manufacturing Co Ltd, located
in Hsinchu, Taiwan,
manufactures and wholesales
semiconductors and integrated
circuits It is also engaged in
the manufacture of masks. The
group operates two advanced
300mm wafer fab, four 8-inch
wafer fab and one 6-inch wafer
fab. Operations are carried
out in Taiwan, North America
and other countries. The group
exports its products to Asia,
Europe and other countries. It
was founded in Feb 1987.</t>
  </si>
  <si>
    <t xml:space="preserve">United States
Taiwan</t>
  </si>
  <si>
    <t xml:space="preserve">POWER ANALOG MICROELECTRONICS INC{PAM}/TAIWAN SEMICONDUCTOR-STRATEGIC
ALLIANCE</t>
  </si>
  <si>
    <t xml:space="preserve">Power Analog Microelectronics Inc and Taiwan Semiconductor Manufacturing Co
Ltd formed a strategic alliance to provide research and development
services of Bipolar-CMOS-DMOS technology for power analog ICs used in audio
and video displays and devices globally.</t>
  </si>
  <si>
    <t xml:space="preserve">73916V
874039</t>
  </si>
  <si>
    <t xml:space="preserve">NTT DOCOMO Inc
Renesas Technology Corp
Fujitsu Ltd
Mitsubishi Electric Corp
Sharp Corp
Sony Ericsson Mobile  Commun</t>
  </si>
  <si>
    <t xml:space="preserve">Pvd wireless telecommun svcs
Mnfr,whl semiconductors
Mnfr,whl computer,sys
Mnfr,whl electric equipments
Mnfr,whl consumer electn prod
Mnfr cellular phones</t>
  </si>
  <si>
    <t xml:space="preserve">NTT Docomo Inc, located in
Tokyo, Japan, provides
telecommunications services.
The company operates in two
business segments. The
Mobile Phone segment is
engaged in the provision of
mobile phone services,
including high-speed data
transmission services (Xi),
third-generation mobile
phone services (FOMA),
second-generation mobile
phone services (mova),
packet communication
services, international call
services, satellite call
services, as well as the
sale of terminal equipment
related to each service. The
Others segment is involved
in the credit business, the
mail order business, the
mobile advertising sales
business, as well as the
provision of Internet access
services for hotels, among
others. The company was
founded in 1991.
Renesas Technology Corp,
headquartered in Chiyoda-Ku,
Tokyo, manufactures, designs,
and wholesales system LSIs
including microcomputers,
logic and analog devices,
discrete devices and memory
products such as SRAM. It was
founded in April 2003.
Fujitsu Ltd, headquartered
in Tokyo, Japan, is engaged
in the information
communication technology
(ICT) business. It has three
segments. The Technology
Solution segment
manufactures and sells
products including various
servers, storage systems,
various types of software,
network management systems
and optical transport
systems, as well as the
provision of system
integrations services,
consulting services, front
technology services, network
services and system support
services. The Ubiquitous
personal computers, mobile
phones, as well as audio
navigational devices, mobile
communication equipment and
automobile electronic
devices. The Device Solution
segment manufactures and
sells large scale
integrations (LSIs),
semiconductor packages,
batteries, relays and
connectors, optical
transmitter and receiver
modules, among others. It
was founded in 1935.
Mitsubishi Electric Corp,
located in Tokyo, Japan,
manufactures and wholesales
electric equipments. Its
manufacturing operations are
conducted principally at 23
sites located in Japan and
at overseas sites located in
the United States, United
Kingdom, Thailand, Malaysia,
China and other countries.
The company operates in six
segments: Energy and
Electric Systems, Industrial
Automation Systems,
Information and
Communication System,
Electronic Devices, Home
Appliances and Others. It
was founded in 1921.
Sharp Corp, headquartered in
Osaka, Japan, is engaged in
manufacture and wholesale of
consumer electronic
products. Other activities
include development, design
and wholesaling of consumer
electric and electronic
products. The operations are
carried out through the
following divisions:
Electronics and Electric
components. The electronics
division includes audio and
video (AV)/communication
products, including liquid
crystal color televisions,
projectors, digital
versatile disc (DVD) players
and recorders, compact disc
(CD) players and various
telephones; electric
appliances, personal
computers (PCs), digital
dictionaries, calculators,
liquid crystal color
monitors, information
displays and copy machines.
Electric components division
includes CCD/CMOS imagers,
LSIs for LCDs,
microcomputers, flash
memories, TFT LCD modules,
System LCD modules, solar
cells, components for
satellite broadcasting,
laser diodes, optical
pickups, optical sensors and
optical communication
components. The company was
founded in 1912.
Manufacture cellular phones</t>
  </si>
  <si>
    <t xml:space="preserve">4813
3674
3577
3679
3651
3663</t>
  </si>
  <si>
    <t xml:space="preserve">Japan
Japan
Japan
Japan
Japan
Japan</t>
  </si>
  <si>
    <t xml:space="preserve">FF
FF
FF
FF
FF
FF</t>
  </si>
  <si>
    <t xml:space="preserve">NTT
Hitachi Ltd
Fujitsu Ltd
Mitsubishi Electric Corp
Sharp Corp
Telefonaktiebolaget LM</t>
  </si>
  <si>
    <t xml:space="preserve">Japan
Japan
Japan
Japan
Japan
Sweden</t>
  </si>
  <si>
    <t xml:space="preserve">4813
3651
3577
3679
3651
4812</t>
  </si>
  <si>
    <t xml:space="preserve">NTT DOCOMO/RENESAS TECHNOLOGY/FUJITSU/MITSUBISHI ELECTRIC/SHARP/SONY
ERICSSON MOBILE-STRATEGIC ALLIANCE</t>
  </si>
  <si>
    <t xml:space="preserve">NTT Docomo Inc, Renesas Technology Corp, Fujitsu Ltd, Mitsubishi Electric
Corp, Sharp Corp, and Sony Ericsson Mobile Communications Japan Inc, a unit
of Sony Ericsson Mobile Communications AB, a joint venture between Sony
Corp and Telefonaktiebolaget LM Ericsson, formed a startegic alliance to
manufacture and develop mobile phone platform for dual-mode handsets
supporting HSDPA2/W-CDMA (3G) and GSM/GPRS/EDGE (2G) in Japan. The new
platform was based on the SH-Mobile G3, a single chip system LSI, which
implements a naseband processor supporting HSDPA cat. 82/W-CDMA and
GSM/GPRS/EDGE communications and an application processor with high-end
multimedia functions, together with a reference design integrating audio,
power supply and RF front-end modules.</t>
  </si>
  <si>
    <t xml:space="preserve">Telecommunications Services
Manufacturing Services
Research &amp; Development Services</t>
  </si>
  <si>
    <t xml:space="preserve">
</t>
  </si>
  <si>
    <t xml:space="preserve">J59399
76002J
359590
606776
819882
83594Z</t>
  </si>
  <si>
    <t xml:space="preserve">Hyalynx Inc
Ash Ingredients Inc</t>
  </si>
  <si>
    <t xml:space="preserve">Biotechnology company
Pvd RD svcs</t>
  </si>
  <si>
    <t xml:space="preserve">Biotechnology company
Provide research and
development services of
cosmetics and toiletries
ingredients</t>
  </si>
  <si>
    <t xml:space="preserve">KY
TN</t>
  </si>
  <si>
    <t xml:space="preserve">HYALYNX INC/ASH IINGREDIENTS INC-STRATEGIC ALLIANCE</t>
  </si>
  <si>
    <t xml:space="preserve">Kentucky</t>
  </si>
  <si>
    <t xml:space="preserve">Ash Ingredients Inc and Hyalynx Inc formed a strategic alliance to provide
research and development services of cosmetics and toiletries ingredients
in the United States. The alliance was a strategic investment opportunity
both for the partners to leverage their medical and cosmetics development
services and to further expand their market and product coverage worldwide</t>
  </si>
  <si>
    <t xml:space="preserve">46464H
04396V</t>
  </si>
  <si>
    <t xml:space="preserve">Tikvah Therapeutics Inc
Therapade Technologies LLC</t>
  </si>
  <si>
    <t xml:space="preserve">Mnfr pharmaceuticals
Pvd drug research svcs</t>
  </si>
  <si>
    <t xml:space="preserve">Tikvah Therapeutics Inc,
located in Atlanta, Georgia,
manufacturse and
commercializes prescription
pharmaceuticals intended for
final consumption, including
biotech products and
antibiotics.
Provide drug research and
development services for the
treatment of anxiety disorders
and other afflictions
exacerbated by anxiety</t>
  </si>
  <si>
    <t xml:space="preserve">GA
VA</t>
  </si>
  <si>
    <t xml:space="preserve">TIKVAH THERAPEUTICS INC/THERAPADE TECHNOLOGIES LLC-STRATEGIC ALLIANCE</t>
  </si>
  <si>
    <t xml:space="preserve">Tikvah Therapeutics Inc and Therapade Technologies LLC formed a strategic
alliance wherein D-cycloserine compound was expected to be developed and
marketed for the treatment of numerous anxiety-related disorders, including
post-traumatic stress disorder, panic disorder, social phobia, obsessive
compulsive disorder, as well as other afflictions worsen by anxiety.</t>
  </si>
  <si>
    <t xml:space="preserve">88612J
88281R</t>
  </si>
  <si>
    <t xml:space="preserve">Accelrys Inc
Organon International Inc</t>
  </si>
  <si>
    <t xml:space="preserve">Dvlp lifecycle mgmt software
Mnfr,whl pharm</t>
  </si>
  <si>
    <t xml:space="preserve">Accelrys Inc, located in San
Diego, California, develops
lifecycle management software.
Its products and platform
includes Accelrys Enterprise
Platform, Workflow &amp;
Automation, Modelling &amp;
Simulation, Enterprise Lab
Management, and Data
Management and Informatics.
The company was founded in
1993.
Manufacture and wholesale
prescription pharmaceuticals
in the fields of gynecology,
fertility, neuroscience and
anesthesia</t>
  </si>
  <si>
    <t xml:space="preserve">Accelrys Inc
Akzo Nobel NV</t>
  </si>
  <si>
    <t xml:space="preserve">7372
2851</t>
  </si>
  <si>
    <t xml:space="preserve">PHARMACOPEIA INC/ORGANON INTERNATIONAL INC-STRATEGIC ALLIANCE</t>
  </si>
  <si>
    <t xml:space="preserve">Pharmacopeia Inc (PI) and Organon International Inc (OI), a unit of Akzo
Nobel NV, formed a 5-year strategic alliance to provide novel therapeutics
development and marketing services. The alliance was expected to develop
and commericalize therapeutic products across a broad range of therapeutic
indications, including neuroscience and immunology. PI was expected to
receive an upfront payment of $15 mil US and additional payments in
research funding over the 5-year research portion of the alliance. PI and
OI collaborated to generate development compiunds addressing targets of
mutual interest.</t>
  </si>
  <si>
    <t xml:space="preserve">Pharmacopeia Inc was expected to receive $15 mil US in upfront payment.</t>
  </si>
  <si>
    <t xml:space="preserve">00430U
68579T</t>
  </si>
  <si>
    <t xml:space="preserve">Favrille Inc
Berlex Inc</t>
  </si>
  <si>
    <t xml:space="preserve">Biopharm co
Mnfr,dvlp,market pharm</t>
  </si>
  <si>
    <t xml:space="preserve">Favrille Inc, headquartered in
San Diego, California, is a
biopharmaceutical company
focused on the development and
commercialization of
patient-specific
immunotherapies for the
treatment of cancer and other
diseases of the immune system.
The company was incorporated
in Delaware in January 2000.
Manufacture, develop and
market pharmaceuticals</t>
  </si>
  <si>
    <t xml:space="preserve">Favrille Inc
Bayer AG</t>
  </si>
  <si>
    <t xml:space="preserve">FAVRILLE INC/BERLEX INC(WAS08475A)-STRATEGIC ALLIANCE</t>
  </si>
  <si>
    <t xml:space="preserve">Favrille Inc and Berlex Inc, a unit of Bayer Schering Pharma AG formed a
strategic alliance to provide research and development services of active
immunotherapies for the treatment of cancer in the United States. The
alliance was a strategic investment opportunity both for the partners to
leverage their medical development services and to further expand their
market and product coverage worldwide. Financial terms were not disclosed.</t>
  </si>
  <si>
    <t xml:space="preserve">312088
08475M</t>
  </si>
  <si>
    <t xml:space="preserve">GW Pharmaceuticals PLC
Otsuka Pharmaceutical Co Ltd</t>
  </si>
  <si>
    <t xml:space="preserve">Mnfr diagnostic pharma
Mnfr,whl pharm,cosmetics</t>
  </si>
  <si>
    <t xml:space="preserve">GW Pharmaceuticals PLC, based
in Salisbury, Wiltshire, UK,
is a biopharmaceutical company
focused on discovering,
developing and commercializing
novel therapeutics from its
proprietary cannabinoid
product platform in a broad
range of disease areas. It has
commercialized cannabinoid
prescription drug, Sativex,
which is approved for the
treatment of spasticity due to
multiple sclerosis, or MS, in
20 countries outside the
United States. The company was
founded in 1998.
Otsuka Pharmaceutical Co
Ltd, located in Tokyo,
Japan, manufactures and
wholesales pharmaceuticals,
cosmetics, and medical
equipment. From its initial
focus on the intravenous
solutions business, the
company has grown to be a
leader in the field of
nutrition management in
healthcare settings. It is
also engaged in research and
development of innovative
products. The company was
founded in 1964.</t>
  </si>
  <si>
    <t xml:space="preserve">United Kingdom
Japan</t>
  </si>
  <si>
    <t xml:space="preserve">GW PHARMACEUTICALS PLC/OTSUKA PHARMACEUTICAL CO LTD-STRATEGIC ALLIANCE</t>
  </si>
  <si>
    <t xml:space="preserve">GW Pharmaceuticals PLC (GP) and Otsuka Pharmaceutical Co Ltd (OP) formed a
strategic alliance wherein GP licensed OP to manufacture, develop and
market its Sativex in the United States. GW was expected to receive total
milestone payments of up to $273 mil US (33 bil Japanese yen) as well as a
long term commercial supply price and royalty. OP was also expected to pay
GP a signature fee of $18 mils US (2.2 bil yen). In addition, GP and OP
entered into a cannabinoid research collaboration in the field of Central
Nervous System (CNS) disorders and cancer treatment in order to research,
develop and commercialize a range of early stage cannabinoid product
opportunities. The alliance was has been subjected to Hart-Scott-Rodino
clearance.</t>
  </si>
  <si>
    <t xml:space="preserve">GW Pharmaceuticals PLC was expected to receive total milestone payments of
up to $273 mil US (33 bil Japanese yen) as well as a long term commercial
supply price and royalty.</t>
  </si>
  <si>
    <t xml:space="preserve">36197T
68916Q</t>
  </si>
  <si>
    <t xml:space="preserve">DuPont Crop Protection
Valent USA Corp</t>
  </si>
  <si>
    <t xml:space="preserve">Mnfr,whl crop protection prod
Mnfr agricultural chem</t>
  </si>
  <si>
    <t xml:space="preserve">DuPont Crop Protection,
located in Wilmington,
Delaware, manufactures and
wholesales crop protection
products such as herbicide,
fungicide and insecticide
for the grain and specialty
crop sectors.The Business
includes Cereal Broadleaf
Herbicides and Chewing
Insecticides portfolios,
including Rynaxypr, Cyazypyr
and indoxcarb.
Valent USA Corp, located in
Fresno, California
manufactures agricultural
chemicals.</t>
  </si>
  <si>
    <t xml:space="preserve">DE
CA</t>
  </si>
  <si>
    <t xml:space="preserve">DuPont
Sumitomo Chemical Co Ltd</t>
  </si>
  <si>
    <t xml:space="preserve">DUPONT CROP PROTECTION/VALENT USA CORP-STRATEGIC ALLIANCE</t>
  </si>
  <si>
    <t xml:space="preserve">Dupont Crop Protection (DC), a unit of El du Pont de Nemours &amp; Co, and
Valent USA Corp, a unit of Sumitomo Chemical Co Ltd, planned to form a
strategic alliance to provide flumioxazin access services to create new
combination herbicide products for soybeans in the United States. The
alliance was to provide a wider range of solutions to meet farmers' needs
in conventional, Roundup Ready (R), and Optimum (TM) GAT (TM) seed systems.
The new blended products offerings was to provide farmers with better weed
control options for glyphosate-tolerant and conventional crops as well as
provide retailers with better options to improve customer satisfaction.</t>
  </si>
  <si>
    <t xml:space="preserve">Research &amp; Development Services
Agricultural, Forestry, &amp; Fishing Svcs</t>
  </si>
  <si>
    <t xml:space="preserve">26593J
91911J</t>
  </si>
  <si>
    <t xml:space="preserve">ValiRx PLC
Physiomics PLC</t>
  </si>
  <si>
    <t xml:space="preserve">Manfacturing biological products
Pvd research,dvlp svcs</t>
  </si>
  <si>
    <t xml:space="preserve">ValiRx PLC is a manufacturer
of biological products. The
Company manufactures and
develops drugs for the
treatment of cancer through
its 2 subsidiaries namely
Cronos Therapeutics and
Morphogenesis. It is also
involved in the development
of oncological diagnostics
and stem cells. The Company
is located in London, the
United Kingdom.
Physiomics PLC, located in
Oxford, United Kingdom,
provides research and
development services using
cutting-edge mathematical
models of cancer, supporting
pharmaceutical decision
making throughout the drug
discovery process.</t>
  </si>
  <si>
    <t xml:space="preserve">ValiRx PLC
EiRx Therapeutics Plc</t>
  </si>
  <si>
    <t xml:space="preserve">United Kingdom
Ireland-Rep</t>
  </si>
  <si>
    <t xml:space="preserve">VALIRX PLC/PHYSIOMICS PLC-STRATEGIC ALLIANCE</t>
  </si>
  <si>
    <t xml:space="preserve">ValiRx PLC (VP) and Physiomics PLC (PP), a unit of Eirx Therapeutics PLC,
formed a strategic alliance wherein PP licensed VP to utilize its In Silico
simulations of cellular process to reduce and develop time and costs
associated in identifying new therapeutic compounds for treatment of cancer
in the United Kingdom. PP's In Silico was coupled with VP's GeneICE
technology to generate a cancer cell death model- Apoptosis Model.</t>
  </si>
  <si>
    <t xml:space="preserve">91939W
71893J</t>
  </si>
  <si>
    <t xml:space="preserve">Zimmer Holdings Inc
ISTO Technologies Inc</t>
  </si>
  <si>
    <t xml:space="preserve">Mnfr,whl orthopedic implants
Biotechnology company</t>
  </si>
  <si>
    <t xml:space="preserve">Zimmer Holdings Inc,
headquartered in Warsaw,
Indiana, manufactures and
wholesales orthopedic
reconstructive implants,
including joint and dental,
spine implants, and trauma
products. The company
operates in four segments:
orthopedic surgical
products, trauma and spine;
orthopedic surgical implants
restore joint function lost
due to trauma in joints;
orthopedic surgeons &amp;
neurosurgeons in the
treatment of degenerative
diseases, deformities and
trauma in all regions of the
spine utilize spinal
implants; trauma products
are devices used primarily
to reattach or stabilize
damaged bone or tissue to
support the body's natural
healing process; the
products are sold under the
brand names Nexgen(R),
Versys(R), and Zmr(TM) and
Trilogy(R); the group
operates in more than 24
countries and markets its
products in more than 100
countries. The company was
founded in 1927.
ISTO Technologies Inc is a
manufacturer of biological
products. The company is
located in St Louis, Missouri.</t>
  </si>
  <si>
    <t xml:space="preserve">3842
2836</t>
  </si>
  <si>
    <t xml:space="preserve">IN
MO</t>
  </si>
  <si>
    <t xml:space="preserve">ZIMMER HOLDINGS INC/ISTO TECHNOLOGIES-STRATEGIC ALLIANCE</t>
  </si>
  <si>
    <t xml:space="preserve">Zimmer Holdings Inc and ISTO Technologies Inc formed a strategic alliance
to provide research and development services of neocartilage, a living
tissue-engineered graft in the United States. The alliance was a strategic
investment opportunity both for the partners to leverage their medical
development services and to further expand their market and product
coverage worldwide.</t>
  </si>
  <si>
    <t xml:space="preserve">98956P
44781A</t>
  </si>
  <si>
    <t xml:space="preserve">Hitachi Ltd
Renesas Technology Corp</t>
  </si>
  <si>
    <t xml:space="preserve">Mnfr,whl electn equip
Mnfr,whl semiconductors</t>
  </si>
  <si>
    <t xml:space="preserve">Hitachi Limited is
manufacturing and
distributing electronic
equipment, based in Tokyo.
The Group's principal
activity is to manufacture
electronic and electrical
equipment. The operations
are carried out through the
following divisions: Power
and industrial systems;
Information and Telecom
Systems; Materials; Consumer
Products; Electronic
Devices; Financial Services
and Service/others. Power
and Industrial systems
division manufactures
nuclear, thermal and
hydroelectric power plants
and control equipment.
Information systems division
deals with system
integration, multi-purpose
computer and others.
Electronics division
manufactures computers,
audio/visual equipment and
development of software.
Materials division
manufactures synthetic resin
materials and products.
Consumer Products division
manufactures air
conditioners, household
appliances and audio/visual
products. Electronic Devices
semi-conductor equipment and
test and measurement
equipment. Services and
other division is engaged in
general trading and
transportation.
Renesas Technology Corp,
headquartered in Chiyoda-Ku,
Tokyo, manufactures, designs,
and wholesales system LSIs
including microcomputers,
logic and analog devices,
discrete devices and memory
products such as SRAM. It was
founded in April 2003.</t>
  </si>
  <si>
    <t xml:space="preserve">3651
3674</t>
  </si>
  <si>
    <t xml:space="preserve">Hitachi Ltd
Hitachi Ltd</t>
  </si>
  <si>
    <t xml:space="preserve">3651
3651</t>
  </si>
  <si>
    <t xml:space="preserve">HITACHI LTD/RENESAS TECHNOLOGY CORP-STRATEGIC ALLIANCE</t>
  </si>
  <si>
    <t xml:space="preserve">Hitachi Ltd (HL) and Renesas Technology Corp, a joint venture between HL
and Mitsubishi Electric Corp formed a strategic alliance to provide
research and development services of semiconductors, microcomputers, logic
and analog devices in Japan. The alliance was expected to develop change
memory cells and 1.5 voltage low power and high speed on-chip nonvolatile
memory applications.</t>
  </si>
  <si>
    <t xml:space="preserve">433578
76002J</t>
  </si>
  <si>
    <t xml:space="preserve">Stem Cell Sciences PLC
Merck &amp; Co Inc</t>
  </si>
  <si>
    <t xml:space="preserve">Biotechnology co
Mnfr,whl pharmaceutical prod</t>
  </si>
  <si>
    <t xml:space="preserve">Biotechnology company engaged
in the isolation, growth and
manipulation of stem cells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</si>
  <si>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STEM CELL SCIENCES PLC/MERCK &amp; CO INC-STRATEGIC ALLIANCE</t>
  </si>
  <si>
    <t xml:space="preserve">Stem Cell Sciences PLC (SC) and Merck &amp; Co (MC) formed a strategic alliance
wherein SC licensed MC to utilize its novel mouse neural stem cell
technology for research use. Financial terms were not disclosed but include
a signing fee and milestone payments.</t>
  </si>
  <si>
    <t xml:space="preserve">78776Q
589331</t>
  </si>
  <si>
    <t xml:space="preserve">Merck KGaA
Nano Terra Inc</t>
  </si>
  <si>
    <t xml:space="preserve">Mnfr,wholesale pharmaceuticals,holding co
Pvd research,dvlp svcs</t>
  </si>
  <si>
    <t xml:space="preserve">Merck KGaA, located in
Darmstadt, Germany,
manufactures and wholesales
pharmaceuticals, specialty
chemicals, and cosmetic
pigments. The Company
operates under four
divisions: Merck Serono
(biopharmaceuticals),
Consumer Health
(over-the-counter
pharmaceuticals),
Performance Materials
(high-tech chemicals) and
Merck Millipore (products
for pharmaceutical research
and biotechnology). The
Company was founded in 1668.
Nano Terra Inc, located in
Brighton, Massachusetts,
provides research and
development services. It
offers smart materials and
surfaces; flexible electronics
such as displays and
electronic packaging; fuel
cells, batteries and solar
power devices; sensors;
industrial products and
processes; and a wide range of
consumer goods. The company
was founded in 2005.</t>
  </si>
  <si>
    <t xml:space="preserve">MERCK KGAA/NANO TERRA LLC-STRATEGIC ALLIANCE</t>
  </si>
  <si>
    <t xml:space="preserve">Merch KGaA (MK) and Nano Terra LLC (NT) planned to form a strategic
alliance to provide solutions development services to create new physical
properties in specialty chemicals currently manufactured by MK. The new
properties were to be made possible through nano-scale, molecular
fabrication methods. The solutions was to allow MK's proprietary materials
to be used with significantly greater precision and control and allow for
new applications at reduced economic levels. Financial terms of the
agreement were not disclosed.</t>
  </si>
  <si>
    <t xml:space="preserve">589339
67208A</t>
  </si>
  <si>
    <t xml:space="preserve">Novo Nordisk A/S
TransTech Pharma Inc</t>
  </si>
  <si>
    <t xml:space="preserve">Healthcare company
Mnfr pharm</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</si>
  <si>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Manufacture and develop
pharmaceuticals for diabetes,
cancer, inflammation,
Alzheimer's disease, and
thrombosis</t>
  </si>
  <si>
    <t xml:space="preserve">Novo Nordisk Foundation
TransTech Pharma Inc</t>
  </si>
  <si>
    <t xml:space="preserve">NOVO NORDISK A/S/TRANSTECH PHARMA-STRATEGIC ALLIANCE</t>
  </si>
  <si>
    <t xml:space="preserve">TransTech Pharma Inc (TP) and Novo Nordisk A/S (NN) formed a strategic
alliance wherein NN exclusively licensed TP to utilize its glucokinase
activator program for the treatment of diabetes worldwide. The drug
candidates licensed by TP are novel, orally administered compounds
discovered during a strategic research collaboration initiated in 2001
between TP and NN utilizing TP's proprietary small-molecule discovery
engine, TTP Translational Technology?.</t>
  </si>
  <si>
    <t xml:space="preserve">670100
89430P</t>
  </si>
  <si>
    <t xml:space="preserve">Diversa Corp
Bunge Oils Inc</t>
  </si>
  <si>
    <t xml:space="preserve">Pvd research,dvlp svcs
Produce cooking oil</t>
  </si>
  <si>
    <t xml:space="preserve">Provide research and
development services
particularly in developing
novel enzymes and other
biological active compounds,
such as small molecule drugs
and monoclonal antibodies
Produce cooking oil</t>
  </si>
  <si>
    <t xml:space="preserve">8731
2076</t>
  </si>
  <si>
    <t xml:space="preserve">CA
IL</t>
  </si>
  <si>
    <t xml:space="preserve">Koninklijke Begemann Groep NV
Bunge Ltd</t>
  </si>
  <si>
    <t xml:space="preserve">6799
2075</t>
  </si>
  <si>
    <t xml:space="preserve">DIVERSA CORP/BUNGE OIL-STRATEGIC ALLIANCE</t>
  </si>
  <si>
    <t xml:space="preserve">Diversa Corp and Bunge Oils Inc, a unit of Bunge North America Inc formed a
strategic alliance to provide research and development services of novel
enzymes for the production of edible oil in the United States. The alliance
was a strategic investment opportunity both for the partners to leverage
their production of edible oil products and to further expand their market
coverage worldwide.</t>
  </si>
  <si>
    <t xml:space="preserve">255064
12352R</t>
  </si>
  <si>
    <t xml:space="preserve">BD BioSciences
Roche Holdings AG</t>
  </si>
  <si>
    <t xml:space="preserve">Mnfr,whl med devices,equipment
Manufactures, wholesales pharmaceuticals and medical instruments</t>
  </si>
  <si>
    <t xml:space="preserve">BD BioSciences, located in San
Jose, California, manufactures
and wholesales medical devices
and equipment as well as
health care, medical, and
diagnostic products.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</si>
  <si>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Becton Dickinson &amp; Co
Roche Holdings AG</t>
  </si>
  <si>
    <t xml:space="preserve">BD BIOSCIENCES/HOFFMANN-LA ROCHE-STRATEGIC ALLIANCE</t>
  </si>
  <si>
    <t xml:space="preserve">BD BioSciences, a unit of Becton Dickinson &amp; Co, and Roche Holding AG
formed a strategic alliance to provide research and development services of
intracellular phosphorylation site antibodies globally. Under terms of the
agreement, the partners were expected to share information and technical
resources to identify the pathways, which carry the information inside the
cells and why these pathways malfunction to cause disease. The alliance was
a strategic growth opportunity both for the partners to leverage their
medical research services and to further expand and strengthen their novel
biology and antibodies product coverage.</t>
  </si>
  <si>
    <t xml:space="preserve">05743R
77119M</t>
  </si>
  <si>
    <t xml:space="preserve">Chemdiv Inc
Kaken Pharmaceutical Co Ltd</t>
  </si>
  <si>
    <t xml:space="preserve">Pvd research,dvlp svcs
Mnfr,whl pharmaceuticals</t>
  </si>
  <si>
    <t xml:space="preserve">Chemdiv Inc, located in San
Diego, California, provides
synthetic and medicinal
chemistry research services
specializing in small-molecule
chemistry, screening
libraries, global logistics
and lead discovery. The
company has research
facilities in San Diego, USA,
and Moscow, Russia. The
company was founded in 1990.
Kaken Pharmaceutical Co Ltd,
headquartered in Tokyo, Japan,
manufactures and wholesales
medical, animal health
products and agricultural
chemicals. The Group
manufactures metabolic agents,
nervous system agents,
antibiotics, digestive agents,
farm and industrial chemicals.
It is also engaged in the
leasing of real estate. The
operations are carried out
through the following
divisions: Pharmaceuticals and
Real estate. It was founded in
1948.</t>
  </si>
  <si>
    <t xml:space="preserve">CHEMDIV INC/KAKEN PHARMACEUTICAL CO LTD-STRATEGIC ALLIANCE</t>
  </si>
  <si>
    <t xml:space="preserve">Chemdiv Inc and Kaken Pharmaceutical Co Ltd formed a strategic alliance to
provide research and development services of undisclosed therapeutic
targets globally. Under terms of the agreement, the partners were expected
to combined their respective medicinal chemistry and pre-clinical biology
techniques to further strengthen their newly develop pharmaceutical
products and services.</t>
  </si>
  <si>
    <t xml:space="preserve">16359E
8A7188</t>
  </si>
  <si>
    <t xml:space="preserve">Bristol-Myers Squibb Co
Adnexus Therapeutics Inc</t>
  </si>
  <si>
    <t xml:space="preserve">Manufactures pharmaceuticals and medical products
Mnfr,dvlp pharm</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</si>
  <si>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Adnexus Therapeutics Inc,
located in Waltham,
Massachusetts, manufactures
and develops protein-based
pharmaceutical products. The
company develops a novel,
proprietary class of target
biologics caslled Adnectins.</t>
  </si>
  <si>
    <t xml:space="preserve">BRISTOL-MYERS SQUIBB CO(WAS 110097)/ADNEXUS THERAPEUTICS-STRATEGIC
ALLIANCE</t>
  </si>
  <si>
    <t xml:space="preserve">Bristol-Myers Squibb Co (BM) and Adnexus Therapeutics Inc (AT) formed a
strategic alliance to provide oncology-related targets discovery,
development and commercialization services worldwide. The alliance was
expected to discover and develop biologic compounds specifically tuned to
modulate oncology targets of high clinical impact. AT was expected to
deploy its PROfusion technology on up to six research programs to identify
and deliver pre-clinical Adnectin candidates to BM. BM was expected to be
responsible for global development and commercialization activities, with
AT retaining a limited co-promotion right to the first product to achieve
regulatory approval in the United States. Under the terms of the agreement,
BM provided committed funds of approximately $30 million over the next
three years to AT, consisting of upfront and guaranteed research payments.
AT also was expected to be eligible to receive regulatory milestone
payments of up to $210 million per product, as well as royalties on product
sales and sales-based milestone payments.</t>
  </si>
  <si>
    <t xml:space="preserve">Adnexus Therapeutics Inc was expected to be eligible to receive regulatory
milestone payments of up to $210 million per product, as well as royalties
on product sales and sales-based milestone payments.</t>
  </si>
  <si>
    <t xml:space="preserve">110122
01198H</t>
  </si>
  <si>
    <t xml:space="preserve">Teva Pharm Inds Ltd
Vaccinex Inc</t>
  </si>
  <si>
    <t xml:space="preserve">Teva Pharmaceutical
Industries Ltd is a
manufacturer of
pharmaceutical preparation.
The Company was founded in
1901 and is located in
Petach Tikva, Israel.
Biotechnology company
engaged in the discovery and
development of human
antibodies into novel
therapeutic drugs to treat a
variety of diseases</t>
  </si>
  <si>
    <t xml:space="preserve">Israel
United States</t>
  </si>
  <si>
    <t xml:space="preserve">TEVA PHARMACEUTICAL INDUSTRIES LTD/VACCINEX INC-STRATEGIC ALLIANCE</t>
  </si>
  <si>
    <t xml:space="preserve">Vaccinex Inc (VI) and Teva Pharmaceutical Industries Ltd (TP) formed a
strategic alliance to provide VX15 novel human antibody development
services. VX15 was expected to have the potential to improve efficacy in
treating Multiple Sclerosis (MS) by both suppressing the body's autoimmune
response and blocking damage to the central nervous system. Under terms of
the agreement, TP was to make an equity investment in VI and pay
undisclosed fees, development milestones and royalties on product sales to
acquire an exclusive license for the development and commercialization of
VX15.</t>
  </si>
  <si>
    <t xml:space="preserve">881624
91875J</t>
  </si>
  <si>
    <t xml:space="preserve">Merck &amp; Co Inc
Advinus Therapeutics Ltd</t>
  </si>
  <si>
    <t xml:space="preserve">Mnfr,whl pharmaceutical prod
Biotechnology company</t>
  </si>
  <si>
    <t xml:space="preserve">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
Advinus Therapeutics Ltd,
located in Pune, India, is a
biotechnology company with
specialization in drug
discovery, pharmaceutical
and agrochemical products.</t>
  </si>
  <si>
    <t xml:space="preserve">Merck &amp; Co Inc
Rashmi Barbhaiya</t>
  </si>
  <si>
    <t xml:space="preserve">MERCK &amp; CO INC/ADVINUS THERAPEUTICS LTD-STRATEGIC ALLIANCE</t>
  </si>
  <si>
    <t xml:space="preserve">Merck &amp; Co Inc and Advinus Therapeutics Ltd, a joint venture between
Rashimi Barbhiya and Tata Sons Ltd formed a strategic alliance to provide
research and development services of therapeutic compounds for the
treatment of diabetes, obesity, hypertension and cholesterol-induced cardio
vascular and related diseases globally.</t>
  </si>
  <si>
    <t xml:space="preserve">589331
01152P</t>
  </si>
  <si>
    <t xml:space="preserve">Molecular Partners AG
Roche Holdings AG</t>
  </si>
  <si>
    <t xml:space="preserve">Biotechnology company
Manufactures, wholesales pharmaceuticals and medical instruments</t>
  </si>
  <si>
    <t xml:space="preserve">Molecular Partners AG, located
in Zurich, Switzerland,
manufactures biological
products. It offers portfolio
of clinical and preclinical
DARPin product candidates. The
company was founded in 2004.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</si>
  <si>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MOLECULAR PARTNERS/ROCHE HOLDING AG-STRATEGIC ALLIANCE</t>
  </si>
  <si>
    <t xml:space="preserve">Roche Holding AG and Molecular Partners AG formed a strategic alliance to
provide research and development services of designed ankyrin repeat
proteins for therapeutic treatments properties in bacteria in Switzerland.
The alliance was a strategic opportunity both for the partners to leverage
their medical development services and to further expand their market and
product coverage in Europe. Financial terms were not disclosed.</t>
  </si>
  <si>
    <t xml:space="preserve">60857Q
77119M</t>
  </si>
  <si>
    <t xml:space="preserve">Evotec AG
Interprotein Corp</t>
  </si>
  <si>
    <t xml:space="preserve">Evotec AG, located in
Hamburg, Germany, is a
biotechnology company, with
locations in the UK and in
the US. The Group is
specializing in the
discovery and development of
novel small molecule drugs.
The company was founded in
1993.
Biotechnology company</t>
  </si>
  <si>
    <t xml:space="preserve">EVOTEC AG/INTERPROTEIN CORP-STRATEGIC ALLIANCE</t>
  </si>
  <si>
    <t xml:space="preserve">Evotec AG and Interprotein Corp formed a strategic alliance to provide
research and development services of novel orally active therapeutic drugs
for the treatment of inflammatory diseases globally. The partners were
expected to collaborate and develop the Interleukin 6 (IL-6) inhibitors
programme for inflammatory diseases such as rheumatoid arthritis and
cachexia. Under terms of the agreement, the partners were to use their
respective technical expertise in the medicinal and computational chemistry
to deliver the complete dosage of the compounds.</t>
  </si>
  <si>
    <t xml:space="preserve">D1646D
44783N</t>
  </si>
  <si>
    <t xml:space="preserve">Asiatic Center for Genome
Synthetic Genomics Inc</t>
  </si>
  <si>
    <t xml:space="preserve">Biotechnology company
Synthetic Genomics Inc, La
Jolla, California, provides
research and development
services to address global
energy and environmental
issues. It is mainly focused
on bioenergy areas, like
biofuels, biofeeedstocks,
hydrocarbons, and
photosynthetic organisms,
serving the chemical,
pharmaceutical and energy
industries. The company was
founded in 2005.</t>
  </si>
  <si>
    <t xml:space="preserve">Malaysia
United States</t>
  </si>
  <si>
    <t xml:space="preserve">Genting Bhd
Synthetic Genomics Inc</t>
  </si>
  <si>
    <t xml:space="preserve">ASIATIC CENTRE FOR GENOME TECHNOLOGY SDN/SYNTHETIC GENOMICS INC-JOINT
VENTURE</t>
  </si>
  <si>
    <t xml:space="preserve">Asiatic Center for Genome Technology Sdn Bhd (AC), a unit of Asiatic
Development Bhd, and Synthetic Genomics Inc planned to form a joint venture
(JV) to provide research and development services of oil palm products
using genomic-based techniques in Malaysia. The partners were to each hold
a 50% interest in the JV. Under terms of the agreement, AC was to provide
financial funding to the JV's research process. The JV was to be completed
and operational by March 2007.</t>
  </si>
  <si>
    <t xml:space="preserve">04612H
87720P</t>
  </si>
  <si>
    <t xml:space="preserve">Cancer Research Technology Ltd
Fox Chase Cancer Center</t>
  </si>
  <si>
    <t xml:space="preserve">Pvd research,dvlp svcs
Research and Development in The Physical, Engineering and Lifesciences (Except Biotechnology)</t>
  </si>
  <si>
    <t xml:space="preserve">Provide research and
development services for the
benefit of cancer patients
Fox Chase Cancer Center,
located in Philadelphia,
Pennsylvania, is a provider
of research and development
services. The Company was
founded in 1904.</t>
  </si>
  <si>
    <t xml:space="preserve">Cancer Research UK
Fox Chase Cancer Center</t>
  </si>
  <si>
    <t xml:space="preserve">6732
8731</t>
  </si>
  <si>
    <t xml:space="preserve">CANCER RESEARCH TECHNOLOGY LTD/FOX CHASE CANCER CENTER-STRATEGIC ALLIANCE</t>
  </si>
  <si>
    <t xml:space="preserve">Cancer Research Technology Ltd and Fox Chase Cancer Center formed a
strategic alliance to provide research and development services in the
United KIngdom. The alliance was expected to develop small molecule
inhibitors of an undisclosed kinase for the potential treatment of cancer.</t>
  </si>
  <si>
    <t xml:space="preserve">13737V
35130T</t>
  </si>
  <si>
    <t xml:space="preserve">Dermatrends Inc
Teikoku Pharma USA Inc</t>
  </si>
  <si>
    <t xml:space="preserve">Pvd med RD svcs
Mnfr,dvlp drug delivery sys</t>
  </si>
  <si>
    <t xml:space="preserve">Provide medical research and
development services with
specialization in transdermal
drug delivery, cosmeceutical
and dermatological
applications
Teikoku Pharma USA Inc, based
in San Jose, California,
manufactures and develops drug
delivery systems such as
patches, unit-dose jellies and
liquids, creams and ointments
used in cosmetics,
prescription and over the
counter pharmaceuticals. The
company was founded in 1997.</t>
  </si>
  <si>
    <t xml:space="preserve">8731
3841</t>
  </si>
  <si>
    <t xml:space="preserve">Dermatrends Inc
Teikoku Seiyaku Co Ltd</t>
  </si>
  <si>
    <t xml:space="preserve">8731
3842</t>
  </si>
  <si>
    <t xml:space="preserve">DERMATRENDS INC/TEIKOKU PHARMA USA INC-STRATEGIC ALLIANCE</t>
  </si>
  <si>
    <t xml:space="preserve">Dermatrends Inc and Teikoku Pharma USA Inc, a unit of Teikoku Seiyaku Co
Ltd formed a strategic alliance to provide research and development
services of transdermal patch therapeutic formulation for the treatment of
schizophrenia and bipolar mania in the United States. Under terms of the
agreement, the partners were to provide their respective medical expertise,
hydroxide releasing agent (HRA) technology and processing techniques to the
alliance to offer and deliver an anti-psychotic drug, without oral dosage
and supervision.</t>
  </si>
  <si>
    <t xml:space="preserve">24986A
87775W</t>
  </si>
  <si>
    <t xml:space="preserve">Sematech Inc
Tokyo Electron Ltd</t>
  </si>
  <si>
    <t xml:space="preserve">Pvd research,dvlp svcs
Mnfr,whl semiconductor equip</t>
  </si>
  <si>
    <t xml:space="preserve">Sematech Inc, located in
Austin, Texas, provides
research and development
services for the improvement
of semiconductor manufacturing
technology. The company was
founded in 1987.
Tokyo Electron Ltd, located in
Tokyo, Japan, manufactures and
wholesales semiconductor
production equipment, FPD
Production Equipment, and PV
Production Equipment for
semiconductors and flat panel
displays including plasma
etching systems, thermal
processing systems, Expedius
auto wet station, Precio water
prober and flat panel display
coater. The company was
founded in 1963.</t>
  </si>
  <si>
    <t xml:space="preserve">8731
3674</t>
  </si>
  <si>
    <t xml:space="preserve">SEMATECH INC/TOKYO ELECTRON LTD-STRATEGIC ALLIANCE</t>
  </si>
  <si>
    <t xml:space="preserve">Sematech Inc and Tokyo Electron Ltd formed a strategic alliance to provide
research and development services of 3D interconnect 45nm-32nm node
processesor globally.</t>
  </si>
  <si>
    <t xml:space="preserve">81685I
J86957</t>
  </si>
  <si>
    <t xml:space="preserve">GE Global Research
Tokki Corp</t>
  </si>
  <si>
    <t xml:space="preserve">Pvd research,dvlp svcs
Mnfr vacuum related prod</t>
  </si>
  <si>
    <t xml:space="preserve">GE Global Research,
headquartered in Niskayuna,
New York, provides research
and development services.
Tokki Corp is based in Tokyo,
Japan. The Group's principal
activities are to manufacture
and sell vacuum
technology-related machines,
including its product OLED and
ELVESS. The products include
numerical control application
machinery, general
construction machinery and
special machinery for
exclusive use. The Group also
manufactures and sells vacuum
equipment for semiconductor
makers and measuring machinery
and tools and curing tools.
The operations are carried out
through the following
divisions: Vacuum equipment;
Factory automation system
integration and others.</t>
  </si>
  <si>
    <t xml:space="preserve">8731
3443</t>
  </si>
  <si>
    <t xml:space="preserve">General Electric Co
Tokki Corp</t>
  </si>
  <si>
    <t xml:space="preserve">3612
3443</t>
  </si>
  <si>
    <t xml:space="preserve">GE GLOBAL RESEARCH/TOKKI CORP-STRATEGIC ALLIANCE</t>
  </si>
  <si>
    <t xml:space="preserve">GE Global Research (GG), a unit of General Electric Co, and Tokki Corp (TC)
formed a strategic alliance to provide PECVD film encapsulation technology
and equipment for manufacturing organic electronics development services.
The alliance was expected to develop and demostrate equipment that could
serve as the foundation for the future manufacturing and sale of
glass-based displays that are thinner in design and much lover in cost.</t>
  </si>
  <si>
    <t xml:space="preserve">36301X
88908N</t>
  </si>
  <si>
    <t xml:space="preserve">Mitsubishi Pharma Corp
Affectis Pharmaceuticals AG</t>
  </si>
  <si>
    <t xml:space="preserve">Mitsubishi Pharma Corp's main
activity is to manufacture
pharmaceuticals, medicinal
products and industrial
organic chemicals. The company
is headquartered in Tokyo and
was founded in 1940.
Manufacture prescription
pharmaceuticals intended for
final consumption, including
biotech products and
antibiotics</t>
  </si>
  <si>
    <t xml:space="preserve">Mitsubishi Chemical Holdings
Affectis Pharmaceuticals AG</t>
  </si>
  <si>
    <t xml:space="preserve">MITSUI PHARMACEUTICAL INC/AFFECTIS-STRATEGIC ALLIANCE</t>
  </si>
  <si>
    <t xml:space="preserve">Mitsubishi Pharma Corp, a unit of Mitsubishi Chemical Corp, and Affectis
Pharmaceuticals AG formed a strategic alliance to provide research and
development services of medical therapeutics drugs for the treatment of
depression and anxiety globally. The alliance was a strategic investment
opportunity both for the partners to leverage their medical and health drug
development services and to further expand their market and product
coverage worldwide.</t>
  </si>
  <si>
    <t xml:space="preserve">60722L
36053T</t>
  </si>
  <si>
    <t xml:space="preserve">BioCryst Pharmaceuticals Inc
Shionogi &amp; Co Ltd</t>
  </si>
  <si>
    <t xml:space="preserve">Manufacture pharmaceuticals
Mnfr,whl pharmaceuticals</t>
  </si>
  <si>
    <t xml:space="preserve">BioCryst Pharmaceuticals
Inc, located in Durham,
North Carolina, manufactures
novel, small-molecule
pharmaceutical products for
treatment of immunological,
viral, and cardiovascular
diseases and disorders using
structure-based drug design.
It has a Discovery Center of
Excellence located in
Birmingham, Alabama. The
Company was founded in 1986.
Shionogi &amp; Co Ltd,
headquartered in Osaka,
Japan, is a pharmaceutical
company.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It was founded in
1878.</t>
  </si>
  <si>
    <t xml:space="preserve">BIOCRYST PHARMACEUTICALS INC/SHIONOGI &amp; CO LTD-STRATEGIC ALLIANCE</t>
  </si>
  <si>
    <t xml:space="preserve">BioCryst Pharmaceuticals Inc (BP) and Shionogi &amp; Co Ltd (SC) formed a
strategic alliance wherein BP licensed SC to develop influenza
neuraminidase inhibitor, peramivir for the treatment of seasonal and
potentially life-threatening human influenza in Japan. The alliance was a
strategic investment opportunity both for the partners to leverage their
medical research services and to further expand their market and product
coverage.</t>
  </si>
  <si>
    <t xml:space="preserve">09058V
82466Q</t>
  </si>
  <si>
    <t xml:space="preserve">VisEn Medical Inc
Merck &amp; Co Inc</t>
  </si>
  <si>
    <t xml:space="preserve">Mnfr medical imaging equipment
Mnfr,whl pharmaceutical prod</t>
  </si>
  <si>
    <t xml:space="preserve">VisEn Medical Inc is a
manufacturer of medical
imaging equipment,
headquartered in Bedford,
Massachusetts, US. The company
manufactures, develops and
commercializes imaging
technologies such as FMT
System and Optical Probe
Portfolio that harness the
well-known power of
fluorescent technology in vivo
by providing molecular
reporting. Its technology and
imaging solutions are
contributing to biological
mechanisms and therapeutic
responses in areas such as
inflammatory, cardiovascular,
skeletal and pulmonary disease
as well as oncology. The
company was founded in 2000.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</si>
  <si>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VISEN MEDICAL INC/MERCK &amp; CO INC-STRATEGIC ALLIANCE</t>
  </si>
  <si>
    <t xml:space="preserve">VisEn Medical Inc and Merck &amp; Co Inc formed a strategic alliance to provide
research and development services in the United States. The alliance was
expected to develop and apply a range of fluorescence imaging agents for
real-time imaging of key disease biomarkers in vivo that will focus on
literature-derived and proprietary biomarkers of cardiovascular disease.
Agents developed through the collaboration will be used as in vivo imaging
tools for measuring disease progression and therapeutic response in Merck?s
drug discovery programs, and will be further commercialized by VisEn to
more broadly set imaging standards in the space. Financial and other
details were not disclosed.</t>
  </si>
  <si>
    <t xml:space="preserve">93146C
589331</t>
  </si>
  <si>
    <t xml:space="preserve">Nautilus Biotech
HanAll Pharmaceutical</t>
  </si>
  <si>
    <t xml:space="preserve">Mnfr pharm
Mnfr pharmaceuticals</t>
  </si>
  <si>
    <t xml:space="preserve">Manufacture and develop
pharmaceuticals focused in
next-generation therapeutic
proteins such as Beleforon
used for the treatment og
chronic Hepatitis C infection
and Vitatropin used for the
treatment of growth
deficiencies
Manufacture prescription
pharmaceuticals intended for
final consumption, including
biotech products and
antibiotics</t>
  </si>
  <si>
    <t xml:space="preserve">France
South Korea</t>
  </si>
  <si>
    <t xml:space="preserve">NAUTILUS BIOTECH/HANALL PHARMACEUTICAL-STRATEGIC ALLIANCE</t>
  </si>
  <si>
    <t xml:space="preserve">Nautilus Biotech (NB) and HanAll Pharmaceutical (HP) formed a strategic
alliance wherein NB licensed HP to develop and commercialize 3 of its
products in South Korea. These products include Beleforon, Vitatropin and
Eporal.</t>
  </si>
  <si>
    <t xml:space="preserve">63876X
40969N</t>
  </si>
  <si>
    <t xml:space="preserve">Avalon Pharmaceuticals Inc
Merck &amp; Co Inc</t>
  </si>
  <si>
    <t xml:space="preserve">Avalon Pharmaceuticals Inc,
located in Germantown,
Maryland, is a
biopharmaceutical company
focused on the discovery,
development and
commercialization of
first-in-class cancer
therapeutics. Its flagship
product, AVN944, an IMPDH
inhibitor, is in Phase II
clinical development, while
its late stage preclinical
programs include inhibitors of
the Beta-catenin and
Aurora/Centrosome pathways,
discovery programs for
inhibitors of the Survivin and
Myc pathways. The company was
founded in 1999.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</si>
  <si>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AVALON PHARMACEUTICALS INC/MERCK &amp; CO INC-STRATEGIC ALLIANCE</t>
  </si>
  <si>
    <t xml:space="preserve">Avalon Pharmaceuticals Inc (AP) and Merck &amp; Co Inc (MC) formed a strategic
alliance to provide drug discovery, development and commercialization
services to identify and develop inhibitors for an undisclosed target
important in the development of cancer in the United States. AP was
expected to use AvalonRx (R) platform to screen a select set of compounds
from MC's proprietary compound library and identify hits against the target
that generally regarded as "intractable" based on the difficulty in
identifying inhibitors. AP was expected to receive discovery, development,
regulatory and commercial milsetones payments exceeding $200 mil as well as
royalties on any potential future marketed products.</t>
  </si>
  <si>
    <t xml:space="preserve">Avalon Pharmaceuticals Inc was expected to receive discovery, development,
regulatory and commercial milsetones payments exceeding $200 mil as well as
royalties on any potential future marketed products.</t>
  </si>
  <si>
    <t xml:space="preserve">05346P
589331</t>
  </si>
  <si>
    <t xml:space="preserve">Agency for Defense Development
US Naval Institute of Aviation</t>
  </si>
  <si>
    <t xml:space="preserve">National agency
Pvd research,dvlp svcs</t>
  </si>
  <si>
    <t xml:space="preserve">National agency responsible
for the planning and conduct
of all defense acquisition for
the Republic of Korea,
including R&amp;D, Test and
Evaluation and support for
foreign military purchases
Provide research and
development services</t>
  </si>
  <si>
    <t xml:space="preserve">999B
8731</t>
  </si>
  <si>
    <t xml:space="preserve">Republic Of Korea
US Naval Institute of Aviation</t>
  </si>
  <si>
    <t xml:space="preserve">AGENCY FOR DEFENCE DVLP/US NAVAL INSTITUTE OF AVIATION-STRATEGIC ALLIANCE</t>
  </si>
  <si>
    <t xml:space="preserve">Korean state owned Agency for Defence Development and state owned US Naval
Institute of Aviation Weapons Research planned to form a strategic alliance
to provide research and development services. The alliance was to develop
core military technologies for the development of air-to-surface rockets
predicted to take more than 10 years, and was to be equipped with an
infrared video search systems and a guidance system and are upgraded
version of existing 70mm rockets carried by helicopters.</t>
  </si>
  <si>
    <t xml:space="preserve">68179Y
91233Y</t>
  </si>
  <si>
    <t xml:space="preserve">ReceptoPharm Inc
Zhong Xin Dong Tai Co Ltd</t>
  </si>
  <si>
    <t xml:space="preserve">ReceptoPharm Inc, located in
Plantation, Florida,
manufactures pharmaceuticals
that provide benefits for
patients with such diseases as
Acquired Immunodeficiency
Syndrome (AIDS), Multiple
sclerosis, Myasthenia gravis
(MG), pain and other viral
disorders.
Biotechnology company</t>
  </si>
  <si>
    <t xml:space="preserve">RECEPTOPHARM INC/ZHONG XIN DONG TAI-JOINT VENTURE</t>
  </si>
  <si>
    <t xml:space="preserve">ReceptoPharm Inc (RP) and Zhong Xin Dong Tai Co Ltd (ZX) signed a letter of
intent to form a joint venture to provide antiviral drug development
services for RPI-MN in China. RPI-MN was RP's lead drug candidate being
researched for the treatment of HIV/AIDS and other viral disorders. The JV
was to manufacture and market the antiviral drugs for the Chinese market.
Under terms of the agreement, ZX was to provide drug raw material and the
required financing, including the funding of clinical trials in China,
necessary to meet all required Chinese governmental consents and approvals.
RP was to provide the JV with the bulk drug substance. ZX was to have the
controlling interest in the new entity however, RP was to retain ownership
of all intellectual property, trade secrets and other confidential
information relating to the drug and its manufacture.</t>
  </si>
  <si>
    <t xml:space="preserve">2A0091
99119E</t>
  </si>
  <si>
    <t xml:space="preserve">Mitsubishi Materials Corp
Mitsubishi Corp
Furuya Metal Co Ltd</t>
  </si>
  <si>
    <t xml:space="preserve">Mnfr,whl non-ferrous metals
Mnfr,whl auto,chem,steel
Mnfr,whl precious metal prod</t>
  </si>
  <si>
    <t xml:space="preserve">Mitsubishi Materials Corp,
headquartered in Tokyo,
Japan, manufactures and
wholesales non-ferrous
metals. It has six business
segments. The Cement segment
is engaged in the
manufacture and sale of
cement, cement secondary
products and ready-mixed
concrete. The Copper segment
smelts and sells gold,
silver, copper, and
manufactures and sells
copper products. The
Processing segment is
engaged in the manufacture
and sale of super hard
products and high-function
products. The Electronics
Material segment electronic
devices, functional
materials, chemicals,
aerosol and multicrystalline
silicon. The Aluminum
segment offers aluminum cans
and aluminum-processed
products. The other segment
is engaged in other business
activities related to
nuclear energy, precious
metals, environment and
recycling, real estate,
engineering, as well as
geological survey, among
others. As of March 31,
2011, it had 172
subsidiaries and 56
associated companies. It was
founded in 1871.
Mitsubishi Corp,
headquartered in Tokyo,
Japan, operates in seven
business segments. The New
Industrial Finance segment
involves in the asset
management, buyout
investment, leasing and
financing of real estate and
others. The Energy segment
provides petroleum products,
crude oil, liquefied natural
gas and others. The Metal
segment offers steel
products, iron ore,
non-ferrous metal products
and others. The Machinery
segment provides industrial
machinery, automobiles,
vessels and others. The
Chemical segment provides
petrochemicals, fertilizers,
foodstuff, drugs and others.
The Living Essentials
segment provides
distribution services, and
conducts retail-related
business. The Other segment
involves in the finance,
accounting and others. It
was founded in 1950.
Furuya Metal Co Ltd,
headquartered in Tokyo, Japan,
is a manufacturing company
that has four business
divisions. The Electronic
division manufactures and
sells crucibles used in oxide
single crystal cultivation and
industrial precious metal
products used in optical glass
dissolution and forming. The
Thin Film division
manufactures and sells metal
sputtering targets and
deposition materials. This
segment is also engaged in the
entrusted manufacture process
of thin films for other
companies. The Sensor division
manufactures and sells
thermocouples for continuous
temperature measurement and
control in silicon
semiconductor, compound
semiconductor and fine
ceramics manufacturing
processes. The Others division
is engaged in the manufacture
and sale of noble metal
compounds, the recycle of
industrial precious metals, as
well as the sale of industrial
equipment and precision
machinery such as pyrolytic
boron nitride (PBN) products
and fine ceramics products.It
was founded in 1968.</t>
  </si>
  <si>
    <t xml:space="preserve">3356
2899
3339</t>
  </si>
  <si>
    <t xml:space="preserve">MITSUBISHI MATERIALS CORP/MITSUBISHI CORP/FURUYA METAL CO LTD-STRATEGIC
ALLIANCE</t>
  </si>
  <si>
    <t xml:space="preserve">Mitsubishi Materials Corp, Mitsubishi Corp, and Furuya Metal Co Ltd formed
a strategic alliance to provide research and development services in Japan.
The alliance was expected to develop a platinum group metals recycling
technology using scraps such as disposable catalysts.</t>
  </si>
  <si>
    <t xml:space="preserve">J44024
606769
36137F</t>
  </si>
  <si>
    <t xml:space="preserve">Bio-Bridge Science Inc
Chinese Academy of Med Science</t>
  </si>
  <si>
    <t xml:space="preserve">Biotech co
Own,op college,university</t>
  </si>
  <si>
    <t xml:space="preserve">Bio Bridge Science Inc.,
headquartered in Oak Brook,
Illinois, is a biotechnology
company that is engaged in the
commercial development of
vaccines for the prevention
and treatment of human
infectious diseases. Founded
in 2002, the company has a
Wholly Foreign Owned
Enterprise in China and a
representative office in
Osaka, Japan.
Own and operate college and
university; provide research
and development services</t>
  </si>
  <si>
    <t xml:space="preserve">BIO-BRIDGE SCIENCE/CHINESE ACADEMY OF MEDICAL SCIENCES-STRATEGIC ALLIANCE</t>
  </si>
  <si>
    <t xml:space="preserve">Bio Bridge Science Inc and Chinese Academy of Medical Sciences formed a
strategic alliance to provide human papillomavirus polyvalent vaccine
development services in China. The alliance was expected to use prokaryotic
expression system and designed to offer protection against human
papillomavirus types 6, 11, 16, 18, 31, 45 and 58.  Further terms of the
agreement were not disclosed.</t>
  </si>
  <si>
    <t xml:space="preserve">09055Y
16947C</t>
  </si>
  <si>
    <t xml:space="preserve">Alethia BioTherapeutics Inc
Biosite Inc</t>
  </si>
  <si>
    <t xml:space="preserve">Biotech co
Mnfr diagnostic,med equip</t>
  </si>
  <si>
    <t xml:space="preserve">Alethia BioTherapeutics Inc,
located in Montreal, Quebec,
is a biotechnology company
engaged in the discovery and
development of innovative
therapeutics to treat cancer.
It was founded in September
2002.
Manufacture and wholesale
diagnostic and medical
equipment such as drug test
kit, cardiovascular,
infectious, cerebrovascular
and thromboembolic diseases
kit; provide research and
development services</t>
  </si>
  <si>
    <t xml:space="preserve">2836
3845</t>
  </si>
  <si>
    <t xml:space="preserve">ALETHIA BIOTHERAPEUTICS INC/BIOSITE INC-STRATEGIC ALLIANCE</t>
  </si>
  <si>
    <t xml:space="preserve">Alethia Biotherapeutics Inc (AB) and Biosite Inc (BI) formed a strategic
alliance to provide monoclonal antibodies development services towards
validated targets in ovarian cancer. AB was expected to provide BI with
access to highly specific functional targets that was expected to be
evaluated as markers for ovarian cancer. BI was also expected to provide AB
with monoclonal antibodies for validated antibodies for validated
disease-specific targets to accelerate AB's therapeutic research
development. Financial terms were not disclosed.</t>
  </si>
  <si>
    <t xml:space="preserve">01469Q
090945</t>
  </si>
  <si>
    <t xml:space="preserve">Kedrion SpA
ProMetic BioTherapeutics Inc</t>
  </si>
  <si>
    <t xml:space="preserve">Kedrion SpA is a
manufacturer of biological
products. The Company is a
biotechnology and
pharmaceutical company
focused on the development,
production and distribution
of plasmaderivatives,
intended for haemophilia and
other haemorrhagic
illnesses, immune system
diseases, critical care, flu
vaccines, and other related
applications. It was founded
in 2001 and is located in
Barga, Italy.
Manufacture prescription
pharmaceuticals intended for
final consumption, including
biotech products and
antibiotics</t>
  </si>
  <si>
    <t xml:space="preserve">Italy
Canada</t>
  </si>
  <si>
    <t xml:space="preserve">Sestant Internazionale SpA
ProMetic Life Sciences Inc</t>
  </si>
  <si>
    <t xml:space="preserve">KEDRION SPA/PROMETIC BIOTHERAPEUTICS INC-STRATEGIC ALLIANCE</t>
  </si>
  <si>
    <t xml:space="preserve">Kedrion Spa and ProMetic BioTherapeutics Inc, a unit of ProMetic Life
Sciences Inc, formed a strategic alliance to provide orphan drugs
development services derived from human plasma utilizing the Plasma Protein
Purification System (PPPS). The alliance was expected to select specific
proteins which can be manufactured into drugs that either have received
orphan drug designation or have the potential to receive it. Financial
terms were not disclosed.</t>
  </si>
  <si>
    <t xml:space="preserve">48720R
74660E</t>
  </si>
  <si>
    <t xml:space="preserve">NEXX Systems Inc
Taiwan Semiconductor Mfg Co</t>
  </si>
  <si>
    <t xml:space="preserve">Mnfr,whl semiconductor prod
Mnfr,whl semiconductors</t>
  </si>
  <si>
    <t xml:space="preserve">Nexx Systems Inc, located in
Billerica, Massachusetts,
manufacture, design and
wholesales technological
solutions for the
semiconductor advanced
packaging,
telecommunications and
optoelectronics markets. Its
products include
electrochemical deposition
and physical vapor
deposition systems. It has
operations and offices
located in Taiwan,
Singapore, Germany, Italy,
France, Switzerland, China,
South Korea, and Japan. The
Company was founded in
August 2001.
Taiwan Semiconductor
Manufacturing Co Ltd, located
in Hsinchu, Taiwan,
manufactures and wholesales
semiconductors and integrated
circuits It is also engaged in
the manufacture of masks. The
group operates two advanced
300mm wafer fab, four 8-inch
wafer fab and one 6-inch wafer
fab. Operations are carried
out in Taiwan, North America
and other countries. The group
exports its products to Asia,
Europe and other countries. It
was founded in Feb 1987.</t>
  </si>
  <si>
    <t xml:space="preserve">3559
3674</t>
  </si>
  <si>
    <t xml:space="preserve">Tokyo Electron Ltd
Taiwan Semiconductor Mfg Co</t>
  </si>
  <si>
    <t xml:space="preserve">Japan
Taiwan</t>
  </si>
  <si>
    <t xml:space="preserve">NEXX SYSTEMS INC/TAIWAN SEMICONDUCTOR MNFR-STRATEGIC ALLIANCE</t>
  </si>
  <si>
    <t xml:space="preserve">Nexx Systems Inc and Taiwan Semiconductor Manufacturing Co Ltd formed a
strategic alliance to provide research and development services of
electrodeposition process of wafer level chips and related semiconductors
globally.</t>
  </si>
  <si>
    <t xml:space="preserve">65327K
874039</t>
  </si>
  <si>
    <t xml:space="preserve">Beijing Blue IT Technologies
Huazhong University of Science</t>
  </si>
  <si>
    <t xml:space="preserve">Pvd info tech svcs
Own,op college,university</t>
  </si>
  <si>
    <t xml:space="preserve">Provide information technology
services
Huazhong University of Science
&amp; Technology, located in
China, owns and operates
college and university. The
university was founded in
2000.</t>
  </si>
  <si>
    <t xml:space="preserve">7376
8221</t>
  </si>
  <si>
    <t xml:space="preserve">China
China</t>
  </si>
  <si>
    <t xml:space="preserve">CHINACACHE/HUAZHONG UNIVERSITY OF S&amp; T-STRATEGIC ALLIANCE</t>
  </si>
  <si>
    <t xml:space="preserve">Huazhong University of Science &amp; Technology and Beijing Blue IT
Technologies Co Ltd formed a strategic alliance to provide research and
development services of content distribution network in China. The alliance
was expected to build and operate a research laboratory for testing
purposes of their respective technologies. The alliance was a strategic
opportunity both for the partners to leverage their network technology
services and to further strengthen their market and product coverage.</t>
  </si>
  <si>
    <t xml:space="preserve">07683R
44330K</t>
  </si>
  <si>
    <t xml:space="preserve">GVK Biosciences Pvt Ltd
INC Research Inc</t>
  </si>
  <si>
    <t xml:space="preserve">Pvd contract research svcs
Pvd contract research svcs</t>
  </si>
  <si>
    <t xml:space="preserve">GVK Biosciences Pvt Ltd,
located in Hyderabad, India,
provides contract research
services to a growing global
base of pharmaceutical and
biotechnology companies. Its
main services include
informatics, chemistry,
clinical pharmacology,
process R&amp;D, clinical
research, and biology,
servicing 15 of the top 20
global Big Pharma companies.
The company was founded in
2001.
INC Research Inc,
headquartered in Raleigh,
North Carolina, provides
contract research services
focusing on the central
nervous system, oncology and
pediatrics drug development
research for pharmaceutical
and biotechnology companies.
It was founded in 1988.</t>
  </si>
  <si>
    <t xml:space="preserve">GVK Group Ltd
INC Research Inc</t>
  </si>
  <si>
    <t xml:space="preserve">1541
8731</t>
  </si>
  <si>
    <t xml:space="preserve">GVK BIOSCIENCES CO LTD /INC RESEARCH INC -INC GVK BIO PVT LTD JOINT
VENTURE</t>
  </si>
  <si>
    <t xml:space="preserve">GVK Biosciences Co Ltd (GB) and INC Research Inc (IR) planned to form a
joint venture named INC GVK BIO Pvt Ltd (IG) to provide clinical research
services in India. GB and IR were to each hold a 50% interest in IG. IG was
to offer Phase I-IV clinical development programs in areas of oncology,
CNS, infectious diseases and pediatrics.</t>
  </si>
  <si>
    <t xml:space="preserve">36068C
45008T</t>
  </si>
  <si>
    <t xml:space="preserve">Infineon Technologies AG
Hyundai Motor Co</t>
  </si>
  <si>
    <t xml:space="preserve">Manufactures,wholesales semiconductors
Mnfr, whl motor vehicles</t>
  </si>
  <si>
    <t xml:space="preserve">Infineon Technologies AG,
located in Neubiberg,
Germany, manufactures and
wholesales semiconductors
and related device. It has 4
business segments namely,
Automotive (ATV), Industrial
Power Control (IPC), Power
Management &amp; Multimarket
(PMM) and Digital Security
Solutions(DSS). Through its
ATV segment, it develops
products and solutions for
conventional drivetrains
such as insulated-gate
bipolar transistors (IGBT);
specializes in radar sensors
and microcontrollers being
used for self-driving cars;
develops LIDAR solutions for
radar systems automation;
automated controls for
steering and braking; and
host controllers for
functional safety and data
security for central
computing platforms. Through
its IPC segment, it develops
IGBT-based power
semiconductors, power
semiconductor modules,
Intelligent Power Modules
integrating controllers,
drivers, and switches. Thru
its PMM segment, it
specializes in power
semiconductors for energy
management and wireless
infrastructures for mobile
devices. Moreover, with its
DSS segment, it delivers
digital security solutions
through embedded security
applications. The Company
was founded in April 1999.
Hyundai Motor Co is a
manufacturer of automobiles.
The Company is engaged in
the manufacture and
distribution of automobiles
and automobile parts. Along
with its subsidiaries, the
Company operates its
business through three
segments. The Vehicle
Segment manufactures
automobiles mainly under the
brand names of Genesis,
Tucson, Equus, Veloster,
Azera, Sonata, Elantra,
Accent. This segment also
produces commercial vehicles
including trucks, buses,
special vehicles and others,
as well as automobile
components. Meanwhile, it
also involves in providing
automobile maintenance
services. The Company was
founded in December 1967 and
is located in Seoul, South
Korea.</t>
  </si>
  <si>
    <t xml:space="preserve">3674
3711</t>
  </si>
  <si>
    <t xml:space="preserve">Germany
South Korea</t>
  </si>
  <si>
    <t xml:space="preserve">INFINEON TECHNOLOGIES AG/HYUNDAI MOTOR CO LTD-STRATEGIC ALLIANCE</t>
  </si>
  <si>
    <t xml:space="preserve">Infineon Technologies AG and Hyundai Motor Co Ltd formed a strategic
alliance to provide research and development services of automotive
electronics and devices globally. The partners were expected to develop
electronic system architecture and related semiconductor applications to
enhance and upgrade the quality control of productions in the vehicle
industry.</t>
  </si>
  <si>
    <t xml:space="preserve">45662N
44918T</t>
  </si>
  <si>
    <t xml:space="preserve">Tissue Therapies Ltd
Novozymes A/S</t>
  </si>
  <si>
    <t xml:space="preserve">Mnfr biological prod
Mnfr,wholesale enzyme products</t>
  </si>
  <si>
    <t xml:space="preserve">Tissue Therapies Ltd is a
biotechnology company,
headquartered in Queensland,
Australia. It is engaged in
developing biomedical
technologies for wound
healing, tissue repair, and
various cell culture
applications. The company
was founded in 2002.
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t>
  </si>
  <si>
    <t xml:space="preserve">Australia
Denmark</t>
  </si>
  <si>
    <t xml:space="preserve">TISSUE THERAPIES LTD/NOVOZYMES A/S-STRATEGIC ALLIANCE</t>
  </si>
  <si>
    <t xml:space="preserve">Tissue Therapies Ltd (TT) and Novozymes A/S (NA) formed a strategic
alliance to provide research and development services. TT and NA
collaborated to develop advanced wound dressing products combining
proprietary NA technologies with TT's VitroGro technology. The
collaboration involved scientific work in both Brisbane and Denmark.</t>
  </si>
  <si>
    <t xml:space="preserve">88837V
67026F</t>
  </si>
  <si>
    <t xml:space="preserve">Micromet Inc
TRACON Pharmaceuticals Inc</t>
  </si>
  <si>
    <t xml:space="preserve">Biopharmaceutical company
Biopharma co</t>
  </si>
  <si>
    <t xml:space="preserve">Micromet Inc, headquartered in
Rockville, Maryland, is a
biopharmaceutical company
engaged in the research and
development of novel
antibody-based therapeutics
for the cure of cancer,
inflammation and autoimmune
diseases. It has a research
and development facility
located in Germany. The
company was founded in 1993.
TRACON Pharmaceuticals Inc,
located in San Diego,
California, is a
biopharmaceutical company
focused on the development
of novel targeted
therapeutics for cancer,
age-related macular
degeneration, or AMD, and
fibrotic diseases. The
company's lead product,
TRC105, is an anti-endoglin
antibody that is being
developed for the treatment
of multiple solid tumor
types in combination with
inhibitors of the vascular
endothelial growth factor,
or VEGF, pathway. The
company was founded on 2004.</t>
  </si>
  <si>
    <t xml:space="preserve">MICROMET INC/TRACON PHARMACEUTICALS INC-STRATEGIC ALLIANCE</t>
  </si>
  <si>
    <t xml:space="preserve">Micromet Inc (MI) and TRACON Pharmaceuticals Inc (TP) formed a strategic
alliance wherein MI exclusively licensed TP to develop and market D93, a
humanized antibody for cancer treatment globally. Under terms of the
agreement, TP was expected to provide its expertise and technical skills in
improving the small molecules that target angiogenesis, a tumor cell growth
and metastasis by targeting cleaved collagen, which was predominantly
produced in the extra cellular matrix of tumors. The alliance was a
strategic development opportunity both for the partners to leverage their
medical research services and to further expand their market and product
coverage worldwide. TP was to pay an upfront and milestone payments of an
estimated $100 mil to MI, if D93 wass successfully developed and
commercialized. In addition, MI was to receive royalties on worldwide sales
of D93.</t>
  </si>
  <si>
    <t xml:space="preserve">TP was to pay an upfront and milestone payments of an estimated $100 mil to
MI, if D93 wass successfully developed and commercialized. In addition, MI
was to receive royalties on worldwide sales of D93.</t>
  </si>
  <si>
    <t xml:space="preserve">59509C
89237H</t>
  </si>
  <si>
    <t xml:space="preserve">Pharmanet Development Grp Inc
Analytica International Inc</t>
  </si>
  <si>
    <t xml:space="preserve">Pvd clinical research svcs
Pvd health consultancy svcs</t>
  </si>
  <si>
    <t xml:space="preserve">PharmaNet Development Group
Inc, located in Princeton, New
Jersey, provides clinical
research and drug development
services for clients in the
Pharmaceutical and
biotechnology industries. The
company was founded in 1984.
Analytica International Inc,
headquartered in New York, New
York, provides healthcare
research consultancy services
that provide outcomes
research, pricing and
reimbursement analysis for
global pharmaceutical,
biotechnology and medical
device companies.</t>
  </si>
  <si>
    <t xml:space="preserve">Pharmanet Development Grp Inc
Accentia Biopharmaceuticals</t>
  </si>
  <si>
    <t xml:space="preserve">PHARMANET DEVELOPMENT GROUP INC/ANALYTICA INTERNATIONAL-STRATEGIC ALLIANCE</t>
  </si>
  <si>
    <t xml:space="preserve">Pharmanet Development Group Inc and Analytica International Inc, a unit of
Accentia Biopharmaceuticals Inc, formed a strategic alliance to provide
clinical development and commercialization services in the United States.</t>
  </si>
  <si>
    <t xml:space="preserve">717148
03271R</t>
  </si>
  <si>
    <t xml:space="preserve">Milestone Scientific Inc
Carticept Medical Inc</t>
  </si>
  <si>
    <t xml:space="preserve">Mnfr dental equip
Mnfr med devices</t>
  </si>
  <si>
    <t xml:space="preserve">Milestone Scientific Inc,
headquartered in Piscataway,
New Jersey, manufactures
dental equipment and related
surgical supplies. Its
products include the Wand
(CompuDent system) and
disposable Wand handpiece.
CompuDent provides painless
injections for all routine
dental treatments, including
root canals, crowns,
fillings and cleanings.
Manufacture medical device and
surgical equipments for the
treatment of cartilage damage
and osteoarthritis</t>
  </si>
  <si>
    <t xml:space="preserve">3842
3845</t>
  </si>
  <si>
    <t xml:space="preserve">NJ
GA</t>
  </si>
  <si>
    <t xml:space="preserve">MILESTONE SCIENTIFIC INC(WAS 912329)/CARTICEPT MEDICAL INC-STRATEGIC
ALLIANCE</t>
  </si>
  <si>
    <t xml:space="preserve">Milestone Scientific Inc and Carticept Medical Inc formed a strategic
alliance to povide research and development services of medical device and
surgical equipments for the treatment of cartilage damage and
osteoarthritis in the United States. The alliance was a strategic
investment opportunity both for the partners to leverage their medical
development services and to further expand their market and product
coverage.</t>
  </si>
  <si>
    <t xml:space="preserve">59935P
14674Z</t>
  </si>
  <si>
    <t xml:space="preserve">Chromos Molecular Systems Inc
Pain Therapeutics Inc</t>
  </si>
  <si>
    <t xml:space="preserve">Chromos Molecular Systems Inc,
located in Burnaby, British
Columbia, is a biotechnology
company with two drug
development programs focused
on inflammatory diseases and
thrombotic disorders. The
company's lead program,
CHR-1103, is a humanized
monoclonal antibody being
developed with an initial
focus on the treatment of
acute relapses associated with
multiple sclerosis. The
company was founded in 1995.
Pain Therapeutics Inc is a
biopharmaceutical company,
headquartered in San Mateo,
California. The company
manufactures and develops
novel drugs for pain
management and
hematology/oncology. The
company is also working on a
new treatment for patients
with hemophilia, a rare blood
disorder. The company was
founded in 1998.</t>
  </si>
  <si>
    <t xml:space="preserve">CHROMOS MOLECULAR SYSTEMS INC/PAIN THERAPEUTICS INC-STRATEGIC ALLIANCE</t>
  </si>
  <si>
    <t xml:space="preserve">Chromos Molecular Systems Inc and Pain Therapeutics Inc formed a strategic
alliance to provide research and development services of cell for the
monoclonal antibody globally. The alliance was a strategic opportunity both
for the partners to leverage their medical development services and to
further expand their market and product coverage  Financial terms were not
disclosed.</t>
  </si>
  <si>
    <t xml:space="preserve">171129
69562K</t>
  </si>
  <si>
    <t xml:space="preserve">Analytical Spectral Devices
Paprican</t>
  </si>
  <si>
    <t xml:space="preserve">Mnfr remote sensing equipment
Pvd pulp,paper research svcs</t>
  </si>
  <si>
    <t xml:space="preserve">Analytical Spectral Devices
Inc, located in Boulder,
Colorado, manufactures and
develops remote sensing
equipment such as portable,
high-speed, precision Vis/NIR
spectrometers and
spectroradiometers used for
rapid material measurement and
identification in scientific
research. The company was
founded in 1990.
Provide pulp and paper
research and technology
services</t>
  </si>
  <si>
    <t xml:space="preserve">3823
8732</t>
  </si>
  <si>
    <t xml:space="preserve">CO
FF</t>
  </si>
  <si>
    <t xml:space="preserve">ANALYTICAL SPECTRAL DEVICES/PAPRICAN-STRATEGIC ALLIANCE</t>
  </si>
  <si>
    <t xml:space="preserve">Analytical Spectral Devices Inc and Paprican formed a strategic alliance to
provide pulp and paper application of near-infrared (NIR) technology
development services. The alliance was used to measure pulp brightness and
lignin content. The alliance promised to optimize lab and industrial
measurements to lead to a better control of the manufacturing process with
reduced costs and better environmental performance.</t>
  </si>
  <si>
    <t xml:space="preserve">03271K
69958K</t>
  </si>
  <si>
    <t xml:space="preserve">ADA-ES Inc
Calgon Carbon Corp</t>
  </si>
  <si>
    <t xml:space="preserve">Pvd emission control svcs
Mnfr,whl air treatment prod</t>
  </si>
  <si>
    <t xml:space="preserve">ADA-ES Inc, located in
Highlands Ranch,
Colorado,provides
commercially viable emission
control solutions to the
coal-fired industry. The
company was founded in 1996.
Calgon Carbon Corp, located
in Moon Township,
Pennsylvania, manufactures
and wholesales air and water
treatment and cleaning
products and specialty
chemicals. It also provides
pollution testing services;
including granular activated
carbon, innovative treatment
systems, value added
technologies and services
for optimizing production
processes and safely
purifying the environment.
The Company was founded in
1942.</t>
  </si>
  <si>
    <t xml:space="preserve">9511
2819</t>
  </si>
  <si>
    <t xml:space="preserve">CO
PA</t>
  </si>
  <si>
    <t xml:space="preserve">ADA-ES INC/CALGON CARBON CORP-STRATEGIC ALLIANCE</t>
  </si>
  <si>
    <t xml:space="preserve">ADA-ES Inc and Calgon Carbon Corp formed a strategic alliance to provide
research and development services of mercury control devices and equipments
in the United States. The alliances' objective was to reduce the mercury
emissions of coal-fired power plants, thus eliminating carbon dioxide to
the environment to meet the government standard requirements.</t>
  </si>
  <si>
    <t xml:space="preserve">005208
129603</t>
  </si>
  <si>
    <t xml:space="preserve">BASF AG
Monsanto Co</t>
  </si>
  <si>
    <t xml:space="preserve">Mnfr chem prod
Pesticide and Other Agricultural Chemical Manufacturing</t>
  </si>
  <si>
    <t xml:space="preserve">BASF SE, located in
Ludwigshafen, Germany,
manufactures chemical,
agricultural, plastics,
performance products and
functional solutions. The
Company's chemical products
include inorganic compounds,
petrochemicals, trioxane and
intermediates. Its plastic
products include foams,
styrenics, polyamide,
polyutheranes and
biodegradable plastics. It
also manufactures acrylics,
monomers, coatings,
detergents, montan waxes,
cosmetic ingredients, crop
protection chemicals and
pharmaceutical solutions.
BASF's products are used in
the automotive, packaging,
housing and construction,
health and nutrition, and
agricultural industries.
Through its Wintershall AG
subsidiary, BASF also
operates in the oil and gas
sector. Some of the
Company's production sites
are located in Germany,
Belgium, USA, Malaysia,
China, Japan, Mexico and
Spain. The Company was
founded in 1865.
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t>
  </si>
  <si>
    <t xml:space="preserve">2869
2879</t>
  </si>
  <si>
    <t xml:space="preserve">FF
MO</t>
  </si>
  <si>
    <t xml:space="preserve">BASF AG/MONSANTO CO-STRATEGIC ALLIANCE</t>
  </si>
  <si>
    <t xml:space="preserve">BASF AG and Monsanto Co formed a strategic alliance to provide research and
development services of high yielding crops and other plants components in
the United States. The partners was expected to have a joint funding
collaboration for the project to sustain the discovery stages of the
products. The alliance was a strategic investment opportunity both for the
partners to leverage their biotechnology development services and to
further expand their market and product coverage in the crop industry.</t>
  </si>
  <si>
    <t xml:space="preserve">055262
61166W</t>
  </si>
  <si>
    <t xml:space="preserve">Wellcome Trust Finance PLC
Quintain Estates &amp; Dvlp PLC</t>
  </si>
  <si>
    <t xml:space="preserve">Trusts
Real Estate development firm</t>
  </si>
  <si>
    <t xml:space="preserve">Trusts
Quintain Estates &amp;
Development PLC, located in
London, UK, is a real estate
development firm. The
company creates large,
complex and sustainable
urban environments, and
instigates and manages
investment opportunities. It
also creates and manages
funds in sectors that have
high barriers to entry. It
operates in three divisions:
regeneration, fund
management and asset
acquisition and management.
The company was founded in
1992.</t>
  </si>
  <si>
    <t xml:space="preserve">2836
6552</t>
  </si>
  <si>
    <t xml:space="preserve">Wellcome Trust Ltd
Quintain Estates &amp; Dvlp PLC</t>
  </si>
  <si>
    <t xml:space="preserve">8733
6552</t>
  </si>
  <si>
    <t xml:space="preserve">WELLCOME TRUST FINANCE PLC/QUINTAIN ESTATES &amp; DEVELOPMENT PLC- JOINT
VENTURE</t>
  </si>
  <si>
    <t xml:space="preserve">Quintain Estates &amp; Development PCL and Wellcome Trust Finance PLC, a unit
of Wellcome Trust Ltd planned to form a 5-year joint venture named iQ
Property Partnership Fund Ltd (IP) to provide real estate development fund
management and investment services in United Kingdom. The partners were to
each hold a 50% interest in IP.  The partners were expected to invest
$196.76 mil US (100 mil British funds) for the working capital fund of IP.</t>
  </si>
  <si>
    <t xml:space="preserve">Real Estate Investment Services
Research &amp; Development Services
Management Services
Investment Services</t>
  </si>
  <si>
    <t xml:space="preserve">The partners were expected to invest $196.76 mil US (100 mil British funds)
for the working capital fund of IP.</t>
  </si>
  <si>
    <t xml:space="preserve">94942W
74875E</t>
  </si>
  <si>
    <t xml:space="preserve">ProMetic Life Sciences Inc
Tecpar</t>
  </si>
  <si>
    <t xml:space="preserve">Mnfr biopharmaceuticals
Pvd research,dvlp svcs</t>
  </si>
  <si>
    <t xml:space="preserve">October14, 1994. ProMetic
Life Sciences Inc, located
in Laval, Quebec,
manufactures
biopharmaceuticals. It
offers technologies for
large-scale drug
purification, drug
development, proteomics (the
study of proteins), and the
elimination of pathogens. It
develops therapeutics to
treat blood-related
disorders and is a
world-leading technology
provider and drug developer
in the fields of hematology,
oncology and nephrology. The
company was founded in
October14, 1994.
Tecpar is involved in
research, development and
production in the areas of
pharmaceuticals (biologicals
and fine chemistry) and
biofuels as well as services
in the areas of metrology,
assays and certification. It
has 4 other units: a vaccine
and antigen production unit
and a fine chemistry
laboratory in the Juvev
district, a vivarium in the
city of Araucria, another
vivarium in the city of
Jacarezinho and a service unit
in the city of Maring. It
manufactures and supplies
vaccines, monomeric tetanus
protein, and antigens for the
federal government. Its
Division of Tecnological
Analyses and Assays provides
state organs and companies
with important support for new
products registration, quality
control, inspection, research
of contaminants and execution
of tests required by the
legislation for the
importation and exportation of
products. as well as quality
control of biofuels and fuels
and lubricants derived from
oil, in accordance with Oil
National Agency. It also
promotes graduate courses and
seminars about techniques in
inventiveness, experimentation
&amp; technological research.</t>
  </si>
  <si>
    <t xml:space="preserve">Canada
Brazil</t>
  </si>
  <si>
    <t xml:space="preserve">PROMETIC LIFE SCIENCES INC/INSTITUTO DE TECNOLOGIA DO PARANA-STRATEGIC
ALLIANCE</t>
  </si>
  <si>
    <t xml:space="preserve">Prometic Life Sciences inc (Pl) and Brazilian state-owned Instituto de
Tecnologia do Parana {Tecpar} formed a strategic alliance wherein PI
licensed Tecpar to utilize its Mimetic Ligand tecnology to develop and
manufacture biopharmaceuticals in Brazil as well as other South American
countries. PI was expected to receive $9 mil US in license, milestones and
development payments.</t>
  </si>
  <si>
    <t xml:space="preserve">Prometic Life Sciences Inc was expected to receive $9 mil US in license,
milestones and development payments.</t>
  </si>
  <si>
    <t xml:space="preserve">74342Q
44745W</t>
  </si>
  <si>
    <t xml:space="preserve">ON Semiconductor Corp
Hisense Electric Co Ltd</t>
  </si>
  <si>
    <t xml:space="preserve">Semiconductor and Related Device Manufacturing
Mnfr,whl TV</t>
  </si>
  <si>
    <t xml:space="preserve">ON Semiconductor Corp, located
in Phoenix, Arizona,
manufactures semiconductors.
Its products are used in
automotive, communications,
computing, consumer,
industrial, LED lighting,
medical, military, aerospace
and power applications
throughout North America,
Europe, and the Asia Pacific
regions. The Company was
founded on 1999.
Hisense Electric Co Ltd,
located in Qingdao,
manufactures and wholesales
televisions, refrigerators
and personal computers.
Other activities include
manufactures air
conditioners, broadcast
equipment and other
household electronic
appliances. The company was
founded in 1997.</t>
  </si>
  <si>
    <t xml:space="preserve">3674
3663</t>
  </si>
  <si>
    <t xml:space="preserve">ON SEMICONDUCTOR CORP/HISENSE ELECTRIC CO LTD - STRATEGIC ALLIANCE</t>
  </si>
  <si>
    <t xml:space="preserve">On Semiconductor . (OS), a unit of Texas Pacific Group Inc and Hisense
Electric Co Ltd (HE), formed a strategic alliance to provide efficient and
energy-saving power solutions for LCD, plasma and CRT TV series development
services. The alliance was expected to establish a joint power laboratory
and committed to provide energy-saving power solutions to indigenous
customers in China. The laboratory was expected to focus on leveraging OS'
strengths, expertise and experience in innovative, energy-saving solutions
for HE's TV products.</t>
  </si>
  <si>
    <t xml:space="preserve">682189
43352N</t>
  </si>
  <si>
    <t xml:space="preserve">Semiconductor Mnfg Intl Corp
Cascade Microtech Inc</t>
  </si>
  <si>
    <t xml:space="preserve">Manufacture,whl semiconductors
Mnfr,whl measuring equipments</t>
  </si>
  <si>
    <t xml:space="preserve">Semiconductor Manufacturing
International Corp is a
manufacturer and wholesaler
of semiconductors and
related device. It
manufactures semiconductor
pure-play integrated circuit
and finer line technologies.
It has 300-millimeter wafer
fabrication facility under
pilot production, 200mm
mega-fab in Shanghai, a
300mm mega-fab in Beijing, a
200mm fab in Tianjin, and a
200mm fab project under
development in Shenzhen. It
has operations in U.S.,
Europe, Japan, Taiwan and a
representative office in
Hong Kong. The Company was
founded in April 2000 and is
located in Shanghai, China.
Cascade Microtech Inc, located
in Beaverton, Oregon,
manufactures and wholesales
measuring equipments. It
offers precise electrical and
mechanical measurement and
test of integrated circuits
(ICs) and other small
structures. It delivers access
to electrical data from
wafers, integrated circuits
(ICs), IC packages, circuit
boards and modules, MEMS,
biological structures, 3D TSV
and LED devices. The company
was founded in 1983.</t>
  </si>
  <si>
    <t xml:space="preserve">3674
3825</t>
  </si>
  <si>
    <t xml:space="preserve">FF
OR</t>
  </si>
  <si>
    <t xml:space="preserve">SEMICONDUCTOR MANUFACTURING/CASCADE MICROTECH INC-STRATEGIC ALLIANCE</t>
  </si>
  <si>
    <t xml:space="preserve">Semiconductor Manufacturing International Corp and Cascade Microtech formed
a strategic alliance to develop mixed-signal radio-frequency integrated
circuits (RFIC) and related electronic devices in China. Under terms of the
agreement, the partners build and constructed a design service center open
laboratory in Shanghai to support and enhance the advanced wireless RFIC
development. The laboratory would be equipped with high-performance, high
frequency measurement instrumentation, including S300 300mm probe station
and M150 150mm probe station, plus state-of-the-art RF probes. The probe
stations were coupled with PNA Series E8363D vector network analyzer, which
was capable of handling 300mm wafers with frequencies up to 67 GHz.</t>
  </si>
  <si>
    <t xml:space="preserve">G8020E
147322</t>
  </si>
  <si>
    <t xml:space="preserve">Charles River Labs Intl Inc
Shanghai Bioexplorer Co Ltd</t>
  </si>
  <si>
    <t xml:space="preserve">Research and Development in Biotechnology
Mnfr pharm</t>
  </si>
  <si>
    <t xml:space="preserve">Charles River Laboratories
International Inc, located
in Wilmington,
Massachusetts, provides
biotechnology research and
development services. It
also has offices in North
America, Europe and Asia.
The Company was founded in
1947.
Manufacture prescription
pharmaceuticals intended for
final consumption, including
biotech products and
antibiotics</t>
  </si>
  <si>
    <t xml:space="preserve">CHARLES RIVER LAB INTL INC/SHANGHAI BIOEXPLORER CO-JOINT VENTURE</t>
  </si>
  <si>
    <t xml:space="preserve">Provide contract research and
regulatory-compliant
preclinical services for
global pharmaceutical and
biotechnology customers in
China</t>
  </si>
  <si>
    <t xml:space="preserve">Charles River Laboratories International Inc (CR) and Shanghai BioExplorer
Co (SB) formed a joint venture named Charles River Laboratories Greater
China Preclinical Services Shanghai Co   (CC) to provide pharmaceutical and
biotechnology research and development services in China. CR held a 75%
interest in CC while SB held the remaining 25% stake. CC was to construct a
50,000-square floor preclinical services facility and was expected to open
in mid-2008 and was to provide wide range of discovery and development
services including GLP and non-GLP toxicology studies. CC had been
subjected to customary closing conditions including Chinese regulatory
approval and was to close by end of second quarter.</t>
  </si>
  <si>
    <t xml:space="preserve">15985W</t>
  </si>
  <si>
    <t xml:space="preserve">159864
81867C</t>
  </si>
  <si>
    <t xml:space="preserve">Marlow Industries Inc
Guangdong Fuxin Electn Tech Co</t>
  </si>
  <si>
    <t xml:space="preserve">Mnfr thermoelectric coolers
Mnfr,whl thermoelectric prod</t>
  </si>
  <si>
    <t xml:space="preserve">Manufacture thermoelectric
coolers and subsystems for the
military, aerospace, medical,
high speed integrated
circuits, and
telecommunications markets
Guangdong Fuxin Electronic
Technology Co, based in
Guangdong, manufactures
thermoelectric refrigerator
for water dispenser, mini
refrigerators and wine
cellars. The company was
established in 1995, and sells
its products in Europe, the
Unites States, Japan, Korea,
and Australia, to name a few.</t>
  </si>
  <si>
    <t xml:space="preserve">3585
3585</t>
  </si>
  <si>
    <t xml:space="preserve">II-VI Inc
Guangdong Fuxin Electn Tech Co</t>
  </si>
  <si>
    <t xml:space="preserve">3827
3585</t>
  </si>
  <si>
    <t xml:space="preserve">MARLOW INDUSTRIES INC/GUANGDONG FUXIN-STRATEGIC ALLIANCE</t>
  </si>
  <si>
    <t xml:space="preserve">Marlow Industries Inc, a unit of II-IV Inc, and Guangdong Fuxin Electronic
Technology Co formed a strategic alliance to provide thermoelectric
development services globally. The alliance was expected to develop new low
cost, high performance, quality solutions and new applications.</t>
  </si>
  <si>
    <t xml:space="preserve">57125L
40177N</t>
  </si>
  <si>
    <t xml:space="preserve">Zhejiang Geely Merrie Auto Co
Centurion Industries Ltd</t>
  </si>
  <si>
    <t xml:space="preserve">Mnfr motor vehicle parts
Mnfr motor vehicle parts</t>
  </si>
  <si>
    <t xml:space="preserve">Manufacture motor vehicle
parts
Centurion Industries Ltd,
located in Hong Kong,
manufactures motor vehicle
parts.</t>
  </si>
  <si>
    <t xml:space="preserve">3714
3714</t>
  </si>
  <si>
    <t xml:space="preserve">China
Hong Kong</t>
  </si>
  <si>
    <t xml:space="preserve">Zhejiang Geely Hldg Grp Co
Zhejiang Geely Hldg Grp Co</t>
  </si>
  <si>
    <t xml:space="preserve">ZHEJIANG GEELY MERRIE AUTOMOBILE CO LTD /CENTURION INDUSTRIES LTD -LANZHOU
GEELY AUTOMOBILE COMPONENTS CO LTD JOINT VENTURE</t>
  </si>
  <si>
    <t xml:space="preserve">Zhejiang Geely Merrie Automobile Co Ltd (ZG), a unit of Zhejiang Geely
Holding Co Ltd (ZH), and Centurion Industries Ltd (CI), a unit of the Geely
Automobile Holdings Ltd subsidiary of Geely Group Ltd's Proper Glory
Holdings Inc unit, planned to form a 50-year joint venture named Lanzhou
Geely Automobile Components Co Ltd (LG) to manufacture, develop and
wholesale sedan related components in China. Under terms of the agreement,
ZG was to hold a 53.19% interest in LG while CI was to hold the remaining
46.81% stake. LG was to have a working capital of $75 mil US (585.93 mil
Hong Kong dollars/579.44 mil Chinese yuan). LG was subject to approval from
the shareholders and from relevant PRC government authority. Concurrently,
ZH and CI were to form another JV company named Hunan Geely Automobile
Components Co Ltd.</t>
  </si>
  <si>
    <t xml:space="preserve">53.20
46.80</t>
  </si>
  <si>
    <t xml:space="preserve">Lanzhou Geely Automobile Components Co Ltd was to have a working capital of
$75 mil US (585.93 mil Hong Kong dollars/579.44 mil Chinese yuan).</t>
  </si>
  <si>
    <t xml:space="preserve">36885X
15620N</t>
  </si>
  <si>
    <t xml:space="preserve">Centurion Industries Ltd
Zhejiang Haoqing Auto Mnfg Co</t>
  </si>
  <si>
    <t xml:space="preserve">Mnfr motor vehicle parts
Automobile Manufacturing</t>
  </si>
  <si>
    <t xml:space="preserve">Centurion Industries Ltd,
located in Hong Kong,
manufactures motor vehicle
parts.
Zhejiang Haoqing Automobile
Manufacturing Co Ltd is a
manufacturer of automobiles.
The Company is located in
Zhejiang, China.</t>
  </si>
  <si>
    <t xml:space="preserve">ZHEJIANG HAOQING AUTOMOBILE/CENTURION INDUSTRIES LTD-HUNAN GEELY AUTOMOBILE
COMPONENTS CO LTD JOINT VENTURE</t>
  </si>
  <si>
    <t xml:space="preserve">Zhejiang Haoqing Automobile Manufacturing Co Ltd (ZH), a unit of Zhejiang
Geely Automobile Co Ltd, a joint venture between Geely Automobile Holdings
Ltd, a unit of Geely Group Ltd's Proper Glory Holdings subsidiary, and
Zhejiang Geely Merrie Automobile Co Ltd, a unit of Zhejiang Geely Holding
Co Ltd, and Centurion Industries Ltd (CI), a unit of the Geely Automobile
Holdings Ltd subsidiary of Geely Group Ltd's Proper Glory Holdings Inc
unit, planned to form a 50-year joint venture named Hunan Geely Automobile
Components Co Ltd (HG) to manufacture, develop and wholesale sedan related
components in China. Under terms of the agreement, ZH was to hold a 53.19%
interest in HG while CI was to hold the remaining 46.81% stake. HG was to
have a working capital of $75 mil US (585.93 mil Hong Kong dollars/579.44
mil Chinese yuan). HG was subject to approval from the shareholders and
from relevant PRC government authority. Concurrently, ZH and CI were to
form another JV company named Langzhou Geely Automobile Components Co Ltd.</t>
  </si>
  <si>
    <t xml:space="preserve">46.80
53.20</t>
  </si>
  <si>
    <t xml:space="preserve">Hunan Geely Automobile Components Co Ltd was to have a working capital of
$75 mil US (585.93 mil Hong Kong dollars/579.44 mil Chinese yuan).</t>
  </si>
  <si>
    <t xml:space="preserve">15620N
99062V</t>
  </si>
  <si>
    <t xml:space="preserve">Schering-Plough Corp
Merck &amp; Co Inc</t>
  </si>
  <si>
    <t xml:space="preserve">Mnfr,whl pharm
Mnfr,whl pharmaceutical prod</t>
  </si>
  <si>
    <t xml:space="preserve">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</si>
  <si>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SCHERING-PLOUGH CORP/MERCK &amp; CO INC - STRATEGIC ALLIANCE</t>
  </si>
  <si>
    <t xml:space="preserve">Schering-Plough Corp and Merck &amp; Co Inc formed a strategic alliance to
provide ezetimibe and atorvastatin combination development services in the
United States.</t>
  </si>
  <si>
    <t xml:space="preserve">806605
589331</t>
  </si>
  <si>
    <t xml:space="preserve">SpineMark Corp
Southern California Institute</t>
  </si>
  <si>
    <t xml:space="preserve">Pvd spine svc centers
Pvd spinal treatment svcs</t>
  </si>
  <si>
    <t xml:space="preserve">Provide spine, neuroscience
and orthopedic service centers
Provide spinal conditions and
injuries treatment services</t>
  </si>
  <si>
    <t xml:space="preserve">8093
8093</t>
  </si>
  <si>
    <t xml:space="preserve">Management Tech Resources
Southern California Institute</t>
  </si>
  <si>
    <t xml:space="preserve">8741
8093</t>
  </si>
  <si>
    <t xml:space="preserve">SPINEMARK CORP/SOUTHERN CALIFORNIA INSTITUTE- STRATEGIC ALLIANCE</t>
  </si>
  <si>
    <t xml:space="preserve">Southern California Institute of Neurological Surgery (SC) and SpineMark
Corp (SM), a joint venture between Management Technology Resources and
Texas Back Institute, formed a strategic alliance to provide spine care
treatment options services in the United States. The alliance was expected
to provide patients with alternative therapies wherein SC enrolled patients
in several clinical trials using motion preservation spinal devices aimed
at maintaining natural movement.</t>
  </si>
  <si>
    <t xml:space="preserve">Health &amp; Medical Services
Research &amp; Development Services</t>
  </si>
  <si>
    <t xml:space="preserve">84868L
84239T</t>
  </si>
  <si>
    <t xml:space="preserve">Sitroniks
ZTE Corp</t>
  </si>
  <si>
    <t xml:space="preserve">Pvd telecommun solution svcs
Mnfr telecommun equip</t>
  </si>
  <si>
    <t xml:space="preserve">OAO "Sitroniks", located in
Moscow, Russian Federation,
provides telecommunication
solutions services, including
software, equipment and
systems integration, IT
solutions and microelectronic
solutions in Russia and the
Commonwealth of Independent
States. The company was
founded in 1997.
ZTE Corp is a manufacturer
and wholesaler of telephone
apparatuses and other
related products. The
Company was founded in 1985
and is located in Shenzhen,
China.</t>
  </si>
  <si>
    <t xml:space="preserve">4813
3661</t>
  </si>
  <si>
    <t xml:space="preserve">Russian Fed
China</t>
  </si>
  <si>
    <t xml:space="preserve">SSA SISTEMA PJSFC
ZTE Holdings Co Ltd</t>
  </si>
  <si>
    <t xml:space="preserve">SITRONICS CORP CJSC/ZTE CORP-JOINT VENTURE</t>
  </si>
  <si>
    <t xml:space="preserve">Sitronics Corp CJSC (SC), a unit of AFK Sistema JSFC, and ZTE Corp (ZC)
planned to form a joint venture (JV) to manufacture and develop Global
Navigational Satellite systems in Russia. Concurrently, SC and ZC also plan
to establish a research and development center in China focusing on the
development of communication facilities and consumer electronics.</t>
  </si>
  <si>
    <t xml:space="preserve">83009T
82328J</t>
  </si>
  <si>
    <t xml:space="preserve">Eni SpA
Petrobras</t>
  </si>
  <si>
    <t xml:space="preserve">Petroleum Refineries
Oil,gas exploration,production</t>
  </si>
  <si>
    <t xml:space="preserve">Eni SpA, located in Rome,
Italy, is engaged in the
exploration, development and
production of hydrocarbons.
It supplies and markets gas,
liquefied natural gas and
power. It provides refining
and marketing of petroleum
products; and produces and
markets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 The Company was
founded in December 1953.
Petroleo Brasileiro SA,
headquartered in Rio de
Janeiro, Brazil, is an oil
and gas exploration and
production company that is
also engaged in the
distribution, import and
export of oil, gas, energy
and its by-products. It
deals with oil refineries,
production of crude oil, and
natural gas and generation
of energy. Its products
include gasoline, diesel,
base oil, LPG, natural gas,
kerosene, solvents,
paraffin, fertilizers,
sulfur and aviation fuels.
In 2008, the group had 109
production units and 5,998
service stations all over
Brazil. It operates in 27
countries with 4 continents.
The company was founded in
1953.</t>
  </si>
  <si>
    <t xml:space="preserve">2911
1311</t>
  </si>
  <si>
    <t xml:space="preserve">Italy
Brazil</t>
  </si>
  <si>
    <t xml:space="preserve">ENI SPA/PETROLEO BRASILEIRO SA- STRATEGIC ALLIANCE</t>
  </si>
  <si>
    <t xml:space="preserve">State-owned Petroleo Brasileiro SA (PB) and ENI SpA (ES) planned to form a
strategic alliance to provide biofuel production development services. The
alliance envisages PB and ES to develop a new technology for large scale
biofuel production and were to launch joint studies to include raw
materials selection for refining and possible heavy oil refining
improvements in Brazil.</t>
  </si>
  <si>
    <t xml:space="preserve">Research &amp; Development Services
Oil and Gas; Petroleum Services</t>
  </si>
  <si>
    <t xml:space="preserve">26874R
71654V</t>
  </si>
  <si>
    <t xml:space="preserve">Imperial Innovations Group PLC
StormBio Inc</t>
  </si>
  <si>
    <t xml:space="preserve">Venture capital firm
Biotechnology company</t>
  </si>
  <si>
    <t xml:space="preserve">Imperial Innovations Group
PLC, located in London,
United Kingdom, is venture
capital firm focused on
technology companies. It
supports scientists and
entrepreneurs in the
commercialization of their
ideas through the licensing
of intellectual property, by
leading the formation of new
companies, providing
facilities in the early
stages, providing investment
and encouraging
co-investment to accelerate
development, providing
operational expertise and
recruiting management teams.
The company was founded in
1986.
Biotechnology company</t>
  </si>
  <si>
    <t xml:space="preserve">STORMBIO INC/IMPERIAL INNOVATIONS GROUP PLC-STRATEGIC ALLIANCE</t>
  </si>
  <si>
    <t xml:space="preserve">Imperial Innovations Group PLC and StormBio Inc formed a strategic alliance
to provide research and development services of novel therapy for the
treatment of influenza in the United States. The alliance was a strategic
investment opportunity both for the partners to leverage their medical
development services and to further expand their market and product
coverage worldwide.</t>
  </si>
  <si>
    <t xml:space="preserve">45480C
86233F</t>
  </si>
  <si>
    <t xml:space="preserve">Sitronics-ZTE Ltd, located in
China, manufactures and
develops telecommunications
equipment, CDMA terminals and
specialized electronic
products. Founded in 2008.</t>
  </si>
  <si>
    <t xml:space="preserve">Sitronics Corp CJSC (SC), a unit of AFK Sistema JSFC, and ZTE Corp (ZC)
formed a joint venture (JV) named Sitronics-ZTE Ltd to manufacture and
develop telecommunications equipment, CDMA terminals and specialized
electronic products in China. SC held a 51% interest in the JV while ZC
held a 49% stake. Concurrently, SC and ZC also plan to establish a research
and development center in Russia focusing on the development of
communication facilities and consumer electronics.</t>
  </si>
  <si>
    <t xml:space="preserve">83243K</t>
  </si>
  <si>
    <t xml:space="preserve">LifeWare Technologies Inc
Vesicare</t>
  </si>
  <si>
    <t xml:space="preserve">Mnfr cooking wares
Pvd medical/health svcs</t>
  </si>
  <si>
    <t xml:space="preserve">Manufacture cooking wares
Provide medical/health
services</t>
  </si>
  <si>
    <t xml:space="preserve">3589
8099</t>
  </si>
  <si>
    <t xml:space="preserve">OH
CA</t>
  </si>
  <si>
    <t xml:space="preserve">COMPRESS TECHNOLOGIES INC/LIFEWARE TECHNOLOGIES INC-STRATEGIC ALLIANCE</t>
  </si>
  <si>
    <t xml:space="preserve">Compress Technologies Inc and LifeWare Technologies Inc formed a strategic
alliance to provide research and development services of cookware products
in the United States. The alliance was expected to develop a patented
technology of revolutionay healthy cooking equipments.</t>
  </si>
  <si>
    <t xml:space="preserve">53188L
92536M</t>
  </si>
  <si>
    <t xml:space="preserve">Konica Minolta Holdings Inc
Konica Minolta Bus Tech
General Electric Co</t>
  </si>
  <si>
    <t xml:space="preserve">Mnfr,whl photographic equip
Mnfr,whl business machines
Manufacture,wholesale power generation equipment</t>
  </si>
  <si>
    <t xml:space="preserve">Konica Minolta Holdings Inc,
located in Tokyo, Japan,
operates four business
segments through its
subsidiaries and associated
companies. The Information
Equipment segment
manufactures and sells
multifunction printers
(MFPs), printers and related
materials. This segment also
provides solution services.
The Optics segment optical
devices and electronic
materials. The Healthcare
segment health care
equipment and materials. The
Others segment is engaged in
the measurement equipment
and industrial inject
related businesses. As of
March 31, 2012, the Company
had 108 subsidiaries and
four associated companies.
On April 1, 2012, it
transferred its LA business
promotion office business to
its subsidiary. On April 1,
2013, it merged with its
seven subsidiaries. It was
founded in 1936.
Konica Minolta Business
Technologies Inc, located in
Tokyo, Japan, manufactures and
wholesales business machines,
electronic equipment,
communication equipment and
parts. The company was founded
in 2003.
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t>
  </si>
  <si>
    <t xml:space="preserve">3861
3555
3612</t>
  </si>
  <si>
    <t xml:space="preserve">Japan
Japan
United States</t>
  </si>
  <si>
    <t xml:space="preserve">FF
FF
MA</t>
  </si>
  <si>
    <t xml:space="preserve">Konica Minolta Holdings Inc
Konica Minolta Holdings Inc
General Electric Co</t>
  </si>
  <si>
    <t xml:space="preserve">3861
3861
3612</t>
  </si>
  <si>
    <t xml:space="preserve">KONICA MINOLTA HOLDINGS INC(/KONICA MINOLTA TECHNOLOGY CENTER INC/GENERAL
ELECTRIC CO- STRATEGIC ALLIANCE</t>
  </si>
  <si>
    <t xml:space="preserve">Konica Minolta Holdings Inc (KM), Konica Minolta Business Technologies Inc,
a unit of KM, and General Electric Co, formed a strategic alliance to
provide organic light emitting diode (OLED) development and marketing
services. The alliance aimes to bring OLED lighting to market within the
next 3 years.</t>
  </si>
  <si>
    <t xml:space="preserve">50385H
50487V
369604</t>
  </si>
  <si>
    <t xml:space="preserve">Penwest Pharmaceuticals Co
Pharmaceutics International</t>
  </si>
  <si>
    <t xml:space="preserve">Penwest Pharmaceuticals Co,
based in Patterson, New York,
manufactures specialty
pharmaceutical. It develops
and commercializes
prescription products that
address diseases of the
nervous system.
Pharmaceutics International
Inc, located in Hunt Valley,
Maryland, manufactures
pharmaceutical products. The
Company was founded in 1994.</t>
  </si>
  <si>
    <t xml:space="preserve">NY
MD</t>
  </si>
  <si>
    <t xml:space="preserve">PENWEST PHARMACEUTICALS CO/PHARMACEUTICAL INTERNATIONAL INC-STRATEGIC
ALLIANCE</t>
  </si>
  <si>
    <t xml:space="preserve">Penwest Pharmaceuticals Co and Pharmaceutics International Inc formed a
strategic alliance to provide research and development services of
therapeutics oral drug for the nervous systems in the United States. The
alliance was a strategic investment opportunity both for the partners to
leverage their medical development services and to further expand their
market and product coverage worldwide.</t>
  </si>
  <si>
    <t xml:space="preserve">709754
71720W</t>
  </si>
  <si>
    <t xml:space="preserve">Adams Respiratory Therapeutics
Monosol Rx</t>
  </si>
  <si>
    <t xml:space="preserve">Mnfr pharm
Mnfr pharmaceutical products</t>
  </si>
  <si>
    <t xml:space="preserve">Adams Respiratory Therapeutics
Inc, located in Chester, New
Jersey, manufactures
pharmaceuticals intended for
final consumption, focused on
prescription pharmaceuticals
for the treatment of
respiratory disorders. Its
product line includes Mucinex,
Mucinex DM, Mucinex D; Maximum
Strength Mucinex, Mucinex DM,
and Mucinex D; the Delsym line
of products; Mucinex Moisture
Smart and Mucinex Full Force
nasal sprays; and the Mucinex
for Children line of products.
Monosol Rx Inc, based in
Warren, New Jersey, is a
manufacturer of
pharmaceutical products,
specializing in the
development and
commercialization of thin
film pharmaceutical and
over-the-counter (OTC) drug
products. The company was
founded in 2000.</t>
  </si>
  <si>
    <t xml:space="preserve">NJ
IN</t>
  </si>
  <si>
    <t xml:space="preserve">Adams Respiratory Therapeutics
Catterton Partners Corp</t>
  </si>
  <si>
    <t xml:space="preserve">ADAMS RESPIRATORY THERAPEUTICS INC/MONOSOL RX LLC-STRATEGIC ALLIANCE</t>
  </si>
  <si>
    <t xml:space="preserve">Adams Respiratory Therapeutics Inc (AR) and Monosol Rx LLC (MR), a unit of
MonoSol LLC formed a strategic alliance wherein AR licensed MR to utilize
its thin-film drug delivery technology in the United States. MR was
expected to use an edible film as a fast-dissolve oral drug platform to
develop a prescription and over the counter therapeutics products for the
treatments of respiratory infections.</t>
  </si>
  <si>
    <t xml:space="preserve">00635P
9J4884</t>
  </si>
  <si>
    <t xml:space="preserve">GlaxoSmithKline PLC
Tata Consultancy Services Ltd</t>
  </si>
  <si>
    <t xml:space="preserve">Pharmaceutical Preparation Manufacturing
Pvd info tech consulting svcs</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</si>
  <si>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Tata Consultancy Services
Ltd, headquartered in
Mumbai, India, is an
Information Technology (IT)
services, consulting and
business solutions company.
The Company provides
consulting-led integrated
portfolio of IT and
IT-enabled services
delivered through a network
of multiple locations around
the globe. The Company's
domain knowledge and
technology expertise helps
global corporations to focus
on their core business,
while TCS manages their
investments in technology
and helps transform their
business processes. The
Company's services
portfolio consists of
Application Development and
Maintenance, Business
Intelligence, Enterprise
Solutions, Assurance,
Engineering and Industrial
Services, IT Infrastructure
Services, Business Process
Outsourcing, Consulting and
Asset Leveraged Solutions.
The Company was founded in
1968.</t>
  </si>
  <si>
    <t xml:space="preserve">2834
7375</t>
  </si>
  <si>
    <t xml:space="preserve">United Kingdom
India</t>
  </si>
  <si>
    <t xml:space="preserve">GlaxoSmithKline PLC
Tata Sons Pvt Ltd</t>
  </si>
  <si>
    <t xml:space="preserve">GLAXOSMITHKLINE PLC(WAS 377327)/TATA CONSULTANCY SERVICES LTD - JOINT
VENTURE</t>
  </si>
  <si>
    <t xml:space="preserve">GlaxoSmithKline PLC (GS) and Tata Consultancy Services Ltd (TC), a unit of
Tata Sons Ltd, formed a strategic alliance to provide drug development
services in India. The alliance was expected to establish a global drug
development support center to help the demands of the GS growing pipeline.
TC was expected to provide a variety of services in clinical research,
including Clinical Data Management and Clinical Submissions Support. The
alliance was also expected to help GS expand capacity in response to
increased efficiency demands, leverage the high-quality talent pool in
India and benefit from cost and process improvements.</t>
  </si>
  <si>
    <t xml:space="preserve">37733W
87656P</t>
  </si>
  <si>
    <t xml:space="preserve">Givaudan SA
ChemCom SA</t>
  </si>
  <si>
    <t xml:space="preserve">Manufacture, wholesale fragrance ingredients
Pvd chemosensory tech dvlp svc</t>
  </si>
  <si>
    <t xml:space="preserve">Givaudan SA manufactures
fragrance ingredients and
flavor compositions through
its fragrance division
organized in fine fragrances
which includes unique
perfumery compositions. Its
consumer products include
fabric and personal wash,
hair and skin care. The
fragrance ingredients
division includes
ingredients for internal use
and other fragrance
suppliers and the flavor
division organized in
beverages which includes
carbonated and
non-carbonated soft and
alcoholic drinks, fruit
juices and instant beverages
and also the dairy division,
which includes ice cream,
yoghurts and instant
desserts. Another division
is the savory division which
includes ready-made meals,
snacks soups and poultry and
sweet goods includes baked
goods, sugar confections,
cereals and chocolate. The
Company has operations in
the US, Canada, Latin
America, Europe, Africa,
Middle East and Asia
Pacific.. The Company was
founded in 1929 and is
located in Vernier,
Switzerland.
Provide chemosensory
technologies development
services such as taste,
olfaction and other sensory
modalities for flavours &amp;
fragrances, cosmetic, food,
agricultural, pharmaceutical
and biomedical industries</t>
  </si>
  <si>
    <t xml:space="preserve">2869
8731</t>
  </si>
  <si>
    <t xml:space="preserve">Switzerland
Belgium</t>
  </si>
  <si>
    <t xml:space="preserve">GIVAUDAN SA /CHEMCOM SA-TECNOSCENT JOINT VENTURE</t>
  </si>
  <si>
    <t xml:space="preserve">Givaudan SA (GA) and ChemCom SA (CC) planned to form a joint venture named
TecnoScent (TS) to provide innovative fragrance ingredients discovery and
development services in Switzerland. TS was to strengthen GA's sensory
innovation and technology platform by creating a unique center of expertise
combining biotechnology and leading fragrance expertise and experience.</t>
  </si>
  <si>
    <t xml:space="preserve">37644E
16357W</t>
  </si>
  <si>
    <t xml:space="preserve">STMicroelectronics NV
Fraunhofer IIS</t>
  </si>
  <si>
    <t xml:space="preserve">Semiconductor and Related Device Manufacturing
Pvd research,dvlp svcs</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</si>
  <si>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Provide research and
development services for
industry and public
authorities for
microelectronics,
information technology,
telecommunications, audio
and multimedia technology,
digital radio, digital
cinema, RF technology,
satellite navigation,
medical engineering,
logistics, and mechanical
and industrial automation</t>
  </si>
  <si>
    <t xml:space="preserve">3674
8731</t>
  </si>
  <si>
    <t xml:space="preserve">Switzerland
Germany</t>
  </si>
  <si>
    <t xml:space="preserve">STMICROELECTRONICS NV/FRAUNHOFER-STRATEGIC ALLIANCE</t>
  </si>
  <si>
    <t xml:space="preserve">STMicroelectronics NV (SN) and Fraunhofer Institut for Integrierte
Schaltungen (FI) formed a strategic alliance to provide dedicated low-power
Application Specific Integrated Circuit (ASIC) development services for
Digital Radio Mondiale (TM) applications. The applications included fixed
and portable radios, car receivers, software receivers, and personal
digital assistants (PDAs). The alliance was expected to offer excellent
audio quality and integration of sound with data and text.</t>
  </si>
  <si>
    <t xml:space="preserve">861012
35553A</t>
  </si>
  <si>
    <t xml:space="preserve">DuPont
Honeywell Inc</t>
  </si>
  <si>
    <t xml:space="preserve">Mnfr chemical,electronic prod
Mnfr,whl environmental control</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</si>
  <si>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Honeywell Inc is a
Manufacture and wholesale
mechanical, pneumatic,
electrical and electronic
control products for
heating, ventilation, air
conditioning and lighting in
homes, and commercial,
industrial and public
buildings; provide
installation svcs; mnfr and
whl process control systems,
and associated application
software and services,
process instruments, process
controllers, recorders,
programmers, programmable
controllers, transmitters
and other field instruments;
as well as electronic
control systems and
components for commercial
and business aircraft,
military aircraft and
spacecraft, and airports.
The Company was founded in
1927 and is located in
Morristown, New Jersey.</t>
  </si>
  <si>
    <t xml:space="preserve">2821
3822</t>
  </si>
  <si>
    <t xml:space="preserve">DE
NJ</t>
  </si>
  <si>
    <t xml:space="preserve">DuPont
Honeywell International Inc</t>
  </si>
  <si>
    <t xml:space="preserve">2821
3812</t>
  </si>
  <si>
    <t xml:space="preserve">DU PONT CO(DNU)/HONEY WELL INC (DNU)-STRATEGIC ALLIANCE</t>
  </si>
  <si>
    <t xml:space="preserve">Ei du Pont Nemours &amp; Co (DP) and Honeywell Inc (HI) formed a strategic
alliance provide low global warming refrigerants development services for
the automotive air conditioning industry. The new refrigerants was expected
to enable automakers to meet new regulations in Europe that require the use
of low global warming potential (GWP) refrigerants in mobile
airconditioning (AC) applications. DP and HI were expected to jointly
identify, develop, test and qualify new low GWP refrigerants that were cost
effective alternatives to other technologies being considered by the auto
industry.</t>
  </si>
  <si>
    <t xml:space="preserve">263534
438506</t>
  </si>
  <si>
    <t xml:space="preserve">MedImmune Inc
Sanofi Pasteur SA</t>
  </si>
  <si>
    <t xml:space="preserve">Mnfr vaccines,pvd research svc
Mnfr,dvlp vaccines</t>
  </si>
  <si>
    <t xml:space="preserve">Manufacture vaccines which
include Synagis (palivizumab),
Ethyol (amifostine), FluMist
(Influenza Virus Vaccine Live,
Intranasal), and CytoGam
(cytomegalovirus immune
globulin intravenous (human))
and with additional products
in clinical testing; provide
research and development
services to discover, develop,
manufacture and market
products that treat or prevent
infectious disease, cancer and
inflammatory disease
Sanofi Pasteur SA, located in
Lyon Cedex, France,
manufactures and develops
human vaccines. Its range of
vaccines include TheraCys,
Adacel, Daptacel, TriHIBit,
Tripedia, ActHIB and Fluzone.</t>
  </si>
  <si>
    <t xml:space="preserve">MedImmune Inc
Sanofi-Aventis SA</t>
  </si>
  <si>
    <t xml:space="preserve">MEDIMMUNE INC/SANOFI PASTEUR SA-STRATEGIC ALLIANCE</t>
  </si>
  <si>
    <t xml:space="preserve">MedImmune Inc (MI) and Sanofi Pasteur SA (SP), a unit of Sanofi Aventis SA,
formed a strategic alliance wherein MI licensed SP to utilize its
proprietary reverse genetics intellectual property to support the
development and construction of new vaccine strains to manufacture human
seasonal, . and pandemic influenza vaccines. MI was expected to receive
upfront payment and has the potential to receive royalties on certain
vaccine stockpiles or sales of other influenza products developed using the
reverse genetics technology.</t>
  </si>
  <si>
    <t xml:space="preserve">584699
80096R</t>
  </si>
  <si>
    <t xml:space="preserve">Empresa Distribuidora Sur SA
SolRayo LLC</t>
  </si>
  <si>
    <t xml:space="preserve">Electric utility company
Pvd research,dvlp svcs</t>
  </si>
  <si>
    <t xml:space="preserve">Empresa Distribuidora Sur SA
is an electric utility
company, headquartered in
Argentina.
SolRayo LLC, located in
Madison, Wisconsin, provides
research and development
services that improve the way
of utilizing energy and water
resources such as
ultracapacitors that improve
storage, delivery and usage of
energy.</t>
  </si>
  <si>
    <t xml:space="preserve">4911
8731</t>
  </si>
  <si>
    <t xml:space="preserve">Argentina
United States</t>
  </si>
  <si>
    <t xml:space="preserve">ENABLE IPC CORP /SOLRAYO LLC- STRATEGIC ALLIANCE</t>
  </si>
  <si>
    <t xml:space="preserve">Enable IPC Corp and SolRayo LLC (SL) formed a strategic alliance to provide
research and development services in the United States. The alliance
evaluated a new, nanoparticle-based ultracapacitor technology in
development by SL. Ultracapacitors complement battery technologies by
providing needed power bursts and extending battery life.</t>
  </si>
  <si>
    <t xml:space="preserve">29622J
83675T</t>
  </si>
  <si>
    <t xml:space="preserve">MedImmune Inc (MI) and Sanofi Pasteur SA (SP), a unit of Sanofi Aventis SA,
formed a strategic alliance wherein MI licensed SP to utilize its
proprietary reverse genetics intellectual property to support the
development and construction of new vaccine strains to manufacture human
seasonal, pre-pandemic and pandemic influenza vaccines. MI was expected to
receive an upfront payment and has the potential to receive royalties on
certain vaccine stockpiles or sales of other influenza products developed
using the technology.</t>
  </si>
  <si>
    <t xml:space="preserve">Vivalis Promesses
Bavarian Nordic A/S</t>
  </si>
  <si>
    <t xml:space="preserve">Biotechnology company
Manufacture, wholesale vaccines</t>
  </si>
  <si>
    <t xml:space="preserve">Biotechnology company;
manufacture therapeutic
recombinant proteins in eggs
of transgenic chickens
Bavarian Nordic A/S, located
in Kvistgaard, Denmark,
manufactures and wholesales
vaccines to prevent and
treat infectious diseases
and cancer with operations
in Denmark, Germany, the
USA, and Singapore. Using
live virus vaccine platform
technology, MVA-BN, it has
created a diverse portfolio
of proprietary and partnered
product candidates intended
to unlock the power of the
immune system to improve
public health with a focus
on high unmet medical needs.
The Company was founded in
1994.</t>
  </si>
  <si>
    <t xml:space="preserve">VIVALIS PROMESSES/BAVARIAN NORDIC A/S-STRATEGIC ALLIANCE</t>
  </si>
  <si>
    <t xml:space="preserve">Vivalis Promesses (VP) and Bavarian Nordic AS (BN) formed a strategic
alliance wherein VP licensed BN to use VP's EBx embryonic stem cell. Terms
were not disclosed.</t>
  </si>
  <si>
    <t xml:space="preserve">93035W
07178P</t>
  </si>
  <si>
    <t xml:space="preserve">Canbas Co Ltd
Takeda Pharmaceutical Co Ltd</t>
  </si>
  <si>
    <t xml:space="preserve">CanBas Co Ltd is
manufacturing
pharmaceuticals, based in
Shizuoka. The Group's
principal activities are to
research, develop, and
manufacture anticancer drug.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</si>
  <si>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CANBAS CO LTD/TAKEDA PHARMACEUTICAL CO LTD- STRATEGIC ALLIANCE</t>
  </si>
  <si>
    <t xml:space="preserve">Takeda Pharmaceutical Co ltd and CanBas Co Ltd (CC) terminated their
strategic alliance to provide research and development services for CBP501
and its backup compounds in the treatment of cancer. Previously in March
2007, the companies agreed to form a strategic alliance. TP will pay USD
8.20 mil (JPY 750 mil) to CC for canceling the deal as well as to cover
research costs.</t>
  </si>
  <si>
    <t xml:space="preserve">TP will pay USD 8.20 mil (JPY 750 mil) to CC for canceling the deal as well
as to cover research costs.</t>
  </si>
  <si>
    <t xml:space="preserve">13692M
874058</t>
  </si>
  <si>
    <t xml:space="preserve">Quickstep Holdings Ltd
Zyvax Inc</t>
  </si>
  <si>
    <t xml:space="preserve">Mnfr composite mnfg mach
Mnfr chemicals</t>
  </si>
  <si>
    <t xml:space="preserve">Quickstep Holdings Ltd,
located in North Coogee,
Western Australia,
manufactures advanced
composites manufacturing
process machinery and
equipments that would
improve the strength and
corrosion resistance of
pipes, as well as reduced
manufacturing costs through
faster processing times.
Founded in 2001.
Manufacture chemicals</t>
  </si>
  <si>
    <t xml:space="preserve">3559
2899</t>
  </si>
  <si>
    <t xml:space="preserve">FF
FL</t>
  </si>
  <si>
    <t xml:space="preserve">QUICKSTEP HOLDINGS LTD/ZYVAX INC-STRATEGIC ALLIANCE</t>
  </si>
  <si>
    <t xml:space="preserve">Quickstep Holdings Ltd and Zyvax Inc formed a strategic alliance to provide
research and development services of chemical treatment composite formula
globally.</t>
  </si>
  <si>
    <t xml:space="preserve">75223E
98803K</t>
  </si>
  <si>
    <t xml:space="preserve">Organic Spintronics Srl
Undisclosed JV Partner</t>
  </si>
  <si>
    <t xml:space="preserve">Pvd research,dvlp svcs
Investment company</t>
  </si>
  <si>
    <t xml:space="preserve">Organic Spintronics Srl
develops and markets
technologies for the
development of innovative
spintronic memories and logic
elements based on organic
semiconductors and for
improving the efficiency of
OLED displats by spin
polarized injection. It was
founded in 2003 ad
headquartered in Bologna,
Italy.
Investment company</t>
  </si>
  <si>
    <t xml:space="preserve">Italy
Unknown</t>
  </si>
  <si>
    <t xml:space="preserve">ORGANIC SPINTRONICS SRL/UNDISCLOSED JOINT VENTURE PARTNER-JOINT VENTURE</t>
  </si>
  <si>
    <t xml:space="preserve">Organic Spintronics Srl (OS) and an undisclosed partner (UP) planned to
form a joint venture (JV) to provide research and development services for
the automotive sector in Italy. OS was to hold a 51% interest in the JV
while UP was to hold a 49% stake.</t>
  </si>
  <si>
    <t xml:space="preserve">68599P
904JVP</t>
  </si>
  <si>
    <t xml:space="preserve">Renesas Technology Corp
Zentrum Mikroelektronik</t>
  </si>
  <si>
    <t xml:space="preserve">Mnfr,whl semiconductors
Other Electronic Component Manufacturing</t>
  </si>
  <si>
    <t xml:space="preserve">Renesas Technology Corp,
headquartered in Chiyoda-Ku,
Tokyo, manufactures, designs,
and wholesales system LSIs
including microcomputers,
logic and analog devices,
discrete devices and memory
products such as SRAM. It was
founded in April 2003.
Zentrum Mikroelektronik
Dresden AG is a manufacturer
of electronic components. The
company was founded in 1961
and is located in Dresden,
Germany.</t>
  </si>
  <si>
    <t xml:space="preserve">3674
3679</t>
  </si>
  <si>
    <t xml:space="preserve">Hitachi Ltd
Zentrum Mikroelektronik</t>
  </si>
  <si>
    <t xml:space="preserve">3651
3679</t>
  </si>
  <si>
    <t xml:space="preserve">RENESAS TECHNOLOGY CORP/ZENTRUM FUER MIKRO-STRATEGIC ALLIANCE</t>
  </si>
  <si>
    <t xml:space="preserve">Renesas Technology Corp, a joint venture Hitachi Ltd and Mitsubishi
Electric Corp, and Zentrum Mikroelektronik Dresden AG, a unit of
Sachsenring Automobilteknik AG planned to form a strategic alliance to
provide research and development services of chipset for wireless
communications networks globally. The alliance was a strategic opportunity
both for the partners to leverage their electronic wireless services and to
further strengthen their market and product coverage worldwide.</t>
  </si>
  <si>
    <t xml:space="preserve">76002J
98943K</t>
  </si>
  <si>
    <t xml:space="preserve">AVEO Pharmaceuticals Inc
Schering-Plough Corp</t>
  </si>
  <si>
    <t xml:space="preserve">Mnfr,dvlp pharm
Mnfr,whl pharm</t>
  </si>
  <si>
    <t xml:space="preserve">AVEO Pharmaceuticals Inc,
based in Cambridge,
Massachusetts, manufactures
and develops pharmaceuticals,
focused on the discovery and
development of novel cancer
therapeutics. Its main
products are AV-951, AV-412
and AV-299. The company
collaborates with Eli Lilly,
Merck, OSI Pharmaceuticals,
Schering-Plough and Biogen
Idec for its research. The
company was founded in 2001.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</si>
  <si>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AVEO PHARMACEUTICAL INC/SCHERING-PLOUGH CORP-STRATEGIC ALLIANCE</t>
  </si>
  <si>
    <t xml:space="preserve">Aveo Pharmaceuticals Inc (AP) and Schering-Plough Corp (SP) formed a
strategic alliance wherein SP exclusively licensed AP's AV-299 cancer
medicine globally. Under terms of the agreement, the alliance was expected
to develop and commercialize AV-299 as an excellent efficacy in preclinical
models of human cancer. AP's Human Response Prediction (TM) platform was
utilized to guide the clinical development of AV-299. In consideration of
the alliance, AP received an upfront payment of $7.5 mil US and a $10 mil
US equity investment from SP. Upon marketing and commercialization, AP was
expected to receive royalties in net sales. The alliance was subject to
clearance under the hart, Scott, Rodino Antitrust Improvements Act.</t>
  </si>
  <si>
    <t xml:space="preserve">Aveo Pharmaceuticals Inc received an upfront payment of $7.5 mil US from
Schering-Plough Corp.</t>
  </si>
  <si>
    <t xml:space="preserve">06145Y
806605</t>
  </si>
  <si>
    <t xml:space="preserve">Northrop Grumman Corp
US Joint Forces Command</t>
  </si>
  <si>
    <t xml:space="preserve">Manufactures aircraft,aerospace equip
National agency</t>
  </si>
  <si>
    <t xml:space="preserve">Northrop Grumman Corp,
headquartered in Falls
Church, Virginia,
manufactures aircraft,
airframe assemblies,
communication and electronic
systems, advanced weaponry
and space equipment. It also
provides services and
solutions in defense and
commercial electronics to
government and commercial
customers worldwide. Its
business units include
Information and Services,
under which are mission
systems, information
technology, and technical
services; Aerospace, holds
integrated systems and space
technology segments; and
Electronics and Ships
segments. The Company was
founded in 1939.
National agency</t>
  </si>
  <si>
    <t xml:space="preserve">3812
999B</t>
  </si>
  <si>
    <t xml:space="preserve">VA
VA</t>
  </si>
  <si>
    <t xml:space="preserve">Northrop Grumman Corp
United States of America</t>
  </si>
  <si>
    <t xml:space="preserve">3812
999A</t>
  </si>
  <si>
    <t xml:space="preserve">NORTHROP GRUMMAN CORP/US JOINT FORCES COMMAND-STRATEGIC ALLIANCE</t>
  </si>
  <si>
    <t xml:space="preserve">Northrop Grumman Corp and state-owned US Joint Forces Command, formed a
3-year strategic alliance to provide military forces research and
development services in the United States. The alliance was expected to
improve how military forces conduct intelligence, surveillance and
reconnaissance (ISR) missions. The alliance was also expected to identify
ways to shorten the military commander's cycle of tasking sensors to
collect intelligence, analyzing the information and disseminating it to
warfighters.</t>
  </si>
  <si>
    <t xml:space="preserve">666807
90410N</t>
  </si>
  <si>
    <t xml:space="preserve">NeoGenomics Inc
Power3 Medical Products Inc</t>
  </si>
  <si>
    <t xml:space="preserve">Pvd genetic research svcs
Biotechnology company</t>
  </si>
  <si>
    <t xml:space="preserve">NeoGenomics Inc, located in
Fort Myers, Florida,
provides genetic research
services devoted to the
early diagnosis of women's
diseases, such as ovarian
cancer and diseases in
prenatal infants.
Power3 Medical Products Inc,
based in The Woodlands, Texas,
is a biotechnology company
engaged in the early
detection, monitoring and
targeting of diseases through
the analysis of proteins. Its
products include BC-SeraPro, a
proteomic blood serum test for
the early detection of breast
cancer and NuroPro, a serum
test for the detection of
neurodegenerative diseases.
The company was founded in
1992.</t>
  </si>
  <si>
    <t xml:space="preserve">FL
TX</t>
  </si>
  <si>
    <t xml:space="preserve">Tampa Bay Financial Inc
Power3 Medical Products Inc</t>
  </si>
  <si>
    <t xml:space="preserve">NEOGENOMICS INC/POWER3 MEDICAL PRODUCTS INC(WAS 868906)-JOINT VENTURE</t>
  </si>
  <si>
    <t xml:space="preserve">NeoGenomics Inc (NI), a unit of Tampa Bay Financial Inc, and Power3 Medical
Products Inc (PM) planned to form a joint venture (JV) to provide research
and development services of blood serum-based diagnostic tests in the
United States. NI was to hold a 60% interest in the JV and the remaining
40% stake was held by PM. The JV's formation was a strategic growth
opportunity both for the partners to leverage their health development
services and to further strengthen their market position in the medical
research industry.</t>
  </si>
  <si>
    <t xml:space="preserve">64049M
73936A</t>
  </si>
  <si>
    <t xml:space="preserve">NanoViricides Inc
Walter Reed Army Inst Research</t>
  </si>
  <si>
    <t xml:space="preserve">Pvd drug development services
Pvd military med research svcs</t>
  </si>
  <si>
    <t xml:space="preserve">NanoViricides Inc, located in
West Haven, Connecticut,
provides
nano-biopharmaceutical
research and development
services aimed at discovering,
developing and commercializing
therapeutics for patients
suffering from viral diseases.
The company was founded in
2000.
Walter Reed Army Institute of
Research (WRAIR), located in
Silver Spring, MAryland,
provides military medical
research services.</t>
  </si>
  <si>
    <t xml:space="preserve">CT
MD</t>
  </si>
  <si>
    <t xml:space="preserve">NanoViricides Inc
United States of America</t>
  </si>
  <si>
    <t xml:space="preserve">NANOVIRICIDES INC/WALTER REED ARMY INSTITUTE OF RESEARCH- STRATEGIC
ALLIANCE</t>
  </si>
  <si>
    <t xml:space="preserve">NanoViricides Inc (NV) and Walter Reed Army Institute of Research, a unit
of the US Department of Defense, formed a strategic alliance to provide
research and development services in the United States. The alliance was
focused on creating new treatments for dengue fever using NV's
virus-killing nanomediicine technology.</t>
  </si>
  <si>
    <t xml:space="preserve">630087
75826Q</t>
  </si>
  <si>
    <t xml:space="preserve">YouGov PLC
Carole Stone</t>
  </si>
  <si>
    <t xml:space="preserve">Marketing Research and Public Opinion Polling
Individual</t>
  </si>
  <si>
    <t xml:space="preserve">YouGov PLC provides market
research services. The
Company conducts online
research using proprietary
software to produce market
research, political and
media opinion polling and
stakeholder consultation.
The Company was founded in
May 2000 and is located in
London, the United Kingdom.
Individual who is a British
author and freelance radio and
television broadcaster for the
BBC network</t>
  </si>
  <si>
    <t xml:space="preserve">8732
6799</t>
  </si>
  <si>
    <t xml:space="preserve">YOUGOV PLC/CAROLE STONE-YOUGOVSTONE JOINT VENTURE</t>
  </si>
  <si>
    <t xml:space="preserve">Provide online opinion
research and specialist
opinion former panels services</t>
  </si>
  <si>
    <t xml:space="preserve">YouGov PLC (YG) and Carole Stone (CS) formed a joint venture named
YouGovStone (YS) to provide online opinion research and specialist opinion
former panels services in the United Kingdom. YG held a 51% interest in YS
while CS held a 49% stake.</t>
  </si>
  <si>
    <t xml:space="preserve">98736J</t>
  </si>
  <si>
    <t xml:space="preserve">98747Z
14377V</t>
  </si>
  <si>
    <t xml:space="preserve">Thermal Energy International
SCUT</t>
  </si>
  <si>
    <t xml:space="preserve">Pvd energy research svcs
Own,op college,university</t>
  </si>
  <si>
    <t xml:space="preserve">Thermal Energy International
Inc, located in Ottawa,
Ontario, provides thermal
energy research services.
South China University of
Technology{SCUT},is a college
and university.</t>
  </si>
  <si>
    <t xml:space="preserve">8732
8221</t>
  </si>
  <si>
    <t xml:space="preserve">THERMAL ENERGY INTERNATIONAL/SOUTH CHINA UNIVERSITY OF TECHNOLOGY-
STRATEGIC ALLIANCE</t>
  </si>
  <si>
    <t xml:space="preserve">Thermal Energy International Inc and South China University of Technology
formed a strategic alliance to provide research and development services of
industrial application for thermal energy globally. The alliance was a
strategic investment opportunity both for the partners to leverage their
thermal energy services and to further expand their market and product
coverage worldwide.</t>
  </si>
  <si>
    <t xml:space="preserve">88346B
83741C</t>
  </si>
  <si>
    <t xml:space="preserve">NT-MTD AG
Miskolc Holding Zrt</t>
  </si>
  <si>
    <t xml:space="preserve">Mnfr scanning-probe microscope
Investment holding company</t>
  </si>
  <si>
    <t xml:space="preserve">Manufacture scanning-probe
microscope
Investment holding company</t>
  </si>
  <si>
    <t xml:space="preserve">3821
6799</t>
  </si>
  <si>
    <t xml:space="preserve">Russian Fed
Hungary</t>
  </si>
  <si>
    <t xml:space="preserve">NT-MDT/MISKOLC-STRATEGIC ALLIANCE</t>
  </si>
  <si>
    <t xml:space="preserve">Hungary</t>
  </si>
  <si>
    <t xml:space="preserve">Miskolc Holding Zrt and NT-MTD AG planned to form a strategic alliance to
provide research and development services of nanotechnology in medicine and
meteorology industry in Hungary.</t>
  </si>
  <si>
    <t xml:space="preserve">12377M
60487C</t>
  </si>
  <si>
    <t xml:space="preserve">DelSite Biotechnologies Inc
Nastech Pharmaceutical Co Inc</t>
  </si>
  <si>
    <t xml:space="preserve">Biotech co
Mnfr,whl pharm prod</t>
  </si>
  <si>
    <t xml:space="preserve">Biotechnology company that
provides pharmaceutical and
biotechnology industries with
novel delivery solutions for
new and existing proteins and
peptides
Nastech Pharmaceutical Co Inc,
located in Bothell,
Washington, manufactures and
wholesales nasally
administered forms of
prescription and
over-the-counter
pharmaceuticals. The company
was founded in 1983.</t>
  </si>
  <si>
    <t xml:space="preserve">TX
WA</t>
  </si>
  <si>
    <t xml:space="preserve">Carrington Laboratories Inc
Nastech Pharmaceutical Co Inc</t>
  </si>
  <si>
    <t xml:space="preserve">DELSITE TECHNOLOGIES INC/NASTECH PHARMACEUTICAL CO INC-STRATEGIC ALLIANCE</t>
  </si>
  <si>
    <t xml:space="preserve">Delsite Technologies Inc, a unit of Carrington Laboratories Inc, and
Nastech Pharmaceutical Co Inc (NP) formed a strategic alliance to provide
GelSite (R) evaluation services for enhancing intranasal delivery of
peptide and protein therapeutics. The alliance was expected to assess
whether the GelSite polymer in combination with NP's tight junction
modulating technology, can increase bioavailability and provide additional
pharmacokinetic profiles that could be useful for future development of
intranasally delivered peptides and proteins.</t>
  </si>
  <si>
    <t xml:space="preserve">24740R
631728</t>
  </si>
  <si>
    <t xml:space="preserve">Roche Holdings AG
Transgene SA</t>
  </si>
  <si>
    <t xml:space="preserve">Manufactures, wholesales pharmaceuticals and medical instruments
Biopharmaceutical company</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</si>
  <si>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Transgene SA, based in
Illkirch-Graffenstaden,
France, is a
biopharmaceutical company
focused on the discovery and
development of gene-based
therapeutic vaccines and
immunotherapy products for
the treatment of cancer and
infectious diseases. Some of
its products include TG4010,
TG4001, RG3484, TG4040, and
TG4023. The company was
founded in 1979.</t>
  </si>
  <si>
    <t xml:space="preserve">Switzerland
France</t>
  </si>
  <si>
    <t xml:space="preserve">Roche Holdings AG
Sanofi-Aventis SA</t>
  </si>
  <si>
    <t xml:space="preserve">ROCHE HOLDING AG/TRANSGENE SA-STRATEGIC ALLIANCE</t>
  </si>
  <si>
    <t xml:space="preserve">Roche Holding AG (RH) and Transgene SA (TS) formed a strategic alliance to
provide therapeutic vaccine development services against Human Papilloma
Virus-mediated diseases. The alliance includes TS' lead therapeutic vaccine
candidate TG 4001  to treat high grade cervical intraepithelial neoplasia.
RH was expected to lead worldwide development and commercialization.</t>
  </si>
  <si>
    <t xml:space="preserve">77119M
89365U</t>
  </si>
  <si>
    <t xml:space="preserve">Given Imaging Ltd
Fujinon Corp</t>
  </si>
  <si>
    <t xml:space="preserve">Mnfr,whl diagnostic prod
Mnfr,whl optical lenses</t>
  </si>
  <si>
    <t xml:space="preserve">Given Imaging Ltd, located in
Yoqneam, Israel, with
operating subsidiaries in the
United States, Germany,
France, Japan, Australia,
Vietnam, Hong Kong and Brazil.
The company manufactures and
wholesales diagnostic
products, specializing in the
development of
gastrointestinal capsules used
in detecting gastrointestinal
disorders. The company's
principal product is PillCam,
featuring the PillCam video
capsule, a disposable,
miniature video camera
contained in a capsule, which
is ingested by the patient, a
sensor array, data recorder
and RAPID software. The
company has offices in USA and
Germany. The company was
founded in 1998.
Fujinon Corp's main activity
is to manufacture and
wholesale optical lenses for
photographic equipments, TV
and office equipments etc. The
company is headquartered in
Saitama Prefecture and was
founded in 1944.</t>
  </si>
  <si>
    <t xml:space="preserve">2835
3827</t>
  </si>
  <si>
    <t xml:space="preserve">Given Imaging Ltd
Fujifilm Holdings Corp</t>
  </si>
  <si>
    <t xml:space="preserve">2835
3861</t>
  </si>
  <si>
    <t xml:space="preserve">ENDOSCOPIC CAPSULE MAKER/FUJINON CORP-STRATEGIC ALLIANCE</t>
  </si>
  <si>
    <t xml:space="preserve">Fujinon Corp, a unit of Fujifilm Holdings Corp, and Given Imaging Ltd
formed a strategic alliance to provide research and development services of
optical and endoscopic equipment and devices in Japan. The alliance was a
strategic investment opportunity both for the partners to leverage their
optical development services and to further expand their market and product
coverage.</t>
  </si>
  <si>
    <t xml:space="preserve">M52020
36014C</t>
  </si>
  <si>
    <t xml:space="preserve">Chevron Corp
Weyerhaeuser Co</t>
  </si>
  <si>
    <t xml:space="preserve">Petroleum Refineries
Own,operate timberlands</t>
  </si>
  <si>
    <t xml:space="preserve">Chevron Corp, located in San
Ramon, California, is an oil
and gas exploration,
production and refinery
company. It is also a
holding company. It also
wholesales petroleum and
other energy products under
the Chevron, Texaco, Caltex,
Havoline and Delo brands.
The Company also
manufactures commodity
petrochemicals and plastics,
fuel and lubricant oil
additives for industrial
uses. It has operations in
Asia, Australia, Europe,
North and South America and
Africa. The Company was
founded in 1879.
Weyerhaeuser Co, located in
Federal Way, Washington, own
and operate timberlands. It
manufactures logs, lumber,
wood chips, plywood and
veneer particleboard,
strandboard, newsprint,
containerboard, paperboard,
shipping containers, milk
cartons, doors, personal
care products, hydroponic
products, and gypsum
wallboard. The company also
owns and operates pulp mils,
timber tracts, and nurseries
along with providing real
estate and mortgage banking
services. It operates in the
United States, Canada, Japan
and Europe. The Company was
founded in 1900.</t>
  </si>
  <si>
    <t xml:space="preserve">2911
0811</t>
  </si>
  <si>
    <t xml:space="preserve">CA
WA</t>
  </si>
  <si>
    <t xml:space="preserve">CHEVRON CORP(USE&gt;5/9/2005)/WEYERHAEUSER CO-JOINT VENTURE</t>
  </si>
  <si>
    <t xml:space="preserve">Catchlight Energy LLC, located
in California, provides
biofuel research and
development services.</t>
  </si>
  <si>
    <t xml:space="preserve">Chevron Corp and Weyerhaeuser Co formed a joint venture named Catchlight
Energy LLC (CEL) to provide biofuel research and development services in
the United States. CEL was expected to develop a technology that can
transform wood fiber and other nonfood sources of cellulose into
economical, clean-burning biofuels for cars and trucks.</t>
  </si>
  <si>
    <t xml:space="preserve">14921T</t>
  </si>
  <si>
    <t xml:space="preserve">166764
962166</t>
  </si>
  <si>
    <t xml:space="preserve">Soligie Inc
Thin Film Electronics ASA</t>
  </si>
  <si>
    <t xml:space="preserve">Mfr printed electronic prod
Pvd tech research,dvlp svcs</t>
  </si>
  <si>
    <t xml:space="preserve">Soligie Inc, located in
Savage, Minnesota,
manufactures printed
electronic products. It offers
sensor systems, medical
wearables, LED lighting,
specialized RFID labels, and
other devices. It was founded
in 2005.
Thin Film Electronics ASA
provides research and
development services focused
on new technology in
electronics based on the use
of solution processable,
smart materials. The company
works mainly in the field of
printed electronics. It uses
the physical, chemical and
electrical properties of
advanced polymers to add new
functionality to printed
products like boxes or
magazines. The company also
offers covert and overt
anti-counterfeit protection.
Its polymer memory
technology can be used in
any printed electronics
application where a memory
is needed, particularly
where a non volatile random
access memory is preferred
like in storing information
on the package that later
can be displayed to the
customer. The company
operates through its
subsidiary Thin Film
Electronics AB. Registered
in Oslo, Norway, it has its
headquarters and main
facilities in Linkoping,
Sweden.</t>
  </si>
  <si>
    <t xml:space="preserve">SOLIGIE INC/THIN FILM ELECTRONICS-STRATEGIC ALLIANCE</t>
  </si>
  <si>
    <t xml:space="preserve">Soligie Inc (SI) and Thin Film Electronics ASA (TF) formed a strategic
alliance wherein SI licensed TF to utilize its technology to develop
processes for producing printed memory  in commercial volumes. The alliance
was expected to open exciting new opportunities for the printed electronics
industry by enabling a programmable memory feature into products such as
smart labels, smart packing, game cards, smart cards toys and RFID tags.</t>
  </si>
  <si>
    <t xml:space="preserve">83678M
88407X</t>
  </si>
  <si>
    <t xml:space="preserve">Blanca Pharmaceuticals LLC
SRI International</t>
  </si>
  <si>
    <t xml:space="preserve">Mnfr pharm
Pvd research,dvlp svcs</t>
  </si>
  <si>
    <t xml:space="preserve">Manufacture prescription
pharmaceuticals intended for
final consumption dedicated to
parenteral and oral
carbacephem antibiotics for
the improved treatment of
serious human bacterial
infections
SRI International, located in
Menlo Park, California,
provides research and
development services
conducting client-supported
research and development for
government agencies,
commercial businesses and
nonprofit foundations. It
focuses on communications and
network, computing, drug
discovery &amp; development and
health sciences, economic
development and S&amp;T policy,
education, energy and
environment, engineering
systems, homeland security and
national defense, materials
and structures and robotics.
The company was founded in
1946.</t>
  </si>
  <si>
    <t xml:space="preserve">BLANCA PHARMA/SRI INTERNATIONAL-STRATEGIC ALLIANCE</t>
  </si>
  <si>
    <t xml:space="preserve">Blanca Pharmaceuticals LLC (BP) and SRI International formed a strategic
alliance to provide antibiotics drug development services in the United
States. The alliance was expected to conduct final preclinical studies of
BP's carbacephem antibiotic drug candidates, BP 101 and BP 102.</t>
  </si>
  <si>
    <t xml:space="preserve">09340F
78464L</t>
  </si>
  <si>
    <t xml:space="preserve">Synco Bio Partners BV
Prosensa BV</t>
  </si>
  <si>
    <t xml:space="preserve">Mnfr,dvlp biopharm
Biotech co</t>
  </si>
  <si>
    <t xml:space="preserve">Synco Bio Partners BV,
located in Amsterdam,
Netherlands, manufacture and
develop biopharmaceuticals
such as recombinant proteins
and vaccines, for clinical
testing and for commercial
market. The Company was
founded in 2000.
Biotechnology company focused
on the discovery of nuclein
acid based therapeutics
correcting gene expression
diseases with large unmet
medical needs</t>
  </si>
  <si>
    <t xml:space="preserve">Netherlands
Netherlands</t>
  </si>
  <si>
    <t xml:space="preserve">Synco Bio Partners Luxembourg
Prosensa BV</t>
  </si>
  <si>
    <t xml:space="preserve">Luxembourg
Netherlands</t>
  </si>
  <si>
    <t xml:space="preserve">SYNCO BIO PARTNERS BV/PROSENSA BV-STRATEGIC ALLIANCE</t>
  </si>
  <si>
    <t xml:space="preserve">SynCo Bio Partners BV and Prosensa BV (PB) formed a strategic alliance to
provide Duchenne Muscular Dystrophy (DMD) treatment development services in
Netherlands. The alliance was expected to formulate and fill PB's RNA based
therapeutics. Under terms of the agreement, SC was to formulate and perform
the aseptic fill of an RNA based product for use in human clinical trial.</t>
  </si>
  <si>
    <t xml:space="preserve">87098A
75338F</t>
  </si>
  <si>
    <t xml:space="preserve">Shantha Biotechnics Pvt Ltd
Merieux International SA</t>
  </si>
  <si>
    <t xml:space="preserve">Biotech co
Mnfr pharm;hldg co</t>
  </si>
  <si>
    <t xml:space="preserve">Shantha Biotechnics Pvt Ltd,
located in Hyderabad, is a
biotechnology company. The
company develops generic
biological, novel therapeutic
antibodies, proteins, and
vaccines. It conducts research
in the fields of oncology,
infectious diseases, and
platform technologies. The
company was founded in 1993.
Merieux International SA,
located Marcy L'Etoile,
France, is a pharmaceuticals
manufacturer and a holding
company.</t>
  </si>
  <si>
    <t xml:space="preserve">India
France</t>
  </si>
  <si>
    <t xml:space="preserve">Sanofi-Aventis SA
Sanofi-Aventis SA</t>
  </si>
  <si>
    <t xml:space="preserve">SHANTA BIOTECHNICS(DNU)/MERIEUX ALLIANCE(DNU)- STRATEGIC ALLIANCE</t>
  </si>
  <si>
    <t xml:space="preserve">Merieux International SA (MI), a unit of Sanofi-Aventis SA and Shantha
Biotechnics Pvt Ltd (SB), a unit of MI, formed a strategic alliance to
provide Hepatitis B vaccine research and development services in India The
alliance was expected to set up a research center and was to invest up to
$30-42 mil US (1.3 to 1.8 bil Indian rupees/ 199-276 mil French francs).
The alliance was expected to provide MI a low-cost production base and
enable SB to enter western market and penetrate more into emerging markets.</t>
  </si>
  <si>
    <t xml:space="preserve">The alliance was expected to set up a research center and was to invest up
to $30-42 mil US (1.3 to 1.8 bil Indian rupees/ 199-276 mil French francs)</t>
  </si>
  <si>
    <t xml:space="preserve">81926L
58985C</t>
  </si>
  <si>
    <t xml:space="preserve">Helix Biomedix Inc
DermaVentures LLC</t>
  </si>
  <si>
    <t xml:space="preserve">Biotechnology company
Mnfr,dvl acne treatment prod</t>
  </si>
  <si>
    <t xml:space="preserve">Helix Biomedix Inc, based in
Bothell, Washington, is a
biotechnology company that
develops and commercializes
small proteins known as
bioactive-peptides that have
both pharmaceutical as well as
non-pharmaceutical uses,
including broad-spectrum
topical anti-infectives, wound
healing agents,
anti-wrinkle/anti-aging
additives for skin-care
products and anti-bacterial
adjuvants for oral care. The
company was founded in 1988.
Manufacture and develop PAC
perfect acne treatment product</t>
  </si>
  <si>
    <t xml:space="preserve">WA
PA</t>
  </si>
  <si>
    <t xml:space="preserve">HELIX BIOMEDIX INC/DERMAVENTURES LLC-STRATEGIC ALLIANCE</t>
  </si>
  <si>
    <t xml:space="preserve">United States
Canada
St. Pierre
Supranational</t>
  </si>
  <si>
    <t xml:space="preserve">Washington
Foreign
Foreign
Foreign</t>
  </si>
  <si>
    <t xml:space="preserve">Helix Biomedix Inc (HB) and DermaVentures LLC (DL) formed a 5-year
strategic alliance wherein HB licensed DL to use its proprietary peptides
to develop, sell and market cosmetic and over-the-counter personal care
products in North and Central America. DL was expected to pay royalties to
HB on its sales of products containing HB's proprietary peptides.</t>
  </si>
  <si>
    <t xml:space="preserve">423287
24988J</t>
  </si>
  <si>
    <t xml:space="preserve">Viragen International Inc
Swedish Orphan Intl AB</t>
  </si>
  <si>
    <t xml:space="preserve">Biotech co
Mnfr,dvlp orphan drugs</t>
  </si>
  <si>
    <t xml:space="preserve">Viragen International Inc,
located in Plantation,
Florida, is a biotechnology
company. Its products and
technology portfolio are
Multiferon, VG102 (Anti-CD55
Antibody), and VG106.
Swedish Orphan International
AB, headquartered in
Stockholm, Sweden,
manufactures and develops
drugs and pharmaceutical
products for the treatment of
rare and life-threatening
diseases. The company has a
portfolio of 50 orphan drugs
and niche specialty
pharmaceutical products. Its
product portfolio include
Orfadin, Multiferon, Ammonaps
and Ammonul, Yondelis,
Willfact and Nascobal. The
company has presence in 11
subsidiaries and 6 branch
offices in Europe. It was
founded in 1988.</t>
  </si>
  <si>
    <t xml:space="preserve">Viragen Inc
Swedish Orphan Intl AB</t>
  </si>
  <si>
    <t xml:space="preserve">VIRAGEN INTERNATIONAL INC/SWEDISH ORPHAN INTERNATIONAL AB-STRATEGIC
ALLIANCE</t>
  </si>
  <si>
    <t xml:space="preserve">Viragen International Inc (VI), a unit of Viragen Inc, and Swedish Orphan
International AB (SO) formed a strategic alliance wherein VI licensed SO to
provide post-marketing clinical study services for VI's Multiferon in the
European Union. Under terms of the agreement, VI received approximately $2
mil US (1.5 mil euros) as an upfront license fee and will serve as the sole
manufacturer of the product. The melanoma post-marketing trial will further
evaluate the use of Multiferon for the first-line adjuvant treatment of
high-risk malignant melanoma.</t>
  </si>
  <si>
    <t xml:space="preserve">Viragen International Inc received approximately $2 mil US (1.5 mil euros)
as an upfront license fee and will serve as the sole manufacturer of the
product.</t>
  </si>
  <si>
    <t xml:space="preserve">927637
87031R</t>
  </si>
  <si>
    <t xml:space="preserve">Saxon Oil Co Ltd
Milestone Energy LLC</t>
  </si>
  <si>
    <t xml:space="preserve">Oil,gas exploration,prodn co
Oil and gas exploration,prodn</t>
  </si>
  <si>
    <t xml:space="preserve">Saxon Oil Co Ltd, located in
Dallas, Texas, is an oil and
gas exploration and production
company with prospects in
Texas, Louisiana, and
Oklahoma. The company was
founded in 1987.
Oil and gas exploration and
production</t>
  </si>
  <si>
    <t xml:space="preserve">1311
1311</t>
  </si>
  <si>
    <t xml:space="preserve">TX
KS</t>
  </si>
  <si>
    <t xml:space="preserve">SAXON OIL CO LTD /MILESTONE ENERGY LLC- STRATEGIC ALLIANCE</t>
  </si>
  <si>
    <t xml:space="preserve">Saxon Oil Co Ltd and Milestone Energy LLC formed a strategic alliance to
provide oil and gas consulting services in the United States. The alliance
was expected to include geologic evaluations of potential areas of
interest, research on available acreage and leaseholds, technology
assessments and feasibility studies of surface equipment as well as field
and pipeline infrastructures. SO was expected to provide working capital,
financial and operational oversight, reservoir engineering and act as
operator in any development programs.</t>
  </si>
  <si>
    <t xml:space="preserve">Consulting Services
Research &amp; Development Services</t>
  </si>
  <si>
    <t xml:space="preserve">805576
59937N</t>
  </si>
  <si>
    <t xml:space="preserve">BioFocus PLC
AstraZeneca AB</t>
  </si>
  <si>
    <t xml:space="preserve">Biotechnology company
Manufacture pharmaceuticals</t>
  </si>
  <si>
    <t xml:space="preserve">Biotechnology company
AstraZeneca AB, located in
Sodertalje, Sweden,
manufactures prescription
pharmaceuticals intended for
final consumption, including
biotech products and
antibiotics. The company was
founded in 1999.</t>
  </si>
  <si>
    <t xml:space="preserve">United Kingdom
Sweden</t>
  </si>
  <si>
    <t xml:space="preserve">BioFocus PLC
AstraZeneca PLC</t>
  </si>
  <si>
    <t xml:space="preserve">BIOFOCUS PLC /ASTRAZENECA AB - STRATEGIC ALLIANCE</t>
  </si>
  <si>
    <t xml:space="preserve">Biofocus DPI PLC (BD), a unit of Galapagos Genomics NV, and Astrazeneca AB
(AZ) formed a strategic alliance to provide drug discovery and development
services. BD was expected to perform medicinal chemistry, computational
chemistry and supporting biology and ADMET services for an AZ drug
discovery program.</t>
  </si>
  <si>
    <t xml:space="preserve">09040Y
04644K</t>
  </si>
  <si>
    <t xml:space="preserve">NPS Pharmaceuticals Inc
Nycomed A/S</t>
  </si>
  <si>
    <t xml:space="preserve">Biopharm company
Mnfr pharm</t>
  </si>
  <si>
    <t xml:space="preserve">NPS Pharmaceuticals Inc,
headquartered in Bedminster,
New Jersey, is a
biopharmaceutical company that
develops and manufactures
therapeutic small molecules
and recombinant proteins to
treat bone and mineral,
gastrointestinal and central
nervous system disorders. The
company's most advanced drug
candidates are PREOS, for the
treatment of osteoporosis, and
GATTEX, for gastrointestinal
disorders including Short
Bowel Syndrome. It has
locations in Europe and Asia.
The company was founded in
1986.
Manufacture prescription
pharmaceuticals including
product sourcing, late-stage
clinical trials, registration,
pricing and reimbursement
negotiation and product
life-cycle management</t>
  </si>
  <si>
    <t xml:space="preserve">NPS Pharmaceuticals Inc
Nordic Capital Advisory AB</t>
  </si>
  <si>
    <t xml:space="preserve">NPS PHARMACEUTICALS INC/NYCOMED A/S-STRATEGIC ALLIANCE</t>
  </si>
  <si>
    <t xml:space="preserve">NPS Pharmaceuticals Inc (NP) and Nycomed A/S (NA), a unit of Nordic
Capital's Nordic Capital Fund V subsidiary, renegotiated their agreement in
Europe. Under terms of the new agreement, NA was expected to gain the
rights to commercialize Preotact in all ex-US territories, excluding Japan,
for which NP retains commercial rights and Israel which is the subject of a
pre-existing distribution agreement. Originally in April 2004, MP and NA
formed a strategic alliance wherein NP licensed NA to develop and market
investigational osteoporosis drug PREOS (R) in Europe including the
Commonwealth of Independent States (CIS) and Turkey. NA was expected to be
responsible for the European clinical development, registration and
marketing of PREOS.</t>
  </si>
  <si>
    <t xml:space="preserve">62936P
66957H</t>
  </si>
  <si>
    <t xml:space="preserve">Agilent Technologies Inc
Gene Logic Inc</t>
  </si>
  <si>
    <t xml:space="preserve">Manufactures life sciences, diagnostics, applied chemical products
Pvd drug repositioning svcs</t>
  </si>
  <si>
    <t xml:space="preserve">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
Gene Logic Inc is a provider
of drug repositioning services
headquartered in Gaithersburg,
Maryland. The company develops
and commercializes proprietary
genomic and toxicogenomic
databases, toxicogenomic
services, software tools and
other services. These services
are organized into two
segments: genomics division
and preclinical division.
Genomics division includes
proprietary gene expression
and toxicogenomics databases,
toxicogenomics services,
software tools, microarray
data generation and analysis
services which assist
researchers in identifying and
characterizing drug targets
and biomarkers and can help
predict potential human
toxicity of drug candidates.
Drug repositioning platform
provides an efficient and cost
effective approach for
systematically uncovering a
drug candidates biological
activity and identifying
possible new indications for
drug candidates for which
development has otherwise been
discontinued. The customers of
the group include
pharmaceutical and
biotechnology companies and US
government agencies.</t>
  </si>
  <si>
    <t xml:space="preserve">3826
8731</t>
  </si>
  <si>
    <t xml:space="preserve">CA
MD</t>
  </si>
  <si>
    <t xml:space="preserve">AGILENT TECHNOLOGIES INC/GENE LOGIC INC- STRATEGIC ALLIANCE</t>
  </si>
  <si>
    <t xml:space="preserve">Agilent Technologies Inc (AT) and Gene Logic Inc (GL) formed a strategic
alliance to provide systems-based biopharmaceutical research and discovery
tools services for pharmaceutical and biotech companies in the United
States. GL offers an extensive biorepository of tissue samples with
detailed clinical histories, reference databases, and expertise in
generating high-quality genomics data for the pharmaceutical and
biotechnology industries. AT contributes its diverse, application-based
microarray workflow solutions, including the GeneSpring bioinformatics
system for complex data analysis. This relationship is also intended to
take advantage of both companies' channels into academic and commercial
life science sectors.</t>
  </si>
  <si>
    <t xml:space="preserve">00846U
368689</t>
  </si>
  <si>
    <t xml:space="preserve">Rosetta Genomics Ltd
New York University Med Center</t>
  </si>
  <si>
    <t xml:space="preserve">Mnfr,whl medical tests,prods
Own,op med school</t>
  </si>
  <si>
    <t xml:space="preserve">Rosetta Genomics Ltd is a
biotechnology company focused
on diagnostic and therapeutic
product development and
medical research involving
micro-ribonucleic acid,
commonly known as microRNA
focusing primarily on cancer
and various women's health
indications. The Company was
founded in March 2000 and is
located in Rehovot, Israel.
Own and operate medical school</t>
  </si>
  <si>
    <t xml:space="preserve">ROSETTA GENOMICS LTD/NYU MEDICAL CENTER INC-STRATEGIC ALLIANCE</t>
  </si>
  <si>
    <t xml:space="preserve">Rosetta Genomics Ltd (RG) and New York University Medical Center formed a
strategic alliance to provide lung and mesothelioma early detection
development services. The alliance was expected to detect cancer at an
early stage using a simple blood draw and was expected to target 45 mil
Americans who were at an increased risk of lung cancer due to smoking, as
well those exposed to asbestos fibers. The test was expected to utilize
RG's protocol to extract microRNAs from a simple blood draw.</t>
  </si>
  <si>
    <t xml:space="preserve">M82183
65011A</t>
  </si>
  <si>
    <t xml:space="preserve">Cepheid Inc
Instrumentation Laboratory Inc</t>
  </si>
  <si>
    <t xml:space="preserve">Mnfr bio testing equip
Mnfr diagnostic equip</t>
  </si>
  <si>
    <t xml:space="preserve">Cepheid Inc, located in
Sunnyvale, California,
manufactures and markets micro
fluidic systems that
integrate, automate, and
accelerate biological testing
as well as fully-integrated
systems that perform genetic
analysis, including DNA and
RNA analysis. The Company was
founded in 1996.
Instrumentation Laboratory Inc
is a manufacturer of medical
instruments. The Company was
founded in 1959 and is located
in Lexington, Massachusetts.</t>
  </si>
  <si>
    <t xml:space="preserve">Cepheid Inc
CH Werfen SA</t>
  </si>
  <si>
    <t xml:space="preserve">CEPHEID INC /INSTRUMENTATION LABORATORY INC- STRATEGIC ALLIANCE</t>
  </si>
  <si>
    <t xml:space="preserve">Cepheid Inc (CI) and Instrumentation Laboratory Inc (IL), a unit of CH
Werfen SA, formed a strategic alliance to provide molecular diagnostic
tests development services in Hemostasis in the United States. CI was
expected to develop a line of tests for hemostasis applications to be used
on its GeneXpert (R) System and IL was expected to market these tests as a
key complement to its panel of automated hemostasis diagnostic assays.</t>
  </si>
  <si>
    <t xml:space="preserve">15670R
457807</t>
  </si>
  <si>
    <t xml:space="preserve">Sony Corp
Chinese Academy of Sciences</t>
  </si>
  <si>
    <t xml:space="preserve">Mnfr,whl teleision,audio prod
Pvd scientific research svcs</t>
  </si>
  <si>
    <t xml:space="preserve">Sony Corp, headquartered in
Tokyo, Japan, is primarily
focused on the electronics,
game, entertainment and
financial services sectors.
The company operates in
seven business segments. The
consumer products service
(CPS) segment manufactures
and sells liquid crystal
display (LCD) televisions,
cameras, audio and video
equipment, personal
computers (PCs) and personal
navigation systems, as well
as game consoles and
software. Professional
device solution (PDS)
segment provides audio,
videos and monitors for
broadcast and commercial
use, image sensors and other
semiconductors, optical
pickups, batteries, data
recording media and systems.
Movie segment produces movie
software. The music segment
provides music software and
animation works. Finance
segment provides life and
non-life insurance, banking
services and credit finance
services. Sony mobile
segment provides mobile
phones. Others segment
provides blue-ray disks,
network services and
advertising agency services,
among others. It was
founded, May 07, 1946.
Chinese Academy of Sciences
is a provider of research
and development services.
The Company was founded in
November 1949 and is located
in Beijing, China.</t>
  </si>
  <si>
    <t xml:space="preserve">3651
8731</t>
  </si>
  <si>
    <t xml:space="preserve">Sony Corp
Peoples Republic of China</t>
  </si>
  <si>
    <t xml:space="preserve">3651
999A</t>
  </si>
  <si>
    <t xml:space="preserve">SONY CORP/CHINESE ACADEMY OF SCIENCES-STRATEGIC ALLIANCE</t>
  </si>
  <si>
    <t xml:space="preserve">Sony Corp and Chinese state-owned Chinese Academy of Sciences formed a
strategic alliance to provide research and development services of solar
cell materials and equipments in China. The alliance was a strategic
investment opportunity both for the partners to leverage their solar cell
development services and to further expand their market and product
coverage in the region.</t>
  </si>
  <si>
    <t xml:space="preserve">835699
16890H</t>
  </si>
  <si>
    <t xml:space="preserve">Aurigene Discovery Tech Ltd
Orion Oyj</t>
  </si>
  <si>
    <t xml:space="preserve">Pvd drug discovery svcs
Mnfr,whl pharm</t>
  </si>
  <si>
    <t xml:space="preserve">Aurigene Discovery
Technologies Ltd, located in
Bangalore, India, is a
partnership-focused
collaborative discovery
company that partners with
pharmaceutical and biotech
companies for drug discovery
activities.
Orion Oyj, located in Espoo,
Finland, manufactures and
wholesales pharmaceutical
products focusing on
proprietary and specialty
products, animal health,
fermion and other biological
disorders concerning central
nervous system,
cardiovascular, urinal and
hormonal diseases. The
Company also provides
medical research services.</t>
  </si>
  <si>
    <t xml:space="preserve">8731
2835</t>
  </si>
  <si>
    <t xml:space="preserve">India
Finland</t>
  </si>
  <si>
    <t xml:space="preserve">Dr Reddy's Laboratories Ltd
Orion Oyj</t>
  </si>
  <si>
    <t xml:space="preserve">AURIGENE DISCOVERY TECHNOLOGIES LTD/ORION OYJ-STRATEGIC ALLIANCE</t>
  </si>
  <si>
    <t xml:space="preserve">Aurigene Discovery Technologies Ltd, a unit of Dr Reddys Laboratories Ltd,
and Orion Corp formed a strategic alliance to provide research and
development services for first in class drugs for cancer treatment.</t>
  </si>
  <si>
    <t xml:space="preserve">05193K
68647L</t>
  </si>
  <si>
    <t xml:space="preserve">Cytos Biotechnology AG
Novartis AG</t>
  </si>
  <si>
    <t xml:space="preserve">Mnfr biopharmaceutic products
Pharmaceutical Preparation Manufacturing</t>
  </si>
  <si>
    <t xml:space="preserve">Cytos Biotechnology AG,
located in Schlieren,
Switzerland, manufactures
biopharmaceutical products.
Its products include
Immunodrugs, which are
therapeutic vaccines
intended for treating and
preventing common chronic
diseases, such as
hypertension, nicotine
addiction, allergic
diseases, asthma, malignant
melanoma and Alzheimers
disease. They are designed
to instruct the patients
immune system to produce
desired therapeutic antibody
or T cell responses that
modulate chronic disease
processes. The company was
founded in 1995. founded in
1995.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</si>
  <si>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CYTOS BIOTECHNOLOGY AG/NOVARTIS AG-STRATEGIC ALLIANCE</t>
  </si>
  <si>
    <t xml:space="preserve">Cytos Biotechnology AG (CB) and Novartis AG (NA) formed a strategic
alliacns wherein CB licensed NA to utilze its CYT002-NicQb for the
development, manufacturiing and commercialization of therapeutic vaccine
for treatment of nicotine addiction worldwide. CB was eligible to receive
up to $498 mil US (600 mil Swiss francs) in upfront and potential
development, regulatory approval and sales milestone payments based on
successful development and commercialization of CYT002-NicQb. NA was
expected pay $29 mil US (35 mil francs) as upfront payment. In addition, CB
was expected to receive royalty payments on net sales of products. The
alliance was subjected to Hart-Scott- Rodino Antitrust Improvements act.</t>
  </si>
  <si>
    <t xml:space="preserve">Licensing Services
Manufacturing Services
Research &amp; Development Services
Marketing Services</t>
  </si>
  <si>
    <t xml:space="preserve">Cytos Biotechnology AG was eligible to receive up to $498 mil US (600 mil
Swiss francs) in upfront and potential development, regulatory approval and
sales milestone payments based on successful development and
commercialization of CYT002-NicQb. Novartis AG was expected pay $29 mil US
(35 mil francs) as upfront payment</t>
  </si>
  <si>
    <t xml:space="preserve">23515E
66987V</t>
  </si>
  <si>
    <t xml:space="preserve">Agencourt Bioscience Corp
NuGEN Technologies Inc
Affymetrix Clinical Svcs Lab</t>
  </si>
  <si>
    <t xml:space="preserve">Pvd genomics svcs
Pvd research,dvlp svcs
Pvd clinical trial testing svc</t>
  </si>
  <si>
    <t xml:space="preserve">Provide genomic research and
development services;
manufacture nucleic acid
purification products
NuGEN Technologies Inc is
located in San Carlos,
California. The Company
provides research and
development services on
nucleic acid amplification
and detection technologies.
Affymetrix Clinical Services
Laboratory, located in
California, provides
microarray based molecular
diagnostic patient and
clinical trial testing
services.</t>
  </si>
  <si>
    <t xml:space="preserve">8731
8731
8734</t>
  </si>
  <si>
    <t xml:space="preserve">MA
CA
CA</t>
  </si>
  <si>
    <t xml:space="preserve">Danaher Corp
NuGEN Technologies Inc
Affymetrix Inc</t>
  </si>
  <si>
    <t xml:space="preserve">3823
8731
3826</t>
  </si>
  <si>
    <t xml:space="preserve">AGENCOURT BIOSCIENCE CORP/NUGEN TECHNOLOGIES/AFFYMETRIX CLINICAL
SERVICES-STRATEGIC ALLIANCE</t>
  </si>
  <si>
    <t xml:space="preserve">Agencourt Bioscience Corp, a unit of Beckman Coulter Inc, NuGEN
Technologies Inc and Affymetrix Clinical Services Laboratory, a unit of
Affymetrix Inc, formed a strategic alliance to provide automated clinical
whole blood sample expression profiling services on GeneChip microarray in
the United States. The alliance was expected to help pharmaceutical
companies for their drug discovery and development and for government
agencies for conducting biomarker discovery and cancer research and for
academic centers of excellence and core labs where rapid, high-throughput
applications are critical.</t>
  </si>
  <si>
    <t xml:space="preserve">01010T
66929C
99130M</t>
  </si>
  <si>
    <t xml:space="preserve">Rib-X Pharmaceuticals Inc
Lab of Molecular Biology</t>
  </si>
  <si>
    <t xml:space="preserve">Mnfr antibiotics
Pvd research,dvlp svcs</t>
  </si>
  <si>
    <t xml:space="preserve">Rib-X Pharmaceuticals Inc,
headquartered in New Haven,
Connecticut, manufactures
novel classes of
antibiotics. It also
provides small molecule drug
discovery services. The
company was founded in 2000.
Provide research and
development services</t>
  </si>
  <si>
    <t xml:space="preserve">Rib-X Pharmaceuticals Inc
Medical Research Council</t>
  </si>
  <si>
    <t xml:space="preserve">RIB-X PHARMACEUTICLAS INC/MEDICAL RESEARCH COUNCIL-STRATEGIC ALLIANCE</t>
  </si>
  <si>
    <t xml:space="preserve">Rib-X Pharmaceuticals Inc (RX) and Laboratory of Molecular Biology (LM), a
unit of Medical Research Council, formed a strategic alliance to provide
ribosome and antibiotic structure and function research services. RX and LM
were expected to explore the high resolution crystal structure of the full
70s ribosome recently discovered.</t>
  </si>
  <si>
    <t xml:space="preserve">76296F
50564R</t>
  </si>
  <si>
    <t xml:space="preserve">Senomyx Inc
Solae LLC</t>
  </si>
  <si>
    <t xml:space="preserve">Pvd flavor enhancers dvlp svcs
Produce soy food prod</t>
  </si>
  <si>
    <t xml:space="preserve">Senomyx Inc, located in San
Diego, California, provides
flavor enhancers and taste
modulators research and
development services for the
food and beverage industry.
The Company was founded in
1998.
Solae LLC, headquartered in
St. Louis, Missouri, produces
soy food products including
textured vegetable proteins,
textured and functional soy
concentrates and isolates,
specialty lecithins, and
polymers. The company was
founded in 2003.</t>
  </si>
  <si>
    <t xml:space="preserve">8731
2075</t>
  </si>
  <si>
    <t xml:space="preserve">CA
MO</t>
  </si>
  <si>
    <t xml:space="preserve">Senomyx Inc
DuPont</t>
  </si>
  <si>
    <t xml:space="preserve">8731
2821</t>
  </si>
  <si>
    <t xml:space="preserve">SENOMYX INC/SOLAE CO(DNU)-STRATEGIC ALLIANCE</t>
  </si>
  <si>
    <t xml:space="preserve">Senomyx Inc (SI) and Solae LLC (SL), a joint venture between Du Pont
Protein Technologies, a unit of Ei Du Pont de Nemours &amp; Co, and Bunge Ltd,
formed a strategic alliance to provide novel flavor ingredients discovery
and development services to enhance the taste characteristics of soy
proteins in the United States. SI and SL were expected to discover new
systems that enhance the flavor od soy proteins. SI licensed SL to use its
flavor ingredients in virtually all categories of foods and beverages that
contain added soy protein. SL was expected to fund the development of
flavor systems while SI was entitled to certain milestone and royalty
payments.</t>
  </si>
  <si>
    <t xml:space="preserve">81724Q
83562Y</t>
  </si>
  <si>
    <t xml:space="preserve">Bristol-Myers Squibb Co
Pfizer Inc</t>
  </si>
  <si>
    <t xml:space="preserve">Manufactures pharmaceuticals and medical products
Manufacture,wholesale pharmaceuticals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</si>
  <si>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</si>
  <si>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BRISTOL-MYERS SQUIBB CO(WAS 110097)/PFIZER INC-STRATEGIC ALLIANCE</t>
  </si>
  <si>
    <t xml:space="preserve">Bristol-Myers squibb Co (BM) and Pfizer Inc (PI) formed a strategic
alliance to provide anticoagulant and metabolic compounds development and
commericalization services worldwide. The alliance was expected to develop
and sell apixaban, an anticoagulant discovered by BM being studied for the
prevention and treatment of a broad range of venous and arterial thrombotic
conditions. PI was to pay BM an upfront payment of $250 mil US and was to
fund 60% of all planned development costs effective January 1, 2007 while
BM will fund 40%. BM may also receive additional payments of up to $750 mil
based on development and regulatory milestones. The companies will jointly
develop the clinical and marketing strategy of apixaban, and will shaee
commercialization expenses and profits/losses equally on a global basis.</t>
  </si>
  <si>
    <t xml:space="preserve">Bristol-Myers Squibb Co was expected to receive an upfront payment of $250
mil US and regulatory milestone payments worth $750 mil US from Pfizer
Inc.</t>
  </si>
  <si>
    <t xml:space="preserve">110122
717081</t>
  </si>
  <si>
    <t xml:space="preserve">Guardian Technologies Intl Inc
Confirma Inc</t>
  </si>
  <si>
    <t xml:space="preserve">Dvlp threat sec software
Mnfr,whl CAD sys</t>
  </si>
  <si>
    <t xml:space="preserve">Guardian Technologies
International Inc, located in
the United States, develops
web-based threat
identification and security
software and manufactures and
develops healthcare imaging
solutions and technology.
Confirma Inc, located in
Bellevue, Washington,
manufactures and wholesales
computer-aided-detection (CAD)
systems for magnetic resonance
imaging. It was founded in
1998.</t>
  </si>
  <si>
    <t xml:space="preserve">7372
3845</t>
  </si>
  <si>
    <t xml:space="preserve">VA
WA</t>
  </si>
  <si>
    <t xml:space="preserve">GUARDIAN TECHNOLOGIES INTERNATIONAL INC/CONFIRMA INC - STRATEGIC ALLIANCE</t>
  </si>
  <si>
    <t xml:space="preserve">Guardian Technologies International Inc and Confirma Inc formed a strategic
alliance to manufacture, develop and market radiology imaging solutions for
new clinical applications in the United States.</t>
  </si>
  <si>
    <t xml:space="preserve">400910
20713M</t>
  </si>
  <si>
    <t xml:space="preserve">Hershey Co
Barry Callebaut AG</t>
  </si>
  <si>
    <t xml:space="preserve">Produces chocolate products
Chocolate and Confectionery Manufacturing From Cacao Beans</t>
  </si>
  <si>
    <t xml:space="preserve">Hershey Co, located in
Hershey, Pennsylvania,
produces chocolate products.
It offers confectionery,
snack, refreshment and
grocery. Its principal
product groups include:
confectionery and snack bar
goods, bagged items and
boxed items; refreshment
products sold in the form of
gum and mints; and grocery
products in the form of
baking ingredients,
chocolate drink mixes,
peanut butter, dessert
toppings and beverages. The
Company was founded in 1894.
Barry Callebaut AG, located
in Zurich, Switzerland,
produces and wholesales
chocolate. Its products
include cocoa products such
as biscuit, confectionary
beverages, ice cream and
dairy products to hotels,
restaurants, bakeries,
cafes, canteens and vending
machine operators. It has
operations in 26 countries
and has production sites in
Europe, Africa, North and
Latin America, and Asia
Pacific. The Company was
founded in 1996.
Switzerland.</t>
  </si>
  <si>
    <t xml:space="preserve">2066
2066</t>
  </si>
  <si>
    <t xml:space="preserve">Hershey Co
Jacobs Foundation</t>
  </si>
  <si>
    <t xml:space="preserve">2066
6799</t>
  </si>
  <si>
    <t xml:space="preserve">HERSHEY CO/BARRY CALLEBAUT AG-STRATEGIC ALLIANCE</t>
  </si>
  <si>
    <t xml:space="preserve">Hershey Co (HC) and Barry Callebaut AG (BC), Jacobs Holding AG, formed a
strategic alliance to provide research and development services on new
chocolate taste experiences, premium chocolate, health and wellness,
ingredient research and optimization. Under terms of the agreement, BC was
expected to construct and operate a facility to provide chocolate for HC's
new plant in Mexico and lease a portion of HC's Illinois plant and operate
chocolate-making equipment at the facility. The alliance also included a
long-term global agreement wherein BC was expected to supply HC with a
minimum of 80,000 tons per year of chocolate and finished products.</t>
  </si>
  <si>
    <t xml:space="preserve">427866
06880A</t>
  </si>
  <si>
    <t xml:space="preserve">Hitachi High-Tech Instruments
National Cancer Center</t>
  </si>
  <si>
    <t xml:space="preserve">Mnfr electn part mounter sys
Cancer hospital</t>
  </si>
  <si>
    <t xml:space="preserve">Hitachi High-Tech Instruments
Co Ltd, based in Saitama,
Japan, manufactures surface
mount systems (modular
mounters, chip mounters,
multi-functional mounters,
solder printers, glue
dispensers) and semiconductor
related machines (Die Bonders,
Chip Sorters, Tape and Reel
Machines, Plasma cleaning
systems). The company was
founded in 1994.
Cancer hospital</t>
  </si>
  <si>
    <t xml:space="preserve">3674
8069</t>
  </si>
  <si>
    <t xml:space="preserve">Japan
Singapore</t>
  </si>
  <si>
    <t xml:space="preserve">Hitachi Ltd
National Cancer Center</t>
  </si>
  <si>
    <t xml:space="preserve">3651
8069</t>
  </si>
  <si>
    <t xml:space="preserve">HITACHI HIGH TECH INSTRUMENTS/NATIONAL CANCER CENTER - STRATEGIC ALLIANCE</t>
  </si>
  <si>
    <t xml:space="preserve">Hitachi High-Technologies Corp, a unit of Hitachi Ltd, and National Cancer
Center formed a strategic alliance to provide blood diagnosis method
development based on proteome analysis in Japan. The alliance was expected
to accelerate the discovery of new biomarkers and their practical
application to clinical testing.</t>
  </si>
  <si>
    <t xml:space="preserve">43343L
63305Z</t>
  </si>
  <si>
    <t xml:space="preserve">Intensive Air Systems Ltd
Undisclosed JV Partner</t>
  </si>
  <si>
    <t xml:space="preserve">Mnfr pollution control equip
Investment company</t>
  </si>
  <si>
    <t xml:space="preserve">Intensive Air Systems Ltd,
located in Medak, India,
specializes in industrial
ventilation, lighting,
automotive air and cooling
systems, heaters &amp; convection.
Investment company</t>
  </si>
  <si>
    <t xml:space="preserve">3564
6799</t>
  </si>
  <si>
    <t xml:space="preserve">India
Unknown</t>
  </si>
  <si>
    <t xml:space="preserve">INTELGENX TECHNOLOGIES CORP /UNDISCLOSED JOINT VENTURE PARTNER - STRATEGIC
ALLIANCE</t>
  </si>
  <si>
    <t xml:space="preserve">IntelGenx Technologies Corp and an undisclosed partner formed a strategic
alliance to to provide pharmaceutical development services of generic
products.</t>
  </si>
  <si>
    <t xml:space="preserve">44773Q
904JVP</t>
  </si>
  <si>
    <t xml:space="preserve">Hansen Medical Inc
St Jude Medical Inc</t>
  </si>
  <si>
    <t xml:space="preserve">Mnfr med robotics
Mnfr,wholesale medical devices</t>
  </si>
  <si>
    <t xml:space="preserve">Hansen Medical Inc,
headquartered in Mountain
View, California, develops
medical robotics designed for
accurate positioning,
manipulation and stable
control of catheters and
catheter-based technologies.
Its Sensei Robotic Catheter
System and Artisan Control
Catheter is designed to allow
physicians to instinctively
navigate flexible catheters
with greater stability and
control in interventional
procedures. The company was
founded in 2002.
St Jude Medical Inc, located
in St Paul, Minnesota,
manufactures and wholesales
medical devices. It operates
in four segments: Cardiac
Rhythm Management,
Cardiovascular, Atrial
Fibrillation and Advanced
Neuromodulation Systems. Its
products include tachycardia
implantable cardioverter
defibrillator systems, cardiac
resynchronization therapy
devices, pacemakers, vascular
closure devices, patent
foramen oval closure devices,
embolic protection systems,
wire control catheters,
rechargeable implantable pulse
generators and conventional
implantable pulse generators.
The Company was founded in
1976.</t>
  </si>
  <si>
    <t xml:space="preserve">CA
MN</t>
  </si>
  <si>
    <t xml:space="preserve">HANSEN MEDICAL INC /ST JUDE MEDICAL INC- STRATEGIC ALLIANCE</t>
  </si>
  <si>
    <t xml:space="preserve">Hansen Medical Inc and St Jude Medical Inc formed a strategic alliance to
provide medical targeting electrophysiology procedures development and
marketing services in the United States. The alliance was expected to
integrate HM's Sensei (TM) Robotic Catheter System and Artisan (TM) Control
Catheter with SJ's EnSite (TM) system.</t>
  </si>
  <si>
    <t xml:space="preserve">411307
790849</t>
  </si>
  <si>
    <t xml:space="preserve">Wellcome Trust Ltd
GlaxoSmithKline PLC</t>
  </si>
  <si>
    <t xml:space="preserve">Provide charitable foundation services
Pharmaceutical Preparation Manufacturing</t>
  </si>
  <si>
    <t xml:space="preserve">Wellcome Trust Ltd, located in
London, the United Kingdom,
provides charitable trust
foundation services
specialized in offering
biomedical research funding
services. The Company was
founded in 1936.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</si>
  <si>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8733
2834</t>
  </si>
  <si>
    <t xml:space="preserve">WELLCOME TRUST LTD/GLAXOSMITHKLINE PLC-STRATEGIC ALLIANCE</t>
  </si>
  <si>
    <t xml:space="preserve">Wellcome Trust Ltd and GlaxoSmithKline PLC formed a strategic alliance to
provide research and development services of antibacterials for the
treatments of drug-resistant hospital infections in the United Kingdom. The
alliance was a strategic investment opportunity both for the partners to
leverage their medical development services and to further expand their
market and product coverage worldwide.</t>
  </si>
  <si>
    <t xml:space="preserve">94947E
37733W</t>
  </si>
  <si>
    <t xml:space="preserve">BioInnova GmbH
Synchron Co Ltd</t>
  </si>
  <si>
    <t xml:space="preserve">Biotechnology company with
specialization in clinical
research, bio-equivalence,
pharmacokinetics,
bio-availability, blood and
urine analysis, statistical
analysis and data management
Biotechnology company</t>
  </si>
  <si>
    <t xml:space="preserve">Austria
Thailand</t>
  </si>
  <si>
    <t xml:space="preserve">BIO INNOVATIONS/SYNCHRON CO-BIO-INNOVA SYNCHRON RESEARCH JOINT VENTURE</t>
  </si>
  <si>
    <t xml:space="preserve">Provide clinical research and
medical development services</t>
  </si>
  <si>
    <t xml:space="preserve">BioInnova GmbH and Synchron Co Ltd formed a joint venture named Bio-Innova
Synchron Research (BS) to provide clinical research and medical development
services in Thailand. BS' formation was a strategic growth opportunity both
for the partners to leverage their healthcare and pharmaceutical products
and services and to further strengthen their market position in Asia. BS
was based and operational in Bangkok.</t>
  </si>
  <si>
    <t xml:space="preserve">08992A</t>
  </si>
  <si>
    <t xml:space="preserve">09155W
87025Z</t>
  </si>
  <si>
    <t xml:space="preserve">Sangamo BioSciences Inc
Genentech Inc</t>
  </si>
  <si>
    <t xml:space="preserve">Biopharmaceutical company
Biotech co</t>
  </si>
  <si>
    <t xml:space="preserve">Sangamo BioSciences Inc,
located in Richmond,
California, is a
biopharmaceutical company
that provides research and
development of novel
DNA-binding proteins for
therapeutic gene regulation
and modification. The
Company's core competencies
enable the engineering of a
class of DNA-binding
proteins, known as zinc
finger DNA-binding proteins
which are being developed
and evaluated for safety and
clinical effects in patients
with diabetic neuropathy and
peripheral artery disease.
Its other therapeutic
development programs focus
on cancer and HIV/AIDS,
neuropathic pain, nerve
regeneration, Parkinson's
disease, and monogenic
diseases. The company was
founded in 1995.
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</si>
  <si>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Sangamo BioSciences Inc
Roche Holdings AG</t>
  </si>
  <si>
    <t xml:space="preserve">SANGAMO BIOSCIENCES INC/GENENTECH INC-STRATEGIC ALLIANCE</t>
  </si>
  <si>
    <t xml:space="preserve">Sangamo Biosciences Inc (SB) and Genentech Inc (GI) renegotiated their
strategic alliance (SA) agreement. Originally in May 2007, SB and GI formed
a strategic alliance wherein SB licensed GI to utilize its proprietary zinc
finger DNA-binding protein (ZFP) technology in the United States. On
February 2008, the partners expanded their agreement to include additional
targets for potential improvement of production cell lines. Terms were not
disclosed.</t>
  </si>
  <si>
    <t xml:space="preserve">800677
368710</t>
  </si>
  <si>
    <t xml:space="preserve">CDT Systems Inc
Air Water Inc</t>
  </si>
  <si>
    <t xml:space="preserve">Provide drilling svcs
Mnfr,whl ind gases</t>
  </si>
  <si>
    <t xml:space="preserve">Provide water well drilling
and water for municipalities
throughout Western United
States
Air Water Inc, headquartered
in Osaka, Japan,
manufactures and wholesales
gases. The industrial
gas-related segment
manufactures and sells
high-pressure gas ,
industrial rubber products
and others. The
electronics-related segment
industrial gas and equipment
for low-profile panel,
semiconductor-related, solar
battery and electronic
component industries. The
chemical-related segment
offers fine chemical
products, ceramic products
medical-related segment
manufactures and sells gas
products for medical use,
health care equipment and
others. The energy-related
segment offers liquefied
petroleum gas (LPG),
consumer products and
others. The others segment
is engaged in the provision
of frosted foods and
processed meat products, the
finance and leasing
business, information
processing, logistics and
other businesses. The
company was founded in 1929.</t>
  </si>
  <si>
    <t xml:space="preserve">4941
2813</t>
  </si>
  <si>
    <t xml:space="preserve">CDT SYSTEMS INC/AIR WATER INC-STRATEGIC ALLIANCE</t>
  </si>
  <si>
    <t xml:space="preserve">Capacitive Deionization Technology Systems Inc (CD) and Air Water Inc (AW)
formed a strategic alliance to provide water technology development
services in Japan.</t>
  </si>
  <si>
    <t xml:space="preserve">Research &amp; Development Services
Water Utility Services</t>
  </si>
  <si>
    <t xml:space="preserve">139161
00958M</t>
  </si>
  <si>
    <t xml:space="preserve">BPM Partners Inc
BARC GmbH</t>
  </si>
  <si>
    <t xml:space="preserve">Pvd consulting services
Pvd consulting services</t>
  </si>
  <si>
    <t xml:space="preserve">Provide consulting services
with an exclusive focus on
business performance
management (BPM) solutions
Provide consulting services in
the field of software for
Business Intelligence,
Document Management, Customer
Relationship Management,
Supply Chain Management and
Project Management</t>
  </si>
  <si>
    <t xml:space="preserve">8748
8748</t>
  </si>
  <si>
    <t xml:space="preserve">BPM PARTNERS/BUSINESS APPLICATION RESEARCH CENTER-STRATEGIC ALLIANCE</t>
  </si>
  <si>
    <t xml:space="preserve">BPM Partners Inc (BP) and Business Application Reseach Center GmbH formed a
strategic alliance to provide objective research services on business
performance managemet (BPM) and Business intelligence (BI) markets. As a
result of the agreement, BP was expected to distribute BA's The OLAP report
research in North America .</t>
  </si>
  <si>
    <t xml:space="preserve">05176J
12353L</t>
  </si>
  <si>
    <t xml:space="preserve">Expression Pathology Inc
ORIDIS Biomed GmbH</t>
  </si>
  <si>
    <t xml:space="preserve">Biotechnology company
pioneering the field of Tissue
Microproteomics developing
products and services for
protein analysis in formalin
fixed paraffin embedded (FFPE)
tissue and tissue
microdissection
Biotechnology company focused
on the commercialization of
TISSOMICS research platform</t>
  </si>
  <si>
    <t xml:space="preserve">EXPRESSION PATHOLOGY INC/ORODIS BIOMED GMBH-STRATEGIC ALLIANCE</t>
  </si>
  <si>
    <t xml:space="preserve">Expression Pathology Inc (EP) and ORIDIS Biomed GmbH (OB) formed a
strategic alliance to provide tissue microproteomic services for protein
biomarker discovery and validation. The alliance combined EP's Liquid
Tissue and DIRECTOR technologies with OB's TISSOMICS research platform for
high-throughput analysis of healthy and diseased patient tissue and its
access to formalin-fixed tissue samples.</t>
  </si>
  <si>
    <t xml:space="preserve">30435A
68661V</t>
  </si>
  <si>
    <t xml:space="preserve">Affitech AS
Roche Holdings AG</t>
  </si>
  <si>
    <t xml:space="preserve">Affitech AS, based in Oslo,
Norway, is a biotechnology
company focused on oncology
and utilizes two technologies
for the discovery of fully
human antibodies: molecule
based antibody discovery and
cell based antibody discovery.
The company was founded in
1997.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</si>
  <si>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AFFITECH AS/HOFFMANN-LA ROCHE(DNU)-STRATEGIC ALLIANCE</t>
  </si>
  <si>
    <t xml:space="preserve">Affitech AS and Roche Holding AG formed a strategic alliance to provide
research and development services of human monoclonal antibodies globally.
The alliance was a strategic opportunity both for the partners to leverage
their medical development services and to further expand their market and
product coverage worldwide. Financial terms were not disclosed.</t>
  </si>
  <si>
    <t xml:space="preserve">00924F
77119M</t>
  </si>
  <si>
    <t xml:space="preserve">Abraxis BioScience Inc
Cenomed Inc</t>
  </si>
  <si>
    <t xml:space="preserve">Biotechnology company
Mnfr pharm</t>
  </si>
  <si>
    <t xml:space="preserve">Abraxis BioScience LLC,
located in Los Angeles,
California, is a biotechnology
company focused on the
discovery, development and
delivery of therapeutics and
core technologies that offer
patients treatments for cancer
and other critical illnesses.
The company's portfolio
includes chemotherapeutic
compound (ABRAXANE), which is
based on the company's
proprietary tumor targeting
technology known as the nab(R)
platform.
Cenomed Inc, located in Lake
Forest, California,
manufactures prescription
pharmaceuticals for the
treatment of nervous system
disorders such as
schizophrenia,
neuroprotection, mild
cognitive impairment and
memory/attention impairments
associated with aging,
attention deficit
hyperactivity disorder, pain
counter-terrorism and
biodefense.</t>
  </si>
  <si>
    <t xml:space="preserve">ABRAXIS BIOSCIENCE INC/CENOMED INC-CENOMED BIOSCIENCES LLC JOINT VENTURE</t>
  </si>
  <si>
    <t xml:space="preserve">Cenomed BioSciences LLC,
located in Lake Forest,
California, manufactures,
research and develops
prescription pharmaceuticals
for the treatment of nervous
system disorders such as
schizophrenia, mild cognitive
impairment and
memory/attention impairments
associated with aging,
attention deficit
hyperactivity disorder, pain
and chemical defense. The
company was founded in May
2007.</t>
  </si>
  <si>
    <t xml:space="preserve">Abraxis BioSciences Inc (AB) and Cenomed Inc (CI) formed a joint venture
named Cenomed BioSciences LLC (CB) to manufacture, research and develop
prescription pharmaceuticals for the treatment of nervous system disorders
such as schizophrenia, mild cognitive impairment and memory/attention
impairments associated with aging, attention deficit hyperactivity
disorder, pain and chemical defense in the United States. Under terms of
the agreement, all the assets of CI were transferred into CB. AB was
expected to make upfront payment and help fund the further development of
drugs. Additional financial terms of the agreement were not disclosed.</t>
  </si>
  <si>
    <t xml:space="preserve">15178V</t>
  </si>
  <si>
    <t xml:space="preserve">00383E
15178W</t>
  </si>
  <si>
    <t xml:space="preserve">Axela Biosensors Inc
BioCheck Inc</t>
  </si>
  <si>
    <t xml:space="preserve">Mnfr,develop lab instr
Mnfr,whl immunoassay test kits</t>
  </si>
  <si>
    <t xml:space="preserve">Axela Biosensors Inc, located
in Canada, manufactures and
develops assay development and
routine analysis laboratory
instruments that enable
real-time detection of
biomolecular interactive and
immuno assays without the use
of labels; and develops
biosensor software.
Manufacture and wholesale
immunoassay test kits for the
worldwide biomedical,
pharmaceutical and scientific
research markets</t>
  </si>
  <si>
    <t xml:space="preserve">AXELA BIOSENSORS INC/BIOCHECK INC-STRATEGIC ALLIANCE</t>
  </si>
  <si>
    <t xml:space="preserve">Axela Biosensors Inc and Biocheck Inc formed a strategic alliance to
provide biomarker assays development services. An initial set of research
assays were expected to be focused on protein biomarker analysis and
further develop into individual and multiplexed clinical diagnostic panels.
These assays were focused at targets in oncology, cardiology, endocrinology
and womens health.</t>
  </si>
  <si>
    <t xml:space="preserve">05900V
09021Z</t>
  </si>
  <si>
    <t xml:space="preserve">Biosense Webster Inc
Medtronic Inc</t>
  </si>
  <si>
    <t xml:space="preserve">Mfr crafted diagnostic
Manufacture, wholesale medical, surgical devices</t>
  </si>
  <si>
    <t xml:space="preserve">Manufacture crafted diagnostic
and therapeutic catheters;
develop cardiac mapping
software
Medtronic Inc, located in
Minneapolis, Minnesota,
manufactures and wholesales
medical and surgical
devices. Its products
include neurostimulation
systems, drug delivery
systems, neurosurgical
implant devices, surgical
access products, diagnostic
and therapeutic systems for
chronic pain, neurological,
urologic, and
gastrointestinal disorders,
coronary stents, stent
grafts, angioplasty
balloons, guiding catheters,
guide wires and surgical
instruments for treating
ear, nose, throat and eye
disorders and diseases. It
markets its products in 120
nations. The company was
founded in 1949.</t>
  </si>
  <si>
    <t xml:space="preserve">3841
3845</t>
  </si>
  <si>
    <t xml:space="preserve">J&amp;J
Medtronic Inc</t>
  </si>
  <si>
    <t xml:space="preserve">BIOSENSE WEBSTER INC/MEDTRONIC INC-STRATEGIC ALLIANCE</t>
  </si>
  <si>
    <t xml:space="preserve">Biosense Webster Inc, a unit of Cordis Corp, and Medtronic Inc formed a
strategic alliance to provide research and development services of cardiac
mapping and ablation rhythm or irregular heartbeats in the United States.
The alliance was a strategic opportunity both for the partners to leverage
their medical development and electrophysiologists services and to further
expand their market and product coverage in the health industry.</t>
  </si>
  <si>
    <t xml:space="preserve">09112J
585055</t>
  </si>
  <si>
    <t xml:space="preserve">Brookwood Pharmaceuticals Inc
Targeted Technology Ventures</t>
  </si>
  <si>
    <t xml:space="preserve">Mnfr prescription pharm
Biotech co</t>
  </si>
  <si>
    <t xml:space="preserve">Manufacture prescription
pharmaceuticals intended for
final consumption
Biotechnology company focused
on translating important
research innovations into the
medical marketplace</t>
  </si>
  <si>
    <t xml:space="preserve">AL
TX</t>
  </si>
  <si>
    <t xml:space="preserve">Southern Research Institute
Targeted Technology Ventures</t>
  </si>
  <si>
    <t xml:space="preserve">BROOKWOOD PHARMACEUTICALS INC/TARGETED TECHNOLOGY VENTURES LLC-AEON
BIOSCIENCE INC JOINT VENTURE</t>
  </si>
  <si>
    <t xml:space="preserve">Manufacture and develop new
drug-eluting stent to overcome
late stent thrombosis (LST) or
blood clot formation at or
near the site of the stent and
vessel closure due to
formation of scar tissue,
known as restenosis</t>
  </si>
  <si>
    <t xml:space="preserve">Brookwood Pharmaceuticals Inc (BP), a unit of Southern Reseach Institute,
and Targeted Technology Ventures LLC (TT) formed a joint venture named Aeon
Bioscience Inc (AB) to manufacture and develop new drug-eluting stent (DES)
to overcome late stent thrombosis (LST) or blood clot formation at or near
the site of the stent and vessel closure due to formation of scar tissue,
known as restenosis in the United States. AB was also expected to focus on
the development of a more effective polymeric coating in order to improve
the safety profile of DES to improve the quality of life for patient
suffering from cardiovascular disease.</t>
  </si>
  <si>
    <t xml:space="preserve">99130R</t>
  </si>
  <si>
    <t xml:space="preserve">11474V
87027Y</t>
  </si>
  <si>
    <t xml:space="preserve">Entelos Inc
Jubilant Biosys Ltd</t>
  </si>
  <si>
    <t xml:space="preserve">Pvd biosimulation sys svcs
Biotechnology company</t>
  </si>
  <si>
    <t xml:space="preserve">Entelos Inc, located in Foster
City, California, is a
biopharmaceutical company that
develops predictive
biosimulation systems using
its patented PhysioLab
technology. The Company
develops dynamic large-scale
computer models of human
disease wherein each PhysioLab
platform provides a framework
for integrating data (e.g.,
genomic, proteomic,
physiologic, environmental) in
the context of a disease or
therapeutic area. The Company
was founded in 1996.
Jubilant Biosys Ltd, based in
Bangalore, India, provides
drug discovery services that
include pre-clinical, in-vivo
and formulation services such
as proprietary products,
exclusive synthesis, active
pharmaceutical ingredients,
sterile injectables (liquids
and lyophilized) products, and
non-steriles (ointments,
creams and liquids)
pharmaceuticals.. It
specializes in
multi-disciplines including
biology, chemistry, structural
biology, pharmacology,
molecular modeling,
crystallography and
information technology. The
company also develops and
distributes ePathArt,
eMolSign, TAS, Anti Bacterial
Database, Antibody database
and Phosphodiesterase
ChemBiobase web-based
software. It has operations in
USA, Europe and Japan. Founded
in 2001.</t>
  </si>
  <si>
    <t xml:space="preserve">7373
2836</t>
  </si>
  <si>
    <t xml:space="preserve">Entelos Inc
Jubilant Organosys Ltd</t>
  </si>
  <si>
    <t xml:space="preserve">7373
2834</t>
  </si>
  <si>
    <t xml:space="preserve">ENTELOS INC/JUBILANT BIOSYS LTD-STRATEGIC ALLIANCE</t>
  </si>
  <si>
    <t xml:space="preserve">Entelos Inc (EI) and Jubilant BioSys Ltd (JB) formed a strategic alliance
to provide therapeutics development services. EI and JV were expected to
develop, in-license, and further develop a portfolio of compounds, and
offer an integrated spectrum of services such as non-overlapping
capabilities, ranging from predictive biosimulation, modeling, chemistry,
biology and preclinical and clinical testing to drug formulation,
synthesis, manufacturing and supply to expand their respective businesses
with existing and future pharmaceutical and biotechnology partners.</t>
  </si>
  <si>
    <t xml:space="preserve">29362X
48119C</t>
  </si>
  <si>
    <t xml:space="preserve">Bristol-Myers Squibb Co
Isis Pharmaceuticals Inc</t>
  </si>
  <si>
    <t xml:space="preserve">Manufactures pharmaceuticals and medical products
Biopharm co</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</si>
  <si>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</si>
  <si>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BRISTOL MYERS CO/ISIS PHARMACEUTICALS INC-STRATEGIC ALLIANCE</t>
  </si>
  <si>
    <t xml:space="preserve">Bristol-Myers Squibb Co (BM) and Isis Pharmaceuticals Inc (IP) formed a
strategic alliance to provide research, development and marketing services
of antisense drugs targeting proprotein convertase subtilisin kexin 9
(PCSK9) for the prevention and treatment of cardiovascular disease in the
United States. PCSK9 regulates the amount of cholesterol in the
bloodstream. Under terms of the agreement, IP also exclusively licensed BM
to access its PCSK9 research program, whereby BM would fund all the
activities under the agreement, and both BM and IP would be responsible for
preclinical trials. BM would pay IP a $15 mil US upfront licensing fee, and
an estimated $9 mil in research funding for three years. IP would also
receive up to $168 mil for the pre-specified development and regulatory
milestones for the first drug in the collaboration, as well as additional
milestones associated with development of follow-on compounds.</t>
  </si>
  <si>
    <t xml:space="preserve">Research &amp; Development Services
Marketing Services
Licensing Services
Exclusive Licensing Services
Funding Services</t>
  </si>
  <si>
    <t xml:space="preserve">BM would pay IP a $15 mil US upfront licensing fee, and an estimated $9 mil
in research funding for three years. IP would also receive up to $168 mil
for the pre-specified development and regulatory milestones for the first
drug in the collaboration, as well as additional milestones associated with
development of follow-on compounds.</t>
  </si>
  <si>
    <t xml:space="preserve">110122
464330</t>
  </si>
  <si>
    <t xml:space="preserve">Hella KGaA Hueck &amp; Co
Zhejiang Geely Hldg Grp Co</t>
  </si>
  <si>
    <t xml:space="preserve">Mnfr,whl auto lighting equip
Mnf,whlr motor vehicles,parts</t>
  </si>
  <si>
    <t xml:space="preserve">Hella KGaA Hueck &amp; Co,
located in Lippstadt,
Germany, manufactures and
wholesales automobile
lighting equipment and
components. These include
signal processing systems
and integrated front-end
modules. It has 70
manufacturing facilities
worldwide. It was founded in
1899.
Zhejiang Geely Holding Group
Co Ltd is a manufacturer of
automobiles. The Company was
founded in November 1986 and
is located in Hangzhou,
China.</t>
  </si>
  <si>
    <t xml:space="preserve">3647
3711</t>
  </si>
  <si>
    <t xml:space="preserve">HELLA HUECK &amp; CO/GEELY GROUP CO LTD-STRATEGIC ALLIANCE</t>
  </si>
  <si>
    <t xml:space="preserve">Hella KGaA Hueck &amp; Co and Zhejiang Geely Holding Co Ltd signed letter of
intent to form a strategic alliance to provide research and development
services of automotive electronic components globally. The alliance was
expected to produce vehicle modules, air-conditioning systems and
vehicle-electric systems. The alliance was a strategic investment
opportunity both for the partners to leverage their automotive resources,
and to further expand their market coverage.</t>
  </si>
  <si>
    <t xml:space="preserve">42331C
36882R</t>
  </si>
  <si>
    <t xml:space="preserve">Stallergenes SA
CMC Biopharmaceuticals A/S</t>
  </si>
  <si>
    <t xml:space="preserve">Manufacture pharmaceuticals
Pvd contract biomanufacturing</t>
  </si>
  <si>
    <t xml:space="preserve">Stallergenes SA, located in
Antony, France, manufactures
pharmaceuticals. Its products
include vivo prick tests,
vitro tests, subcutaneous
injections, sublingual drops
and therapeutic products for
diagnostic purpose as well as
treatments. It operates in
France, Spain, Portugal,
Italy, Greece and Switzerland.
The company was founded in
1962.
CMC Biopharmaceuticals A/S,
headquartered in Soeborg,
Denmanrk, provides contract
biomanufacturing services.
The company specializes in
custom services for the
scale-up and cGMP
manufacture of protein-based
therapeutics for
pre-clinical, clinical
trials and in-market
production.</t>
  </si>
  <si>
    <t xml:space="preserve">STALLERGENES SA/CMC BIOPHARMACEUTICALS AS-STRATEGIC ALLIANCE</t>
  </si>
  <si>
    <t xml:space="preserve">Stallergenes SA and CMC Biopharmaceuticals A/S formed a strategic alliance
to provide research and development services of recombinant Bet v1 (BV)
purified bulk globally. BV was a protein that embodies most of the
allergenicity of birch  pollen, used for the formualtion or treatment of
respiratory allergic symptoms, rhinitis and/or asthma. The alliance was a
strategic investment opportunity both for the partners to leverage their
medicinal development services and to further expand their market and
product coverage worldwide.</t>
  </si>
  <si>
    <t xml:space="preserve">85258K
13022Y</t>
  </si>
  <si>
    <t xml:space="preserve">United Minerals Corp NL
Norsk Hydro ASA</t>
  </si>
  <si>
    <t xml:space="preserve">Nickel,diamond mining co
Manufactures,wholesales aluminium products</t>
  </si>
  <si>
    <t xml:space="preserve">United Minerals Corp NL,
headquartered in Perth,
Australia, is engaged in
exploring for mineral
tenements particularly diamond
and nickel. It operates in
Western Australia.
Norsk Hydro ASA, located in
Oslo, Norway, manufactures
and wholesales aluminum
products. Aluminum Products
segment includes products
such as foil, strip, sheet
and plate for application in
sectors as packaging and
transport industries. The
Company was founded in 1905.</t>
  </si>
  <si>
    <t xml:space="preserve">1061
3334</t>
  </si>
  <si>
    <t xml:space="preserve">Australia
Norway</t>
  </si>
  <si>
    <t xml:space="preserve">UNITED MINERALS CORP NL(WAS 91075X)/HYDRO ALUMINUM(DNU)-JOINT VENTURE</t>
  </si>
  <si>
    <t xml:space="preserve">United Minerals Corp NL (UM) and Norsk Hydro ASA (NH) planned to form a
joint venture to provide integrated bauxite mine and alumina refinery
development services in Kimberley region of Western Australia.</t>
  </si>
  <si>
    <t xml:space="preserve">Mining Services
Research &amp; Development Services</t>
  </si>
  <si>
    <t xml:space="preserve">25.00
75.00</t>
  </si>
  <si>
    <t xml:space="preserve">91101E
656531</t>
  </si>
  <si>
    <t xml:space="preserve">Spansion Inc
Taiwan Semiconductor Mfg Co</t>
  </si>
  <si>
    <t xml:space="preserve">Mnfr flash memory devices
Mnfr,whl semiconductors</t>
  </si>
  <si>
    <t xml:space="preserve">Spansion Inc, located in
Sunnyvale, California, is a
manufacturer of flash memory
devices used in a wide variety
of electronic devices,
including wireless phones,
networking equipment, and
automotive subsystems. It also
provides hardware development
tools and production
manufacturing support. The
company was founded in 2003.
Taiwan Semiconductor
Manufacturing Co Ltd, located
in Hsinchu, Taiwan,
manufactures and wholesales
semiconductors and integrated
circuits It is also engaged in
the manufacture of masks. The
group operates two advanced
300mm wafer fab, four 8-inch
wafer fab and one 6-inch wafer
fab. Operations are carried
out in Taiwan, North America
and other countries. The group
exports its products to Asia,
Europe and other countries. It
was founded in Feb 1987.</t>
  </si>
  <si>
    <t xml:space="preserve">SPANSION INC/TAIWAN SEMICONDUCTOR-STRATEGIC ALLIANCE</t>
  </si>
  <si>
    <t xml:space="preserve">Spansion Inc and Taiwan Semiconductor Manufacturing Co Ltd formed a
strategic alliance to provide research and development services of
variations of Microbit technology at 40 nm and below globally. The alliance
was a strategic investment opportunity both for the partners to leverage
their flash memory development services and to further expand their market
and product coverage worldwide.</t>
  </si>
  <si>
    <t xml:space="preserve">84649R
874039</t>
  </si>
  <si>
    <t xml:space="preserve">FedEx Express Corp
Azure Dynamics Corp</t>
  </si>
  <si>
    <t xml:space="preserve">Provides logistics services
Mnfr automobile hybrid systems</t>
  </si>
  <si>
    <t xml:space="preserve">FedEx Express Corp, located
in Memphis, Tennessee,
provides logistics services.
Azure Dynamics Corp is an
automobile hybrid system
manufacturer, headquartered in
Detroit, Michigan, US. It is
engaged in the development and
production of hybrid electric
and electric component and
powertrain systems for
commercial vehicles. It also
has offices in Boston,
Toronto, Vancouver, and
London. The company was
founded in 1993.</t>
  </si>
  <si>
    <t xml:space="preserve">4213
3629</t>
  </si>
  <si>
    <t xml:space="preserve">TN
MI</t>
  </si>
  <si>
    <t xml:space="preserve">FEDEX Corp
Azure Dynamics Corp</t>
  </si>
  <si>
    <t xml:space="preserve">4513
3629</t>
  </si>
  <si>
    <t xml:space="preserve">FEDEX EXPRESS CORP/AZURE DYNAMICS CORP(WAS 967905)-STRATEGIC ALLIANCE</t>
  </si>
  <si>
    <t xml:space="preserve">FedEx Express Corp, a unit of FedEx Corp, and Azure Dynamics Corp formed a
strategic alliance to provide research and development services of
gasoline parallel hybrid-electric powertrains for delivery fleet globally.
The alliance was expected to create an environmental vehicle van for
deliver purposes to leverage their respective services in the fleet
industry.</t>
  </si>
  <si>
    <t xml:space="preserve">31454W
05500N</t>
  </si>
  <si>
    <t xml:space="preserve">OBS
Medarex Inc</t>
  </si>
  <si>
    <t xml:space="preserve">Mnfr pharma
Biopharm co</t>
  </si>
  <si>
    <t xml:space="preserve">Organon Biosciences{OBS},
located in Oss, the
Netherlands, manufactures
pharmaceuticals for selected
therapeutic areas in human
pharmaceuticals and a wide
range of species in animal
health
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t>
  </si>
  <si>
    <t xml:space="preserve">Akzo Nobel NV
Medarex Inc</t>
  </si>
  <si>
    <t xml:space="preserve">ORGANON BIOSCIENCES{OBS}/MEDAREX INC-STRATEGIC ALLIANCE</t>
  </si>
  <si>
    <t xml:space="preserve">Organon Biosciences (OB), a unit of Akzo Nobel, and Medarex Inc (MI) formed
a strategic alliance to provide biotherapeutics development services. The
alliance was expected to develop and commercialize fully human antibody
therapeutics for the treatment of cancer and auto-immune disorders,
utilizing MI's Ultimab Human Antibody Development System and OB's expertise
in drug discovery and development. Financial terms were not disclosed.</t>
  </si>
  <si>
    <t xml:space="preserve">68588X
583916</t>
  </si>
  <si>
    <t xml:space="preserve">Southwest Research Institute
Institute of Metal Research</t>
  </si>
  <si>
    <t xml:space="preserve">Pvd engineering research svcs
Own,op college,university</t>
  </si>
  <si>
    <t xml:space="preserve">Southwest Research Institute,
located in San Antonio, Texas,
provides engineering and
physical sciences research
services. It was founded in
1947.
Own and operate college and
university</t>
  </si>
  <si>
    <t xml:space="preserve">SOUTHWEST RESEARCH INSTITUTE/INSTITUTE OF METAL RESEARCH- STRATEGIC
ALLIANCE</t>
  </si>
  <si>
    <t xml:space="preserve">Southwest Research Institute and Institute of Metal Research Chinese
Academy of Sciences formed a strategic alliance to pProvide engineering and
physical sciences research services globally. The alliance was a strategic
investment opportunity both for the partners to leverage their technical
development services and to further expand their materials engineering
market and product coverage worldwide.</t>
  </si>
  <si>
    <t xml:space="preserve">84390K
46463E</t>
  </si>
  <si>
    <t xml:space="preserve">Nano Terra Inc
3M Co</t>
  </si>
  <si>
    <t xml:space="preserve">Pvd research,dvlp svcs
Mnfr,whl surgical,med equip</t>
  </si>
  <si>
    <t xml:space="preserve">Nano Terra Inc, located in
Brighton, Massachusetts,
provides research and
development services. It
offers smart materials and
surfaces; flexible electronics
such as displays and
electronic packaging; fuel
cells, batteries and solar
power devices; sensors;
industrial products and
processes; and a wide range of
consumer goods. The company
was founded in 2005.
3M Co, headquartered in St.
Paul, Minnesota, manufactures
and wholesales surgical and
medical equipment and
apparatus, adhesives, tapes,
tape dispensers, glue sticks,
sponges, picture paper,
sandpaper, reflective sheeting
for highway signs, display
enhancement films, dental
resins, crowns, bridges and
impression materials, drug
delivery systems such as
metered dose inhalation
technologies and transdermal
technologies, scrapbooks,
batting and golf gloves,
insect repellent,
stethoscopes, infant diapers,
adult incontinence and
feminine hygiene products, and
branded prescription drugs
related to dermatology,
women's health, sexual health,
cardiology and respiratory
medicine. It is also a holding
company. The company was
founded in 1902.</t>
  </si>
  <si>
    <t xml:space="preserve">NANO TERRA LLC/3M CO-STRATEGIC ALLIANCE</t>
  </si>
  <si>
    <t xml:space="preserve">Nano Terra LLC and 3M Co formed a strategic alliance to provide research
and development services of nonotechnology-based products and solutions in
the United States. The alliance was a strategic investment opportunity both
for the partners to leverage their intellectual property development
services and to further expand their market and product coverage  in the
industrial and manufacturing sectors.</t>
  </si>
  <si>
    <t xml:space="preserve">67208A
88579Y</t>
  </si>
  <si>
    <t xml:space="preserve">Neuronic SA
Beida Wankun Science Dvlp Co</t>
  </si>
  <si>
    <t xml:space="preserve">Mnfr med monitoring instrs
Biotech co</t>
  </si>
  <si>
    <t xml:space="preserve">Manufacture medical monitoring
instruments
Biotechnology company</t>
  </si>
  <si>
    <t xml:space="preserve">3841
2836</t>
  </si>
  <si>
    <t xml:space="preserve">Cuba
China</t>
  </si>
  <si>
    <t xml:space="preserve">NEURONIC SA/BEIDA WANKUN SCIENCE DEVELOPMENT-BEIJING NEUROTECHNOLOGY LTD
JOINT VENTURE</t>
  </si>
  <si>
    <t xml:space="preserve">Neuronic SA and Beida Science Development Co planned to form a joint
venture named Beijing Neurotechnology Ltd (BN) to manufacture, develop and
wholesale neurotechnological products in China.</t>
  </si>
  <si>
    <t xml:space="preserve">63905P
06152A</t>
  </si>
  <si>
    <t xml:space="preserve">Hamilton Co
Global Cell Solutions LLC</t>
  </si>
  <si>
    <t xml:space="preserve">Mnfr measuring equip
Biotech co</t>
  </si>
  <si>
    <t xml:space="preserve">Manufacture manual,
semi-automated and robotic
products for precision fluid
measuring
Biotechnology company focused
on the application of a novel
and dramatically improved
patent-pending cell culturing
technique</t>
  </si>
  <si>
    <t xml:space="preserve">3823
2836</t>
  </si>
  <si>
    <t xml:space="preserve">NV
VA</t>
  </si>
  <si>
    <t xml:space="preserve">HAMILTON CO/GLOBAL CELL SOLUTIONS-STRATEGIC ALLIANCE</t>
  </si>
  <si>
    <t xml:space="preserve">Hamilton Co (HC) and Global Cell Solutions LLC formed a strategic alliance
to provide cell culture system development and marketing services. The
alliance was expected to take advantage HC's expertise in robotics and
liquid handling by incorporating the BioLevitator on its STAR platform
enabling rapid growth and direct transfer of relevant cells for a variety
of biological science and drug discovery applications.</t>
  </si>
  <si>
    <t xml:space="preserve">40732X
38158K</t>
  </si>
  <si>
    <t xml:space="preserve">OTB Engineering
Thin Film Electronics ASA</t>
  </si>
  <si>
    <t xml:space="preserve">Pvd engineering svcs
Pvd tech research,dvlp svcs</t>
  </si>
  <si>
    <t xml:space="preserve">Provide engineering services
Thin Film Electronics ASA
provides research and
development services focused
on new technology in
electronics based on the use
of solution processable,
smart materials. The company
works mainly in the field of
printed electronics. It uses
the physical, chemical and
electrical properties of
advanced polymers to add new
functionality to printed
products like boxes or
magazines. The company also
offers covert and overt
anti-counterfeit protection.
Its polymer memory
technology can be used in
any printed electronics
application where a memory
is needed, particularly
where a non volatile random
access memory is preferred
like in storing information
on the package that later
can be displayed to the
customer. The company
operates through its
subsidiary Thin Film
Electronics AB. Registered
in Oslo, Norway, it has its
headquarters and main
facilities in Linkoping,
Sweden.</t>
  </si>
  <si>
    <t xml:space="preserve">Netherlands
Norway</t>
  </si>
  <si>
    <t xml:space="preserve">OTB ENGINEERING/THIN FILM ELECTRONICS AB-STRATEGIC ALLIANCE</t>
  </si>
  <si>
    <t xml:space="preserve">OTB Engineering (OE) and Thin Film Electronics ASA (TF) formed a strategic
alliance to provide inkjet in-line printing solutions development services.
The alliance was expected to build in TF's Intellectual Property for
soluble memory materials and OE's Intellectual Property for production and
processes and printing technologies.</t>
  </si>
  <si>
    <t xml:space="preserve">69037Y
88407X</t>
  </si>
  <si>
    <t xml:space="preserve">Yuhan Research Institute
Korea Medical Science Inst</t>
  </si>
  <si>
    <t xml:space="preserve">Provide research and
development services
Korea Medical Science
Institute Co Ltd,located in
Incheon, South Korea, is a
biotechnology company.It
provides biotechnology R&amp;D
service and manufactures
medicines.The company was
founded in 2000.</t>
  </si>
  <si>
    <t xml:space="preserve">South Korea
South Korea</t>
  </si>
  <si>
    <t xml:space="preserve">YUHAN CORP/KOREA MEDICAL SCIENCE INSTITURE- STRATEGIC ALLIANCE</t>
  </si>
  <si>
    <t xml:space="preserve">Yuhan Research Institute (YR) and Korea Medical Science Institute (KM)
formed a strategic alliance wherein KM licensed YR to utilize its KD 30, a
product extracted from three kinds of herbs for treatment of osteoarthritis
in South Korea. YR and KM were expected to conduct the trial in three
hospitals. KM was expected to receive royalties from YR.</t>
  </si>
  <si>
    <t xml:space="preserve">99125K
50506C</t>
  </si>
  <si>
    <t xml:space="preserve">Bioseek Inc
Amylin Pharmaceuticals Inc</t>
  </si>
  <si>
    <t xml:space="preserve">Dvlp human biology software
Biopharmaceutical company</t>
  </si>
  <si>
    <t xml:space="preserve">BioSeek Inc, located in South
San Francisco, California,
develops human biology systems
software. The company provides
cell-based human disease
models for drug discovery and
development. It offers BioMap
Systems, which are human
primary cell-based assay
systems for indications in
vascular inflammation,
cardiovascular and respiratory
diseases, and fibrosis. It was
founded in 2000.
Amylin Pharmaceuticals Inc,
headquartered in San Diego,
California, is a
biopharmaceutical company that
manufactures and develops
pharmaceuticals and
therapeutics based upon
peptide analogs, primarily in
regulation of glucose
metabolism. It also provides
research and development
services looking to develop
novel therapeutics based on
amylin, a newly discovered
hormone that play a role in
glucose metabolism regulation
for the treatment of diabetes,
obesity and other metabolic
diseases. The company was
founded in 1987.</t>
  </si>
  <si>
    <t xml:space="preserve">BIOSEEK INC/AMYLIN PHARMACEUTICALS INC-STRATEGIC ALLIANCE</t>
  </si>
  <si>
    <t xml:space="preserve">BioSeek Inc (BS) and Amylin Pharmaceuticals Inc (AP) formed a strategic
alliance to provide novel peptide therapeutics discovery services in the
United States. BS was expected to apply its BioMAP human biology screening
systems to evaluate the potential of peptide therapeutics in AP's
polypeptide hormone library, PHORMOL (TM) to treat a range of inflammatory
conditions. AP made a $10 mil equity investment in BS. In exchange for
milestone payments and royalties  payable to AP, BS was expected to have
the right to select and exclusively license two peptides resulting from the
screening program as the basis for proprietary optimization and development
programs  for therapeutic indications outside of AP's core therapeutic
focus.</t>
  </si>
  <si>
    <t xml:space="preserve">Amylin Pharmaceuticals Inc made a $10 mil equity investment in BioSeek Inc</t>
  </si>
  <si>
    <t xml:space="preserve">09145E
032346</t>
  </si>
  <si>
    <t xml:space="preserve">NV Organon
Koninklijke Philips Elect</t>
  </si>
  <si>
    <t xml:space="preserve">Mnfr,whl pharmaceuticals
Manufacture, wholesale electronic products</t>
  </si>
  <si>
    <t xml:space="preserve">Manufacture and wholesale
prescription pharmaceuticals
intended for final
consumption, including biotech
products and antibiotics
Koninklijke Philips
Electronics NV, located in
Amsterdam, the Netherlands,
manufactures and wholesales
electronic products offered to
more than 100 countries. It
focuses on consumer electronic
products including home
entertainment products and
house appliances; electronic
healthcare products such as
medical diagnostic imaging and
patient monitoring machine;
and lightning products. It is
also engaged in the production
of telecommunication equipment
and other electronic products.
It is also a holding company
and acts as parent company of
the Philips Group. The Company
was founded in 1891.</t>
  </si>
  <si>
    <t xml:space="preserve">2834
3651</t>
  </si>
  <si>
    <t xml:space="preserve">Akzo Nobel NV
Koninklijke Philips Elect</t>
  </si>
  <si>
    <t xml:space="preserve">2851
3651</t>
  </si>
  <si>
    <t xml:space="preserve">NV ORGANON/KONINKLIJKE PHILIPS ELECTRONICS NV-STRATEGIC ALLIANCE</t>
  </si>
  <si>
    <t xml:space="preserve">NV Organon, a unit of Akzo Nobel Pharma BV, and Koninklijke Philips
Electronics NV formed a strategic alliance to provide research and
development services of new drugs and therapies for mental disorders and
cancer in Netherlands. The alliance was a strategic investment opportunity
both for the partners to leverage their medical development services,
including specific molecules or cells which can be measured as an indicator
of biological function, and to further expand their market and product
coverage in the region.</t>
  </si>
  <si>
    <t xml:space="preserve">24688W
500472</t>
  </si>
  <si>
    <t xml:space="preserve">KeyEye Communications Inc
Methode Electronics Inc</t>
  </si>
  <si>
    <t xml:space="preserve">Mnfr semiconductors
Manufacture, wholesale electronic products</t>
  </si>
  <si>
    <t xml:space="preserve">Manufacture semiconductors
Methode Electronics Inc,
located in Chicago,
Illinois, is a manufacturer
of electronic connectors. It
manufactures and wholesales
electronic controls and
connectors, printed
circuits, and current
carrying distribution
systems, with manufacturing,
design, and testing
facilities in the United
States, Mexico, Malta,
United Kingdom, Germany,
Czech Republic, Singapore,
and China. The Company was
founded in 1946.</t>
  </si>
  <si>
    <t xml:space="preserve">3674
3678</t>
  </si>
  <si>
    <t xml:space="preserve">KEYEYE COMMUNICATIONS INC/METHODS ELECTRONICS INC-STRATEGIC ALLIANCE</t>
  </si>
  <si>
    <t xml:space="preserve">KeyEye Communications Inc and Methode Electronics Inc formed a strategic
alliance to provide research and development services of 10GbE copper MSA
pluggable modules in the United States. The alliance was a strategic
investment opportunity both for the partners to leverage their electronic
devices development services and to further expand their market and product
coverage. The new technology was expected to offer a data center to reduce
their cost and power consumption in a growing array of 10Gb  servers and
switches.</t>
  </si>
  <si>
    <t xml:space="preserve">49332W
591520</t>
  </si>
  <si>
    <t xml:space="preserve">Micromet Inc
Nycomed ASA</t>
  </si>
  <si>
    <t xml:space="preserve">Biopharmaceutical company
Mnfr pharmaceuticals</t>
  </si>
  <si>
    <t xml:space="preserve">Micromet Inc, headquartered in
Rockville, Maryland, is a
biopharmaceutical company
engaged in the research and
development of novel
antibody-based therapeutics
for the cure of cancer,
inflammation and autoimmune
diseases. It has a research
and development facility
located in Germany. The
company was founded in 1993.
Manufacture prescription
pharmaceuticals intended for
final consumption, including
biotech products and
antibiotics</t>
  </si>
  <si>
    <t xml:space="preserve">MICROMET INC/NYCOMED ASA-STRATEGIC ALLIANCE</t>
  </si>
  <si>
    <t xml:space="preserve">Micromet Inc and Nycomed ASA formed a strategic alliance to provide
research and development services of anti-GM-CSF antibodies for the
treatment of inflammatory and autoimmune diseases globally. The alliance
was a strategic investment opportunity both for the partners to leverage
their medical development services and to further expand their market and
product coverage worldwide.</t>
  </si>
  <si>
    <t xml:space="preserve">59509C
670662</t>
  </si>
  <si>
    <t xml:space="preserve">General Electric Co
BP PLC</t>
  </si>
  <si>
    <t xml:space="preserve">Manufacture,wholesale power generation equipment
Oil and gas company</t>
  </si>
  <si>
    <t xml:space="preserve">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
BP PLC, located in London,
the United Kingdom, is an
oil and gas company. Its
segments include Upstream,
Downstream, Rosneft, and
Other businesses and
corporate. The Upstream
segment is engaged in oil
and natural gas exploration,
field development and
production, as well as
midstream transportation,
storage and processing. The
Downstream segment has
global manufacturing and
marketing operations. The
Rosneft segment has a
resource base of
hydrocarbons onshore and
offshore. The Other
businesses and corporate
segment comprises the
biofuels and wind
businesses, shipping and
treasury functions, and
corporate activities around
the world. It provides its
customers with fuel for
transportation, energy for
heat and light, lubricants
to keep engines moving and
the petrochemicals products
used to make everyday items
as diverse as paints,
clothes and packaging. The
Company was founded on April
14, 1909.</t>
  </si>
  <si>
    <t xml:space="preserve">3612
2911</t>
  </si>
  <si>
    <t xml:space="preserve">GENERAL ELECTRIC CO/BP PL-STRATEGIC ALLIANCE</t>
  </si>
  <si>
    <t xml:space="preserve">General Electric Co and BP PLC formed a strategic alliance to provide
research and development services of gasification and energy emsissiion
technology globally. The alliance was expected to to develop a carbon
capture storage system that would reduce emission from electricity
generations.</t>
  </si>
  <si>
    <t xml:space="preserve">369604
055622</t>
  </si>
  <si>
    <t xml:space="preserve">Quest Pharmatech Inc
Alberta Research Council</t>
  </si>
  <si>
    <t xml:space="preserve">Manufacture,wholesale pharmaceuticals
Pvd research,dvlp svcs</t>
  </si>
  <si>
    <t xml:space="preserve">Quest PharmaTech Inc, located
in Edmonton, Alberta,
manufactures and wholesales
prescription pharmaceuticals
for the treatment of cancer
and other proliferative
diseases. The Company was
founded on December 16, 1996.
Provide applied research
services, technology
assessment, technology
development and demonstration,
technology commercialization,
consultaion and policy
development and testing and
analysis in the world of
energy, life
sciences,agriculture,environm
ent, forestry, and
manufacturing</t>
  </si>
  <si>
    <t xml:space="preserve">QUEST PHARMATECH INC/ALBERTA RESEARCH COUNCIL INC-STRATEGIC ALLIANCE</t>
  </si>
  <si>
    <t xml:space="preserve">Quest PharmaTech Inc (QP) and Canadian state-owned Alberta Research Council
(AR) formed a strategic alliance to manufacture and develop fermentation
based technology for Hypocrellin B (HB) in Canada. Currently, HB was
procured from mushroom that grows in China and while QP does not anticipate
any concern in producing enough materials from natural sources, it would
like to control the manufacturig and scale up process as well as reduce the
cost of the raw material.  Under terms of the agreement, AR was expected to
undertake research to develop a semi-synthetic method. If the project was
successful, QP was expected to receive an exclusive license to the
developed technology to manufacture and commercialize HB based products
including SL017 for dermatology and SL052 for oncology applications.</t>
  </si>
  <si>
    <t xml:space="preserve">74836M
01305Q</t>
  </si>
  <si>
    <t xml:space="preserve">Cedara Software Corp
Princess Margaret Hospital Inc</t>
  </si>
  <si>
    <t xml:space="preserve">Dvlp med imaging software
Own,op hospital</t>
  </si>
  <si>
    <t xml:space="preserve">Develop medical imaging
software and computerized
medical work stations and
apparatus for the medical
imaging industry
Own and operate a hospital</t>
  </si>
  <si>
    <t xml:space="preserve">7372
8062</t>
  </si>
  <si>
    <t xml:space="preserve">Merge Healthcare Inc
University Health Network</t>
  </si>
  <si>
    <t xml:space="preserve">7373
8062</t>
  </si>
  <si>
    <t xml:space="preserve">CEDARA SOFTWARE CORP/UNIVERSITY HEALTH NETWORKS-STRATEGIC ALLIANCE</t>
  </si>
  <si>
    <t xml:space="preserve">Cedara Software Corp, a unit of Merge Healthcare Co, and Princess Margaret
Hospital Inc formed a strategic alliance to provide research and
development services of healthcare and medical application technologies and
tool kits in Canada. The alliance was a strategic investment opportunity
both for the partners to leverage their medical development services and to
further expand their market and product coverage.</t>
  </si>
  <si>
    <t xml:space="preserve">150644
73909V</t>
  </si>
  <si>
    <t xml:space="preserve">Bombardier Transportation GmbH
TRANSMASHKHOLDING ZAO</t>
  </si>
  <si>
    <t xml:space="preserve">Railroad Rolling Stock Manufacturing
Railroad Rolling Stock Manufacturing</t>
  </si>
  <si>
    <t xml:space="preserve">Bombardier Transportation
GmbH is a manufacturer of
railroad equipment. The
Company provides products
for rail vehicles,
propulsion and controls,
bogies, transportation
systems, rail control
solutions. The Company is
located in Berlin, Germany.
Transmashkholding CJSC,
located in Moscow, Russian
Federation, manufactures
railroad machine-building
products including diesel
shutters, railway electric
locomotives, freight and
passenger cars and marine
diesels, car castings,
diesel generators and other
products. It also provides
repair and maintenance
services for motor vehicles.
The Company acts as holding.
The Company was founded in
2002.</t>
  </si>
  <si>
    <t xml:space="preserve">3743
3743</t>
  </si>
  <si>
    <t xml:space="preserve">Germany
Russian Fed</t>
  </si>
  <si>
    <t xml:space="preserve">Bombardier Inc
Breakers Investments BV</t>
  </si>
  <si>
    <t xml:space="preserve">Canada
Netherlands</t>
  </si>
  <si>
    <t xml:space="preserve">3721
6799</t>
  </si>
  <si>
    <t xml:space="preserve">BOMBARDIER TRANSPORTATION GERMANY GMBH/TRANSMASHHOLDING CJSC-JOINT VENTURE</t>
  </si>
  <si>
    <t xml:space="preserve">Transmashholding Bombardier
Transportation (Engineering)
RUS, based in Moscow, Russia,
provides advanced propulsion
technology and technical
solutions engineering and
development services for
railway equipment. Founded in
2007.</t>
  </si>
  <si>
    <t xml:space="preserve">Bombardier Transportation Germany GmbH (BT), a unit of Bombardier Inc, and
Transmashholding CJSC (TC) formed a joint venture named Transmashholding
Bombardier Transportation (Engineering) RUS (TB) to provide advanced
propulsion technology and technical solutions engineering and development
services for railway equipment in Moscow, Russia. BT and TC each held a 50%
interest in TB. Concurrently, BT and TC  formed another JV to manufacture
traction converters. BT and TC were to invest a total of $16.9 mil US (12.5
mil euros) in both JVs.</t>
  </si>
  <si>
    <t xml:space="preserve">Engineering Services
Research &amp; Development Services</t>
  </si>
  <si>
    <t xml:space="preserve">89094N</t>
  </si>
  <si>
    <t xml:space="preserve">09780P
89123J</t>
  </si>
  <si>
    <t xml:space="preserve">Vivalis Promesses
GlaxoSmithKline PLC</t>
  </si>
  <si>
    <t xml:space="preserve">Biotechnology company;
manufacture therapeutic
recombinant proteins in eggs
of transgenic chickens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</si>
  <si>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France
United Kingdom</t>
  </si>
  <si>
    <t xml:space="preserve">VIVALIS/GLAXOSMITHKLINE PLC-STRATEGIC ALLIANCE</t>
  </si>
  <si>
    <t xml:space="preserve">Vivalis (VV) and Glaxosmithkline PLC (GP) formed a strategic alliance
wherein VV licensed GP to utilize its proprietary EBx cell line technology
to develop and commercialize human influenza vaccines worldwide. Under
terms of the agreement, VV was expected to participate in the vaccine
process development and GP Biologicals was expected to be entitled to use
VV's avian embryonic stem cell derived ebx cell lines and related
technologies to produce seasonal and pandemic human flu vaccines. Financial
terms were not disclosed.</t>
  </si>
  <si>
    <t xml:space="preserve">93035W
37733W</t>
  </si>
  <si>
    <t xml:space="preserve">RFID Ltd
Alien Technology Corp</t>
  </si>
  <si>
    <t xml:space="preserve">Mnfr radio frequency devices
Mnfr RFID</t>
  </si>
  <si>
    <t xml:space="preserve">Manufacture radio frequency
identification devices;
provide radio frequency
identification consulting
servicess
Alien Technology Corp, based
in Morgan Hill, California,
manufactures UHF Radio
Frequency Identification
(RFID) products to customers
in retail, consumer goods,
manufacturing, defense,
transportation and logistics,
pharmaceuticals and other
industries; provide integrated
solutions and enterprise IT
EPC compliant UHF services.</t>
  </si>
  <si>
    <t xml:space="preserve">RFID LTD/ALIEN TECHNOLOGY CORP-STRATEGIC ALLIANCE</t>
  </si>
  <si>
    <t xml:space="preserve">RFID Ltd and Alien Technology Corp formed a strategic alliance to provide
research and development services of radio frequency identification (RFID)
products in the United States. The alliance was a strategic investment
opportunity both for the partners to leverage their RFID application
services and to further expand their market coverage.</t>
  </si>
  <si>
    <t xml:space="preserve">749547
01625U</t>
  </si>
  <si>
    <t xml:space="preserve">Bridgetech Holdings Intl Inc
ValiRx PLC</t>
  </si>
  <si>
    <t xml:space="preserve">Pvd finl,mktg svcs
Manfacturing biological products</t>
  </si>
  <si>
    <t xml:space="preserve">Provide financial (working
capital) and marketing
services for emerging medical
devices and technologies
ValiRx PLC is a manufacturer
of biological products. The
Company manufactures and
develops drugs for the
treatment of cancer through
its 2 subsidiaries namely
Cronos Therapeutics and
Morphogenesis. It is also
involved in the development
of oncological diagnostics
and stem cells. The Company
is located in London, the
United Kingdom.</t>
  </si>
  <si>
    <t xml:space="preserve">6153
2836</t>
  </si>
  <si>
    <t xml:space="preserve">BRIDGETECH HOLDINGS INTL/VALIRX LTD-STRATEGIC ALLIANCE</t>
  </si>
  <si>
    <t xml:space="preserve">Bridgetech Holdings International Inc and ValiRX Ltd formed a strategic
alliance to provide research and development services of healthcare
products globally. The alliance was a strategic investment opportunity both
for the partners to leverage their medical development services and to
further expand their market and product coverage worldwide.</t>
  </si>
  <si>
    <t xml:space="preserve">10845P
91939W</t>
  </si>
  <si>
    <t xml:space="preserve">CeNeRx BioPharma Inc
Neuroscience PharmaNess</t>
  </si>
  <si>
    <t xml:space="preserve">Manufacture prescription
pharmaceuticals intended for
final consumption, including
biotech products and
antibiotics with a therapeutic
focus on diseases of the
central nervous system
Provide research and
development services in the
field of the pharmacology of
the central and the peripheral
nervous system and acts as a
professional district
consultant in the
biotechnology area of the
Sardinian Scientific and
Technological Park</t>
  </si>
  <si>
    <t xml:space="preserve">CENERX/PHARMANESS-STRATEGIC ALLIANCE</t>
  </si>
  <si>
    <t xml:space="preserve">CeNeRx BioPharma Inc (CB) and Neuroscience PharmaNess s.c.a.r.l (NP) formed
a strategic alliance wherein NP licensed CB to develop, manufacture and
commercialize its cannabinoid portfolio for pain and other disorders
worldwide.</t>
  </si>
  <si>
    <t xml:space="preserve">15179K
64224M</t>
  </si>
  <si>
    <t xml:space="preserve">LAeon Group
Rashid Saad Al-Rashid &amp; Sons</t>
  </si>
  <si>
    <t xml:space="preserve">Investment company
Investment company</t>
  </si>
  <si>
    <t xml:space="preserve">Japan
Saudi Arabia</t>
  </si>
  <si>
    <t xml:space="preserve">ADVANCED RECYCLING SCIENCES INC/RASHID SAAD AL-RASHID &amp; SONS CO
LTD-STRATEGIC ALLIANCE</t>
  </si>
  <si>
    <t xml:space="preserve">Advanced Recycling Sciences Inc and Rashid Saad Al-Rashid &amp; Sons Co Ltd
planned to form a joint venture (JV) to pplanned to form a joint venture in
the United States. The JvVs formation was a strategic growth opportunity
both for the partners to leverage their industrial recycling services and
to further strengthen their market position</t>
  </si>
  <si>
    <t xml:space="preserve">50593L
75428J</t>
  </si>
  <si>
    <t xml:space="preserve">BioWa Inc
Takeda Pharmaceutical Co Ltd</t>
  </si>
  <si>
    <t xml:space="preserve">Biopharmaceutical co
Mnfr,whl pharmaceutical prod</t>
  </si>
  <si>
    <t xml:space="preserve">BioWa Inc, located in
Princeton, New Jersey, is a
biopharmaceutical company. It
is the exclusive worldwide
licensor of Potelligent
Technology, a patented
technology that creates 100%
fucose-free monoclonal
antibodies. The company was
founded in 2003.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</si>
  <si>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Kyowa Hakko Kogyo Co Ltd
Takeda Pharmaceutical Co Ltd</t>
  </si>
  <si>
    <t xml:space="preserve">BIOWA INC/TAKEDA PHARMACEUTICAL CO LTD-STRATEGIC ALLIANCE</t>
  </si>
  <si>
    <t xml:space="preserve">Biowa Inc (BI), a unit of Kyowa Hakko Kogyo Co Ltd, and Takeda
Pharmaceutical Co Ltd (TP) formed a strategic alliance wherein BI licensed
TP to utilize its patented POTELLIGENT (R) Technology platform for the
development of anti-body -dependent cellular The alliance grants TP rights
to research, develop, manufacture and commercialize antibodies based on
POTELLIGENT (R) Technology for an undisclosed number of targets. BI was
expected to receive upfront, license fees, development milestone payments
and royalties. Further details were not disclosed.</t>
  </si>
  <si>
    <t xml:space="preserve">09018J
874058</t>
  </si>
  <si>
    <t xml:space="preserve">IDRI
Chembio Diagnostics Inc</t>
  </si>
  <si>
    <t xml:space="preserve">Biotechnology company
Dvlp,mnfr med test</t>
  </si>
  <si>
    <t xml:space="preserve">Infectious Disease Research
Institute{IDRI}, located in
Seattle, Washington, is a
biotechnology company. The
company develops vaccines,
diagnostics, and therapeutics
for neglected diseases,
including tuberculosis,
leishmaniasis, leprosy, Chagas
disease and others.
Chembio Diagnostics Inc,
located in Medford, New
York, develops and
manufactures medical
diagnostic tests, including
rapid tests that detect a
number of infectious
diseases. The company was
founded in 1985.</t>
  </si>
  <si>
    <t xml:space="preserve">WA
NY</t>
  </si>
  <si>
    <t xml:space="preserve">INFECTIOUS DISEASE RESEARCH/CHEMBIO DIAGNOSTICS INC(WAS 89268C)-STRATEGIC
ALLIANCE</t>
  </si>
  <si>
    <t xml:space="preserve">Infectious Disease Research Institute and Chembio Diagnostics Inc formed a
strategic alliance to provide diagnostic test development services for
Leishmaniasis and Leprosy. The test was expected to be developed by CD
using its patented Dual Path immunoassay test platform (DPP(TM)) and
incorporate ID's proprietary antigens.</t>
  </si>
  <si>
    <t xml:space="preserve">46469X
163572</t>
  </si>
  <si>
    <t xml:space="preserve">Coronado Biosciences Inc
Burnham Institute for Med Rese</t>
  </si>
  <si>
    <t xml:space="preserve">Coronado Biosciences Inc,
located in New York, New York,
is a biopharmaceutical company
focused on novel immunotherapy
for cancer and inflammatory
diseases, with two principal
candidates aimed at clinical
development of Acute Myeloid
Leukemia, Inflammatory Bowel
Disease, Multiple Sclerosis
and other autoimmune diseases.
The company was founded in
2006.
Burnham Institute for Medical
Research, located in La Jolla,
California, provides medical
research services, focused on
cancer, neurodegeneration,
diabetes, and infectious,
inflammatory, and childhood
diseases. The company was
founded in 1976.</t>
  </si>
  <si>
    <t xml:space="preserve">CORONADO BIOSCIENCES INC/BURNHAM INSTITUTE-STRATEGIC ALLIANCE</t>
  </si>
  <si>
    <t xml:space="preserve">Coronado Biosciences Inc (CB) and and Burnham Institute (BI) formed a
strategic alliance wherein BI licensed CB to develop and commercialize its
Apogossypol worldwide. Apogossypol is a small molecule that was believed to
inhibit key prosurvival proteins from the Bcl-2 family. Under terms of the
agreement, CB was expected to manage all development and commercial
activities worldwide and plans to file a US IND and begin clinical studies
for oncology indications. CB was expected to pay BI upfront payment and
potential future milestones in excess of $15 mil if Apogossypol  was
successfully developed. In addition, BI was expected to receive royalties
on worldwide sales.</t>
  </si>
  <si>
    <t xml:space="preserve">21976U
12224K</t>
  </si>
  <si>
    <t xml:space="preserve">Novacea Inc
Schering-Plough Corp</t>
  </si>
  <si>
    <t xml:space="preserve">Biopharmaceutical co
Mnfr,whl pharm</t>
  </si>
  <si>
    <t xml:space="preserve">Novacea Inc is a
biopharmaceutical company
headquartered in South San
Francisco, California. The
company is focused on
in-licensing, developing and
commercializing novel cancer
therapies. It has two product
candidates, including Asentar
and AQ4N.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</si>
  <si>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Transcept Pharmaceuticals Inc
Schering-Plough Corp</t>
  </si>
  <si>
    <t xml:space="preserve">NOVACEA INC/SCHERING-PLOUGH CORP-STRATEGIC ALLIANCE</t>
  </si>
  <si>
    <t xml:space="preserve">Novacea Inc (NI) and Schering Plough Corp (SP) terminated their agreement
on the development of Asentar to treat prostate cancer. Earlier in May
2007, NI and SP formed a strategic alliance wherein NI licensed SP to
develop and commercialize Asentar (TM) (DN-101) worldwide. NI and SP
previously stopped the Ascent-2 Phase III clinical trial of Asentar due to
an imbalance of deaths between the two treatment arms and also suspended
enrollment in other ongoing trials. Asentar is a high-dose oral formulation
of calcitriol, a hormone that exerts its effects through the vitamin D
receptor (VDR). Under terms of the agreement, NI was expected to receive an
upfront payment of $60 mil US (7.3 bil Japanese yen) including $35 mil US
(4.3 bil yen) as reimbursement for past research and development expenses,
and license fee of $25 mil (3 bil yen). The alliance also provides NI with
potential pre-commercial milestone payments of up to $380 mil (46 bil yen)
and tiered royalties on sales. The transaction was subject to clearance
under the Hart-Scott-Rodino Antitrust Improvements Act.</t>
  </si>
  <si>
    <t xml:space="preserve">Novacea Inc was expected to receive an upfront payment of $60 mil US (7.3
bil Japanese yen) including $35 mil US (4.3 bil yen) as reimbursement for
past research and development expenses, and license fee of $25 mil (3 bil
yen). In addition NI was expected to have potential pre-commercial
milestone payments of up to $380 mil (46 bil yen) and tiered royalties on
sales.</t>
  </si>
  <si>
    <t xml:space="preserve">66987B
806605</t>
  </si>
  <si>
    <t xml:space="preserve">Medarex Inc
Mitsubishi Pharma Corp</t>
  </si>
  <si>
    <t xml:space="preserve">Biopharm co
Mnfr pharmaceuticals</t>
  </si>
  <si>
    <t xml:space="preserve">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
Mitsubishi Pharma Corp's main
activity is to manufacture
pharmaceuticals, medicinal
products and industrial
organic chemicals. The company
is headquartered in Osaka
Prefecture and was founded in
2001.</t>
  </si>
  <si>
    <t xml:space="preserve">Medarex Inc
Mitsubishi Chemical Holdings</t>
  </si>
  <si>
    <t xml:space="preserve">MEDAREX INC/MITSUBISHI PHARMA CORP-STRATEGIC ALLIANCE</t>
  </si>
  <si>
    <t xml:space="preserve">Medarex Inc (MI) and Mitsubishi Pharma Corp (Mp), a unit of Mitsubishi
Chemical Holdings Corp's Mitsubishi Chemical Corp subsidiary, formed a
strategic alliance to provide research and development services. The
alliance was expected to evaluate fully human  monoclonal antibodies
against a Mitsubishi target for the potential treatment  of autoimmune
diseases.  The companies plan to use MI's UltiMAb Human  Antibody
Development System to generate antibodies for research and  possible
development. Terms were not disclosed.</t>
  </si>
  <si>
    <t xml:space="preserve">583916
60633H</t>
  </si>
  <si>
    <t xml:space="preserve">Peregrine Pharmaceuticals Inc
Dios Therapeutics Inc</t>
  </si>
  <si>
    <t xml:space="preserve">Peregrine Pharmaceuticals Inc,
located in Tustin, California,
is a biotechnology company
focused on developing
therapeutic agents that effect
blood vessels and blood flow
in cancer and other diseases.
The company was founded in
1981.
Biotechnology company</t>
  </si>
  <si>
    <t xml:space="preserve">PEREGRINE PHARMACEUTICALS/DIOS THERAPEUTICS-STRATEGIC ALLIANCE</t>
  </si>
  <si>
    <t xml:space="preserve">Peregrine Pharmaceuticals Inc (PP) and Dios Therapeutics Inc (DT) formed a
strategic alliance to provide research and development services in the
United States. The alliance was to collaborate on a treatment for an eye
disorder. Under the agreement, PP was to provide development and
manufacturing assistance for DT's antibody to treat thyroid-associated
ophthalmopathy, a condition that affects the muscles that move the eyeball.
In return, PP's has the option to receive either cash or a stake in DTs,
following preliminary trials of the drug.</t>
  </si>
  <si>
    <t xml:space="preserve">713661
25549L</t>
  </si>
  <si>
    <t xml:space="preserve">Immunicon Corp
Bristol-Myers Squibb Co</t>
  </si>
  <si>
    <t xml:space="preserve">Dvlp magnetic nanoparticles
Manufactures pharmaceuticals and medical products</t>
  </si>
  <si>
    <t xml:space="preserve">Develop magnetic nanoparticles
or ferrofluids, and devices
for magnetic collection,
manufacture and markets
ultra-high sensitive cancer
detection test kits (Cancer
Blood Test) and next
generation cell analysis
instruments (Cell Track
Cytometer) for various
research and clinical
applications.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</si>
  <si>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IMMUNICON CORP/BRISTOL-MYERS SQUIBB CO-STRATEGIC ALLIANCE</t>
  </si>
  <si>
    <t xml:space="preserve">Immunicon Corp and Bristol Myers Squibb Co formed a strategic alliance to
provide research and development services in the United States. The
alliance was expected to research protein and molecular targets associated
with circulating tumor cells.</t>
  </si>
  <si>
    <t xml:space="preserve">45260A
110122</t>
  </si>
  <si>
    <t xml:space="preserve">I-Flow Corp
GE Healthcare</t>
  </si>
  <si>
    <t xml:space="preserve">Mnfr,whl drug delivery sys
Manufacture diagnostic imaging equipment</t>
  </si>
  <si>
    <t xml:space="preserve">I-Flow Corp, located in Lake
Forest, California,
manufactures and wholesales
technically advanced, low-cost
ambulatory drug delivery
systems that provide life
enhancing, cost effective
solutions for pain management
and infusion therapy. The
company was founded in 1985.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</si>
  <si>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CA
WI</t>
  </si>
  <si>
    <t xml:space="preserve">I-Flow Corp
General Electric Co</t>
  </si>
  <si>
    <t xml:space="preserve">3841
3612</t>
  </si>
  <si>
    <t xml:space="preserve">I FLOW CORP(DNU)/GE HEALTHCARE LTD-STRATEGIC ALLIANCE</t>
  </si>
  <si>
    <t xml:space="preserve">I-Flow Corp and GE Healthcare Ltd, a unit of GE formed a strategic alliance
to provide research and development services of anesthesia for nerve blocks
globally. The alliance was a strategic investment opportunity both for the
partners to leverage their medical development services and to further
expand their market and product coverage worldwide.</t>
  </si>
  <si>
    <t xml:space="preserve">449520
36069Q</t>
  </si>
  <si>
    <t xml:space="preserve">SuperArray Bioscience Corp
Applied Biosystems Group</t>
  </si>
  <si>
    <t xml:space="preserve">Biotech co
Mnfr,whl instr-based sys</t>
  </si>
  <si>
    <t xml:space="preserve">Super Array Bioscience Corp,
based in Frederick, Maryland,
is a biotechnology company
specializing in tools for
studying gene expression. The
company was founded in 1998.
Applied Biosystems Group,
located in Foster City,
California, manufactures and
wholesales instrument-based
systems, reagents, genomic
products such as human
identification kits, assays
and DNA sequencing tools. It
develop informatics software
for analytical testing, gene
expression, genotyping,
proteomics, and DNA
sequencing. The company was
founded in 1999.</t>
  </si>
  <si>
    <t xml:space="preserve">SuperArray Bioscience Corp
Applera Corp</t>
  </si>
  <si>
    <t xml:space="preserve">SUPERARRAY BIOSCIENCE CORP/APPLIED BIO SYSTEMS INC(DNU)-STRATEGIC ALLIANCE</t>
  </si>
  <si>
    <t xml:space="preserve">Applied Biosystems Group Inc, a unit of Applera Corp, and  SuperArray
Bioscience Corp formed a strategic alliance to provide research and
development services of Real-Time PCR and PCR-related reagents in the
United States. The PCR would be use in the human in vitro diagnostics and
clinical  laboratory testing services. A small piece of DNA or RNA was to
copied or "amplified" so that it can be more readily analyzed, which
enables the detection of amplified DNA during the process of amplification
rather than at the end, providing speed and process control.</t>
  </si>
  <si>
    <t xml:space="preserve">86906W
037906</t>
  </si>
  <si>
    <t xml:space="preserve">Cancer Research Technology Ltd
University of Manchester
AstraZeneca AB</t>
  </si>
  <si>
    <t xml:space="preserve">Pvd research,dvlp svcs
Own,op college,university
Manufacture pharmaceuticals</t>
  </si>
  <si>
    <t xml:space="preserve">Provide research and
development services for the
benefit of cancer patients
University of Manchester is
a college operator. The
Company was founded in 1824
and is located in
Manchester, the United
Kingdom.
AstraZeneca AB, located in
Sodertalje, Sweden,
manufactures prescription
pharmaceuticals intended for
final consumption, including
biotech products and
antibiotics. The company was
founded in 1999.</t>
  </si>
  <si>
    <t xml:space="preserve">8731
8221
2834</t>
  </si>
  <si>
    <t xml:space="preserve">United Kingdom
United Kingdom
Sweden</t>
  </si>
  <si>
    <t xml:space="preserve">Cancer Research UK
University of Manchester
AstraZeneca PLC</t>
  </si>
  <si>
    <t xml:space="preserve">United Kingdom
United Kingdom
United Kingdom</t>
  </si>
  <si>
    <t xml:space="preserve">6732
8221
2834</t>
  </si>
  <si>
    <t xml:space="preserve">CANCER RESEARCH TECHNOLOGY LTD/UNIVERSITY OF MANCHESTER/ASTRAZENECA
AB-STRATEGIC ALLIANCE</t>
  </si>
  <si>
    <t xml:space="preserve">Cancer Research Technology Ltd (CR), a unit of Cancer Research UK,
University of Manchester and AstraZeneca AB formed a 3-year strategic
alliance to provide research and development services. The alliance was
expected to develop serological pharmacodynamic (PD) biomarkers through
investigating biomarkers of tumor cell death using specialist PD assays. CR
was expected to have exclusive rights to commercialise novel biomarkers
identified in the course of the research collaboration.</t>
  </si>
  <si>
    <t xml:space="preserve">13737V
91439N
04644K</t>
  </si>
  <si>
    <t xml:space="preserve">Koninklijke DSM NV
Crucell NV
Sartorius AG</t>
  </si>
  <si>
    <t xml:space="preserve">All Other Miscellaneous Chemical Product and Preparation Manufacturing
Biopharmaceutical company
Manufactures and wholesales process control instruments</t>
  </si>
  <si>
    <t xml:space="preserve">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
Crucell NV, located in Leiden,
the Netherlands, is a
biopharmaceutical company. It
focuses on research and
development, production and
sale of vaccines, proteins and
antibodies that prevent and
treat infectious diseases. The
company's core portfolio
includes vaccines against
hepatitis B and a
virosome-adjuvanted vaccine
against influenza. The company
has offices in China,
Indonesia, Italy, Korea,
Malaysia, Spain, Sweden,
Switzerland, the UK the USA
and Vietnam. The company was
founded in October 2000.
Sartorius AG, located in
Gottingen, Germany,
manufactures and wholesales
process control instruments
for the biotechnology and
mechatronics sectors
specializing in filtration,
separation products,
fermenters and bioreactor
products. It also wholesales
photographic equipment. It
operates through two
segments: Bioprocess
Solutions and Lab Products
and Services. The Bioprocess
Solutions segment offers
integrated solutions for
biopharmaceutical
manufacture, such as filters
for sterilization of
biopharmaceutical media,
single-use bags for cell
cultivation and storage of
biopharmaceuticals, membrane
absorbers for purification
in bioprocesses, and filter
technology for
clarification, among others.
The Lab Products and
Services segment provides
instruments, consumables and
services for laboratories,
including laboratory
balances, laboratory water
systems for storage of
purified water, electronic
pipettes, filter systems for
sample preparation and
membrane filter systems for
sterility testing of
parenteral. The Company was
founded in 1870.</t>
  </si>
  <si>
    <t xml:space="preserve">2899
8731
3826</t>
  </si>
  <si>
    <t xml:space="preserve">Netherlands
Netherlands
Germany</t>
  </si>
  <si>
    <t xml:space="preserve">ROYAAL DSM NV/CRUCELL NV/SARTORIUS AG-STRATEGIC ALLIANCE</t>
  </si>
  <si>
    <t xml:space="preserve">Royal DSM NV, Crucell NV (CN) and Sartorius AG (SA) formed a strategic
alliance wherein CN licensed SA to utilize its technology to evaluate
monoclonal antibodies using PER.C6 cells for calibrating and testing
equipment products useful in the manufacture and/or purification of
recombinant monoclonal antibodies CN and SA further agreed to expand their
PER.C6 collaboration by sharing technology and data on antibody production.
Financial details were not disclosed.</t>
  </si>
  <si>
    <t xml:space="preserve">N5017D
228769
80382M</t>
  </si>
  <si>
    <t xml:space="preserve">Arthro Kinetics PLC
PolarisRX Corp</t>
  </si>
  <si>
    <t xml:space="preserve">Mnf biological implants
Mnfr,dvlp,whl pharm</t>
  </si>
  <si>
    <t xml:space="preserve">Arthro Kinetics PLC, located
in the United Kingdom,
develops, manufactures and
wholesales advanced biological
implants for the regeneration
of joint surfaces, and spinal
disc function, and minimally
invasive surgical instrument
and access systems.
PolarisRX Corp, located in
Japan, provides in-licensing
and acquisition program
services designed to identify
and acquire additional drug
candidates which it will
develop and commercialize in
the Japanese market. It has
in-licensed 2 overseas
products for the treatment of
HPV genital warts and another
product for Female
Androgenetic Alopecia. Founded
in 2006.</t>
  </si>
  <si>
    <t xml:space="preserve">3842
2834</t>
  </si>
  <si>
    <t xml:space="preserve">ARTHRO KINETICS PLC/POLARISRX CORP-STRATEGIC ALLIANCE</t>
  </si>
  <si>
    <t xml:space="preserve">Arthro Kinetics Plc (AK) and PolarisRX Corp (PR) formed a strategic
alliance wherein AK licensed PR to develop and commercialize its CaReS
cartilage regeneration product in Japan.</t>
  </si>
  <si>
    <t xml:space="preserve">04309H
73129K</t>
  </si>
  <si>
    <t xml:space="preserve">OmniReliant Holdings Inc
Power Paper Ltd</t>
  </si>
  <si>
    <t xml:space="preserve">Invest hldg co
Mnfr batteries</t>
  </si>
  <si>
    <t xml:space="preserve">OmniReliant Holdings Inc,
headquartered in Clearwater,
Florida, is an investment
holding company. Its area of
expertise includes infomercial
development, celebrity
licensing, fragrance
development and distribution,
beauty and spa lines, health
and fitness product launch,
direct shopping channel
marketing and e-commerce. The
company also owns Omni
Response and OmniComm Studios
Inc, and has remote offices in
New York and New Jersey. The
company markets It was founded
in 2006.
Manufacture micro-powered
devices and printable, thin,
flexible and
environment-friendly batteries</t>
  </si>
  <si>
    <t xml:space="preserve">6799
3691</t>
  </si>
  <si>
    <t xml:space="preserve">OMNIRELIANT HOLDINGS INC/POWER PAPER LTD-STRATEGIC ALLIANCE</t>
  </si>
  <si>
    <t xml:space="preserve">Omnireliant Holdings Inc and Power Paper Ltd signed a letter of intent to
form a strategic alliance to provide skincare development services. The
alliance was to explore an innovative product line combining revolutionary
technology with active ingredients. The alliance was to facilitate global
means for distribution and rapid consumer awareness of their products.</t>
  </si>
  <si>
    <t xml:space="preserve">68215T
73951Z</t>
  </si>
  <si>
    <t xml:space="preserve">Tronics Microsystems SA
Alcatel Microelectronics NV</t>
  </si>
  <si>
    <t xml:space="preserve">Mnfr MEMS
Mnfr semiconductors</t>
  </si>
  <si>
    <t xml:space="preserve">Tronics Microsystems SA,
located in Crolle, France,
manufactures
microelectromechanical sytems
(MEMS) components and
microsystems. The company
operates in France, USA and
Asia. It was founded in 1997.
Manufacture semiconductors</t>
  </si>
  <si>
    <t xml:space="preserve">France
Belgium</t>
  </si>
  <si>
    <t xml:space="preserve">Tronics Microsystems SA
STMicroelectronics NV</t>
  </si>
  <si>
    <t xml:space="preserve">TRONICS MICRSYSTEMS SA/ALCATEL MICROELECTRONICS NV-STRATEGIC ALLIANCE</t>
  </si>
  <si>
    <t xml:space="preserve">Alcatel Microelectronics NV, a unit of STMicroelectronics NV, and Tronics
Microsystems SA formed a strategic alliance to provide research and
development services of DRIE 3D semiconductors globally. The alliance was a
strategic investment opportunity both for the partners to leverage their
advanced DRIE process technology and to further expand their market and
product coverage with a high-speed deep plasma etching systems for
fabricating MEMS and 3D semiconductors.</t>
  </si>
  <si>
    <t xml:space="preserve">89723C
01384Q</t>
  </si>
  <si>
    <t xml:space="preserve">Competitive Technologies Inc
NCS Pharmaceuticals LLC</t>
  </si>
  <si>
    <t xml:space="preserve">Pvd patent mgmt svcs
Mnfr pharm</t>
  </si>
  <si>
    <t xml:space="preserve">Competitive Technologies Inc,
headquartered in Fairfield,
Connecticut, provides patent
management and licensing to
intellectual property owners
seeking to commercialize their
innovations. The company was
founded in 1968.
NCS Pharmaceuticals LLC,
headquartered in the United
States, manufactures
prescription pharmaceuticals
intended for final
consumption, including biotech
products and antibiotics.</t>
  </si>
  <si>
    <t xml:space="preserve">6794
2834</t>
  </si>
  <si>
    <t xml:space="preserve">CT
NJ</t>
  </si>
  <si>
    <t xml:space="preserve">COMPETITIVE TECHNOLOGIES INC/NCS PHARMACEUTICALS LLC-STRATEGIC ALLIANCE</t>
  </si>
  <si>
    <t xml:space="preserve">Competitive Technologies Inc (CT) and NCS Pharmaceuticals LLC (NP) formed a
strategic alliance to provide therapeutic drug, medical diagnostic,
analytical testing and nutraceutical services. NC was expected to evaluate
the pharmacokinetic and pharmacodynamic properties of selected therapeutic
analogues of current or newly acquired technologies in CT's portfolio.</t>
  </si>
  <si>
    <t xml:space="preserve">204512
63187W</t>
  </si>
  <si>
    <t xml:space="preserve">Century Sunshine Ecological
Lian Yun Port De Mei New</t>
  </si>
  <si>
    <t xml:space="preserve">Mnfr,whl fertlizers,pesticides
Mnfr,whl compound fertlizer</t>
  </si>
  <si>
    <t xml:space="preserve">Century Sunshine Ecological
Technology Holdings Ltd,
located in Central, Hong Kong,
is an organic and compound
fertilizers, and biological
pesticides in China and Hong
Kong. The company offers its
products under Lu Di brand
name. Its products include
microbial
compound/microorganisms
fertilizer for economic and
food crops, forestry, flowers,
and grassland; and organic tea
fertilizer to conserve the
nutrition and water of the
land and restrain the
reproduction of the infectious
bacteria in the soil.
Lian Yun Port De Mei New
Energy Technology Ltd, located
in China, is a compound
fertilizer manufacturer and
wholesaler.</t>
  </si>
  <si>
    <t xml:space="preserve">2875
2875</t>
  </si>
  <si>
    <t xml:space="preserve">CENTURY SUNSHINE ECOLOGICAL TECH/LIAN YUN PORT DE MEI-JOINT VENTURE</t>
  </si>
  <si>
    <t xml:space="preserve">Century Sunshine Ecological Technology Ltd (CS), a unit of Century Sunshine
Ecological Technology Holdings Ltd and Lian Yun Port De Mei New Energy
Technology Ltd (LY) planned to form a 20-year joint venture (JV) to
manufacture, research, develop and wholesale organic fertilizers and
organic compound fertilizers in China. The JV was to initially operate in
Jiangsu and was to have a total investment of $30 mil US(230 mil Chinese
yuan 235.52 mil Hong Kong dollars.). Under terms of the agreement, CS was
to hold 51% interest while LY was to hold the remaining 49% stake.
Completion of the JC was conditional on the obtaining of relevant approvals
from relevant authorities in China including the approval from Ministry of
Commerce. The JV was to commence operations by the latest in September
2007.</t>
  </si>
  <si>
    <t xml:space="preserve">The JV was to initially operate in Jiangsu and was to have a total
investment of $30 mil US (230 mil Chinese yuan /235.52 mil Hong Kong
dollars.).</t>
  </si>
  <si>
    <t xml:space="preserve">15627R
52982X</t>
  </si>
  <si>
    <t xml:space="preserve">SKF AB
Aker Kvaerner ASA</t>
  </si>
  <si>
    <t xml:space="preserve">Mnfr,wholesale roller bearings
Pvd engineering,constr svcs</t>
  </si>
  <si>
    <t xml:space="preserve">SKF AB manufactures and
wholesales ball and roller
bearings, seals, linear
motion products and high
precision bearings. It has
140 manufacturing sites
distributed all over the
world and its own sales
companies in 32 countries.
The Company was founded in
1907 and located in
Gothenburg, Sweden.
Aker Kvaerner ASA, located
in Lysaker, is an
engineering and construction
company providing services
in the areas of oil and gas,
refining and chemicals,
mining and metals,
pharmaceuticals and
biotechnology, power
generation, and pulp and
paper industries. It
provides decommissioning,
project management, nuclear
site clean up, feasibility
studies, process and project
engineering, electrical
instrumentation, testing,
maintenance and supply chain
management, procurement,
quantitative risk analysis,
subsea systems, installation
commissioning, and oil
exploration consulting
services. The company
operates in Africa, Asia,
Australia, Europe, Middle
East, North America and
South America. It was
established in 2004 through
the restructuring of the
Kvaerner group.</t>
  </si>
  <si>
    <t xml:space="preserve">3562
8711</t>
  </si>
  <si>
    <t xml:space="preserve">Sweden
Norway</t>
  </si>
  <si>
    <t xml:space="preserve">SKF AB
The Resource Group Trg AS</t>
  </si>
  <si>
    <t xml:space="preserve">3562
3731</t>
  </si>
  <si>
    <t xml:space="preserve">AB SKF/AKER KVAERNER ASA-STRATEGIC ALLIANCE</t>
  </si>
  <si>
    <t xml:space="preserve">AB SKF (AS) and Aker Kvaerner ASA (AK), a unit of Aker ASA, formed a
strategic alliance to provide Condition Based Maintenance (CBM) services
for the offshore and onshore oil and gas industry. CBM was expected to
reduce plant downtime, increases equipment reliability and reduces
maintenance by means of optimized maintenance and inspection programs, real
time monitoring systems and competence. The alliance integrated AK's
competence in engineering, planning and maintenance with AS expertise
related to rotating equipment, bearing and lubrication technologies,
condition monitoring, integration and analysis. The initial focus were
customers and installations in the North Sea and onshore in Norway, with
plans to expand internationally.</t>
  </si>
  <si>
    <t xml:space="preserve">784375
00664Y</t>
  </si>
  <si>
    <t xml:space="preserve">ProMetic BioTherapeutics Inc
Blue Blood Biotech Corp</t>
  </si>
  <si>
    <t xml:space="preserve">Manufacture prescription
pharmaceuticals intended for
final consumption, including
biotech products and
antibiotics
Biotechnology company with
experiences in plasma
screening and hyperimmune
product development</t>
  </si>
  <si>
    <t xml:space="preserve">ProMetic Life Sciences Inc
Blue Blood Biotech Corp</t>
  </si>
  <si>
    <t xml:space="preserve">PROMETIC BIOTHERAPEUTICS INC/BLUE BLOOD BIOTECH CORP-STRATEGIC ALLIANCE</t>
  </si>
  <si>
    <t xml:space="preserve">Taiwan
Supranational</t>
  </si>
  <si>
    <t xml:space="preserve">Foreign
Foreign</t>
  </si>
  <si>
    <t xml:space="preserve">ProMetic BioTherapeutics Inc, a unit of ProMetic Life Sciences Inc, and
Blue Blood Biotech Corp formed a strategic alliance to provide
plasma-derived drugs development services in Taiwan and South Asian market.
The alliance was expected to initially target hyperimmune Cytomegalovirus
(CMV) as well as two other high value therapeutics. The alliance was
expected to exceed $47 mil US ($50 mil Canadian dollars/ 1.6 bil Taiwan
dollars) in annual sales. Other financial details were not disclosed.</t>
  </si>
  <si>
    <t xml:space="preserve">The alliance was expected to exceed $47 mil US ($50 mil Canadian dollars/
1.6 bil Taiwan dollars) in annual sales.</t>
  </si>
  <si>
    <t xml:space="preserve">74660E
05175T</t>
  </si>
  <si>
    <t xml:space="preserve">Archemix Corp
Merck Serono SA</t>
  </si>
  <si>
    <t xml:space="preserve">Mnfr aptamer therapeutics
Biotech co</t>
  </si>
  <si>
    <t xml:space="preserve">Archemix Corp, located in
Cambridge, Massachusetts,
manufactures aptamer-based
therapeutics for the
prevention and treatment of
chronic and acute diseases
through the use of proprietary
technologies such as selected
RNA and DNA scaffolds as
mimics or substitutes for
antibody-like binding domains.
The company was founded in
2001.
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t>
  </si>
  <si>
    <t xml:space="preserve">ARCHEMIX CORP/MERCK SERONO SA-STRATEGIC ALLIANCE</t>
  </si>
  <si>
    <t xml:space="preserve">Archemix Corp (AC) and Merck Serono (MS), a unit of Merck KGAA, formed a
strategic alliance to provide research and development services. The
alliance was expected to develop and commercialize aptamer therapeutics
focused on the treatment of cancer. Futhermore, AC was to receive a $29.8
mil equity investment from MS.</t>
  </si>
  <si>
    <t xml:space="preserve">03949Q
589345</t>
  </si>
  <si>
    <t xml:space="preserve">Harland Medical Systems Inc
March Plasma Systems</t>
  </si>
  <si>
    <t xml:space="preserve">Mnfr med coating equop
Mnfr plasma treatment sys</t>
  </si>
  <si>
    <t xml:space="preserve">Manufacture medical coating
equipment
Manufacture and develop plasma
treatment systems, and
maintains an expert staff of
scientists and engineers
trained in plasma science for
advanced packaging and PCB
technolog</t>
  </si>
  <si>
    <t xml:space="preserve">3841
3559</t>
  </si>
  <si>
    <t xml:space="preserve">HARLAND MEDICAL SYSTEMS INC/MARCH PLASMA SYSTEMS INC-STRATEGIC ALLIANCE</t>
  </si>
  <si>
    <t xml:space="preserve">Harland Medical Systems Inc and March Plasma Systems Inc formed a strategic
alliance to provide automated surface modification systems development and
marketing services in the United States.</t>
  </si>
  <si>
    <t xml:space="preserve">41269V
56638C</t>
  </si>
  <si>
    <t xml:space="preserve">Agfa HealthCare NV
iCAD Inc</t>
  </si>
  <si>
    <t xml:space="preserve">Pvd information tech services
Mnfr,whl computer aided equip</t>
  </si>
  <si>
    <t xml:space="preserve">Agfa HealthCare NV, located
in Mortsel, Belgium,
provides advanced imaging
and healthcare information
technology services for
clinical specialties and
healthcare facility
management. It also
manufactures digital
radiography, imaging
products and medical
applications systems. The
company was founded in 1990.
iCAD Inc, located in Nashua,
New Hampshire, manufactures
and wholesales computer aided
diagnostic and detection
equipments including
mammoggraphy, computed
tomography and digitizers,
that enables healthcare
professionals to better serve
patients by identifying
pathologies and pinpointing
cancer earlier. The Group's
scanner converts prints
photographic and other hard
copy images to digital form
for use in the graphic arts,
photo finishing and medical
industries. The company's
branded products includes,
SecondLook Digital for digital
mammography and SecondLook 300
and SecondLook 200 for
film-based mammography.</t>
  </si>
  <si>
    <t xml:space="preserve">7376
3577</t>
  </si>
  <si>
    <t xml:space="preserve">FF
NH</t>
  </si>
  <si>
    <t xml:space="preserve">Agfa-Gevaert NV
iCAD Inc</t>
  </si>
  <si>
    <t xml:space="preserve">3861
3577</t>
  </si>
  <si>
    <t xml:space="preserve">ICAD INC/AGFA HEALTHCARE-STRATEGIC ALLIANCE</t>
  </si>
  <si>
    <t xml:space="preserve">Agfa Healthcare, a unit of Agfa-Gevaert NV, and iCAD Inc formed a strategic
alliance to market, wholesale and distribute digital mammography systems
and related diagnostic medical devices and equipments globally. In
addition, the partners were expected to further develop mammography systems
for early detection of cancer cells, which would allow less invasive and
effective treatment options, enhancing patient care. The alliance was a
strategic investment opportunity both for the partners to leverage their
medical development services and to further expand their market and digital
health system network worldwide.</t>
  </si>
  <si>
    <t xml:space="preserve">Marketing Services
Retail &amp; Wholesale Services
Research &amp; Development Services</t>
  </si>
  <si>
    <t xml:space="preserve">50526E
44934S</t>
  </si>
  <si>
    <t xml:space="preserve">Sigma-Aldrich Corp
Epigentek Group Inc</t>
  </si>
  <si>
    <t xml:space="preserve">Mnfr,whl chemicals
Biotechnology company</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</si>
  <si>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Biotechnology company focused
in epigenetic-related products
including DNA modification,
methylation quantitation and
protein/DNA interaction</t>
  </si>
  <si>
    <t xml:space="preserve">MO
NY</t>
  </si>
  <si>
    <t xml:space="preserve">SIGMA-ALDRICH CORP/EPIGENTEK GROUP INC-STRATEGIC ALLIANCE</t>
  </si>
  <si>
    <t xml:space="preserve">Epigentek Group Inc (EG) and Sigma-Aldrich Corp (SA) formed a strategic
alliance wherein EG licensed SA to develop and utilize its research
technologies in the United States. Under terms of the agreement, the
alliance was expected to include the research of DNA modification,
methylation quantitation and  protein/DNA interaction. The alliance was a
strategic investment opportunity both for the partners to leverage their
DNA modification and chromatin immunoprecipitation services and to further
expand their health coverage.</t>
  </si>
  <si>
    <t xml:space="preserve">826552
29626Y</t>
  </si>
  <si>
    <t xml:space="preserve">Kissei Pharmaceutical Co Ltd
Eisai Co Ltd</t>
  </si>
  <si>
    <t xml:space="preserve">Mnfr,whl pharmaceutical prod
Mnfr,whl pharmaceuticals</t>
  </si>
  <si>
    <t xml:space="preserve">Kissei Pharmaceutical Co
Ltd, located in Tokyo,
Japan, manufactures and
wholesales pharmaceutical
products. It is engaged in
the manufacturing and sale
of medical pharmaceuticals,
the collection and analysis
of oversea medicines
information and support for
research and development.
Its other segment is
involved in the purchase and
sale of materials, the
design and development of
systems, the processing of
information, the maintenance
and management of
facilities, as well as the
restaurant business. The
company was founded in 1946.
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December 06,
1941.</t>
  </si>
  <si>
    <t xml:space="preserve">KISSEI PHARMACEUTICAL CO LTD/EISAI CO LTD-STRATEGIC ALLIANCE</t>
  </si>
  <si>
    <t xml:space="preserve">Kissei Pharmaceutical Co Ltd (KP) and Eisai Co Ltd (EC) formed a strategic
alliance wherein KP exclusively licensed EC to develop and market its
Glufast tablest with generic name mitiglinide calcium hydrate for insulin
secretagogue globally. The drug was lowers increased post-meal blood
glucose levels by improving insulin secretion close to a natural pattern
with a faster onset of action than sulfonylurea insulin secretion
stimulants. The alliance was a strategic investment opportunity both for KP
and EC to leverage their medical development services and to further expand
their market and product coverage worldwide.</t>
  </si>
  <si>
    <t xml:space="preserve">48778A
282579</t>
  </si>
  <si>
    <t xml:space="preserve">Transgenomic Inc
Canadian Food Inspection Agcy</t>
  </si>
  <si>
    <t xml:space="preserve">Biotechnology company
Pvd food inspection svcs</t>
  </si>
  <si>
    <t xml:space="preserve">Transgenomic Inc, located in
Omaha, Nebraska, is a
biotechnology company
specializing in high
sensitivity genetic
variation and mutation
analysis, providing products
and services in DNA mutation
detection and discovery for
clinical research, clinical
molecular diagnostics and
pharmacogenomics analyses.
It has offices located in
the UK and Italy. The
Company was founded in 1997.
Provide food inspection
services</t>
  </si>
  <si>
    <t xml:space="preserve">2836
7389</t>
  </si>
  <si>
    <t xml:space="preserve">NE
FF</t>
  </si>
  <si>
    <t xml:space="preserve">TRANSGENOMIC INC/CANADIAN FOOD INSPECTION AGENCY-STRATEGIC ALLIANCE</t>
  </si>
  <si>
    <t xml:space="preserve">Transgenomic Inc and Canadian Food Inspection Agency formed a strategic
alliance to provide research and development services of of novel molecular
PCR-based assays for the detection of animal materials that have been
banned  from cattle feed globally.   The alliance was a strategic
investment opportunity both for the partners to leverage their feed
inspection programs services and to further expand their market and product
coverage worldwide.</t>
  </si>
  <si>
    <t xml:space="preserve">89365K
13572Z</t>
  </si>
  <si>
    <t xml:space="preserve">Solvay Solexis SA
Thin Film Electronics ASA</t>
  </si>
  <si>
    <t xml:space="preserve">Mnfr chemicals
Pvd tech research,dvlp svcs</t>
  </si>
  <si>
    <t xml:space="preserve">Manufacture chemicals
Thin Film Electronics ASA
provides research and
development services focused
on new technology in
electronics based on the use
of solution processable,
smart materials. The company
works mainly in the field of
printed electronics. It uses
the physical, chemical and
electrical properties of
advanced polymers to add new
functionality to printed
products like boxes or
magazines. The company also
offers covert and overt
anti-counterfeit protection.
Its polymer memory
technology can be used in
any printed electronics
application where a memory
is needed, particularly
where a non volatile random
access memory is preferred
like in storing information
on the package that later
can be displayed to the
customer. The company
operates through its
subsidiary Thin Film
Electronics AB. Registered
in Oslo, Norway, it has its
headquarters and main
facilities in Linkoping,
Sweden.</t>
  </si>
  <si>
    <t xml:space="preserve">2899
8731</t>
  </si>
  <si>
    <t xml:space="preserve">Belgium
Norway</t>
  </si>
  <si>
    <t xml:space="preserve">Solvay SA
Thin Film Electronics ASA</t>
  </si>
  <si>
    <t xml:space="preserve">2821
8731</t>
  </si>
  <si>
    <t xml:space="preserve">SOLVAY SOLEXIS/THIN FILM ELECTRONICS AB-STRATEGIC ALLIANCE</t>
  </si>
  <si>
    <t xml:space="preserve">Solvay Solexis SA, a unit of Solvay SA, and Thins Film Electronics ASA
formed a strategic alliance to provide research and development services of
polymer materials and ink formations for the production of printed
electronic devices globally. The alliance was a strategic investment
opportunity both for the partners to leverage their soluble memory
materials development services, to increase their competitive advantage,
and to further expand their market and product coverage worldwide.</t>
  </si>
  <si>
    <t xml:space="preserve">83694J
88407X</t>
  </si>
  <si>
    <t xml:space="preserve">Input/Output Inc
Hydro Technology Ventures
Reservoir Innovation AS</t>
  </si>
  <si>
    <t xml:space="preserve">Mnfr seismic measurement equip
Venture capital firm
Investment company</t>
  </si>
  <si>
    <t xml:space="preserve">Manufacture seismic data
acquisition products used on
land and in transition zones;
provide cutting edge seismic
acquisition equipment,
software, and planning and
seismic processing services to
the global oil and gas
industry
Venture capital firm focusing
on oil and energy industries
Reservoir Innovation AS,
located in Bergen, Norway, is
an investment company focus on
identifying, developing, and
commercializing breakthrough
technologies for the
exploration, development, and
production of offshore
hydrocarbon reservoirs.</t>
  </si>
  <si>
    <t xml:space="preserve">3829
6799
6799</t>
  </si>
  <si>
    <t xml:space="preserve">United States
Norway
Norway</t>
  </si>
  <si>
    <t xml:space="preserve">TX
FF
FF</t>
  </si>
  <si>
    <t xml:space="preserve">Input/Output Inc
Norsk Hydro ASA
Reservoir Innovation AS</t>
  </si>
  <si>
    <t xml:space="preserve">3829
3334
6799</t>
  </si>
  <si>
    <t xml:space="preserve">INPUT/OUTPUT INC/HYDRO TECHNOLOGY VENTURES/RESERVOIR INNOVATION AS JOINT
VENTURE</t>
  </si>
  <si>
    <t xml:space="preserve">Input/Output Inc, Reservoir Innovation AS, and Hydro Technology Ventures, a
unit of Norsk Hydro ASA formed a joint venture (JV) to develop, design and
manufacture full-wave seismic system for permanent monitoring of offshore
reservoirs in Norway. The partners each held a 33.3% stake in the JV. The
JV was expected to provide pilot testing of the new technology with a
comprehensive marine-focused reservoir monitoring solution. The JV would
deliver a seimic technology for the geoscientists to take time-lapse 4D
measurements of seismic responses from which they infer both pressure and
saturation changes, as well as fluid movements, within hydrocarbon
reservoirs.</t>
  </si>
  <si>
    <t xml:space="preserve">457652
44782J
76298W</t>
  </si>
  <si>
    <t xml:space="preserve">Groupe Danone SA
Avestha Gengraine Tech Pvt Ltd</t>
  </si>
  <si>
    <t xml:space="preserve">Produce,whl dairy products
Biotech co</t>
  </si>
  <si>
    <t xml:space="preserve">Groupe Danone SA,
headquartered in Paris,
France, produce and wholesales
dairy products. The company is
engaged in food processing
activities. Danone SA operates
in four business lines,
including Fresh Dairy
Products, Waters, Baby
Nutrition and Medical
Nutrition. The Fresh Dairy
Products business lines brands
are Danone, Actimel, Activia,
Danacol and Vitalinea. The
Water business line offers
brands, such as Evian, Volvic,
Aqua, Bonafont, Font Vella and
Lanjaron. The Baby Nutrition
business line include Bledina,
Gallia, Nutricia, Cow &amp; Gate,
Milupa, Mellin and Dumex
brands. Medical nutrition
business includes Nutricia,
Nutrini, Nutrison, Fortimel,
FortiCare, Fortisip, Neocate
and Infatrini brands. It was
founded in December 1908.
Avestha Gengraine Technologies
Pvt Ltd, headquartered in
Bangalore, India, is a
biotechnology company,
focusing on the convergence
between food, pharmaceuticals
and clinical genomics leading
to preventive personalized
medicine. The group provides
innovative solutions for
global challenges in
agriculture &amp; health problems
in the areas of degenerative
conditions, metabolic
disorders and infectious
diseases. The company was
founded in 1998.</t>
  </si>
  <si>
    <t xml:space="preserve">2023
2836</t>
  </si>
  <si>
    <t xml:space="preserve">France
India</t>
  </si>
  <si>
    <t xml:space="preserve">COMPAGNIE GERVAIS DANONE(DNU)/AVESTHA GENGRAINE TECHNOLOGIES PVT
LTD-STRATEGIC ALLIANCE</t>
  </si>
  <si>
    <t xml:space="preserve">Danone  SA and Avestha Genraine Technology Ltd formed a strategic alliance
to provide research and development services of plant-based active
ingredients for nutritional food ingredients such as biscuits, beverages
and dairy products globally. The alliance was expected to produce
functional food products with health benefits with lower-price and
delicious taste.</t>
  </si>
  <si>
    <t xml:space="preserve">399449
05382Y</t>
  </si>
  <si>
    <t xml:space="preserve">Honeywell International Inc
Pratt &amp; Whitney Co</t>
  </si>
  <si>
    <t xml:space="preserve">Search Detection Navigation Guidance Aeronautical and Nautical System and Instrument Manufacturing
Manufacture,wholesale aircraft engines</t>
  </si>
  <si>
    <t xml:space="preserve">Honeywell International Inc,
located in Morris Plaines,
New Jersey, manufactures
automation and aerospace
solutions. Its products
include aircraft engines,
environmental control
systems, collision avoidance
radar systems, cockpit data
recorders, space-pointing
devices and control systems
for spacecraft, and
antisubmarine warfare
systems. The Company also
designs, engineers and
manufactures automotive
products such as braking
systems, engine components
and safety restraint
systems, as well as control
technologies for building,
homes and industry. The
Company was founded in 1885.
Pratt &amp; Whitney Co, located
in East Harford,
Connecticut, manufactures
and wholesales aircraft
engines. It also offers
space propulsion systems and
industrial gas turbines. The
Company was founded in Jan
1925.</t>
  </si>
  <si>
    <t xml:space="preserve">3812
3724</t>
  </si>
  <si>
    <t xml:space="preserve">NJ
CT</t>
  </si>
  <si>
    <t xml:space="preserve">Honeywell International Inc
United Technologies Corp</t>
  </si>
  <si>
    <t xml:space="preserve">HONEY WELL INTERNATIONAL INC(DNU)/PRATT &amp; WHITNEY CO-STRATEGIC ALLIANCE</t>
  </si>
  <si>
    <t xml:space="preserve">Honeywell International Inc and Pratt &amp; Whitney Co formed a strategic
alliance to provide research and development services of helicopter
turboshaft engine in the United States. The alliance was a strategic
investment opportunity both for the partners to leverage their advanced
military engine products and services and to further expand their market
and product coverage</t>
  </si>
  <si>
    <t xml:space="preserve">438516
73986Q</t>
  </si>
  <si>
    <t xml:space="preserve">Peptech Ltd
Biosceptre International Ltd</t>
  </si>
  <si>
    <t xml:space="preserve">Biotechnology company;
manufacture products for the
pharmaceutical, veterinary and
agricultural industries;
principal activities include
researching and developing,
investing in and licensing
technology, and producing,
formulating and marketing
peptides and related products
for the human and animal
pharmaceutical industries. It
operates mainly in Australia
but the human pharmaceutical
assets are located in Europe,
the Americas and Australia,
while the animal
pharmaceutical assets are
located in the Americas and
Australia.
Biotechnology company focused
on regulation of cellular
growth in humans and other
animals</t>
  </si>
  <si>
    <t xml:space="preserve">PEPTECH LTD/BIOSCEPTRE INTERNATIONAL LTD-STRATEGIC ALLIANCE</t>
  </si>
  <si>
    <t xml:space="preserve">Biosceptre International Ltd and Peptech Ltd formed a strategic alliance to
provide research and development services of antibody for the treatment of
inflammatory disease and cancer in Australia. The alliance was a strategic
investment opportunity both for the partners to leverage their medical
research services and to further expand their market and product coverage</t>
  </si>
  <si>
    <t xml:space="preserve">71346R
09115V</t>
  </si>
  <si>
    <t xml:space="preserve">Vegenics Ltd
CoGenesys Inc</t>
  </si>
  <si>
    <t xml:space="preserve">Vegenics Ltd, located in
Australia, is a biotechnology
company that is focused on
doing health care technology
research. It specializes on
intellectual property
development services of
molecules known as vascular
endothelial growth factors
(VEGF). The company was
founded in 2006.
CoGenesys Inc, located in
Rockville, Maryland,
manufactures prescription
pharmaceuticals focused on the
development of peptide and
protein based medicines across
broad therapeutic areas. The
company was founded in 2005.</t>
  </si>
  <si>
    <t xml:space="preserve">Circadian Technologies Ltd
CoGenesys Inc</t>
  </si>
  <si>
    <t xml:space="preserve">VEGENICS LTD/COGENESYS INC(WAS44493N)-STRATEGIC ALLIANCE</t>
  </si>
  <si>
    <t xml:space="preserve">Vegenics Inc (VI), a unit joint venture among Circadian Technologies Ltd,
Ludwig Institute for Cancer Research and Licentia Oy, a unit of Universal
of Helsinki, and Cogenesys Inc (CI), formed a  strategic alliance wherein
CI licensed VI to develop and commercialize CI's antibodies against
vascular endothelial growth factor-C (VEGF-C) worldwide. VEGF-C was
expected to play an important role in promoting the formation of new blood
vessels and the maintenance of existing blood vessels.</t>
  </si>
  <si>
    <t xml:space="preserve">92317T
19269K</t>
  </si>
  <si>
    <t xml:space="preserve">TRUMPF GmbH + Co KG
Jenoptik AG</t>
  </si>
  <si>
    <t xml:space="preserve">Manufacture,wholesale machine tools
Manufacture,wholesale laser systems,optics</t>
  </si>
  <si>
    <t xml:space="preserve">TRUMPF GmbH + Co KG, located
in Ditzingen, Germany,
manufactures and wholesales
machine tools for sheet
metal processing and power
tools used in construction,
ventilation, air
conditioning, recycling and
demolition industries. It
also produces laser system
for all industrial
applications such as
cutting, welding, marbling
and surface processing as
well as hospital and
operating room equipment
such as operating tables and
surgical lights. It has 43
subsidiaries in 23 countries
and with 15 production
locations including Germany,
France, Austria, Czech
Republic and China. The
Company was founded in 1923.
Jenoptik AG, located in
Jena, Germany, develops,
manufactures and markets
optical, optoelectronic and
mechatronic system
solutions, diode lasers from
wafer to unmounted
semiconductor material and
mounted diode laser bars,
facilities as well as
components and modules. Its
clients include companies in
the global semiconductor and
semiconductor equipment
manufacturing industry,
automotive and automotive
supplier industry, medical
technology, security and
defense technology, the
aerospace industry,
technology companies and the
public sector. The Company
is a holding company and was
founded in 1991.</t>
  </si>
  <si>
    <t xml:space="preserve">3545
3845</t>
  </si>
  <si>
    <t xml:space="preserve">TRUMPF GMBH &amp; CO KG/JENOPTIK AG-JOINT VENTURE</t>
  </si>
  <si>
    <t xml:space="preserve">TRUMPF GmbH &amp; Co KG (TG)and JenoptickAG (JA) planned to form a joint
venture named JT Optical Engine GmbH &amp; Co (JO) to manufacture, develop and
wholesale optical modules known as "optical engines" for fiber optic lasers
in Germany. JO was to be headquartered in Jena and was to comprise of 20
staff members. TG and JA were to each hold 50% interest in JO which was
still subject to antitrust approvals.</t>
  </si>
  <si>
    <t xml:space="preserve">89817K
47629A</t>
  </si>
  <si>
    <t xml:space="preserve">ZymoGenetics Inc
Bayer HealthCare LLC</t>
  </si>
  <si>
    <t xml:space="preserve">ZymoGenetics Inc,
headquartered in Seattle,
Washington, is a biotechnology
company and a pharmaceutical
manufacturing firm committed
to developing protein drugs
for the treatment of human
diseases. The company was
founded in 1981.
Bayer HealthCare LLC, located
in Tarrytown, New York, is a
biotechnology company focused
on medical care. Its business
is comprised of blood glucose
meters, contrast-enhanced
diagnostic imaging equipment
together with the necessary
contrast agents, and
mechanical systems for
treating constricted or
blocked blood vessels. The
company was founded in 2002.</t>
  </si>
  <si>
    <t xml:space="preserve">Novo Nordisk Foundation
Bayer AG</t>
  </si>
  <si>
    <t xml:space="preserve">6732
2899</t>
  </si>
  <si>
    <t xml:space="preserve">ZYMOGENETICS INC /BAYER HEALTHCARE LLC- STRATEGIC ALLIANCE</t>
  </si>
  <si>
    <t xml:space="preserve">ZymoGenetics Inc (ZG), a unit of Novo Nordisk A/S, and Bayer Healthcare LLC
(BH), a unit of Bayer AG's Bayer Healthcare AG subsidiary, formed a
strategic alliance to provide recombinant human thrombin development and
commercialization services in the United States. ZG was expected to retain
US product rights and as part of the co promotion agreement, BH was
expected to contribute its sales and marketing expertise for the first
three years following product launch. BH was expected to commercialize
rThrombin in all countries outside the United States, leveraging the
company's strong commercial presence in these markets. BH was also expected
to be responsible for any required clinical trials and securing regulatory
approvals and commercializing the product in all countries outside the
United States.</t>
  </si>
  <si>
    <t xml:space="preserve">98985T
07289V</t>
  </si>
  <si>
    <t xml:space="preserve">Merck Serono SA
Ambrx Inc</t>
  </si>
  <si>
    <t xml:space="preserve">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
Ambrx Inc, located in La
Jolla, California, is a
biotechnology company
specializing in the
development of genetically
engineered protein
therapeutics branded as
BioSuperior, a protein-based
drugs for the treatment of
diabetes, cancer,
cardiovascular, renal,
gastrointestinal,
rheumatologic and neurological
diseases. the company was
founded in 2003.</t>
  </si>
  <si>
    <t xml:space="preserve">Merck KGaA
Ambrx Inc</t>
  </si>
  <si>
    <t xml:space="preserve">MERCK SERONO SA/AMBRX INC-STRATEGIC ALLIANCE</t>
  </si>
  <si>
    <t xml:space="preserve">Merck Serono SA (MS), a unit of Merck KGAA, and Ambrx Inc (AI) formed a
strategic alliance to provide growth hormone ARX201 development services
worldwide. Under terms of the agreement, MS was expected to receive
worldwide commercialization rights for ARX201.  MS as expected to make
initial payment to AI and AI was eligible to receive undisclosed clinical,
regulatory and commercial milestone payments based on the successful
development and commercialization of products, as well as undisclosed
royalties on net sales of such products.</t>
  </si>
  <si>
    <t xml:space="preserve">589345
02347V</t>
  </si>
  <si>
    <t xml:space="preserve">Neptune Tech&amp;Bioressources Inc
Yoplait USA Inc</t>
  </si>
  <si>
    <t xml:space="preserve">Biotechnology company
Produce yogurt</t>
  </si>
  <si>
    <t xml:space="preserve">Neptune Technologies &amp;
Bioressources Inc, based in
Laval, Quebec, is a
biotechnology company
engaged in the research and
development of extraction
technologies. It is engaged
primarily in the
development, manufacture and
commercialization of
marine-derived omega-3
polyunsaturated fatty acids,
or PUFAs. Its lead products,
Neptune Krill Oil (NKO(R))
and ECOKRILL Oil (EKO(TM)),
generally come in capsule
form and serve as a dietary
supplement to consumers. It
operates in three segments:
Neptune, Acasti Pharma Inc.
and NeuroBioPharm Inc. Its
Neptune segment is engaged
in the manufacturing and
nutraceutical products. Its
Acasti Pharma segment is
involved in the development
and commercialization of
pharmaceutical applications
for cardiovascular diseases.
Its NeuroBioPharma segment
is involved in the
development of
commercialization of pharm
Produce yogurt</t>
  </si>
  <si>
    <t xml:space="preserve">8071
2023</t>
  </si>
  <si>
    <t xml:space="preserve">NEPTUNE TECH &amp; BIORESSOURCES/YOPLAIT-STRATEGIC ALLIANCE</t>
  </si>
  <si>
    <t xml:space="preserve">Neptune Technologies &amp; Bioressources Inc (NT) and Yoplait USA Inc formed a
strategic alliance to provide fresh dairy products research and development
services worldwide. The alliance was expected to complete the development
of flavoursome dairy products containing Neptune Krill Oil (NKO(TM)) which
will be clinically tested for their effect in widely prevalent chronic
conditions.</t>
  </si>
  <si>
    <t xml:space="preserve">64077P
98641F</t>
  </si>
  <si>
    <t xml:space="preserve">Myriad Genetics Inc
AstraZeneca PLC</t>
  </si>
  <si>
    <t xml:space="preserve">Manufacture pharmaceuticals
Manufactures, wholesales pharmaceutical products</t>
  </si>
  <si>
    <t xml:space="preserve">Myriad Genetics Inc, located
in Salt Lake City, Utah,
manufactures
biopharmaceuticals, including
gene-based medicine to develop
novel therapeutic and
molecular diagnostic products
that aim to determine the risk
of breast cancer, ovarian
cancer, colon cancer,
endometrial cancer and
melanoma skin cancer in
individuals with a family
history of cancer. The Company
was founded in 1991.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</si>
  <si>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MYRIAD GENETICS INC/ASTRAZENECA PLC-STRATEGIC ALLIANCE</t>
  </si>
  <si>
    <t xml:space="preserve">Myriad Genetics Inc (Myriad) and Astrazeneca PLC (Astrazeneca) expanded
their strategic alliance to supplement diagnostics for AstraZenecas
Olaparib Phase 3 clinical development program. Under the agreement, Myriad
will build out a new laboratory within its Salt Lake City facility in
accordance with U.S. Food and Drug Administration (FDA) regulations for
companion diagnostic devices. Previously on June 2007, Myriad and
Astrazeneca formed a strategic alliance to start of two Phase II trials for
a new compound being tested to treat patients with BRCA1 &amp; BRCA2 positive
breast and ovarian cancer.</t>
  </si>
  <si>
    <t xml:space="preserve">Research &amp; Development Services
Services (NEC)</t>
  </si>
  <si>
    <t xml:space="preserve">62855J
046353</t>
  </si>
  <si>
    <t xml:space="preserve">Getty Images Inc
Yankelovich Inc</t>
  </si>
  <si>
    <t xml:space="preserve">Pvd visual content svcs
Pvd market research svcs</t>
  </si>
  <si>
    <t xml:space="preserve">Getty Images Inc,
headquartered in Seattle,
Washington, provides visual
content and related products
and services to businesses
worldwide. The company
offers a variety of visual
content products including
creative imagery, news and
sports photography, archival
imagery, illustrations and
related products and
services, that are found in
newspapers, magazines,
advertising, films, books,
television and websites. The
company was founded in 1995.
Provide market research and
consumer attitudes analysis
services</t>
  </si>
  <si>
    <t xml:space="preserve">7335
8742</t>
  </si>
  <si>
    <t xml:space="preserve">WA
NC</t>
  </si>
  <si>
    <t xml:space="preserve">GETTY IMAGES INC/YANKELOVICH INC-STRATEGIC ALLIANCE</t>
  </si>
  <si>
    <t xml:space="preserve">Getty Images Inc and Yankelovich Inc formed a strategic alliance to provide
research and development services of  visual content of the current
communication environment in the United States. The alliance was expected
to analyze demographics, sales data and behavioral  trends, which would
shape the visual language of art directors, photographers and customers.</t>
  </si>
  <si>
    <t xml:space="preserve">374276
98479R</t>
  </si>
  <si>
    <t xml:space="preserve">Monsanto Co
Athenix Corp</t>
  </si>
  <si>
    <t xml:space="preserve">Pesticide and Other Agricultural Chemical Manufacturing
Biotech co</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</si>
  <si>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Athenix Corp, based in
Research Triangle Park, North
Carolina, is a biotechnology
company that develops novel
products and technologies for
agricultural and industrial
applications. The company was
founded in 2001.</t>
  </si>
  <si>
    <t xml:space="preserve">2879
2836</t>
  </si>
  <si>
    <t xml:space="preserve">MO
NC</t>
  </si>
  <si>
    <t xml:space="preserve">MONSANTO CO/ATHENIX CORP-STRATEGIC ALLIANCE</t>
  </si>
  <si>
    <t xml:space="preserve">Monsanto Co and Athenix Corp formed a strategic alliance to provide
research and development services of insect control products in the United
States. The alliance was expected to use a microbial screening and genomics
to facilitate gene discovery to protect corps against insects. formation
was a strategic growth opportunity both for the partners to leverage their
agricultural products and to further strengthen their market position.
Financial terms were not disclosed.</t>
  </si>
  <si>
    <t xml:space="preserve">61166W
04692E</t>
  </si>
  <si>
    <t xml:space="preserve">Oncolys BioPharma Inc
Tacere Therapeutics Inc</t>
  </si>
  <si>
    <t xml:space="preserve">Mnfr,whl biotech pharm
Biotechnology company</t>
  </si>
  <si>
    <t xml:space="preserve">Oncolys BioPharma Inc, located
in Tokyo, Japan, manufactures
and wholesales biotechnology
pharmaceutical. The company
also engaged in biotechnology
relegated development and
research. The company was
founded in 2004.
Tacere Therapeutics Inc,
headquartered in San Jose,
California, US, is a
biotechnology company
specializing in the
development of novel RNA
interference therapeutics and
gene medicine for the
treatment of serious
infectious diseases such as
Hepatitis C.</t>
  </si>
  <si>
    <t xml:space="preserve">ONCOLYS BIOPHARMA INC/TACERE THERAPEUTICS INC-STRATEGIC ALLIANCE</t>
  </si>
  <si>
    <t xml:space="preserve">Tacere Therapeutics Inc and Oncolys BioPharma Inc (OB) formed a strategic
alliance to provide research and development services of TT-033 an
RNAi-based product for the treatment of hepatitis C globally. Under terms
of the agreement, OB has granted an option to acquire the Asian rights for
TT-033, particularly in Japan, China and Korea. The alliance was a
strategic investment opportunity both for the partners to leverage their
OBP-701/TT-033 medical development services and to further expand their
market and health therapeutic coverage worldwide.</t>
  </si>
  <si>
    <t xml:space="preserve">68177X
87728Q</t>
  </si>
  <si>
    <t xml:space="preserve">Janssen Pharmaceutica NV
Lab International Inc</t>
  </si>
  <si>
    <t xml:space="preserve">Manufacture pharmaceuticals
Mnfr pharm</t>
  </si>
  <si>
    <t xml:space="preserve">Janssen Pharmaceutica NV,
located in Beerse, Belgium,
manufactures prescription
pharmaceuticals intended for
final consumption, including
biotech products and
antibiotics.
Manufacture prescription
pharmaceuticals intended for
final consumption, including
biotech products and
antibiotics; provide contract
research services</t>
  </si>
  <si>
    <t xml:space="preserve">Belgium
Canada</t>
  </si>
  <si>
    <t xml:space="preserve">J&amp;J
Lab International Inc</t>
  </si>
  <si>
    <t xml:space="preserve">JANSSEN PHARMACEUTICA INC/LAB INTERNATIONAL INC-STRATEGIC ALLIANCE</t>
  </si>
  <si>
    <t xml:space="preserve">Lab International Inc (LI) and Janssen Pharmaceutica NV (JP), a unit of
Johnson &amp; Johnson Inc, formed a strategic alliance wherein LI licensed JP
to develop Fentanyl Taifun (R) using its TAIFUN (R) dry powder inhaler for
treatment of breakthrough cancer pain. The agreement covered the European
Union, Eastern Europe, Russia, Middle East and Africa. LI and JP were
expected to collaborate to develop the product for the initial indication
of breakthrough cancer pain. JP will be marketing authorization holder in
all territories covered by the agreement and be responsible for developing
any additional indications. LI will manufacture the product in all
territories.</t>
  </si>
  <si>
    <t xml:space="preserve">Licensing Services
Research &amp; Development Services
Management Services
Marketing Services</t>
  </si>
  <si>
    <t xml:space="preserve">47088B
50535P</t>
  </si>
  <si>
    <t xml:space="preserve">Genzyme Corp
Ceregene Inc</t>
  </si>
  <si>
    <t xml:space="preserve">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
Ceregene Inc, located in San
Diego, California, is a
biotechnology company. It
develops theraputics for
neurodegenerative disorders
including Parkinsons and
Alzheimers diseases. The
company was founded in 2001.</t>
  </si>
  <si>
    <t xml:space="preserve">Genzyme Corp
Cell Genesys Inc</t>
  </si>
  <si>
    <t xml:space="preserve">GENZYME CORP/CEREGENE INC-STRATEGIC ALLIANCE</t>
  </si>
  <si>
    <t xml:space="preserve">Ceregene Inc (CI) and Genzyme Corp (GC) formed a strategic alliance to
provide development and commercialization services for CERE-120, CI's
proprietary lead program for the treatment of Parkinson?s disease, in the
United States. Under terms of the agreement, GC was to pay CI a $25 million
up-front payment in exchange for certain partnership-related expenses. Cl
wa sto also be entitled to development-related milestone payments of up to
$125 million and 50 percent reimbursement of the worldwide Phase 3
development costs. GC will gain marketing rights in all markets outside of
the US and Canada, and GC will pay Ceregene tiered royalties based on sales
in markets where it has rights. CI will retain exclusive rights to CERE-120
in the US and Canada.</t>
  </si>
  <si>
    <t xml:space="preserve">Genzyme  Corp was expected to pay Ceregene Inc a $25 million up-front
payment as well as milestone payments of up to $125 million US.</t>
  </si>
  <si>
    <t xml:space="preserve">372917
15685T</t>
  </si>
  <si>
    <t xml:space="preserve">Elbit Systems Electro-Optics
Elettronica SpA</t>
  </si>
  <si>
    <t xml:space="preserve">Mnfr electro-optic sys
Mnfr electn defence equip</t>
  </si>
  <si>
    <t xml:space="preserve">Elbit Systems Electro-Optics
ELOP Ltd located in Rehovot,
Israel, is a manufacturer and
wholesaler of electro-optics
(EO) based systems including
laser and thermal imaging
systems to Head-up Displays,
through ISR (Intelligence,
Surveillance, Reconnaissance)
systems for space, airborne,
naval and ground-based
missions.
Manufacture and design
electronic defence equipment
and naval, airborne and ground
systems with products like
rotary and fixed surveillance
helicopter and air fighter
wings</t>
  </si>
  <si>
    <t xml:space="preserve">3812
3812</t>
  </si>
  <si>
    <t xml:space="preserve">Israel
Italy</t>
  </si>
  <si>
    <t xml:space="preserve">Elbit Systems Ltd
Elettronica SpA</t>
  </si>
  <si>
    <t xml:space="preserve">3721
3812</t>
  </si>
  <si>
    <t xml:space="preserve">ELBIT SYSTEMS ELECTRO-OPTICS ELOP LTD/ELETTRONICA SPA-STRATEGIC ALLIANCE</t>
  </si>
  <si>
    <t xml:space="preserve">Elettronica SpA and Elbit Systems Electro-Optics Elop Ltd, a unit of Elbit
Systems Ltd formed a strategic alliance to develop and manufacture advanced
Direct Infra-Red Counter-Measures systems to protect helicopters and
aircrafts from low altitude attack by shoulder-mounted heat-seeking
missiles globally. The newly developed defense system could be operated
with most types of missile approach warning technology and can be
integrated into defensive aids sub-systems. The alliance was a strategic
investment opportunity both for the partners to leverage their military
communication and laser-based products and services, and to further
strengthen and expand their market coverage worldwide.</t>
  </si>
  <si>
    <t xml:space="preserve">28428T
28619T</t>
  </si>
  <si>
    <t xml:space="preserve">I-FLOW CORP/GE HEALTHCARE LTD-STRATEGIC ALLIANCE</t>
  </si>
  <si>
    <t xml:space="preserve">I-Flow Corp and GE Healthcare Ltd, a unit of General Electric Co formed a
strategic alliance to provide research and development services of
anesthesiology infusion pump ultrasound for continuous peripheral nerve
blocks globally. The alliance was a strategic investment opportunity both
for the partners to leverage their medical devices and equipment
development services, and to further expand their market and product
coverage worldwide.</t>
  </si>
  <si>
    <t xml:space="preserve">J&amp;J
Emcure Pharmaceuticals Ltd</t>
  </si>
  <si>
    <t xml:space="preserve">Manufactures and Wholesales Pharmaceuticals
Pharmaceutical Preparation Manufacturing</t>
  </si>
  <si>
    <t xml:space="preserve">Johnson &amp; Johnson,
headquartered in New
Brunswick, New Jersey,
manufactures and wholesales
pharmaceuticals. Its
segments include Consumer,
Pharmaceutical and Medical
Devices. It also
manufactures wound care
sponges and dressings,
sterilizing and disinfecting
solutions, latex surgical
and medical gloves, topical
absorbable haemostatic
agents, medical equipment
and instruments,
prescription and non
prescription drugs, health
care products for first-aid,
skin, oral and baby care,
toiletries, medicinal,
biological and diagnostic
pharmaceuticals, tampons,
diapers and other sanitary
products, contact lenses,
and nonwoven textile
fabrics. It also provides
medical research and
development services and
functions as a holding
company. Its subsidiaries
operate over 120
manufacturing facilities.
Its brands include Johnsons
Bedtime, Listerine,
Carefree, Tylenol, and
Visine. The Company was
founded in 1886.
Emcure Pharmaceuticals Ltd,
located in Pune, India,
manufactures and wholesales
pharmaceuticals. It offers
formulations under its own
brands in the domestic
market and exports its own
formulations to Asia,
Africa, CIS, Europe, Latin
America and the Middle East.
It has set up a Small Volume
Parenterals facility for the
manufacture of liquid
injectables in pre-filled
syringes, vials, and
ampoules. It is currently
developing its pipeline of
chiral and achiral APIs for
therapeutic segments like
cardiovascular diseases and
haematinics as well as its
range of human bio-generics.
The Company was founded in
1983.</t>
  </si>
  <si>
    <t xml:space="preserve">JOHNSON &amp; JOHNSON INC/EMCURE PHARMACEUTICALS PVT LTD-JOINT VENTURE</t>
  </si>
  <si>
    <t xml:space="preserve">Johnson &amp; Johnson Inc (JJ) and Emcure Pharmaceuticals Pvt Ltd planned to
form a joint venture (JV) to provide research and development services in
India. The JV was to set up a formulation and analytical development center
for drug formulations for global products. JJ was to invest $15 mil US
(609.76 mil Indian rupees) into the JV.</t>
  </si>
  <si>
    <t xml:space="preserve">Johnson &amp; Johnson Inc was to invest $15 mil US (609.76 mil Indian rupees)
into the joint venture.</t>
  </si>
  <si>
    <t xml:space="preserve">478160
27017N</t>
  </si>
  <si>
    <t xml:space="preserve">Roche Holdings AG
Toyama Chemical Co Ltd</t>
  </si>
  <si>
    <t xml:space="preserve">Manufactures, wholesales pharmaceuticals and medical instruments
Mnfr pharm,chem</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</si>
  <si>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Manufacture and wholesale
pharmaceuticals specializing
in the production of ethical
drugs, consumer health care
products and industrial
chemicals wherein operations
are carried out through
Pharmaceuticals and Other
division. Pharmaceuticals
division deals with
antibiotics, chemotherapeutics
and healthy foods and drinks.</t>
  </si>
  <si>
    <t xml:space="preserve">HOFFMANN-LA ROCHE/TOYAMA CHEMICAL CO LTD-STRATEGIC ALLIANCE</t>
  </si>
  <si>
    <t xml:space="preserve">Toyama Chemical Co Ltd (TC) and Roche Holding AG (RH) formed a strategic
alliance wherein TC licensed RH to research, develop and commercialize its
novel oral rheumatoid arthritis agent T-5224 worldwide excluding Japan.
T-5224 has the potential to block signs and symptoms of rheumatoid
arthritis as well as progressive destruction of joint and bone. TC was
expected to receive upfront payments and milestone payments totalling up to
370 mil US (454.6 mil Swiss francs/ 45.8 bil Japanses yen), based on
certain development and commercial milestones. If approved, TC was expected
to receive royalties based on the net sales of T-5224.</t>
  </si>
  <si>
    <t xml:space="preserve">Toyama Chemical Co Ltd was expected to receive upfront payments and
milestone payments totalling up to 370 mil US (454.6 mil Swiss francs/ 45.8
bil Japanses yen).</t>
  </si>
  <si>
    <t xml:space="preserve">77119M
89226Q</t>
  </si>
  <si>
    <t xml:space="preserve">GPC Biotech AG
Yakult Honsha Co Ltd</t>
  </si>
  <si>
    <t xml:space="preserve">Mnfr,dvlp anti-cancer drugs
Produce,whl lactic drinks</t>
  </si>
  <si>
    <t xml:space="preserve">GPC Biotech AG, located in
Munich, manufactures and
develops anti-cancer drugs.
Yakult Honsha Co Ltd is
based in Tokyo, Japan, is
mainly engaged in the
manufacture and sale of food
and beverage products. The
Company operates in three
business segments. The
Beverages and Food segment
manufactures and sells dairy
products, beverages,
including juices and soft
drinks, and food, including
noodles and chlorella. This
segment is also involved in
the transportation of its
products and the sale of
materials. The
Pharmaceuticals segment is
involved in the manufacture
and sale of medicines to
local hospitals and
pharmacies through
pharmaceutical wholesalers,
as well as the sale of its
products to its overseas
affiliated drug
manufacturers. The Others
segment is engaged in the
production and sale of
cosmetics, as well as the
operation of its
professional baseball club.
The company was founded in
1935.</t>
  </si>
  <si>
    <t xml:space="preserve">2834
2026</t>
  </si>
  <si>
    <t xml:space="preserve">GPC BIOTECH AG/YAKULT HONSHA CO LTD-STRATEGIC ALLIANCE</t>
  </si>
  <si>
    <t xml:space="preserve">GPC Biotech AG (GB) and Yakult Honsha Co Ltd (YH) formed a strategic
alliance wherein GB licensed YH to develop, market and wholesale
satraplatin in Japan. YH was expected to provide an upfront payment of $10
mil US (1.2 bil Japanese yen/ 7.4 mil euros) to GB. In addition YH was also
expected to provide additional payments based on the achievement of certain
regulatory filling and approval milestones. GB was expected to receive a
minimum of 21% royalties on sales of satraplatin.</t>
  </si>
  <si>
    <t xml:space="preserve">Licensing Services
Research &amp; Development Services
Marketing Services
Retail &amp; Wholesale Services</t>
  </si>
  <si>
    <t xml:space="preserve">Yakult Honsha Co Ltd was expected to provide an upfront payment of $10 mil
US (1.2 bil Japanese yen/ 7.4 mil euros) to GPC Biotech AG.</t>
  </si>
  <si>
    <t xml:space="preserve">38386P
98453Q</t>
  </si>
  <si>
    <t xml:space="preserve">SurModics Inc
Merck &amp; Co Inc</t>
  </si>
  <si>
    <t xml:space="preserve">Mnfr,dvlp drug delivery tech
Mnfr,whl pharmaceutical prod</t>
  </si>
  <si>
    <t xml:space="preserve">SurModics Inc, located in
Eden Prairie, Minnesota,
manufactures and develops
drug delivery technology, as
well as, surface
modification technology for
the healthcare industry. Its
offerings include: drug
delivery technologies
(coatings, microparticles
and implants) and surface
modification coating
technologies that impart
lubricity, prohealing, and
biocompatibility
capabilities. The Company
was founded in 1979.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</si>
  <si>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MN
NJ</t>
  </si>
  <si>
    <t xml:space="preserve">SURMODICS INC/MERCK &amp; CO INC-STRATEGIC ALLIANCE</t>
  </si>
  <si>
    <t xml:space="preserve">SurModics Inc (SI) and Merck &amp; Co Inc (MC) formed a strategic alliance
wherein SI licensed MC to develop and commercialize its I-vation
Intravitreal Implant drug delivery system in the United States. Under terms
of the agreement, MC was to lead and fund and commercialization activities
for the SurModics innovative I-vation drug delivery platform in combination
with triamcinolone acetonide and proprietary MC compounds. SI was expected
to receive an up front licensing fee of $20 million and will be eligible to
receive up to an additional $288 million in fees and development milestones
associated with the successful product development and attainment of
appropriate U.S. and EU regulatory approvals for these new combination
products.</t>
  </si>
  <si>
    <t xml:space="preserve">SurModics Inc was expected to receive an up front licensing fee of $20
million and will be eligible to receive up to an additional $288 million in
fees and development milestones associated with the successful product
development and attainment of appropriate U.S. and EU regulatory approvals
for these new combination products.</t>
  </si>
  <si>
    <t xml:space="preserve">868873
589331</t>
  </si>
  <si>
    <t xml:space="preserve">Daicel Chemical Industries Ltd
Groupe Novasep SAS</t>
  </si>
  <si>
    <t xml:space="preserve">Mnfr,whl pharm,chem
Pvd chem synthesis svcs</t>
  </si>
  <si>
    <t xml:space="preserve">Daicel Chemical Industries
Ltd, based in Osaka, Japan,
is mainly engaged in the
chemical business. The
Company operates in five
business segments. The
Cellulose segment is engaged
in the manufacture and sale
of cellulose acetate,
acetate tow for cigarette
filters, carboxymethyl
cellulose (CMC) and
hydroxyethyl cellulose
(HEC). The Organic Synthesis
segment is engaged in the
manufacture and sale of
acetic acid derivatives,
epoxy compounds,
semiconductor resist
materials and others. The
Synthetic Resins segment is
engaged in the manufacture
and sale of polyester
resins, wrapping plastics
and others. The Pyrotechnic
propellant powder and
emergency evacuation systems
for aircraft passengers,
among others. The company
was founded in 1919.
Groupe Novasep SAS, located in
Pompey, provides chemical and
biochemical synthesis services
for the Life Sciences,
specialty chemicals industries
and other markets.</t>
  </si>
  <si>
    <t xml:space="preserve">2869
8071</t>
  </si>
  <si>
    <t xml:space="preserve">Japan
France</t>
  </si>
  <si>
    <t xml:space="preserve">DAICEL CHEMICAL INDUSTRIES LTD/GROUPE NOVASEP(DNU)-STRATEGIC ALLIANCE</t>
  </si>
  <si>
    <t xml:space="preserve">Daicel Chemical Industries Ltd and NovaSep SAS formed a strategic alliance
to provide research and development services of chiral chromatography
processing technology globally. The alliance was a strategic investment
opportunity both for the partners to leverage their medical development
services, including clinical and commercial chiral intermediates, and to
further expand their market and product coverage worldwide.</t>
  </si>
  <si>
    <t xml:space="preserve">23380V
66983Z</t>
  </si>
  <si>
    <t xml:space="preserve">CryoCor Inc
Boston Scientific Corp</t>
  </si>
  <si>
    <t xml:space="preserve">Mnfr surgical equip
Surgical and Medical Instrument Manufacturing</t>
  </si>
  <si>
    <t xml:space="preserve">CryoCor Inc, located in San
Diego, California,
manufactures and develops
minimally invasive and
disposable catheter systems
for the treatment of cardiac
arrhythmias called CryoCor
Cardiac Cryoablation System
that makes use of cold or
cryoenergy to ablate and
destroy targeted cardiac cells
for patients with atrial
flutter and atrial
fibrillation. The company was
founded in 2000.
Boston Scientific Corp,
located in Marlborough,
Massachusetts, manufactures
medical instruments. The
Company develops and
wholesales vascular and
non-vascular minimally
invasive medical devices
used in a broad range of
interventional medical
specialties, including
cardiology,
electrophysiology,
gastroenterology,
neuro-endovascular therapy,
pulmonary medicine,
radiology, urology and
vascular surgery. It has 18
manufacturing facilities.
The Company was founded in
June 1979.</t>
  </si>
  <si>
    <t xml:space="preserve">CRYOCOR INC/BOSTON SCIENTIFIC CORP-STRATEGIC ALLIANCE</t>
  </si>
  <si>
    <t xml:space="preserve">CryoCor Inc (CI) and Boston Scientific Corp (BS) formed a strategic
alliance to provide research and development services in the United States.
The alliance collaborated to develop a console intended to deliver
cryoenergy to BS' proprietary cryo balloon catheter for the treatment of
atrial fibrillation. CI was responsible for the development and possible
manufacture of a cryoablation console for use with BS' internally developed
cryo-therapy balloon.</t>
  </si>
  <si>
    <t xml:space="preserve">229016
101137</t>
  </si>
  <si>
    <t xml:space="preserve">rEvolution
Knowledge Networks Inc</t>
  </si>
  <si>
    <t xml:space="preserve">Pvd sports mktg svcs
Pvd online market research svc</t>
  </si>
  <si>
    <t xml:space="preserve">Provide sports marketing and
media services
Knowledge Networks Inc,
headquartered in Menlo Park,
California, provides online
market research services.
Knowledge Networks provides
clients with consumer-brand
connections, effective
marketing and advertising,
sound public policies, and
accurate social science
research. The company was
founded in 1998.</t>
  </si>
  <si>
    <t xml:space="preserve">7941
8748</t>
  </si>
  <si>
    <t xml:space="preserve">IL
CA</t>
  </si>
  <si>
    <t xml:space="preserve">REVOLUTION LLC/KNOWLEDGE NETWORKS INC-STRATEGIC ALLIANCE</t>
  </si>
  <si>
    <t xml:space="preserve">rEvolution and Knowledge Networks Inc formed a strategic alliance to
provide next generation sponsorship research and consulting services in the
United States. The alliance was expected to arm clients with crucial data
and strategic insights in order to maximize the ROI of their sponsorship
investments.</t>
  </si>
  <si>
    <t xml:space="preserve">75843W
50515E</t>
  </si>
  <si>
    <t xml:space="preserve">Biogen Idec Inc
Cardiokine Inc</t>
  </si>
  <si>
    <t xml:space="preserve">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
Cardiokine Inc, headquartered
in Philadelphia, Pennsylvania,
manufactures pharmaceuticals
for cardiovascular and heart
diseases. It was founded in
2004.</t>
  </si>
  <si>
    <t xml:space="preserve">BIOGEN IDEC INC/CARDIOKINE-STRATEGIC ALLIANCE</t>
  </si>
  <si>
    <t xml:space="preserve">Biogen Idec Inc and Cardiokine Inc formed a strategic alliance to provide
research and development services of hyponatremia treatment drug for
congestive heart failure in the United States. The drug being developed was
an oral compound being tested for the cure of an imbalance of sodium and
water in the body. The alliance was a strategic investment opportunity both
for the partners to leverage their medical development services and to
further expand their market and product coverage</t>
  </si>
  <si>
    <t xml:space="preserve">09062X
14196Z</t>
  </si>
  <si>
    <t xml:space="preserve">Improve Fame Investments Ltd
CYIT</t>
  </si>
  <si>
    <t xml:space="preserve">Securities bkrg firm
Mnfr semiconductors</t>
  </si>
  <si>
    <t xml:space="preserve">Securities brokerage firm
Manufacture fabless
semiconductors with focus on
the TD-SCMA technologies;
provide mobile phone basedband
chipset development services</t>
  </si>
  <si>
    <t xml:space="preserve">6211
3674</t>
  </si>
  <si>
    <t xml:space="preserve">CASH
CYIT</t>
  </si>
  <si>
    <t xml:space="preserve">6289
3674</t>
  </si>
  <si>
    <t xml:space="preserve">IMPROVE FAME INVESTMENTS LTD/CHONGQING CHONGYOU-JOINT VENTURE</t>
  </si>
  <si>
    <t xml:space="preserve">Improve Fame Investments Ltd (IF), a unit of Celestial Asia Securities
Holdings Ltd, and Chongqing Chongyou Information Technology Group Ltd (CC),
planned to form a joint venture (JV) to provide TD-SCDMA technology
development services in China. Under terms of the agreement, IF and CC were
to each hold 50% interest in the JV. CC was to transfer the TD-SCDMA
technology into the JV as its capital contribution while IF should inject
cash for an amount not less than the valuation of TD-SCDMA. The JV as
subject to the approval of relevant government or regulatory authorities in
China. TD-SCDMA is a home developed technology for 3G communication.</t>
  </si>
  <si>
    <t xml:space="preserve">Research &amp; Development Services
Communications Services
Telecommunications Services</t>
  </si>
  <si>
    <t xml:space="preserve">46481A
15921V</t>
  </si>
  <si>
    <t xml:space="preserve">Cinpathogen
Fudan University</t>
  </si>
  <si>
    <t xml:space="preserve">Biotechnology company with
unparalleled experience
conducting medical reseach in
China that conforms to both
local and international
regulatory, ethical and
scientific standards
Own and operate college and
university</t>
  </si>
  <si>
    <t xml:space="preserve">CINPATHOGEN/FUDAN UNIVERSITY-STRATEGIC ALLIANCE</t>
  </si>
  <si>
    <t xml:space="preserve">Cinpathogen and Fudan University formed a strategic alliance to provide
research and development services in China. The alliance formed the Fudan
Cinpathogen Center for Clinical and Molecular Research to bring together
clinical operations, modern diagnostic laboratories and access to one of
the largest tissue banks dedicated to diseases of the blood and immune
systems in order to support diagnosis and conduct protocoal-driven research
on the etiology, pathogenesis and treatment of disease. The alliance was
expected to advance global biomedical research and help satisfy China's
growing demand for high-quality healthcare.</t>
  </si>
  <si>
    <t xml:space="preserve">13029T
35953A</t>
  </si>
  <si>
    <t xml:space="preserve">Dong Wha Pharmaceutical
Procter &amp; Gamble Pharm Inc</t>
  </si>
  <si>
    <t xml:space="preserve">Manufacture prescription
pharmaceuticals intended for
final consumption, including
biotech products and
antibiotics
Procter &amp; Gamble
Pharmaceuticals Inc, based in
Cincinnati, Ohio, manufactures
prescription pharmaceuticals
intended for final
consumption, including biotech
products and antibiotics such
as Actonel, Asacol, Enablex,
Dantrium, Dantrium IV,
Didronel, Macrobid,
Macrodantin, Entex, and Ziac
and a variety of
over-the-counter and oral care
products such as Crest,
Oral-B, Prilosec OTC, Vicks,
Metamucil, Pepto-Bismol and
ThermaCare.</t>
  </si>
  <si>
    <t xml:space="preserve">Dong Wha Pharmaceutical
Procter &amp; Gamble Co</t>
  </si>
  <si>
    <t xml:space="preserve">2834
2841</t>
  </si>
  <si>
    <t xml:space="preserve">DONG WHA PHARMACEUTICAL/PROCTER &amp; GAMBLE PHARMACEUTICALS INC-STRATEGIC
ALLIANCE</t>
  </si>
  <si>
    <t xml:space="preserve">Dong Wha Pharmaceutical Industry Co Ltd (DW) and Procter &amp; Gamble
Pharmaceuticals Inc (PG), a unit of Procter &amp; Gamble Co, planned to form a
strategic alliance wherein DW licensed PG to develop and commercialize a
novel class of molecules for the treatment of osteoporosis. Under terms of
the agreement, DW was to retain rights for specific countries in Asia and
will grant PG exclusive rigts for the rest of the world. DW was to receive
an upfront fee, development and commercial milestone payments, and
royalties in product sales. Total payments, excluding royalties, for
successful development and commercialization of products could reach $511
mil US (469 bil Korean won).</t>
  </si>
  <si>
    <t xml:space="preserve">The alliance was to have total payments, excluding royalties, for
successful development and commercialization of products could reach $511
mil US (469 bil Korean won).</t>
  </si>
  <si>
    <t xml:space="preserve">25779T
74276A</t>
  </si>
  <si>
    <t xml:space="preserve">Astellas Pharma Inc
Kyoto University</t>
  </si>
  <si>
    <t xml:space="preserve">Mnfr,whl pharm
Own,operate college,university</t>
  </si>
  <si>
    <t xml:space="preserve">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
Kyoto University is a college
operator. The company was
founded in May 1869 and is
located in Kyoto-Shi Kyoto,
Japan.</t>
  </si>
  <si>
    <t xml:space="preserve">ASTELLAS PHARMA INC/KYOTO UNIVERSITY-STRATEGIC ALLIANCE</t>
  </si>
  <si>
    <t xml:space="preserve">Astellas Pharma Inc (AP) and Kyoto University (KU) formed a 10-year
strategic alliance to provide research and development services of
next-generation immunoregulation technologies and drugs. AP and KU have set
up a joint research center at KU's Faculty of Medicine that was expected to
strive to create drugs to treat conditions such as allergies, rheumatoid
arthritis and cancer. The center aimed to develop at least 3 drugs that
reach the clinical testing phase. The lab at KU was expected to be staffed
by a total of 50 researchers, experts recruited by the university in
addition to specialists from AP.</t>
  </si>
  <si>
    <t xml:space="preserve">J03393
50157F</t>
  </si>
  <si>
    <t xml:space="preserve">Heritage Pharmaceuticals Inc
Granules India Ltd</t>
  </si>
  <si>
    <t xml:space="preserve">Mnfr,whl pharm
Manufacture,wholesale pharmaceuticals</t>
  </si>
  <si>
    <t xml:space="preserve">Manufacture and wholesale
specialty pharmaceuticals
intended for final consumption
such as Myambutol and
Apresoline; provide
acquisition, licensing,
development and distribution
services for quality generic
and branded pharmaceutical
products for the prescription
drug markets
Granules India Ltd, located
in Hyderabad, India,
manufactures and wholesales
active pharmaceutical
ingredients and
pharmaceutical formulation
intermediates such as
Acetaminophen paracetamol,
Brompheniramine Maleate,
Dichloralphenazone,
Isometheptene Mucate and
base, Guaifenesin,
Methocarbamol, Metformin
HCl, Oxymetazoline HCl and
others</t>
  </si>
  <si>
    <t xml:space="preserve">HERITAGE PHARMACEUTICALS INC/GRANULES INDIA LTD-STRATEGIC ALLIANCE</t>
  </si>
  <si>
    <t xml:space="preserve">Granules India Ltd (GI) and Heritage Pharmaceuticals Inc (HP) formed a
strategic alliance to develop, wholesale, distribute and market generic
pharmaceutical and prescription drug products in the United States. Under
terms of the agreement, GI was expected to develop and register selected
products in the region, while HP has its exclusive sales and marketing
rights to such products being manufactured. GI was to receive an
undisclosed up front and milestone payments and both shall share net
profits from the production sales. The alliance was a strategic investment
opportunity both for the partners to leverage their medical drug
development and distribution services and to further expand and strengthen
their market and product coverage worldwide.</t>
  </si>
  <si>
    <t xml:space="preserve">Research &amp; Development Services
Retail &amp; Wholesale Services
Marketing Services
Licensing Services
Exclusive Licensing Services</t>
  </si>
  <si>
    <t xml:space="preserve">42788W
38848T</t>
  </si>
  <si>
    <t xml:space="preserve">Shiseido Co Ltd
Glycoscience Laboratories Inc</t>
  </si>
  <si>
    <t xml:space="preserve">Mnfr,whl cosmetics
Mnfr pharm</t>
  </si>
  <si>
    <t xml:space="preserve">Shiseido Co Ltd, located in
Tokyo, Japan, is engaged in
the business of the
manufacturing and
wholesaling of cosmetics.
The Company operates through
two segments: Japan Business
and Global Business. The
Company's Japan Business
segment includes the Japan
business, which includes the
production and sale of
cosmetics, cosmetics
accessories and toiletries,
and the healthcare business,
which includes the health
and beauty foods, and
over-the-counter drugs. The
Japan Business segment is
also engaged in the
non-Shiseido-brand products
and mail-order products, and
other businesses. The
Company's Global Business
segment covers the overseas
cosmetics business, which
includes the production and
sale of cosmetics, cosmetics
and the domestic and
overseas professional
business, which sale of
beauty salon products and
other businesses. In
addition, the Company is
involved in the restaurant
business. The Company was
founded in 1872.
Manufacture prescription
pharmaceuticals using
glycosaminoglycans</t>
  </si>
  <si>
    <t xml:space="preserve">2844
2834</t>
  </si>
  <si>
    <t xml:space="preserve">SHISEIDO CO LTD/GLYCOSCIENCE LABORATORIES INC-STRATEGIC ALLIANCE</t>
  </si>
  <si>
    <t xml:space="preserve">Shiseido Co Ltd (SC) and Glycoscience Laboratories Inc (GL) formed a
strategic alliance to manufacture and develop pharmaceuticals and cosmetic
products in Japan. SC invested $1.22 mil US (150 mil Japanese yen) and GL
has filed for 15 patent applications of hyaluronan (HA) oligosaccharide.</t>
  </si>
  <si>
    <t xml:space="preserve">824841
38136R</t>
  </si>
  <si>
    <t xml:space="preserve">Silence Therapeutics PLC
AstraZeneca PLC</t>
  </si>
  <si>
    <t xml:space="preserve">Biotech co
Manufactures, wholesales pharmaceutical products</t>
  </si>
  <si>
    <t xml:space="preserve">Silence Therapeutics PLC,
located in London, UK is a
biotechnology company. The
company is engaged in the
research and development of
pharmaceutical products
focusing on the development
of its ribonucleic acid
interference (RNAi)
technology, which is moving
from the pre-clinical into
clinical development phase.
The company was founded in
1992.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</si>
  <si>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SILENCE THERAPEUTICS PLC/ASTRAZENECA PLC-STRATEGIC ALLIANCE</t>
  </si>
  <si>
    <t xml:space="preserve">Silence Therapeutics PLC (ST) and AstraZeneca PLC (AP) formed a 3- year
strategic alliance wherein ST licensed AP to utilize its siRNA technology
to develop proprietary siRNA molecules in the respiratory field in United
Kingdom. Under terms of the agreement, ST was expected to received
milestone payments of up to $402.16 mil US (200 mil British pounds) plus
undisclosed royalties on product sales. The partners were to jointly
explore and collaborate novel siRNA molecules for specific disease areas,
while AP would take full accountability of the clinical development and
commercialization. The alliance was a strategic opportunity both for the
partners to leverage their biopharmaceutical and vaccine development
services and to further expand their market and product coverage.</t>
  </si>
  <si>
    <t xml:space="preserve">ST was expected to received milestone payments of up to $402.16 mil US (200
mil British pounds) plus undisclosed royalties on product sales.</t>
  </si>
  <si>
    <t xml:space="preserve">82409N
046353</t>
  </si>
  <si>
    <t xml:space="preserve">Maxwell Technologies Inc
Valeo SA</t>
  </si>
  <si>
    <t xml:space="preserve">Mnfr electronic capacitors
Manufacture, wholesale automobile parts</t>
  </si>
  <si>
    <t xml:space="preserve">Maxwell Technologies Inc,
located in San Diego.
California, manufactures and
wholesales electronic
capacitors, microeletronics
and high-voltage capacitors
for customers in multiple
industries, including
transportation,
telecommunications, consumer
and industrial electronics
and automation, medical
imaging, and aerospace. The
Company was founded in 1965.
Valeo SA, located in Paris,
France, manufactures and
wholesale automobile parts,
components, integrated
systemsmodules for cars and
trucks. The products of the
Company include lighting,
wipers, security,
electronics and connective
systems, switches, motors &amp;
actuators, engine
management, compressors,
transmission, climate
control and engine cooling
equipment. The Company is
also a holding Company. The
Company was founded in 1923.</t>
  </si>
  <si>
    <t xml:space="preserve">3675
3714</t>
  </si>
  <si>
    <t xml:space="preserve">MAXWELL TECHNOLOGIES INC/VALEO SA-STRATEGIC ALLIANCE</t>
  </si>
  <si>
    <t xml:space="preserve">Maxwell Technologies Inc (MT) and Valeo SA (VS) formed a strategic alliance
to provide research and development services of ultracapacitor-based energy
storage system for hybrid vehicles globally. Under terms of the agreement,
MT's BOOSTCAP ultracapacitors was incorporated with VS' StARS+X stop-start
technology and regenerative braking system, which reduces automobile fuel
consumption and emissions and powers additional electrical functions.</t>
  </si>
  <si>
    <t xml:space="preserve">577767
919134</t>
  </si>
  <si>
    <t xml:space="preserve">Ford Motor Co
Edison International Corp</t>
  </si>
  <si>
    <t xml:space="preserve">Mnfr,whl auto,trucks,auto part
Electric Power Distribution</t>
  </si>
  <si>
    <t xml:space="preserve">Ford Motor Co, located in
Dearborn, Michigan,
manufactures and wholesales
automobiles, trucks,
automobile parts, industrial
trucks and tractors. The
company also provides
auto-financing services. It
was founded in 1903.
Edison International Corp,
headquartered in Rosemead,
California, provides
electric power services. It
is also engaged in the
business of supplying and
delivering electricity to an
approximately 50,000 square
mile area of southern
California. It is also a
holding company of Southern
California Edison Co. The
Company was founded in 1886.</t>
  </si>
  <si>
    <t xml:space="preserve">3711
4911</t>
  </si>
  <si>
    <t xml:space="preserve">MI
CA</t>
  </si>
  <si>
    <t xml:space="preserve">FORD MOTOR CO/EDISON INTERNATIONAL CORP-STRATEGIC ALLIANCE</t>
  </si>
  <si>
    <t xml:space="preserve">Ford Motor Co and Edison International Corp formed a strategic alliance to
provide research and development services of hybrid electric vehicles in
the United States. The partners were expected to collaborate and explore
the plug-in hybrid vehicle (PHEV) transportation system with more
accessibility to consumers, and a reduction in petroleum-related emissions
with an improve cost-effectiveness. The alliance was a strategic investment
opportunity both for the partners to leverage their vehicle energy
security, reduced greenhouse gas emissions, lower fuel costs, and to
further expand their product network.</t>
  </si>
  <si>
    <t xml:space="preserve">345370
281020</t>
  </si>
  <si>
    <t xml:space="preserve">Sigma-Aldrich Corp
Sangamo BioSciences Inc</t>
  </si>
  <si>
    <t xml:space="preserve">Mnfr,whl chemicals
Biopharmaceutical company</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</si>
  <si>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Sangamo BioSciences Inc,
located in Richmond,
California, is a
biopharmaceutical company
that provides research and
development of novel
DNA-binding proteins for
therapeutic gene regulation
and modification. The
Company's core competencies
enable the engineering of a
class of DNA-binding
proteins, known as zinc
finger DNA-binding proteins
which are being developed
and evaluated for safety and
clinical effects in patients
with diabetic neuropathy and
peripheral artery disease.
Its other therapeutic
development programs focus
on cancer and HIV/AIDS,
neuropathic pain, nerve
regeneration, Parkinson's
disease, and monogenic
diseases. The company was
founded in 1995.</t>
  </si>
  <si>
    <t xml:space="preserve">SIGMA-ALDRICH CORP/SANGAMO BIOSCIENCES INC-STRATEGIC ALLIANCE</t>
  </si>
  <si>
    <t xml:space="preserve">Sigma-Aldrich Corp and Sangamo BioSciences Inc formed a strategic alliance
to provide research and development services of Zinc Finger-Based
laboratory research reagents in the United States. The alliance wa expected
to explore the proteins known as transcription factors and were found in
the nucleus of every cell, which binds to DNA to regulate gene expression.
The alliance was a strategic investment opportunity both for the partners
to leverage their medical development services, including novel stem cell
and transgenic animal models and to further expand their market coverage.</t>
  </si>
  <si>
    <t xml:space="preserve">826552
800677</t>
  </si>
  <si>
    <t xml:space="preserve">Evotec AG
Research Support International</t>
  </si>
  <si>
    <t xml:space="preserve">Evotec AG, located in
Hamburg, Germany, is a
biotechnology company, with
locations in the UK and in
the US. The Group is
specializing in the
discovery and development of
novel small molecule drugs.
The company was founded in
1993.
Research Support International
Ltd, located in Thane, India,
provides research and
development services. The
company was founded in 2004.</t>
  </si>
  <si>
    <t xml:space="preserve">Germany
India</t>
  </si>
  <si>
    <t xml:space="preserve">Evotec AG
DIL Ltd</t>
  </si>
  <si>
    <t xml:space="preserve">EVOTEC AG/RESEARCH SUPPORT-EVOTEC-RSIL LTD JOINT VENTURE</t>
  </si>
  <si>
    <t xml:space="preserve">Provide synthesise and manage
compound libraries research
and development services</t>
  </si>
  <si>
    <t xml:space="preserve">Evotec AG and Research Support International Ltd, a unit of DIL Ltd formed
a joint venture named Evotec-RSIL Ltd (ER) to provide synthesise and manage
compound libraries research and development services in India. ER was
expected to deliver a quality cost and efficient solution for the provision
and management of compound libraries to the pharmaceutical industry. Under
terms of the agreement, the partners were to provide thier respective
parallel synthesis equipments and technical expertise and skills to ER's
operations.</t>
  </si>
  <si>
    <t xml:space="preserve">30055P</t>
  </si>
  <si>
    <t xml:space="preserve">D1646D
76058P</t>
  </si>
  <si>
    <t xml:space="preserve">VeruTEK Inc
QuantumSphere Inc</t>
  </si>
  <si>
    <t xml:space="preserve">Pvd envi tech svcs
Mnfr catalyst materials</t>
  </si>
  <si>
    <t xml:space="preserve">VeruTEK Inc, located in
Bloomfield, Connecticut,
provide proprietary,
patent-pending, green
nanotechnology solutions
services for cleaning up the
environment through S-ISCO and
S-ESCO solutions that treat
soil contamination and
eliminationg the need for
costly excavation and enabling
custom remedies for individual
sites. The company was founded
in 2006.
QuantumSphere Inc,
headquartered in Santa Ana,
California, manufactures
catalyst materials and
electrode devices for
clean-energy applications such
as batteries and micro fuel
cells for portable power, and
highly efficient hydrogen
generation through
electrolysis. The company was
founded in 2002.</t>
  </si>
  <si>
    <t xml:space="preserve">9511
3691</t>
  </si>
  <si>
    <t xml:space="preserve">CT
CA</t>
  </si>
  <si>
    <t xml:space="preserve">VERUTEK INC/QUANTUMSPHERE INC-STRATEGIC ALLIANCE</t>
  </si>
  <si>
    <t xml:space="preserve">VeruTEK Technologies Inc (VT) and QuantumSphere Inc (QS) formed a strategic
alliance to provide new environmental remediation development services in
the United States. Under terms of the agreement, VT was expected to utilize
QS' high-performance nano catalysts and its own natural surfactants to
develop a new family of Coelution Technologies capable of cleaning up
specific contaminants in soil and groundwater. QS was expected to supply
testing materials and nanomaterials expertise to facilitate development of
these remedial applications.</t>
  </si>
  <si>
    <t xml:space="preserve">92381J
75359E</t>
  </si>
  <si>
    <t xml:space="preserve">Unidym Inc
Battelle Memorial Institute</t>
  </si>
  <si>
    <t xml:space="preserve">Mnfr carbon nanotube products
Pvd research,dvlp svcs</t>
  </si>
  <si>
    <t xml:space="preserve">Unidym Inc, located in Menlo
Park, California, manufactures
carbon nanotube products and
other forms of nanostructured
carbon for the electronics
industry. The company offers
electrodes and thin-film
transistors based on carbon
nanotubes, for applications in
displays, solar cells and
lighting. It was founded in
2005.
Battelle Memorial Institute,
located in Columbus, Ohio,
provides research and
development services and
manage laboratories for
customers. It also provides
cost-effective science and
technology in the areas of
national security, homeland
defense, energy and
environment, health and life
sciences, and transportation
and space. The company was
founded 1989.</t>
  </si>
  <si>
    <t xml:space="preserve">3624
8731</t>
  </si>
  <si>
    <t xml:space="preserve">Arrowhead Research Corp
Battelle Memorial Institute</t>
  </si>
  <si>
    <t xml:space="preserve">UNIDYM INC(WAS 65299X)/BATTELLE MEMORIAL INSTITUTE-STRATEGIC ALLIANCE</t>
  </si>
  <si>
    <t xml:space="preserve">Unidym Inc, a unit of Arrowhead Research Corp, and Battelle Memorial
Institute formed a strategic alliance to provide research and development
services of nanotube-based products in the United States. The alliance was
expected to combine UI's IP portfolio and expertise in CNT production and
CNT-based electronics with BM's IP and experience in areas ranging from
composites materials to fuel cells. The alliance was an example of a
multi-laboratory collaboration focused on developing and commercializing
carbon nanotube-based products into high-value electroactive nanomaterials
product-market segments.</t>
  </si>
  <si>
    <t xml:space="preserve">90409H
07131F</t>
  </si>
  <si>
    <t xml:space="preserve">ARIAD Pharmaceuticals Inc
Merck &amp; Co Inc</t>
  </si>
  <si>
    <t xml:space="preserve">Mnfr pharmaceutical products
Mnfr,whl pharmaceutical prod</t>
  </si>
  <si>
    <t xml:space="preserve">ARIAD Pharmaceuticals Inc,
located in Cambridge,
Massachusetts, manufactures
pharmaceutical products. It
develops oncology drugs for
treatment of various forms of
chronic and acute leukemia,
lung cancer and other
difficult-to-treat cancers.
The Company was founded in
1991.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</si>
  <si>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ARIAD PHARMACEUTICALS INC/MERCK &amp; CO INC - STRATEGIC ALLIANCE</t>
  </si>
  <si>
    <t xml:space="preserve">ARIAD Pharmaceuticals Inc and Merck &amp; Co Inc formed a strategic alliance to
provide research and development services of AP23573 novel mTOR Inhibitor
for cancer in the United States. AP23573 was expected to enter into Phase
III clinical development for the treatment of metastatic sarcomas. AP was
expected to receive $452 mil US as milestone payments.</t>
  </si>
  <si>
    <t xml:space="preserve">04033A
589331</t>
  </si>
  <si>
    <t xml:space="preserve">Novartis AG
Intercell AG</t>
  </si>
  <si>
    <t xml:space="preserve">Pharmaceutical Preparation Manufacturing
Biotech co</t>
  </si>
  <si>
    <t xml:space="preserve">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
Intercell AG, headquartered in
Vienna, Austria, is a
biotechnology company which
focuses on the design and
development of novel vaccines
for the prevention and
treatment of infectious
diseases with substantial
unmet medical need. The
Company develops antigens and
adjuvants which are derived
from its proprietary
technology platforms, and has
in-house GMP manufacturing
capabilities. The company was
founded in 1998.</t>
  </si>
  <si>
    <t xml:space="preserve">Switzerland
Austria</t>
  </si>
  <si>
    <t xml:space="preserve">NOVARTIS AG/INTERCELL AG-STRATEGIC ALLIANCE</t>
  </si>
  <si>
    <t xml:space="preserve">Novartis AG (NA) and Intercell AG (IA) formed a strategic alliance wherein
IA licensed NA to develop vaccines foe infectious diseases. The alliance
was expected to focus on the development of antibacterial vaccines derived
from IA's Antigen Identification Program (AIP) and the use of NA's IC31
adjuvant technology in selected new vaccines. NA was expected to make
upfront payment of $165.4 mil US (120 mil euros/198.86 mil Swiss francs) to
IA in option and license fees.</t>
  </si>
  <si>
    <t xml:space="preserve">Novartis AG was expected to make upfront payment of $165.4 mil US (120 mil
euros/198.86 mil Swiss francs)</t>
  </si>
  <si>
    <t xml:space="preserve">66987V
45541V</t>
  </si>
  <si>
    <t xml:space="preserve">Laboratory Corp of America
Third Wave Technologies Inc</t>
  </si>
  <si>
    <t xml:space="preserve">Provides clinical trial services
Mnf test kits prods</t>
  </si>
  <si>
    <t xml:space="preserve">Laboratory Corp of America
Holdings, located in
Burlington, North Carolina,
provides diagnostic
laboratory services. It
offers general and specialty
laboratory testing services,
ambulatory monitoring
services, bone marrow
services, clinical trials,
drug testing services, DNA
identification services,
forensic/identity services,
hospital services, insurance
services, and paternity
testing services. Its
clients include physicians,
government agencies, managed
care organizations,
hospitals, clinical labs,
and pharmaceutical
companies. It is also
holding company. The Company
was founded in 1905.
Third Wave Technologies Inc,
located in Madison, Wisconsin,
manufactures test kits,
components and related
products for the purpose of
analyzing genetic variations.
The company offers molecular
diagnostic products for
various DNA and RNA analysis
applications. It was founded
in 1993.</t>
  </si>
  <si>
    <t xml:space="preserve">8071
2836</t>
  </si>
  <si>
    <t xml:space="preserve">NC
WI</t>
  </si>
  <si>
    <t xml:space="preserve">LABCORP(DNU)/THIRD WAVE TECHNOLOGIES INC-STRATEGIC ALLIANCE</t>
  </si>
  <si>
    <t xml:space="preserve">Wisconsin</t>
  </si>
  <si>
    <t xml:space="preserve">Laboratory Corp and Third Wave Technologies Inc formed a strategic alliance
to provide research and development services of companion diagnostic to
help physicians  personalize treatment for heart failure patients in the
United States. The alliance was a strategic investment opportunity both for
the partners to leverage their medical development services, including
personalized drug therapies and to further expand their market and product
coverage.</t>
  </si>
  <si>
    <t xml:space="preserve">50540R
88428W</t>
  </si>
  <si>
    <t xml:space="preserve">CGGVeritas
Offshore Hydrocarbon Mapping</t>
  </si>
  <si>
    <t xml:space="preserve">Pvd oil,gas expl,prodn svcs
Pvd remote electromagnetic svc</t>
  </si>
  <si>
    <t xml:space="preserve">Cie Generale de Oil
Geophysique-Veritas SA,
located in Paris, France,
provides oil and gas
exploration and production
services. It manufactures
geophysical equipment and
provides range of seismic
services in data acquisition
and processing both onshore
and offshore, principally to
clients in the oil and gas
industry. The company
operates in two segments:
Services and Equipment. The
services segment includes
landmarine contract,
multi-client land and
marine, processing, imaging
and reservoir. The company
conducts its equipment
development and production
operations through Sercel
and its subsidiaries. Sercel
operates five seismic
equipment manufacturing
facilities, located in
Nantes and Saint Gaudens in
France, Houston, Singapore
and Alfreton in England. It
was founded in 1931.
Offshore Hydrocarbon Mapping
PLC, based in Aberdeen, UK
provides electromagnetic
remote sensing and
interpretative services to the
oil and gas exploration and
production industry. The
Company operates in two
segments: Controlled Source
ElectroMagnetic (CSEM)
business and Well and Surface
Seismic business (WSS).
Company was founded in the
year 2002.</t>
  </si>
  <si>
    <t xml:space="preserve">1382
8713</t>
  </si>
  <si>
    <t xml:space="preserve">CGGVERITAS(DNU)/OFFSHORE HYDROCARBON MAPPING PLC-STRATEGIC ALLIANCE</t>
  </si>
  <si>
    <t xml:space="preserve">Compagnie Generale de Geophysique-Veritas and Offshore Hydrocarbon Mapping
PLC formed a strategic alliance to provide research and development
services of Controlled Source Electromagnetic imaging technology globally.
The alliance was a strategic investment opportunity both for the partners
to leverage their quantitative measurement of rock and fluid properties
such as permeability and hydrocarbon saturationservices and to further
expand their market and product coverage worldwide.</t>
  </si>
  <si>
    <t xml:space="preserve">204386
67601N</t>
  </si>
  <si>
    <t xml:space="preserve">ValiRx PLC
BIO.Be</t>
  </si>
  <si>
    <t xml:space="preserve">Manfacturing biological products
Biotech co</t>
  </si>
  <si>
    <t xml:space="preserve">ValiRx PLC is a manufacturer
of biological products. The
Company manufactures and
develops drugs for the
treatment of cancer through
its 2 subsidiaries namely
Cronos Therapeutics and
Morphogenesis. It is also
involved in the development
of oncological diagnostics
and stem cells. The Company
is located in London, the
United Kingdom.
Biotechnology company</t>
  </si>
  <si>
    <t xml:space="preserve">VALIRX LTD/BIO.BE- JOINT VENTURE</t>
  </si>
  <si>
    <t xml:space="preserve">Belgium</t>
  </si>
  <si>
    <t xml:space="preserve">ValiRx PLC (VL) and BIO.Be (BB) planned to form a joint venture named
ValiBIO SA (VS) to provide oncology diagnostics development services in
Belgium. Under terms of the agreement, VL was to hold 77% interest in VS.
VS was to implement development programmes including the identification of
complementary Intellectual Property (IP) around oncology marker, diagnostic
technologies and specific tests that could be in-licensed to optimise the
commercial outcome of the technical objectives, establish and operate
laboratory facilities with required expertise to integrate internal
expertise and technology platforms, methods and tests with publicly
available information to commercially progress the programme, access and
utilize biobanks of human patient-derived tissue and physiological fluids
for product development in accordance with appropriate ethical procedures
and guidelines and to participate in regional, national and international
programmes.</t>
  </si>
  <si>
    <t xml:space="preserve">77.00
23.00</t>
  </si>
  <si>
    <t xml:space="preserve">91939W
07682Q</t>
  </si>
  <si>
    <t xml:space="preserve">Nuon Therapeutics Inc
Kissei Pharmaceutical Co Ltd</t>
  </si>
  <si>
    <t xml:space="preserve">Biotechnology company that
develops innovative small
molecule drugs that addresses
critical, unmet needs in
autoimmune disease and pain
such as multiple sclerosis and
rheumatoid arthritis
Kissei Pharmaceutical Co
Ltd, located in Tokyo,
Japan, manufactures and
wholesales pharmaceutical
products. It is engaged in
the manufacturing and sale
of medical pharmaceuticals,
the collection and analysis
of oversea medicines
information and support for
research and development.
Its other segment is
involved in the purchase and
sale of materials, the
design and development of
systems, the processing of
information, the maintenance
and management of
facilities, as well as the
restaurant business. The
company was founded in 1946.</t>
  </si>
  <si>
    <t xml:space="preserve">NUON THERAPEUTICS INC/KISSEI PHARMACEUTICAL CO LTD- STRATEGIC ALLIANCE</t>
  </si>
  <si>
    <t xml:space="preserve">Nuon Therapeuics Inc (NT) and Kissei Pharmaceutical Co ltd (KP) formed a
strategic alliance wherein NT licensed KP to utilize its tranilast for
reseach, development and marketing in Japan and Korea for the field of
autoimmune diseases, including multiple scleriosis.</t>
  </si>
  <si>
    <t xml:space="preserve">67218E
48778A</t>
  </si>
  <si>
    <t xml:space="preserve">STMicroelectronics Inc
IBM Corp</t>
  </si>
  <si>
    <t xml:space="preserve">Mnfr semiconductors
Manufacture computer products</t>
  </si>
  <si>
    <t xml:space="preserve">Manufacture semiconductors
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t>
  </si>
  <si>
    <t xml:space="preserve">3674
3571</t>
  </si>
  <si>
    <t xml:space="preserve">STMicroelectronics NV
IBM Corp</t>
  </si>
  <si>
    <t xml:space="preserve">STMICROELECTRONICS INC/IBM CORP(DNU)-STRATEGIC ALLIANCE</t>
  </si>
  <si>
    <t xml:space="preserve">STMicroelectronics Inc (ST) and International Business Machines Corp (IB)
formed a strategic alliance to manufacture and develop semiconductor in the
United States. The alliance included 32-nanometer and 22nm complementary
metal-oxide-semiconductor (CMOS) process-technology development, design
enablement and advanced research adapted to the manufacturing of 300
millimeter silicon wafers. As part of the agreement, ST and IB were
expected to include on IP development and platforms to speed the design of
system-on-chip devices inthese technologies.</t>
  </si>
  <si>
    <t xml:space="preserve">86105W
459200</t>
  </si>
  <si>
    <t xml:space="preserve">Samaritan Pharmaceuticals Inc
McGill University Health Ctr</t>
  </si>
  <si>
    <t xml:space="preserve">Biopharm co
Own,op hospital</t>
  </si>
  <si>
    <t xml:space="preserve">Samaritan Pharmaceuticals
Inc,based in Las Vegas,
Nevada, is a biopharmaceutical
company.The company was
founded in 1994.
McGill University Health
Center is located in
Montreal, Canada. The
hospital consists of a 214
m2 hospital with 500 private
patient rooms.</t>
  </si>
  <si>
    <t xml:space="preserve">2834
8062</t>
  </si>
  <si>
    <t xml:space="preserve">NV
FF</t>
  </si>
  <si>
    <t xml:space="preserve">SAMARITAN PHARMACEUTICALS INC/MCGILL UNIVERSITY HEALTH CENTER-STRATEGIC
ALLIANCE</t>
  </si>
  <si>
    <t xml:space="preserve">Samaritan Pharmaceuticals Inc and McGill University Health Center formed a
strategic alliance to provide research and development services of new drug
candidates in Canada. The alliance was a strategic investment opportunity
both for the partners to leverage their medical development services and to
further expand their market and product coverage worldwide. Financial terms
were not disclosed.</t>
  </si>
  <si>
    <t xml:space="preserve">79586Q
58052Y</t>
  </si>
  <si>
    <t xml:space="preserve">Hydra
Pfizer Inc</t>
  </si>
  <si>
    <t xml:space="preserve">Mnfr,whl pkg prod
Manufacture,wholesale pharmaceuticals</t>
  </si>
  <si>
    <t xml:space="preserve">manufacture and wholesale
packaging products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</si>
  <si>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2671
2834</t>
  </si>
  <si>
    <t xml:space="preserve">CNCE
Pfizer Inc</t>
  </si>
  <si>
    <t xml:space="preserve">6000
2834</t>
  </si>
  <si>
    <t xml:space="preserve">HYDRA /PFIZER INC- STRATEGIC ALLIANCE</t>
  </si>
  <si>
    <t xml:space="preserve">Hydra Biosciences Inc (HB) and Pfizer Inc (PI) formed a strategic alliance
to provide drug development services for treatments for pain. Under terms
of the agreement, PI was expected to receive exclusive access to HB's
transient receptor potential cation channel subfamily V member 3 (TRPV3)
patents and an exclusive license to commercialize compounds developed. PI
was expected to pay upfront fees and success-based development milestones
totalling $195 mil for the first product developed and launched with upside
potential for additional approved indications. PI was also expected to pay
worldwide royalties to HI marketed from the program.</t>
  </si>
  <si>
    <t xml:space="preserve">Pfizer Inc was expected to pay upfront fees and success-based development
milestones totalling $195 mil for the first product developed and launched
with upside potential for additional approved indications.</t>
  </si>
  <si>
    <t xml:space="preserve">44835Z
717081</t>
  </si>
  <si>
    <t xml:space="preserve">Tektronix Inc
CESI</t>
  </si>
  <si>
    <t xml:space="preserve">Mnfr industrial equip
Pvd standardization svcs</t>
  </si>
  <si>
    <t xml:space="preserve">Tektronix Inc, located in
Beaverton, Oregon,
manufactures, markets and
wholesales industrial
equipments specializing in
test, measurement, and
monitoring solutions, with
products and services used
in various industries such
as computing,
communications,
semiconductors, broadcast,
education government,
military and aerospace,
research, automotive and
consumer electronics, which
its customers to design,
manufacture, build, deploy,
monitor and service
next-generation global
communications networks,
computing and advanced and
pervasive technologies. And
operates in the United
States, Mexico, Canada,
South America, Europe,
Russia, the Middle East,
Africa, the Pacific, China,
India, Korea, Singapore and
Japan.
CHINA Electronics
Standardization Institute,
located in China, provides
standardization and conformity
assessment services in the
field of electronic
information technologies.</t>
  </si>
  <si>
    <t xml:space="preserve">3825
8731</t>
  </si>
  <si>
    <t xml:space="preserve">OR
FF</t>
  </si>
  <si>
    <t xml:space="preserve">TEKTRONIX INC/CHINA ELECTRONICS STANDARDIZATION INST-STRATEGIC ALLIANCE</t>
  </si>
  <si>
    <t xml:space="preserve">Tektronix Inc and China Electronics Standardization Institution formed a
strategic alliance to provide advanced digital RF and digital TV standards
research and assessment services in China. TI and CE were to set up a
research lab wherein TI was expected to provide with its latest enhanced
video and RF test instruments including the PQA500 picture quality
analyzer, WVR7120 waveform rasterizers and RSA6100A Real-Time spectrum
analyzers.</t>
  </si>
  <si>
    <t xml:space="preserve">879131
27581C</t>
  </si>
  <si>
    <t xml:space="preserve">NTPC Ltd
Bhabha Atomic Research Centre</t>
  </si>
  <si>
    <t xml:space="preserve">Fossil Fuel Electric Power Generation
Pvd research,dvlp svcs</t>
  </si>
  <si>
    <t xml:space="preserve">NTPC Ltd is a provider of
electric utility services.
The Company''s other
business includes providing
consultancy, project
management and supervision,
oil and gas exploration, and
coal mining. The Company is
also a holding Company and
its subsidiaries are NTPC
Electric Supply Co Ltd, NTPC
Vidyut Vyapar Nigam Ltd,
NTPC Hydro Ltd, Kanti Bijlee
Utpadan Nigam Ltd and
Bhartiya Rail Bijlee Co Ltd.
The Company was founded in
November 1975 and is located
in New Delhi, India.
Provide research and
development services in
nuclear science and
engineering</t>
  </si>
  <si>
    <t xml:space="preserve">NTPC LTD/BHABHA ATOMIC RESEARCH CENTRE-STRATEGIC ALLIANCE</t>
  </si>
  <si>
    <t xml:space="preserve">Indian state-owned NTPC Ltd (NL) and Bhabha Atomic Research Centre planned
to form a strategic alliance to provide automated boiler tube inspection
system development services for coal-based thermal power plants.</t>
  </si>
  <si>
    <t xml:space="preserve">63138M
05739X</t>
  </si>
  <si>
    <t xml:space="preserve">GlaxoSmithKline PLC
Targacept Inc</t>
  </si>
  <si>
    <t xml:space="preserve">Pharmaceutical Preparation Manufacturing
Mnfr pharm</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</si>
  <si>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Targacept Inc, located in
Winston-Salem, North
Carolina, is a
biopharmaceutical company
that manufactures, designs,
discovers and develops NNR
Therapeutics, a new class of
drugs for the treatment of
multiple diseases and
disorders of the central
nervous system. The companys
product candidates include:
TC-5214, which acts as an
antagonist on the a3b4 NNR;
TC-1734 (also referred to as
AZD3480) which is a wholly
owned novel small molecule
that modulates the activity
of the a4b2 NNR; TC-6499
which is a novel small
molecule that a3b4 and other
NNRs as an agonist; AZD1446
which is a novel small
molecule that modulates the
activity of the a4b2 NNR;
and TC-5619 and TC-6987
which are novel small
molecules highly selective
for the a7 NNR. It was
founded in 1997.</t>
  </si>
  <si>
    <t xml:space="preserve">GLAXOSMITHKLINE PLC(WAS 377327)/TARGACEPT INC - STRATEGIC ALLIANCE</t>
  </si>
  <si>
    <t xml:space="preserve">GlaxoSmithKline PLC (GSK) and Targacept Inc (TI) formed a strategic
alliance to provide novel therapeutics that target specified neuronal
nicotinic receptors (NRRs) discovery, development and marketing services.
The alliance included TI's lead product candidates for pain TC-2696 which
currently in a Phase 2 trial for acute post-operative pain, and TC-6499 for
development for neuropathic pain. Under terms of the agreement, GSK was
expected to make initial upfront payment of $35 mil to TI. In addition, TI
was expected to receive up to $1.5 bil in payments from GSK contingent on
the achievement of specified discovery, development, regulatory and
commercial milestones as well as tiered double digit royalties dependent on
sales achieved.</t>
  </si>
  <si>
    <t xml:space="preserve">GlaxoSmithKline PLC was expected to make initial upfront payment of $35 mil
to Targacept Inc. In addition, Targacept Inc was expected to receive up to
$1.5 bil in payments from GlaxoSmithKline PLC contingent on the achievement
of specified discovery, development, regulatory and commercial milestones.</t>
  </si>
  <si>
    <t xml:space="preserve">37733W
87611R</t>
  </si>
  <si>
    <t xml:space="preserve">DuPont
Cold Spring Harbor Laboratory</t>
  </si>
  <si>
    <t xml:space="preserve">Mnfr chemical,electronic prod
Pvd research,dvlp svcs</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</si>
  <si>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Cold Spring Harbor
Laboratory is a provider of
research and development
services. The Company was
founded in 1890 and is
located in New York, New
York.</t>
  </si>
  <si>
    <t xml:space="preserve">DE
NY</t>
  </si>
  <si>
    <t xml:space="preserve">DU PONT CO/COLD SPRING HARBOR LABORATORY-STRATEGIC ALLIANCE</t>
  </si>
  <si>
    <t xml:space="preserve">El du Pont de Nemours &amp; Co and Cold Spring Harbor Laboratory formed a
strategic alliance to provide crop genetics research on yield enhancement
and development services of enabling technologies in corn, soybeans and
other agricultural crops worldwide. The alliance was expected to develop
technologies that accelerate the rate of yield increase as well as traits
that will bring value to farmers. Terms of the agreement were not
disclosed.</t>
  </si>
  <si>
    <t xml:space="preserve">263534
19286R</t>
  </si>
  <si>
    <t xml:space="preserve">Rosetta Genomics Ltd
iB G Negev Technologies</t>
  </si>
  <si>
    <t xml:space="preserve">Mnfr,whl medical tests,prods
Pvd licensing svcs</t>
  </si>
  <si>
    <t xml:space="preserve">Rosetta Genomics Ltd is a
biotechnology company focused
on diagnostic and therapeutic
product development and
medical research involving
micro-ribonucleic acid,
commonly known as microRNA
focusing primarily on cancer
and various women's health
indications. The Company was
founded in March 2000 and is
located in Rehovot, Israel.
Provide licensing services to
Ben Gurion University's
invention and know-how</t>
  </si>
  <si>
    <t xml:space="preserve">2834
6794</t>
  </si>
  <si>
    <t xml:space="preserve">Israel
Israel</t>
  </si>
  <si>
    <t xml:space="preserve">Rosetta Genomics Ltd
Ben Gurion University</t>
  </si>
  <si>
    <t xml:space="preserve">ROSETTA GENOMICS LTD /B G NEGEV TECHNOLOGIES- STRATEGIC ALLIANCE</t>
  </si>
  <si>
    <t xml:space="preserve">Israel</t>
  </si>
  <si>
    <t xml:space="preserve">Rosetta Genomics Ltd and B G Negev Technologies, a unit of Ben Gurion
University, formed a strategic alliance to provide microRNA based
therapeutic applications development services in Israel.</t>
  </si>
  <si>
    <t xml:space="preserve">M82183
05172H</t>
  </si>
  <si>
    <t xml:space="preserve">ZAP Co
Advanced Battery Technologies</t>
  </si>
  <si>
    <t xml:space="preserve">Mnfr,whl electric vehicles
Mnfr,wholesale batteries</t>
  </si>
  <si>
    <t xml:space="preserve">ZAP Co, located in Santa Rosa,
California manufactures and
wholesale electric vehicles.
It manufactures fuel-efficient
and pollution-free electric
and non-electric scooters,
electric bicycle power kits,
electric bicycles, electric
motorcycles and other personal
electric transportation
vehicles, including electric
wheelchairs and electric
aquatic propulsion devices.
The company was founded in
1994.
Advanced Battery Technologies
Inc, located in New York, New
York, manufactures and
wholesales rechargeable
polymer lithium-ion batteries,
including those used for
mine-use lamps, electric
automobiles, motorcycles,
cellular phones, notebook
computers, walkie-talkies and
other personal electronic
devices.</t>
  </si>
  <si>
    <t xml:space="preserve">3751
3691</t>
  </si>
  <si>
    <t xml:space="preserve">ZAP CO/ADVANCED BATTERY TECHNOLOGIES INC-STRATEGIC ALLIANCE</t>
  </si>
  <si>
    <t xml:space="preserve">ZAP Co and Advanced Battery Technologies Inc formed a strategic alliance to
provide research and development services of advanced batteries for
electric cars in the United States. The alliance was expected utilize the
nanotechnology-based to create a new generation of lithium-polymer
batteries with efficient performance, life expectancy and safety.
Additionally, the alliance was to have a stable battery system, allowing
larger format lithium batteries with a safer, more robust chemistry.</t>
  </si>
  <si>
    <t xml:space="preserve">98912M
01837L</t>
  </si>
  <si>
    <t xml:space="preserve">BASF Corp
CogniTek Mgmt Sys Inc</t>
  </si>
  <si>
    <t xml:space="preserve">Ethyl Alcohol Manufacturing
Pvd research,dvlp svcs</t>
  </si>
  <si>
    <t xml:space="preserve">BASF Corp is a manufacturer
and wholesaler of ethyl
alcohol intermediates such
as PVP polymers, cosmetic
chemicals, isoptin and other
pharmaceuticals, Zerex
coolants and sokalan
polymers, plurafac
surfacants, fibers such as
carpet fibers, nylon and
rayon yarns polymers,
polyurethane chemicals,
elastomers and foams,
plastic foams, Elastocell
suspension components,
Ceilon carbon fibers and
adhesives.. The Company was
founded in 1986 and is
located in Florham Park, New
Jersey.
Provide research and
development services
specializing in applications
benefiting conductivity such
as conversion of nanoscale
materials into enhanced
fluids, phase change materials
and polymeric composites into
nanofluids, nano-PCMs and
nanocomposites</t>
  </si>
  <si>
    <t xml:space="preserve">NJ
IL</t>
  </si>
  <si>
    <t xml:space="preserve">BASF AG
CogniTek Mgmt Sys Inc</t>
  </si>
  <si>
    <t xml:space="preserve">BASF CORP/COGNITEK MANAGEMENT SYSTEMS INC-STRATEGIC ALLIANCE</t>
  </si>
  <si>
    <t xml:space="preserve">BASF Corp, a unit of BASF AG, and Cognitek Management Systems Inc formed a
strategic alliance to provide research and development services for
creation of high efficiency heat exchange utilizing ionic liquids,
supercritical carbon dioxide and ionic liquids, high efficiency heat pumps
and power generation in the United States. The alliance was expected to
examine whether the combined used of supercritical carbon dioxide and ionic
liquids gives rise to particularly efficient ways of using low temperature
heat sources for power generation. The alliance was to transform low
quality heat having comparatively low temperatures including solar,
geothermal, combustion waste heat, and bottom cycling of existing power
plants, into high value power generation.</t>
  </si>
  <si>
    <t xml:space="preserve">05526M
19274K</t>
  </si>
  <si>
    <t xml:space="preserve">Gene Network Sciences Inc
CombinatoRx Inc</t>
  </si>
  <si>
    <t xml:space="preserve">Manufacture prescription
pharmaceuticals intended for
final consumption, including
biotech products and
antibiotics
CombinatoRx Inc, located in
Cambridge, Massachusetts, a
biotechnology company
specializing in biological
complexities of human disease.
The company was founded in
2000.</t>
  </si>
  <si>
    <t xml:space="preserve">GENE NETWORK SCIENCES/COMBINATORX INC-STRATEGIC ALLIANCE</t>
  </si>
  <si>
    <t xml:space="preserve">Gene Network Sciences Inc and Combinatorx Inc formed a strategic alliance
to provide research and development services of multi-target therapeutic
drug candidates in the United States. Under terms of the agreement, the
alliance was expected to use protein expression and transcriptional
profiling data with GNS proprietary reverse engineering and forward
simulation platform to characterize unanticipated mechanisms underlying the
synergistic between  biological targets and drug development projects.
Financial terms were not disclosed.</t>
  </si>
  <si>
    <t xml:space="preserve">36057Y
20010A</t>
  </si>
  <si>
    <t xml:space="preserve">Ono Pharmaceutical Co Ltd
CeNeS Pharmaceuticals PLC</t>
  </si>
  <si>
    <t xml:space="preserve">Ono Pharmaceutical Co Ltd,
located in Osaka, Japan,
manufactures and wholesales
pharmaceuticals and
diagnostic reagents focusing
primarily on prescription
pharmaceuticals. The company
was founded in 1717.
CeNeS Pharmaceuticals PLC,
headquartered in Cambridge,
United Kingdom, manufactures
prescription pharmaceuticals
for disorders related to the
central nervous system
particularly in the areas of
pain, anesthesia and
neurology. The group is
focused on the development and
commercialization of novel
drugs for use by
hospital-based anesthetists,
pain specialists and
neurologists. The companys
portfolio of drug candidates
is targeted at postoperative
pain, neuropathic pain,
sedation, anaesthesia and
Parkinsons disease. The
company was founded in 1992.</t>
  </si>
  <si>
    <t xml:space="preserve">ONO PHARMACEUTICAL CO LTD /CENES PHARMACEUTICALS PLC(WAS 21890L)- STRATEGIC
ALLIANCE</t>
  </si>
  <si>
    <t xml:space="preserve">CeNeS Pharmaceuticals Plc (CP) and Ono Pharmaceutical Co Ltd (OP) formed a
strategic alliace wherein CP licensed OP to develop and commercialize its
new short-acting sedative CNS-7056 in Japan. OP was expected to pay CP
upfront and milestone paymenst based on development stage as well as
royalties on sales.</t>
  </si>
  <si>
    <t xml:space="preserve">68273Q
15145R</t>
  </si>
  <si>
    <t xml:space="preserve">Nektar Therapeutics
Bayer HealthCare LLC</t>
  </si>
  <si>
    <t xml:space="preserve">Nektar Therapeutics, located
in San Francisco,
California, is a
biopharmaceutical company
developing a pipeline of
drug candidates that utilize
its PEGylation and advanced
polymer conjugate technology
platforms, which are
designed to enable the
development of new molecular
entities that target known
mechanisms of action. The
company has developed a
non-invasive inhaled drug
delivery system for drugs
that treat pulmonary
diseases or that require
systemic distribution. The
company was founded in 1990.
Bayer HealthCare LLC, located
in Tarrytown, New York, is a
biotechnology company focused
on medical care. Its business
is comprised of blood glucose
meters, contrast-enhanced
diagnostic imaging equipment
together with the necessary
contrast agents, and
mechanical systems for
treating constricted or
blocked blood vessels. The
company was founded in 2002.</t>
  </si>
  <si>
    <t xml:space="preserve">Nektar Therapeutics
Bayer AG</t>
  </si>
  <si>
    <t xml:space="preserve">BAYER HEALTHCARE LLC /NEKTAR THERAPEUTICSSTRATEGIC ALLIANCE</t>
  </si>
  <si>
    <t xml:space="preserve">Bayer HealthCare LLC, a unit of Bayer Healthcare AG, and Nektar
Therapeutics formed a strategic alliance to provide research and
development services of NKTR-061 (inhaled amikacin) for treatment of
Gram-negative pneumonias in the United States. The alliances' agreement was
to fight infectious and respiratory diseases through the use of their
respective medical technologies and developmental techniques such as
specially-formulated amikacin, an aminoglycoside antibiotic, for inhalation
deep into the lung.</t>
  </si>
  <si>
    <t xml:space="preserve">640268
07289V</t>
  </si>
  <si>
    <t xml:space="preserve">Toshiba Corp
FDK Corp</t>
  </si>
  <si>
    <t xml:space="preserve">Mnfr,whl digital,electn prod
Mnfr,whl electronic prod</t>
  </si>
  <si>
    <t xml:space="preserve">Toshiba Corp, located in
Tokyo, Japan, manufactures
and wholesales digital and
electronic products. The
company has five business
segments. The Digital
Product segment manufactures
and sells televisions,
blu-ray disc (BD) players
and recorders, digital
versatile disc (DVD) players
and recorders, personal
computers (PCs) and combined
machines, among others. The
Electronic Device segment
provides general logic
integrated circuits (ICs),
optical semiconductors,
power devices, logic
large-scale integrated (LSI)
circuits, image sensors and
others. The Social
Infrastructure segment
offers various generation
systems, power distribution
systems, water and sewer
systems, transportation
systems and station
automation systems. The Home
Appliance segment provides
refrigerators, drying
machines, washing machines,
cooking utensils, cleaners
and lighting equipment. The
Others segment is involved
in the logistics business.
The company was founded in
1875.
FDK Corp is based in Tokyo,
Japan. The Group's
principal activities are to
manufacture and market
electronic materials, parts,
batteries and applied
products for electronics
industries. The operations
are carried out through the
following divisions:
Electronic Materials and
Batteries. The Electronic
materials division deals in
ferrite cores for television
display units and electric
power sources, microwave
parts, switching power
sources, converters, noise
filters, rotary transformers
for video tape recorders,
ferrite magnets, hybrid
integrated circuits and
magnetic heads. The
Batteries division
manufactures manganese dry
battery cells, alkaline dry
battery cells, lithium
batteries, dry battery cells
for radio and rescue buoys
and other dry battery
manufacturing equipment.</t>
  </si>
  <si>
    <t xml:space="preserve">3651
5065</t>
  </si>
  <si>
    <t xml:space="preserve">TOSHIBA CORP/FDK CORP-STRATEGIC ALLIANCE</t>
  </si>
  <si>
    <t xml:space="preserve">Toshiba Corp and FDK Corp, a unit of Fujitsu Ltd, planned to form a
strategic alliance to manufacture and develop batteries and materials for
the electrical devices in Japan. The parties expects to help lower there
development and production cost.</t>
  </si>
  <si>
    <t xml:space="preserve">891493
30274K</t>
  </si>
  <si>
    <t xml:space="preserve">Helm AG
Gedeon Richter Plc</t>
  </si>
  <si>
    <t xml:space="preserve">Whl drugs
Mnfr,whl pharmaceutical prod</t>
  </si>
  <si>
    <t xml:space="preserve">Wholesale drugs and other
chemicals focused on
national and international
distribution
Gedeon Richter Plc, located
in Budapest, Hungary,
manufactures and
pharmaceutical products. It
is engaged in the research,
development, production and
marketing of pharmaceutical
products and also in the
wholesale and retail of
these products. The
Company''s activities
concentrate on female
healthcare with such
gynecological products as
contraceptive pills or
hormone replacement therapy,
among others. It also
develops products for the
cardiovascular,
gastrointestinal and central
nervous system areas. The
Company maintains a direct
presence in 30 countries,
with a total of four
manufacturing sites, 30
representative offices and
14 commercial subsidiaries
and wholesalers. Its
activities are supported by
a number of subsidiaries,
joint ventures and
associated companies,
including ZAO Gedeon Richter
RUS, Gedeon Richter USA Inc,
Gedeon Richter UK Ltd,
Medimpex Jamaica Ltd,
Farnham Laboratories Ltd and
Pesti Sas Patika Bt. The
Company was founded in 1901.</t>
  </si>
  <si>
    <t xml:space="preserve">5122
2834</t>
  </si>
  <si>
    <t xml:space="preserve">Germany
Hungary</t>
  </si>
  <si>
    <t xml:space="preserve">GEDEON RICHTER PLC/HELM AG-JOINT VENTURE</t>
  </si>
  <si>
    <t xml:space="preserve">Biotechnology company
specialised on recombinant
proteins and plasmid DNA with
services including the
development of production
strains for recombinant
proteins and plasmid DNA, cGMP
cell banking (MCB, WCB) and
development of fermentation
and down stream processes. It
also offers contract
manufacturing services for a
broad range of bio- and
immunochemicals for research
applications and is one of few
companies which produce
cytokines like interleukins
according to GMP standard for
ex vivo/in vitro use.</t>
  </si>
  <si>
    <t xml:space="preserve">Gedeon Richter PLC (GR) and Helm AG (HA) planned to form a joint venture
named Strathmann Biotec GmbH &amp; Co KG (SB) to provide recombinant proteins
and plasmid DNA research and development services in Germany. GR was to
hold a 70% interest in SB while HA was to hold the remaining 30% stake. SB
was to be formed through the acquisition of its stakes from its parent,
Strathmann GmbH &amp; Co KG.</t>
  </si>
  <si>
    <t xml:space="preserve">30.00
70.00</t>
  </si>
  <si>
    <t xml:space="preserve">86306P</t>
  </si>
  <si>
    <t xml:space="preserve">42340E
76549A</t>
  </si>
  <si>
    <t xml:space="preserve">Archemix Corp
Isis Pharmaceuticals Inc</t>
  </si>
  <si>
    <t xml:space="preserve">Mnfr aptamer therapeutics
Biopharm co</t>
  </si>
  <si>
    <t xml:space="preserve">Archemix Corp, located in
Cambridge, Massachusetts,
manufactures aptamer-based
therapeutics for the
prevention and treatment of
chronic and acute diseases
through the use of proprietary
technologies such as selected
RNA and DNA scaffolds as
mimics or substitutes for
antibody-like binding domains.
The company was founded in
2001.
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</si>
  <si>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ARCHEMIX CORP/ISIS PHARMACEUTICALS INC-STRATEGIC ALLIANCE</t>
  </si>
  <si>
    <t xml:space="preserve">Archemix Corp (AC) and Isis Pharmaceuticals Inc (IP) formed a strategic
alliance wherein IP licensed AC to access its patents covering proprietary
chemistries, analytical methods and manufacturing methods related to the
research, development and commercialization of oligonucleotide-based
therapeutics to discover and develop drugs based on AC's SELEX technology.
IP was expected to receive milestones and royalties on aptamer therapeutics
and percentage of revenue generated by AC if AC sublicenses IP's
intellectual property to a third party for the development of aptamer
therapeutics. Specific financial terms were not disclosed.</t>
  </si>
  <si>
    <t xml:space="preserve">03949Q
464330</t>
  </si>
  <si>
    <t xml:space="preserve">BP Alternative Energy Ltd
Powerspan Corp</t>
  </si>
  <si>
    <t xml:space="preserve">Own,operate cogeneration plant
Mnfr environmental control</t>
  </si>
  <si>
    <t xml:space="preserve">BP Alternative Energy Ltd,
located in Middlesex, the UK,
owns and operates cogeneration
plant. The company was founded
in 2005.
Manufacture environmental
control products and
multi-pollutant control
technology for electric power
plants.</t>
  </si>
  <si>
    <t xml:space="preserve">499A
3822</t>
  </si>
  <si>
    <t xml:space="preserve">BP PLC
Powerspan Corp</t>
  </si>
  <si>
    <t xml:space="preserve">2911
3822</t>
  </si>
  <si>
    <t xml:space="preserve">BP ALTERNATIVE ENERGY/POWERSPAN CORP-STRATEGIC ALLIANCE</t>
  </si>
  <si>
    <t xml:space="preserve">BP Alternative Energy Ltd, a unit of BP PLC, and Powerspan Corp formed a
strategic alliance to provide research and development services of carbon
dioxide (CO2) capture technology for power plants globally. The alliance
was expected to offer a large scale capture and storage of CO2 from power
plants, which represents a major option for reducing greenhouse gases. The
alliance was a strategic investment opportunity both for the partners to
leverage their environmental control development services and to further
expand their market and product coverage worldwide.</t>
  </si>
  <si>
    <t xml:space="preserve">06098Q
73959J</t>
  </si>
  <si>
    <t xml:space="preserve">Samaritan Pharmaceuticals Inc
Georgetown University</t>
  </si>
  <si>
    <t xml:space="preserve">Biopharm co
Own,op college,university</t>
  </si>
  <si>
    <t xml:space="preserve">Samaritan Pharmaceuticals
Inc,based in Las Vegas,
Nevada, is a biopharmaceutical
company.The company was
founded in 1994.
Own and operate college and
university</t>
  </si>
  <si>
    <t xml:space="preserve">NV
DC</t>
  </si>
  <si>
    <t xml:space="preserve">SAMARITAN PHARMACEUTICALS INC/GEORGETOWN UNIVERSITY-STRATEGIC ALLIANCE</t>
  </si>
  <si>
    <t xml:space="preserve">Nevada</t>
  </si>
  <si>
    <t xml:space="preserve">Samaritan Pharmaceuticals Inc and Georgetown University formed a strategic
alliance to provide drug development services to treat Cushing's syndrome
in the United States. Cushing syndrome sometimes called hypercortisolism is
a hormonal disorder caused by prolonged exposure of the body's tissues to
high levels of stress hormone called cortisol.</t>
  </si>
  <si>
    <t xml:space="preserve">79586Q
373109</t>
  </si>
  <si>
    <t xml:space="preserve">Pacific Beach BioSciences Inc
Dong Wha Pharmaceutical</t>
  </si>
  <si>
    <t xml:space="preserve">Manufacture prescription
pharmaceuticals for treatment
and prevention of infectious
diseases
Manufacture prescription
pharmaceuticals intended for
final consumption, including
biotech products and
antibiotics</t>
  </si>
  <si>
    <t xml:space="preserve">PACIFIC BEACH BIOSCIENCES INC/DONG WHA PHARMACEUTICAL INDUSTRY CO
LTD-STRATEGIC ALLIANCE</t>
  </si>
  <si>
    <t xml:space="preserve">Pacific Beach BioSciences Inc (PB) and Dong Wha Pharmaceutical Industry Co
Ltd (DW) formed a strategic alliance wherein DW licensed PB to develop and
commercialize its Zabofloxacin for treatment of respiratory tract infection
worldwide except Japan, Korea,, China, Taiwan, Singapore, Indonesia, India,
Thailand, Malaysia, Vietnam, Hong Kong, Australia, and New Zealand.</t>
  </si>
  <si>
    <t xml:space="preserve">69230H
25779T</t>
  </si>
  <si>
    <t xml:space="preserve">Infinia Corp Inc
Emergence BioEnergy Inc</t>
  </si>
  <si>
    <t xml:space="preserve">Mnfr heat,power generators
Mnfr heat,power generators</t>
  </si>
  <si>
    <t xml:space="preserve">Infinia Corp Inc, located in
Kennewick, Washington,
manufactures Stirling engines,
heat and power generators as
well as cooling technology for
the military, government, and
commercial industries. The
company was founded in 1985.
Manufacture Stirling engines,
heat and power generators</t>
  </si>
  <si>
    <t xml:space="preserve">3511
3511</t>
  </si>
  <si>
    <t xml:space="preserve">WA
MA</t>
  </si>
  <si>
    <t xml:space="preserve">INFINIA CORP/EMERGENCE BIOENERGY INC-STRATEGIC ALLIANCE</t>
  </si>
  <si>
    <t xml:space="preserve">Bangladesh</t>
  </si>
  <si>
    <t xml:space="preserve">Infinia Corp and Emergence BioEnergy Inc formed a strategic alliance to
provide research and development services of biomass power systems in
Bangladesh. The alliance was expected to develop a 1-kilowatt free-piston
Stirling generator with a thermal appliance that would operate on methane
gas  produced by an anaerobic digester and converts livestock manure and
agricultural wastes into combustible biogas.</t>
  </si>
  <si>
    <t xml:space="preserve">44768W
29119J</t>
  </si>
  <si>
    <t xml:space="preserve">Icagen Inc
Pfizer Inc</t>
  </si>
  <si>
    <t xml:space="preserve">Mnfr pharm
Manufacture,wholesale pharmaceuticals</t>
  </si>
  <si>
    <t xml:space="preserve">Icagen Inc, located in Durham,
North Carolina, manufactures
prescription pharmaceuticals
focused on the discovery,
development and
commercialization of novel
small molecule drugs that
modulate ion channel targets.
The company was founded in
1992.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</si>
  <si>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NC
NY</t>
  </si>
  <si>
    <t xml:space="preserve">ICAGEN INC/PFIZER INC- STRATEGIC ALLIANCE</t>
  </si>
  <si>
    <t xml:space="preserve">Icagen inc (II) and Pfizer Inc formed a strategic alliance to provide
sodium ion channels research, development and commercialization services
worldwide. Under terms of the agreement, II and PI combined their resources
to identify compounds that target three ion channels as new potential
treatments for pain and related disorders. PI was expected to fund all
aspects of the agreement including research and preclinical development
efforts at II and was to also have exclusive worldwide rights to
commercialize products that result from the agreement.</t>
  </si>
  <si>
    <t xml:space="preserve">45104P
717081</t>
  </si>
  <si>
    <t xml:space="preserve">Sonkajarvi Municipality
Shell Canada Ltd</t>
  </si>
  <si>
    <t xml:space="preserve">City government
Pvd oil,gas exploration,prodn svcs</t>
  </si>
  <si>
    <t xml:space="preserve">City government
Shell Canada Ltd, located in
Calgary, Alberta, is an oil
and gas exploration and
production company which is
also engaged in
manufacturing chemicals. It
operates primarily in two
segments, Upstream and
Downstream. The Upstream
business explores and
extracts natural gas and
markets and trades natural
gas and power. The
Downstream business refines,
supplies, trades and ships
crude oil worldwide while
also manufacturing and
marketing a range of
products which include
fuels, lubricants, bitumen
and liquefied petroleum gas
for home, transport and
industrial use. It also
engaged in sulphur
production in Canada. The
Company was founded in 1911.</t>
  </si>
  <si>
    <t xml:space="preserve">999E
1311</t>
  </si>
  <si>
    <t xml:space="preserve">Sonkajarvi Municipality
Royal Dutch Shell PLC</t>
  </si>
  <si>
    <t xml:space="preserve">Finland
Netherlands</t>
  </si>
  <si>
    <t xml:space="preserve">999E
2911</t>
  </si>
  <si>
    <t xml:space="preserve">SONIC TECH SOLUTIONS INC/SHELL CANADA ENERGY- STRATEGIC ALLIANCE</t>
  </si>
  <si>
    <t xml:space="preserve">Sonic Technology Solutions Inc and Shell Canada Ltd, a unit of Royal Dutch
Shell PLC, formed a strategic alliance to provide oil sand extraction
technology development services in Canada.</t>
  </si>
  <si>
    <t xml:space="preserve">83276A
822567</t>
  </si>
  <si>
    <t xml:space="preserve">Rand Corp
Health Dialog Services Corp</t>
  </si>
  <si>
    <t xml:space="preserve">Provide research and
development services for
objective analysis and
effective solutions that
address the challenges such as
education, poverty, crime, and
the environment, as well as a
range of national security
issues, facing the nation and
the world
Health Dialog Services Corp,
located in Boston,
Massachusetts, provides
healthcare system research and
development services to
identify and address
unwarranted variation in
healthcare- the widespread
overuse, underuse, and misuse
of healthcare services.</t>
  </si>
  <si>
    <t xml:space="preserve">Rand Corp
Redi-Direct Marketing Inc</t>
  </si>
  <si>
    <t xml:space="preserve">8732
7372</t>
  </si>
  <si>
    <t xml:space="preserve">RAND CORP/HEALTH DIALOG SERVICES CORP-STRATEGIC ALLIANCE</t>
  </si>
  <si>
    <t xml:space="preserve">RAND Corp (RC) and Health Dialog Services Corp (HD) formed a strategic
alliance to provide new tools to evaluate quality and efficiency of
healthcare services worldwide. The alliance integrated RC's quality
measures into HD's existing provider performance measurement tools and care
management services. The alliance united the capabilities and expertise of
industry pioneers to pave way for a new provider performance measurement
system that provide best-in-class capabilities for measuring quality and
efficiency of healthcare.</t>
  </si>
  <si>
    <t xml:space="preserve">75218H
42186H</t>
  </si>
  <si>
    <t xml:space="preserve">IBM Corp
TDK Corp</t>
  </si>
  <si>
    <t xml:space="preserve">Manufacture computer products
Mnfr recording media prod</t>
  </si>
  <si>
    <t xml:space="preserve">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
TDK Corporation, based in
Tokyo, Japan, manufactures
recording media products.
The Group's principal
activities are to
manufacture and sale of
recording media, electronic
materials and components.
The operations are carried
out through the following
divisions: Electronic
materials and components and
Recording media. Electronic
materials and components
provide multiplayer ceramic
chip capacitors, ferrite
cores for coils and
transformers, EMC
components, sensors, IC's
for modems and LAN/WAN
applications and rare-earth
magnets and it also includes
coils, EMC components,
transformers, high-frequency
components, sensors, GMR
heads for hard disk drives,
heads for high-capacity
floppy disk drives and
optical pickups. Recording
media systems provide
audiotapes, CD-R's, Mini
Discs (MDs), DVDs and
tape-based data storage
media for computers. The
company was established in
December 1935.</t>
  </si>
  <si>
    <t xml:space="preserve">3571
3679</t>
  </si>
  <si>
    <t xml:space="preserve">INTERNATIONAL BUSINESS MACHINES CORP/TDK CORP - STRATEGIC ALLIANCE</t>
  </si>
  <si>
    <t xml:space="preserve">International Business Machines Corp {IBM} and TDK Corp (TC) formed a
strategic alliance to manufacture and develop high capacity Magnetic Random
Access Memory (MRAM) utilizing the spin momentum transfer effect. The
companies were to leverage their respective expertiese in order to create a
high capacity MRAM integrated circuit which can be used as standalone
memory or embedded into other IC solutions.</t>
  </si>
  <si>
    <t xml:space="preserve">459200
872351</t>
  </si>
  <si>
    <t xml:space="preserve">ethica Clinical Research Inc
Matrix Biosciences Pvt Ltd</t>
  </si>
  <si>
    <t xml:space="preserve">Provide research and
development services that
conducts and manages ethical
clinical research on drugs,
biologics, medical devices and
natural health products with
best practices in Clinical
Study Design and Development,
Clinical Study Management and
Monitoring, Data Management
and Statistic and Regulatory
and Government Affairs
Provide research and
development services focused
on aqua culture and
agricultural products and
infrastructure development</t>
  </si>
  <si>
    <t xml:space="preserve">ethica Clinical Research Inc
Cargill Inc</t>
  </si>
  <si>
    <t xml:space="preserve">ETHICA CLINICAL RESEARCHINC/MATRIX GROUP-ETHICAMATRIX CRO PVT LTD JOINT
VENTURE</t>
  </si>
  <si>
    <t xml:space="preserve">Provide clinical research
services including study
monitoring, data management
and investigator training to
domestic Indian life sciences
companies</t>
  </si>
  <si>
    <t xml:space="preserve">ethica Clinical Research Inc and Matrix Biosciences Pvt Ltd formed a joint
venture named ethicamatrix CRO Pvt Ltd (eC) to provide contract research
services in India. eC was expected to focus on clinical research including
study monitoring, data management, and investigator training.</t>
  </si>
  <si>
    <t xml:space="preserve">29723Y</t>
  </si>
  <si>
    <t xml:space="preserve">29723X
57705E</t>
  </si>
  <si>
    <t xml:space="preserve">Roskosmos
esa</t>
  </si>
  <si>
    <t xml:space="preserve">Space research agency
Pvd space research svcs</t>
  </si>
  <si>
    <t xml:space="preserve">Federal'noe kosmicheskoe
Agentstvo is a space
research establishment. The
Company was founded in
August 2015 and is located
in Moscow, the Russian
Federation.
European Space Agency is a
space research
establishment. The Company
was founded in July 1973 and
is located in Paris CEDEX 7,
France.</t>
  </si>
  <si>
    <t xml:space="preserve">9661
9661</t>
  </si>
  <si>
    <t xml:space="preserve">Russian Fed
France</t>
  </si>
  <si>
    <t xml:space="preserve">Russian Federation
esa</t>
  </si>
  <si>
    <t xml:space="preserve">999A
9661</t>
  </si>
  <si>
    <t xml:space="preserve">RUSSIAN SPACE AGENCY/EUROPEAN SPACE AGENCY{ESA} - STRATEGIC ALLIANCE</t>
  </si>
  <si>
    <t xml:space="preserve">Russian Federal Space Agency and European Space Agency formed a strategic
alliance to manufacture and develop spacecraft to be used in flights to
near-Earth orbit, to the moon and Mars. The parties agreed to develop a new
unmanned transport space system.</t>
  </si>
  <si>
    <t xml:space="preserve">78308F
29864W</t>
  </si>
  <si>
    <t xml:space="preserve">Enerize Corp
FiFe Batteries Ltd</t>
  </si>
  <si>
    <t xml:space="preserve">Mnfr lithium batteries
Mnfr batteries</t>
  </si>
  <si>
    <t xml:space="preserve">Manufacture lithium and
lithium-ion batteries, solar
cells, fuel cells and
supercapacitors
Manufacture lithium and
lithium-ion batteries</t>
  </si>
  <si>
    <t xml:space="preserve">3692
3691</t>
  </si>
  <si>
    <t xml:space="preserve">ENERIZE CORP/FIFE BATTERIES LTD-STRATEGIC ALLIANCE</t>
  </si>
  <si>
    <t xml:space="preserve">Enerize Corp and FiFe Batteries Ltd formed a strategic alliance to provide
research and development services of Li-ion rechargeable batteries for
various applications including hybrid-electric vehicles in the United
States. The alliance was expected to produce advanced electrode materials
based on new  types of TiO2 as well as high conductivity/high tap  density
MnO2 and low cost modified natural graphite material.</t>
  </si>
  <si>
    <t xml:space="preserve">29623L
31675Y</t>
  </si>
  <si>
    <t xml:space="preserve">PACCAR Inc
Eaton Corp</t>
  </si>
  <si>
    <t xml:space="preserve">Mnfr trucks,mining machinery
Mnfr,whl electrical components</t>
  </si>
  <si>
    <t xml:space="preserve">PACCAR Inc is a manufacturer
of trucks and amphibious
vehicles, mining machinery,
winches, and railroad
equipment. It offers light,
medium, and heavy-duty trucks,
under the Kenworth, Peterbilt
and DAF brand in the
Netherlands, United Kingdom,
Australia, Mexico, and Canada.
The Company was founded in
1905 and is located in
Bellevue, Washington.
Eaton Corp, located in
Cleveland, Ohio,
manufactures and wholesales
electrical components and
systems for power quality,
distribution and control;
hydraulics components,
systems and services for
industrial and mobile
equipment; aerospace fuel,
hydraulics and pneumatic
systems for commercial and
military use; and truck and
automotive drivetrain and
powertrain systems for
performance, fuel economy
and safety. It has
operations in the US,
Canada, Europe, Latin
America and Asia Pacific.
The company was founded in
1916.</t>
  </si>
  <si>
    <t xml:space="preserve">3711
3593</t>
  </si>
  <si>
    <t xml:space="preserve">WA
OH</t>
  </si>
  <si>
    <t xml:space="preserve">PACCAR INC/EATON CORP-STRATEGIC ALLIANCE</t>
  </si>
  <si>
    <t xml:space="preserve">PACCAR Inc and Eaton Corp formed a strategic alliance to provide research
and development services of hybrid heavy-duty commercial vehicles and
trucks in the United States. The alliance was a strategic investment
opportunity both for the partners to leverage their automotive development
services and to further expand their market and product coverage in North
America. Financial terms were not disclosed.</t>
  </si>
  <si>
    <t xml:space="preserve">693718
278058</t>
  </si>
  <si>
    <t xml:space="preserve">Photon Group Ltd
YouGov PLC</t>
  </si>
  <si>
    <t xml:space="preserve">Pvd integrated marketing svcs
Marketing Research and Public Opinion Polling</t>
  </si>
  <si>
    <t xml:space="preserve">Photon Group Ltd, located in
Surry Hills, Australia,
provides integrated
marketing services
specializing in retail
marketing and merchandising,
advertising, public
relations, graphic design,
digital printing, production
sales of promotion material
andof Sales (POS),
Point of Production (PO)
media planning and
communications, e-mail
marketing, events management
and direct marketing,
research based consultancy
and interactive promotional
marketing services. The
company was founded in 2000.
YouGov PLC provides market
research services. The
Company conducts online
research using proprietary
software to produce market
research, political and
media opinion polling and
stakeholder consultation.
The Company was founded in
May 2000 and is located in
London, the United Kingdom.</t>
  </si>
  <si>
    <t xml:space="preserve">Australia
United Kingdom</t>
  </si>
  <si>
    <t xml:space="preserve">YOUGOV PLC/PHOTON GROUP LTD-YOUGOVAUSTRALIA JOINT VENTURE</t>
  </si>
  <si>
    <t xml:space="preserve">Photon Group Ltd (PG)  and YouGov PLC (YG) terminated plans to form a joint
venture named YouGovAustralia (YA) to provide online market research
services in Australia. YA was to bring together YG's online expertise and
strong international brand with PG's local knowledge and established online
market research presence. PG was to hold 75% interest while YG held 25%
stake. YA intends to establish a representative internet panel of up to
50,000 Australians by October 2007 to enable it to conduct online polls for
the forthcoming Federal Elections. However on September 28, 2007, YG's
Board of Directors determined that the deal was not in the best interests
of YG shareholders.</t>
  </si>
  <si>
    <t xml:space="preserve">71938J
98747Z</t>
  </si>
  <si>
    <t xml:space="preserve">Averion International Corp
Biocancer</t>
  </si>
  <si>
    <t xml:space="preserve">Averion International Corp
provides research and
development services serving
the pharmaceutical,
biotechnology and medical
device/diagnostics industries
and was built upon a strong
foundation of clinical,
process and systems expertise
with major therapeutic
categories such as Oncology,
Dermatology, Medical Devices
and Nephrology.
Biocancer, headquartered in
Brazil and founded on 2003 is
an onlogy-focused drug
development company which
assist pharmaceutical,
biotechnology, medical device
and drug development services
companies.</t>
  </si>
  <si>
    <t xml:space="preserve">AVERION INTERNATIONAL CORP/BIOCANCER-STRATEGIC ALLIANCE</t>
  </si>
  <si>
    <t xml:space="preserve">Averion International Corp and Biocancer formed a strategic alliance to
provide oncology clinical research services in South America. The alliance
was expected to market and contract complementary services to
biotechnology, pharmaceutical and medical device companies. The alliance
was expected to offer significant value in global oncology trials by
providing superior clinical research support.</t>
  </si>
  <si>
    <t xml:space="preserve">05359M
37279T</t>
  </si>
  <si>
    <t xml:space="preserve">Hino Motors Ltd
Isuzu Motors Ltd</t>
  </si>
  <si>
    <t xml:space="preserve">Mnfr diesel trucks,buses
Manufacture,wholesale trucks,buses,engines</t>
  </si>
  <si>
    <t xml:space="preserve">Hino Motors Ltd, located in
Tokyo, Japan, manufactures,
distributes and markets
diesel trucks and buses,
passenger cars and pick up
trucks, semi-tractors,
special purpose vehicles
such as large-sized sight
seeing and route buses,
internal combustion engines
and spare parts. The
Group's main products are
diesel trucks and buses,
special-purpose vehicles,
industrial and marine diesel
engines and commissioned
vehicles. Founded in 1942.
Isuzu Motors Ltd,
headquartered in Tokyo, Japan,
manufactures and wholesales
automobiles. The Company
manufacture and wholesale
commercial vehicles and light
commercial vehicles (LCVs),
such as large-sized trucks,
buses, small-sized trucks and
pick-up trucks, as well as
automobile components and
industrial engines. In
addition, the Company is also
engaged in the provision of
related logistics services
through its subsidiaries. The
Company was founded in 1916.</t>
  </si>
  <si>
    <t xml:space="preserve">Toyota Motor Corp
Isuzu Motors Ltd</t>
  </si>
  <si>
    <t xml:space="preserve">HINO MOTORS LTD /ISUZU MOTORS -STRATEGIC ALLIANCE</t>
  </si>
  <si>
    <t xml:space="preserve">Isuzu Motors Ltd and Hino Motors Ltd, a unit of Toyota Motor Corp formed a
strategic alliance to provide exhaust gas aftertreatment system development
services for diesel engines and cabins of heavy duty trucks.</t>
  </si>
  <si>
    <t xml:space="preserve">433406
465254</t>
  </si>
  <si>
    <t xml:space="preserve">Kinemed Inc
Merck Serono SA</t>
  </si>
  <si>
    <t xml:space="preserve">Mnfr diagnostic assays
Biotech co</t>
  </si>
  <si>
    <t xml:space="preserve">Manufacture and develop
diagnostic assays for labeling
and measuring molecular flaxes
in living organisms in order
to measure the ability of a
drug to intervene in a
targeted disease process
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t>
  </si>
  <si>
    <t xml:space="preserve">Kinemed Inc
Merck KGaA</t>
  </si>
  <si>
    <t xml:space="preserve">KINEMED INC/MERCK SERONO SA-STRATEGIC ALLIANCE</t>
  </si>
  <si>
    <t xml:space="preserve">Kinemed Inc and Merck Serono SA, a unit of Merck KGAA formed a strategic
alliance to provide research and development services of metabolic pathways
present in both preclinical animal models and in humans globally. The
alliance was a strategic growth opportunity both for the partners to
leverage their medical development services and to further expand their
market and product coverage worldwide.</t>
  </si>
  <si>
    <t xml:space="preserve">49459P
589345</t>
  </si>
  <si>
    <t xml:space="preserve">Hyperion Therapeutics Inc
Ucyclyd Pharma Inc</t>
  </si>
  <si>
    <t xml:space="preserve">Mnfr,whl pharm prod
Mnfr pharm</t>
  </si>
  <si>
    <t xml:space="preserve">Hyperion Therapeutics Inc,
located in South San
Francisco, California, is a
biopharmaceutical company
focused on the development and
commercialization of novel
therapeutics to treat
disorders in the areas of
orphan diseases and
hepatology. The company was
founded in 2006.
Manufacture pharmaceuticals
for the treatment of treat
urea cycle disorders</t>
  </si>
  <si>
    <t xml:space="preserve">Hyperion Therapeutics Inc
Medicis Pharmaceutical Corp</t>
  </si>
  <si>
    <t xml:space="preserve">HYPERION THERAPEUTICS INC/UCYCLYD PHARMA INC-STRATEGIC ALLIANCE</t>
  </si>
  <si>
    <t xml:space="preserve">Hyperion Therapeutics Inc (HT) and Ucyclyd Pharma Inc (UP), a unit of
Medicis Pharmaceutical Corp formed a strategic alliance to provide research
and development services on the treatment of Urea Cycle Disorder, Hepatic
Encephalopathies and additional indications for AMMONUL (R) (sodium
phenylacetate/sodium benzoate) in the United States. HT paid UP $10 mil US
for rights and licenses granted in the agreement.</t>
  </si>
  <si>
    <t xml:space="preserve">Hyperion Therapeutics Inc paid Ucyclyd Pharma Inc $10 mil US for rights and
licenses granted in the agreement.</t>
  </si>
  <si>
    <t xml:space="preserve">44915N
90285H</t>
  </si>
  <si>
    <t xml:space="preserve">Peak Technologies UK Limited
Prosoft Software Inc</t>
  </si>
  <si>
    <t xml:space="preserve">Whl computers,peripherals
Pvd research,dvlp svcs</t>
  </si>
  <si>
    <t xml:space="preserve">Wholesale computers and
peripherals
Prosoft Software Inc, a
contract research
organization, provides
research and development
services with expertise in
Biostatistics, Data
Management, and Medical
Writing. It is focused on all
areas of drug and medical
development including
pre-clinical and clinical
phases I-IV in areas like
cardiovascular, dermatology,
respiratory, allergy,
immunology and CNS.</t>
  </si>
  <si>
    <t xml:space="preserve">5045
8731</t>
  </si>
  <si>
    <t xml:space="preserve">ENCORIUM GROUP INC/PROSOFT SOFTWARE INC-STRATEGIC ALLIANCE</t>
  </si>
  <si>
    <t xml:space="preserve">Encorium Group Inc and Prosoft Software Inc formed a strategic alliance to
provide research and development services in the United States. The
alliance was expected to provide biostatistical, data management and
consulting services relating to clinical trial design, implementation, data
analysis, and regulatory submissions.</t>
  </si>
  <si>
    <t xml:space="preserve">29696A
74161X</t>
  </si>
  <si>
    <t xml:space="preserve">Ashok Leyland Ltd
Nissan Motor Co Ltd</t>
  </si>
  <si>
    <t xml:space="preserve">Automobile Manufacturing
Automobile Manufacturing</t>
  </si>
  <si>
    <t xml:space="preserve">Ashok Leyland Ltd is a
holding company. The Company
is engaged in Commercial
vehicles and related
components. Through its
subsidiaries, it is engaged
in manufacturing and trading
in Medium and Heavy
Commercial Vehicle, Light
Commercial Vehicles,
Passenger vehicles,
automotive aggregates,
vehicle financing and
engineering design services.
It offers a range of 18 to
80-seater buses under
categories, such as city
application and electric
buses. It offers a range of
trucks, which include long
haul trucks, mining and
construction trucks, and
distribution trucks. It
designs, develops and
manufactures defense
vehicles for armed forces.
It offers Light Vehicles,
which include DOST, PARTNER,
STiLE and MiTR. It offers
power solutions for electric
power generation,
agricultural harvester
combines, earth moving and
construction equipment, and
marine and other
non-automotive applications.
It has operations in India,
Sri Lanka, Bangladesh,
Mauritius, the Middle East
and Africa. The Company was
founded in 1948 and is
located in Chennai, India.
Nissan Motor Co Ltd,
headquartered in Kanagawa,
Japan, and its main business
is the manufacture and sale
of automobiles and parts,
and provides sales finance
services to support sales
activities in the above
businesses. The Group has
established a global Nissan
headquarters function as a
global headquarters
function, allocating
resources to each business,
and managing the business of
the entire group. The Group
is operated by an
organization (Global Nissan
Group) that integrates
regional management through
the six regional management
committees and organic
activities across regions
based on functional axes
such as research and
development, purchasing, and
production. The company was
founded in 1933.</t>
  </si>
  <si>
    <t xml:space="preserve">India
Japan</t>
  </si>
  <si>
    <t xml:space="preserve">Hinduja Group
Nissan Motor Co Ltd</t>
  </si>
  <si>
    <t xml:space="preserve">NISSAN MOTOR CO LTD/ASHOK LEYLAND LTD-JOINT VENTURE</t>
  </si>
  <si>
    <t xml:space="preserve">Nissan Ashok Leyland
Technologies Pvt Ltd, based in
India, provides research and
development services of light
commercial vehicle (LCV) and
related powertrains. Founded
in 2008.</t>
  </si>
  <si>
    <t xml:space="preserve">Ashok Leyland Ltd and Nissan Motor Co Ltd terminated their joint venture
prior to the expiration date named Nissan Ashok Leyland Technologies Pvt
Ltd.</t>
  </si>
  <si>
    <t xml:space="preserve">100.00
</t>
  </si>
  <si>
    <t xml:space="preserve">65780W</t>
  </si>
  <si>
    <t xml:space="preserve">Y0266N
654743</t>
  </si>
  <si>
    <t xml:space="preserve">Synopsys Inc
Semiconductor Mnfg Intl Corp</t>
  </si>
  <si>
    <t xml:space="preserve">Develops electronic design automation software
Manufacture,whl semiconductors</t>
  </si>
  <si>
    <t xml:space="preserve">Synopsys Inc, headquartered
in Mountain View,
California, develops
electronic design automation
(EDA) software for the
global electronics market.
It offers technology-leading
semiconductor design and
verification software
platforms and integrated
circuit manufacturing
software products to enable
the development and
production of complex
systems-on-chips. It
provides a broad portfolio
of consulting and design
services covering all
critical phases of the
system-on-chip (SoC)
development process. It also
provides intellectual
property and design services
to simplify the design
process. It offers a range
of professional services to
help customers, improve
their internal design
methodologies and design
services ranging from
specialized assistance to
turnkey design. It operates
in the United States,
Europe, Japan and Asia
Pacific and other countries.
The Company was founded in
1986.
Semiconductor Manufacturing
International Corp is a
manufacturer and wholesaler
of semiconductors and
related device. It
manufactures semiconductor
pure-play integrated circuit
and finer line technologies.
It has 300-millimeter wafer
fabrication facility under
pilot production, 200mm
mega-fab in Shanghai, a
300mm mega-fab in Beijing, a
200mm fab in Tianjin, and a
200mm fab project under
development in Shenzhen. It
has operations in U.S.,
Europe, Japan, Taiwan and a
representative office in
Hong Kong. The Company was
founded in April 2000 and is
located in Shanghai, China.</t>
  </si>
  <si>
    <t xml:space="preserve">7372
3674</t>
  </si>
  <si>
    <t xml:space="preserve">SYNOPSYS INC /SMIC- STRATEGIC ALLIANCE</t>
  </si>
  <si>
    <t xml:space="preserve">Synopsys Inc and Semiconductor Manufacturing International Corp formed a
strategic alliance to provide research and development services of 130nm
and 90nm fab processes for the mobile TV market in China. The alliance was
a strategic opportunity both for the partners to leverage their chip low
power design development services and to further expand their market and
product coverage worldwide.</t>
  </si>
  <si>
    <t xml:space="preserve">871607
G8020E</t>
  </si>
  <si>
    <t xml:space="preserve">Nanyang Tech University
Chartered Semiconductor Mnfg</t>
  </si>
  <si>
    <t xml:space="preserve">Colleges, Universities, and Professional Schools
Mnfr semiconductors</t>
  </si>
  <si>
    <t xml:space="preserve">Nanyang Technological
University is a college
operator. The Company was
founded in 1955 and is
located in Singapore.
Chartered Semiconductor
Manufacturing Ltd,
headquartered in Singapore, is
engaged in the comprehensive
manufacture and fabrication of
wafers, semiconductors and
electronic systems for
technology and communications
applications. The company's
products include Logic,
Mixed-Signal and Memory. It
has five fabrication
facilities located in
Singapore with the last
facility, Fabs 7, to be
developed as the company's
first 300mm facility. It has
service operations in eight
countries in North America,
Europe and Asia. The company
was founded in November 1987.</t>
  </si>
  <si>
    <t xml:space="preserve">8221
3674</t>
  </si>
  <si>
    <t xml:space="preserve">Singapore
Singapore</t>
  </si>
  <si>
    <t xml:space="preserve">Nanyang Tech University
Ministry of Finance Singapore</t>
  </si>
  <si>
    <t xml:space="preserve">8221
999B</t>
  </si>
  <si>
    <t xml:space="preserve">NANYANG TECH UNIVERSITY/CHARTERED SEMICONDUCTOR MNFR-STRATEGIC ALLIANCE</t>
  </si>
  <si>
    <t xml:space="preserve">Nanyang Technological University and Chartered Semiconductor Manufacturing
Ltd formed a strategic alliance to provide research and development
services in  Singapore. The parties set up CharteredNTU, a 100 square-meter
joint laboratory to promote technology exchange and collaboration. The
research focused on nano-scale complementary metal-oxide-semiconductor
(CMOS) process technology and reliability.</t>
  </si>
  <si>
    <t xml:space="preserve">63025V
16133R</t>
  </si>
  <si>
    <t xml:space="preserve">Leadis Technology Inc
VP Dynamices Ltd</t>
  </si>
  <si>
    <t xml:space="preserve">Manufacture semiconductors
Mnfr semiconductors</t>
  </si>
  <si>
    <t xml:space="preserve">Leadis Technology Inc, based
in Sunnyvale, California
manufactures semiconductors
for small panel displays
enhancements. It offers
display driver product
solutions for portable
devices, which include thin
film transistor liquid crystal
displays for use in large
panel liquid crystal display
applications, such as notebook
PCs, flat panel monitors, and
televisions; super twisted
nematic liquid crystal display
for use in small panel
displays, such as displays
used in portable handsets, and
organic light-emitting diode
products. Headquartered in
Sunnyvale, California, it has
additional locations in South
Korea, Taiwan, China, Japan
and Hong Kong. The company was
founded in 2000.
Manufacture semiconductors
chip sets for LCD, OLED, PDP,
and EPD</t>
  </si>
  <si>
    <t xml:space="preserve">United States
Hong Kong</t>
  </si>
  <si>
    <t xml:space="preserve">LEADIS TECHNOLOGY INC/VP DYNAMICS LTD-STRATEGIC ALLIANCE</t>
  </si>
  <si>
    <t xml:space="preserve">Leadis Technology Inc and VP Dynamices Ltd formed a strategic alliance to
provide research and development services of color display drivers, LED
drivers, and audio ICs for mobile consumer electronic devices globally. The
alliance was a strategic investment opportunity both for the partners to
leverage their small/medium mobile display technology development services
and to further expand their market and product coverage worldwide.</t>
  </si>
  <si>
    <t xml:space="preserve">52171N
92388Q</t>
  </si>
  <si>
    <t xml:space="preserve">Dow AgroSciences LLC
Exelixis Inc</t>
  </si>
  <si>
    <t xml:space="preserve">Mnfr crop protection products
Biotechnology company</t>
  </si>
  <si>
    <t xml:space="preserve">Dow AgroSciences LLC, located
in Indianapolis, Indiana,
manufactures crop protection
products. It offers
insecticides including
herbicides, insecticides,
fumigants and fungicides. It
also provides agronomic seed
development services to offer
seeds for corn, sunflowers,
canola, cotton, soybeans and
alfalfa. The Company was
founded in 1989.
Exelixis Inc, located in South
San Francisco, California, is
a biotechnology company
focused on the discovery and
development of novel small
molecule therapeutics for
cancer and other serious
diseases. The company was
founded in 1994.</t>
  </si>
  <si>
    <t xml:space="preserve">IN
CA</t>
  </si>
  <si>
    <t xml:space="preserve">The Dow Chemical Co
Exelixis Inc</t>
  </si>
  <si>
    <t xml:space="preserve">2821
2836</t>
  </si>
  <si>
    <t xml:space="preserve">DOW AGROSCIENCES LLC(WAS 26055Y)/EXELIXIS INC-STRATEGIC ALLIANCE</t>
  </si>
  <si>
    <t xml:space="preserve">Dow AgroSciences LLC, a unit of Dow Chemical Co, and Exelixis Inc formed a
strategic alliance to provide research and development services of new
tools for gene discovery and validation of novel crop traits in the United
States. The alliance was a strategic investment opportunity both for the
partners to leverage their gene discovery and validation services and to
further expand their market and product coverage in the agricultural
sector.</t>
  </si>
  <si>
    <t xml:space="preserve">42867Y
30161Q</t>
  </si>
  <si>
    <t xml:space="preserve">ART Adv Research Tech Inc
National Research Council</t>
  </si>
  <si>
    <t xml:space="preserve">Mnfr medical imaging equip
State agency</t>
  </si>
  <si>
    <t xml:space="preserve">ART Advanced Research
Technologies Inc, located in
Montreal, Quebec, manufactures
medical imaging equipment,
including the research, design
and development of optical and
infrared imaging technologies
used in the detection of
medical anomalies. The company
was founded in 1993.
National Research Council of
Canada is a state agency which
provides research and
development services since
1916.</t>
  </si>
  <si>
    <t xml:space="preserve">3845
999D</t>
  </si>
  <si>
    <t xml:space="preserve">ART Adv Research Tech Inc
Canada</t>
  </si>
  <si>
    <t xml:space="preserve">3845
999A</t>
  </si>
  <si>
    <t xml:space="preserve">ART ADVANCED RESEARCH TECH INC /NATIONAL RESEARCH COUNCIL- STRATEGIC
ALLIANCE</t>
  </si>
  <si>
    <t xml:space="preserve">State-owned National Research Council of Canada and ART Advanced Research
Technologies Inc formed a strategic alliance to provide diagnostic
applications development services in molecular imaging in Canada. The
alliance was expected to provide better diagnostics using molecular
imaging, which can help identify and characterize brain specific targets
and develop improved therapies for neurodegenerative diseases affecting the
aging population.</t>
  </si>
  <si>
    <t xml:space="preserve">042881
63790A</t>
  </si>
  <si>
    <t xml:space="preserve">Takeda Pharmaceutical Co Ltd
H Lundbeck A/S</t>
  </si>
  <si>
    <t xml:space="preserve">Mnfr,whl pharmaceutical prod
Manufactures and wholesales pharmaceutical products</t>
  </si>
  <si>
    <t xml:space="preserve">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
H Lundbeck A/S, located in
Valby, Denmark, manufactures
and wholesales
pharmaceutical products. It
is engaged in the research,
development, manufacturing
and marketing of
pharmaceuticals for the
treatment of brain disorders
such as Alzheimer's
disease, Bipolar disorder,
depression, epilepsy,
Huntington's disease,
Parkinson's disease and
schizophrenia. Its product
portfolio includes: Cipralex
for the treatment of
depression and anxiety
disorders, Ebixa for the
treatment of Alzheimer's
disease, Azilect for the
treatment of Parkinson's
disease, Xenazine for the
treatment of Huntington's
disease and Sabril for the
treatment of epilepsy, among
others. It also operates
through a number of
subsidiaries, such as
Lundbeck SAS, Lundbeck GmbH,
SIA Lundbeck Latvia and
Lundbeck LLC. The Company
was founded on August 14,
2015.</t>
  </si>
  <si>
    <t xml:space="preserve">Japan
Denmark</t>
  </si>
  <si>
    <t xml:space="preserve">Takeda Pharmaceutical Co Ltd
Lundbeckfonden</t>
  </si>
  <si>
    <t xml:space="preserve">TAKEDA PHARMACEUTICAL CO LTD/H LUNDBECK A/S-STRATEGIC ALLIANCE</t>
  </si>
  <si>
    <t xml:space="preserve">Takeda Pharmaceutical Co Ltd and H Lundbeck A/S (HL) formed a strategic
alliance to provide research and development services on treatments of mood
and anxiety disorders in United States and Japan. HL was expected to
receive initial payment of $39.95 mil US (29.43 mil euros/ 219 mil Danish
krone.</t>
  </si>
  <si>
    <t xml:space="preserve">H Lundbeck A/S was expected to receive initial payment of $39.95 mil US
(29.43 mil euros/ 219 mil Danish krone.</t>
  </si>
  <si>
    <t xml:space="preserve">874058
4F8715</t>
  </si>
  <si>
    <t xml:space="preserve">Innocoll Inc
Bourne Partners LLC</t>
  </si>
  <si>
    <t xml:space="preserve">Mnfr pharm
Provide Investment bank services</t>
  </si>
  <si>
    <t xml:space="preserve">Innocoll Inc, located in
Aston, Pennsylvania
manufactures, develops and
markets prescription
pharmaceuticals including
biotech products and
antibiotics for the treatment
and prevention of hard and
soft tissue infection
post-surgery, skin ulcers,
pain management, and oncology
under the brand name CollaRx
and LiquiColl
Bourne Partners LLC, located
in Charlotte, North
Carolina, provides
investment banking and
financial advisory services
to the merger and
acquisitions of the domestic
and international healthcare
companies interested in
exploring corporate
development opportunities
worldwide. The services
provided includes corporate
partnering, seller services,
buyer services, and private
placements.</t>
  </si>
  <si>
    <t xml:space="preserve">2834
6211</t>
  </si>
  <si>
    <t xml:space="preserve">VA
NC</t>
  </si>
  <si>
    <t xml:space="preserve">INNOCOLL INC/BOURNE PARTNERS-COLLMED LABORATORIES INC JOINT VENTURE</t>
  </si>
  <si>
    <t xml:space="preserve">CollMED Laboratories Inc,
headquartered in Charlotte,
North Carolina and was a joint
venture between Innocoll Inc
and Bourne Partners LLC,
provides research and
development services as well
as manufactures and
commercializes CollaGUARD, a
purified type-I collagen
protein, which was used for
the management of deep wounds,
including coverage of skin
ulcers and temporary
dermatoplasty in the case of
lesion and burns, provides
barrier protection and
transparency of film
dressings, and allows the
clinician to visually inspect
and monitor the wound without
removal. The company was
founded in September 6, 2007.</t>
  </si>
  <si>
    <t xml:space="preserve">Innocoll Inc and Bourne Partners LLC formed a joint venture named CollMED
Laboratories Inc (CL) to provide research and development services, and
manufacture and commercialize CollaGUARD, a purified type-I collagen
protein, which was used for the management of deep wounds, including
coverage of skin ulcers and temporary dermatoplasty in the case of lesion
and burns, it also provides barrier protection and transparency of film
dressings, and allows the clinician to visually inspect and monitor the
wound without removal in the United States. CL's formation was a strategic
growth opportunity both for the partners to leverage their medical and
health care services and to further strengthen their market position in the
industry.</t>
  </si>
  <si>
    <t xml:space="preserve">19515M</t>
  </si>
  <si>
    <t xml:space="preserve">45517F
10205J</t>
  </si>
  <si>
    <t xml:space="preserve">Alnylam Pharmaceuticals Inc
Isis Pharmaceuticals Inc</t>
  </si>
  <si>
    <t xml:space="preserve">Manufacture biological products
Biopharm co</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</si>
  <si>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</si>
  <si>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ALNYLAM PHARMACEUTICALS INC /ISIS PHARMACEUTICALS INC- JOINT VENTURE</t>
  </si>
  <si>
    <t xml:space="preserve">Regulus Therapeutics LLC,
headquartered in the United
States and founded on 2007,
manufactures, discovers,
develops and commercializes
microRNA therapeutics that
intends to address
therapeutic opportunities
that arise from abnormal
expression or mutations in
microRNAs.</t>
  </si>
  <si>
    <t xml:space="preserve">Alnylam Pharmaceuticals Inc and Isis Pharmaceuticals Inc formed a joint
venture named Regulus Therapeutics LLC to manufacture, discover, develop
and commercialize microRNA therapeutics that intends to address therapeutic
opportunities that arise from abnormal expression or mutations in
microRNAs.</t>
  </si>
  <si>
    <t xml:space="preserve">75915K</t>
  </si>
  <si>
    <t xml:space="preserve">02043Q
464330</t>
  </si>
  <si>
    <t xml:space="preserve">Digeo Inc
Monster Cable Products Inc</t>
  </si>
  <si>
    <t xml:space="preserve">Mnfr digital media recorder
Manufacture cables</t>
  </si>
  <si>
    <t xml:space="preserve">Digeo Inc, headquartered in
the Kirkland, Washington,
manufactures Moxi digital
media recorder (DMR), high
definition (HD) programming,
digital media management of
photography and music with
Moxi Photos and Moxi Jukebox
and develop leading edge
software technologies, custom
silicon innovation, and full
OCAP support that provide cost
effective and content rich
media solutions to customers.
Monster Cable Products Inc,
headquartered in Brisbane,
California, manufactures
audio cables. It offers it
also offers headphones,
video cables, speaker wires,
CDs, cable splitters and
adapters, and memory cards.
It was founded 1979.</t>
  </si>
  <si>
    <t xml:space="preserve">3663
3678</t>
  </si>
  <si>
    <t xml:space="preserve">DIGEO INC/MONSTER-STRATEGIC ALLIANCE</t>
  </si>
  <si>
    <t xml:space="preserve">Digeo Inc (DI) and Monster Cable Products Inc (MC) formed a strategic
alliance to provide IP-connected entertainment product development
services. The alliance was expected to allow DI and MC to combine the
premium entertainment experience delivered by DI's Moxi products with broad
product line-up offered by MC.</t>
  </si>
  <si>
    <t xml:space="preserve">25375T
61169M</t>
  </si>
  <si>
    <t xml:space="preserve">Baxter International Inc
Halozyme Therapeutics Inc</t>
  </si>
  <si>
    <t xml:space="preserve">Surgical and Medical Instrument Manufacturing
Biotechnology company</t>
  </si>
  <si>
    <t xml:space="preserve">Baxter International Inc,
located in Deerfield,
Illinois, manufactures and
wholesale biological
products. The Company
manufactures and markets
products related to blood
and circulatory system
including biopharmaceutical
and blood collection and
separation products and
technologies, technologies
and systems to improve
intravenous medication
delivery, products and
services to treat end-stage
kidney disease, products and
services to treat late-stage
heart disease and vascular
disorders. The Company
operates through three
segments: BioScience,
Medication Delivery, and
Renal. The Company was
founded in 1931.
Halozyme Therapeutics Inc,
located in San Diego,
California, is a
biotechnology company for
the development and
commercialization of
recombiant human enzymes for
the infertility,
ophthalmology and oncology
communities. The company was
founded in 1998.</t>
  </si>
  <si>
    <t xml:space="preserve">BAXTER INTERNATIONAL INC/HALOZYME THERAPEUTICS INC-STRATEGIC ALLIANCE</t>
  </si>
  <si>
    <t xml:space="preserve">Halozyme Therapeutics Inc and Baxter International Inc formed a strategic
alliance to provide research and development services of subcutaneous route
of administration to recombinant human hyaluronidase in the United States.
The alliance was a strategic investment opportunity both for the partners
to leverage their proprietary drug development services and to further
expand their market and product coverage worldwide.</t>
  </si>
  <si>
    <t xml:space="preserve">071813
40637H</t>
  </si>
  <si>
    <t xml:space="preserve">Ness Technologies Inc
Brocade Commun Sys Inc</t>
  </si>
  <si>
    <t xml:space="preserve">Pvd information tech svcs
Develop data commune software</t>
  </si>
  <si>
    <t xml:space="preserve">Ness Technologies Inc,
located in Tel Aviv, Israel,
provides information
technology services. The
firm specializes in the
design and deployment of
leading-edge information
management solutions,
supplied by an
infrastructure of global
resources. It serves the
following industries
government and defense,
financial services, life
sciences and healthcare,
telecommunications and
utilities, and independent
software vendors. The Ness
and V-Ness are the primary
trademarks and trade names
of the Group. It operates in
16 countries across North
America, Europe, and Asia.
The company was founded in
1999.
Brocade Communications
Systems Inc, located in San
Jose, California, provides
storage area networking
infrastructure solutions and
manufactures fabric switches
and storage devices which
are used to connect servers
with external storage
devices through a SAN,
creating a highly reliable
and scalable environment for
data-intensive storage
applications. The Company
was founded in 1995.</t>
  </si>
  <si>
    <t xml:space="preserve">NESS TECHNOLOGIES INC(WAS 64099E)/BROCADE COMMUNICATIONS SYSTEMS INC -
STRATEGIC ALLIANCE</t>
  </si>
  <si>
    <t xml:space="preserve">Ness Technologies Inc and Brocade Communications Systems Inc formed a
strategic alliance to develop file area network that help enterprises
connect, share and manage their information in India. The alliance
established a Research and Development Center in Pune.</t>
  </si>
  <si>
    <t xml:space="preserve">Software Development Services
Research &amp; Development Services</t>
  </si>
  <si>
    <t xml:space="preserve">64104X
111621</t>
  </si>
  <si>
    <t xml:space="preserve">SGX Pharmaceuticals Inc and Novartis AG formed a strategic alliance to
provide BCL-ABL inhibitors development and commercialization services for
the treatment of both first line and drug resistant Chronic Myelogenous
Leukemia.</t>
  </si>
  <si>
    <t xml:space="preserve">Cellcyte Genetics Corp
Cleveland Clinic Foundation</t>
  </si>
  <si>
    <t xml:space="preserve">Biotech co
Own,operates hospitals</t>
  </si>
  <si>
    <t xml:space="preserve">Cellcyte Genetics Corp,
located in Kirkland,
Washington, a biotechnology
company focused in the
principle business of the
discovery, development and
commercialization of
breakthrough stem cell
enabling therapeutic products
and treatments for oncology,
diabetes, heart, liver, lung
and kidney diseases.
Cleveland Clinic Foundation,
located in Cleveland, Ohio,
owns and operates hospitals
and other health facilities.
It is a academic medical
center that operates the
Cleveland Clinic Florida,
Fairview, Lakewood,
Lutheran, Marymount, Euclid,
Hillcrest, Huron, and South
Pointe hospitals. The
Company was founded in 1921.</t>
  </si>
  <si>
    <t xml:space="preserve">2836
8011</t>
  </si>
  <si>
    <t xml:space="preserve">CELLCYTE GENETICS CORP/CLEVELAND CLINIC FOUNDATION-STRATEGIC ALLIANCE</t>
  </si>
  <si>
    <t xml:space="preserve">Cellcyte Genetics Corp and Cleveland Clinic Foundation formed a strategic
alliance to provide research and development services of of heart receptors
involved in stem  cell trafficking in normal and diseased human hearts in
the United States. The alliance was a strategic investment opportunity both
for the partners to leverage their medical development services and to
further expand their market and product coverage regionally.</t>
  </si>
  <si>
    <t xml:space="preserve">15116P
18587X</t>
  </si>
  <si>
    <t xml:space="preserve">Innocoll Technologies Ltd
TGR BioSciences Pty Ltd</t>
  </si>
  <si>
    <t xml:space="preserve">Innocoll Technologies Ltd,
located in Co. Roscommon,
provides research,
development, and commercial
supply services of advanced,
differentiated products using
collagen-based technology
platforms known as CollaRx and
LiquiColl, and Gentamicin
Surgical Implant for the
treatment and prevention of
surgical site infections.
TGR BioSciences Pty Ltd is a
manufacturer of biological
products. The Company is
located in Thebarton,
Australia.</t>
  </si>
  <si>
    <t xml:space="preserve">Ireland-Rep
Australia</t>
  </si>
  <si>
    <t xml:space="preserve">Innocoll Inc
TGR BioSciences Pty Ltd</t>
  </si>
  <si>
    <t xml:space="preserve">INNOCOL TECHNOLOGIES LTD/TGR BIOSCIENCES PTY LTD-STRATEGIC ALLIANCE</t>
  </si>
  <si>
    <t xml:space="preserve">Innocoll Technologies Ltd, a unit of Innocoll Inc, and TGR BioSciences Pty
Ltd formed a strategic alliance to provide research and development
services of collagen-based drug delivery technology and wound healing
compound known as TGR-265 globally. The alliance was a strategic investment
opportunity both for the partners to leverage their medical development
services and to further expand their market and product coverage
worldwide.</t>
  </si>
  <si>
    <t xml:space="preserve">45517H
87751Y</t>
  </si>
  <si>
    <t xml:space="preserve">Aviza Technology Inc
Mosel Vitelic Inc</t>
  </si>
  <si>
    <t xml:space="preserve">Aviza Technology Inc,
headquartered in the United
States, manufactures and
wholesales semiconductors
processing equipment and
supplier of advanced wafer
processing equipment.
Mosel Vitelic Inc,
headquartered in Hsinchu,
Taiwan, manufactures and
wholesales semiconductors such
as dynamic RAM's and low power
static RAM's for worldwide
markets. The company was
founded in 1987.</t>
  </si>
  <si>
    <t xml:space="preserve">AVIZA TECHNOLOGY INC/MOSEL VITELIC CORP-STRATEGIC ALLIANCE</t>
  </si>
  <si>
    <t xml:space="preserve">Aviza Technology Inc (AT) and Mosel Vitelic Inc (MV) formed a strategic
alliance to manufacture and develop advanced atomic layer deposition (ALD)
materials for next generation Flash applications. Under terms of the
agreement, AT was expected to provide the necessary ALD hardware and
process expertise for advanced materials development while MV provide the
device design and process integration to develop essential ALD films to
meet MV's technical and manufacturing requirements.</t>
  </si>
  <si>
    <t xml:space="preserve">05381A
61963R</t>
  </si>
  <si>
    <t xml:space="preserve">Novozymes A/S
CTC SA</t>
  </si>
  <si>
    <t xml:space="preserve">Mnfr,wholesale enzyme products
Mnfr bioethanol</t>
  </si>
  <si>
    <t xml:space="preserve">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
Centro de Tecnologia
Canavieira SA is a
manufacturer of ethyl alcohol.
The Company is located in
Piracicaba Sao Paulo, Brazil.</t>
  </si>
  <si>
    <t xml:space="preserve">2836
2869</t>
  </si>
  <si>
    <t xml:space="preserve">Denmark
Brazil</t>
  </si>
  <si>
    <t xml:space="preserve">NOVOZYMES A/S/CENTRO DE TECNOLOGIA CANAVIEIRA-STRATEGIC ALLIANCE</t>
  </si>
  <si>
    <t xml:space="preserve">Novozymes A/S and Centro de Tecnologia Canavieira planned to form a
strategic alliance to manufacture and develop bioethanol from bagasse, a
residual product of sugar production. The partners were to conduct
development work in Brazil with contributions from NA's centers in the
United States and Denmark.</t>
  </si>
  <si>
    <t xml:space="preserve">67026F
15618M</t>
  </si>
  <si>
    <t xml:space="preserve">Indian Oil Corp Ltd
Indian Institute of Technology</t>
  </si>
  <si>
    <t xml:space="preserve">Manufacture,wholesale petroleum products
Pvd research,dvlp svcs</t>
  </si>
  <si>
    <t xml:space="preserve">Indian Oil Corp Ltd, located
in New Delhi, India,
manufactures and wholesales
petroleum and petroleum
products. It is also
involved in the exploration
production of crude oil and
gas; and marketing of
natural gas and
petrochemicals. The Company
was founded in 1959.
Indian Institute of Technology
Madras is a provider of
research and development
services. The Company is
located in Chennai, India.</t>
  </si>
  <si>
    <t xml:space="preserve">INDIAN OIL CORP LTD/INDIAN INSTITUTE OF TECHNOLOGY-STRATEGIC ALLIANCE</t>
  </si>
  <si>
    <t xml:space="preserve">Indian Oil Corp Ltd (IO) and Indian Institute of Technology Madras (II)
formed a strategic alliance to provide research and development services in
India. The alliance was expected to process for the preparation of alumina
with special characteristics. The alumina was expected to be used for
making cost effective and state of the art hydroprocessing catalysts. IO
and II were also expected to explore methodologies for establishing
structure property correlations of indigenously developed catalyst system
form the alumina.</t>
  </si>
  <si>
    <t xml:space="preserve">Y3922C
45429A</t>
  </si>
  <si>
    <t xml:space="preserve">Comarco Inc
Ascom Holding AG</t>
  </si>
  <si>
    <t xml:space="preserve">Mnfr commun equip
Pvd wireless telecommun svcs</t>
  </si>
  <si>
    <t xml:space="preserve">Comarco Inc, headquartered in
Lake Forest, California,
manufactures remote voice
systems and mobile power
products for notebook
computers, cellular
telephones, and personal
organizers. It also provides
wireless test solutions for
field test applications,
wireless emergency call box
systems, and ChargeSource
universal mobile power
products. The company was
founded in 1960.
Ascom Holding AG, located in
Bern, Switzerland, provides
wireless telecommunication
services. The company also
develops software solutions
for security, communication,
automation and control systems
for infrastructure operators,
public security institutions
and the army. The company was
founded in 1987.</t>
  </si>
  <si>
    <t xml:space="preserve">3663
4899</t>
  </si>
  <si>
    <t xml:space="preserve">COMARCO INC/ASCOM HOLDING AG-STRATEGIC ALLIANCE</t>
  </si>
  <si>
    <t xml:space="preserve">Comarco Inc and Ascom Holding AG formed a strategic alliance to provide
cellular network testing systems for the third and fourth generation
wireless networks services worldwide. CI's Wireless Testing Division and
AH's Mobile Test Solutions were expected to co develop advanced test and
measurement systems for 3G and 4G standards,and share sales and support
resources on a global basis.</t>
  </si>
  <si>
    <t xml:space="preserve">200080
04363T</t>
  </si>
  <si>
    <t xml:space="preserve">Xenomics Inc
Ipsogen SAS</t>
  </si>
  <si>
    <t xml:space="preserve">Pvd medical research svcs
Biotechnology company</t>
  </si>
  <si>
    <t xml:space="preserve">Xenomics Inc, located in New
York, New York, provides
medical/health research
services particularly in the
field of TB detection and
therapeutic monitoring, HIV
proviral DNA , and detection
of early cancer genetic
markers.
Ipsogen SAS, headquartered in
Marseille, France, is a
biotechnology company
specializing in the treatment
of Leukemia, with products
such as JAK2 MutaScreen,
FusionQuant, ProfileQuant,
IpsoQuant, and FusionChip.
Founded in 1999 and with more
than 60 products already used
routinely worldwide for the
diagnosis, prognosis and
followup of thousands of
patients with leukemia,
IPSOGEN is now also targeting
breast cancer. The company
also has a subsidiary, IPSOGEN
Inc., in New Haven,
Connecticut, USA.</t>
  </si>
  <si>
    <t xml:space="preserve">8099
2836</t>
  </si>
  <si>
    <t xml:space="preserve">XENOMICS INC/IPSOGEN SAS-STRATEGIC ALLIANCE</t>
  </si>
  <si>
    <t xml:space="preserve">Xenomics Inc and Ipsogen SAS formed a strategic alliance to provide
research and development services of diagnotic products for the treatment
of leukemia globally. The alliance was a strategic investment opportunity
both for the partners to leverage their medical development services and to
further expand their market and product coverage worldwide.</t>
  </si>
  <si>
    <t xml:space="preserve">98410V
46780X</t>
  </si>
  <si>
    <t xml:space="preserve">Microbia Inc
Forest Laboratories Inc</t>
  </si>
  <si>
    <t xml:space="preserve">Mnfr prescription pharm
Mnfr,wholesale pharmaceuticals</t>
  </si>
  <si>
    <t xml:space="preserve">Microbia Inc, located in
Lexington, Massachusetts,
manufactures prescription
pharmaceuticals intended for
final consumption. Its
products include
biotechnological products and
antibiotics.
Forest Laboratories Inc,
located in New York, New York,
manufactures and wholesales
prescription pharmaceuticals
intended for final
consumption, including biotech
products and antibiotics for
the therapeutic areas of the
central nervous,
cardiovascular and respiratory
systems. The holding company
was founded in 1954.</t>
  </si>
  <si>
    <t xml:space="preserve">MICROBIA INC/FOREST LABORATORIES INC-STRATEGIC ALLIANCE</t>
  </si>
  <si>
    <t xml:space="preserve">Microbia Inc. and Forest Laboratories Inc formed a strategic alliance to
provide research, development and marketing services of linaclotide
compound for the treatment of constipation-predominant irritable bowel
syndrome (IBS-C), chronic constipation (CC), and other gastrointestinal
disorders in the United States. The alliance was a strategic prospect both
for the partners to leverage their medical development services and to
further expand their market coverage worldwide.</t>
  </si>
  <si>
    <t xml:space="preserve">59477M
345838</t>
  </si>
  <si>
    <t xml:space="preserve">Siemens Medical Solutions Inc
Xintek Inc</t>
  </si>
  <si>
    <t xml:space="preserve">Manufactures and wholesales diagnostic and therapeutic imaging products
Mnfr nanotube</t>
  </si>
  <si>
    <t xml:space="preserve">Siemens Medical Solutions
Inc, located in Malvern,
Pennsylvania, manufactures
and wholesales medical,
dental, surgical and
hospital equipment and
supplies. It offers
detection and diagnosis,
performance and financial
solutions, accessory
solutions, information
technology, therapy systems,
patient care solutions,
laboratory diagnostics, and
pediatric imaging solutions.
Xintek Inc, located in
Research Triangle Park, North
Carolina, develops and
manufactures
nanotechnology-enabled
products for range of
applications including
diagnostic medical imaging,
homeland security, and
information display, with
products such as carbon
nanotube materials, and carbon
nanotube enabled cold diode
and triode cathodes, AFM tips
and x-ray tubes.</t>
  </si>
  <si>
    <t xml:space="preserve">3842
3671</t>
  </si>
  <si>
    <t xml:space="preserve">PA
NC</t>
  </si>
  <si>
    <t xml:space="preserve">Siemens AG
Nano Proprietary Inc</t>
  </si>
  <si>
    <t xml:space="preserve">3663
8731</t>
  </si>
  <si>
    <t xml:space="preserve">SIEMENS MEDICAL SOLUTIONS INC/XINTEK INC-XINRAY SYSTEMS INC JOINT VENTURE</t>
  </si>
  <si>
    <t xml:space="preserve">Siemens Medical Solutions Inc, a unit of Siemens AG, and Xintek Inc, a unit
of Nano Proprietary Inc planned to form a joint venture named XinRay
Systems Inc (XS) to develop and manufacture multi-pixel X-ray source
technology for diagnostic imaging applications in the United States. XS'
new technology was to be used in medical imaging and therapy, homeland
security, and industrial inspection. XS was to be based and operational in
North Carolina. Under terms of the agreement, the partners were to transfer
their facilities and technical team in Germany and China to XS.</t>
  </si>
  <si>
    <t xml:space="preserve">82614X
98415W</t>
  </si>
  <si>
    <t xml:space="preserve">Artisan Pharma Inc
A-Bio Pharma Pte Ltd</t>
  </si>
  <si>
    <t xml:space="preserve">Artisan Pharma Inc, based in
Waltham, Massachusetts is a
biotechnology company. It
offers ART-123, a novel,
recombinant, and soluble
thrombomodulin for the
treatment of disseminated
intravascular coagulation in
sepsis. Operations are carried
out in Japan, China, Taiwan
and Korea. It was founded in
2006.
A-Bio Pharma Pte Ltd, located
in Singapore, manufactures
prescription pharmaceuticals
intended for final
consumption, including biotech
products and antibiotics. The
company was founded on 17
August 2001.</t>
  </si>
  <si>
    <t xml:space="preserve">United States
Singapore</t>
  </si>
  <si>
    <t xml:space="preserve">Artisan Pharma Inc
AsiaPharm Holdings Ltd</t>
  </si>
  <si>
    <t xml:space="preserve">ARTISAN PHARMA/A-BIO PHARMA-STRATEGIC ALLIANCE</t>
  </si>
  <si>
    <t xml:space="preserve">Artisan Pharma (AP) and A-Bio Pharma Pte Ltd (AB) formed a strategic
alliance to manufacture ART-123, a recombinant protein for the treatment of
DIC (disseminated intravascular coalulation) in sepsis. AB was expected to
undertake the various development and validation activities necessary to
ensure further clinical development and commercial supply of ART-123 for AP
and in return, AP was expected to enter into a preferential and long term
supply agreement with AB. Specific terms were not disclosed.</t>
  </si>
  <si>
    <t xml:space="preserve">04250C
01244X</t>
  </si>
  <si>
    <t xml:space="preserve">ActiveSight
CHDI Inc</t>
  </si>
  <si>
    <t xml:space="preserve">Biotech co
Pvd drug discovery svcs</t>
  </si>
  <si>
    <t xml:space="preserve">ActiveSight, a unit of
Rigaku/MSC, is a biotechnology
company that provides fragment
screening and
co-crystallization of human
drug targets with client small
molecules in order to discover
new drugs. Included in its
Protein Portfolio are Syk,
IGF1R, iNOS, PPAR gamma and
Renin.
CHDI Inc is a non profit
organization focused on the
search for Huntington disease
(HD) treatments. It
collaborates with other
companies in order to pursue
drug discovery and development
as well as translational
research.</t>
  </si>
  <si>
    <t xml:space="preserve">Rigaku Corp
CHDI Inc</t>
  </si>
  <si>
    <t xml:space="preserve">ACTIVESIGHT/CHDI INC-STRATEGIC ALLIANCE</t>
  </si>
  <si>
    <t xml:space="preserve">ActiveSight (AS), a unit of Rigaku Corp's Rigaku/MSC subsidiary, and CHDI
Inc (CI) formed a strategic alliance to provide research and development
services in the United States. The alliance was expected to develop small
molecules for the potential treatment of Huntington Disease through their
Fragment-based Lead Discovery project.</t>
  </si>
  <si>
    <t xml:space="preserve">75206Q
12385W</t>
  </si>
  <si>
    <t xml:space="preserve">LigoCyte Pharmaceuticals Inc
Biogen Idec Inc</t>
  </si>
  <si>
    <t xml:space="preserve">Mnfr pharmaceutical prod
Biotechnology company</t>
  </si>
  <si>
    <t xml:space="preserve">LigoCyte Pharmaceuticals Inc,
headquartered in the Bozeman,
Montana, manufactures
prescription pharmaceutical
products intended to modify
immune responses by focusing
on cell binding interactions
and their role in the immune
system. The company was
founded in 1998.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</si>
  <si>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MT
MA</t>
  </si>
  <si>
    <t xml:space="preserve">LIGOCYTE PHARMACEUTICALS INC/BIOGEN IDEC INC-STRATEGIC ALLIANCE</t>
  </si>
  <si>
    <t xml:space="preserve">Montana</t>
  </si>
  <si>
    <t xml:space="preserve">Ligocyte Pharmaceuticals Inc (LP) and Biogen Idec Inc formed a strategic
alliance to provide therapies development services targeting CD103 for the
treatment of chronic inflammatory diseases including potential respiratory,
gastrointestinal and autoimmune indications. LP was expected to receive
milestone payments on the successful development of drug candidates.</t>
  </si>
  <si>
    <t xml:space="preserve">53225R
09062X</t>
  </si>
  <si>
    <t xml:space="preserve">Fujitsu Ltd
Denali Software Inc</t>
  </si>
  <si>
    <t xml:space="preserve">Mnfr,whl computer,sys
Dvlp electn design software</t>
  </si>
  <si>
    <t xml:space="preserve">Fujitsu Ltd, headquartered
in Tokyo, Japan, is engaged
in the information
communication technology
(ICT) business. It has three
segments. The Technology
Solution segment
manufactures and sells
products including various
servers, storage systems,
various types of software,
network management systems
and optical transport
systems, as well as the
provision of system
integrations services,
consulting services, front
technology services, network
services and system support
services. The Ubiquitous
personal computers, mobile
phones, as well as audio
navigational devices, mobile
communication equipment and
automobile electronic
devices. The Device Solution
segment manufactures and
sells large scale
integrations (LSIs),
semiconductor packages,
batteries, relays and
connectors, optical
transmitter and receiver
modules, among others. It
was founded in 1935.
Denali Software Inc, located
in Sunnyvale, California,
develops electronic design
automation and intellectual
software that serves the
global electronics industry
with direct sales and support
offices in North America,
Europe, Japan and Asia. The
company was founded in 1995.</t>
  </si>
  <si>
    <t xml:space="preserve">3577
7372</t>
  </si>
  <si>
    <t xml:space="preserve">FUJITSU LTD/DENALI SOFTWARE INC-STRATEGIC ALLIANCE</t>
  </si>
  <si>
    <t xml:space="preserve">Fujitsu Ltd and Denali Software Inc formed a strategic alliance to develop
and manufacture DDR DRAM physical interface memory system globally. The
newly developed technology was expected to offer a clean boundary between
two memory system components, and enables the developers to use PHY and
memory controller designs, in the spanning communications, computing,
networking, and consumer electronics and digital audio-videos.</t>
  </si>
  <si>
    <t xml:space="preserve">359590
24827W</t>
  </si>
  <si>
    <t xml:space="preserve">Adams Respiratory Therapeutics
Lipocine Inc</t>
  </si>
  <si>
    <t xml:space="preserve">Adams Respiratory Therapeutics
Inc, located in Chester, New
Jersey, manufactures
pharmaceuticals intended for
final consumption, focused on
prescription pharmaceuticals
for the treatment of
respiratory disorders. Its
product line includes Mucinex,
Mucinex DM, Mucinex D; Maximum
Strength Mucinex, Mucinex DM,
and Mucinex D; the Delsym line
of products; Mucinex Moisture
Smart and Mucinex Full Force
nasal sprays; and the Mucinex
for Children line of products.
Lipocine Inc., located in Salt
Lake city, Utah, manufactures
prescription pharmaceuticals
intended for final
consumption, including biotech
products and antibiotics. The
company was founded in 1997.</t>
  </si>
  <si>
    <t xml:space="preserve">ADAMS RESPIRATORY THERAPEUTICS INC/LIPOCINE INC-STRATEGIC ALLIANCE</t>
  </si>
  <si>
    <t xml:space="preserve">Adams Respiratory Therapeutics Inc and Lipocine Inc formed a strategic
alliance to provide research and development services of new prescription
adult cough products in the United States. The alliance was expected to
produce a non-narcotic prescribing option to  treat cough with an enhanced
dosing regimen.</t>
  </si>
  <si>
    <t xml:space="preserve">00635P
53642W</t>
  </si>
  <si>
    <t xml:space="preserve">Monsanto Co
FOSS A/S</t>
  </si>
  <si>
    <t xml:space="preserve">Pesticide and Other Agricultural Chemical Manufacturing
Mnfr,whl analytical instruments</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</si>
  <si>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FOSS A/S, located in Hillerod,
Denmark, manufactures and
wholesales analytical
instruments for the food,
agricultural, chemical and
pharmaceuticals industries.
The company offers a wide
range of solutions such as
Infratec, NIRSystems, FoodScan
and WineScan to make natural
product and chemical property
measurements of liquid,
semi-solid, viscous, or solid
food samples, MeatMaster to
measure the fat content of
fresh, frozen, boxed and loose
meat, and automated wet
chemical analysis, as used in
Kjeltec, Soxtec, Fibertec and
FIAstar, and others. The
company was founded in 1956.</t>
  </si>
  <si>
    <t xml:space="preserve">2879
3845</t>
  </si>
  <si>
    <t xml:space="preserve">MO
FF</t>
  </si>
  <si>
    <t xml:space="preserve">MONSANTO CO/FOSS A/S-STRATEGIC ALLIANCE</t>
  </si>
  <si>
    <t xml:space="preserve">Monsanto Co and FOSS A/S formed a strategic alliance to provide research
and development services of linolenic acid content analytical tool to
measure specific components in soybean grain globally. The alliance was a
strategic investment opportunity both for the partners to leverage their
agricultural processing of soy beans with trans-fat free vegetable oil and
to further expand their development and product coverage worldwide.</t>
  </si>
  <si>
    <t xml:space="preserve">61166W
34947T</t>
  </si>
  <si>
    <t xml:space="preserve">Intellect Neurosciences Inc
CHDI Inc</t>
  </si>
  <si>
    <t xml:space="preserve">Biotechnology company
Pvd drug discovery svcs</t>
  </si>
  <si>
    <t xml:space="preserve">Intellect Neurosciences Inc,
located in New York, New York,
is a biotechnology company
engaged in the discovery and
development of
disease-modifying therapeutic
agents for the treatment and
prevention of Alzheimer's
disease and other disorders.
CHDI Inc is a non profit
organization focused on the
search for Huntington disease
(HD) treatments. It
collaborates with other
companies in order to pursue
drug discovery and development
as well as translational
research.</t>
  </si>
  <si>
    <t xml:space="preserve">INTELLECT NEUROSCIENCES INC/CHDI INC-STRATEGIC ALLIANCE</t>
  </si>
  <si>
    <t xml:space="preserve">Intellect Neurosciences Inc  and CHDI Inc formed a strategic alliance to
provide research and development services to evaluate OXIGON, a potential
treatment for Huntington Disease (HD) globally. The alliance was a
strategic expansion opportunity both for the partners to leverage their
medical development services and clinical trials in HD patients.</t>
  </si>
  <si>
    <t xml:space="preserve">45822W
12385W</t>
  </si>
  <si>
    <t xml:space="preserve">Tokyo Electron Device Ltd
Denali Software Inc</t>
  </si>
  <si>
    <t xml:space="preserve">Whl semiconductor,electn parts
Dvlp electn design software</t>
  </si>
  <si>
    <t xml:space="preserve">Tokyo Electron Device Ltd,
located in Yokohama, Kanagawa,
Japan, wholesale and
distributes semiconductor
products, board products,
software and general
electronics components. The
operations are carried out
through the following
divisions: Semiconductor
products, Board products,
Software and General
electronic components. The
semiconductor products include
micro processor, digital
signal processor, memory IC
and custom IC. The board
products include PC mother
board, VME board and board for
communication. The software
division is involved in sale
of operating system and bios.
The general electronic
division is engaged in the
sale of switch, connector, IC
socket and display.
Denali Software Inc, located
in Sunnyvale, California,
develops electronic design
automation and intellectual
software that serves the
global electronics industry
with direct sales and support
offices in North America,
Europe, Japan and Asia. The
company was founded in 1995.</t>
  </si>
  <si>
    <t xml:space="preserve">5065
7372</t>
  </si>
  <si>
    <t xml:space="preserve">Tokyo Electron Ltd
Denali Software Inc</t>
  </si>
  <si>
    <t xml:space="preserve">3674
7372</t>
  </si>
  <si>
    <t xml:space="preserve">TOKYO ELECTRON DEVICE LTD/DENALI SOFTWARE INC-STRATEGIC ALLIANCE</t>
  </si>
  <si>
    <t xml:space="preserve">Tokyo Electron Device Ltd, a unit of Tokyo Electron Ltd, and Denali
Software Inc formed a strategic alliance to develop and manufacture DDR
DRAM physical interface memory system branded as DDR2 SDRAM PHY Design
globally. teh alliance was expected to deliver compatible designs of ASIC
Prototyping and mass-production with DDR2 controller.</t>
  </si>
  <si>
    <t xml:space="preserve">88896H
24827W</t>
  </si>
  <si>
    <t xml:space="preserve">Futura Medical PLC
SSL International PLC</t>
  </si>
  <si>
    <t xml:space="preserve">Manufacture pharmaceutical product
Mnfr,whl medical instruments</t>
  </si>
  <si>
    <t xml:space="preserve">Futura Medical PLC is a
manufacturer of
pharmaceutical preparation.
The Company is located in
Guildford, the United
Kingdom.
SSL International PLC, based
in London, UK, manufactures
and wholesales medical
instruments and surgical
supplies with brands such as
Durex, Scholl footcare, Scholl
footwear, Syndol, Sauber and
Mister Baby. The company was
founded in 1944.</t>
  </si>
  <si>
    <t xml:space="preserve">FUTURA MEDICAL PLC/SSL INTERNATIONAL PLC-STRATEGIC ALLIANCE</t>
  </si>
  <si>
    <t xml:space="preserve">Futura Medical Plc (FM) and SSL International PLC planned to form a
strategic alliance to provide topically applied gel for erectile
dysfunction (ED) development, marketing and distribution services known as
MED2002 in the United Kingdom. Under terms of the agreement, an undisclosed
royalty on MED 2002's sales was to be paid to FM with milestone payments of
up to $36.18 mil US (18 mil British pounds). The alliance was subject to
regulatory approvals.</t>
  </si>
  <si>
    <t xml:space="preserve">An undisclosed royalty on MED 2002's sales was to be paid to Futura Medical
PLC with milestone payments of up to $36.18 mil US (18 mil British pounds)</t>
  </si>
  <si>
    <t xml:space="preserve">36098Z
78548Y</t>
  </si>
  <si>
    <t xml:space="preserve">PSA Peugeot Citroen SA
Karsan Otomotiv Sanayii AS</t>
  </si>
  <si>
    <t xml:space="preserve">Manufacture, wholesale motor vehicles
Mnfr,wholesale motor vehicles</t>
  </si>
  <si>
    <t xml:space="preserve">PSA Peugeot Citroen SA,
located in Paris, France,
manufactures and wholesales
motor vehicles, including
passenger cars and light
commercial vehicles, under
the Peugeot, Citroen and DS
Automobiles brands. It also
runs software development
operations via its Free2Move
brand, rental leasing, via
Banque PSA Finance, and
engine and gear boxes
manufacturing via Mister
Auto. It has operations in
China, CIS countries, Latin
America, Europe, Japan,
Korea, Middle East and
Africa. It also acts as a
holding company. It was
founded in 1976.
Karsan Otomotiv Sanayii ve
Ticaret AS, located in
Bursa, Turkey, manufactures
and wholesales light motor
vehicles such as the Karsan
J9 premier and maxi, Peugeot
Partner, Hyundai and Karsan
J9. It also manufactures and
wholesales special vehicles
such as ambulances, taxis,
patrol vehicles and 4x4s.
The Company was founded in
1966.</t>
  </si>
  <si>
    <t xml:space="preserve">France
Turkey</t>
  </si>
  <si>
    <t xml:space="preserve">PSA Peugeot Citroen SA
Kiraca Holding AS</t>
  </si>
  <si>
    <t xml:space="preserve">PSA PEUGEOT CITROEN/KARSAN-STRATEGIC ALLIANCE</t>
  </si>
  <si>
    <t xml:space="preserve">Turkey</t>
  </si>
  <si>
    <t xml:space="preserve">PSA Peugeot Citroen and Karsan Otomotiv Sanayi ve Ticaret AS formed a
strategic alliance to manufacture and develop mechanical sub-assemblies for
specific versions of light commercial vehicles in Turkey.</t>
  </si>
  <si>
    <t xml:space="preserve">716825
48595P</t>
  </si>
  <si>
    <t xml:space="preserve">Yunnan Sunpa Image Tele Tech
Sobha Renaissance Info Tech</t>
  </si>
  <si>
    <t xml:space="preserve">Mnfr telemedicine equip
Pvd info tech svcs</t>
  </si>
  <si>
    <t xml:space="preserve">Yunnan Sunpa Image Tele Tech
Co Ltd, located in China,
manufactures telemedicine
equipments, picture archives
communication systems and
real-time interactive
tele-education.
Sobha Renaissance Information
Technology Pvt Ltd, located in
Bengaluru, India, provides
information technology
services. The company serves
the healthcare, telecom,
enterprise and environment
health and safety. The company
offers IT consulting services,
offshore development,
application development,
application maintenance,
system integration, embedded
software development services
and SAP services.</t>
  </si>
  <si>
    <t xml:space="preserve">3845
7376</t>
  </si>
  <si>
    <t xml:space="preserve">China
India</t>
  </si>
  <si>
    <t xml:space="preserve">YUNNAN SUNPA IMAGE TELE/SOBHA RENAISSANCE INFO-SUNPA SOBHA SOFTWARE JOINT
VENTURE</t>
  </si>
  <si>
    <t xml:space="preserve">Sunpa Sobha
Software(China)Ltd, a joint
venture between Yunnan Sunpa
Image Tele Tech Co Ltd and
Sobha Renaissance Information
Technology Pvt Ltd, provides
research and development
services on healthcare
information technologies and
telemedicine services to
hospitals worldwide.</t>
  </si>
  <si>
    <t xml:space="preserve">Yunnan Sunpa Image Tele Tech Co Ltd (YS) and Sobha Renaissance Information
Technology Pvt Ltd (SR) formed a joint venture named Sunpa Sobha
Software(China)Ltd (SS) to provide research and development services of
healthcare information technologies and telemedicine services in India.  YS
held 60% interest while SR held 40% stake. SS was expected to realize sales
revenue of $100 mil US (749.15 mil Chinese yuan/ 4 bil Indian rupees) in
2011 and become one of the worlds leading medical software providers in
five years. SS started with 200 employees.</t>
  </si>
  <si>
    <t xml:space="preserve">Sunpa Sobha Software(China)Ltd was expected to realize sales revenue of
$100 mil US (749.15 mil Chinese yuan/ 4 bil Indian rupees) in 2011 and
become one of the worlds leading medical software providers in five years.</t>
  </si>
  <si>
    <t xml:space="preserve">86685V</t>
  </si>
  <si>
    <t xml:space="preserve">99137V
83301A</t>
  </si>
  <si>
    <t xml:space="preserve">Total Petrochemicals France SA
Galactic</t>
  </si>
  <si>
    <t xml:space="preserve">Mnfr petrochem,polymers
Manufacture lactic acid</t>
  </si>
  <si>
    <t xml:space="preserve">Total Petrochemicals France
SA, located in Paris, France,
manufactures petrochemicals
and polymers such as
polyethylene, polypropylene
and polystyrene. It operates
in Europe, United States,
Middle East and Asia and
serves industrial markets such
as packaging, construction and
automotive.
Galactic, located in Brussels,
Belgium, manufactures lactic
acids and lactates. The
company was founded in 1994.</t>
  </si>
  <si>
    <t xml:space="preserve">2999
2899</t>
  </si>
  <si>
    <t xml:space="preserve">Total SA
Societe Financieres des Sucres</t>
  </si>
  <si>
    <t xml:space="preserve">1311
2061</t>
  </si>
  <si>
    <t xml:space="preserve">TOTAL PETROCHEMICALS/GALACTIC- JOINT VENTURE</t>
  </si>
  <si>
    <t xml:space="preserve">Total Petrochemicals France SA (TP), a unit of Total SA, and Galactic (GL),
a unit of Societe Financiere des Sucres, planned to form a joint venture
named Futerro (FT) to manufacture and develop production technology for
Polylactic (PLA) bioplastics of renewable vegetable origin in Belgium. FT
was to construct a pilot plant capable of producing 1500 tonnes per year of
PLA using a clean, innovative and competitive technology. The plant was to
start operations in 2009. Financial terms were not disclosed.</t>
  </si>
  <si>
    <t xml:space="preserve">89124V
36045A</t>
  </si>
  <si>
    <t xml:space="preserve">arGentis Pharmaceuticals LLC
LifeCyte Inc</t>
  </si>
  <si>
    <t xml:space="preserve">arGentis Pharmaceuticals LLC,
headquartered in the United
States, is a biopharmaceutical
company that demonstrated
proof of concept from academic
research laboratories. It has
licensed the intellectual
property to patients having
dry eye syndrome (DES).
LifeCyte Inc, headquartered in
the United States, is a
biopharmaceutical company
providing laboratory,
analytical, and cellular
therapy development services.
It operates under GLP and GTP
standards and provides quality
systems and advanced
translational development
services for cell-based and
regenerative medicine
products.</t>
  </si>
  <si>
    <t xml:space="preserve">TN
TN</t>
  </si>
  <si>
    <t xml:space="preserve">ARGENTIS PHARMACEUTICALS LLC/LIFECYTE INC-STRATEGIC ALLIANCE</t>
  </si>
  <si>
    <t xml:space="preserve">arGentis Pharmaceuticals LLC (AP) and LifeCyte Inc planned to form a
strategic alliance to provide purified collagen products development
services in the United States.Collagen was to be purified for use in
ARG201, AP's treatment for systemic sclerosis (SSc).</t>
  </si>
  <si>
    <t xml:space="preserve">04062N
53267E</t>
  </si>
  <si>
    <t xml:space="preserve">Armor All Products Corp
JAMAK Fabrication Inc</t>
  </si>
  <si>
    <t xml:space="preserve">Mnfr auto cleaners,waxes
Mnfr motor vehicles,parts</t>
  </si>
  <si>
    <t xml:space="preserve">Armor All Products Corp,
located in Aliso Viejo,
California, manufactures
automobile cleaners, wipes,
foams, gels, car wash, waxes
and related industrial
chemical products. The company
was founded in 1962.
JAMAK Fabrication Inc, located
in Weatherford, Texas,
manufactures and wholesales
automotive windshield wiper,
Tripledge Silicone Wipers,
Solara Silicone Bakeware,
Endura-Sil, and Sil-Cork.</t>
  </si>
  <si>
    <t xml:space="preserve">2842
3714</t>
  </si>
  <si>
    <t xml:space="preserve">The Clorox Co
JMK International Inc</t>
  </si>
  <si>
    <t xml:space="preserve">2842
6799</t>
  </si>
  <si>
    <t xml:space="preserve">ARMOR ALL PRODUCTS CORP/JAMAK FABRICATION-STRATEGIC ALLIANCE</t>
  </si>
  <si>
    <t xml:space="preserve">Armor All Products Corp, a unit of Clorox Co, and JAMAK Fabrication Inc, a
unit of JMK International Inc formed a strategic alliance to develop and
manufacture branded silicone wiper blades in the United States. The
alliance was a strategic opportunity both for the partners to leverage
their automotive care products  development services and to further expand
their product coverage locally.</t>
  </si>
  <si>
    <t xml:space="preserve">042256
47003K</t>
  </si>
  <si>
    <t xml:space="preserve">Alcatel Lucent SA
Kyocera Wireless Corp</t>
  </si>
  <si>
    <t xml:space="preserve">Manufacture communication equipment
Mnfr wireless phone</t>
  </si>
  <si>
    <t xml:space="preserve">Alcatel Lucent SA, located in
Paris, France, manufactures
communication equipment and
solutions focusing on fixed
wire line and wireless
services, including voice and
data network services,
satellite, broadband Internet,
network management and
switching installation;
manufacture telecommunications
equipment; provide turnkey
systems design services;
provide enterprise solutions,
including IP telephony. The
company was founded in 1898.
Kyocera Wireless Corp, located
in San Diego, California,
manufactures wireless cellular
and mobile phones. The company
was founded in 2000.</t>
  </si>
  <si>
    <t xml:space="preserve">3669
3663</t>
  </si>
  <si>
    <t xml:space="preserve">Alcatel Lucent SA
KYOCERA Corp</t>
  </si>
  <si>
    <t xml:space="preserve">France
Japan</t>
  </si>
  <si>
    <t xml:space="preserve">3669
3679</t>
  </si>
  <si>
    <t xml:space="preserve">ALCATEL ALSTHOM CGE(OLD,DNU&gt;9/9/1998)/KYOCERA WIRELESS CORP-STRATEGIC
ALLIANCE</t>
  </si>
  <si>
    <t xml:space="preserve">Alcatel Lucent SA and Kyocera Wireless Corp, a unit of Kyocera
International Inc formed a strategic alliance to provide research and
development services of end-to-end WiMAX Mobile Broadband Solutions for
multimode mobile phones, non-traditional wireless devices, wireless PC
cards and USB devices globally. The alliance was a strategic investment
opportunity both for the partners to leverage their mobile devices
development services and to further expand their market and product
coverage worldwide.</t>
  </si>
  <si>
    <t xml:space="preserve">013904
50312C</t>
  </si>
  <si>
    <t xml:space="preserve">DuPont
Plantic Technologies Ltd</t>
  </si>
  <si>
    <t xml:space="preserve">Mnfr chemical,electronic prod
Mnfr biodegradable plastics</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</si>
  <si>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Plantic Technologies, located
in Altona, Victoria,
manufactures biodegradable,
water soluble, organic
alternative synthetic plastics
materials.</t>
  </si>
  <si>
    <t xml:space="preserve">2821
2821</t>
  </si>
  <si>
    <t xml:space="preserve">DU PONT CO(DNU)/PLANTIC TECHNOLOGIES LTD-STRATEGIC ALLIANCE</t>
  </si>
  <si>
    <t xml:space="preserve">DuPont and Plantic Technologies Ltd formed a strategic alliance to provide
research and development services of renewably sourced resins and sheet
materials based on high-amylose corn starch cosmetics, personal care and
food packaging trays, caps and containers globally.</t>
  </si>
  <si>
    <t xml:space="preserve">263534
72743R</t>
  </si>
  <si>
    <t xml:space="preserve">CSIRO Petroleum Resources
Cotton Seed Distributors Ltd</t>
  </si>
  <si>
    <t xml:space="preserve">Oil &amp; gas expl,prodn
Own,op cotton farm</t>
  </si>
  <si>
    <t xml:space="preserve">Oil and gas exploration and
production; provide oil and
gas field appraisal and
development services
Cotton Seed Distributors Ltd,
located in Australia, own and
operate high quality cotton
varieties farm.</t>
  </si>
  <si>
    <t xml:space="preserve">1311
0131</t>
  </si>
  <si>
    <t xml:space="preserve">CSIRO
Cotton Seed Distributors Ltd</t>
  </si>
  <si>
    <t xml:space="preserve">8731
0131</t>
  </si>
  <si>
    <t xml:space="preserve">CSIRO PETROLEUM RESOURCES/COTTON SEED DISTRIBUTORS LTD-STRATEGIC ALLIANCE</t>
  </si>
  <si>
    <t xml:space="preserve">Commonwealth Scientific &amp; Industrial Research Organization and Cotton Seed
Distributors Ltd formed a 10-year strategic alliance to provide improved
cotton breed development services in Australia. CSI and CSD contributed
$1.75 mil US (2 mil Australian dollars) per annum for research.</t>
  </si>
  <si>
    <t xml:space="preserve">Commonwealth Scientific &amp; Industrial Research Organization and Cotton Seed
Distributors Ltd contributed $1.75 mil US (2 mil Australian dollars) per
annum for research.</t>
  </si>
  <si>
    <t xml:space="preserve">20327L
22176V</t>
  </si>
  <si>
    <t xml:space="preserve">Archer Daniels Midland Co
ConocoPhillips</t>
  </si>
  <si>
    <t xml:space="preserve">Produce,wholesale agricultural products
Exploration and production company</t>
  </si>
  <si>
    <t xml:space="preserve">Archer Daniels Midland Co is
an oilseed processor. It
produces and wholesales
agricultural products
including oilseeds, corn,
wheat, Milo, oats, barley
peanuts, ethanol, flour,
flour additives, cocoa
products, bakery products,
lettuce and other
vegetables, beans,
spaghetti, noodles,
macaroni, and livestock feed
and health products. The
Company operations are
classified into three
business segments: oilseeds
processing, corn processing
and agricultural services.
It also owns and operates
fish farms and is a holding
company. The Company was
founded in 1902 and is
located in Chicago,
Illinois.
ConocoPhillips, located in
Houston, Texas, is an
exploration and production
company. It explores for,
produces, transports and
markets crude oil, bitumen,
natural gas, liquefied
natural gas (LNG) and
natural gas liquids. It
operates through five
segments: Alaska, Lower 48,
Canada, Europe and North
Africa, Asia Pacific and
Middle East, and Other
International. The Alaska
segment explores for,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operations in China,
Indonesia, Malaysia and
Australia. The Company was
founded in 1875.</t>
  </si>
  <si>
    <t xml:space="preserve">2074
2911</t>
  </si>
  <si>
    <t xml:space="preserve">IL
TX</t>
  </si>
  <si>
    <t xml:space="preserve">CONOCOPHILLIPS CO/ARCHER DANIELS MIDLAND CO-STRATEGIC ALLIANCE</t>
  </si>
  <si>
    <t xml:space="preserve">ConocoPhillips Co and Archer Daniels Midland Co formed a strategic alliance
to provide research and development services of renewable transportation
fuel from biomass globally. The alliance was expected to convert and
transform crops, woods, and grasses into a refined biocrude and biofuel
products.</t>
  </si>
  <si>
    <t xml:space="preserve">039483
20825C</t>
  </si>
  <si>
    <t xml:space="preserve">International Brachytherapy SA
IsoRay Inc</t>
  </si>
  <si>
    <t xml:space="preserve">Biotech co
Mnfr brachytheray seed</t>
  </si>
  <si>
    <t xml:space="preserve">International Brachytherapy
SA, headquartered in
Seneffe, Belgium, is a
biotechnology company,
focusing on the development
of cancer treatment
implants. It has three
product lines namely:
Permanent implant
brachytherapy for treating
prostate cancer; Temporary
brachytherapy for eye cancer
and Multisource to treat
cancer of the head, the
neck, the brain and certain
gynecological cancers.
IsoRay Inc, headquartered in
Richland, Washington,
manufactures Cesium-131
brachytherapy seed used to
treat prostate and other
cancers.</t>
  </si>
  <si>
    <t xml:space="preserve">2836
2819</t>
  </si>
  <si>
    <t xml:space="preserve">IBT SA(DNU)/ISORAY INC-STRATEGIC ALLIANCE</t>
  </si>
  <si>
    <t xml:space="preserve">International Brachytherapy SA and IsoRay Inc signed a letter of intent to
formed a strategic alliance to provide research and development and
marketing services of brachytheraphy sources using polymer technology in
the United States, Europe and the rest of the world.</t>
  </si>
  <si>
    <t xml:space="preserve">45916H
46497E</t>
  </si>
  <si>
    <t xml:space="preserve">Ceres Inc
Texas Agricultural Experiment</t>
  </si>
  <si>
    <t xml:space="preserve">Mnfr biofuels
Pvd agricultural research svcs</t>
  </si>
  <si>
    <t xml:space="preserve">Ceres Inc, located in
California, United States,
manufactures biofuels using
advanced plant breeding and
biotechnology. It develops
dedicated energy crops as
raw materials for a new
generation of biofuels made
from plant stems, stalks and
leaves. The company was
founded in 1997.
Texas Agricultural Experiment
Station, located in United
States, provides agricultural
research services to assure
quality food and fiber
products.</t>
  </si>
  <si>
    <t xml:space="preserve">2999
8731</t>
  </si>
  <si>
    <t xml:space="preserve">Ceres Inc
United States of America</t>
  </si>
  <si>
    <t xml:space="preserve">2999
999A</t>
  </si>
  <si>
    <t xml:space="preserve">CERES INC/TEXAS AGRICULTURAL EXPERIMENT-STRATEGIC ALLIANCE</t>
  </si>
  <si>
    <t xml:space="preserve">Ceres Inc (CI) and Texas Agricultural Experiment Station (TA), a unit of
Texas A&amp;M University, formed a strategic alliance to provides high biomass
sorghum research and development services in the United States. The plants
are not designed to produce grain but rather vast amounts of biomass, the
raw material for a new generation of biofuels made from stems, stalks and
leaves.</t>
  </si>
  <si>
    <t xml:space="preserve">156773
88252N</t>
  </si>
  <si>
    <t xml:space="preserve">454 Life Sciences Corp
Perlegen Sciences Inc</t>
  </si>
  <si>
    <t xml:space="preserve">Dvlp med software
Pvds research svcs</t>
  </si>
  <si>
    <t xml:space="preserve">454 Life Sciences Corp,
located in Branford,
Connecticut, developd software
applications for genetics,
agriculture, animal health,
biodefense and human health
care, drug discovery and
development, and disease
diagnosis; provide research
and development services
Perlegen Sciences Inc is a
provider of genome-wide
haplotype pattern research
services, headquartered in
Mountain View, California. The
company is focused on drug
discovery, specifically in
genomics and pharmacogenomics.
The company was founded in
2001.</t>
  </si>
  <si>
    <t xml:space="preserve">7372
8071</t>
  </si>
  <si>
    <t xml:space="preserve">Roche Holdings AG
Perlegen Sciences Inc</t>
  </si>
  <si>
    <t xml:space="preserve">2834
8071</t>
  </si>
  <si>
    <t xml:space="preserve">454 LIFE SCIENCES CORP/PERLEGEN SCIENCES INC-STRATEGIC ALLIANCE</t>
  </si>
  <si>
    <t xml:space="preserve">454 Life Sciences Corp, a unit of Roche Holding AG, and Perlegen Sciences
Inc formed a strategic alliance to provide research and development
services of drug response sequencing study in the United States. The
alliance was expected to analyze and identify whether sufficient genetic
variation could be identified and validated to create a clinical test that
would predict how people might respond to medicines.</t>
  </si>
  <si>
    <t xml:space="preserve">35085Q
71415P</t>
  </si>
  <si>
    <t xml:space="preserve">Chevron Energy Technology Co
Penn State Inst of Energy</t>
  </si>
  <si>
    <t xml:space="preserve">Pvd gas research,dvlp svcs
Pvd energy research svcs</t>
  </si>
  <si>
    <t xml:space="preserve">Chevron Energy Technology Co ,
located in the United States,
provides full research and
development capabilities
services to upstream,
downstream, global gas, and
emerging energy businesses.
Penn State Institutes of
Energy &amp; the Environment,
located in the United States,
provides energy and
environmental research
services at the Pennsylvania
State University.</t>
  </si>
  <si>
    <t xml:space="preserve">CA
PA</t>
  </si>
  <si>
    <t xml:space="preserve">Chevron Corp
United States of America</t>
  </si>
  <si>
    <t xml:space="preserve">2911
999A</t>
  </si>
  <si>
    <t xml:space="preserve">CHEVRON ENERGY SOLUTIONS LP/PENN STATE INSTITUTES OF ENERGY-STRATEGIC
ALLIANCE</t>
  </si>
  <si>
    <t xml:space="preserve">Chevron Energy Technology Co (CE), a unit of Chevron Corp, and Penn State
Institutes of Energy and the Environment (PS), a unit of Pennsylvania State
University, formed a strategic alliance to provide coal conversion
technologies research services in the United States. The alliance was
expected to focus on coal chemistry and conversion technology, advanced
fuels, combustion, analysis methods, reactor science, separations, process
technology, and CO2/greenhouse gas management and conversion.</t>
  </si>
  <si>
    <t xml:space="preserve">16691K
70763E</t>
  </si>
  <si>
    <t xml:space="preserve">Neuland Laboratories Ltd
Cato Research Ltd</t>
  </si>
  <si>
    <t xml:space="preserve">Manufacture pharmaceuticals
Pvd research,dvlp</t>
  </si>
  <si>
    <t xml:space="preserve">Neuland Laboratories Ltd,
located in Hyderabad, India,
engaged in manufacturing
active pharmaceutical
ingredient (API). The Company
also provides custom
manufacturing solutions (CMS)
to develop and manufacture
pharmaceutical ingredients and
intermediates, and peptides.
It caters to therapeutic
categories, which includes
ophthalmic, schizophrenia,
vasodilator, fluoroquinolones,
iron-chelator, chronic
obstructive pulmonary disease,
cardiovascular, central
nervous system,
anti-invectives,
antidepressant,
anti-asthmatics, anti-fungal,
anti-ulcerants and
anti-spasmodics. The Company's
API's include Alcaftadine,
Aripiprazole, Bosentan,
Dabigatran Etexilate Mesilate,
Deferasirox, Enalapril Maleate
and Ciprofloxacin Base, among
others. The Company has around
75 products with 566 drug
master files (DMFs) and sells
around 40 products to
approximately 450 generic and
innovator companies in
approximately 70 countries in
the markets of Europe, North
America and Japan. The Company
was founded in 1984.
Cato Research Ltd,
headquartered in the United
States, provides contract
research and development to
pharmaceutical and
biotechnology companies. The
company was founded in 1988.</t>
  </si>
  <si>
    <t xml:space="preserve">NEULAND LABORATORIES LTD/CATO RESEARCH-JOINT VENTURE</t>
  </si>
  <si>
    <t xml:space="preserve">Neuland Laboratories Ltd (NL) and Cato Research Ltd (CR) planned to form a
joint venture (JV) to provide contract research services in India. NL was
to hold a 70% interest in the JV while CR was to hold a 30% stake. The JV
was expected to commence operations within a year.</t>
  </si>
  <si>
    <t xml:space="preserve">64138F
14934W</t>
  </si>
  <si>
    <t xml:space="preserve">Monsanto Co
Perten Instruments AB</t>
  </si>
  <si>
    <t xml:space="preserve">Pesticide and Other Agricultural Chemical Manufacturing
Mnfr quality control equipment</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</si>
  <si>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Perten Instruments AB, located
in Stockholm, Sweden,
manufactures grain quality
control equipment. The company
has branded products known as
Diode Array 7200, Aquamatic
5100, Glutomatic, Inframatic
8600, SKCS 4100, Inframatic
9200, and among other, and
also operates in the USA,
Germany and China. The company
was founded in 1962.</t>
  </si>
  <si>
    <t xml:space="preserve">2879
3823</t>
  </si>
  <si>
    <t xml:space="preserve">MONSANTO CO/PERTEN INSTRUMENTS AB-STRATEGIC ALLIANCE</t>
  </si>
  <si>
    <t xml:space="preserve">Monsanto Co and Perten Instruments AB formed a strategic alliance to
provide research and development services of advanced process analytical
tools and equipment for ethanol production globally. Under terms of the
agreement, the partners were to collaborate and were expected to utilize
their respective infrared technologies for process monitoring to further
optimize ethanol yields based on incoming feedstock quality.</t>
  </si>
  <si>
    <t xml:space="preserve">61166W
71525J</t>
  </si>
  <si>
    <t xml:space="preserve">Axiometrics Inc
Property &amp; Portfolio Research</t>
  </si>
  <si>
    <t xml:space="preserve">Pvd info tech svcs
RE agcy</t>
  </si>
  <si>
    <t xml:space="preserve">Axiometrics Inc is a provider
of social sciences research
and development services. The
Company was founded in 1994
and is located in Dallas,
Texas.
Property &amp; Portfolio Research
Inc, located in Boston,
Massachusetts, is a real
estate agency that provides
commercial real estate
research and risk management
advisory services for property
estate cycles and their
implications for investment
strategy. The company's client
include commercial banks,
insurance companies, Wall
Street firms, rating agencies,
government agencies, pension
funds, investment advisors,
real estate investment trusts,
and private investors. It was
founded in 1994.</t>
  </si>
  <si>
    <t xml:space="preserve">Axiometrics Inc
Rothermere Continuation Ltd</t>
  </si>
  <si>
    <t xml:space="preserve">United States
Bermuda</t>
  </si>
  <si>
    <t xml:space="preserve">8732
4832</t>
  </si>
  <si>
    <t xml:space="preserve">AXIOMETRICS INC/PROPERTY &amp; PORTFOLIO RESEARCH LLC-STRATEGIC ALLIANCE</t>
  </si>
  <si>
    <t xml:space="preserve">Axiometrics Inc (AI) and Property &amp; Portfolio Research Inc (PR), a unit of
the DMG Information Inc's Daily Mail &amp; General Trust PLC's (DM) subsidiary,
DM is a unit of Rothermere Investments Ltd, formed a strategic alliance to
provide integrated real estate multifamily research application solutions
and services in the United States. Under terms of the agreement, AI's
market research data platform was incorporated with PR's economic analysis
solution to deliver a comprehensive real estate market analysis, portfolio
analysis, and mortgage risk analysis for the commercial banks, insurance
companies, rating agencies, government agencies, pension funds, investment
advisors, real estate investment trusts, and private investors.</t>
  </si>
  <si>
    <t xml:space="preserve">Computer Integrated Systems Svcs
Research &amp; Development Services</t>
  </si>
  <si>
    <t xml:space="preserve">06172H
74502J</t>
  </si>
  <si>
    <t xml:space="preserve">Alcatel Lucent SA
Safran SA</t>
  </si>
  <si>
    <t xml:space="preserve">Manufacture communication equipment
Other Aircraft Parts and Auxiliary Equipment Manufacturing</t>
  </si>
  <si>
    <t xml:space="preserve">Alcatel Lucent SA, located in
Paris, France, manufactures
communication equipment and
solutions focusing on fixed
wire line and wireless
services, including voice and
data network services,
satellite, broadband Internet,
network management and
switching installation;
manufacture telecommunications
equipment; provide turnkey
systems design services;
provide enterprise solutions,
including IP telephony. The
company was founded in 1898.
Safran SA, located in Paris,
France, manufactures and
wholesales aircraft
propulsion units, aircraft
equipment, mobile phones,
digital televisions, cables,
navigation and security
equipment. The Group
operates under four major
segments, Aerospace
propulsion, Defense
Security, Aircraft Equipment
and Communication and
Terminals. Under Aerospace
propulsion, the Group offers
aero engines for civil and
military airplanes. The
Company also offers
propulsion systems,
equipment for launchers,
satellites and space
vehicles. Under Defense
security, it offers security
and defense electronics such
as inertial navigation
systems, Optronics system,
information and command
control system and Biometric
identification systems.
Under Aircraft Equipment, it
offers aircraft engine
nacelles, landing gear,
wheels and carbon brakes and
aircraft wiring. Under
Communication and Terminals,
it offers printing
terminals, residential
terminals, digital TV
set-top boxes and broadband
networks and operates mainly
in Europe. The Company was
founded in 1904.</t>
  </si>
  <si>
    <t xml:space="preserve">3669
3728</t>
  </si>
  <si>
    <t xml:space="preserve">ALCATEL ALSTHOM CGE/SAGEM COMMUNICATION SA-STRATEGIC ALLIANCE</t>
  </si>
  <si>
    <t xml:space="preserve">Alcatel Lucent SA and Sagem Communication SA, a unit of Safran SA formed a
strategic alliance to provide research and development services of femto
cell base station platform, which enables mobile operators to deliver
third-generation (3G)  UMTS/HSPA network coverage in France. The alliance
was expected to offer an improved indoor coverage, while reducing operating
and capital cost by simplifying network architectures and easing
installation, and noticeably improve subscribers'  quality of experience
for mobile broadband and voice services.</t>
  </si>
  <si>
    <t xml:space="preserve">013904
6E5093</t>
  </si>
  <si>
    <t xml:space="preserve">Anacor Pharmaceuticals Inc
GlaxoSmithKline PLC</t>
  </si>
  <si>
    <t xml:space="preserve">Biopharma co
Pharmaceutical Preparation Manufacturing</t>
  </si>
  <si>
    <t xml:space="preserve">Anacor Pharmaceuticals Inc,
located in Palo Alto,
California, is a
biopharmaceutical firm
engaged in the discovery,
development, and production
of novel drugs based on
proprietary boron chemistry
for the treatment of
inflammatory and infectious
diseases such as psoriasis,
gingivitis, acne, vaginal
candidiasis and tinea pedis.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</si>
  <si>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ANACOR PHARMACEUTICALS INC/GLAXOSMITHKLINE PLC- STRATEGIC ALLIANCE</t>
  </si>
  <si>
    <t xml:space="preserve">GlaxoSmithKline PLC (GP) and Anacor Pharmaceuticals Inc (AP) formed a
strategic alliance to provide research and development services of systemic
antivirals and antibiotics based on AP's boron chemistry globally. Under
terms of the agreement, AP granted GP an option to choose product
candidates to be developed under the agreement and up to four discovery
targets and with the potential for at least eight product options. AP was
expected to received a $12 mil US (5.89 mil British pounds) upfront payment
and a $10 mil (4.908 mil pounds) equity financing commitment from GP. AP
was also eligible to receive discovery, development, regulatory and
commercial milestones of up to $331 mil (162.464 mil pounds) for each
product candidate. Additonally, the alliance was to commercialize and
market their respective novel medicines for viral and bacterial diseases.</t>
  </si>
  <si>
    <t xml:space="preserve">Research &amp; Development Services
Licensing Services
Marketing Services</t>
  </si>
  <si>
    <t xml:space="preserve">AP was expected to received a $12 mil US (5.89 mil British pounds) upfront
payment and a $10 mil (4.908 mil pounds) equity financing commitment from
GP. AP was also eligible to receive discovery, development, regulatory and
commercial milestones of up to $331 mil (162.464 mil pounds) for each
product candidate.</t>
  </si>
  <si>
    <t xml:space="preserve">032420
37733W</t>
  </si>
  <si>
    <t xml:space="preserve">Cellectis SA
Les Laboratoires Servier SAS</t>
  </si>
  <si>
    <t xml:space="preserve">Biotechnology company
Manufacture,wholesale drugs</t>
  </si>
  <si>
    <t xml:space="preserve">Cellectis SA, located in
Paris, France, is a
biotechnology company. The
company is involved in the
research, development and
commercialization of genome
engineering technologies
based upon naturally
occurring class of DNA end
nucleases, the Mega
nucleases and DNA
recombination. The company
was founded in 1999.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</si>
  <si>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CELLECTIS SA/SERVIER LABORATORIES GROUP(DNU)-STRATEGIC ALLIANCE</t>
  </si>
  <si>
    <t xml:space="preserve">Cellectis SA (CS) and Servier SA (SS) formed a strategic alliance to
provide pharmaceutical research and development services in France. The
alliance was expected to utilize CS' TT10 cell platform and meganuclease
recombination system for enabling the targeted and reproducible insertion
of genes of interest in industrial cell lines.</t>
  </si>
  <si>
    <t xml:space="preserve">15117K
81764A</t>
  </si>
  <si>
    <t xml:space="preserve">DNAPrint Genomics Inc
Bioserve Biotechnologies Ltd</t>
  </si>
  <si>
    <t xml:space="preserve">Pvd genomic research svcs
Biotechnology company</t>
  </si>
  <si>
    <t xml:space="preserve">DNAPrint Genomics Inc provides
genomic and personalized
medicine research services
using proprietary software to
generate comprehensive
concepts from dna,
headquartered in Sarasota,
Florida. The company was
founded in 1983.
BioServe Biotechnologies
Ltd, located in Beltsville,
Maryland, provides human
biological material bank,
preclinical molecular
services. It was founded in
1989.</t>
  </si>
  <si>
    <t xml:space="preserve">DNA PRINT GENOMICS INC/BIOSERVE TECHNOLOGIES-STRATEGIC ALLIANCE</t>
  </si>
  <si>
    <t xml:space="preserve">DNAPrint genomics Inc and Bioserve Biotechnologies Ltd formed a strategic
alliance to provide biomedical research services with clinical DNA samples
and include genetic ancestry data. Researchers were expected to be able to
determine whether certain biological markers are artifacts of genetic
ancestry or are true markers for a disease or drug response in a disease.
</t>
  </si>
  <si>
    <t xml:space="preserve">23324Q
09155Q</t>
  </si>
  <si>
    <t xml:space="preserve">Arcadia Biosciences Inc
ACPFG
CSIRO</t>
  </si>
  <si>
    <t xml:space="preserve">Mnfr,dvlp farming biotech sys
Pvd research,dvlp svcs
Research and Development in The Physical, Engineering and Lifesciences (Except Biotechnology)</t>
  </si>
  <si>
    <t xml:space="preserve">Arcadia Biosciences Inc,
located in Davis,
California, is involved with
agricultural biotechnology
that uses advanced
screening, breeding and
biotechnology techniques to
create value for consumers,
processors and farmers. Its
products include Arcadia
bioessence solution which
uses Arcadia's Nitrogen Use
Efficiency (NUE) technology
which produces plants with
yields that are equivalent
to plants with conventional
varieties but which uses
sigificantly less nitrogen
fertilizer. It was founded
in 2002.
Australian Center for Plant
Functional Genomics Pty Ltd
provides research and
development services for crop
genomics for the Australian
grains industry. It aims to
develop several grain
varieties with increased
tolerance to environmental
stress.
Commonwealth Scientific &amp;
Industrial Research
Organization is a provides
research and development
services for the
agribusiness, energy and
transport, natural
resources, health,
communication, manufacturing
and mineral resources
industries. The Company was
founded in 1949 and is
located in Canberra,
Australia.</t>
  </si>
  <si>
    <t xml:space="preserve">2879
8731
8731</t>
  </si>
  <si>
    <t xml:space="preserve">United States
Australia
Australia</t>
  </si>
  <si>
    <t xml:space="preserve">Moral Compass Corp
ACPFG
CSIRO</t>
  </si>
  <si>
    <t xml:space="preserve">6799
8731
8731</t>
  </si>
  <si>
    <t xml:space="preserve">ARCADIA BIOSCIENCES INC/AUSTRALIAN CENTRE FOR PLANT/COMMONWEALTH
SCIENTIFIC-STRATEGIC ALLIANCE</t>
  </si>
  <si>
    <t xml:space="preserve">Arcadia BioSciences Inc (AB), and Australian state-owned Commonwealth
Scientific &amp; Industrial Research Organization {CSIRO}, and state-owned
Australian Centre for Plant Functional Genomics Pty Ltd {ACPFG} formed a
strategic alliance to provide research and development services in
Australia. The alliance collaborated to develop and commercialize wheat and
barley varieties that require significantly less nitrogen fertilizer to
produce. The joint program will use AB's proprietary Nitrogen Use
Efficiency (NUE) technology and ACPFG and CSIRO research, seed and plant
breeding capabilities.</t>
  </si>
  <si>
    <t xml:space="preserve">039014
05891P
20327N</t>
  </si>
  <si>
    <t xml:space="preserve">Collaborative Drug Discovery
St Jude Children's Research</t>
  </si>
  <si>
    <t xml:space="preserve">Dvlp Internet software
Pvd medical/health svcs</t>
  </si>
  <si>
    <t xml:space="preserve">Collaborative Drug Discovery
Inc, located in Burlingame,
California, develop web-based
database to archive, mine, and
collaborate around
pre-clinical drug discovery
chemical and biological data.
St Jude Children's Research
Hospital is a provider of
ambulatory health care
services. The Company is
located in Memphis,
Tennessee.</t>
  </si>
  <si>
    <t xml:space="preserve">7372
8099</t>
  </si>
  <si>
    <t xml:space="preserve">CA
TN</t>
  </si>
  <si>
    <t xml:space="preserve">COLLABORATIVE DRUG DISCOVERY INC/ST JUDE CHILDREN'S RESEARCH
HOSPITAL-STRATEGIC ALLIANCE</t>
  </si>
  <si>
    <t xml:space="preserve">St Jude Children's Research Hospital and Collaborative Drug Discovery Inc
formed a strategic alliance to provide research and development services of
new drugs to overcome resistant strains of malaria in the United States.
The alliance was expected to screen adn test chemicals, based on their
structure and their biological properties, to find those that were most
likely to make effective anti-malaria drugs.</t>
  </si>
  <si>
    <t xml:space="preserve">19427K
79085M</t>
  </si>
  <si>
    <t xml:space="preserve">PTA Holdings Inc
US Boron LLC</t>
  </si>
  <si>
    <t xml:space="preserve">Pvd cars repair,maintenace svc
Mnfr lubricant</t>
  </si>
  <si>
    <t xml:space="preserve">PTA Holdings Inc, located in
Phoenix, Arizona , provides
repairs and maintenance
services of domestic, foreign
and diesel cars. It is also a
holding company.
US Boron LLC, located in the
United States, manufactures
specialty lubricant which
includes Motor Silk (TM)
Family of Treatments and
LubriSilk (TM) Family of
Lubricants.</t>
  </si>
  <si>
    <t xml:space="preserve">7538
2992</t>
  </si>
  <si>
    <t xml:space="preserve">AZ
GA</t>
  </si>
  <si>
    <t xml:space="preserve">PTA HOLDINGS INC/US BORON LLC- JOINT VENTURE</t>
  </si>
  <si>
    <t xml:space="preserve">PTA Holdings Inc (PH) and US Boron LLC (UB) signed a letter of intent to
form a joint venture named Mileage Management Corp (MM) to provide
development and marketing services of Mileage Enhancement Modification
Packages for internal combustion engines in the United States. PH was to
license its V-Flow Fuel Maximizer for use in the package and UB was to also
license royal-free all of its existing intellectual property relating to
lubrication and friction reducing compounds. PH and UB were to each hold
50% interest.</t>
  </si>
  <si>
    <t xml:space="preserve">69367L
90648Y</t>
  </si>
  <si>
    <t xml:space="preserve">ImClone Systems Inc
Bristol-Myers Squibb Co
Merck KGaA</t>
  </si>
  <si>
    <t xml:space="preserve">Biotech co
Manufactures pharmaceuticals and medical products
Mnfr,wholesale pharmaceuticals,holding co</t>
  </si>
  <si>
    <t xml:space="preserve">ImClone Systems Inc is a
biotechnology company
developing and commercializing
novel therapeutic products in
the field of oncology marketed
under the ERBITUX brand,
operating out of their
headquarters in New York, New
York, and their campus in
Branchburg, New Jersey. The
Branchburg facility is home to
the manufacturing, product
development, finance,
clinical, regulatory and
quality assurance and
commercial operations
departments. The company was
founded in 1984.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Merck KGaA, located in
Darmstadt, Germany,
manufactures and wholesales
pharmaceuticals, specialty
chemicals, and cosmetic
pigments. The Company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</si>
  <si>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2836
2834
2834</t>
  </si>
  <si>
    <t xml:space="preserve">United States
United States
Germany</t>
  </si>
  <si>
    <t xml:space="preserve">NY
NY
FF</t>
  </si>
  <si>
    <t xml:space="preserve">IMCLONE SYSTEMS INC/BRISTOL-MYERS SQUIBB CO/MERCK KGAA-STRATEGIC ALLIANCE</t>
  </si>
  <si>
    <t xml:space="preserve">ImClone Systems Inc (IC), Bristol-Myers Squibb Co (BM) and Merck KGaA (MK)
formed a strategic alliance to provide monoclonal antibody ERBITUX (R)
development and commercialization services in Japan. The parties were
expected to develop ERBITUX for the treatment of epidermal growth factor
receptor (EGFR)-expressing metastatic colorectal cancer (mCRC), as well as
for the treatment of any other cancers.</t>
  </si>
  <si>
    <t xml:space="preserve">45245W
110122
589339</t>
  </si>
  <si>
    <t xml:space="preserve">Eli Lilly &amp; Co
MacroGenics Inc</t>
  </si>
  <si>
    <t xml:space="preserve">Manufactures,wholesales pharmaceuticals
Biotechnology co</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</si>
  <si>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MacroGenics Inc, located in
Rockville, Maryland, is a
biotechnology company
focused on product
development derived from
in-house discoveries and
in-licensed candidates in
the areas of oncology,
inflammation, allergy, and
infectious diseases. The
company was founded in 2000.</t>
  </si>
  <si>
    <t xml:space="preserve">IN
MD</t>
  </si>
  <si>
    <t xml:space="preserve">ELI LILLY &amp; CO/MACROGENICS INC-STRATEGIC ALLIANCE</t>
  </si>
  <si>
    <t xml:space="preserve">Eli Lilly &amp; Co and MacroGenics Inc formed a strategic alliance to provide
research and development services of teplizumab, a humanized anti-CD3
monoclonal antibodyfor the treatment of autoimmune diseases in the United
States. The alliance was a strategic investment opportunity both for the
partners to leverage their medical development services and to further
expand their market and product coverage worldwide.</t>
  </si>
  <si>
    <t xml:space="preserve">532457
556099</t>
  </si>
  <si>
    <t xml:space="preserve">Syngenta Biotechnology Inc
Chromatin Inc</t>
  </si>
  <si>
    <t xml:space="preserve">Pvd crop research svcs
All Other Grain Farming</t>
  </si>
  <si>
    <t xml:space="preserve">Bank
Syngenta Biotechnology Inc, a
unit of Syngenta AG, provides
crop protection research and
development services. Its
research areas include planet
transformation, improved
animal feed, improved grain
processing, cereal functional
genomics, insect control,
disease control and weed
control. Biotechnology company
Chromatin Inc, located in
Chicago, Illinois, is a
sorghum farming
establishment. The Company
was founded in 2001.</t>
  </si>
  <si>
    <t xml:space="preserve">8731
0119</t>
  </si>
  <si>
    <t xml:space="preserve">NC
IL</t>
  </si>
  <si>
    <t xml:space="preserve">Syngenta AG
Chromatin Inc</t>
  </si>
  <si>
    <t xml:space="preserve">2879
0119</t>
  </si>
  <si>
    <t xml:space="preserve">SYNGENTA BIOTECHNOLOGY INC/CHROMATIN INC-STRATEGIC ALLIANCE</t>
  </si>
  <si>
    <t xml:space="preserve">Syngenta Biotechnology Inc (SB), a unit of Syngenta AG, and Chromatin Inc
(CI) formed a strategic alliance wherein CI licensed SB to utilize its gene
stacking technology in the United States. SB was to use the technology in
order to improve trait genes in corn and soybeans by using the plant's own
DNA to deliver several genes on a mini-chromosome.</t>
  </si>
  <si>
    <t xml:space="preserve">88260F
17210T</t>
  </si>
  <si>
    <t xml:space="preserve">Carnegie Mellon CyLab
Nortel Networks Corp</t>
  </si>
  <si>
    <t xml:space="preserve">Pvd research,dvlp svcs
Mnfr,whl networking products</t>
  </si>
  <si>
    <t xml:space="preserve">Carnegie Mellon CyLab, located
in Pittsburgh, USA, provides
research and development
services for an
industry-enabled research and
education programs.
Nortel Networks Corp, located
in Mississauga, Canada,
manufactures and wholesales
networking products. The
company's products include
Nortel, Nortel Networks, NT,
Globemark and Succession. It
was founded in 1895.</t>
  </si>
  <si>
    <t xml:space="preserve">8731
3661</t>
  </si>
  <si>
    <t xml:space="preserve">Carnegie Mellon University
Nortel Networks Corp</t>
  </si>
  <si>
    <t xml:space="preserve">8221
3661</t>
  </si>
  <si>
    <t xml:space="preserve">CARNEGIE MELLON CYLAB/NORTEL NETWORKS CORP(WAS 665815)-STRATEGIC ALLIANCE</t>
  </si>
  <si>
    <t xml:space="preserve">Nortel Networks Corp and Carnegie Mellon CyLab, a unit of Carnegie Mellon
University formed a strategic alliance to provide research and development
services of unified communications and VoIP (voice over internet protocol)
security technologies globally. The alliance was a strategic investment
opportunity both for the partners to leverage their pervasive mobile
broadband network services and to further expand their market and product
coverage worldwide.</t>
  </si>
  <si>
    <t xml:space="preserve">14347R
656568</t>
  </si>
  <si>
    <t xml:space="preserve">Solvay SA
Rahu Catalytics Ltd</t>
  </si>
  <si>
    <t xml:space="preserve">Plastics Material and Resin Manufacturing &amp; Wholesale
Mnfr,whl catalyst chemicals</t>
  </si>
  <si>
    <t xml:space="preserve">Solvay SA is a manufacturer
of plastics materials. It
manufactures and wholesales
chemicals. It operates in
the advanced formulations
field, providing consumer
oriented products via its
Novecare, Technology
Solutions and Aroma
Performance subsidiaries. It
also manufactures and
develops advanced materials,
including specialty polymers
via its Composite Materials,
Silica and Special Chem
units. Its performance
chemicals units include Soda
Ash &amp; Derivates, Peroxides
and Coatis, owning Eureco,
Interox, and other brands.
The Company is also involved
in the functional polymers
industry, supplying
performance chemicals,
fibers, including textile
and industrial yarns and
staple fibers as well as
chlorovinyls. The Company
was founded in 1863 and is
located in Brussels,
Belgium.
Rahu Catalytics Ltd, located
in London, UK, manufactures
and wholesales catalyst
chemicals. The company
develops and sells green
catalyst systems for a range
of industrial applications in
the United Kingdom. It
operates in textiles, pulp and
paper, environment, industrial
and institutional cleaning,
inks and coatings, and
chemical synthesis market
sectors. The company was
founded in 2006.</t>
  </si>
  <si>
    <t xml:space="preserve">Belgium
United Kingdom</t>
  </si>
  <si>
    <t xml:space="preserve">SOLVAY SA/RAHU CATALYST LTD-STRATEGIC ALLIANCE</t>
  </si>
  <si>
    <t xml:space="preserve">Solvay SA and Rahu Catalytics Ltd formed a strategic alliance to provide
research and development services of activated oxidation and bleaching
processes  The alliance was a strategic opportunity both for the partners
to leverage their peroxide hydrogen development services and to further
expand their market and product coverage worldwide.</t>
  </si>
  <si>
    <t xml:space="preserve">834437
73894C</t>
  </si>
  <si>
    <t xml:space="preserve">Sunic System Co Ltd
Novaled AG</t>
  </si>
  <si>
    <t xml:space="preserve">Mnfr OLED mach
Mnfr light emitting diodes</t>
  </si>
  <si>
    <t xml:space="preserve">Sunic System Co Ltd, located
in Korea, manufactures OLEDs
machineries. The company was
founded in 1990, and its
products are sued in making
flat panel displays, micro
electro mechanical systems,
telecommunications equipments,
and semiconductors.
Novaled AG, located in
Dresden, Germany, manufactures
Organic Light Emitting Diodes
(OLED). Other products are
Organic Thin Film Transistor
(OTFT) and Organic
Photovoltaics (OPV). The
company was founded in 2001.</t>
  </si>
  <si>
    <t xml:space="preserve">South Korea
Germany</t>
  </si>
  <si>
    <t xml:space="preserve">SUNIC SYSTEM INC/NOVALED AG-STRATEGIC ALLIANCE</t>
  </si>
  <si>
    <t xml:space="preserve">Sunic System Co Ltd (SS) and Novaled AG (NA) formed a strategic alliance to
provide thin film encapsulation (TFE) tools, technologies and materials
development services. SS was expected to provides its expert knowledge on
both organic and inorganic deposition and encapsulation equipment and NA
was expected to call on its experience in organic and inorganic deposition
and encapsulation equipment.</t>
  </si>
  <si>
    <t xml:space="preserve">86714K
67195L</t>
  </si>
  <si>
    <t xml:space="preserve">Tolerx Inc
GlaxoSmithKline PLC</t>
  </si>
  <si>
    <t xml:space="preserve">Biopharm co
Pharmaceutical Preparation Manufacturing</t>
  </si>
  <si>
    <t xml:space="preserve">Tolerx Inc, located in the
United States, is a
biopharmaceutical company
focused on the discovery,
development and
commercialization of novel
immunotherapies designed to
reprogram the immune system.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</si>
  <si>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TOLERX INC/GLAXOSMITHKLINE PLC(WAS 377327)-STRATEGIC ALLIANCE</t>
  </si>
  <si>
    <t xml:space="preserve">Tolerx Inc and GlaxoSmithKline PLC formed a strategic alliance to provide
humanised anti-CD3 monoclonal antibody TRX4 (otelixizumab) development
services for type 1 diabetes and other autoimmune and immune-mediated
inflammatory diseases.</t>
  </si>
  <si>
    <t xml:space="preserve">88963E
37733W</t>
  </si>
  <si>
    <t xml:space="preserve">Janssen Pharmaceutica NV
Galapagos NV</t>
  </si>
  <si>
    <t xml:space="preserve">Manufacture pharmaceuticals
Biopharmaceutical company</t>
  </si>
  <si>
    <t xml:space="preserve">Janssen Pharmaceutica NV,
located in Beerse, Belgium,
manufactures prescription
pharmaceuticals intended for
final consumption, including
biotech products and
antibiotics.
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t>
  </si>
  <si>
    <t xml:space="preserve">J&amp;J
Galapagos NV</t>
  </si>
  <si>
    <t xml:space="preserve">JANSSEN PHARMACEUTICA INC/GALAPAGOS GENOMICS NV-STRATEGIC ALLIANCE</t>
  </si>
  <si>
    <t xml:space="preserve">Galapagos NV and Janssen Pharmaceutica NV, a unit of Johnson &amp; Johnson Inc,
formed a strategic alliance to provide novel small-molecule therapeutics
development services for the treatment of rheumatoid arthritis in Belgium.
</t>
  </si>
  <si>
    <t xml:space="preserve">47088B
36315X</t>
  </si>
  <si>
    <t xml:space="preserve">China Tech Dvlp Grp Corp
Terra Solar Global Inc</t>
  </si>
  <si>
    <t xml:space="preserve">Own,op solar power plants
Mnfr photovoltaic cells</t>
  </si>
  <si>
    <t xml:space="preserve">China Technology Development
Group Corp, located in Hong
Kong, is an owner and operator
of solar power plants. It was
founded in 1995.
Terra Solar Global Inc
manufactures photovoltaic
modules and system components
and also builds and installs
photovoltaic systems. The
company is headquartered in
New York, United States.</t>
  </si>
  <si>
    <t xml:space="preserve">499A
3674</t>
  </si>
  <si>
    <t xml:space="preserve">CHINA TECHNOLOGY DEVELOPMENT GROUP CORP/TERRA SOLAR DEVELOPMENT
CORP-STRATEGIC ALLIANCE</t>
  </si>
  <si>
    <t xml:space="preserve">Terra Solar Development Corp and China Technology Development Group Corp, a
unit of Beijing Holdings Ltd formed a strategic alliance to provide
research and development services of photovoltaic cells and nanotechnology
for solar energy resources globally. The alliance was a strategic
investment opportunity both for the partners to leverage their building
integrated photovoltaic development services and to further expand their
market and product coverage worldwide.</t>
  </si>
  <si>
    <t xml:space="preserve">G84384
88135N</t>
  </si>
  <si>
    <t xml:space="preserve">Xtreme Technologies GmbH
Philips Extreme UV GmbH</t>
  </si>
  <si>
    <t xml:space="preserve">Mnfr semiconductors
Mnfr EUV tech</t>
  </si>
  <si>
    <t xml:space="preserve">Xtreme Technologies GmbH, a
joint venture between Ushio
Inc and Jenoptik Laser Optik
Systeme GmbH, manufactures and
develops illumination and
energy-related applications
for light such as Gas
Discharge Produce Plasma EUV
Sources called the XTS 13-35
and the XTS 13-HB commercial
laser produced plasma EUV
source used in lithography
process development. The
Company was founded in March
2001 and located in Jena,
Germany.
Manufacture industrial
Philips Extreme UV GmbH, a
products
joint venture between
Koninklijke Philips
Electronics NV and Fraunhofer
Institute for Laser
Technology, manufactures and
develops Extreme Ultra Violet
(EUV)sources for series
production of semiconductors.
The Company was founded in
2001 and located in Aachen,
Germany.</t>
  </si>
  <si>
    <t xml:space="preserve">Ushio Inc
Koninklijke Philips Elect</t>
  </si>
  <si>
    <t xml:space="preserve">3641
3651</t>
  </si>
  <si>
    <t xml:space="preserve">XTREME TECHNOLOGIES GMBH/PHILIPS EXTREME UV GMBH-STRATEGIC ALLIANCE</t>
  </si>
  <si>
    <t xml:space="preserve">Xtreme Technologies Gmbh, a joint venture between Ushio Inc and Jenoptik
AG's Jenoptik Laser Optik Systeme GmbH subsidiary, and Philips Extreme UV
GmbH, a joint venture between Koninklijke Philips Electronics NV and
Fraunhofer Institute for Laser Technology, formed a strategic alliance to
manufacture and develop Extreme Ultra Violet (EUV) sources for next
generation semiconductor lithography in Germany.</t>
  </si>
  <si>
    <t xml:space="preserve">98544X
71861P</t>
  </si>
  <si>
    <t xml:space="preserve">Pieris AG
Pepscan Holding NV</t>
  </si>
  <si>
    <t xml:space="preserve">Pieris AG, located in
Freising-Weihenstephan,
Germany, manufactures
pharmaceuticals. It is a
biopharmaceutical company
engaged in the discovery and
development of Anticalins (R),
a human proteins designed to
diagnose and treat serious
human disorders. The company
was founded in 2001.
Pepscan Holding NV, located in
Netherlands, is a product
focused immunotherapy company
with a developed pipeline of
therapeutic vaccines.</t>
  </si>
  <si>
    <t xml:space="preserve">Germany
Netherlands</t>
  </si>
  <si>
    <t xml:space="preserve">PIERIS AG/PEPSCAN HOLDING NV-STRATEGIC ALLIANCE</t>
  </si>
  <si>
    <t xml:space="preserve">PIERIS Proteolab AG and Pepscan Holding NV formed a strategic alliance to
provide research and development services aimed at identifying Anticalins
(R) specific for G-Protein Coupled Receptors (GPCRs) and their development
as therapeutic candidates. The companies aimed to combine and apply their
respective technologies to the discovery and development of novel
Anticalins (R) able to modulate GPCR function in disease.</t>
  </si>
  <si>
    <t xml:space="preserve">5C2221
71342X</t>
  </si>
  <si>
    <t xml:space="preserve">King Pharmaceuticals Inc
Acura Pharmaceuticals Inc</t>
  </si>
  <si>
    <t xml:space="preserve">Mnfr,wholesale pharmaceuticals
Mnfr pharmaceuticals</t>
  </si>
  <si>
    <t xml:space="preserve">King Pharmaceuticals Inc,
headquartered in Bristol,
Tennessee, manufactures and
wholesales prescription
pharmaceutical products and
animal health products. The
company focuses on
cardiovascular, critical care,
and neuroscience products. Its
animal health business is
focusing on medicated feed
additives and water-soluble
therapeutics primarily for
poultry, cattle and swine. Its
brands are Embeda, Flector,
Avinza, Skelaxin, Thrombin,
Levoxy, Cytomel, Meridian Auto
Injectors and EpiPen. The
company's manufacturing
facilities are located in
Bristol, Rochester, St. Louis,
St. Petersburg and Middleton.
Its animal health division has
manufacturing facilities in
Chicago Heights, Longmont,
Salisbury, Willow Island, Van
Buren, Shenzhou and Yantai,
China. It was founded in 1994.
Acura Pharmaceuticals Inc is
a manufacturer of
pharmaceutical preparation.
The Company is located in
Palatine, Illinois.</t>
  </si>
  <si>
    <t xml:space="preserve">TN
IL</t>
  </si>
  <si>
    <t xml:space="preserve">KING PHARMACEUTICALS INC /ACURA PHARMACEUTICALS INC-STRATEGIC ALLIANCE</t>
  </si>
  <si>
    <t xml:space="preserve">King Pharmaceuticals Inc and Acura Pharmaceuticals Inc formed a strategic
alliance to provide research and development services of opioid analgesic
products including ACUROX tablet for treating moderate to severe acute pain
globally. The alliance was a strategic opportunity both for the partners to
leverage their medical development services and to further expand their
market and product coverage  in the United States, Canada, and Mexico.</t>
  </si>
  <si>
    <t xml:space="preserve">495582
00597Y</t>
  </si>
  <si>
    <t xml:space="preserve">Khosla Ventures
BIOeCON NV</t>
  </si>
  <si>
    <t xml:space="preserve">Venture capital firm
Pvd research,dvlp svcs</t>
  </si>
  <si>
    <t xml:space="preserve">Khosla Ventures, located in
Menlo Park, California, is a
venture capital firm. It
also provides venture
assistance, strategic advice
and capital to
entrepreneurs. The Company
was founded in 2004.
Investment firm
BIOeCON NV, located in
Netherlands and founded in
2006, provides research and
development services to
convert biomass, particularly
the recalcitrant polymeric
biomass residue, which can be
utilized by the chemical and
energy industry.</t>
  </si>
  <si>
    <t xml:space="preserve">KHOSLA VENTURES/BIOECON-JOINT VENTURE</t>
  </si>
  <si>
    <t xml:space="preserve">KiOR Inc, located in Pasadena,
Texas, produce renewable
fuels. It strive to achieve
net environmental and social
benefits by achieving a
negative carbon footprint.</t>
  </si>
  <si>
    <t xml:space="preserve">Khosla Ventures and BIOeCON NV formed a joint venture named KiOR Inc (KI)
to provides research and development services of lignocellulosic biomass,
found in grass, wood, and various agricultural and forestry wastes, into a
bio-oil product that can be further upgraded to transportation fuels in the
Netherlands. KI was expected to utilize the Biomass Catalytic Cracking
Process to leverage convertible energy resources.</t>
  </si>
  <si>
    <t xml:space="preserve">50477H
09164T</t>
  </si>
  <si>
    <t xml:space="preserve">Dynavax Technologies Corp
Merck &amp; Co Inc</t>
  </si>
  <si>
    <t xml:space="preserve">Mnfr,whl pharm prod
Mnfr,whl pharmaceutical prod</t>
  </si>
  <si>
    <t xml:space="preserve">Dynavax Technologies Corp,
located in Emeryville,
California, manufactures,
develops and wholesales
pharmaceutical products to
treat and prevent allergies,
infectious diseases, cancer
and chronic inflammatory
diseases using proprietary
approaches that alter immune
system responses. The
Company was founded in 1996.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</si>
  <si>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DYNAVAX TECHNOLOGIES CORP/MERCK &amp; CO INC-STRATEGIC ALLIANCE</t>
  </si>
  <si>
    <t xml:space="preserve">Dynavax Technologies Corp and Merck &amp; Co Inc formed a strategic alliance to
provide research and development services of HEPLISAV, a  novel
investigational hepatitis B vaccine globally.The alliance was a strategic
investment opportunity both for the partners to leverage their medical
development services and to further expand their market and product
coverage worldwide.</t>
  </si>
  <si>
    <t xml:space="preserve">268158
589331</t>
  </si>
  <si>
    <t xml:space="preserve">Neurocrine Biosciences Inc
Dainippon Sumitomo Pharma Co</t>
  </si>
  <si>
    <t xml:space="preserve">Mnfr biopharmaceutical prods
Mnfr,wholesale pharm prod,chem</t>
  </si>
  <si>
    <t xml:space="preserve">Neurocrine Biosciences Inc,
located in San Diego,
California, manufactures
biopharmaceutical products
primarily for
neuropsychiatric,
neuroinflammatory and
neurodegenerative diseases
and disorders providing a
unique biological
understanding of the
molecular interaction
between central nervous,
immune and endocrine systems
for the development of
therapeutic interventions
for anxiety, depression,
insomnia, stroke, malignant
brain tumors, multiple
sclerosis, obesity and
diabetes. The Company was
founded in 1992
Dainippon Sumitomo Pharma Co
Ltd, located in Osaka,
Japan, manufactures and
wholesales pharmaceutical
products and chemicals. It
operates in four business
divisions. The Japan
(Medicine) division
manufactures and sells
ethical and general use
drugs. The United States
division manufactures,
develops, purchases and
sells ethical drugs through
its subsidiaries. The China
division manufactures and
its subsidiaries. The other
division is involved in the
manufacture, purchase and
sale of food material and
additives, chemical goods,
animal use drugs, diagnostic
products, the clinical
pathology for animals, as
well as the storage,
delivery and clinical
inspection of drugs. It was
founded, October 01, 2005.</t>
  </si>
  <si>
    <t xml:space="preserve">NEUROCRINE BIOSCIENCES INC/DAINIPPON SUMITOMO-STRATEGIC ALLIANCE</t>
  </si>
  <si>
    <t xml:space="preserve">Neurocrine Biosciences Inc and Dainippon Sumitomo Pharma Co Ltd formed a
strategic alliance to provide research and development services of indiplon
for the  treatment of insomnia in Japan. The alliance was a strategic
investment opportunity both for the partners to leverage their medical
development services and to further expand their market and product
coverage in Asia.</t>
  </si>
  <si>
    <t xml:space="preserve">64125C
J10542</t>
  </si>
  <si>
    <t xml:space="preserve">BioTime Inc
Argonne National Laboratory</t>
  </si>
  <si>
    <t xml:space="preserve">BioTime Inc, headquartered
in Alameda, California is a
biotechnology company
provides research and
development services on bio
medical research and product
development like aqueous
based synthetic solutions
that may be used as plasma
expanders, organ
preservation solutions, or
solutions to replace blood
volume during low
temperature surgery. The
company was founded in 1990.
Argonne National Laboratory,
located in Argonne, Illinois,
provides research and
development services used in
for energy, economic, and
national security. The company
services include the
following: pyroprocessing of
spent reactor fuel,
demonstration of closed
nuclear fuel cycle, sync
Matrix emergency response
software, anti-jet-lag diet,
ultrananocrystalline diamond
films and other
nanotechnologies.</t>
  </si>
  <si>
    <t xml:space="preserve">BIOTIME INC/ARGONNE NATIONAL LABORATORY-STRATEGIC ALLIANCE</t>
  </si>
  <si>
    <t xml:space="preserve">BioTime Inc and Argonne National Laboratory, a unit of state owned
Department of Energy, formed a strategic allaince to provide cooperative
research services in the field of therapeutic hypothermia in the United
States.</t>
  </si>
  <si>
    <t xml:space="preserve">09066L
04017Q</t>
  </si>
  <si>
    <t xml:space="preserve">ABL Biotechnologies Co Ltd
PR Pharmaceuticals Inc</t>
  </si>
  <si>
    <t xml:space="preserve">Marine biotechnology co
Biopharmaceutical co</t>
  </si>
  <si>
    <t xml:space="preserve">ABL Biotechnologies Co Ltd,
located in India, was a marine
biotechnology company focusing
on inidentification and
commercial extraction of
bio-chemicals, predominantly
from microbes, that have far
reaching applications as
nutritional, cosmetic,
pharmaceutical and industrial.
The company was founded in
1992.
PR Pharmaceuticals Inc,
headquartered in Fort Collins,
Colorado, is a
biopharmaceutical company
focusing on the production and
development of long-acting
injectable formulations to
treat chronic diseases and
technology pipeline that can
provide solutions to many
marginally met or unmet and
growing medical conditions.
The company was founded in
1998.</t>
  </si>
  <si>
    <t xml:space="preserve">ABL Biotechnologies Co Ltd
R&amp;R Acquisition III Inc</t>
  </si>
  <si>
    <t xml:space="preserve">ABL BIOTECHNOLOGIES CO LTD/PR PHARMACEUTICALS INC-STRATEGIC ALLIANCE</t>
  </si>
  <si>
    <t xml:space="preserve">ABL Biotechnologies Ltd and PR Pharmaceuticals Inc formed a strategic
alliance to provide formed a strategic alliance to provide globally. The
alliance was a strategic opportunity both for the partners to leverage
their drug development technology services and to further expand their
market and product coverage worldwide.</t>
  </si>
  <si>
    <t xml:space="preserve">00341Y
69463P</t>
  </si>
  <si>
    <t xml:space="preserve">SCOLR Pharma Inc
Dr Reddy's Laboratories Ltd</t>
  </si>
  <si>
    <t xml:space="preserve">Mnfr,whl pharm
Manufactures and wholesales prescription pharmaceutical</t>
  </si>
  <si>
    <t xml:space="preserve">SCOLR Pharma Inc, located in
Bothell, Washington,
manufactures and wholesales
prescription pharmaceuticals
intended for final
consumption, including biotech
products and antibiotics. The
company was founded in 1994.
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t>
  </si>
  <si>
    <t xml:space="preserve">SCOLR PHARMA INC/DR REDDYS LABORATORIES LTD-STRATEGIC ALLIANCE</t>
  </si>
  <si>
    <t xml:space="preserve">Scolr Pharma Inc and Dr Reddy's Laboratories Ltd formed a strategic
alliance to provide research and development services of undisclosed oral
prescription drug for the cardiopulmonary market globally.  The alliance
was a strategic investment opportunity both for the partners to leverage
their medical development services and to further expand their market and
product coverage worldwide. Terms were not disclosed.</t>
  </si>
  <si>
    <t xml:space="preserve">78402X
256135</t>
  </si>
  <si>
    <t xml:space="preserve">Ferndale Pharma Group Inc
Foamix Ltd</t>
  </si>
  <si>
    <t xml:space="preserve">Ferndale Pharma Group Inc,
located in Ferndale, Michigan,
manufactures branded
prescription pharmaceutical
products under-served medical
specialties of dermatology,
colon/rectal surgery and
OB-Gyn. It is also a holding
company. Its companies were
Ferndale Labs &amp; Contract
Manufacturing, Biopelle Inc,
Eloquest Healthcare Inc,
Ferdale Healthcare Inc, and
Ferndale Worldwide, that
include Ferndale International
and Ferndale Pharmaceuticals
Ltd. The company was founded
in 1897.
Foamix Ltd, located in Ness
Ziona, Israel, manufactures
and develops innovative
topical and dermatological
foam drug delivery
formulations.</t>
  </si>
  <si>
    <t xml:space="preserve">FERNDALE LABORATORIES INC/FOAMIX LTD-STRATEGIC ALLIANCE</t>
  </si>
  <si>
    <t xml:space="preserve">Ferndale Laboratories Inc (FL) and Foamix Ltd (FO) renegotiated their
strategic alliance agreement. Originally in 2007, FL and FO formed a
strategic alliance to provide research and development services of
non-steroidal foam for the treatment of atopic dermatitis globally. the
alliance's research was expected to be directed to fortify the skin barrier
by delivering a high concentration of barrier-enhancing oils in an
easy-to-apply formulation. In June 2008, the partners executed a license
agreement for the developed non-steroidal foam.</t>
  </si>
  <si>
    <t xml:space="preserve">31516C
34426X</t>
  </si>
  <si>
    <t xml:space="preserve">Coronis Systems SA
Essensium NV</t>
  </si>
  <si>
    <t xml:space="preserve">Mnfr,dvlp metering sys
Dvlp wireless ASIC</t>
  </si>
  <si>
    <t xml:space="preserve">Coronis Systems SA, located in
Montpellier, France,
manufactures, designs and
develops automatic remote
metering systems in Telemetry
and Data Collection. Telemetry
includes temperature
monitoring, sensor, status
report, tank-level, and
evaluation kit. Data
Collection includes wireless
modem for PC, GSM/Wavenis
Gateway, handheld
compuetrs/PDA, Residential
Gateways, and software
solutions. The company was
founded in 2000.
Essensium NV, located in
Leuven, Belgium, manufactures
and develops system-on-chip
(SoC) solutions for silicon
integration for the creation
of new, innovative, and
affordable systems. It also
provides system consulting,
trainign and suport services.</t>
  </si>
  <si>
    <t xml:space="preserve">3824
3674</t>
  </si>
  <si>
    <t xml:space="preserve">CVC Capital Partners Ltd
Essensium NV</t>
  </si>
  <si>
    <t xml:space="preserve">6799
3674</t>
  </si>
  <si>
    <t xml:space="preserve">CORONIS SYSTEMS SA/ESSENSIUM-STRATEGIC ALLIANCE</t>
  </si>
  <si>
    <t xml:space="preserve">Coronis Systems SA (CS), a unit of the Elster AG subsidiary of CVC Capital
Partners Ltd's Ruhrgas Industries GmbH's unit, and Essensium NV (EN) formed
a strategic alliance to manufacture and develop ultra-low-power, long-range
Wavenis system-on-chip solution.   EN was expected to integrate an upgraded
Wavenis wireless transceiver and a low power 32-bit RISC controller to run
the Wavenis communications protocol stack and on-chip embedded memory.</t>
  </si>
  <si>
    <t xml:space="preserve">22718K
29680N</t>
  </si>
  <si>
    <t xml:space="preserve">Freescale Semiconductor Inc
Zhuzhou CSR Times Electric Co</t>
  </si>
  <si>
    <t xml:space="preserve">Mnfr,whl semiconductors
Mnfr electrical sys,components</t>
  </si>
  <si>
    <t xml:space="preserve">Freescale Semiconductor Inc,
located in Austin, Texas,
manufactures, markets and
designs embedded
semiconductors for the
automotive, consumer,
industrial, networking and
wireless markets that
operates in more than 30
countries. It offers
microcontroller solutions
comprising microcontrollers
and embedded
microprocessors, networking
and multimedia products,
including communication
processors, digital signal
processors, networked
multimedia devices, and
application processors, and
radio frequency, analog, and
sensors products consisting
of analog and mixed-signal
integrated circuits,
sensors, and radio frequency
devices. The company was
founded in 1953.
Zhuzhou CSR Times Electric Co
Ltd, located in Zhuzhou,
China, manufactures electrical
systems and components
relating to locomotive and
rolling stock. The company
also manufactures electrical
components including
semiconductor devices, sensors
and other related products. It
operates principally in China.
It was founded in 2005.</t>
  </si>
  <si>
    <t xml:space="preserve">3674
3629</t>
  </si>
  <si>
    <t xml:space="preserve">Freescale Holdings LP
China South Locomotive</t>
  </si>
  <si>
    <t xml:space="preserve">6371
3711</t>
  </si>
  <si>
    <t xml:space="preserve">FREESCALE SEMICONDUCTOR INC/ZHUZHOU CSR TIMES ELECTRIC CO LTD-STRATEGIC
ALLIANCE</t>
  </si>
  <si>
    <t xml:space="preserve">Freescale Semiconductor Inc and Zhuzhou CSR Times Electric Co Ltd formed a
strategic alliance to provide research and development services of rail
electrical system with microelectronics applications in China. The partners
constructed a joint laboratory in the region with including power
conversion, control and diagnosis, safety monitoring, information and
communication, power electronics, and test and control. The alliance was
expected to focus AC drive systems, train control and diagnostics, railway
safe driving carriers, locomotive and passenger information, passenger
train electrics and information, and electric and control systems for
engineering mechanics.</t>
  </si>
  <si>
    <t xml:space="preserve">35687M
99113X</t>
  </si>
  <si>
    <t xml:space="preserve">Alternative Constr Tech Inc
Atlan International Holdings</t>
  </si>
  <si>
    <t xml:space="preserve">Mnfr insulated panels
Pvd renewable energy svcs</t>
  </si>
  <si>
    <t xml:space="preserve">Manufacture proprietary
structural insulated panels
for the use in commercial and
private construction; provide
design and consulting services
to its various general
contracting companies located
in Florida, Georgia and
Tennessee
Atlan International Holdings
Corp, located in the United
States, provides renewable
energy services.</t>
  </si>
  <si>
    <t xml:space="preserve">3448
499A</t>
  </si>
  <si>
    <t xml:space="preserve">FL
DE</t>
  </si>
  <si>
    <t xml:space="preserve">ALTERNATIVE CONSTRUCTION TECHNOLOGIES/ATLAN INTERNATIONAL HOLDINGS-SOLAR 18
ACTECH PANEL INC JOINT VENTURE</t>
  </si>
  <si>
    <t xml:space="preserve">Solar 18 ACTech Panel Inc,
located in Florida,
manufactures and develops
solar panels. The Company was
founded in January 2008.</t>
  </si>
  <si>
    <t xml:space="preserve">Alternative Construction Consulting Services Inc, a unit of Alternative
Construction Technologies Inc, and Atlan International Holdings Inc formed
a joint venture named Solar 18 ACTech Panel Inc to manufacture and develop
solar panels in the United States.</t>
  </si>
  <si>
    <t xml:space="preserve">83706T</t>
  </si>
  <si>
    <t xml:space="preserve">021457
047654</t>
  </si>
  <si>
    <t xml:space="preserve">Beactica AB
Arrow Therapeutics Ltd</t>
  </si>
  <si>
    <t xml:space="preserve">Pvd research,dvlp svcs
Mnfr pharmaceuticals</t>
  </si>
  <si>
    <t xml:space="preserve">Beactica AB is a provider of
biotechnology research and
development services. The
Company was founded in 2006
and is located in Uppsala,
Sweden.
Manufacture prescription
pharmaceuticals intended for
final consumption, including
biotech products and
antibiotics focusing on the
development and discovery of
novel antiviral therapeutics</t>
  </si>
  <si>
    <t xml:space="preserve">Beactica AB
AstraZeneca PLC</t>
  </si>
  <si>
    <t xml:space="preserve">BEACTIVE AB/ARROW THERAPEUTICS LTD-STRATEGIC ALLIANCE</t>
  </si>
  <si>
    <t xml:space="preserve">Beactica AB and Arrow Therapeutics Ltd formed a strategic alliance to
provide research and development services of novel characterization
compound for viral infections globally. The alliance was a strategic
opportunity both for the partners to leverage their medical and healthcare
development services and to further expand their market and products
coverage worldwide.</t>
  </si>
  <si>
    <t xml:space="preserve">07571Z
04282P</t>
  </si>
  <si>
    <t xml:space="preserve">Nanopeutic sro
ConvaTec Ltd</t>
  </si>
  <si>
    <t xml:space="preserve">Whl Nanospider tech
Mnfr,whl skincare products</t>
  </si>
  <si>
    <t xml:space="preserve">Wholesale and commercialise
Nanospider technology for the
healthcare market
ConvaTec Ltd, located in
Princeton, New Jersey,
manufactures and wholesales
skincare products and medical
supplies such as wound
dressings. The company was
founded in 1978.</t>
  </si>
  <si>
    <t xml:space="preserve">5047
2844</t>
  </si>
  <si>
    <t xml:space="preserve">Alltracel Pharmaceuticals PLC
Bristol-Myers Squibb Co</t>
  </si>
  <si>
    <t xml:space="preserve">NANOPEUTICS SRO/CONVATEC LTD-STRATEGIC ALLIANCE</t>
  </si>
  <si>
    <t xml:space="preserve">Nanopeutics sro, a joint venture between Alltracel Pharmaceuticals PLC and
Elmarco sro, and ConvaTec Ltd, a unit of Bristol Myers Co, formed a
strategic alliance to provide professional wound care technology
development services. The alliance was funded by CL and its successful
conclusion may lead to an exclusive royalty bearing license and supply
agreement.</t>
  </si>
  <si>
    <t xml:space="preserve">62788R
21291H</t>
  </si>
  <si>
    <t xml:space="preserve">Applied Biosystems Group
Biotrove Inc</t>
  </si>
  <si>
    <t xml:space="preserve">Mnfr,whl instr-based sys
Mnfr lab analytical instr</t>
  </si>
  <si>
    <t xml:space="preserve">Applied Biosystems Group,
located in Foster City,
California, manufactures and
wholesales instrument-based
systems, reagents, genomic
products such as human
identification kits, assays
and DNA sequencing tools. It
develop informatics software
for analytical testing, gene
expression, genotyping,
proteomics, and DNA
sequencing. The company was
founded in 1999.
BioTrove Inc, located in
Woburn, Massachusetts,
manufactures laboratory
analytical instruments that
provides micro and nano-scale
technology platforms for life
science and drug discovery
research applications. Its two
main products are OpenArray,
is a technology platform for
relative gene expression
analysis that advances genomic
research in various life
science fields, including
agriculture, disease research,
and public health, and
RapidFire, a technology
platform that enables the
screening of intractable drug
targets via mass spectrometry
based assay development. The
company was founded in 1997.</t>
  </si>
  <si>
    <t xml:space="preserve">3826
3826</t>
  </si>
  <si>
    <t xml:space="preserve">Applera Corp
Biotrove Inc</t>
  </si>
  <si>
    <t xml:space="preserve">APPLIED BIO SYSTEMS INC/BIOTROVE INC-STRATEGIC ALLIANCE</t>
  </si>
  <si>
    <t xml:space="preserve">Applied Biosystems Inc (AB), a unit of Applera Corp, and Biotrove Inc (BI)
formed a strategic alliance to manufacture, develop and market integrated
platform for high-throughput genotyping in the United States. AB was
expected to develop and market custom-built arrays of its TaqMan SNP
Genotyping Assays pre-loaded on BI's OpenArray platform.</t>
  </si>
  <si>
    <t xml:space="preserve">037906
09160X</t>
  </si>
  <si>
    <t xml:space="preserve">DIREVO Biotech AG
Pfizer Inc</t>
  </si>
  <si>
    <t xml:space="preserve">DIREVO Biotech AG, located in
Cologne, Germany, is a
biotechnology company that
develops bioengineered
products and processes for
industrial and pharmaceutical
applications. Its portfolio
includes optimized proteins,
optimized bioprocesses and
other bio-molecules, in
research, in commercial
development and on the market.
Its industrial biotechnology
business focuses on food &amp;
feed, and biorefinery markets,
providing solutions through
discovery, development and
scale up of enzymes, other
molecules and strains, and
emphasizing environmental
sustainability and the use of
renewable resources. Its
biopharmaceutical business
focuses on therapeutic
antibodies and proteases.
Applying its protein
engineering capabilities, it
generates improved second
generation therapeutics and
discovers and optimizes novel
first-generation therapeutics.
It offers early stage
partnering from internal
discovery programs as well as
collaborations on the
optimization of a wide range
of therapeutic proteins.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</si>
  <si>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DIREVO BIOTECH AG/PFIZER INC-STRATEGIC ALLIANCE</t>
  </si>
  <si>
    <t xml:space="preserve">Direvo Biotech AG (DB) and Pfizer Inc formed a strategic alliance to
provide therapeutic proteases development services as potential treatments
for various diseases. DB was expected to apply its protein-engineering
capabilities to create novel proteases with engineered specificity for
these targets.</t>
  </si>
  <si>
    <t xml:space="preserve">25557L
717081</t>
  </si>
  <si>
    <t xml:space="preserve">Acambis PLC
Sanofi Pasteur SA</t>
  </si>
  <si>
    <t xml:space="preserve">Mnfr,dvlp vaccines
Mnfr,dvlp vaccines</t>
  </si>
  <si>
    <t xml:space="preserve">Acambis PLC, located in
Cambridge, United Kingdom,
manufactures, develops and
wholesales vaccines to prevent
and treat infectious diseases.
Its brands includes
ChimeriVax-JE and
ChimeriVax-West Nile.
ChimeriVax-JE is a single-dose
vaccine for travellers and
those living in endemic
regions. ChimeriVax-West Nile
focuses on viruses transmitted
to humans and animals by the
bite of an infected mosquito.
The company was founded in
1992.
Sanofi Pasteur SA, located in
Lyon Cedex, France,
manufactures and develops
human vaccines. Its range of
vaccines include TheraCys,
Adacel, Daptacel, TriHIBit,
Tripedia, ActHIB and Fluzone.</t>
  </si>
  <si>
    <t xml:space="preserve">Acambis PLC
Sanofi-Aventis SA</t>
  </si>
  <si>
    <t xml:space="preserve">ACAMBIS PLC/SANOFI PASTEUR SA-STRATEGIC ALLIANCE</t>
  </si>
  <si>
    <t xml:space="preserve">Acambis PLC and Sanofi Pasteur SA, a unit of Sanofi-Aventis SA formed a
strategic alliance to research, develop and market West Nile Virus Vaccine
globally. The alliance was a strategic investment opportunity both for the
partners to leverage their medical development services, including
immunization against disease, and to further expand their market and
product coverage.</t>
  </si>
  <si>
    <t xml:space="preserve">004286
80096R</t>
  </si>
  <si>
    <t xml:space="preserve">Hadasit Med Research Svc
Anadis Ltd</t>
  </si>
  <si>
    <t xml:space="preserve">Pvd med research,dvlp svcs
Biotech co</t>
  </si>
  <si>
    <t xml:space="preserve">Hadasit Medical Research
Services &amp; Development Ltd,
located in Israel, provides
medical research and
development services. The
Company was founded in 1986.
Anadis Ltd, located in
Australia, is a
biotechnology company
specialising in innovative
nutraceutical,
pharmaceutical and related
therapeutic technology
products, primarily for use
in and by, humans.</t>
  </si>
  <si>
    <t xml:space="preserve">Israel
Australia</t>
  </si>
  <si>
    <t xml:space="preserve">Hadassah Medical Ltd
Anadis Ltd</t>
  </si>
  <si>
    <t xml:space="preserve">8062
2836</t>
  </si>
  <si>
    <t xml:space="preserve">HADASIT /ANADIS LTD -IMMURON JOINT VENTURE</t>
  </si>
  <si>
    <t xml:space="preserve">Immuron Ltd, located in
Jerusalem, Israel, provides
research and development
services for therapeutic
cancer treatments as well as
other infectious disease and
inflammatory medications.
Founded in 2008.</t>
  </si>
  <si>
    <t xml:space="preserve">Hadasit Medical Research Services &amp; Development Ltd (HM), a unit of
Hadassah Medical Organization, and Anadis Ltd (AL) formed a joint venture
named Immuron Ltd to provide therapeutic treatments development services
for inflammatory diseases, infectious diseases and cancer in Israel. The
products were based on a combination of intellectual property (IP) from HM
and AL.</t>
  </si>
  <si>
    <t xml:space="preserve">29685W</t>
  </si>
  <si>
    <t xml:space="preserve">40553P
3F5348</t>
  </si>
  <si>
    <t xml:space="preserve">PTA Holdings Inc
Kingsley Coach Inc</t>
  </si>
  <si>
    <t xml:space="preserve">Pvd cars repair,maintenace svc
Mnfr recreational vehicles</t>
  </si>
  <si>
    <t xml:space="preserve">PTA Holdings Inc, located in
Phoenix, Arizona , provides
repairs and maintenance
services of domestic, foreign
and diesel cars. It is also a
holding company.
Manufacture customized
recreational vehicles</t>
  </si>
  <si>
    <t xml:space="preserve">7538
3711</t>
  </si>
  <si>
    <t xml:space="preserve">AZ
PA</t>
  </si>
  <si>
    <t xml:space="preserve">PTA Holdings Inc
Micro-Hydro Power Inc</t>
  </si>
  <si>
    <t xml:space="preserve">7538
6799</t>
  </si>
  <si>
    <t xml:space="preserve">PTA HOLDINGS INC/KINGSLEY COACH INC-STRATEGIC ALLIANCE</t>
  </si>
  <si>
    <t xml:space="preserve">PTA Holdings Inc (PH) and Kingsley Coach Inc (KC), a unit of Micro-Hydro
Power Inc, formed a strategic alliance to manufacture and develop fuel
saver technology. PH's technology was to be utilized in the manufacturing
and operating of KC's custom coaches.</t>
  </si>
  <si>
    <t xml:space="preserve">69367L
49637W</t>
  </si>
  <si>
    <t xml:space="preserve">Meristem Therapeutics
SBH Sciences Inc</t>
  </si>
  <si>
    <t xml:space="preserve">Meristem Therapeutics, located
in Ferrand, provides genetic
research services; produce
animal proteins in plants;
research laboratory
SBH Sciences Inc, located in
Natick, Massachusetts, is a
biotechnology company
dedicated in the development
and implementation of
cell-based bioassays and
efficient cell culture process
for the commercial production
of recombinant cytokiines and
monoclonal antibodies.</t>
  </si>
  <si>
    <t xml:space="preserve">Limagrain SCA
SBH Sciences Inc</t>
  </si>
  <si>
    <t xml:space="preserve">0721
2836</t>
  </si>
  <si>
    <t xml:space="preserve">MERISTEM THERAPEUTICS/SBH SCIENCES-STRATEGIC ALLIANCE</t>
  </si>
  <si>
    <t xml:space="preserve">Meristem Therapeutics, a unit of Limagrain SA's Groupe Limagrain Holding SA
subsidiary, and SBH Sciences Inc formed a strategic alliance to provide
recombinant proteins development services form genetically engineered
tobacco for research, development and diagnostic applications.
</t>
  </si>
  <si>
    <t xml:space="preserve">58984W
78865R</t>
  </si>
  <si>
    <t xml:space="preserve">Chemdiv Inc
Nerviano Medical Sciences Srl</t>
  </si>
  <si>
    <t xml:space="preserve">Pvd research,dvlp svcs
Biological Product (Except Diagnostic) Manufacturing</t>
  </si>
  <si>
    <t xml:space="preserve">Chemdiv Inc, located in San
Diego, California, provides
synthetic and medicinal
chemistry research services
specializing in small-molecule
chemistry, screening
libraries, global logistics
and lead discovery. The
company has research
facilities in San Diego, USA,
and Moscow, Russia. The
company was founded in 1990.
Nerviano Medical Sciences
Srl is a manufacturer of
biological products. It
provides carbon-dioxide
pharmaceutical research and
development services with
oncology-focused integrated
technology for the treatment
of cancer. The Company was
founded in May 2004 and is
located in Nerviano, Italy.</t>
  </si>
  <si>
    <t xml:space="preserve">Chemdiv Inc
Fondazione Regionale Per La</t>
  </si>
  <si>
    <t xml:space="preserve">8731
8733</t>
  </si>
  <si>
    <t xml:space="preserve">CHEMDIV INC/NERVIANO MEDICAL-STRATEGIC ALLIANCE</t>
  </si>
  <si>
    <t xml:space="preserve">Chemdiv Inc and Nerviano Medical Sciences Srl formed a strategic alliance
to provide pharmaceutical research and development services.</t>
  </si>
  <si>
    <t xml:space="preserve">16359E
64013C</t>
  </si>
  <si>
    <t xml:space="preserve">Cook Pharmica LLC
Inspiration Biopharmaceuticals</t>
  </si>
  <si>
    <t xml:space="preserve">Biotechnology company
Biopharmaceutical company</t>
  </si>
  <si>
    <t xml:space="preserve">Cook Pharmica LLC, located
in Bloomington, Indin, is a
biopharmaceutical company
that manufactures mammalian
cell culture-based products.
The Company provides process
development, flexible
manufacturing and analytical
services to bring
life-enhancing discoveries.
It operates a 875,000 square
foot development and
manufacturing facility in
Bloomington. The Company was
founded in 2004.
Inspiration Biopharmaceuticals
Inc, located in Cambridge,
Massachusetts, is a
biopharmaceutical company
focused in the study of
hemophilia. It offers IB1001,
an intravenous recombinant
factor IX for the acute and
preventative treatment of
bleeding in individuals with
hemophilia B; and OBI-1, an
intravenous recombinant
porcine factor VIII (FVIII)
for the treatment of
individuals who have developed
inhibitors against human FVIII
and for individuals with
acquired hemophilia A. It was
founded in 2004.</t>
  </si>
  <si>
    <t xml:space="preserve">IN
MA</t>
  </si>
  <si>
    <t xml:space="preserve">Cook Group Inc
Inspiration Biopharmaceuticals</t>
  </si>
  <si>
    <t xml:space="preserve">COOK PHARMICA LLC/INSPIRATION BIOPHARMACEUTICALS-STRATEGIC ALLIANCE</t>
  </si>
  <si>
    <t xml:space="preserve">Cook Pharmica LLC, a unit of Cook Group Inc's Cook Medical Inc subsidiary,
and Inspiration Biopharmaceuticals Inc formed a strategic alliance to
provide biologic therapy development services in the United States. The
alliance's development is for an intravenous Factor IX product for patients
with hemophilia B. Terms of the agreement were not disclosed.</t>
  </si>
  <si>
    <t xml:space="preserve">21625J
46764Q</t>
  </si>
  <si>
    <t xml:space="preserve">Strides Arcolab Ltd
Aspen Pharmacare Holdings Ltd</t>
  </si>
  <si>
    <t xml:space="preserve">Mnfr,whl pharmaceuticals
Pharmaceutical Preparation Manufacturing</t>
  </si>
  <si>
    <t xml:space="preserve">Strides Arcolab Ltd, located
in Bangalore, India,
manufactures and wholesales
pharmaceuticals, over the
counter products and
nutraceuticals. The company
performs its activities
through two segments, Pharma
and CRAM. Its products
include soft and hard
gelatin capsules, tablets,
cry and wet injectables. It
markets its products in
South and Central America,
India, Africa, Russia and
CIS, Asia Pacific, Europe
and North America. The
company was founded in 1990.
Aspen Pharmacare Holdings
Ltd, located in Durban,
South Africa, manufactures
and supplies branded and
generic pharmaceutical
products, as well as infant
nutritional and consumer
healthcare products. The
Company's segments include
International, South Africa,
Asia Pacific and Sub-Saharan
Africa (SSA). Its
International business
includes operating
subsidiaries in Europe,
Commonwealth of Independent
States (CIS), Latin America,
the Middle East and North
Africa, Canada, as well as
Mauritius-based Aspen Global
Incorporated. The South
African business provides
branded, generic,
over-the-counter, consumer
health and infant
nutritional products, which
are supplied to pharmacies,
retail pharmacy chains,
hospitals, clinics,
prescribing specialists,
dispensing general
practitioners, managed
healthcare funders and
retail stores across the
private and public sectors
in South Africa. Its
business in Asia Pacific
includes operations in
Australasia, the
Philippines, Taiwan and
Japan. The Company was
founded in 1986.</t>
  </si>
  <si>
    <t xml:space="preserve">STRIDES ARCOLAB LTD/ASPEN PHARMACARE HOLDINGS-POWERCLIFF LTD JOINT VENTURE</t>
  </si>
  <si>
    <t xml:space="preserve">PowerCliff Ltd, located in
Cyprus, manufactures, develops
and wholesales oncology
pharmaceutical products.</t>
  </si>
  <si>
    <t xml:space="preserve">Cyprus</t>
  </si>
  <si>
    <t xml:space="preserve">Strides Arcolab Ltd (SA) and Aspen Pharmacare Holdings Ltd (AP) formed a
joint venture named PowerCliff Ltd (PC) to manufacture, develop and
wholesale generic oncology pharmaceuticals in India. PC was formed through
AP's acquisition of a 50% interest in PC from SA. SA retained a 51%
interest in PC. Concurrently, the partners formed another JV named Onco
Therapies Ltd. AP also acquired a stake in SA's Strides Latina operations
while SA acquired interests in AP's Co-Pharma Ltd and Formula Naturelle
units.</t>
  </si>
  <si>
    <t xml:space="preserve">75494P</t>
  </si>
  <si>
    <t xml:space="preserve">86339J
04568Z</t>
  </si>
  <si>
    <t xml:space="preserve">Quantum Life Sciences Pvt Ltd
Aspen Pharmacare Holdings Ltd</t>
  </si>
  <si>
    <t xml:space="preserve">Investment holding company
Pharmaceutical Preparation Manufacturing</t>
  </si>
  <si>
    <t xml:space="preserve">Quantum Life Sciences Pvt Ltd
is an investment holding
company, headquartered in
India.
Aspen Pharmacare Holdings
Ltd, located in Durban,
South Africa, manufactures
and supplies branded and
generic pharmaceutical
products, as well as infant
nutritional and consumer
healthcare products. The
Company's segments include
International, South Africa,
Asia Pacific and Sub-Saharan
Africa (SSA). Its
International business
includes operating
subsidiaries in Europe,
Commonwealth of Independent
States (CIS), Latin America,
the Middle East and North
Africa, Canada, as well as
Mauritius-based Aspen Global
Incorporated. The South
African business provides
branded, generic,
over-the-counter, consumer
health and infant
nutritional products, which
are supplied to pharmacies,
retail pharmacy chains,
hospitals, clinics,
prescribing specialists,
dispensing general
practitioners, managed
healthcare funders and
retail stores across the
private and public sectors
in South Africa. Its
business in Asia Pacific
includes operations in
Australasia, the
Philippines, Taiwan and
Japan. The Company was
founded in 1986.</t>
  </si>
  <si>
    <t xml:space="preserve">6719
2834</t>
  </si>
  <si>
    <t xml:space="preserve">STRIDES ARCOLAB LTD/ASPEN PHARMACARE HOLDINGS-ONCO THERAPIES LTD JOINT
VENTURE</t>
  </si>
  <si>
    <t xml:space="preserve">Onco Therapies Ltd, located in
India, manufactures, develops
and wholesales generic
oncology pharmaceuticals.</t>
  </si>
  <si>
    <t xml:space="preserve">Quantum Life Sciences Pvt Ltd (QL), a unit of Strides Arcolab Ltd (SA) and
Aspen Pharmacare Holdings Ltd (AP) formed a joint venture named Onco
Therapies Ltd (OT) to manufacture, develop and wholesale generic oncology
pharmaceuticals in India. OT was formed through AP's acquisition of a 49%
interest in OT from QL. QL retained a 51% interest in OT. Concurrently, the
partners formed another JV named PowerCliff Ltd. AP also acquired a stake
in SA's Strides Latina operations while SA acquired interests in AP's
Co-Pharma Ltd and Formula Naturelle units.</t>
  </si>
  <si>
    <t xml:space="preserve">68328L</t>
  </si>
  <si>
    <t xml:space="preserve">75494X
04568Z</t>
  </si>
  <si>
    <t xml:space="preserve">Biogen Idec Inc
Neurimmune Therapeutics AG</t>
  </si>
  <si>
    <t xml:space="preserve">Biotechnology company
Mnfr neurodegenerative drug</t>
  </si>
  <si>
    <t xml:space="preserve">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
Neurimmune Therapeutics AG,
Manufacture folding paperboard
boxes
located in Zurich,
Switzerland, manufactures and
develops neurodegenerative
diseases drug development
based on Reverse Translational
Medicine (RTM). THe company
was founded in Novermber 2006.</t>
  </si>
  <si>
    <t xml:space="preserve">BIOGEN IDEC INC/NEURIMMUNE THERAPEUTICS AG-STRATEGIC ALLIANCE</t>
  </si>
  <si>
    <t xml:space="preserve">Biogen Idec Inc (BI) and Neurimmune Therapeutics AG (NT) formed a strategic
alliance to provide alzheimer's disease treatment development and
commercialization services. The alliance was expected to develop antibodies
that bind to amyloid beta, a pathogenic molecule thought to cause
neurodegeneration and loss of cognitive function in Alzhiemer's patients.
NT was expected to conduct research to identify potential therapeutic
antibodies usinf BI's TTM platform.</t>
  </si>
  <si>
    <t xml:space="preserve">09062X
64219H</t>
  </si>
  <si>
    <t xml:space="preserve">Raytheon Co
Larsen &amp; Toubro Ltd</t>
  </si>
  <si>
    <t xml:space="preserve">Mnfr radar,electn equip
Provide technology, engineering, construction, manufacturing and financial services</t>
  </si>
  <si>
    <t xml:space="preserve">Raytheon Co, located in
Waltham, Massachusetts,
manufactures radar
equipment, electronics,
aircraft and aircraft
engines, and home
appliances; provide
geophysical surveillance
services in the areas of
defense and commercial
electronics, engineering and
construction, and business
and special mission
aircraft.It operates in five
business segments:
Integrated Defense Systrems;
Intelligence, Information
and Services; Missile
systems; Space and Airborne
Systems and Forcepoint. The
Company was founded in 1922.
Larsen &amp; Toubro Ltd is a
technology, engineering,
construction, manufacturing
and financial services
company. The Company's
segments include
Infrastructure, which is
engaged in engineering and
construction of building and
factories; Power, which
offers solutions for thermal
power plants; Metallurgical
&amp; Material Handling, which
consists of solutions for
ferrous and non-ferrous
metal industries; Heavy
Engineering, which
manufactures and supplies
custom designed, engineered
critical equipment and
systems; Electrical &amp;
Automation, which
manufactures and sells
control and automation
products; Hydrocarbon, which
is engaged in engineering,
procurement and construction
solutions for the oil and
gas industry; IT &amp;
Technology Services, which
includes information
technology; Financial
Services, which includes
retail and corporate
finance; Developmental
projects, which develops,
operates and maintains basic
infrastructure projects, and
Others, which include realty
and shipbuilding. The
Company was founded in 1938
and is located in Mumbai,
India.</t>
  </si>
  <si>
    <t xml:space="preserve">3812
8711</t>
  </si>
  <si>
    <t xml:space="preserve">RAYTHEON CO/LARSEN &amp; TOUBRO-STRATEGIC ALLIANCE</t>
  </si>
  <si>
    <t xml:space="preserve">Raytheon Co and Larsen &amp; Toubro Ltd planned to form a strategic alliance to
manufacture and develop medium multi-role combat aircraft.</t>
  </si>
  <si>
    <t xml:space="preserve">755111
51729V</t>
  </si>
  <si>
    <t xml:space="preserve">Genmab A/S
GlaxoSmithKline PLC</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</si>
  <si>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</si>
  <si>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Denmark
United Kingdom</t>
  </si>
  <si>
    <t xml:space="preserve">GENMAB AS/GLAXOSMITHKLINE PLC-STRATEGIC ALLIANCE</t>
  </si>
  <si>
    <t xml:space="preserve">Genmab A/S and GlaxoSmithKline PLC planned to form a strategic alliance to
provide ofatumumab rheumatoid arthritis (RA) phase III program services.
One study will be in patients who have had an inadequate response to
methotrexate therapy and the other in patients who had an inadequate
response to TNF-alpha antagonist therapy.  Further studies to support the
program are planned for 2008. Each study will evaluate the efficacy of
ofatumumab in reducing the clinical signs and symptoms in RA patients after
a single course of ofatumumab and are comprised of a 24 week double-blind
period followed by a 120 week open-label period during which re-treatment
will be studied. The primary endpoint in each study is ACR20 at 24 weeks.
</t>
  </si>
  <si>
    <t xml:space="preserve">K3967W
37733W</t>
  </si>
  <si>
    <t xml:space="preserve">IGI Inc
DermWorx Inc</t>
  </si>
  <si>
    <t xml:space="preserve">Mnfr encapsulation tech
Mnfr pharmaceuticals</t>
  </si>
  <si>
    <t xml:space="preserve">IGI Inc, located in Buena, New
Jersey, manufactures Novasome
lipid vesicle encapsulation
technology for use in
delivering solutions to the
dermatological, consumer, skin
care and hair care markets.
DermWorx Inc, located in
Hollywood, Florida,
manufactures pharmaceuticals
focused on dermatological
drugs. It provides treatment
on Acne &amp; Adult Care, Topical
Analgesic, Nail Fungus
Infection, Psoriasis &amp;
Seborrheic Dermatitis, Tinea
Versicolor and Cosmeceuticals
(Anti-aging).</t>
  </si>
  <si>
    <t xml:space="preserve">NJ
FL</t>
  </si>
  <si>
    <t xml:space="preserve">IGI INC/DERMWORX INC-STRATEGIC ALLIANCE</t>
  </si>
  <si>
    <t xml:space="preserve">IGI Inc and DermWorx Inc formed a strategic alliance to manufacture,
develop and supply therapeutic moisturizing product using the Novasome (R)
encapsulation technology.</t>
  </si>
  <si>
    <t xml:space="preserve">Manufacturing Services
Research &amp; Development Services
Restaurant &amp; Catering Services</t>
  </si>
  <si>
    <t xml:space="preserve">449575
24988W</t>
  </si>
  <si>
    <t xml:space="preserve">Celera Genomics Corp
Ipsen SA</t>
  </si>
  <si>
    <t xml:space="preserve">Pvd genetic research,dvlp svcs
Pharmaceutical Preparation Manufacturing</t>
  </si>
  <si>
    <t xml:space="preserve">Celera Genomics Corp, located
in Rockville, Maryland,
provides identification and
validation of diagnostic
markers using genomics and
proteomics discovery services.
It manufactures five product
groups, including ViroSeq
HIV-1 Genotyping System, an
aid to physicians in
monitoring and treating HIV-1
infection; products that are
used for the detection of
mutations in the cystic
fibrosis transmembrane
conductance regulator gene,
which cause cystic fibrosis;
hepatitis C virus analyze
specific reagents (ASRs); ASRs
for the detection of mutations
in the FMR-1 gene, which cause
Fragile X Syndrome; and ASRs
for the detection of mutations
in genes known to be involved
in deep vein thrombosis. The
company was founded in 1998.
Ipsen SA, located in Paris,
France, is a manufacturer of
pharmaceutical preparation.
It manufactures prescription
pharmaceuticals used in
therapeutic areas in
Oncology, endocrinology and
neuromuscular disorders. Its
products include Decapeptyl,
Somatuline, NutropinAq,
Testim and Dysport. It also
offers products on primary
care which includes the
areas of gastroenterology,
cardiovascular and cognitive
disorders. The Company was
founded in 1929.</t>
  </si>
  <si>
    <t xml:space="preserve">Applera Corp
Mayroy SA</t>
  </si>
  <si>
    <t xml:space="preserve">United States
Luxembourg</t>
  </si>
  <si>
    <t xml:space="preserve">CELERA GENOMICS CORP/IPSEN SA-STRATEGIC ALLIANCE</t>
  </si>
  <si>
    <t xml:space="preserve">Celera Genomics Corp, a unit of Applera Corp, and Ipsen SA formed a
strategic alliance to provide biomarker and pharmacogenomic test
development services for growth failure patients. The initial phase  was
expected to focus on the discovery and characterization of genetic markers
after which, it will develop diagnostic predictors for use in IC's clinical
trials that form the basis for commercial companion diagnostic tests for
IS' short stature therapies. CG was expected to receive an undisclosed
payment for the initial phase and any future payment depend on success of
the initial phase.</t>
  </si>
  <si>
    <t xml:space="preserve">03802A
44837P</t>
  </si>
  <si>
    <t xml:space="preserve">Lifan Ind Grp Co Ltd
Ricardo PLC</t>
  </si>
  <si>
    <t xml:space="preserve">Mnfr,whl motorcycles,parts
Engineering Services</t>
  </si>
  <si>
    <t xml:space="preserve">manufactures and wholesales
located in Chongqing, China,
Lifan Industry(Group)Co Ltd,
1992. The company was
founded in multicylinder
diesel engines. engines,
single cylinder, and
products include gasoline
motorcycles and parts. Its
Ricardo PLC is a provider of
engineering services. It
provides automotive
engineering and software
programming services for
research, design and
development to automotive
manufacturers. The Company
was founded in 1915 and is
located in
Shoreham-by-Shore, the
United Kingdom.</t>
  </si>
  <si>
    <t xml:space="preserve">3751
8711</t>
  </si>
  <si>
    <t xml:space="preserve">Chongqing Huiyang Hldg Co Ltd
Ricardo PLC</t>
  </si>
  <si>
    <t xml:space="preserve">6799
8711</t>
  </si>
  <si>
    <t xml:space="preserve">LIFAN GROUP/RICARDO PLC-STRATEGIC ALLIANCE</t>
  </si>
  <si>
    <t xml:space="preserve">Chongqing Lifan Industry (Group) Co Ltd and Ricardo PLC formed a strategic
alliance to manufacture and develop automotive engines in China. The
alliance was to develop engines with displacement ranging from 0.8L to
2.4L.</t>
  </si>
  <si>
    <t xml:space="preserve">53231R
76258M</t>
  </si>
  <si>
    <t xml:space="preserve">Crucell NV
Acambis PLC</t>
  </si>
  <si>
    <t xml:space="preserve">Biopharmaceutical company
Mnfr,dvlp vaccines</t>
  </si>
  <si>
    <t xml:space="preserve">Crucell NV, located in Leiden,
the Netherlands, is a
biopharmaceutical company. It
focuses on research and
development, production and
sale of vaccines, proteins and
antibodies that prevent and
treat infectious diseases. The
company's core portfolio
includes vaccines against
hepatitis B and a
virosome-adjuvanted vaccine
against influenza. The company
has offices in China,
Indonesia, Italy, Korea,
Malaysia, Spain, Sweden,
Switzerland, the UK the USA
and Vietnam. The company was
founded in October 2000.
Acambis PLC, located in
Cambridge, United Kingdom,
manufactures, develops and
wholesales vaccines to prevent
and treat infectious diseases.
Its brands includes
ChimeriVax-JE and
ChimeriVax-West Nile.
ChimeriVax-JE is a single-dose
vaccine for travellers and
those living in endemic
regions. ChimeriVax-West Nile
focuses on viruses transmitted
to humans and animals by the
bite of an infected mosquito.
The company was founded in
1992.</t>
  </si>
  <si>
    <t xml:space="preserve">CRUCELL NV/ACAMBIS PLC-STRATEGIC ALLIANCE</t>
  </si>
  <si>
    <t xml:space="preserve">Crucell NV (CN) and Acambis PLC (AP) formed a strategic alliance wherein CN
licensed AP to utilize its PER. C6 technology for vaccine development.
Financial details were not disclosed.</t>
  </si>
  <si>
    <t xml:space="preserve">228769
004286</t>
  </si>
  <si>
    <t xml:space="preserve">iCAD Inc
GE Healthcare</t>
  </si>
  <si>
    <t xml:space="preserve">Mnfr,whl computer aided equip
Manufacture diagnostic imaging equipment</t>
  </si>
  <si>
    <t xml:space="preserve">iCAD Inc, located in Nashua,
New Hampshire, manufactures
and wholesales computer aided
diagnostic and detection
equipments including
mammoggraphy, computed
tomography and digitizers,
that enables healthcare
professionals to better serve
patients by identifying
pathologies and pinpointing
cancer earlier. The Group's
scanner converts prints
photographic and other hard
copy images to digital form
for use in the graphic arts,
photo finishing and medical
industries. The company's
branded products includes,
SecondLook Digital for digital
mammography and SecondLook 300
and SecondLook 200 for
film-based mammography.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</si>
  <si>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3577
3845</t>
  </si>
  <si>
    <t xml:space="preserve">NH
WI</t>
  </si>
  <si>
    <t xml:space="preserve">iCAD Inc
General Electric Co</t>
  </si>
  <si>
    <t xml:space="preserve">3577
3612</t>
  </si>
  <si>
    <t xml:space="preserve">ICAD INC/GE HEALTHCARE LTD(WAS 36963Y)-STRATEGIC ALLIANCE</t>
  </si>
  <si>
    <t xml:space="preserve">iCAD Inc and GE Healthcare Ltd, a unit of GE formed a strategic alliance to
develop computer-aided detection senographe systems globally. The alliance
was a strategic opportunity both for the partners to leverage their medical
development services particularly in the breast cancer imaging, coupled
with diagnostic support tools.</t>
  </si>
  <si>
    <t xml:space="preserve">44934S
36069Q</t>
  </si>
  <si>
    <t xml:space="preserve">Linc Energy Ltd
BioCleanCoal Pty Ltd</t>
  </si>
  <si>
    <t xml:space="preserve">Coal mining company
Biotech co</t>
  </si>
  <si>
    <t xml:space="preserve">Linc Energy Ltd, located in
Brisbane, Australia, is a coal
mining company. It develops
coal to liquids (CTL)
processes through the combined
utilization of underground
coal gasification (UCG) and
gas to liquid (GTL)
technologies. It also has
operations in Colorado,
Wyoming and Alaska. The
company was founded in 1996.
BioCleanCoal Pty Ltd, located
in Queensland, Australia, is a
biotechnology company
specializing in the breeding
and propagation of useful
algae and plant species for
the conversion of CO2 to
oxygen and biomass.</t>
  </si>
  <si>
    <t xml:space="preserve">1241
2836</t>
  </si>
  <si>
    <t xml:space="preserve">LINC ENERGY LTD/BIOCLEANCOAL-JOINT VENTURE</t>
  </si>
  <si>
    <t xml:space="preserve">Linc Energy Ltd (LE) and BioCleanCoal Pty Ltd (BC) formed a joint venture
(JV) to manufacture and develop an algae bioreactor for the conversion of
process CO2 into oxygen and biomass in Australia. LE held a 60% interest in
the JV while BC held a 40% stake. LE was expected to invest $0.87 mil US (1
mil Australian dollars) into the JV  over the next 12 months.</t>
  </si>
  <si>
    <t xml:space="preserve">Linc Energy Ltd was expected to invest $0.87 mil US (1 mil Australian
dollars) into the JV  over the next 12 months.</t>
  </si>
  <si>
    <t xml:space="preserve">532782
08984E</t>
  </si>
  <si>
    <t xml:space="preserve">Tianjin Lizhong Wheel Ltd
Clever View Ltd
Inner Mongolia Huomei Group</t>
  </si>
  <si>
    <t xml:space="preserve">Mnfr,whl aluminum alloy wheels
Special purpose finance co
Investment holding company</t>
  </si>
  <si>
    <t xml:space="preserve">Tianjin Lizhong Wheel Ltd,
located in China,
manufactures and wholesale
aluminum alloy wheels.
Clever View Ltd is a special
purpose finance company. The
company is headquartered in
Singapore. Special purpose
finance company enables a
company to reduce its risk by
creating separate partnerships
for certain holdings and
solicits outside investors to
take on the risk.
Inner Mongolia Huomei Group is
an investment holding company.</t>
  </si>
  <si>
    <t xml:space="preserve">3714
619B
6799</t>
  </si>
  <si>
    <t xml:space="preserve">China
Singapore
Mongolia</t>
  </si>
  <si>
    <t xml:space="preserve">China Wheel Holdings Ltd
China Wheel Holdings Ltd
Inner Mongolia Huomei Group</t>
  </si>
  <si>
    <t xml:space="preserve">Singapore
Singapore
Mongolia</t>
  </si>
  <si>
    <t xml:space="preserve">3714
3714
6799</t>
  </si>
  <si>
    <t xml:space="preserve">TIANJIN LIZHONG WHEEL LTD/CLEVER VIEW LTD/INNER MONGOLIA HUOMEI GROUP-INNER
MONGOLIA LIZHONG HUOMEI WHEEL JOINT VENTURE</t>
  </si>
  <si>
    <t xml:space="preserve">Inner Mongolia Lizhong Huomei
Wheel Manufacturing Co Ltd,
located in Huolin Gele City,
Mongolia, manufactures,
develops and sells aluminum
alloy wheels and relevant
parts used for automobiles.
The Company was founded in
2007.</t>
  </si>
  <si>
    <t xml:space="preserve">Mongolia</t>
  </si>
  <si>
    <t xml:space="preserve">Tianjin Lizhong Wheel Ltd (TL) and Clever View Ltd (CV), both units of
China Wheel Holdings Ltd, and Inner Mongolia Huomei Group (IM) formed a
joint venture named Inner Mongolia Lizhong Huomei Wheel Manufacturing Co
Ltd (IML) to manufacture, develop and sell aluminum alloy wheels and
relevant parts used for automobiles in Mongolia. IM held a 55% interest in
IML while TL and CV each held a 22.5% stake. IML was to construct a new
production facility in Huolin Gele City worth $21.65 mil US (160 mil
Chinese yuan).</t>
  </si>
  <si>
    <t xml:space="preserve">22.50
22.50
55.00</t>
  </si>
  <si>
    <t xml:space="preserve">Inner Mongolia Lizhong Huomei Wheel Manufacturing Co Ltd was to construct a
new production facility in Huolin Gele City worth $21.65 mil US (160 mil
Chinese yuan).</t>
  </si>
  <si>
    <t xml:space="preserve">63924Z</t>
  </si>
  <si>
    <t xml:space="preserve">88710M
18676C
60951T</t>
  </si>
  <si>
    <t xml:space="preserve">Bayer CropScience AG
M&amp;S Technologies Inc</t>
  </si>
  <si>
    <t xml:space="preserve">Mnfr,whl agricultural chemical
Dvlp network sec software</t>
  </si>
  <si>
    <t xml:space="preserve">Bayer CropScience AG, located
in Monheim Am Rhein, Germany,
manufactures and wholesales
agricultural chemicals
specializing in crop
protection, non agricultural
pest-control, seeds and plant
biotechnology. It operates
through its four regional crop
protection units and two units
responsible for Environmental
Science and BioScience that
offers a range of products and
extensive service backup for
modern, sustainable
agriculture as well as for
non-agricultural applications.
The company was founded in
2002.
M&amp;S Technologies Inc is a
software publisher. The
Company is located in Dallas,
Texas.</t>
  </si>
  <si>
    <t xml:space="preserve">2873
7372</t>
  </si>
  <si>
    <t xml:space="preserve">FF
TX</t>
  </si>
  <si>
    <t xml:space="preserve">Bayer AG
M&amp;S Technologies Inc</t>
  </si>
  <si>
    <t xml:space="preserve">2899
7372</t>
  </si>
  <si>
    <t xml:space="preserve">BAYER CROP SCIENCE AG(DNU)/M AND S TECHNOLOGIES INC-STRATEGIC ALLIANCE</t>
  </si>
  <si>
    <t xml:space="preserve">Bayer CropScience AG, a unit of Bayer AG, and M&amp;S Technologies Inc formed a
strategic alliance to provide research and development services of soybean
traits and related seeds globally. Financial terms were not disclosed.</t>
  </si>
  <si>
    <t xml:space="preserve">07286L
55549Q</t>
  </si>
  <si>
    <t xml:space="preserve">Xenome Ltd
Amylin Pharmaceuticals Inc</t>
  </si>
  <si>
    <t xml:space="preserve">Mnfr pharmaceuticals
Biopharmaceutical company</t>
  </si>
  <si>
    <t xml:space="preserve">Xenome Ltd, located in
Brisbane, Queensland, is a
biopharmaceutical firm, which
manufactures prescription
pharmaceuticals intended for
final consumption, including
biotech products and
antibiotics in the areas of
pain management and central
nervous system disorders such
as depression.
Amylin Pharmaceuticals Inc,
headquartered in San Diego,
California, is a
biopharmaceutical company that
manufactures and develops
pharmaceuticals and
therapeutics based upon
peptide analogs, primarily in
regulation of glucose
metabolism. It also provides
research and development
services looking to develop
novel therapeutics based on
amylin, a newly discovered
hormone that play a role in
glucose metabolism regulation
for the treatment of diabetes,
obesity and other metabolic
diseases. The company was
founded in 1987.</t>
  </si>
  <si>
    <t xml:space="preserve">XENOME LTD/AMYLIN PHARMACEUTICALS INC-STRATEGIC ALLIANCE</t>
  </si>
  <si>
    <t xml:space="preserve">Xenome Ltd and Amylin Pharmaceuticals Inc formed a strategic alliance to
provide research and development services of novel peptide therapeutics for
metabolic and musculoskeletal diseases globally. The alliance was a
strategic opportunity both for the partners to leverage their medical
therapeutic services and to further expand their product coverage
worldwide.</t>
  </si>
  <si>
    <t xml:space="preserve">98407X
032346</t>
  </si>
  <si>
    <t xml:space="preserve">Isis Pharmaceuticals Inc
Excaliard Pharmaceuticals Inc</t>
  </si>
  <si>
    <t xml:space="preserve">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
Excaliard Pharmaceuticals
Inc, located in Carlsbad,
California, is a
biotechnology company
focused on developing novel
drugs for the treatment of
skin fibrosis, more commonly
referred to as skin
scarring. EXC 001, a new
chemical entity for
potential treatment of skin
scarring, was co-discovered
by the company with Isis
Pharmaceuticals Inc. The
company was founded in 2007.</t>
  </si>
  <si>
    <t xml:space="preserve">Isis Pharmaceuticals Inc
Isis Pharmaceuticals Inc</t>
  </si>
  <si>
    <t xml:space="preserve">ISIS PHARMACEUTICALS INC/EXCALIARD PHARMACEUTICALS INC-STRATEGIC ALLIANCE</t>
  </si>
  <si>
    <t xml:space="preserve">Isis Pharmaceuticals Inc and Excaliard Pharmaceuticals Inc formed a
strategic alliance to provide research and development services of
antisense drugs for treatment of fibrotic diseases, including scarring in
the United States.</t>
  </si>
  <si>
    <t xml:space="preserve">464330
30038H</t>
  </si>
  <si>
    <t xml:space="preserve">Sagent Holding Co
Astralis Ltd</t>
  </si>
  <si>
    <t xml:space="preserve">Sagent Holdings Co, located in
Hoffman Estates, Illinois,
manufactures prescription
pharmaceuticals intended for
final consumption, including
biotech products and
antibiotics with a specific
focus on inject able products.
Astralis Ltd, located in
Fairfield, New Jersey,
manufactures prescription
pharmaceuticals intended for
final consumption, including
biotech products and
antibiotics for the treatment
of immune system disorders and
skin diseases.</t>
  </si>
  <si>
    <t xml:space="preserve">IL
NJ</t>
  </si>
  <si>
    <t xml:space="preserve">SAGENT PHARMACEUTICALS INC/ASTRALIS LTD-STRATEGIC ALLIANCE</t>
  </si>
  <si>
    <t xml:space="preserve">Sagent Pharmaceuticals Inc and Astralis Ltd formed a strategic alliance to
provide research and development services of injectable antibiotics in the
United States. The alliance was a strategic investment opportunity both for
the partners to leverage their medical therapeutic development services and
to further expand their market and product coverage locally.</t>
  </si>
  <si>
    <t xml:space="preserve">78856X
046352</t>
  </si>
  <si>
    <t xml:space="preserve">FEV Inc
Raser Technologies Inc</t>
  </si>
  <si>
    <t xml:space="preserve">Pvd powertrain svcs
Pvd tech licensing svcs</t>
  </si>
  <si>
    <t xml:space="preserve">FEV Engine Technology Inc,
located in Auburn Hills,
Michigan, provides powertrain
and vehicle engineering
services. It offers complete
range of engineering services,
providing support across the
globe to customers in the
design, analysis, prototyping,
powertrain and transmission
development, as well as
vehicle integration,
calibration and homologation
for advanced internal
combustion gasoline-diesel,
and alternative-fueled
powertrains. The company was
founded in 1978.
Raser Technologies Inc,
located in Provo, Utah,
provides technology
licensing services. It
provides electromagnetic
machine and power electronic
drive technology, which is
applied to industrial AC
induction motors, and
drives, permanent magnet
motors, automotive
alternators, and integrated
starter alternators for use
in industrial and
transportation applications,
and hybrid-electric and
electric vehicle propulsion
systems. The company was
founded in 2002.</t>
  </si>
  <si>
    <t xml:space="preserve">8734
4911</t>
  </si>
  <si>
    <t xml:space="preserve">MI
UT</t>
  </si>
  <si>
    <t xml:space="preserve">FEV TEST SYSTEMS INC/RASER TECHNOLOGIES INC-STRATEGIC ALLIANCE</t>
  </si>
  <si>
    <t xml:space="preserve">FEV Engine Technology Inc (FE) and Raser Technologies Inc (RT) provide
powertrain development services in the United States. The alliance
integrated RT's Symetron (TM) electric motor and power electronic drive
powertrain technology into a traditional internal combustion gasoline
engine. FE was expected to serve as integrator for powertrain targeting 100
miles per gallon fuel economy.
</t>
  </si>
  <si>
    <t xml:space="preserve">31536V
754055</t>
  </si>
  <si>
    <t xml:space="preserve">Sanofi-Aventis SA
Regeneron Pharmaceuticals Inc</t>
  </si>
  <si>
    <t xml:space="preserve">Manufacture pharmaceuticals
Mnfr,dvlp biopharm</t>
  </si>
  <si>
    <t xml:space="preserve">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
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t>
  </si>
  <si>
    <t xml:space="preserve">SANOFI-AVENTIS SA/REGENERON PHARMACEUTICALS INC-STRATEGIC ALLIANCE</t>
  </si>
  <si>
    <t xml:space="preserve">Sanofi-Aventis SA (SA) and Regeneron Pharmaceuticals Inc (RP) formed a
strategic alliance to provide research and development services globally.
The alliance was expected to discover, develop, and commercialize,
fully-human therapeutic antibodies using RP's VelociSuite of technologies
including VelocImmune. Under terms of the agreement, RP received $85 mil US
(57.61 mil euros) in upfront payment while SA was expected to fund up to
$475 mil US (321.96 mil euros) in research over the next 5 years. Moreover,
RP was entitled to receive a total of $250 mil US (169.45 mil euros) in
sales milestone payments. Concurrently, SA  raised its stake from 4% to 19%
in RP by acquiring 12 mil newly issued shares of RP's common stock.
</t>
  </si>
  <si>
    <t xml:space="preserve">Research &amp; Development Services
Marketing Services
Funding Services</t>
  </si>
  <si>
    <t xml:space="preserve">Under terms of the agreement, Regeneron Pharmaceuticals received $85 mil US
(57.61 mil euros) in upfront payment while Sanofi Aventis was expected to
fund up to $475 mil US (321.96 mil euros) in research over the next 5
years. Moreover, Regeneron was entitled to receive a total of $250 mil US
(169.45 mil euros) in sales milestone payments.</t>
  </si>
  <si>
    <t xml:space="preserve">80105N
75886F</t>
  </si>
  <si>
    <t xml:space="preserve">Chemdiv Inc
Orion Pharma OYJ</t>
  </si>
  <si>
    <t xml:space="preserve">Chemdiv Inc, located in San
Diego, California, provides
synthetic and medicinal
chemistry research services
specializing in small-molecule
chemistry, screening
libraries, global logistics
and lead discovery. The
company has research
facilities in San Diego, USA,
and Moscow, Russia. The
company was founded in 1990.
Orion Pharma OYJ, located in
Espoo, finland, manufactures
prescription pharmaceuticals
intended for final
consumption, including biotech
products and antibiotics.</t>
  </si>
  <si>
    <t xml:space="preserve">United States
Finland</t>
  </si>
  <si>
    <t xml:space="preserve">Chemdiv Inc
Orion Oyj</t>
  </si>
  <si>
    <t xml:space="preserve">CHEMDIV INC/ORION PHARMA-STRATEGIC ALLIANCE</t>
  </si>
  <si>
    <t xml:space="preserve">Chemdiv Inc and Orion Pharma OYJ, a unit of Orion OYJ formed a strategic
alliance to provide research and development services of small molecule
therapeutics priority targets globally. The alliance was a strategic growth
opportunity both for the partners to leverage their medcial development
services and to further expand their product coverage worldwide. Financial
terms were not disclosed.</t>
  </si>
  <si>
    <t xml:space="preserve">16359E
68638Z</t>
  </si>
  <si>
    <t xml:space="preserve">MorphoSys AG
Novartis AG</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</si>
  <si>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</si>
  <si>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MORPHOSYS AG/NOVARTIS AG-STRATEGIC ALLIANCE</t>
  </si>
  <si>
    <t xml:space="preserve">MorphoSys AG (MS) and Novartis AG (NA) formed a 10-year strategic alliance
to provide therapeutic antibody discovery and development services for use
against a wide range of diseases in Germany. MS and NA were expected to
work together in identifying and developing biopharmaceutical medication on
the basis of MS' HuCAL (Human Combinatorial Antibody Library) technology.
HuCAL is a technology for the in-vitro production of highly specific,
completely human antibodies which could be candidates for new, innovative
medication. The alliance was expanded on November 19, 2012, under which the
partners will apply new technologies available to MorphoSys, including
Ylanthia and Slonomics. The expanded agreement also includes cros licesing
of future improvements as well as continued funding from Novartis annual
license fees until the end of the collaboration on 2017.</t>
  </si>
  <si>
    <t xml:space="preserve">617760
66987V</t>
  </si>
  <si>
    <t xml:space="preserve">BioMarin Pharmaceutical Inc
IGAN Biosciences Inc</t>
  </si>
  <si>
    <t xml:space="preserve">BioMarin Pharmaceutical Inc,
located in San Rafael,
California, manufactures
biopharmaceutical products. It
also develops and
commercializes products for
serious diseases and medical
conditions. Its product
portfolio include of Kuvan
(sapropterin dihydrochloride),
Naglazyme (galsulface) and
Aldurazyme (laronidase). The
company was founded in 1997.
IGAN Biosciences Inc, located
in Boston, Massachusetts, is a
biotechnology company
specializing in the
development and manufacturing
of novel lead compound branded
as IgA proteases for the
treatment of IgA deposition
diseases. IgA is an antibody
circulating in the blood that
causes it to clump, and then
deposit into the filtration
system of the kidney. The
company was founded in 2006.</t>
  </si>
  <si>
    <t xml:space="preserve">BIOMARIN PHARMACEUTICAL INC/IGAN BIOSCIENCES INC-STRATEGIC ALLIANCE</t>
  </si>
  <si>
    <t xml:space="preserve">BioMarin Pharmaceutical Inc and IGAN Biosciences Inc formed a strategic
alliance to provide research and development services of IgA protease for
treating IgA nephropathy in the United States. The alliance was a strategic
opportunity both for the partners to leverage their disease modifying
therapeutics development services and to further expand their market and
product coverage.</t>
  </si>
  <si>
    <t xml:space="preserve">09061G
44751Z</t>
  </si>
  <si>
    <t xml:space="preserve">Neurobiological Technologies
Buck Institute for Age</t>
  </si>
  <si>
    <t xml:space="preserve">Neurobiological Technologies
Inc, located in Emeryville,
California, is a biotechnology
company focused on the
development of therapeutic
compound for neurological
conditions that occur in
connection with ischemic
stroke, brain cancer,
Alzheimer's disease and
dementia. The company's
product branded as Viprinex is
a compound for the treatment
of acute ischemic stroke. The
company was founded in 1987.
Buck Institute for Age
Research, located in Novato,
California, provides research
and development services focus
on detecting, preventing and
treating age-related diseases
such as Alzheimer's and
Parkinson's disease, cancer,
stroke, and arthritis. The
company was founded in 1975.</t>
  </si>
  <si>
    <t xml:space="preserve">NEUROBIOLOGICAL TECHNOLOGIES INC/BUCK INSTITUTE FOR AGE RESEARCH-STRATEGIC
ALLIANCE</t>
  </si>
  <si>
    <t xml:space="preserve">Neurobiological Technologies Inc and Buck Institute for Age Research formed
a strategic alliance to provide research and development services of
therapeutic drug to treat Huntington's disease (HD), a fatal hereditary
brain disorder in the United States. The alliance was expected to utilize
fibroblast growth factor-2 (FGF-2), a protein that has been reviewed
extensively for its neuroprotective properties to improved motor
performance, decreased cell death and a reduction in the amount of toxic,
which typically form in the brains of those affected by HD.</t>
  </si>
  <si>
    <t xml:space="preserve">64124W
11854E</t>
  </si>
  <si>
    <t xml:space="preserve">DuPont
Beijing Weiming Kaituo</t>
  </si>
  <si>
    <t xml:space="preserve">Mnfr chemical,electronic prod
Biotechnology company</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</si>
  <si>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Beijing Weiming Kaituo
Agriculture Biotechnology Co
Ltd, located in China, is a
biotechnology company, focused
on discovery of functional
genomics, trait gene and
promoter discovery and
molecular breeding
technologies for hybrid seeds.
The company was founded in
2000.</t>
  </si>
  <si>
    <t xml:space="preserve">EI DU PONT DE NEMOURS &amp; CO/BEIJING WEIMING-JOINT VENTURE</t>
  </si>
  <si>
    <t xml:space="preserve">DuPont and Beijing Weiming  Kaituo Agriculture Biotechnology Co Ltd formed
a joint venture (JV) to provide research and development services of gene
for high agronomic traits such as stress tolerance and efficient nutrient
utilization to improve the performance of important crops in China. The JV
was expected to improve the farmer's  productivity and profitability in
producing quality crops. Financial terms were not disclosed.</t>
  </si>
  <si>
    <t xml:space="preserve">263534
07853C</t>
  </si>
  <si>
    <t xml:space="preserve">Eisai Inc
BioArctic Neuroscience AB</t>
  </si>
  <si>
    <t xml:space="preserve">Mnfr,dvlp,whl pharm
Biotechnology company</t>
  </si>
  <si>
    <t xml:space="preserve">Eisai Inc, located in
Woodcliff Lake, New Jersey,
manufactures, develops and
sells pharmaceuticals for
the treatment of
Alzheimer's disease and
gastrointestinal disorders.
Its products include
Aricept, Aciphex, Zonegran
and Fragmin. The Company was
founded in 1981.
BioArctic Neuroscience AB,
located in Uppsala, Sweden, is
a biotechnology company
focused in the development of
novel humanized monoclonal
antibody for therapeutic
treatment of Alzheimer's
disease. The company was
founded in 2003.</t>
  </si>
  <si>
    <t xml:space="preserve">Eisai Co Ltd
Demban AB</t>
  </si>
  <si>
    <t xml:space="preserve">EISAI INC/BIOARCTIC NEUROSCIENCE INC-STRATEGIC ALLIANCE</t>
  </si>
  <si>
    <t xml:space="preserve">BioArctic Neuroscience AB (BN) and Eisai Inc (EI), a unit of Eisai Co Ltd
formed a strategic alliance wherein BN exclusively licensed EI to develop a
novel humanized monoclonal antibody for therapeutic treatment of
Alzheimer's disease globally. The alliance was a strategic investment
opportunity both for the partners to leverage their medical development
services and to further expand their market and product coverage worldwide.
</t>
  </si>
  <si>
    <t xml:space="preserve">28262Y
09129X</t>
  </si>
  <si>
    <t xml:space="preserve">Starpharma Holdings Ltd
Stiefel Laboratories Inc</t>
  </si>
  <si>
    <t xml:space="preserve">Mnfr prescription pharm
Manufacture pharmaceuticals</t>
  </si>
  <si>
    <t xml:space="preserve">Starpharma Holdings Ltd, based
in Melbourne, Australia.
manufactures prescription
pharmaceuticals intended for
final consumption, including
biotech products and
antibiotics. It also provides
research and development
services.
Stiefel Laboratories Inc,
located in Coral Gables,
Florida, manufactures
pharmaceuticals specializing
in dermatology. The company
manufactures and markets a
variety of prescription and
non-prescription
dermatological products. The
company was founded in 1847.</t>
  </si>
  <si>
    <t xml:space="preserve">STARPHARMA LTD/STIEFEL LABORATORIES INC-STRATEGIC ALLIANCE</t>
  </si>
  <si>
    <t xml:space="preserve">Starpharma Holdings Ltd and Stiefel Laboratories Inc formed a strategic
alliance to provide research and development services of dendrimer
dermatological drugs globally. The alliance was a strategic research
opportunity both for the partners to leverage their medical development
services and to further expand their market and product coverage worldwide.
</t>
  </si>
  <si>
    <t xml:space="preserve">85506J
860627</t>
  </si>
  <si>
    <t xml:space="preserve">Qiagen NV
Bio One Capital Pte Ltd</t>
  </si>
  <si>
    <t xml:space="preserve">Biotechnology company
Pvd invest mgmt svc</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</si>
  <si>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Bio One Capital Pte Ltd,
located in Singapore, provides
investment management services
for biomedical sciences in
Asia with a global presence.</t>
  </si>
  <si>
    <t xml:space="preserve">Netherlands
Singapore</t>
  </si>
  <si>
    <t xml:space="preserve">Qiagen NV
Singapore</t>
  </si>
  <si>
    <t xml:space="preserve">QIAGEN NV/BIO ONE CAPITAL PTE LTD-DX ASSAYS PTE LTD JOINT VENTURE</t>
  </si>
  <si>
    <t xml:space="preserve">Qiagen NV and Bio One Capital Pte Ltd, a unit of Singaporean state-owned
Economic Development Board's EDB Investments Pte Ltd subsidiary, planned to
form a joint venture named Dx Assays Pte Ltd to provide assay development
services in which molecular diagnostics for infectious and generic diseases
are developed in Singapore. DA was expected to be fully operational by
early 2008 and was to employ 30 scientists and be equipped with
state-of-the-art technology.
</t>
  </si>
  <si>
    <t xml:space="preserve">N72482
09129M</t>
  </si>
  <si>
    <t xml:space="preserve">Cenomed BioSciences LLC
ThioPharma Inc</t>
  </si>
  <si>
    <t xml:space="preserve">Mnfr,research,dvlp pharm
Pvd pharm research svcs</t>
  </si>
  <si>
    <t xml:space="preserve">Cenomed BioSciences LLC,
located in Lake Forest,
California, manufactures,
research and develops
prescription pharmaceuticals
for the treatment of nervous
system disorders such as
schizophrenia, mild cognitive
impairment and
memory/attention impairments
associated with aging,
attention deficit
hyperactivity disorder, pain
and chemical defense. The
company was founded in May
2007.
ThioPharma Inc, located in the
United States, provides
pharmaceutical research
services based on
glutathione-mediated drug
delivery and action.</t>
  </si>
  <si>
    <t xml:space="preserve">Abraxis BioScience Inc
ThioPharma Inc</t>
  </si>
  <si>
    <t xml:space="preserve">CENOMED BIOSCIENCES LLC/THIOPHARMA INC-STRATEGIC ALLIANCE</t>
  </si>
  <si>
    <t xml:space="preserve">Cenomed BioSciences LLC (CB), a joint venture between Abraxis Bioscience
Inc and Cenomed Inc, and ThioPharma Inc (TP) formed a strategic alliance to
provide licensing and drug delivery technology development services in the
United States. The alliance was expected to develop for use with certain of
CB's psychiatric and neurological disease programs. Under terms of the
agreement, TP was expected to receive an upfront payment and milestone
payments upon achievement of certain development and regulatory events.
Additional financial terms were not disclosed.
</t>
  </si>
  <si>
    <t xml:space="preserve">15178V
88391C</t>
  </si>
  <si>
    <t xml:space="preserve">General Motors Corp
Indian Instt of Tech Kharagpur</t>
  </si>
  <si>
    <t xml:space="preserve">Mnfr motor vehicles
Own,op college,university</t>
  </si>
  <si>
    <t xml:space="preserve">General Motors Corp, located
in Detroit, Michigan,
manufactures motor vehicles,
related parts, defense and
space products, business
information and
telecommunication systems,
locomotives, satellites, test
equipment and marine engines.
The company also provides
financing services include
consumer vehicle financing,
full-service leasing and fleet
leasing, dealer financing and
car and truck extended service
contracts, residential and
commercial mortgage services,
commercial and vehicle
insurance and asset-based
lending. In addition the
company offers insurance
services including automobile
and homeowners insurance,
automobile mechanical
protection, reinsurance and
commercial insurance. The
company operates in the US,
Canada, Mexico, Europe, Asia
Pacific and Latin America and
was founded in September 16,
1908.
Indian Institute of Technology
Kharagpur owns and operates a
technical college in India.</t>
  </si>
  <si>
    <t xml:space="preserve">3711
8221</t>
  </si>
  <si>
    <t xml:space="preserve">GENERAL MOTORS/IIT KHARAGPUR- STRATEGIC ALLIANCE</t>
  </si>
  <si>
    <t xml:space="preserve">General Motors Corp (GM) and the Indian Institute of Technology Kharagpur
formed a strategic alliance to provide scientific research services in
India. The alliance was expected to open up Collaborative Research Lab to
carry out in research in areas of electronics, controls and software. GM
invested $1.27 mil US (50 mil Indian rupees) for research to be done in the
Lab within the next 5 years. The alliance aims to carry out research of
exploratory nature in order to address futur challenges of the electronics
industry.</t>
  </si>
  <si>
    <t xml:space="preserve">General Motors Corp invested $1.27 mil US (50 mil Indian rupees) for
research to be done in the Lab within the next 5 years.</t>
  </si>
  <si>
    <t xml:space="preserve">370442
46769Z</t>
  </si>
  <si>
    <t xml:space="preserve">ZTE Corp
Undisclosed JV Partner</t>
  </si>
  <si>
    <t xml:space="preserve">Mnfr telecommun equip
Investment company</t>
  </si>
  <si>
    <t xml:space="preserve">ZTE Corp is a manufacturer
and wholesaler of telephone
apparatuses and other
related products. The
Company was founded in 1985
and is located in Shenzhen,
China.
Investment company</t>
  </si>
  <si>
    <t xml:space="preserve">3661
6799</t>
  </si>
  <si>
    <t xml:space="preserve">China
Unknown</t>
  </si>
  <si>
    <t xml:space="preserve">ZTE Holdings Co Ltd
Undisclosed JV Partner</t>
  </si>
  <si>
    <t xml:space="preserve">ZTE CORP/UNDISCLOSED JOINT VENTURE PARTNER -ZHONGXING ENERGY LTD JOINT
VENTURE</t>
  </si>
  <si>
    <t xml:space="preserve">ZTE Corp and an undisclosed partner planned to form a joint venture named
Zhingxing Energy Ltd to provide energy related research and development
services in China. ZC was to invest $40.55 mil US (300 mil Chinese yuan)
and was to hold 23.26% stake in ZC ZC was to include energy investment as
well as power generation and sales.</t>
  </si>
  <si>
    <t xml:space="preserve">Research &amp; Development Services
Investment Services
Electric Utility Services
Retail &amp; Wholesale Services</t>
  </si>
  <si>
    <t xml:space="preserve">82328J
904JVP</t>
  </si>
  <si>
    <t xml:space="preserve">DSM Anti-Infectives BV
Arch Pharmalabs Ltd</t>
  </si>
  <si>
    <t xml:space="preserve">Mnfr,whl anti-infective pharm
Mnfr,whl pharm products</t>
  </si>
  <si>
    <t xml:space="preserve">DSM Anti-Infectives, located
in Delft, Netherlands,
manufactures and wholesales
anti-infective pharmaceutical
preparations. It supplies
active pharmaceutical
ingredients such as
amoxicillin, ampicillin,
cephalexin and cefadroxil. Its
product portfolio includes
Clavulanic Acid, Nystatin,
Penicillin, intermediates
(6-APA and 7-ADCA), industrial
enzymes and side chains. The
company has production sites
in the Netherlands, Spain,
Italy, Sweden, Mexico, India,
China and Egypt.
Arch Pharmalabs Ltd, located
in Mumbai, India, manufactures
and wholesales pharmaceutical
products. The company
intermediates and side chains
for cloxacillin,
dicloxacillin, flucloxacillin,
oxacillin, ziprasidone,
atorvastatin calcium
fexofenadine, fexofenadine,
gemcitabine HCI, perindorpril,
bicalutamide, and quetiapine
applications; and for dyes,
electroplating, and food
industries. The company
provides Active Pharmaceutical
Ingredients for the treatment
of acne, hypertension, cancer,
asthma, histamine, fungal,
inflammatory, diabetics, and
psychotic diseases. It is also
involved in Contract Research
and Manufacturing Services.
The company was founded in
April 2, 1993.</t>
  </si>
  <si>
    <t xml:space="preserve">Netherlands
India</t>
  </si>
  <si>
    <t xml:space="preserve">Koninklijke DSM NV
Arch Pharmalabs Ltd</t>
  </si>
  <si>
    <t xml:space="preserve">DSM NV-HARD-HIT ANTI-INFECTIVES UNIT /ARCHA PHARMALABS LTD - STRATEGIC
ALLIANCE</t>
  </si>
  <si>
    <t xml:space="preserve">DSM Anti-Infectives, a unit of Royal DSM NV, and Arch Pharmalabs Ltd formed
a strategic alliance to provide research services in India. the alliance
was expected to develop non-infringing processes for generic molecules.</t>
  </si>
  <si>
    <t xml:space="preserve">23564Y
03809K</t>
  </si>
  <si>
    <t xml:space="preserve">Galapagos NV
GlaxoSmithKline PLC</t>
  </si>
  <si>
    <t xml:space="preserve">Biopharmaceutical company
Pharmaceutical Preparation Manufacturing</t>
  </si>
  <si>
    <t xml:space="preserve">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</si>
  <si>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GALAPAGOS GENOMICS NV/GLAXOSMITHKLINE PLC-STRATEGIC ALLIANCE</t>
  </si>
  <si>
    <t xml:space="preserve">Galapagos Genomics NV (GG) and  GlaxoSmithKline PLC (GS) planned to form a
strategic alliance to provide  novel anti-infective discovery and
development services. Under terms of the agreement, GG granted GS to
license product candidates that are directed against up to six
anti-infective discovery targets. GG will be responsible for the discovery
and development of natural product small molecule drug candidates. GG was
to receive total upfront fees of up to $ 5.15 mil US (3.5 mil euros/ 2.5
mil British pounds).</t>
  </si>
  <si>
    <t xml:space="preserve">GG was to receive total upfront fees of up to $ 5.15 mil US (3.5 mil euros/
2.5 mil British pounds).</t>
  </si>
  <si>
    <t xml:space="preserve">36315X
37733W</t>
  </si>
  <si>
    <t xml:space="preserve">Organogenesis Inc
National Tissue Engineering</t>
  </si>
  <si>
    <t xml:space="preserve">Organogenesis Inc,
headquartered in Canton,
Massachusetts and with
operations in Switzerland,
is a biotechnology company
focused on developing
biological wound healing,
aesthetics, and surgery
products. These include the
Apligraf, VCTO1, Revitex,
TestSkin and TestSkin II,
CuffPatch, FortaGen,
FortaPerm, and BioStar.
National Tissue Engineering
Center, located in Shanghai,
China, is a central
government-funded company that
provides research and
development services on stem
cell and regenerative
medicine.</t>
  </si>
  <si>
    <t xml:space="preserve">ORGANOGENESIS INC/NATIONAL TISSUE ENGINEERING CENTER-STRATEGIC ALLIANCE</t>
  </si>
  <si>
    <t xml:space="preserve">Organogenesis Inc (OR) and National Tissue Engineering Center planned to
form a strategic alliance to provide research and development services in
China. The alliance was to include three-phases wherein its Phase I will
include the commercialization and exporting of exiting (OR) technology
including its signature product, Apligraf (R). Phase II will include
manufacturing OR's cell therapies and Phase III will include the
co-development of new technologies which may be custom-designed for Chinese
market needs.</t>
  </si>
  <si>
    <t xml:space="preserve">Research &amp; Development Services
Marketing Services
Manufacturing Services</t>
  </si>
  <si>
    <t xml:space="preserve">685906
63815H</t>
  </si>
  <si>
    <t xml:space="preserve">GE Healthcare
Novavax Inc</t>
  </si>
  <si>
    <t xml:space="preserve">Manufacture diagnostic imaging equipment
Biotechnology company</t>
  </si>
  <si>
    <t xml:space="preserve">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
Novavax Inc, located in
Rockville, Maryland, is a
biotechnology company
focused in the research,
development, marketing and
distribution of potent
vaccines to protect against
H5N1 pandemic influenza,
seasonal flu and other viral
diseases, including HIV,
SARS, influenza and
E-selection tolerogen for
the prevention of stroke.
The company's trademark
products were Nestabs(R),
NovaNatal(R) and
NovaStart(R), a line of
prescription prenatal
vitamins, Gynodiol(R)
(estradiol tablets, USP), an
oral form of estrogen
therapy, AVC(TM) Cream
(sulphanilamide vaginal
cream) for vaginal
infections and Analpram
HC(R), a prescription
corticosteroid and
antipruritic product for
hemorrhoids. The company was
founded in 1987.</t>
  </si>
  <si>
    <t xml:space="preserve">WI
MD</t>
  </si>
  <si>
    <t xml:space="preserve">General Electric Co
Novavax Inc</t>
  </si>
  <si>
    <t xml:space="preserve">3612
2836</t>
  </si>
  <si>
    <t xml:space="preserve">GE HEALTHCARE LTD/NOVAVAX INC-STRATEGIC ALLIANCE</t>
  </si>
  <si>
    <t xml:space="preserve">GE Healthcare Ltd (GH), a unit of General Electric Co, and Novavax Inc (NI)
formed a strategic alliance to manufacture, develop and market pandemic
influenza vaccine. The alliance was expected to leverage GH's bioprocess
solutions and design expertise and NI's virus-like particle (VLP) and
manufacturing platform.</t>
  </si>
  <si>
    <t xml:space="preserve">36069Q
670002</t>
  </si>
  <si>
    <t xml:space="preserve">Chemdiv Inc
Siwa Biotech Corp</t>
  </si>
  <si>
    <t xml:space="preserve">Chemdiv Inc, located in San
Diego, California, provides
synthetic and medicinal
chemistry research services
specializing in small-molecule
chemistry, screening
libraries, global logistics
and lead discovery. The
company has research
facilities in San Diego, USA,
and Moscow, Russia. The
company was founded in 1990.
Siwa Biotech Corp, located in
Oklahoma City, Oklahoma, is a
biotechnology company focused
in small molecule drug
research and discovery
therapeutic potential for
safe, effective and reversible
male contraceptive. The
company was founded in 2005.</t>
  </si>
  <si>
    <t xml:space="preserve">CHEMDIV INC/SIWA BIOTECH CORP-STRATEGIC ALLIANCE</t>
  </si>
  <si>
    <t xml:space="preserve">Chemdiv Inc and Siwa Biotech Corp formed a strategic alliance to provide
research and development services of small molecule inhibitors of
tyrosylprotein sulfotransferases in the United States. The partners were
expected to utilize each others' chemistry systems and lead discovery for
their collaborative research project . Financial terms were not disclosed.
</t>
  </si>
  <si>
    <t xml:space="preserve">16359E
83122Q</t>
  </si>
  <si>
    <t xml:space="preserve">GlaxoSmithKline PLC
OncoMed Pharmaceuticals Inc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</si>
  <si>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OncoMed Pharmaceuticals Inc,
located in Redwood City,
California, is a
biotechnology company
dedicated to improving
cancer treatment, by
developing monoclonal
antibodies that target the
biologic pathways critical
to tumor initiating cells,
also known as "cancer stem
cells". The company was
founded on 2004.</t>
  </si>
  <si>
    <t xml:space="preserve">GLAXOSMITHKLINE PLC/ONCOMED PHARMACEUTICALS-STRATEGIC ALLIANCE</t>
  </si>
  <si>
    <t xml:space="preserve">GlaxoSmithKline PLC (GSK) and OncoMed Pharmaceuticals Inc (OP) formed a
strategic alliance to provide stem cell antibody therapeutics development
services worldwide. The alliance was expected to discover, develop and
market novel antibody believed to play a key role in the establishment,
metastasis and recurrence of cancer.
</t>
  </si>
  <si>
    <t xml:space="preserve">37733W
68234X</t>
  </si>
  <si>
    <t xml:space="preserve">GE HEALTH CARE/NOVAVAX INC-STRATEGIC ALLIANCE</t>
  </si>
  <si>
    <t xml:space="preserve">GE Healthcare Ltd, a unit of GE, and Novavax Inc formed a strategic
alliance to provide research, development and marketing services of
pandemic influenza vaccine for the threatment of avian flu pandemic
globally. The alliance was a strategic research opportunity both for the
partners to leverage their bioprocess solutions  and healthcare development
services and to further expand their market and product coverage
worldwide.</t>
  </si>
  <si>
    <t xml:space="preserve">Chinese Academy of Sciences
Temasek Life Sciences Lab Ltd</t>
  </si>
  <si>
    <t xml:space="preserve">Pvd scientific research svcs
Pvd research,development svcs</t>
  </si>
  <si>
    <t xml:space="preserve">Chinese Academy of Sciences
is a provider of research
and development services.
The Company was founded in
November 1949 and is located
in Beijing, China.
Temasek Life Sciences
Laboratory Ltd, located in
Singapore, provides research
and development services in
molecular biology and
genetics utilizing a broad
range of model organisms.
The company was founded in
2002.</t>
  </si>
  <si>
    <t xml:space="preserve">China
Singapore</t>
  </si>
  <si>
    <t xml:space="preserve">Peoples Republic of China
Temasek Life Sciences Lab Ltd</t>
  </si>
  <si>
    <t xml:space="preserve">CHINESE ACADEMY OF SCIENCES/TEMASEK LIFE SCIENCES LAB- STRATEGIC ALLIANCE</t>
  </si>
  <si>
    <t xml:space="preserve">State-owned Chinese Academy of Sciences and Temasek Life Sciences
Laboratory Ltd formed a strategic alliance to provide energy intensive
plant hybrid for biofuels development services in China. The alliance was
expected to set up a new laboratory for sweet sorghum.
</t>
  </si>
  <si>
    <t xml:space="preserve">16890H
88266Z</t>
  </si>
  <si>
    <t xml:space="preserve">Groupe Dermscan
Effi-Stat</t>
  </si>
  <si>
    <t xml:space="preserve">Pvd clinical test svcs
Pvd data processing svcs</t>
  </si>
  <si>
    <t xml:space="preserve">Groupe Dermscan, located in
France, provides clinical and
pre-clinical trial services to
the cosmetics and
pharmaceutical industries. It
evaluates the safety and
efficacy of products that
react with the skin,
integuments or mucous
membranes. The Company was
founded in 1990.
Effi-Stat, located in Paris,
France, provide biomedical
data processing services
including data entry, data
management, and statistical
analysis. The Company was
founded in 1997.</t>
  </si>
  <si>
    <t xml:space="preserve">8734
7374</t>
  </si>
  <si>
    <t xml:space="preserve">GROUPE DERMSCAN/EFFI-STAT-STATELIS JOINT VENTURE</t>
  </si>
  <si>
    <t xml:space="preserve">StateliS, located in France,
provides biomedical data
processing services including
statistical methodlogy
consulting for clinical tests,
data entry, data management,
statistical analysis, training
and coaching for data managers
and biostatisticians, and
audit of databases,
statistical reports and
information systems. The
Company was founded in 1997 as
a joint venture between Groupe
DermScan and Effi-Stat.</t>
  </si>
  <si>
    <t xml:space="preserve">Groupe Dermscan and Effi-Stat formed a joint venture named StateliS (ST) to
provide data processing services including statistical methodlogy
consulting for clinical tests, data entry, data management, statistical
analysis, training and coaching for data managers and biostatisticians, and
audit of databases, statistical reports and information systems in France.</t>
  </si>
  <si>
    <t xml:space="preserve">Research &amp; Development Services
Data Processing Services</t>
  </si>
  <si>
    <t xml:space="preserve">85757M</t>
  </si>
  <si>
    <t xml:space="preserve">39979A
28215X</t>
  </si>
  <si>
    <t xml:space="preserve">Millipore Corp
Novozymes A/S</t>
  </si>
  <si>
    <t xml:space="preserve">Mnfr med,analytical lab equip
Mnfr,wholesale enzyme products</t>
  </si>
  <si>
    <t xml:space="preserve">Millipore Corp, based in
Billerica, Massachusetts,
manufactures and wholesales
medical and analytical
laboratory equipment used in
the analysis, identification
and purification of liquids.
The company's
specializations include
pharmaceuticals,
biotechnology medicines and
other therapeutic products.
The company's services are
available to clients in 47
nations. The company was
founded in 1954.
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t>
  </si>
  <si>
    <t xml:space="preserve">MILLIPORE CORP/NOVOZYMES A/S - STRATEGIC ALLIANCE</t>
  </si>
  <si>
    <t xml:space="preserve">Millipore Corp and Novozymes A/S formed a strategic alliance to provide
animal-free cell cultures supplements development services for
biopharmaceutical manufacturing. The new products Financial terms were not
disclosed.
</t>
  </si>
  <si>
    <t xml:space="preserve">601073
67026F</t>
  </si>
  <si>
    <t xml:space="preserve">BIOMODA Inc
NM Institute of Mining &amp; Tech</t>
  </si>
  <si>
    <t xml:space="preserve">Pvd diagnostic svcs
Own,op college,university</t>
  </si>
  <si>
    <t xml:space="preserve">BIOMODA Inc, located in
Albuquerque, New Mexico, is an
InVitro diagnostics company
that develops assays, or
tests, to detect cancer. The
company was founded in 1990.
New Mexico Institute of Mining
&amp; TEchnology, located in New
Mexico, owns and operates
college and university
specializing in the areas of
research, including
biomedical, hydrology,
astrophysics, atmospheric
physics, geophysics, homeland
security, information
technology, geosciences,
energetic materials
engineering, and petroleum
recovery.</t>
  </si>
  <si>
    <t xml:space="preserve">8062
8221</t>
  </si>
  <si>
    <t xml:space="preserve">NM
NM</t>
  </si>
  <si>
    <t xml:space="preserve">BIOMODA INC/NEW MEXICO INSTITUTE-STRATEGIC ALLIANCE</t>
  </si>
  <si>
    <t xml:space="preserve">BIOMODA Inc and New Mexico Institute of Mining &amp; Technology formed a
strategic alliance to provide research and development services of
broad-based screening and detection of lung cancer in the United States.
The alliance was a strategic development opportunity both for the partners
to leverage their medical research services and to further expand their
product coverage for the treatment of cancer.</t>
  </si>
  <si>
    <t xml:space="preserve">090627
64711R</t>
  </si>
  <si>
    <t xml:space="preserve">Lonza Group Ltd
BioWa Inc</t>
  </si>
  <si>
    <t xml:space="preserve">Biopharmaceutical company
Biopharmaceutical co</t>
  </si>
  <si>
    <t xml:space="preserve">Lonza Group Ltd, located in
Basel, Switzerland, is a
biopharmaceutical company
that manufactures and
develops active ingredients,
peptides, amino acids and
other chemical and biotech
ingredients for the
nutrition, hygiene,
preservation, agro and
personal care markets. The
Company was founded in 1897.
BioWa Inc, located in
Princeton, New Jersey, is a
biopharmaceutical company. It
is the exclusive worldwide
licensor of Potelligent
Technology, a patented
technology that creates 100%
fucose-free monoclonal
antibodies. The company was
founded in 2003.</t>
  </si>
  <si>
    <t xml:space="preserve">Lonza Group Ltd
Kyowa Hakko Kogyo Co Ltd</t>
  </si>
  <si>
    <t xml:space="preserve">LONZA/BIOWA INC-STRATEGIC ALLIANCE</t>
  </si>
  <si>
    <t xml:space="preserve">Lonza Group Ltd and BioWa Inc, a unit of Kyowa Hakko Kogyo Co Ltd formed a
strategic alliance to pProvide research and development services of potent
antibodies with enhanced antibody-dependent cellular cytotoxicity globally.
The alliance was a strategic investment opportunity both for the partners
to leverage their medical development services targeting the treatments for
cancer and other life-threatening and debilitating diseases.</t>
  </si>
  <si>
    <t xml:space="preserve">54338V
09018J</t>
  </si>
  <si>
    <t xml:space="preserve">LONZA AG/BIOWA INC-STRATEGIC ALLIANCE</t>
  </si>
  <si>
    <t xml:space="preserve">Lonza Group Ltd (LG) and BioWa Inc, a unit of Kyowa Hakko Kogyo Co Ltd,
formed a strategic alliance to provide integrated and optimized production
platform for more potent antibodies. The alliance combined and marketed
BI's Potelligent technology with LG's GS Gene Expression System and CHOK1SV
cell line. Terms were not disclosed.</t>
  </si>
  <si>
    <t xml:space="preserve">Research &amp; Development Services
Computer Integrated Systems Svcs
Marketing Services</t>
  </si>
  <si>
    <t xml:space="preserve">Stallergenes SA
Protein eXpert SA</t>
  </si>
  <si>
    <t xml:space="preserve">Manufacture pharmaceuticals
Pvd research,dvlp svcs</t>
  </si>
  <si>
    <t xml:space="preserve">Stallergenes SA, located in
Antony, France, manufactures
pharmaceuticals. Its products
include vivo prick tests,
vitro tests, subcutaneous
injections, sublingual drops
and therapeutic products for
diagnostic purpose as well as
treatments. It operates in
France, Spain, Portugal,
Italy, Greece and Switzerland.
The company was founded in
1962.
Protein eXpert SA, located in
Grenoble, France, provides
research and development
services focusing on the
discovery, optimization and
production of valuable target
or therapeutic proteins. The
company was founded in 2000.</t>
  </si>
  <si>
    <t xml:space="preserve">STALLERGENS SA/PROTEIN EXPERT SA-STRATEGIC ALLIANCE</t>
  </si>
  <si>
    <t xml:space="preserve">Stallergenes SA and Protein eXpert SA formed a strategic alliance to
provide research and development services of recombinant protein treatment
for sublingual desensitisation of allergy to mites in France. The alliance
was a strategic investment opportunity both for the partners to leverage
their desensitisation treatments and development services and to further
expand their market and product coverage in Europe.</t>
  </si>
  <si>
    <t xml:space="preserve">85258K
73881P</t>
  </si>
  <si>
    <t xml:space="preserve">Universal Display Corp
Idemitsu Kosan Co Ltd</t>
  </si>
  <si>
    <t xml:space="preserve">Manufacture diagnostic tests
Mnfr,whl petroleum prod</t>
  </si>
  <si>
    <t xml:space="preserve">Universal Display Corp,
located in Ewing, New
Jersey, specializes in
research, development and
commercialization of organic
light emitting diode, or
OLED, technologies and
materials. The company was
organized under the laws of
the Commonwealth of
Pennsylvania in April 1985.
Idemitsu Kosan Co Ltd,
headquartered in Tokyo,
Japan, manufactures and
wholesales petroleum and
petrochemical. The Petroleum
Product segment is engaged
in the import, refining and
wholesale of petroleum
products, the transportation
and storage of crude oil and
petroleum products, the
manufacture and sale of
lubricant, and the sale of
service station (SS)-related
products. The Petrochemical
Product segment manufactures
and sells petrochemical
products. The Resource
segment is involved in the
research, exploration,
development and sale of
petroleum resources, coal,
uranium and geothermal
resources. The Others
segment purchase and sale of
liquefied petroleum (LP)
gas, the manufacture and
sale of electronic
materials, the provision of
insurance agency and credit
card services, among others.
The Company was founded in
1911.</t>
  </si>
  <si>
    <t xml:space="preserve">2835
2911</t>
  </si>
  <si>
    <t xml:space="preserve">UNIVERSAL DISPLAY CORP/IDEMITSU KOSAN CO LTD-STRATEGIC ALLIANCE</t>
  </si>
  <si>
    <t xml:space="preserve">Universal Display Corp and Idemitsu Kosan Co Ltd formed a strategic
alliance to provide research and development services of  phosphorescent
OLED materials globally. The alliance was expected to leverage the
partners' lighting products.</t>
  </si>
  <si>
    <t xml:space="preserve">91347P
451668</t>
  </si>
  <si>
    <t xml:space="preserve">Ricardo PLC
Delta Electronics Inc</t>
  </si>
  <si>
    <t xml:space="preserve">Engineering Services
Printed Circuit Assembly (Electronic Assembly) Manufacturing</t>
  </si>
  <si>
    <t xml:space="preserve">Ricardo PLC is a provider of
engineering services. It
provides automotive
engineering and software
programming services for
research, design and
development to automotive
manufacturers. The Company
was founded in 1915 and is
located in
Shoreham-by-Shore, the
United Kingdom.
Delta Electronics Inc is a
manufacturer and supplier of
power supplies and components.
The Company and its
subsidiaries are engaged in
the research and development,
design, manufacturing and sale
of electronic control systems,
DC brushless fans, Thermal
system, and miniaturization
key component, industrial
automation products,
communication products,
consumer electronic products,
energy saving lighting
application, renewable energy
application, EV charging, and
energy technology services and
consulting services of
building , management and
control systems. Its
operations are carried out in
Taiwan, Asia and other
countries. The Group exports
its products in Southeast
Asia, the United States of
America, Europe, the Northeast
Asia and other countries. The
Company also a holding
company. The Company was
founded in 1971 and is located
in Taipei, Taiwan.</t>
  </si>
  <si>
    <t xml:space="preserve">8711
3679</t>
  </si>
  <si>
    <t xml:space="preserve">United Kingdom
Taiwan</t>
  </si>
  <si>
    <t xml:space="preserve">RICARDO PLC/DELTA ELECTRONICS INC-STRATEGIC ALLIANCE</t>
  </si>
  <si>
    <t xml:space="preserve">Ricardo PLC and Delta Electronics Inc formed a strategic alliance to
provide automotive electronics research and development services. The
alliance was expected to provide automakers with innovative electronics
research and development technology and high quality manufacturing
resources.</t>
  </si>
  <si>
    <t xml:space="preserve">76258M
24766W</t>
  </si>
  <si>
    <t xml:space="preserve">US Preventive Medicine Inc
iHealth UK Ltd</t>
  </si>
  <si>
    <t xml:space="preserve">Pvd medical/health svcs
Pvd medical/health svcs</t>
  </si>
  <si>
    <t xml:space="preserve">US Preventive Medicine Inc,
located in Texas, provides
online preventive health
information services in
partnership with established
hospitals and physician groups
used by employers, government
agencies and consumers
proprietary products. The
company's service portfolio,
includes The Prevention
Plan(TM), a personalized
wellness program delivered
online to individuals,
Experience Health 365(R), a
field-based chronic disease
management programs customized
for employers and government
agencies to reduce healthcare
costs, and The Centers for
Preventive Medicine(R), which
offer high-tech diagnostic
screenings delivered to
consumers in partnership with
hospitals, health systems and
other providers.
iHealth UK Ltd, located in
Weybridge, UK, provides
preventive medical/healthcare
services such as health
screening and assessment
services. The company also
offer MRT and CT scanning,
sports and fitness assessment,
cognitive function, coaching
and other health care
information services.</t>
  </si>
  <si>
    <t xml:space="preserve">8099
8099</t>
  </si>
  <si>
    <t xml:space="preserve">US PREVENTIVE MEDICINE INC/IHEALTH UK LTD-STRATEGIC ALLIANCE</t>
  </si>
  <si>
    <t xml:space="preserve">US Preventive Medicine Inc and iHealth UK Ltd signed letter of intent to
form a strategic alliance to provide and develop preventive medicine
services such as chronic disease management and personalized wellness
program in United Kingdom. The alliance was expected to leverage and expand
their preventive care and disease management services to consumers locally.
Additionally, the partners were to commercialize their combined services to
further increase revenues and market shares in Europe.</t>
  </si>
  <si>
    <t xml:space="preserve">Health &amp; Medical Services
Research &amp; Development Services
Marketing Services</t>
  </si>
  <si>
    <t xml:space="preserve">91238X
46808M</t>
  </si>
  <si>
    <t xml:space="preserve">Alba Therapeutics Corp
Shire PLC</t>
  </si>
  <si>
    <t xml:space="preserve">Alba Therapeutics Corp is a
biotechnology company,
headquartered in Baltimore,
Maryland, US. It is focused on
the development and
commercialization of
pharmaceutical products to
treat autoimmune and
inflammatory diseases.
Shire PLC, headquartered in
Hampshire, United Kingdom,
is a manufacturer and
wholesaler of pharmaceutical
products focused on central
nervous system,
gastrointestinal, and human
genetic therapies. The
company's products include
Adderall XR, Dynepo,
Equetro, Forsenol, Adderall,
Carbatrol, Pentasa,
Colazide, Agrylin, Xagrid,
Fosrenol, Proamatine,
Epivir, Combivir, Trizivir,
Vaniqa, Xagrid, Zeffix,
Calcichew, Solaraze,
Reminyl/Reminyl XL, Lodine,
Replagal, Daytrana, Elaprase
and Mesavance. The group
operates in the United
Kingdom, the United States
of America, the Netherlands,
France, Germany, Italy,
Spain, Ireland, Canada, the
Cayman Islands and Sweden.
The company distributes its
products from Australia,
Denmark, Finland, Hong Kong,
Israel, Malaysia, Norway,
Philippines, Singapore,
South Africa, South Korea
and Thailand. The company
was founded in 1986.</t>
  </si>
  <si>
    <t xml:space="preserve">ALBA THERAPEUTICS CORP/SHIRE PLC-STRATEGIC ALLIANCE</t>
  </si>
  <si>
    <t xml:space="preserve">Alba Therapeutics Corp (AT) and Shire PLC (SP) formed a strategic alliance
to provide AT-1001 joint development services as lead inhibitor of barrier
dysfunction in various gastrointestinal (GI) disorders. SP was expected to
receive rights to commercialize all forms of AT-1001 outside of the United
States and Japan. AT was expected to retain all rights to commercialize
AT-1001 in the United States and Japan. AT was expected to receive an
initial, non-refundable licensing payment of $25 mil US (2.8 bil Japanese
yen). The joint development costs toward global approval will be shared
50/50 after completion of two phase 2 studies for Celiac disease.
</t>
  </si>
  <si>
    <t xml:space="preserve">Alba Therapeutics Corp was expected to receive an initial, non-refundable
licensing payment of $25 mil US (2.8 bil Japanese yen).</t>
  </si>
  <si>
    <t xml:space="preserve">01290T
82481R</t>
  </si>
  <si>
    <t xml:space="preserve">Clinsys Clinical Research Inc
ITEC Services</t>
  </si>
  <si>
    <t xml:space="preserve">Pvd reseach,dvlp svcs
Pvd research svcs</t>
  </si>
  <si>
    <t xml:space="preserve">Clinsys Clinical Research Inc,
located in Bedminster, United
States, provides
therapeutically focused
research and development
services. It offers
pharmaceutical and
biotechnology companies a
broad range of clinical
research services. The company
was founded in 1992.
ITEC Services, located in
Bordeaux, France, provides
therapeutically focused
clinical reseach services. The
company was founded in 1984.</t>
  </si>
  <si>
    <t xml:space="preserve">Jubilant Organosys Ltd
ITEC Services</t>
  </si>
  <si>
    <t xml:space="preserve">CLINSYS CLINICAL RESEARCH INC/ITEC SERVICES-STRATEGIC ALLIANCE</t>
  </si>
  <si>
    <t xml:space="preserve">Clinsys Clinical Research Inc and ITEC Services formed a strategic alliance
to provide therapeutically focused research and development services
globally.</t>
  </si>
  <si>
    <t xml:space="preserve">18733R
46773K</t>
  </si>
  <si>
    <t xml:space="preserve">Ambrx Inc
Eli Lilly &amp; Co</t>
  </si>
  <si>
    <t xml:space="preserve">Biotechnology company
Manufactures,wholesales pharmaceuticals</t>
  </si>
  <si>
    <t xml:space="preserve">Ambrx Inc, located in La
Jolla, California, is a
biotechnology company
specializing in the
development of genetically
engineered protein
therapeutics branded as
BioSuperior, a protein-based
drugs for the treatment of
diabetes, cancer,
cardiovascular, renal,
gastrointestinal,
rheumatologic and neurological
diseases. the company was
founded in 2003.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</si>
  <si>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AMBRX INC/ELI LILLY &amp; CO-STRATEGIC ALLIANCE</t>
  </si>
  <si>
    <t xml:space="preserve">Ambrx Inc (AI) and Eli Lilly &amp; Co formed a strategic alliance to provide
research and development services of novel therapeutic antibodies for the
treatment of metabolic diseases, central nervous system disorders and other
diseases in the United States. Under terms of the agreement, the alliance
was expected to use AI's ReCODE technology to develop high quality protein
clinical candidates, while simultaneously expanding new areas of
therapeutic antibodies. Additionally, AI was to received an initial upfront
and ongoing research support payments, and with milestones and royalties
upon successful commercialization of the product. Terms were not
disclosed.</t>
  </si>
  <si>
    <t xml:space="preserve">02347V
532457</t>
  </si>
  <si>
    <t xml:space="preserve">CENOMED BIOSCIENCES LLC /THIOPHARMA INC - STRATEGIC ALLIANCE</t>
  </si>
  <si>
    <t xml:space="preserve">Cenomed BioSciences LLC (CB), a joint venture between Abraxis Bioscience
Inc and Cenomed Inc, and ThioPharma Inc (TP) formed a strategic alliance
wherein CB licensed TP to develop and commercialize drug delivery
technology which will be developed for use in psychiatric and neurological
disease. Under terms of the agreement, TP was to receive upfront payment
and milestone payments upon achievement of certain development and
regulatory events. Additional financial terms were not disclosed.
</t>
  </si>
  <si>
    <t xml:space="preserve">Oxford Genome Sciences UK Ltd
Amgen Inc</t>
  </si>
  <si>
    <t xml:space="preserve">Oxford Genome Sciences UK Ltd,
located in Oxon, UK, is a
biotechnology company focusing
in the discovery and
development of novel
therapeutic medicine for the
treatment of cancer. The
company was founded in 2004.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</si>
  <si>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OXFORD GENOME SCIENCES UK LTD/AMGEN INC-STRATEGIC ALLIANCE</t>
  </si>
  <si>
    <t xml:space="preserve">Oxford Genome Sciences UK Ltd and Amgen Inc (AI) formed a strategic
alliance to provide research and development services of novel therapeutic
antibodies for the treatment of cancer globally. Under terms of the
agreement, the alliance was expected to utilize AI's XenoMouse technology
to leverage their pipeline of human therapeutic antibodies (mAbs) in
cancer.</t>
  </si>
  <si>
    <t xml:space="preserve">69145F
031162</t>
  </si>
  <si>
    <t xml:space="preserve">Ambrx Inc
Merck &amp; Co Inc</t>
  </si>
  <si>
    <t xml:space="preserve">Ambrx Inc, located in La
Jolla, California, is a
biotechnology company
specializing in the
development of genetically
engineered protein
therapeutics branded as
BioSuperior, a protein-based
drugs for the treatment of
diabetes, cancer,
cardiovascular, renal,
gastrointestinal,
rheumatologic and neurological
diseases. the company was
founded in 2003.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</si>
  <si>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AMBRX INC/MERCK &amp; CO INC-STRATEGIC ALLIANCE</t>
  </si>
  <si>
    <t xml:space="preserve">Merck &amp; Co Inc and Ambrx Inc (AI) formed a strategic alliance to provide
research and development services of Fibroblast Growth Factor 21 (FGF-21)
for the treatment of type 2 diabetes and related metabolic disorders such
as obesity in the United States. Under terms of the agreement, the alliance
was expected to use AI's ReCODE technology to develop high quality protein
drug candidates, thus to further improved the therapeutic properties
against the native FGF-21. Additionally, AI was expected to received
milestone payments coupled with the research, development and
commercialization of the protein candidate resulting from the agreement
with royalties on net sales. Terms were not disclosed.</t>
  </si>
  <si>
    <t xml:space="preserve">02347V
589331</t>
  </si>
  <si>
    <t xml:space="preserve">Sunesis Pharmaceuticals Inc
MMRC</t>
  </si>
  <si>
    <t xml:space="preserve">Biopharm co
Pvd r&amp;d, clinical trial svcs</t>
  </si>
  <si>
    <t xml:space="preserve">Sunesis Pharmaceuticals Inc,
located in San Francisco,
California, is a
biobiopharmaceutical company
focused on the discovery,
development and
commercialization of novel
small molecule therapeutics
for oncology and other unmet
medical needs. The company
was founded in 1998.
MMRC, based in Norwalk,
Connecticut, is non profit
organization that provides
research and development
services of novel,
cutting-edge treatments for
patients afflicted by multiple
myeloma. It also has its own
MMRC Tissue Bank for the
purpose of drug development.
In addition, the MMRC also
conducts pre-clinical
validation studies to identify
the necessary novel compounds
and combination therapies, and
conducts genomics studies to
increase the knowledge on the
biology of the multiple
myeloma. The company was
founded in 2004.</t>
  </si>
  <si>
    <t xml:space="preserve">2834
6732</t>
  </si>
  <si>
    <t xml:space="preserve">SUNESIS PHARMACEUTICALS INC/MULTIPLE MYELOMA RESEARCH CONSORTIUM-STRATEGIC
ALLIANCE</t>
  </si>
  <si>
    <t xml:space="preserve">Sunesis Pharmaceuticals Inc and  Multiple Myeloma Research Consortium
formed a strategic alliance to provide research and development services of
SNS-032 as a potential therapeutic for the treatment of multiple myeloma in
the United States. The alliance was a strategic opportunity both for the
partners to leverage their medical development services and to further
expand their product coverage.</t>
  </si>
  <si>
    <t xml:space="preserve">867328
62568N</t>
  </si>
  <si>
    <t xml:space="preserve">Cancer Therapeutics CRC
Queensland Inst of Medical</t>
  </si>
  <si>
    <t xml:space="preserve">Cancer Therapeutics CRC Pty
Ltd, located in Bundoora,
Australia, , manufacture
prescription pharmaceuticals
for the many forms of cancer.
Queensland Institute of
Medical Research, located in
Queensland, Australia,
provides research and
development services in the
areas of immunological,
biological and molecular
basis of a wide range of
infectious diseases, cancers
and other disorders. QIMR
has also built a strong
research stream in
epidemiology, the study of
the environmental, lifestyle
and genetic factors that
contribute to disease
incidence among populations.</t>
  </si>
  <si>
    <t xml:space="preserve">CANCER THERAPEUTICS CRC/QUEENSLAND INSTITUTE OF MEDICAL RESEARCH-STRATEGIC
ALLIANCE</t>
  </si>
  <si>
    <t xml:space="preserve">Cancer Therapeutics CRC Pty  Ltd and Australian state-owned Queensland
Institute of Medical Research, formed a strategic alliance to manufacture
and develop new drugs for the treatment of many forms of cancer based on
exciting new findings in the field of DNA repair in Australia.</t>
  </si>
  <si>
    <t xml:space="preserve">13737E
74858E</t>
  </si>
  <si>
    <t xml:space="preserve">MPI Research Inc
Shanghai Medicilon Inc</t>
  </si>
  <si>
    <t xml:space="preserve">Pvd preclinical research svcs
Biotechnology company</t>
  </si>
  <si>
    <t xml:space="preserve">MPI Research Inc, located in
Mattawa, Michigan, provides
pre-clinical research
services to the
pharmaceutical, biotech,
chemical, and related
industries in advancing
their drug development
programs, from early proof
of concept testing to
regulatory submissions. It
provides testing services in
the field of general
toxicology,
bioanalytical/analytical
sciences,
pharmacology,/neurobehavioral
sciences, surgery, DMPK,
infusion toxicology,
developmental and
reproductive toxicology,
targeted discovery research,
immunology, pathology
services, and molecular
imaging. The Company was
founded in 1995.
Shanghai Medicilon Inc is a
manufacturer of biological
products. The company
engaged in providing drug
discovery and development
services to the global
pharmaceutical industry. The
companies services include
medicinal chemistry, lead
optimization, custom
chemical synthesis, biology
services pharmacokinetics,
metabolism, animal
toxicology, efficacy and
disease model studies.The
Company was founded in Feb
2004 and is located in
Shanghai, China.</t>
  </si>
  <si>
    <t xml:space="preserve">MPI RESEARCH INC/SHANGHAI MEDICILON-JOINT VENTURE</t>
  </si>
  <si>
    <t xml:space="preserve">MPI Research Inc and Shanghai Medicilon Ltd planned to form a joint venture
named Medicilon-MPI Preclinical Research (Shanghai) LLC (MM) to provide
preclinical research and development services to the pharmaceutical and
biotechnology industries in China. MM was to construct and operate a 50,000
square feet of  preclinical testing facility in the Chuansha Economic Park
in early 2008.</t>
  </si>
  <si>
    <t xml:space="preserve">55562F
81559T</t>
  </si>
  <si>
    <t xml:space="preserve">Tower Semiconductor Ltd
CMT Medical Technologies Ltd</t>
  </si>
  <si>
    <t xml:space="preserve">Mnfr semiconductors
Mnfr med imaging equip</t>
  </si>
  <si>
    <t xml:space="preserve">Tower Semiconductor Ltd,
located in Migdal Haemek,
Israel, manufactures
semiconductors and integrated
circuits (ICs) with geometries
ranging from 1.0 to 0.13
micron, which are incorporated
into a wide range of products
in diverse markets, including
consumer electronics, personal
computer and office equipment,
communications, automotive,
industrial, professional
photography and medical
products. It also provides
complementary technical
services and design support.
The company was founded in
1993.
CMT Medical Technologies Ltd,
based in Yoqneam Llit, Israel,
manufactures medical imaging
equipment, including x-ray
apparatus and related
equipment for General
Radiography, R&amp;F rooms and
Angiography special procedures
suites mainly in Asia and the
United States. The company was
founded in 1981.</t>
  </si>
  <si>
    <t xml:space="preserve">TOWER SEMICONDUCTOR LTD/CMT MEDICAL TECHNOLOGIES LTD-STRATEGIC ALLIANCE</t>
  </si>
  <si>
    <t xml:space="preserve">Tower Semiconductor Ltd and CMT Medical Technologies Ltd formed a strategic
alliance to provide research and development services of X-ray detectors
for medical applications in Israel. The alliance was expected to leverage
their combined technology by providing and marketing medical application
used in Radiography/Fluoroscopy, Cardiology,  Angiography, Mammography and
similar large-size X-ray modalities.</t>
  </si>
  <si>
    <t xml:space="preserve">M87915
12601C</t>
  </si>
  <si>
    <t xml:space="preserve">Medicago Inc
Undisclosed JV Partner</t>
  </si>
  <si>
    <t xml:space="preserve">Medicago Inc, headquartered in
Quebec, Quebec, is a
biotechnology company focused
on developing Virus-Like
Particle (VLP) vaccines to
protect against H5N1 pandemic
influenza. The company was
founded in 1997.
Investment company</t>
  </si>
  <si>
    <t xml:space="preserve">Canada
Unknown</t>
  </si>
  <si>
    <t xml:space="preserve">MEDICAGO INC /UNDISCLOSED JOINT VENTURE PARTNER - STRATEGIC ALLIANCE</t>
  </si>
  <si>
    <t xml:space="preserve">Medicago Inc and an undisclosed partner formed a strategic alliance to
provide transient expression system development services to produce a
therapeutic protein with a human-compatible glycosylation pattern in
Canada. The glycosylation pattern refers to the pattern and types of sugars
that are attached to the protein and this pattern is different for all
production systems for recombinant proteins.</t>
  </si>
  <si>
    <t xml:space="preserve">58450N
904JVP</t>
  </si>
  <si>
    <t xml:space="preserve">GlaxoSmithKline PLC
Santaris Pharma A/S</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</si>
  <si>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Santaris Pharma A/S, located
in Horsholm, Denmark, is a
biotechnology company focused
on developing designer drugs
for targeted therapy. It
manufactures oligonucleotide
drugs based on its
proprietary, 3rd generation
RNA analogue, Locked Nucleic
Acid (LNA). The company was
founded in 2003.</t>
  </si>
  <si>
    <t xml:space="preserve">United Kingdom
Denmark</t>
  </si>
  <si>
    <t xml:space="preserve">GLAXOSMITHKLINE PLC/SANTARIS PHARMA-STRATEGIC ALLIANCE</t>
  </si>
  <si>
    <t xml:space="preserve">GlaxoSmithKline PLC (GS) and Santaris Pharma A/S (SP) formed a strategic
alliance to provide novel medicine discovery, development and
commercialization services against viral diseases worldwide. The alliance
provides GS access to patented RNA antagonist compounds, based in SP's
Locked nucleic Acid technology for development as potential new therapies
for selected viral diseases. Under terms of the agreement, SP granted GS
options to drug candidates discovered and developed under the collaboration
in up to 4 different viral disease programmes. SP was expected to receive
an upfront fee for the first antiviral programme of $3 mil US (1.5 British
pounds/ 16 mil Danish krone). If the first antiviral programme will be
successful, GS could make additional milestone payments to SP of up to $140
mil (69.5 mil pounds/726 mil krone).
</t>
  </si>
  <si>
    <t xml:space="preserve">SP was expected to receive an upfront fee for the first antiviral programme
of $3 mil US (1.5 British pounds/ 16 mil Danish krone). If frist antiviral
programme will be successful, GS could make additional milestone payments
to SP of up to $140 mil (69.5 mil pounds/ 726 mil krone).</t>
  </si>
  <si>
    <t xml:space="preserve">37733W
80284V</t>
  </si>
  <si>
    <t xml:space="preserve">Compugen Ltd
Roche Holdings AG</t>
  </si>
  <si>
    <t xml:space="preserve">Compugen Ltd is a
manufacturer of biological
products.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 Company was founded in
1993 and is located in
Holon, Israel.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</si>
  <si>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Israel
Switzerland</t>
  </si>
  <si>
    <t xml:space="preserve">COMPUGEN LTD/HOFFMANN-LA ROCHE-STRATEGIC ALLIANCE</t>
  </si>
  <si>
    <t xml:space="preserve">Compugen Ltd and Roche Holding AG formed a strategic alliance to provide
research and development services of geneticvariations for the prediction
of response to drugs used for the treatment of rheumatoid arthritis
globally. The alliance was a strategic research opportunity both for the
partners to leverage their medical development services and to further
expand their market and product coverage worldwide.</t>
  </si>
  <si>
    <t xml:space="preserve">M25722
77119M</t>
  </si>
  <si>
    <t xml:space="preserve">Biosphere Medical Inc
DuPont Applied BioSciences Inc</t>
  </si>
  <si>
    <t xml:space="preserve">Mnfr medical devices
Biotechnology company</t>
  </si>
  <si>
    <t xml:space="preserve">Biosphere Medical Inc, located
in Rockland, Massachusetts,
manufactures medical devices
used in the proprietary
bioengineered acrylic beads,
known as microspheres, for
medical applications using
embolotherapy techniques and
to further develop potential
non-embolotherapy applications
to treat uterine fibroids,
hypervascularized tumors, and
vascular malformations. The
products include Embosphere
Microspheres, EmboGold
Microspheres, Hepasphere SAP
Microspheres and TempRx
Microspheres.
DuPont Applied BioSciences
Inc, located in Wilmington,
Delaware, is a biotechnology
company focused in development
of bio-based products and
technologies including
BioFuels, BioMaterials,
BioSpecialties and BioMedical.</t>
  </si>
  <si>
    <t xml:space="preserve">MA
DE</t>
  </si>
  <si>
    <t xml:space="preserve">Biosphere Medical Inc
DuPont</t>
  </si>
  <si>
    <t xml:space="preserve">3841
2821</t>
  </si>
  <si>
    <t xml:space="preserve">BIOSPHERE MEDICAL INC/DUPONT APPLIED BIOSCIENCES-STRATEGIC ALLIANCE</t>
  </si>
  <si>
    <t xml:space="preserve">Biosphere Medical Inc and DuPont Applied BioSciences Inc, a unit of Dupont
Inc formed a strategic alliance to provide research and development
services of peripheral vascular and embolotherapy  engineering projects in
the United States. The alliance was a strategic investment opportunity both
for the partners to leverage their therapeutic research focus of
interventional gynecology and interventional oncology products.</t>
  </si>
  <si>
    <t xml:space="preserve">09066V
26368L</t>
  </si>
  <si>
    <t xml:space="preserve">AMI Semiconductor Inc
ELO Touchsystems Inc</t>
  </si>
  <si>
    <t xml:space="preserve">Mnfr,whl semiconductors
Mnfr touchscreen computers</t>
  </si>
  <si>
    <t xml:space="preserve">AMI Semiconductor Inc, located
in Pocatello, Idaho,
manufactures and wholesales
semiconductors specializing in
digital and mixed-signal
application-specific
integrated circuits and
mixed-signal
application-specific standard
products. The company was
founded in 1996.
ELO Touchsystems Inc, located
in Fremont, California,
manufactures touchscreen
computers and touchmonitors,
specifically designed for the
demanding requirements of
diverse applications, such as
industrial, medical, POS,
kiosks, retail, hospitality,
transportation, and gaming.
The company was founded in
1971.</t>
  </si>
  <si>
    <t xml:space="preserve">ID
CA</t>
  </si>
  <si>
    <t xml:space="preserve">AMIS Holdings Inc
Tyco International Ltd</t>
  </si>
  <si>
    <t xml:space="preserve">3674
3569</t>
  </si>
  <si>
    <t xml:space="preserve">AMI SEMICONDUCTOR/ELO TOUCHSYSTEMS INC-STRATEGIC ALLIANCE</t>
  </si>
  <si>
    <t xml:space="preserve">AMI Semiconductor Inc, a unit of AMIS Holding Inc, and ELO Touchsystems
Inc, a unit of Tyco Electronics Ltd formed a strategic alliance to develop
audio chip for Acoustic Pulse Recognition touch technology in the United
States. The alliance was expected to leverage their mixed-signal and
digital products used in cell phones, PDAs, UPMCs, industrial hand-held
devices, hand-held medical devices, NAV devices, white goods, portable
gaming devices, and signature capture devices.</t>
  </si>
  <si>
    <t xml:space="preserve">00030F
26860Z</t>
  </si>
  <si>
    <t xml:space="preserve">Human Genome Sciences Inc
Aegera Therapeutics Inc</t>
  </si>
  <si>
    <t xml:space="preserve">Mnfr biopharmaceutical prod
Biotechnology company</t>
  </si>
  <si>
    <t xml:space="preserve">Human Genome Sciences Inc,
located in Rockville,
Maryland, manufactures
biopharmaceutical products
with a pipeline of novel
compounds in clinical
development, including drugs
to treat such diseases as
hepatitis C, lupus, anthrax
disease, cancer, rheumatoid
arthritis and HIV/AIDS. The
company was founded in 1992.
Aegera Therapeutics Inc,
located in Montreal, Quebec,
Canada, is a biotechnology
company which focuses on
developing drugs that control
apoptosis.</t>
  </si>
  <si>
    <t xml:space="preserve">HUMAN GENOME SCIENCES/AEGERA THERAPEUTICS INC- STRATEGIC ALLIANCE</t>
  </si>
  <si>
    <t xml:space="preserve">Human Genome Sciences Inc (HG) and Aegera Therapeutics Inc (AT) formed a
strategic alliance wherein AT licensed HG to develop and commercialize AEG
40826 and related back up compounds  for novel targeted therapies for
treatment of cancer worldwide (excluding Japan). HG paid AT an upfront
license fee of $15 mil US (15 mil Canadian dollars). AT was also expected
to receive up to $295 mil (295.03 mil Canadian dollars) in development and
commercial milestone payments.</t>
  </si>
  <si>
    <t xml:space="preserve">Human Genome Sciences Inc paid  Aegera Therapeutics Inc an upfront license
fee of $15 mil US (15 mil Canadian dollars).  Aegera Therapeutics Inc was
also expected to receive up to $295 mil (295.03 mil Canadian dollars)</t>
  </si>
  <si>
    <t xml:space="preserve">444903
01136V</t>
  </si>
  <si>
    <t xml:space="preserve">Sharp Corp
Toshiba Corp</t>
  </si>
  <si>
    <t xml:space="preserve">Mnfr,whl consumer electn prod
Mnfr,whl digital,electn prod</t>
  </si>
  <si>
    <t xml:space="preserve">Sharp Corp, headquartered in
Osaka, Japan, is engaged in
manufacture and wholesale of
consumer electronic
products. Other activities
include development, design
and wholesaling of consumer
electric and electronic
products. The operations are
carried out through the
following divisions:
Electronics and Electric
components. The electronics
division includes audio and
video (AV)/communication
products, including liquid
crystal color televisions,
projectors, digital
versatile disc (DVD) players
and recorders, compact disc
(CD) players and various
telephones; electric
appliances, personal
computers (PCs), digital
dictionaries, calculators,
liquid crystal color
monitors, information
displays and copy machines.
Electric components division
includes CCD/CMOS imagers,
LSIs for LCDs,
microcomputers, flash
memories, TFT LCD modules,
System LCD modules, solar
cells, components for
satellite broadcasting,
laser diodes, optical
pickups, optical sensors and
optical communication
components. The company was
founded in 1912.
Toshiba Corp, located in
Tokyo, Japan, manufactures
and wholesales digital and
electronic products. The
company has five business
segments. The Digital
Product segment manufactures
and sells televisions,
blu-ray disc (BD) players
and recorders, digital
versatile disc (DVD) players
and recorders, personal
computers (PCs) and combined
machines, among others. The
Electronic Device segment
provides general logic
integrated circuits (ICs),
optical semiconductors,
power devices, logic
large-scale integrated (LSI)
circuits, image sensors and
others. The Social
Infrastructure segment
offers various generation
systems, power distribution
systems, water and sewer
systems, transportation
systems and station
automation systems. The Home
Appliance segment provides
refrigerators, drying
machines, washing machines,
cooking utensils, cleaners
and lighting equipment. The
Others segment is involved
in the logistics business.
The company was founded in
1875.</t>
  </si>
  <si>
    <t xml:space="preserve">SHARP CORP/TOSHIBA CORP-STRATEGIC ALLIANCE</t>
  </si>
  <si>
    <t xml:space="preserve">Sharp Corp and Toshiba Corp formed a strategic alliance to develop,
manufacture and market LCDs and semiconductors products in Japan. The
partners were expected to collaborate and further develop thin lines, light
weight, high resolution images and long lifetime LCD and electronic
products, while reducing power consumptions. The alliance was a strategic
opportunity both for the partners to leverage their digital technologies
production capacity and to further expand their market coverage globally.</t>
  </si>
  <si>
    <t xml:space="preserve">819882
891493</t>
  </si>
  <si>
    <t xml:space="preserve">Austrian Research Center GmbH
Vereinigten Pensionskassen AG</t>
  </si>
  <si>
    <t xml:space="preserve">Pvd research,dvlp svcs
Pvd pension fund mgmt svcs</t>
  </si>
  <si>
    <t xml:space="preserve">Austrian Research Center GmbH,
located in Vienna, Austria,
provides research and
development services of
nanotechnologies.
Vereinigten Pensionskassen AG,
located in Vienna, Austria,
provides pension fund
management services.</t>
  </si>
  <si>
    <t xml:space="preserve">8731
6371</t>
  </si>
  <si>
    <t xml:space="preserve">Austria
Austria</t>
  </si>
  <si>
    <t xml:space="preserve">VEREINIGTEN PENSIONSKASSEN AG/AUSTRIAN RESEARCH CENTER GMBH-JOINT VENTURE</t>
  </si>
  <si>
    <t xml:space="preserve">Austria</t>
  </si>
  <si>
    <t xml:space="preserve">Statw-owned Austrian Research Center GmbH (AR) and Vereinigten
Pensionskassen AG (VP) planned to form a joint venture (JV) to provides
research and development services of nanotechnologies in Austria. AR was to
hold a 70% interest in the JV, and the remaining 30% stake was to be held
by VP. AR was to invest an estimated $1.294 mil (0.9 mil euros) to the JV's
operations in Vienna.</t>
  </si>
  <si>
    <t xml:space="preserve">AR was to invest an estimated $1.294 mil (0.9 mil euros) to the JV's
operations in Vienna.</t>
  </si>
  <si>
    <t xml:space="preserve">12352M
92359K</t>
  </si>
  <si>
    <t xml:space="preserve">Beijing Automotive Ind Corp
Lear Corp</t>
  </si>
  <si>
    <t xml:space="preserve">Mnfr auto,light trucks
Mnfr,whl auto interior systems</t>
  </si>
  <si>
    <t xml:space="preserve">Beijing Automotive Industry
Corp is a manufacturer of
automobiles. The Company was
founded in 1973 and is
located in Beijing, China.
Lear Corp, located in
Southfield, Michigan,
manufactures and wholesales
automobile interior systems
with -house capabilities in
all five principal
automobile interior
segments: seat systems,
floor and acoustic systems,
door panels, headliners, and
instrument panels. The
Company is also engaged in
the wholesale of automotive
electrical distribution
systems and automobiles,
with 215 facilities and
operations in 34 countries.
It was founded in 1917.</t>
  </si>
  <si>
    <t xml:space="preserve">3711
3714</t>
  </si>
  <si>
    <t xml:space="preserve">BEIJING AUTOMOTIVE INDUSTRY CORP/LEARN2 CORP-JOINT VENTURE</t>
  </si>
  <si>
    <t xml:space="preserve">State owned Beijing Automotive Industry Corp (BA) and Lear Corp (LC)
planned to form a joint venture (JV) to provide auto parts research and
development services such as wiring harness, connector, TPMS and door lock
in China. BA and LC were to each hold 50% interest in the JV with a total
investment of $10 mil US (74 mil Chinese yuan). The JV was to supply
electronic products and help BA reduce production costs. The JV was subject
to regulatory approvals.</t>
  </si>
  <si>
    <t xml:space="preserve">The JV was to have a total investment of $10 mil US (74 mil Chinese yuan).</t>
  </si>
  <si>
    <t xml:space="preserve">07731J
521865</t>
  </si>
  <si>
    <t xml:space="preserve">MTI Micro Fuel Cells Inc
Trident Systems Inc</t>
  </si>
  <si>
    <t xml:space="preserve">Mnfr battery
Dvlp defense sec software</t>
  </si>
  <si>
    <t xml:space="preserve">MTI Micro Fuel Cells Inc,
located in albany, New York,
manufactures cord-free
rechargeable battery and
direct methanol fuel cell
(DMFC) technology called
Mobion for portable
electronics.
Trident Systems Inc,
headquartered in Fairfax,
Virginia, develops defense and
homeland security applications
software for tactical
surveillance and force
protection scenarios. The
company was founded in 1985.</t>
  </si>
  <si>
    <t xml:space="preserve">3691
7372</t>
  </si>
  <si>
    <t xml:space="preserve">NY
GA</t>
  </si>
  <si>
    <t xml:space="preserve">Mechanical Technology Inc
Trident Systems Inc</t>
  </si>
  <si>
    <t xml:space="preserve">3511
7372</t>
  </si>
  <si>
    <t xml:space="preserve">MTI MICRO FUEL CELLS INC/TRIDENT SYSTEMS INC-STRATEGIC ALLIANCE</t>
  </si>
  <si>
    <t xml:space="preserve">MTI Micro Fuel Cells Inc, a unit of Mechanical Technology Inc, and Trident
Systems Inc formed a strategic alliance to provide research and development
services of unattended ground sensor prototypes in the United States.
Financial were not disclosed.</t>
  </si>
  <si>
    <t xml:space="preserve">06087M
89616Q</t>
  </si>
  <si>
    <t xml:space="preserve">Da An Gene Co Ltd of Sun
Wuhan Mayinglong Hospital
Wuhan Mayinglong Pharm Grp</t>
  </si>
  <si>
    <t xml:space="preserve">Biotechnology company
Own,op hospital
Mnfr,whl pharm</t>
  </si>
  <si>
    <t xml:space="preserve">Da An Gene Co Ltd of Sun
Yat-Sen University is a
biotechnology company,
headquartered in China. The
company was engaged in
researching, developing,
selling and production of
biomedicine as well as gene
diagnostic technologies and
related products. The company
was founded in 1993.
Wuhan Mayinglong Hospital
Investment Management Co Ltd,
located in China, owns and
operates hospital.
Wuhan Mayinglong
Pharmaceutical Group Stock Co
Ltd, located in Wuhan City,
China, manufactures and
wholesales prescription
pharmaceuticals that includes
musk haemorrhoids cream, musk
haemorrhoids stopper, Longzhu
soft cream and etc.</t>
  </si>
  <si>
    <t xml:space="preserve">2836
8062
2834</t>
  </si>
  <si>
    <t xml:space="preserve">DAAN GENE CO LTD OF SUN YAT/WUHAN MAYINGLONG PHARM/WUHAN MAYINGLONG
HOSP-WUHAN MAYINGLONG DAAN GENE DIAGNOSTIC JOINT VENTURE</t>
  </si>
  <si>
    <t xml:space="preserve">Da An Gene Co Ltd of Sun Yat-Sen University (DG), Wuhan Mayinglong Hospital
Investment Management Co Ltd (WM) and Wuhan Mayinglong Pharmaceutical Group
Stock Co Ltd (WP) planned to form a joint venture named Wuhan Mayinglong
DaAn Gene Diagnostic Technology Co Ltd (WD) to provide diagnostic reagents
development services in China. DG was to hold 49% stake while WM and WP
were to hold the combined 51% interest. WD was to develop external
diagnostic reagents, biological products and medical equipment, and
particularly focus on researching and producing diagnostic reagents for
proctological and gynecological applications.
</t>
  </si>
  <si>
    <t xml:space="preserve">49.00
25.50
25.50</t>
  </si>
  <si>
    <t xml:space="preserve">24020M
98242Q
98274R</t>
  </si>
  <si>
    <t xml:space="preserve">Daiichi Sankyo Co Ltd
Eli Lilly &amp; Co</t>
  </si>
  <si>
    <t xml:space="preserve">Mnfr,whl pharm,agrochemicals
Manufactures,wholesales pharmaceuticals</t>
  </si>
  <si>
    <t xml:space="preserve">Daiichi Sankyo Co Ltd,
headquartered in Tokyo,
Japan, is engaged in the
manufacturing and sale of
pharmaceuticals. The company
has two business segments.
The Pharmaceuticals segment
is involved in the research,
development, manufacturing
and sale of pharmaceuticals,
as well as the provision of
intermediates and basic
materials for pharmaceutical
making. The Others segment
is involved in the real
estate leasing, the
insurance agency business,
human resources and
management services. As of
March 31, 2010, the company
had 100 subsidiaries and
four associated companies.
The company was founded in
2005. 2005.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</si>
  <si>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FF
IN</t>
  </si>
  <si>
    <t xml:space="preserve">DAIICHI SANKYO CO LTD/ELI LILLY &amp; CO-STRATEGIC ALLIANCE</t>
  </si>
  <si>
    <t xml:space="preserve">Daiichi Sankyo Co Ltd and Eli Lilly &amp; Co formed a strategic alliance to
provide research and development services of Prasugrel, an oral
antiplatelet agent for the treatment of patients with acute coronary
syndrome globally. Additionally, the new developed antiplatelet agents
prevent platelets from clumping or sticking together, which can result in
clogged arteries and may lead to heart attack or stroke.</t>
  </si>
  <si>
    <t xml:space="preserve">J11257
532457</t>
  </si>
  <si>
    <t xml:space="preserve">Alexza Pharmaceuticals Inc
Endo Pharmaceuticals Holdings</t>
  </si>
  <si>
    <t xml:space="preserve">Biopharm co
Mnfr,whl pharmaceuticals</t>
  </si>
  <si>
    <t xml:space="preserve">Alexza Pharmaceuticals Inc,
located in Mountain View,
California, is a
biopharmaceutical company
focused on the development and
manufacturing of novel,
proprietary products for the
treatment of acute and
intermittent conditions. The
company's technology, the
Staccato system, vaporizes
unformulated drug to form a
condensationaerosol that
allows rapid systemic drug
delivery through deep lung
inhalation. The drug was
quickly absorbed through the
lungs into the bloodstream,
providing speed of therapeutic
onset. It was founded in 2000.
Endo Pharmaceuticals Holdings
Inc, based in Chadds Ford,
Pennsylvania, manufactures and
wholesales pharmaceuticals.
The company is engaged in the
research, development, sale
and marketing of branded and
generic prescription
pharmaceuticals used primarily
to treat and manage pain. The
company's products includes
established brand names such
as Lidoderm (lidocaine patch
5%), Percocet (oxycodone and
acetaminophen tablets USP)
CII, and Frova (frovatriptan
succinate) tablets, as well as
newer products Opana ER
(oxymorphone HCl) CII
extended-release tablets,
Opana (oxymorphone HCl) CII
immediate-release tablets and
Synera (lidocaine 70mg and
tetracaine 70mg), a topical
anesthetic patch. The company
was founded in 1997.</t>
  </si>
  <si>
    <t xml:space="preserve">ALEXZA PHARMACEUTICALS INC/ENDO PHARMACEUTICALS HOLDINGS INC-STRATEGIC
ALLIANCE</t>
  </si>
  <si>
    <t xml:space="preserve">Alexza Pharmaceuticals Inc (AP) and Endo Pharmaceuticals Holdings Inc (EP)
formed a strategic alliance wherein AP licensed EP  to develop AZ-003
(Staccato(R) fentanyl) and the fentanyl class of molecules for the
treatment of  pain in cancer and non-cancer patients globally.The alliance
was a strategic investment opportunity both for the partners to leverage
their medical development services and to further expand their market and
product coverage worldwide.</t>
  </si>
  <si>
    <t xml:space="preserve">015384
U2918P</t>
  </si>
  <si>
    <t xml:space="preserve">Exelgen Ltd
Undisclosed JV Partner</t>
  </si>
  <si>
    <t xml:space="preserve">Pvd research svcs
Investment company</t>
  </si>
  <si>
    <t xml:space="preserve">Exelgen Ltd, located in
Cornwall, United Kingdom,
provides research services to
the biotechnology,
pharmaceutical and other life
science enterprises. The
company was founded in 1997.
Investment company</t>
  </si>
  <si>
    <t xml:space="preserve">United Kingdom
Unknown</t>
  </si>
  <si>
    <t xml:space="preserve">Commonwealth Biotechnologies
Undisclosed JV Partner</t>
  </si>
  <si>
    <t xml:space="preserve">United States
Unknown</t>
  </si>
  <si>
    <t xml:space="preserve">EXELGEN LTD/UNDISCLOSED JOINT VENTURE PARTNER-STRATEGIC ALLIANCE</t>
  </si>
  <si>
    <t xml:space="preserve">Exelgen Ltd, a unit of Commonwealth Biotechnologies Inc, and an undislcosed
partner formed a strategic alliance to provide research and development
services of small molecule products for therapeutic medicinal chemistry
tools globally.</t>
  </si>
  <si>
    <t xml:space="preserve">30447V
904JVP</t>
  </si>
  <si>
    <t xml:space="preserve">United Chemical Technologies
Sepax Technologies Inc</t>
  </si>
  <si>
    <t xml:space="preserve">Mnfr chemicals
Dvlp,mnfr bio separation chems</t>
  </si>
  <si>
    <t xml:space="preserve">United Chemical Technologies
Inc, located in Bristol,
Pennsylvania, manufactures and
wholesales bonded silicas and
silicones based SPE sorbents
and columns, and other related
chemicals resins. The company
has manufacturing plants in
Lewistown, and Changzhou,
China. The company was founded
in 1986.
Sepax Technologies Inc,
located in Newark, Delaware,
develops and manufactures
chemical and biological
separations, biosurfaces and
proteomics, including liquid
chromatography columns and
accessories, and novel
capillary coatings for DNA
sequencing and protein
separation, which provides
surface technologies for
micro-chip separation and DNA
and protein microarrays. The
company was founded in 2002.</t>
  </si>
  <si>
    <t xml:space="preserve">PA
DE</t>
  </si>
  <si>
    <t xml:space="preserve">UCT INC/SEPAX TECHNOLOGIES INC-SEPAX-UCT CO LTD JOINT VENTURE</t>
  </si>
  <si>
    <t xml:space="preserve">Sepax-UCT Co Ltd, located in
China, develops and
manufactures sample
preparation and pre-treatment
laboratory instruments and
equipments for pharmaceutical
and biological molecules,
including solid phase
extraction and flash
chromatography for the food
safety and quality control,
environmental pollutant
monitoring, therapeutic drug
analysis, and pharmaceutical
research industries. The
company was founded in 2007.</t>
  </si>
  <si>
    <t xml:space="preserve">United Chemical Technologies Inc and Sepax Technologies Inc formed a joint
venture named Sepax-UCT Co Ltd (SU) to develop and manufacture sample
preparation and pre-treatment laboratory instruments and equipments for
pharmaceutical and biological molecules, including solid phase extraction
and flash chromatography for the food safety and quality control,
environmental pollutant monitoring, therapeutic drug analysis, and
pharmaceutical research industries in China. SU's formation was a
combination of technical expertise and an expansion opportunity both for
the partners to leverage their production services and to further
strengthen their market coverage.</t>
  </si>
  <si>
    <t xml:space="preserve">82165Y</t>
  </si>
  <si>
    <t xml:space="preserve">90980J
82165X</t>
  </si>
  <si>
    <t xml:space="preserve">GE Healthcare
Univ Of Pittsburgh Med Ctr</t>
  </si>
  <si>
    <t xml:space="preserve">Manufacture diagnostic imaging equipment
Provide healthcare services</t>
  </si>
  <si>
    <t xml:space="preserve">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
University of Pittsburgh
Medical Center {UPMC},
located in Pittsburgh,
Pennsylvania, provides
healthcare services. It
operates 20 academic,
community, and specialty
hospitals and 400 outpatient
sites. It develops programs
in cancer, neurosurgery,
orthopedics, sports
medicine, transplantation
and psychiatry. It has a
transplant facility in Italy
and two cancer centers and a
hospital in Ireland. The
Company was founded in 1893.</t>
  </si>
  <si>
    <t xml:space="preserve">3845
8062</t>
  </si>
  <si>
    <t xml:space="preserve">WI
PA</t>
  </si>
  <si>
    <t xml:space="preserve">General Electric Co
Conemaugh Health System Inc</t>
  </si>
  <si>
    <t xml:space="preserve">3612
8062</t>
  </si>
  <si>
    <t xml:space="preserve">GE HEALTHCARE/UNIVERSITY OF PITTSBURGH MEDICAL CENTER-JOINT VENTURE</t>
  </si>
  <si>
    <t xml:space="preserve">Omnyx LLC, located in
Pittsburgh, Pennsylvania,
develops digital pathology
solutions for the anatomic
pathologist in the hospital
and reference lab. Its
products and solutions
include scanners,
pathologist workstations,
histology workstations, and
Web services integration;
and IDP Foundation. It was
founded in 2008.</t>
  </si>
  <si>
    <t xml:space="preserve">GE Healthcare (GE) and University of Pittsburgh Medical Center (UPMC)
formed a joint venture named Omnyx LLC (JV) develop digital pathology
solutions for the anatomic pathologist in the hospital and reference lab.
Its products and solutions include scanners, pathologist workstations,
histology workstations, and Web services integration; and IDP Foundation.</t>
  </si>
  <si>
    <t xml:space="preserve">2A9958</t>
  </si>
  <si>
    <t xml:space="preserve">36069Q
91480A</t>
  </si>
  <si>
    <t xml:space="preserve">Kemin Industries Inc
Tyson Foods Inc</t>
  </si>
  <si>
    <t xml:space="preserve">Mnfr,whl health ingredients
Produces, wholesales poultry and meat products</t>
  </si>
  <si>
    <t xml:space="preserve">Kemin Industries Inc,
located in Des Moines, Iowa,
manufactures and wholesales
health and nutritional
ingredients for the food,
agrifood, nutraceuticals and
pharmaceuticals markets. Its
food ingredient division
develops shelf life
solutions that delays
oxidative degradation and
microbial degradation. Its
agrifoods and petfood
divisions produce safe
animal feeds, mold
inhibitors and
flavor-enhancers. Its
nutraceutical division
develops the FloraGLO brand
Lutein and Slendesta brand
potato protein extract. The
Company was founded in 1961.
Tyson Foods Inc,
headquartered in Springdale,
Arkansas, produces and
wholesales poultry and meat
products. It also produces
protein-based and prepared
food products recognized in
the retail and food services
markets. Its clients are
located throughout the US
and approximately 130
countries. It has 400
facilities worldwide. The
Company was founded in 1935.</t>
  </si>
  <si>
    <t xml:space="preserve">2899
2015</t>
  </si>
  <si>
    <t xml:space="preserve">IA
AR</t>
  </si>
  <si>
    <t xml:space="preserve">KEMIN INDUSTRIES INC/TYSON FOODS INC-STRATEGIC ALLIANCE</t>
  </si>
  <si>
    <t xml:space="preserve">United States
Canada
Mexico</t>
  </si>
  <si>
    <t xml:space="preserve">Iowa
Foreign
Foreign</t>
  </si>
  <si>
    <t xml:space="preserve">Kemin Industries Inc (KI) and Tyson Foods Inc (TF) formed a strategic
alliance to manufacture, develop, wholesale and market liquid and dry
flavor enhancers known as palatants to the North American pet food market.
The alliance combined KI's and TF's expertise, experience and technology to
provide cost competitive, high quality pet food palatants. KI and TF were
expected to be involved in the research and development of palatants. TF
will manufacture the products from raw materials supplied by the company's
chicken, beef and pork plants while KI's Palasurance technisales team will
market the products under the Palasurance (TM) and Topnotes (R) brands to
major pet food companies. The alliance will cover the United States, Canada
and Mexico with an option to collaborate in other areas of the world in the
future.
</t>
  </si>
  <si>
    <t xml:space="preserve">Manufacturing Services
Research &amp; Development Services
Retail &amp; Wholesale Services
Marketing Services</t>
  </si>
  <si>
    <t xml:space="preserve">48851Z
902494</t>
  </si>
  <si>
    <t xml:space="preserve">Sepracor Inc
Bial SA</t>
  </si>
  <si>
    <t xml:space="preserve">Sepracor Inc, located in
Marlborough, Massachusetts,
manufactures and wholesales
pharmaceuticals,
specializing in CNS and
respiratory disorders. Its
major products include
XOPENEX(R) (levalbuterol
HCl) Inhalation Solution,
for the treatment of
bronchospasm. XOPENEX HFAO
(levalbuterol tartrate)
Inhalation Aerosol, a
hydrofluoroalkane,
metered-dose inhaler for the
treatment of bronchospasm.
LUNESTAO (eszopiclone), for
the treatment of insomnia.
Its products are marketed to
primary care physicians,
allergists, pulmonologists,
pediatricians, hospitals,
psychiatrists and sleep
specialists. The company was
founded in 1984.
Bial SA, located in Protugal,
is a biotechnology company
which develops therapeutic
solutions focused on the
central nervous and
cardiovascular systems. The
Company was founded in 1924.</t>
  </si>
  <si>
    <t xml:space="preserve">SEPRACOR INC/BIAL-STRATEGIC ALLIANCE</t>
  </si>
  <si>
    <t xml:space="preserve">Sepracor Inc and Bial SA formed a strategic alliance to provide research
and development services of anti-epileptic compound BIA 2-093 for the
treatment of insomnia, as well as earlier-stage candidates for various
central nervous system disorders in the United States and Canada. The
alliance was a strategic investment opportunity both for the partners to
leverage their medical development services and to further expand their
market and product coverage worldwide.</t>
  </si>
  <si>
    <t xml:space="preserve">817315
08868C</t>
  </si>
  <si>
    <t xml:space="preserve">BioMarin Pharmaceutical Inc
Genzyme Corp</t>
  </si>
  <si>
    <t xml:space="preserve">BioMarin Pharmaceutical Inc,
located in San Rafael,
California, manufactures
biopharmaceutical products. It
also develops and
commercializes products for
serious diseases and medical
conditions. Its product
portfolio include of Kuvan
(sapropterin dihydrochloride),
Naglazyme (galsulface) and
Aldurazyme (laronidase). The
company was founded in 1997.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</si>
  <si>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BIOMARIN PHARMACEUTICAL INC/GENZYME CORP-JOINT VENTURE</t>
  </si>
  <si>
    <t xml:space="preserve">BioMarin Pharmaceutical Inc and Genzyme Corp planned to form a joint
venture (JV) to provide research and development services of Aldurazyme for
the treatment of MPS I, a rare, progressive, heterogeneous, debilitating
disease caused by a deficiency of the enzyme alpha L-iduronidase in the
United States. The partners were to each hold a 50% interest in JV.</t>
  </si>
  <si>
    <t xml:space="preserve">09061G
372917</t>
  </si>
  <si>
    <t xml:space="preserve">Sanofi Pasteur SA
Crucell NV</t>
  </si>
  <si>
    <t xml:space="preserve">Mnfr,dvlp vaccines
Biopharmaceutical company</t>
  </si>
  <si>
    <t xml:space="preserve">Sanofi Pasteur SA, located in
Lyon Cedex, France,
manufactures and develops
human vaccines. Its range of
vaccines include TheraCys,
Adacel, Daptacel, TriHIBit,
Tripedia, ActHIB and Fluzone.
Crucell NV, located in Leiden,
the Netherlands, is a
biopharmaceutical company. It
focuses on research and
development, production and
sale of vaccines, proteins and
antibodies that prevent and
treat infectious diseases. The
company's core portfolio
includes vaccines against
hepatitis B and a
virosome-adjuvanted vaccine
against influenza. The company
has offices in China,
Indonesia, Italy, Korea,
Malaysia, Spain, Sweden,
Switzerland, the UK the USA
and Vietnam. The company was
founded in October 2000.</t>
  </si>
  <si>
    <t xml:space="preserve">France
Netherlands</t>
  </si>
  <si>
    <t xml:space="preserve">Sanofi-Aventis SA
Crucell NV</t>
  </si>
  <si>
    <t xml:space="preserve">SANOFI PASTEUR SA/CRUCELL NV-STRATEGIC ALLIANCE</t>
  </si>
  <si>
    <t xml:space="preserve">Sanofi Pasteur SA, a unit of Sanofi-Aventis SA, and Crucell NV formed a
strategic alliance to provide research and development services of rabies
monoclonal antibodies vaccine globally. The alliance was a strategic
investment opportunity both for the partners to leverage their medical
research services and to further expand their market and product coverage
worldwide.</t>
  </si>
  <si>
    <t xml:space="preserve">80096R
228769</t>
  </si>
  <si>
    <t xml:space="preserve">Senomyx Inc
Firmenich SA</t>
  </si>
  <si>
    <t xml:space="preserve">Pvd flavor enhancers dvlp svcs
Toilet Preparation Manufacturing</t>
  </si>
  <si>
    <t xml:space="preserve">Senomyx Inc, located in San
Diego, California, provides
flavor enhancers and taste
modulators research and
development services for the
food and beverage industry.
The Company was founded in
1998.
Firmenich SA produces and
wholesales flavoring
extracts and perfumes. It
offers its extracts to food,
beauty, household and fabric
care products, as well as
pharmaceuticals industries.
Its brands include Hedione,
Furaneol, Habanolide,
Muscenone, Helvetolide,
Cetalox, Damascenone,
Norlimbanol, Fructalate,
Sclareolate, Romandolide,
Koumalactone, Delphol HC and
Splendione. The Company has
offices globally. The
Company was founded in 1895
and is located in Meyrin,
Switzerland.</t>
  </si>
  <si>
    <t xml:space="preserve">8731
2844</t>
  </si>
  <si>
    <t xml:space="preserve">Senomyx Inc
Firmenich International SA</t>
  </si>
  <si>
    <t xml:space="preserve">SENOMYX INC/FIRMENICH CO-STRATEGIC ALLIANCE</t>
  </si>
  <si>
    <t xml:space="preserve">Senomyx Inc and Firmenich Co formed a strategic alliance to provide
research, development and commercialization of flavor ingredients services
for cooling taste effect. The companies were expected to use their
proprietary screening technologies to discover and develop new compounds.
extend the companies' collaborative agreement related to Senomyx's
sweet-taste technology for an additional two years, through August 2016.</t>
  </si>
  <si>
    <t xml:space="preserve">81724Q
31833L</t>
  </si>
  <si>
    <t xml:space="preserve">Ways Technical Corp Ltd
Transworld Holdings Ltd</t>
  </si>
  <si>
    <t xml:space="preserve">Mnfr, plastic supplies
Investment holding company</t>
  </si>
  <si>
    <t xml:space="preserve">Ways Technical Corp Ltd is a
manufacturer of plastics
products. The Company was
founded in September 2001
and is located in Taoyuan,
Taiwan.
Transworld Holdings Ltd,
located in Taiwan, is an
investment holding company.</t>
  </si>
  <si>
    <t xml:space="preserve">3089
6799</t>
  </si>
  <si>
    <t xml:space="preserve">Taiwan
Taiwan</t>
  </si>
  <si>
    <t xml:space="preserve">Ways Technical Corp Ltd
Hon Hai Precision Ind Co Ltd</t>
  </si>
  <si>
    <t xml:space="preserve">3089
3679</t>
  </si>
  <si>
    <t xml:space="preserve">WAYS TECHNICAL CORP LTD /TRANSWORLD HOLDINGS LTD - STRATEGIC ALLIANCE</t>
  </si>
  <si>
    <t xml:space="preserve">Ways Technical Corp Ltd and Transworld Holdings Ltd, a unit of the Foxconn
International Holdings Ltd, subsidiary of Foxconn (Far East) Ltd's Hon Hai
Precision Industry Co Ltd unit, planned to form a strategic alliance to
provide technology manufacturing process services related to case surface
decorating in Taiwan.
</t>
  </si>
  <si>
    <t xml:space="preserve">94663J
89448H</t>
  </si>
  <si>
    <t xml:space="preserve">Panasonic Corp of N America
SiBEAM Inc</t>
  </si>
  <si>
    <t xml:space="preserve">Mnfr,whl consumer electn prod
Manufacture semiconductors</t>
  </si>
  <si>
    <t xml:space="preserve">Panasonic Corp of North
America, located in Newark,
New Jersey, manufactures and
wholesales consumer
electronic products such as
home appliances, plasma TV,
camcorders, DVDs &amp; VCRs,
men's shavers, business
products like copiers, fax
machines, printers, and
industrial electronics
products, including computer
components, semiconductors,
appliance motors under the
Panasonic, Technics, and
Quasar trademarks.
SiBEAM Inc, located in
California, manufactures
semiconductor systems
solutions for wireless
communications platforms. The
Company develops wireless
technologies and leveraging
manufacturing methods to meet
demand for high-bandwidth
services. It was founded in
2004.</t>
  </si>
  <si>
    <t xml:space="preserve">Matsushita Electric Industrial
SiBEAM Inc</t>
  </si>
  <si>
    <t xml:space="preserve">PANASONIC CORP/SIBEAM INC-STRATEGIC ALLIANCE</t>
  </si>
  <si>
    <t xml:space="preserve">Panasonic Corp of North America, a unit of Matsushita Electric Industrial
Co, and SiBEAM Inc formed a strategic alliance to provide research and
development services of wireless High Definition (HD) Audio/Video
transmission system, which allows HD video transmission in uncompressed
format between a television and AV equipment without quality deterioration
in the United States.</t>
  </si>
  <si>
    <t xml:space="preserve">69845P
82399H</t>
  </si>
  <si>
    <t xml:space="preserve">LG Electronics USA Inc
Mark Levinson</t>
  </si>
  <si>
    <t xml:space="preserve">Whl electrical applicances
Individual</t>
  </si>
  <si>
    <t xml:space="preserve">LG Electronics USA Inc,
located in Englewood Cliffs,
New Jersey, wholesales
electrical appliances and
consumer electronics, home
appliances and mobile
communications. The company
was founded in 1958.
Individual</t>
  </si>
  <si>
    <t xml:space="preserve">5064
6799</t>
  </si>
  <si>
    <t xml:space="preserve">NJ
NV</t>
  </si>
  <si>
    <t xml:space="preserve">LG Corp
Mark Levinson</t>
  </si>
  <si>
    <t xml:space="preserve">3679
6799</t>
  </si>
  <si>
    <t xml:space="preserve">LG ELECTRONICS USA INC/MARK LEVINSON-STRATEGIC ALLIANCE</t>
  </si>
  <si>
    <t xml:space="preserve">LG Electronics USA Inc, a unit of LG Corp, and Mark Levinson formed a
strategic alliance to provide research and development services of home
entertainment systems with multi-driver floor standing loudspeakers, center
channel speaker,  surrounds, and subwoofer in the United States.</t>
  </si>
  <si>
    <t xml:space="preserve">50193R
57081W</t>
  </si>
  <si>
    <t xml:space="preserve">Taisho Pharmaceutical Co Ltd
Pfizer Inc</t>
  </si>
  <si>
    <t xml:space="preserve">Taisho Pharmaceutical Co Ltd,
located in Tokyo, Japan,
manufactures pharmaceutical
products.The Company operates
in two business segment. The
Self Medication segment is
engaged in the research,
development, manufacture and
sale of general medication
pharmaceuticals, quasi drugs
and food products. This
segment is also involved in
the provision of insurance
services, logistics services,
printing services, as well as
real estate leasing,
management and operation
services. The Medication
segment is engaged in the
sale of prescribed
pharmaceuticals. The company
was founded in 1912.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</si>
  <si>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TAISHO PHARMACEUTICAL CO LTD/PFIZER-STRATEGIC ALLIANCE</t>
  </si>
  <si>
    <t xml:space="preserve">Taisho Pharmaceutical Co Ltd (TP) and Pfizer Inc (PI) formed a strategic
alliance wherein TP licensed PI to  research, develop and market its
TS-032, a new schizophrenia drug candidate, worldwide excluding Japan.
Under terms of the agreement, TP received an initial payment of $22 mil US
and was entitled to receive milestone payments.</t>
  </si>
  <si>
    <t xml:space="preserve">Taisho Pharmaceutical Co Ltd received an initial payment of $22 mil US and
was entitled to receive milestone payments.</t>
  </si>
  <si>
    <t xml:space="preserve">87402Z
717081</t>
  </si>
  <si>
    <t xml:space="preserve">Tacere Therapeutics Inc
Pfizer Inc</t>
  </si>
  <si>
    <t xml:space="preserve">Tacere Therapeutics Inc,
headquartered in San Jose,
California, US, is a
biotechnology company
specializing in the
development of novel RNA
interference therapeutics and
gene medicine for the
treatment of serious
infectious diseases such as
Hepatitis C.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</si>
  <si>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TACERE THERAPEUTICS INC/PFIZER INC-STRATEGIC ALLIANCE</t>
  </si>
  <si>
    <t xml:space="preserve">Pfizer Inc and Tacere Therapeutics Inc formed a strategic alliance to
provide research and development services of Hepatitis C virus (HCV)
compound, known as TT-033 in the United States. TT-033 was a novel
therapeutic product containing three separate RNAi elements targeted
against the Hepatitis C virus and entrapped in an AAV protein coat.</t>
  </si>
  <si>
    <t xml:space="preserve">87728Q
717081</t>
  </si>
  <si>
    <t xml:space="preserve">Oxford Catalysts Group PLC
Novus Energy LLC</t>
  </si>
  <si>
    <t xml:space="preserve">Mnfr catalysts
Mnfr biofuel</t>
  </si>
  <si>
    <t xml:space="preserve">Oxford Catalysts Group PLC,
located in Oxford, United
Kingdom, is engaged in the
design and development of
catalysts, and the
exploitation of its platform
catalyst technologies. It
designs and develops
specialty catalysts for the
generation of clean fuels
from both conventional
fossil fuels and certain
renewable sources. The
Company has two principal
platform technologies. The
first platform is for a
class of catalysts
incorporating metal
carbides. The second
platform relates to a series
of chemical reactions, which
can be used to generate
either steam or hydrogen
gas, instantaneously,
starting from room
temperature, using a liquid
fuel alongside the its
catalysts.
Novus Energy LLC, located in
Minneapolis, Minnesota,
manufactures economical,
sulfur-free, fuel-grade
alcohols from organic waste.
It uses Renewable
Gas-to-Liquid (RGL) technology
offering production cost
advantages over virtually
every other liquid fuel
methodology, including
crop-based ethanol, biodiesel,
and petroleum-based gasoline
and diesel.</t>
  </si>
  <si>
    <t xml:space="preserve">2819
2999</t>
  </si>
  <si>
    <t xml:space="preserve">OXFORD CATALYSTS GROUP/NOVUS ENERGY LLC-STRATEGIC ALLIANCE</t>
  </si>
  <si>
    <t xml:space="preserve">Oxford Catalysts Group PLC and Novus Energy LLC formed a strategic alliance
to provide technology development services for the production of
second-generation fuel-grade alcohols from organic wastes. The companies
were expected to pool their expertise and technologies to design and deploy
on-site units for the processing of organic wastes into fuel-grade
alcohols.
</t>
  </si>
  <si>
    <t xml:space="preserve">69141Q
66925E</t>
  </si>
  <si>
    <t xml:space="preserve">Nextgen Bioscience Inc
Paragon Bioservices Inc</t>
  </si>
  <si>
    <t xml:space="preserve">Mnfr digital device
Manufactures pharmaceutical preparation</t>
  </si>
  <si>
    <t xml:space="preserve">Manufacture digital
presentation devices
Paragon Bioservices Inc,
located in Baltimore,
Maryland, manufactures
pharmaceutical preparation.
It provides cell
culture-based contract
production and research
services specializing in
recombinant protein
expression, protein
purification, adenovirus
production and purification,
recombinant vaccines,
process development,
histology and
immunohistochemistry.</t>
  </si>
  <si>
    <t xml:space="preserve">3577
2834</t>
  </si>
  <si>
    <t xml:space="preserve">NEXTGEN BIOSCIENCE INC/PARAGON BIOSERVICES INC-STRATEGIC ALLIANCE</t>
  </si>
  <si>
    <t xml:space="preserve">Nextgen Bioscience Inc and Paragon Bioservices Inc formed a strategic
alliance to provide molecular biology, protein production, proteomics,
functional assay development and biomarker discovery and monitoring
services.</t>
  </si>
  <si>
    <t xml:space="preserve">65294P
69961K</t>
  </si>
  <si>
    <t xml:space="preserve">ALS Therapy Development
Aptagen LLC</t>
  </si>
  <si>
    <t xml:space="preserve">ALS Therapy Development
Institute, located in
Cambridge, Massachusetts, ia s
biotechnology company focused
identifying novel disease
targets, discovering compounds
that may act against these
targets, and screening these
potential treatments toward
bringing viable therapeutics
to the clinic.
Aptagen LLC, located in
Pennsylvania, is a
biotechnology company focsing
in the development and
creation of libraries of novel
molecules called aptabodies
that can be used either as a
research tool or potentially
as a novel therapeutic
delivery system for treating
disease.</t>
  </si>
  <si>
    <t xml:space="preserve">ALS THERAPY DEVELOPMENT INSTITUTE/APTAGEN LLC-STRATEGIC ALLIANCE</t>
  </si>
  <si>
    <t xml:space="preserve">ALS Therapy Development Institute and Aptagen LLC formed a strategic
alliance to develop aptabodies, a synthetic molecular bullets for a
therapeutic payload to diseased cells in the United States. The alliance
was expected to offer a drug delivery solution that may reduce some of the
inefficient trial and error of developing small molecules, which cross the
blood brain barrier to reach the respective targets in the central nervous
system.</t>
  </si>
  <si>
    <t xml:space="preserve">01250K
03863R</t>
  </si>
  <si>
    <t xml:space="preserve">Microsoft Corp
Broadcom Corp</t>
  </si>
  <si>
    <t xml:space="preserve">Develops and wholesales computer software products
Manufacture semiconductors</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</si>
  <si>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Broadcom Corp, located in
Irvine, California,
manufactures semiconductors,
including silicon chips, cable
modem chips, digital cable
tuner chips, CMTS chips, cable
set-top box chips, HDTV/SDTV
video, graphics &amp; receiver
chips, H.264 and MPEG-4
decoders, and MPEG-2 digital
audio/video encoders for the
high-speed data
communications, fast-Internet,
cable TV, cable, modems and
digital broadcast satellite
and XDSL equipment, which
provides solutions to digital
cable, satellite and Internet
Protocol (IP) set-top boxes;
high definition television
(HDTV), cable and DSL modems
and residential gateways;
switching for local, wide area
and storage networking,
wireless networking, cellular
and terrestrial wireless
communications, Voice over
Internet Protocol (VoIP)
gateway and telephony systems,
broadband network and security
processors. The company was
founded in 1991.</t>
  </si>
  <si>
    <t xml:space="preserve">MICROSOFT CORP/BROADCOM CORP-STRATEGIC ALLIANCE</t>
  </si>
  <si>
    <t xml:space="preserve">Microsoft Corp (MC) and Broadcom Corp (BC) formed a strategic alliance to
manufacture and develop Internet protocol television products in the United
States. The alliance enabled MC's Mediaroom IPTV software to operate on
set-top boxes utilizing BC's BCM7405 system on a chip.</t>
  </si>
  <si>
    <t xml:space="preserve">594918
111320</t>
  </si>
  <si>
    <t xml:space="preserve">Verenium Corp
Bunge Oils Inc</t>
  </si>
  <si>
    <t xml:space="preserve">Mnfr,whl cellulosic ethanol
Produce cooking oil</t>
  </si>
  <si>
    <t xml:space="preserve">Verenium Corp, located in San
Diego, California,
manufactures and wholesales of
cellulosic ethanol within the
biofuels, industrial, and
animal health markets. Its
offerings falls into four
categories, namely, animal
health &amp; nutrition, grain
processing, oilfield services,
and other industrial
processes. The company was
founded in 2004.
Produce cooking oil</t>
  </si>
  <si>
    <t xml:space="preserve">2869
2076</t>
  </si>
  <si>
    <t xml:space="preserve">Verenium Corp
Bunge Ltd</t>
  </si>
  <si>
    <t xml:space="preserve">2869
2075</t>
  </si>
  <si>
    <t xml:space="preserve">VERENIUM CORP(WAS 255064)/BUNGE OILS INC-STRATEGIC ALLIANCE</t>
  </si>
  <si>
    <t xml:space="preserve">Verenium Corp and Bunge Oils Inc, a unit of Bunge North America Inc formed
a strategic alliance to develop enzyme processes for the enhanced
production of edible oils in the United States. The alliance was expected
to used a Purifine process that provides a novel method for removing oil
phospholipids during the oilseed degumming process.</t>
  </si>
  <si>
    <t xml:space="preserve">92340P
12352R</t>
  </si>
  <si>
    <t xml:space="preserve">Legend Silicon Corp
Sharp Corp</t>
  </si>
  <si>
    <t xml:space="preserve">Mnfr semiconductors
Mnfr,whl consumer electn prod</t>
  </si>
  <si>
    <t xml:space="preserve">Legend Silicon Corp, located
in Fremont, California,
manufactures semiconductors
for digital broadcasting and
broadband transmission, which
enables broadband transmission
and reception with bandwidth
utilization and resilient
signal reception.
Sharp Corp, headquartered in
Osaka, Japan, is engaged in
manufacture and wholesale of
consumer electronic
products. Other activities
include development, design
and wholesaling of consumer
electric and electronic
products. The operations are
carried out through the
following divisions:
Electronics and Electric
components. The electronics
division includes audio and
video (AV)/communication
products, including liquid
crystal color televisions,
projectors, digital
versatile disc (DVD) players
and recorders, compact disc
(CD) players and various
telephones; electric
appliances, personal
computers (PCs), digital
dictionaries, calculators,
liquid crystal color
monitors, information
displays and copy machines.
Electric components division
includes CCD/CMOS imagers,
LSIs for LCDs,
microcomputers, flash
memories, TFT LCD modules,
System LCD modules, solar
cells, components for
satellite broadcasting,
laser diodes, optical
pickups, optical sensors and
optical communication
components. The company was
founded in 1912.</t>
  </si>
  <si>
    <t xml:space="preserve">LEGEND SILICON CORP/SHARP CORP-STRATEGIC ALLIANCE</t>
  </si>
  <si>
    <t xml:space="preserve">Sharp Corp and Legend Silicon Corp formed a strategic alliance to develop
integrated single chip, which enables mobile devices such as portable media
players (PMPs), handheld TVs and mobile phones receive the GB20600-2006
terrestrial digital television broadcast globally. The alliance was
expected to manufacture LGS-8GS6 that was specifically designed to meet the
low-power and space-constrained requirements of mobile devices.</t>
  </si>
  <si>
    <t xml:space="preserve">52483Y
819882</t>
  </si>
  <si>
    <t xml:space="preserve">Genzyme Corp
Isis Pharmaceuticals Inc</t>
  </si>
  <si>
    <t xml:space="preserve">Biotechnology company
Biopharm co</t>
  </si>
  <si>
    <t xml:space="preserve">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
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</si>
  <si>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GENZYME CORP/ISIS PHARMACEUTICALS INC-STRATEGIC ALLIANCE</t>
  </si>
  <si>
    <t xml:space="preserve">Genzyme Corp (GC) and Isis Pharmaceuticals Inc (IP) formed a strategic
alliance wherein IP licensed GC to develop and commercialize mipomersen, a
lipid-lowering drug treatment for high risk cardiovascular patients, in the
United States. GC was expected to pay IP a $175 mil upfront license fee.</t>
  </si>
  <si>
    <t xml:space="preserve">Genzyme Corp was expected to pay Isis Pharmaceuticals Inc a $175 mil
upfront license fee.</t>
  </si>
  <si>
    <t xml:space="preserve">372917
464330</t>
  </si>
  <si>
    <t xml:space="preserve">IntelGenx Technologies Corp
Azur Pharma Ltd</t>
  </si>
  <si>
    <t xml:space="preserve">IntelGenx Technologies Corp,
located in Ville St-Laurent,
Quebec is a biotechnology
company focused on improving
existing medications by
incorporating its proprietary,
advanced controlled-release
technologies. The company was
founded in 1999.
Azur Pharma Ltd, headquartered
in Palo Alto, California,
manufactures prescription
pharmaceuticals. The company
is focused on therapeutic
areas of CNS and Women's
Health and is also intended
for final consumption,
including biotech products and
antibiotics. The company was
founded in 2005.</t>
  </si>
  <si>
    <t xml:space="preserve">INTELGENX TECHNOLOGIES CORP/AZUR PHARMA LTD-STRATEGIC ALLIANCE</t>
  </si>
  <si>
    <t xml:space="preserve">IntelGenx Technologies Corp (IT) and Azur Pharma Ltd (AP) formed a
strategic alliance wherein IT licensed AP to develop and commercialize
prescription prenatal vitamin products using its proprietary patented oral
drug delivery technology in the United States. IT was expected to complete
the development of the products while AP was expected to be responsible for
commercialization and marketing activities.</t>
  </si>
  <si>
    <t xml:space="preserve">45822R
05205C</t>
  </si>
  <si>
    <t xml:space="preserve">Datang Telecom Tech Co Ltd
Telefonaktiebolaget LM</t>
  </si>
  <si>
    <t xml:space="preserve">Radio and Television Broadcasting and Wireless Communications Equipment Manufacturing
Provides telecommun services</t>
  </si>
  <si>
    <t xml:space="preserve">Datang Telecom Technology Co
Ltd is a manufacturer and
wholesaler of wireless
communications equipment.
Its products under the brand
name Datang include
high-capacity digital
switching series, light
communication series, mobile
communication series, data
communication series,
digital microwave
communication, software and
system integration series,
micro-electricity and
dedicated integrated circuit
series. The Company was
founded in September 1998
and is located in Beijing,
China.
Telefonaktiebolaget LM
Ericsson, located in
Stockholm, Sweden, provides
telecommunications services to
operators. It also
manufactures and wholesales
related telecommunications,
avionics and missile
electronics, defense
communications, mobile data
communications, signaling and
safety equipment and systems
that are offered to rail
traffic, street and highway,
power cables, copper and
aluminum wires industries. It
has operations in Europe,
Middle East, Africa, Asia
Pacific, North America and
Latin America. The Company was
founded in 1876.</t>
  </si>
  <si>
    <t xml:space="preserve">3663
4812</t>
  </si>
  <si>
    <t xml:space="preserve">China
Sweden</t>
  </si>
  <si>
    <t xml:space="preserve">DATANG TELECOM &amp; TECH CO LTD/TELEFONAKTIEBOLAGET LM ERICSSON-JOINT VENTURE</t>
  </si>
  <si>
    <t xml:space="preserve">Datang Telecom Technology Co Ltd and Telefonaktiebolaget LM Ericsson
planned to form a joint venture named Datang-Ericsson LTE Joint Research
Center for LTE/TDD technology to provide fourth generation (4G) mobile
technology research and development services in China.</t>
  </si>
  <si>
    <t xml:space="preserve">Research &amp; Development Services
Telecommunications Services</t>
  </si>
  <si>
    <t xml:space="preserve">23819H
294821</t>
  </si>
  <si>
    <t xml:space="preserve">CryoLife Inc
Trophic Solutions LLC</t>
  </si>
  <si>
    <t xml:space="preserve">Mnfr,wholesale medical devices
Pvd research,dvlp svcs</t>
  </si>
  <si>
    <t xml:space="preserve">CryoLife Inc, located in
Georgia, manufactures and
wholesales biomaterials,
implantable medical devices,
and preserve and distribute
human tissues for
cardiovascular and vascular
transplant applications. The
company operates in two
segments: Implantable Medical
Devices and Human Tissue
Preservation Services. The
Implantable medical devices
segment includes the sales of
BioGlue and bioprosthetic
devices, including stentless
porcine heart valves and
SynerGraft processed bovine
vascular grafts. The Human
Tissue Preservation Services
segment includes the
preservation of cardiac,
vascular, and orthopaedic
allograft tissues. The Group's
products are distributed in
Latin America, Europe, the
Middle East, Canada, South
America, Australia and Asia.
The company was founded in
1984.
Trophic Solutions LLC, located
in Madison, Wisconsin,
provides research and
development services
specializing in discovering
creative solutions for use in
organ preservation and
transfer.</t>
  </si>
  <si>
    <t xml:space="preserve">3841
8731</t>
  </si>
  <si>
    <t xml:space="preserve">GA
WI</t>
  </si>
  <si>
    <t xml:space="preserve">CRYOLIFE INC/TROHIC SOLUTIONS LLC-STRATEGIC ALLIANCE</t>
  </si>
  <si>
    <t xml:space="preserve">CryoLife Inc (CI) and Trophic Solutions LLC (TS) formed a strategic
alliance wherein CI licensed TS to develop cold storage and preservation
technology  of internal organs prior to transport in the United States. The
solution may reduce or eliminate the need for pumping kidneys, thus  reduce
the cost of maintaining and transporting kidneys for transplant.</t>
  </si>
  <si>
    <t xml:space="preserve">228903
89728J</t>
  </si>
  <si>
    <t xml:space="preserve">Shijiazhuang Pharm Grp Co Ltd
Unigene Laboratories Inc</t>
  </si>
  <si>
    <t xml:space="preserve">Mnfr,whl pharm
Mnfr,whl peptides</t>
  </si>
  <si>
    <t xml:space="preserve">Shijiazhuang Pharmaceutical
Group Co Ltd, headquartered in
China, manufactures and
wholesales pharmaceuticals. It
is also engaged in investment
holding activities. The
company was founded in 1997.
Unigene Laboratories Inc,
headquartered in Boonton, New
Jersey, manufactures and
wholesales peptides. The
Company was founded in 1980.</t>
  </si>
  <si>
    <t xml:space="preserve">2834
2833</t>
  </si>
  <si>
    <t xml:space="preserve">Legend Holdings Ltd
Unigene Laboratories Inc</t>
  </si>
  <si>
    <t xml:space="preserve">7372
2833</t>
  </si>
  <si>
    <t xml:space="preserve">UNIGENE LABORATORIES INC/SHI JIA ZHUANG PHARMACEUTICAL-SPG-UNIGENE
BIOTECHNOLOGY RESEARCH JOINT VENTURE</t>
  </si>
  <si>
    <t xml:space="preserve">Unigene Biotechnology Co Ltd
is a biotechnology company,
headquartered in China. The
company was founded in 2008.</t>
  </si>
  <si>
    <t xml:space="preserve">Unigene Laboratories Inc (UL) and Chinese state-owned Shijiazhuang
Pharmaceutical Group Co Ltd (SP) formed a joint venture named Unigene
Biotechnology Co Ltd (UB) to provide biopharmaceutical  research and
development services of injectable, nasal and oral formulations of salmon
calcitonin and parathyroid hormone and related products in China. SP held a
55% interest in SU while UL held a 45% stake. UB was capitalized at $15 mil
US (108.8 mil Chinese yuan).</t>
  </si>
  <si>
    <t xml:space="preserve">SPG-Unigene Biotechnology Research Institute was to be capitalized at $15
mil US (108.8 mil Chinese yuan).</t>
  </si>
  <si>
    <t xml:space="preserve">90173V</t>
  </si>
  <si>
    <t xml:space="preserve">82451P
904753</t>
  </si>
  <si>
    <t xml:space="preserve">Berliner Kindl Brauerei AG
Luminos LLC</t>
  </si>
  <si>
    <t xml:space="preserve">Produce,whl malt beverages
Pvd research,dvlp svcs</t>
  </si>
  <si>
    <t xml:space="preserve">Produce and wholesale malt and
related beverages
Luminos LLC, located in Ann
Arbor, Michigan, provides
research and development
services of novel assay kit
products for the detection of
important biological
molecules.</t>
  </si>
  <si>
    <t xml:space="preserve">2082
8731</t>
  </si>
  <si>
    <t xml:space="preserve">Dr August Oetker
Luminos LLC</t>
  </si>
  <si>
    <t xml:space="preserve">2045
8731</t>
  </si>
  <si>
    <t xml:space="preserve">BERRY &amp; ASSOCIATES INC/LUMINOS INC-STRATEGIC ALLIANCE</t>
  </si>
  <si>
    <t xml:space="preserve">Berry &amp; Associates Inc and Luminos LLC formed a strategic alliance to
provide research and development services of designer reagents, which
enables the use of luminescent detection methodologies in novel in-vitro
assays of biological and medical interest in the United States.</t>
  </si>
  <si>
    <t xml:space="preserve">08523A
55022Z</t>
  </si>
  <si>
    <t xml:space="preserve">LightPath Technologies Inc
CDGM Glass Co Ltd</t>
  </si>
  <si>
    <t xml:space="preserve">Mnfr,whl optical glass
Mnfr optical glass</t>
  </si>
  <si>
    <t xml:space="preserve">LightPath Technologies Inc,
located in Orlando, Florida,
designs, develops,
manufactures, wholesales and
distributes optical
components such as precision
molded aspheric optics,
high-performance fiber-optic
collimator, isolators,
GRADIUM glass lenses and
other optical materials used
to produce products that
manipulate light use by
defense, medical devices,
barcode scanners, optical
data storage, hybrid fiber
coax datacom, telecom,
machine vision and sensors,
among others. Its customer
base is very diverse with
applications that include
laser welding &amp; cutting,
military laser tag, data
communications, laser tools,
bar code scanning, particle
measurement, medical
endoscopes, telecom
multiplexers, and many other
optical application areas.
The Company has operations
in the United States, Europe
and Asia. The Company was
founded in 1985.
CDGM Glass Co Ltd, located in
Chengdu, China, manufactures
optical glasses and related
health optic products.</t>
  </si>
  <si>
    <t xml:space="preserve">3674
3851</t>
  </si>
  <si>
    <t xml:space="preserve">LightPath Technologies Inc
China S Inds Grp Corp</t>
  </si>
  <si>
    <t xml:space="preserve">3674
6799</t>
  </si>
  <si>
    <t xml:space="preserve">LIGHTPATH TECHNOLOGIES INC/CDGM GLASS CO LTD-JOINT VENTURE</t>
  </si>
  <si>
    <t xml:space="preserve">LightPath Technologies Inc and CDGM Glass Co Ltd, a unit of Chinese
state-owned China South Industries Group Corp planned to form a joint
venture named LightPath CDGM Chengdu Optical Co Ltd (LC) to design,
develop, mold, manufacture and distribute aspheric lenses with a diameter
of less than 20 mm for visible imaging applications such as cell phones,
digital cameras and video equipment in China. The partners were to each
hold a 50% interest in LC. The partners were to inject an initial cash
investment of $10 mil US (72.535 mil Chinese yuan) to LC's operations. LC's
formation was subject to governmental approvals and licensing  requirements
of Chengdu Municipal Administration Bureau for Industry and Commerce. LC
was to be fully operational by July 1, 2008.</t>
  </si>
  <si>
    <t xml:space="preserve">The partners were to inject an initial cash investment of $10 mil US
(72.535 mil Chinese yuan) to LC's operations.</t>
  </si>
  <si>
    <t xml:space="preserve">532257
13058L</t>
  </si>
  <si>
    <t xml:space="preserve">Nerviano Medical Sciences Srl
Genentech Inc</t>
  </si>
  <si>
    <t xml:space="preserve">Biological Product (Except Diagnostic) Manufacturing
Biotech co</t>
  </si>
  <si>
    <t xml:space="preserve">Nerviano Medical Sciences
Srl is a manufacturer of
biological products. It
provides carbon-dioxide
pharmaceutical research and
development services with
oncology-focused integrated
technology for the treatment
of cancer. The Company was
founded in May 2004 and is
located in Nerviano, Italy.
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</si>
  <si>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Fondazione Regionale Per La
Roche Holdings AG</t>
  </si>
  <si>
    <t xml:space="preserve">Italy
Switzerland</t>
  </si>
  <si>
    <t xml:space="preserve">NERVIANO MEDICAL SCIENCES SRL/GENENTECH INC-STRATEGIC ALLIANCE</t>
  </si>
  <si>
    <t xml:space="preserve">Nerviano Medical Sciences Srl (NM) and Genentech Inc (GI), a unit of Roche
Holding AG, formed a strategic alliance to provide molecule inhibitors
discovery services as potential anticancer agents.  NM will provide
high-throughput screening assays and reagents to screen the entire GI
compound library and will then develop the hit compounds selected by GI
into drug candidates.</t>
  </si>
  <si>
    <t xml:space="preserve">64013C
368710</t>
  </si>
  <si>
    <t xml:space="preserve">Upstream Biosciences Inc
MSU</t>
  </si>
  <si>
    <t xml:space="preserve">Biotechnology company
Own,op college,university</t>
  </si>
  <si>
    <t xml:space="preserve">Upstream Biosciences Inc,
located in Vancouver, Canada,
is a biotechnology company
that develops drugs and
diagnostic markers for cancer
and infectious disease. The
company was founded in 2004.
Lomonosov Moscow State
University, located in Mosco,
owns and operates college and
university with a student
population of over 40,000
undergraduate and 7,000
postgraduate students, and
with 29 faculties and 15
research centers. The company
was founded in 1755.</t>
  </si>
  <si>
    <t xml:space="preserve">United States
Russian Fed</t>
  </si>
  <si>
    <t xml:space="preserve">Six Capital Ltd
MSU</t>
  </si>
  <si>
    <t xml:space="preserve">6282
8221</t>
  </si>
  <si>
    <t xml:space="preserve">UPSTREAM BIOSCIENCES INC/LOMONOSOV MOSCOW STATE UNIVERSITY-STRATEGIC
ALLIANCE</t>
  </si>
  <si>
    <t xml:space="preserve">Upstream Biosciences Inc and Lomonosov Moscow State University formed a
strategic alliance to provide research and development services of chemical
synthesis of novel compounds for efficacy and toxicity against tropical
parasitic diseases, including malaria, leishmaniasis and trypanosomiasis,
or African sleeping sickness, as well as for cancer indications globally.
The agreement was expected to be completed in early 2008.</t>
  </si>
  <si>
    <t xml:space="preserve">91678P
54134F</t>
  </si>
  <si>
    <t xml:space="preserve">Archer Daniels Midland Co
Bayer CropScience Holding SA
Daimler Ag</t>
  </si>
  <si>
    <t xml:space="preserve">Produce,wholesale agricultural products
Investment holding company
Mnfr,whl passenger cars</t>
  </si>
  <si>
    <t xml:space="preserve">Archer Daniels Midland Co is
an oilseed processor. It
produces and wholesales
agricultural products
including oilseeds, corn,
wheat, Milo, oats, barley
peanuts, ethanol, flour,
flour additives, cocoa
products, bakery products,
lettuce and other
vegetables, beans,
spaghetti, noodles,
macaroni, and livestock feed
and health products. The
Company operations are
classified into three
business segments: oilseeds
processing, corn processing
and agricultural services.
It also owns and operates
fish farms and is a holding
company. The Company was
founded in 1902 and is
located in Chicago,
Illinois.
Investment holding company
Daimler AG, based in
Stuttgart, Germany,
manufactures and wholesales
passenger cars,
sport-utility vehicles,
minivans, pickups,
commercial vehicles and
light trucks and off-road
vehicles under various
brands through its five
divisions operations and
production facilities
located in the United
States, France, South
Africa, Brazil, India,
Malaysia, Canada, Mexico,
Thailand and Vietnam. It is
also a holding company. The
Company was founded in 1982.</t>
  </si>
  <si>
    <t xml:space="preserve">2074
6799
3711</t>
  </si>
  <si>
    <t xml:space="preserve">United States
France
Germany</t>
  </si>
  <si>
    <t xml:space="preserve">Archer Daniels Midland Co
Bayer AG
Daimler Ag</t>
  </si>
  <si>
    <t xml:space="preserve">2074
2899
3711</t>
  </si>
  <si>
    <t xml:space="preserve">ARCHER-DANIELS/BAYER CROP SCIENCE/DAIMLER AG-STRATEGIC ALLIANCE</t>
  </si>
  <si>
    <t xml:space="preserve">Archer Daniels Midland Co, Bayer CropScience Holding SA, a unit of Bayer
AG, and Daimler AG  planned to form a strategic alliance to manufacture,
research and develop biodiesel based on Jatropha. The companies were
seeking to develop production and quality standards for Jatropha-based
biofuel. Jatropha is a tropical plant from Euphorbia family whose nut
kernels has properties similar to those of biofuels obtained from oilseed
rapes.</t>
  </si>
  <si>
    <t xml:space="preserve">039483
07285N
233825</t>
  </si>
  <si>
    <t xml:space="preserve">Q-Med AB
Palomar Medical Tech Inc</t>
  </si>
  <si>
    <t xml:space="preserve">Mnfr,whl medical implants
Mnfr,whl laser med devices</t>
  </si>
  <si>
    <t xml:space="preserve">Q-Med AB, located in Uppsala,
Sweden, manufactures, develops
and wholesales medical
implants based on the
company's patented technology,
NASHA Non-Animal Stabilized
Hyaluronic Acid, which are
used for the filling out of
lips and facial wrinkles and
for facial contouring. The
company was founded in 1987.
Palomar Medical Technologies
Inc, located in Burlington,
Massachusetts, manufactures
and wholesales lasers,
delivery systems and related
disposable products for use in
medical procedures. The
company was founded in 1991.</t>
  </si>
  <si>
    <t xml:space="preserve">Q-MED AB/PALOMAR MEDICAL TECHNOLOGIES INC-STRATEGIC ALLIANCE</t>
  </si>
  <si>
    <t xml:space="preserve">Q-Med AB and Palomar Medical Technologies Inc formed a strategic alliance
to provide research and development services of cosmetic esthetic
treatments globally. The alliance was expected to distribute Restylane, a
light-based technology for reducing or reshaping body fat including
cellulite, reducing the appearance of skin aging, and reducing or
preventing acne. Terms were not disclosed.</t>
  </si>
  <si>
    <t xml:space="preserve">74789P
697529</t>
  </si>
  <si>
    <t xml:space="preserve">Oncology Metrics LLC
Cureline Inc</t>
  </si>
  <si>
    <t xml:space="preserve">Pvd med data bus solutions
Biotechnology company</t>
  </si>
  <si>
    <t xml:space="preserve">Oncology Metrics LLC, based in
Dallas and Forth Worth, Texas,
provides medical data business
solutions for cancer research
and oncology practice. The
company aims to help provide
an improved financial and
clinical performance to
oncology offices. It was
founded in 2001.
Cureline Inc, located in South
San Francisco, California, is
a biotechnology company
specializing in biosample
management and human tissue
research services.</t>
  </si>
  <si>
    <t xml:space="preserve">7375
2836</t>
  </si>
  <si>
    <t xml:space="preserve">TX
CA</t>
  </si>
  <si>
    <t xml:space="preserve">ONCOLOGY METRICS INC/CURELINE INC-STRATEGIC ALLIANCE</t>
  </si>
  <si>
    <t xml:space="preserve">Oncology Metrics Inc and Cureline Inc formed a strategic alliance to rovide
research and development services of human tissue, annotated serum, and
blood samples for oncology biospecimen procurement and management and to
facilitate the collection and preservation of pre-treatment and
post-treatment samples in the United States.</t>
  </si>
  <si>
    <t xml:space="preserve">68316V
23141M</t>
  </si>
  <si>
    <t xml:space="preserve">Celtic Pharmaceutical Holdings
Inspiration Biopharmaceuticals</t>
  </si>
  <si>
    <t xml:space="preserve">Private equity fund
Biopharmaceutical company</t>
  </si>
  <si>
    <t xml:space="preserve">Celtic Pharmaceutical Holdings
LP, is a private equity fund
company with portfolio of
interest in the pharmaceutical
industries, which seeks to
acquire direct ownership or
controlling stakes in novel,
differentiated and
commercially attractive
pharmaceutical products in the
late stages of clinical and
regulatory development.
Inspiration Biopharmaceuticals
Inc, located in Cambridge,
Massachusetts, is a
biopharmaceutical company
focused in the study of
hemophilia. It offers IB1001,
an intravenous recombinant
factor IX for the acute and
preventative treatment of
bleeding in individuals with
hemophilia B; and OBI-1, an
intravenous recombinant
porcine factor VIII (FVIII)
for the treatment of
individuals who have developed
inhibitors against human FVIII
and for individuals with
acquired hemophilia A. It was
founded in 2004.</t>
  </si>
  <si>
    <t xml:space="preserve">Bermuda
United States</t>
  </si>
  <si>
    <t xml:space="preserve">CELTIC PHARMA HOLDINGS LP/INSPIRATION BIOPHARMACEUTICALS INC - STRATEGIC
ALLIANCE</t>
  </si>
  <si>
    <t xml:space="preserve">Celtic Pharmaceutical Holdings LP and Inspiration Biopharmaceuticals Inc
formed a strategic alliance to provide research and development services of
Factor IX for the treatment of Hemophilia B, to further improved potency,
and longer the duration of action to reduce the frequency of injections in
prophylactic use globally.</t>
  </si>
  <si>
    <t xml:space="preserve">15167P
46764Q</t>
  </si>
  <si>
    <t xml:space="preserve">NutraCea Inc
HerbalScience Singapore</t>
  </si>
  <si>
    <t xml:space="preserve">Produce,whl rice bran products
Mnfr,dvlp herbal med</t>
  </si>
  <si>
    <t xml:space="preserve">NutraCea Inc, located in
Scottsdale, Arizona, produces
and wholesales rice bran and
other rice bran-based
ingredients and formulations.
The company was founded in
2000.
HerbalScience Singapore Pte
Ltd, manufacrures and develops
herbal medicines, and
nutraceuticals. The company
also provides medical research
extracts for the
pharmaceutical and medical
markets. The company has
operations in Naples, Florida.</t>
  </si>
  <si>
    <t xml:space="preserve">2099
2833</t>
  </si>
  <si>
    <t xml:space="preserve">NUTRACEA INC/HERBALSCIENCE SINGAPORE PTE LTD-RICE RX LLC JOINT VENTURE</t>
  </si>
  <si>
    <t xml:space="preserve">Rice Rx LLC, located in
Phoenix, Arizona, a joint
venture between NutraCea Inc
and HerbalScience Singapore
Pte Ltd, provides research and
development services of drugs
and medical therapeutics
products for certain disease
such as joint health, immune
response, diabetes,
cardiovascular disease
utilizing stabilized rice bran
technology. The company was
founded in 2008.</t>
  </si>
  <si>
    <t xml:space="preserve">NutraCea Inc (NC) and HerbalScience Singapore Pte Ltd (HS) formed a joint
venture named Rice Rx LLC (RR) to provide research and development services
of drugs and medical therapeutics products for certain disease such as
joint health, immune response, diabetes, cardiovascular disease utilizing
stabilized rice bran (SRB) technology in the United States. The partners
each held a 50% interest in RR. RR's formation was a strategic expansion
opportunity both for the partners to leverage their SRB technology and to
further strengthen their production capacity in the nutraceutical products
and functional food ingredient. Concurrently, NC and HS formed a JV named
Rice Science LLC.</t>
  </si>
  <si>
    <t xml:space="preserve">76296V</t>
  </si>
  <si>
    <t xml:space="preserve">67060N
42699A</t>
  </si>
  <si>
    <t xml:space="preserve">HERBALSCIENCE SINGAPORE PTE LTD/NUTRACEA INC-RICE SCIENCE LLC JOINT
VENTURE</t>
  </si>
  <si>
    <t xml:space="preserve">Rice Science LLC, located in
Phoenix, Arizona, a joint
venture between NutraCea Inc
and HerbalScience Singapore
Pte Ltd, provides research and
development services of health
supplements and certain
extracts using stabilized rice
bran technology targeted for
specific health conditions
such as Diabetes, Arthritis
and Immunity. The company was
founded in 2008.</t>
  </si>
  <si>
    <t xml:space="preserve">NutraCea Inc (NC) and HerbalScience Singapore Pte Ltd (HS) formed a joint
venture named Rice Science LLC (RS) to provide research and development
services of health supplements and certain extracts targeted for specific
health conditions such as Diabetes, Arthritis and Immunity in the United
States. NC held an 80% interest in RS, and the remaining 20% stake was held
by HS. RS' formation was a strategic expansion opportunity both for the
partners to leverage their stabilized rice bran (SRB) technology and to
further strengthen their production capacity in the nutraceutical products
and functional food ingredient. Concurrently, NC and HS formed a JV named
Rice Rx LLC.</t>
  </si>
  <si>
    <t xml:space="preserve">76319A</t>
  </si>
  <si>
    <t xml:space="preserve">Wah Yuen Health Products Co
Wah Yuen Foods(Hong Kong)Co
Conseco Seabuckthorn Co Ltd</t>
  </si>
  <si>
    <t xml:space="preserve">Produce snack food prod
Wholesale confectionery prod
Prod,whl sea buckthorn</t>
  </si>
  <si>
    <t xml:space="preserve">Wah Yuen Health Products Co
Ltd, located in China,
produces, distributes and
markets snack food products
and convenience frozen food
products.
Wah Yuen Foods (Hong Kong) Co
Ltd, located in Hong Kong,
wholesales confectionery
products.
Conseco Seabuckthorn Co Ltd,
produce and wholesale sea
buckthorn and related
products. The company was
founded in 1998</t>
  </si>
  <si>
    <t xml:space="preserve">2096
2064
2833</t>
  </si>
  <si>
    <t xml:space="preserve">Hong Kong
Hong Kong
China</t>
  </si>
  <si>
    <t xml:space="preserve">Wah Yuen Holdings Ltd
Wah Yuen Holdings Ltd
Wah Yuen Holdings Ltd</t>
  </si>
  <si>
    <t xml:space="preserve">Hong Kong
Hong Kong
Hong Kong</t>
  </si>
  <si>
    <t xml:space="preserve">2052
2052
2052</t>
  </si>
  <si>
    <t xml:space="preserve">CONSECO SEABUCKTHORN/WAH YUEN FOODS/WAH YUEN HEALTH PROD-SHENZHEN CONSECO
SEABUCKTHORN CO LTD JOINT VENTURE</t>
  </si>
  <si>
    <t xml:space="preserve">0721</t>
  </si>
  <si>
    <t xml:space="preserve">Wah Yuen Health Products Co Ltd (WH) and Wah Yuen Foods Co Ltd (WF) both a
unit of Wah Yuen Holdings Ltd and Conseco Seabuckthorn Co Ltd (CS), a unit
of China Environmental Water Holdings Ltd, planned to form a 30-year joint
venture named Shenzhen Conseco Seabuckthorn Co Ltd (SC) to provide
seabuckthorn seedlings cultivation services in China. SC was to also
manufacture, wholesale, research and develop seabuckthorn-related health
products. WH was to hold 60% interest, while WF and CS were to each hold
20% stake. SC was to have a total investment of $11 mil US (80 mil Chinese
yuan/ 84.2 mil Hong Kong dollars).</t>
  </si>
  <si>
    <t xml:space="preserve">Agricultural, Forestry, &amp; Fishing Svcs
Manufacturing Services
Retail &amp; Wholesale Services
Research &amp; Development Services</t>
  </si>
  <si>
    <t xml:space="preserve">60.00
20.00
20.00</t>
  </si>
  <si>
    <t xml:space="preserve">Shenzhen Conseco Seabuckthorn Co Ltd was to have a total investment of $11
mil US (80 mil Chinese yuan/ 84.2 mil Hong Kong dollars).</t>
  </si>
  <si>
    <t xml:space="preserve">20843F
04495Z
20844M</t>
  </si>
  <si>
    <t xml:space="preserve">St Lawrence Energy Corp
3Soft Inc</t>
  </si>
  <si>
    <t xml:space="preserve">Whl fuel,renewable energy prod
Pvd software consulting svcs</t>
  </si>
  <si>
    <t xml:space="preserve">St Lawrence Energy Corp,
located in Palo Alto,
California, wholesales fuel
and renewable energy products.
The company was founded in
1990.
3Soft Inc is a software
consulting services provider
headquartered in Seoul, South
Korea. The company operates
its business under two main
categories: solution and
ubiquitous businesses. The
solution business offers such
software as intelligent
content management technology,
including content classifier
solution, federated search
engines and search engines for
Internet and intranet under
the brand name Verity;
intelligent value-added
solution software, including
Web agent systems and
information automatic
classifying systems, and
content-based retrieval
software. Its ubiquitous
business provides telematics
service systems applied for
mobile phones, automobiles and
global positioning systems
under the brand name Ubikhan,
navigation systems for ground
wave and digital multimedia
broadcast (DMB) under the
brand name MaxTombow, and home
networking systems such as
news terminals for
earthquakes, predominantly
exported to Japan. It was
founded in 1993.</t>
  </si>
  <si>
    <t xml:space="preserve">5172
7373</t>
  </si>
  <si>
    <t xml:space="preserve">Nok-Bong Ship Building Co Ltd
3Soft Inc</t>
  </si>
  <si>
    <t xml:space="preserve">3731
7373</t>
  </si>
  <si>
    <t xml:space="preserve">ST LAWRENCE ENERGY CORP/3SOFT INC-STRATEGIC ALLIANCE</t>
  </si>
  <si>
    <t xml:space="preserve">St Lawrence Energy Corp (SL), a unit of Nok-Bong Ship Building Co Ltd, and
3Soft Inc (3S) formed a strategic alliance to manufacture and develop solar
energy technology products. 3S was expected to provide research and
development manufacturing capability for the use in developing
improved-efficiency, advanced-nano-technology solar energy products. SL was
expected to provide the research and prototype development for new products
to be introduced. 3F invested $10 mil US (9.4 bil Korean won).
</t>
  </si>
  <si>
    <t xml:space="preserve">3Soft Inc invested $10 mil US (9.4 bil Korean won).</t>
  </si>
  <si>
    <t xml:space="preserve">791120
88573K</t>
  </si>
  <si>
    <t xml:space="preserve">Rosetta Genomics Ltd
Henry Ford Health System</t>
  </si>
  <si>
    <t xml:space="preserve">Mnfr,whl medical tests,prods
Own,operate hospital</t>
  </si>
  <si>
    <t xml:space="preserve">Rosetta Genomics Ltd is a
biotechnology company focused
on diagnostic and therapeutic
product development and
medical research involving
micro-ribonucleic acid,
commonly known as microRNA
focusing primarily on cancer
and various women's health
indications. The Company was
founded in March 2000 and is
located in Rehovot, Israel.
Henry Ford Health System,
located in Michigan, owns
and operates 903-bed care
hospital, education and
research complex providing
acute, primary, tertiary,
quaternary and preventive
care services, which focuses
on novel investigations to
help control brain tumor
growth and spread, including
molecular targeted therapy;
gene therapy and
anti-angiogenesis therapy.
It manages Henry Ford
Hospital, Henry Ford
Wyandotte Hospital, Henry
Ford Macomb Hospital -
Clinton Township, Henry Ford
Macomb Hospital - Warren,
Henry Ford Kingswood
Hospital and Henry Ford West
Bloomfield Hospital. The
company was founded in 1915.</t>
  </si>
  <si>
    <t xml:space="preserve">ROSETTA GENOMICS LTD/HENRY FORD HEALTH SYSTEM-STRATEGIC ALLIANCE</t>
  </si>
  <si>
    <t xml:space="preserve">Rosetta Genomics Ltd (RG) and Henry Ford Health System formed a strategic
alliance to provide research and development services of microRNA-based
diagnostics and prognostics for brain cancer globally. Under terms of the
agreement, the alliance was expected to perform a comprehensive genome-wide
molecular analysis of human brain cancer tumors to recognize unique
microRNA biomarkers that have diagnostic and prognostic potentials in the
study, and thus would further leverage RG's development of therapeutic
treatments for brain tumors.</t>
  </si>
  <si>
    <t xml:space="preserve">M82183
42670A</t>
  </si>
  <si>
    <t xml:space="preserve">ecoWise Solutions Pte Ltd
Holcim(Singapore)Pte Ltd</t>
  </si>
  <si>
    <t xml:space="preserve">Pvd waste mgmt,disposal svcs
Mnfr cement</t>
  </si>
  <si>
    <t xml:space="preserve">ecoWise Solutions Pte Ltd is
engages in the collection of
industrial, horticultural
waste and processing,
recycling, and reconditioning
of salvageable materials. The
Company is located in
Singapore.
Holcim (Singapore) Pte Ltd is
a manufacturer of cement. The
Company is located in
Singapore.</t>
  </si>
  <si>
    <t xml:space="preserve">4953
3241</t>
  </si>
  <si>
    <t xml:space="preserve">ecoWise Holdings Ltd
Holcim Ltd</t>
  </si>
  <si>
    <t xml:space="preserve">ECOWISE SOLUTIONS PTE LTD/HOLCIM INVESTMENTS(SINGAPORE)-ECOWISE MATERIALS
PTE LTD JOINT VENTURE</t>
  </si>
  <si>
    <t xml:space="preserve">ecoWise Materials Pte Ltd,
located in Singapore, owns and
operate an industrial
materials recycling and
processing plant that recycles
and processes used copper
slag. The Company also has a
research and development
facility that develops
alternative sources of fuels
and raw materials that can be
used in the manufacture of
cement, building and
construction materials.
Founded in 2007.</t>
  </si>
  <si>
    <t xml:space="preserve">ecoWise Solutions Pte Ltd (EW), a unit of ecoWise Holdings Ltd, and Holcim
(Singapore) Pte Ltd (HS), a unit of Holcim Ltd, formed a joint venture
named Geocycle Singapore Pte Ltd (GS) to own and operate an industrial
materials recycling and processing plant that recycles and processes used
copper slag in Singapore. EW and HS each held a 50% interest in GS, which
was formed through HS' acquisition of a 50% interest in EW's ecoWise
Materials Pte Ltd unit. GS was also expected to set up a research and
development facility that develops alternative sources of fuels and raw
materials that can be used in the manufacture of cement, building and
construction materials.</t>
  </si>
  <si>
    <t xml:space="preserve">Recycling Services
Research &amp; Development Services</t>
  </si>
  <si>
    <t xml:space="preserve">27955X</t>
  </si>
  <si>
    <t xml:space="preserve">27906J
43410N</t>
  </si>
  <si>
    <t xml:space="preserve">Rolls-Royce PLC
Universal Chem Tech Inc</t>
  </si>
  <si>
    <t xml:space="preserve">Mnfr,whl turbines,power sys
Mnfr metal coatings</t>
  </si>
  <si>
    <t xml:space="preserve">Rolls-Royce PLC,
headquartered in London, the
UK, manufactures and
wholesales power systems for
civil aerospace, defense
aerospace, marine and energy
markets. The Company was
founded in 1904.
Manufacture metal coatings
such as ultracem, nanocem, and
diacem</t>
  </si>
  <si>
    <t xml:space="preserve">3511
3479</t>
  </si>
  <si>
    <t xml:space="preserve">Rolls-Royce Group plc
Universal Chem Tech Inc</t>
  </si>
  <si>
    <t xml:space="preserve">ROLLS-ROYCE GROUP PLC/UNIVERSAL CHEMICAL TECHNOLOGIES INC-STRATEGIC
ALLIANCE</t>
  </si>
  <si>
    <t xml:space="preserve">Rolls-Royce Group PLC and Universal ChemicalTechnologies Inc formed a
strategic alliance to provide research and development services of nickel
boron coating and painting chemicals globally. The agreement was a
strategic investment opportunity both for the partners to leverage their
chemical development services and to further expand their market and
product coverage worldwide.</t>
  </si>
  <si>
    <t xml:space="preserve">77573F
91333X</t>
  </si>
  <si>
    <t xml:space="preserve">Konica Minolta Bus Solutions
Oce NV</t>
  </si>
  <si>
    <t xml:space="preserve">Computer Facilities Management Services
Dvlp workflow software</t>
  </si>
  <si>
    <t xml:space="preserve">Konica Minolta Business
Solutions USA Inc, located
in Ramsey, New Jersey,
manufactures and wholesales
printers and provides
printing turnkey, advanced
imaging and networking
technology services. It also
offers advanced software
solutions, wide-format
printers, microform digital
imaging systems, and
scanning systems for
specialized applications.
The company also offers
enterprise content,
technology optimization and
cloud services.
Oce NV, located in Venlo,
Netherlands, is an investment
holding company and also
develops digital printing
systems, software, and
services for the production,
reproduction, distribution,
and management of documents
worldwide; its also involved
in office printing and copying
systems, high speed digital
production printers and wide
format printing systems for
both technical documentation
and colour display graphics.
The company was founded in
1877.</t>
  </si>
  <si>
    <t xml:space="preserve">Konica Minolta Holdings Inc
Oce NV</t>
  </si>
  <si>
    <t xml:space="preserve">3861
7372</t>
  </si>
  <si>
    <t xml:space="preserve">KONICA MINOLTA BUSINESS/OCE NV-STRATEGIC ALLIANCE</t>
  </si>
  <si>
    <t xml:space="preserve">Konica Minolta Holdings Inc (KM) and Oce NV (ON) formed a strategic
alliance to provide research, develop and market office and production
printing systems services. The companies were expected to jointly develop
light and mid-range production equipment while mutually supplying products
in an original equipment manufacturer basis. KM will supply its office
printing system from its entire product and light production printing
systems to ON while ON will provide its mid and heavy production printing
systems to KM.
</t>
  </si>
  <si>
    <t xml:space="preserve">50400W
67124Q</t>
  </si>
  <si>
    <t xml:space="preserve">Quidel Corp
bioMerieux SA</t>
  </si>
  <si>
    <t xml:space="preserve">Manufactures, wholesales med diagnostic prods
Mnfr diagnostic pharm prod</t>
  </si>
  <si>
    <t xml:space="preserve">Quidel Corp, located in San
Diego, California, is a
manufacturer and wholesaler of
medical diagnostic products
for infectious diseases and
reproductive health. It also
provides healthcare
professionals with diagnostic
information. Its products are
focused on family health that
includes pregnancy, infectious
diseases, general health
screening, oncology, cone
health and autoimmune
disorder. The Company was
founded in 1979.
bioMerieux SA, located in
Marcy L'Etoile, France,
manufactures in vitro
diagnostics for medical and
industrial applications. The
Group offers 'in vitro'
diagnosis which serves as
the basis for medical
diagnosis, patient treatment
and therapy monitoring. The
Group contributes to the
field of infectious diseases
such as hepatitis, HIV,
tuberculosis and respiratory
infection and pathologies
such as cancer and
cardiovascular diseases. The
Group performs clinical
diagnosis through three
technologies, bacteriology,
immunoassays and molecular
biology. It also develops
software used to interpret
the results of biological
tests. The Group operates in
Europe, North America,
Asia-Pacific and Latin
America. The Company was
founded in 1897.</t>
  </si>
  <si>
    <t xml:space="preserve">Quidel Corp
Sanofi-Aventis SA</t>
  </si>
  <si>
    <t xml:space="preserve">QUIDEL CORP/BIOMERIEUX SA - STRATEGIC ALLIANCE</t>
  </si>
  <si>
    <t xml:space="preserve">Quidel Corp (QC) and Biomeriuex SA (BS) formed a strategic alliance to
wholesale QC's QuickVue rapid diagnostic tests outside the United States.
QC and BS were to also co-develop new rapid tests using QC's rapid test
development capability and BS' library of antigens.</t>
  </si>
  <si>
    <t xml:space="preserve">74838J
09098Z</t>
  </si>
  <si>
    <t xml:space="preserve">BioSigma SA
Keio University</t>
  </si>
  <si>
    <t xml:space="preserve">Pvd biomining tech research svcs
Colleges, Universities, and Professional Schools</t>
  </si>
  <si>
    <t xml:space="preserve">BioSigma SA, located in Chile,
provides biomining technology
research and development
services to produce
electrolytic copper using the
bioleaching process on low
grade copper sulfide ore.
Keio University, located in
Tokyo, Japan, owns and
operates universities. The
company was founded in 1858.</t>
  </si>
  <si>
    <t xml:space="preserve">Chile
Japan</t>
  </si>
  <si>
    <t xml:space="preserve">Codelco
Keio University</t>
  </si>
  <si>
    <t xml:space="preserve">1021
8221</t>
  </si>
  <si>
    <t xml:space="preserve">BIOSIGMA/KEIO UNIVERSITY- STRATEGIC ALLIANCE</t>
  </si>
  <si>
    <t xml:space="preserve">BioSigma SA, a joint venture between Nippon Mining &amp; Metals Co Ltd, a unit
of Nippon Mining Holding Inc and state-owned Corporacion Nacional Del Cobre
de Chile, and Keio University formed a strategic alliance to provide
biomining technologies research services in Japan. The alliance was
expected to use microorganisms to recover metals, particularly copper and
gold from ores and concentrates.</t>
  </si>
  <si>
    <t xml:space="preserve">09036A
48753F</t>
  </si>
  <si>
    <t xml:space="preserve">Syngenta AG
AgroFresh Inc</t>
  </si>
  <si>
    <t xml:space="preserve">Mnfr,whl agricultural chemicals,products
Mnfr chemicals</t>
  </si>
  <si>
    <t xml:space="preserve">Syngenta AG, located in
Basel, Switzerland,
manufactures and wholesales
agricultural chemicals. Its
products include
insecticides, herbicides and
seed treatments designed to
improve crop yields and to
control weeds, insects and
diseases in crops. The
Company was founded in 2000.
AgroFresh Inc, located in
Yakima, Washington,
manufactures chemicals branded
as Methylcyclopropene (1-MCP)
technology, which helps the
commercial produce and floral
industries maintain the
freshness and quality of their
fresh fruits, vegetables,
flowers and plants. The
company was founded in 1999.</t>
  </si>
  <si>
    <t xml:space="preserve">2879
2899</t>
  </si>
  <si>
    <t xml:space="preserve">Syngenta AG
Rohm &amp; Haas Co</t>
  </si>
  <si>
    <t xml:space="preserve">AGROFRESH INC/SYNGENTA AG-STRATEGIC ALLIANCE</t>
  </si>
  <si>
    <t xml:space="preserve">Syngenta AG and AgroFresh Inc, a unit of Rohm &amp; Haas Co signed letter of
intent to form a strategic alliance to provide research and development
services of Invinsa, a sprayable formulation of 1-methylcyclopropene
(1-MCP) for crop stress  protection in field crops globally. The agreemetn
would focus on major field crops including corn, soybean, cotton, wheat,
sunflower, rice and canola.</t>
  </si>
  <si>
    <t xml:space="preserve">87160A
50704Q</t>
  </si>
  <si>
    <t xml:space="preserve">Entelos Inc
UCB Inc</t>
  </si>
  <si>
    <t xml:space="preserve">Pvd biosimulation sys svcs
Mnfr biopharmaceutical product</t>
  </si>
  <si>
    <t xml:space="preserve">Entelos Inc, located in Foster
City, California, is a
biopharmaceutical company that
develops predictive
biosimulation systems using
its patented PhysioLab
technology. The Company
develops dynamic large-scale
computer models of human
disease wherein each PhysioLab
platform provides a framework
for integrating data (e.g.,
genomic, proteomic,
physiologic, environmental) in
the context of a disease or
therapeutic area. The Company
was founded in 1996.
UCB Inc, based in Atlanta,
Georgia in the US, is a
biopharmaceutical company
dedicated to research,
development and
commercialization of
pharmaceutical and
biotechnology products for
central nervous system
disorders, allergy/respiratory
diseases, immune and
inflammatory disorders and
oncology. The company was
founded in 1994 and has
offices in Raleigh, North
Carolina and Rochester, New
York.</t>
  </si>
  <si>
    <t xml:space="preserve">CA
GA</t>
  </si>
  <si>
    <t xml:space="preserve">Entelos Inc
UCB SA</t>
  </si>
  <si>
    <t xml:space="preserve">ENTELOS INC /UCB PHARMA INC-STRATEGIC ALLIANCE</t>
  </si>
  <si>
    <t xml:space="preserve">Entelos Inc (EI) and UCB Pharma Inc (UP), a unit of Union Chimique Belge
SA, formed a strategic alliance to provide research and development
services in the United States. Under terms of the agreement, UP was to
conduct in silico research in the field of rheumatoid arthritis using EI's
Rheumatoid Arthritis PhysioLab platform. Terms were not disclosed.</t>
  </si>
  <si>
    <t xml:space="preserve">29362X
90411C</t>
  </si>
  <si>
    <t xml:space="preserve">Solazyme Inc
Chevron Technology Ventures</t>
  </si>
  <si>
    <t xml:space="preserve">Biotechnology company
Financial Sponsor</t>
  </si>
  <si>
    <t xml:space="preserve">Solazyme Inc, located in
South San Francisco,
California, is a
biotechnology company
focused on the engineering
of algae for production of
biofuels and health and
wellness materials.
Chevron Technology Ventures
LLC, located in Houston,
Texas, is a venture capital
firm. It invests in water
management, production
enhancement, emerging
materials, power systems,
information technology, and
subsurface &amp; base business.
The Company was founded in
1999.</t>
  </si>
  <si>
    <t xml:space="preserve">Solazyme Inc
Chevron Corp</t>
  </si>
  <si>
    <t xml:space="preserve">2836
2911</t>
  </si>
  <si>
    <t xml:space="preserve">SOLAZYME INC/CHEVRON TECHNOLOGY VENTURES LLC-STRATEGIC ALLIANCE</t>
  </si>
  <si>
    <t xml:space="preserve">Solazyme Inc and Chevron Technology Ventures LLC, a unit of Chevron Corp
formed a strategic alliance to provide research and development services of
biodiesel feedstock for bioproduction of fuels, industrial chemicals and
specialty ingredients in the United States.</t>
  </si>
  <si>
    <t xml:space="preserve">83415T
16689W</t>
  </si>
  <si>
    <t xml:space="preserve">ImaRx Therapeutics Inc
Microbix Biosystems Inc</t>
  </si>
  <si>
    <t xml:space="preserve">Mnfr thrombolytic drugs
Biotechnology company</t>
  </si>
  <si>
    <t xml:space="preserve">ImaRx Therapeutics Inc,
located in Tucson, Arizona,
manufactures, develops and
markets thrombolytic drugs and
therapies for vascular
disorders with products such
as Abbokinase and Sonolysis
that both aim to break up
blood clots and restore blood
flow to oxygen deprived
tissues. The company was
founded in 1991.
Microbix Biosystems Inc,
located in Mississauga,
Ontario, is a biotechnology
company that develops a
pipeline of products
including biotherapeutics,
vaccines and non-therapeutic
biologics. It operates on
two facilities: the
infectious disease antigen
manufacturing facility
located in Mississauga and a
leased facility in Toronto.
The Company was founded on
October 1, 1990.</t>
  </si>
  <si>
    <t xml:space="preserve">IMARX THERAPEUTICS INC /MICROBIX BIOSYSTEMS INC- STRATEGIC ALLIANCE</t>
  </si>
  <si>
    <t xml:space="preserve">ImaRx Therapeutics inc (IT) and Microbix Biosystems Inc (MB) signed a
letter of intent to form a strategic alliance to manufacture and develop
the FDA-approved clot-dissolving drug, urokinase, under the brand name of
Abbokinase in the United States.</t>
  </si>
  <si>
    <t xml:space="preserve">45248L
59501P</t>
  </si>
  <si>
    <t xml:space="preserve">Bristol-Myers Squibb Co
Exelis Inc</t>
  </si>
  <si>
    <t xml:space="preserve">Manufactures pharmaceuticals and medical products
Pvd info tech svcs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</si>
  <si>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Exelis Inc, located in Mclean,
Virginia, is a provider of
information technology
services.</t>
  </si>
  <si>
    <t xml:space="preserve">2834
7376</t>
  </si>
  <si>
    <t xml:space="preserve">NY
VA</t>
  </si>
  <si>
    <t xml:space="preserve">BRISTOL-MYERS SQUIBB CO/EXELIS INC-STRATEGIC ALLIANCE</t>
  </si>
  <si>
    <t xml:space="preserve">Bristol-Myers Squibb Co and Exelis Inc (EI) formed a strategic alliance to
manufacture, develop and market novel cancer therapy XL139 in the United
States. Under terms of the agreement EI was expected to receive a milestone
payment of $20 mil US.</t>
  </si>
  <si>
    <t xml:space="preserve">110122
30449P</t>
  </si>
  <si>
    <t xml:space="preserve">Hadasit Med Research Svc
Harvard Medical School
Brigham &amp; Womens Hospital</t>
  </si>
  <si>
    <t xml:space="preserve">Pvd med research,dvlp svcs
Medical university
Own,op hospital</t>
  </si>
  <si>
    <t xml:space="preserve">Hadasit Medical Research
Services &amp; Development Ltd,
located in Israel, provides
medical research and
development services. The
Company was founded in 1986.
Harvard Medical School,
located in Massachusetts, is a
Medical university with 7,500
full-time faculty working in
11 academic departments, and
with 47 hospital-based
clinical departments. The
company was founded in 1782.
Brigham &amp; Women's Hospital,
located in Boston,
Massachusetts, owns and
operates a hospital with
basic, clinical and
translational research on
human diseases, involving
more than 860
physician-investigators and
renowned biomedical
scientists.</t>
  </si>
  <si>
    <t xml:space="preserve">8731
8221
8062</t>
  </si>
  <si>
    <t xml:space="preserve">Israel
United States
United States</t>
  </si>
  <si>
    <t xml:space="preserve">FF
MA
MA</t>
  </si>
  <si>
    <t xml:space="preserve">Hadassah Medical Ltd
Harvard Medical School
Brigham &amp; Womens Hospital</t>
  </si>
  <si>
    <t xml:space="preserve">8062
8221
8062</t>
  </si>
  <si>
    <t xml:space="preserve">HADASIT MEDICAL RESEARCH/HARVARD MEDICAL SCHOOL-JOINT VENTURE</t>
  </si>
  <si>
    <t xml:space="preserve">Hadasit Medical Research Services &amp; Development Ltd, a unit of Hadasit
Medical Organization, Harvard Medical School, and Brigham &amp; Women's
Hospital formed a joint venture (JV) to provide research and development
services of orally administered therapeutic treatment for autoimmune
diseases in Israel. The JV was equally held by the partners. The JV was
expected to produce therapeutic treatments for systemic lupus
erythematosus, rheumatoid arthritis, multiple sclerosis, Type I and Type II
diabetes, and Crohn's disease.</t>
  </si>
  <si>
    <t xml:space="preserve">40553P
41745W
10916M</t>
  </si>
  <si>
    <t xml:space="preserve">Luminex Corp
Tyson Foods Inc</t>
  </si>
  <si>
    <t xml:space="preserve">Mnfr,whl biological tech
Produces, wholesales poultry and meat products</t>
  </si>
  <si>
    <t xml:space="preserve">Luminex Corp, located in
Austin, Texas, manufactures
and wholesales biological
testing technologies with
applications throughout the
diagnostics, pharmaceutical
and life sciences
industries.Its products
are focused on the molecular
diagnostic testing market,
which includes human
genetics, personalized
medicine and infectious
disease segments. The
Company was founded in May
1995.
Tyson Foods Inc,
headquartered in Springdale,
Arkansas, produces and
wholesales poultry and meat
products. It also produces
protein-based and prepared
food products recognized in
the retail and food services
markets. Its clients are
located throughout the US
and approximately 130
countries. It has 400
facilities worldwide. The
Company was founded in 1935.</t>
  </si>
  <si>
    <t xml:space="preserve">3841
2015</t>
  </si>
  <si>
    <t xml:space="preserve">TX
AR</t>
  </si>
  <si>
    <t xml:space="preserve">LUMINEX CORP/TYSON FOODS INC-STRATEGIC ALLIANCE</t>
  </si>
  <si>
    <t xml:space="preserve">Luminex Corp and Tyson Foods Inc formed a strategic alliance to povide
research and development services of novel assay tests to screen for
pathogens and other microbes for food safety and animal health in the
United States.</t>
  </si>
  <si>
    <t xml:space="preserve">55027E
902494</t>
  </si>
  <si>
    <t xml:space="preserve">Cadila Healthcare Ltd
Prosto strakhuvannia</t>
  </si>
  <si>
    <t xml:space="preserve">Mnfr,whl pharm solutions
Pvd insurance svcs</t>
  </si>
  <si>
    <t xml:space="preserve">Cadila Healthcare Ltd
located in Ahmedabad, India,
is a pharmaceutical
solutions manufacturer and
wholesaler. It has global
operations in four
continents spread across
USA, Europe, Japan, Brazil,
South Africa and 25 other
emerging markets. It was
founded in 1952.
Prosto strakhuvannia, located
in Kharkiv, is a provider of
insurance services. The
company was founded in 1998.</t>
  </si>
  <si>
    <t xml:space="preserve">2834
6311</t>
  </si>
  <si>
    <t xml:space="preserve">Zydus Family Trust
Allianz SE</t>
  </si>
  <si>
    <t xml:space="preserve">India
Germany</t>
  </si>
  <si>
    <t xml:space="preserve">6733
6311</t>
  </si>
  <si>
    <t xml:space="preserve">CADILA HEALTHCARE LTD/PROLONG PHARMACEUTICALS INC-STRATEGIC ALLIANCE</t>
  </si>
  <si>
    <t xml:space="preserve">Cadila Healthcare Ltd and Prolong Pharmaceuticals Inc (PP) formed a
strategic alliance to  provide therapeutic protein PEG-EPO development
services for the treatment of severe anemia. The alliance seeks to increase
productivity in the drug development by leveraging the combined strengths
of the companies wherein they will utilize PP's PEGylation technology to
make PEG-EPO.</t>
  </si>
  <si>
    <t xml:space="preserve">12741W
75399Y</t>
  </si>
  <si>
    <t xml:space="preserve">Samsung Electronics Co Ltd
Hynix Semiconductor Inc</t>
  </si>
  <si>
    <t xml:space="preserve">Radio and Television Broadcasting and Wireless Communications Equipment Manufacturing
Mnfr semiconductors</t>
  </si>
  <si>
    <t xml:space="preserve">Samsung Electronics Co Ltd,
located in Suwon, South
Korea, manufactures and
wholesales consumer
electronic products. It
operates in three business
divisions: consumer
electronics (CE) division,
which involves in the color
televisions (CTVs),
monitors, printers, air
conditioners, refrigerators,
laundry machines and others;
information technology &amp;
mobile communications (IM)
division, which involves in
the production of computers,
handhold phones (HHPs),
network systems, digital
cameras and others, as well
as device solutions (DM)
division, which is divided
into semiconductor and
display business parts,
providing dynamic random
access memories (DRAMs),
flashes, thin film
transistor-liquid crystal
displays (TFT-LCDs) and
others. It is also a holding
company. The Company
distributes its products
within domestic market and
to overseas markets. It was
founded in 1969.
Hynix Semiconductor Inc,
headquartered in Incheon,
South Korea, manufactures
semiconductors. The
company's products include
dynamic random access memory
(DRAM) and NAND Flash. The
company was founded in
October 15, 1949.</t>
  </si>
  <si>
    <t xml:space="preserve">3663
3674</t>
  </si>
  <si>
    <t xml:space="preserve">SAMSUNG ELECTRONICS CO LTD/HYNIX SEMICONDUCTOR INC- STRATEGIC ALLIANCE</t>
  </si>
  <si>
    <t xml:space="preserve">Samsung Electronics Co Ltd and Hynix Semiconductor Inc formed a strategic
alliance to provide semiconductor research and development services in
South Korea. The alliance was expected to develop next-generation memory
chips.</t>
  </si>
  <si>
    <t xml:space="preserve">796050
449130</t>
  </si>
  <si>
    <t xml:space="preserve">VTT Technical Research Centre
Roche Diagnostics Corp</t>
  </si>
  <si>
    <t xml:space="preserve">Pvd research svcs
Mnfr diagnostic equip,prod</t>
  </si>
  <si>
    <t xml:space="preserve">VTT Technical Research Centre
of Finland, located in
Helsinki, Finland, provides
research services. It also
provides high-end technology
solutions and innovation
services. The company was
founded in 1942.
Roche Diagnostics Corp,
located in Indianapolis,
Indiana, manufactures
diagnostic equipment, products
and hematology instruments.
These are used for early
detection, targeted screening,
evaluation and monitoring of
the diseases. The company was
founded in 1968.</t>
  </si>
  <si>
    <t xml:space="preserve">8733
2835</t>
  </si>
  <si>
    <t xml:space="preserve">VTT Technical Research Centre
Roche Holdings AG</t>
  </si>
  <si>
    <t xml:space="preserve">Finland
Switzerland</t>
  </si>
  <si>
    <t xml:space="preserve">VTT TECHNICAL RESEARCH/ROCHE DIAGNOSTICS CORP- STRATEGIC ALLIANCE</t>
  </si>
  <si>
    <t xml:space="preserve">State-owned VTT Technical Rsearch of Finland and Roche Diagnostics Corp
(RD), a unit of Roche Holding AG's F Hoffman La Roche Ltd subsidiary,
formed a strategic alliance to provide research and development services in
Finland. The alliance was expected to study RD's cancer drugs which may
lead to the development of novel drug combinations and predictive
biomarkers.</t>
  </si>
  <si>
    <t xml:space="preserve">91942H
77117P</t>
  </si>
  <si>
    <t xml:space="preserve">Nicholas Piramal India Ltd
Pierre Fabre</t>
  </si>
  <si>
    <t xml:space="preserve">Manufacture pharmaceuticals
Own, op pharmacy</t>
  </si>
  <si>
    <t xml:space="preserve">Nicholas Piramal India Ltd,
located in Mumbai, India,
manufactures prescription
pharmaceuticals intended for
final consumption, including
biotech products and
antibiotics.
Pierre Fabre SAS, located in
Paris, France, manufactures
and wholesales general
pharmaceuticals and medical
equipment.</t>
  </si>
  <si>
    <t xml:space="preserve">NICHOLAS PIRAMAL INDIA LTD/PIERRE FABRE-STRATEGIC ALLIANCE</t>
  </si>
  <si>
    <t xml:space="preserve">Nicholas Piramal India Ltd and Pierre Fabre formed a strategic alliance to
provide cancer research services . Under terms of the agreement, PF
provided its expertise in screening and oncology research while NP will
make available its natural products bas.</t>
  </si>
  <si>
    <t xml:space="preserve">65374F
72082M</t>
  </si>
  <si>
    <t xml:space="preserve">Elmarco sro
Cummins Inc</t>
  </si>
  <si>
    <t xml:space="preserve">Manufacture semiconductors
Manufactures and wholesales diesel and natural gas engines and engine-related component products</t>
  </si>
  <si>
    <t xml:space="preserve">Elmarco sro, located in
Liberec, Czech Republic,
manufactures semiconductors
focused on the wet wafer
surface preparation
technology; provide research
and development services of
nanotechnology. The company
was founded in 2000.
Cummins Inc, located in
Columbus, Indiana,
manufactures and wholesales
diesel and natural gas
engines and engine-related
component products for
on-highway and off-highway
use, turbochargers,
heavy-duty air, fuel,
hydraulic and lube
filtration and exhaust
system technology products,
electrical generator sets,
fuel systems, and electronic
control modules. It serves
more than 190 countries and
territories worldwide. The
Company was founded in 1919.</t>
  </si>
  <si>
    <t xml:space="preserve">3674
3714</t>
  </si>
  <si>
    <t xml:space="preserve">3674
3519</t>
  </si>
  <si>
    <t xml:space="preserve">ELMARCO SRO/CUMMINS FILTRATION-STRATEGIC ALLIANCE</t>
  </si>
  <si>
    <t xml:space="preserve">Elmarco sro and Cummins Inc (CI) formed a strategic alliance to provide
nanofiber media technologies development services. The alliance as expected
to combine Nanospider (TM) technology and know-how with CI's expertise and
market leadership.</t>
  </si>
  <si>
    <t xml:space="preserve">28938C
231021</t>
  </si>
  <si>
    <t xml:space="preserve">Laurier International Inc
Ohio State University</t>
  </si>
  <si>
    <t xml:space="preserve">Biopharmaceutical co
Own,op university</t>
  </si>
  <si>
    <t xml:space="preserve">Laurier International Inc is a
biopharmaceutical company,
headquartered in Santa Monica,
California.
The Ohio State University,
headquartered in Columbus,
Ohio, is an owner and operator
of university.</t>
  </si>
  <si>
    <t xml:space="preserve">Laurier International Inc
United States of America</t>
  </si>
  <si>
    <t xml:space="preserve">LAURIER INTERNATIONAL INC/OHIO STATE UNIVERSITY-STRATEGIC ALLIANCE</t>
  </si>
  <si>
    <t xml:space="preserve">Unknown</t>
  </si>
  <si>
    <t xml:space="preserve">Arno Therapeutics Inc, formerly known as Laurier International Inc, and
Ohio State University terminated their alliance prior to the expiration
date. Under the agreement, Arno was granted the exclusive rights to test
the agents, which are two small molecules called OSU-03012 (NSC D728209)
and OSU-HDAC42 (NSC D736012), and take them to market.</t>
  </si>
  <si>
    <t xml:space="preserve">Exclusive Licensing Services
Licensing Services
Research &amp; Development Services
Health &amp; Medical Services</t>
  </si>
  <si>
    <t xml:space="preserve">519294
67766Q</t>
  </si>
  <si>
    <t xml:space="preserve">Oramed Pharmaceuticals Inc
OnQ Consulting</t>
  </si>
  <si>
    <t xml:space="preserve">Biotechnology company
Pvd research svcs</t>
  </si>
  <si>
    <t xml:space="preserve">Oramed Pharmaceuticals Inc,
located in Jerusalem,
Israel, is a biotechnology
company. The company is
focused on the commercial
development of proprietary
oral delivery solutions. Its
leading product is the
treatment of diabetes via an
oral insulin capsule which
has the potential to help
diabetics worldwide. It was
founded in 2002.
OnQ Consulting, located in
South Africa, provides
clinical research services and
has the capacity to undertake
and facilitate clinical trial.
The company provides
monitoring and project
management services to
pharmaceuticals, biotechnology
companies, medical device
companies, and CROs. The
company was founded in 1999.</t>
  </si>
  <si>
    <t xml:space="preserve">Israel
South Africa</t>
  </si>
  <si>
    <t xml:space="preserve">ORAMED PHARMACEUTICALS INC/ONQ CONSULTING- STRATEGIC ALLIANCE</t>
  </si>
  <si>
    <t xml:space="preserve">Oramed Pharmaceuticals Inc (OP) and OnQ Consulting planned to form a
strategic alliance to provide research and development services in Phase 1
clinical trials for rectal application of insulin. The studies were
intended to assess the safety and feasibility of OP's product. The product
targeted individuals diagnosed with diabetes who were unable to receive
insulin via injection. The trials were scheduled to be completed by the 3rd
quarter of 2008.
</t>
  </si>
  <si>
    <t xml:space="preserve">68403P
68319F</t>
  </si>
  <si>
    <t xml:space="preserve">Airborne Systems Group Ltd
ILC Dover Inc</t>
  </si>
  <si>
    <t xml:space="preserve">Mnfr parachutes
Manufacture space suits</t>
  </si>
  <si>
    <t xml:space="preserve">Airborne Systems,
headquartered in Pennsauken,
New Jersey, manufactures
parachutes and aerial safety
survival equipment. The
company serves the global
aerospace and military markets
by engineering fabrics
applicable to parachute
design.The company provides
parachute logistics support
services for international
customers. Other services are
maintenance, repair,
repacking, storage and
transportation of all
man-carrying and supply
dropping parachutes.
ILC Dover Inc, located in
Frederica, Delaware,
manufactures space suits,
engineered inflatables,
space inflatables,
lighter-than-air structures,
protective masks,
containment for
pharmaceuticals processing,
and personal protection
suits. The company was
founded in 1947.</t>
  </si>
  <si>
    <t xml:space="preserve">3721
2399</t>
  </si>
  <si>
    <t xml:space="preserve">NJ
DE</t>
  </si>
  <si>
    <t xml:space="preserve">Airborne Systems Group Ltd
Behrman Capital LP</t>
  </si>
  <si>
    <t xml:space="preserve">AIRBORNE SYSTEMS/ILC DOVER INC- STRATEGIC ALLIANCE</t>
  </si>
  <si>
    <t xml:space="preserve">Airborne Systems (AS) and ILC Dover Inc (ID), a unit of Xyratex Ltd's nStor
Technologies Inc, formed a strategic alliance to provide research and
development services on Orion airbag landing and floatation system in the
United States. AS and ID combined their engineering and analysis teams and
Orion Gen-2 airbag designs for new study.</t>
  </si>
  <si>
    <t xml:space="preserve">01269V
45171P</t>
  </si>
  <si>
    <t xml:space="preserve">bioMerieux SA
Shanghai Kehua Bio-Engineering</t>
  </si>
  <si>
    <t xml:space="preserve">Mnfr diagnostic pharm prod
In-Vitro Diagnostic Substance Manufacturing</t>
  </si>
  <si>
    <t xml:space="preserve">bioMerieux SA, located in
Marcy L'Etoile, France,
manufactures in vitro
diagnostics for medical and
industrial applications. The
Group offers 'in vitro'
diagnosis which serves as
the basis for medical
diagnosis, patient treatment
and therapy monitoring. The
Group contributes to the
field of infectious diseases
such as hepatitis, HIV,
tuberculosis and respiratory
infection and pathologies
such as cancer and
cardiovascular diseases. The
Group performs clinical
diagnosis through three
technologies, bacteriology,
immunoassays and molecular
biology. It also develops
software used to interpret
the results of biological
tests. The Group operates in
Europe, North America,
Asia-Pacific and Latin
America. The Company was
founded in 1897.
Shanghai Kehua
Bio-Engineering Co Ltd is a
manufacturer and wholesaler
of in-vitro diagnostic
substances. The Company was
founded in 1998 and is
located in Shanghai, China.</t>
  </si>
  <si>
    <t xml:space="preserve">France
China</t>
  </si>
  <si>
    <t xml:space="preserve">Sanofi-Aventis SA
Shanghai Kehua Bio-Engineering</t>
  </si>
  <si>
    <t xml:space="preserve">BIOMERIEUX SA/SHANGHAI KEHUA BIO-ENGINEERING CO LTD- JOINT VENTURE</t>
  </si>
  <si>
    <t xml:space="preserve">bioMerieux SA (BS) and Shanghai Kehua Bio-Engineering Co Ltd (SK) planned
to form a joint venture (JV) to manufacture, develop and wholesale
microplate immunoassays and infectious disease diagnostics in China. BS was
to hold 60% interest in the JV while the remaining 40% stake was to be held
by SK. The microplate line manufactured by the JV will be distributed by BS
in Europe, Middle East and Africa, Asia-Pacific (including China) and Latin
America regions. BS was to transfer microplate immunoassay manufacturing
currently located at its Boxtel site in the Netherlands in to the JV.</t>
  </si>
  <si>
    <t xml:space="preserve">09098Z
82060H</t>
  </si>
  <si>
    <t xml:space="preserve">JVC
Funai Electric Co Ltd</t>
  </si>
  <si>
    <t xml:space="preserve">Mnfr audio-visual equipment
Mnfr,whl audio,video equipment</t>
  </si>
  <si>
    <t xml:space="preserve">Victor Co of Japan Ltd,
headquartered in Kanagawa,
Japan, is engaged in the
manufacture and wholesale of
audio-visual and digital
equipment and magnetic tapes
and disks. The operations are
carried out through the
following divisions: Consumer
Products; Industrial Products;
Electronic Devices; Soft
Media; and others. The
consumer products division is
engaged in the manufacture of
video decks, televisions,
stereos, DVD players,
recorders, CD boom boxes and
car audio. The industrial
products division is engaged
in the manufacture of
projectors, karaoke systems
and education-related
equipment. The electronic
devices division is engaged in
the manufacture of disc
players, video heads, motors
and display parts. The soft
media division is engaged in
the manufacture of compact
discs, video discs and music
and visual software. It was
founded in 1927.
Funai Electric Co Ltd,
headquartered in Osaka, Japan,
is engaged in the manufacture
and wholesale of audio and
video equipment such as VCRs,
DVD players, DVD recorders,
LCD TVs, printers and digital
cameras. It was founded in
1961.</t>
  </si>
  <si>
    <t xml:space="preserve">VICTOR CO OF JAPAN LTD /FUNAI ELECTRIC CO LTD- STRATEGIC ALLIANCE</t>
  </si>
  <si>
    <t xml:space="preserve">Victor Co of Japan Ltd {JVC} and Funai Electric Co Ltd (FE) formed a
strategic alliance to manufacture and develop LCD television sets in Japan.
Under terms of the agreement, JVC and FE were expected to operate
cooperative business, including joint development, mutually contracted
development, joint production and mutually contracted production in the
display equipment and multifunction video equipment businesses.</t>
  </si>
  <si>
    <t xml:space="preserve">925843
36076A</t>
  </si>
  <si>
    <t xml:space="preserve">Cell Signaling Technology Inc
TTP Labtech Ltd</t>
  </si>
  <si>
    <t xml:space="preserve">Cell Signaling Technology Inc,
located in Danvers,
Massachusetts, provides
research and development
services of phospho-specific
antobodies for kinase and
pathway activation
measurement. The company was
founded in 1999.
TTP Labtech Ltd is located
in Melbourn, the United
Kingdom, manufactures
laboratory equipment for the
healthcare, biotech and
pharmaceuticals sectors. The
Company's products are
designed to increase
efficiency, effectiveness,
flexibility or overall
capability in key
biopharmaceutical research
process. The company was
founded in 1987. is located
in Melbourn, the United
Kingdom.</t>
  </si>
  <si>
    <t xml:space="preserve">Cell Signaling Technology Inc
TTP Group PLC</t>
  </si>
  <si>
    <t xml:space="preserve">CELL SIGNALING TECHNOLOGY INC/TTP LABTECH LTD-STRATEGIC ALLIANCE</t>
  </si>
  <si>
    <t xml:space="preserve">Cell Signaling Technology Inc (CS) and TTP LabTech Ltd  (TL) formed a
strategic alliance to provide antibodies development services. CS will
develop and validate antibodies on TL's Acumen (R) Explorer/e X3 microplate
cytometric platform. The alliance intend to enable a platform solution
based on Acumen technology and CS's collection of validated antibodies for
high content cellular analysis of cellular signaling and regulatory post
translational modifications.</t>
  </si>
  <si>
    <t xml:space="preserve">15158P
87003R</t>
  </si>
  <si>
    <t xml:space="preserve">HNA Holdings Inc
Sw Research &amp; Design Inst Of</t>
  </si>
  <si>
    <t xml:space="preserve">Mnfr chemicals, fibers
Pvd research,dvlp svcs</t>
  </si>
  <si>
    <t xml:space="preserve">HNA Holdings Inc, located in
New Jersey, manufactures and
wholesales textile and
technical fibers, acetate
cigarette filter tow,
specialty and bulk chemicals,
prescription drugs, veterinary
pharmaceuticals, animal feed
additives, crop protection
products, engineered plastics,
polyester film, resins, high
density polyethylene,
presensitized offset printing
plates, dyes and pigments,
paints, coatings and sealants;
wholesale chemicals, allied
products, drugs, drug
proprietaries and products for
agricultural protection.
Southwest Research &amp; Design
Institute Of Chemical
Industry is a provider of
research and development
services. The Company was
founded in January 1988 and
is located in Chengdu,
China.</t>
  </si>
  <si>
    <t xml:space="preserve">2824
8731</t>
  </si>
  <si>
    <t xml:space="preserve">Sanofi-Aventis SA
China Haohua Chem(Grp)Corp</t>
  </si>
  <si>
    <t xml:space="preserve">CELANESE CORP/SWRDICI-STRATEGIC ALLIANCE</t>
  </si>
  <si>
    <t xml:space="preserve">HNA Holdings Inc, a unit of Hoechst AG, and Southwest Research &amp; Design
Institute of Chemical Industry, a unit of Chinese state-owned China
National Chemical Corp formed a strategic alliance to provide research and
development services of acetic acid and other acetyls globally. Terms  were
not disclosed.</t>
  </si>
  <si>
    <t xml:space="preserve">40403X
84520N</t>
  </si>
  <si>
    <t xml:space="preserve">AlgoNomics NV
Genmab A/S</t>
  </si>
  <si>
    <t xml:space="preserve">AlgoNomics NV, located in
Gent, Belgium is a
biopharmaceutical company,
provides integrated
immunogenicity services for
the development of
biopharmaceuticals. It offers
tools and solutions for
optimizing the safety and
immunogenicity of bio
therapeutic drug leads. The
company was founded in 1999.
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t>
  </si>
  <si>
    <t xml:space="preserve">Belgium
Denmark</t>
  </si>
  <si>
    <t xml:space="preserve">ALGONOMICS NV/GENMAB AS-STRATEGIC ALLIANCE</t>
  </si>
  <si>
    <t xml:space="preserve">Genmab AS and AlgoNomics NV formed a strategic alliance to provide research
and development services of human antibody scaffolds globally. The alliance
was a strategic investment opportunity both for the partners to leverage
their biological and clinical development services and to further expand
their market and product coverage worldwide. Financial terms were not
disclosed.</t>
  </si>
  <si>
    <t xml:space="preserve">55634E
K3967W</t>
  </si>
  <si>
    <t xml:space="preserve">Velcura Therapeutics Inc
International Discovery</t>
  </si>
  <si>
    <t xml:space="preserve">Velcura Therapeutics Inc is a
biotechnology company
headquartered in Ann Arbor,
Michigan. The company provides
human bone disease and novel
therapeutics discovery
services that restore bone
health.
International Discovery
Sourcing Consultants LLc is a
biotechnology company
headquartered in Chelsea,
Michigan. Founded in 2007.</t>
  </si>
  <si>
    <t xml:space="preserve">MI
MI</t>
  </si>
  <si>
    <t xml:space="preserve">VELCURA THERAPEUTICS INC/INTERNATIONAL DISCOVERY-STRATEGIC ALLIANCE</t>
  </si>
  <si>
    <t xml:space="preserve">Velcura Therapeutics Inc and International Discovery Sourcing Consultants
LLC formed a strategic alliance to provide research and development
services of second generation and new bone therapy  molecules for the
treatment of bone diseases such as multiple myeloma, metastatic bone
disease, rheumatoid arthritis and osteoporosis in the United States.</t>
  </si>
  <si>
    <t xml:space="preserve">92391W
44744T</t>
  </si>
  <si>
    <t xml:space="preserve">Amgen Inc
Takeda Pharmaceutical Co Ltd</t>
  </si>
  <si>
    <t xml:space="preserve">Manufacture human therapeutics
Mnfr,whl pharmaceutical prod</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</si>
  <si>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</si>
  <si>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AMGEN INC/TAKEDA PHARMACEUTICAL CO LTD-STRATEGIC ALLIANCE</t>
  </si>
  <si>
    <t xml:space="preserve">Japan
Supranational</t>
  </si>
  <si>
    <t xml:space="preserve">Amgen Inc (AI) and Takeda Pharmaceutical Co Ltd (TP) formed a strategic
alliance to manufacture, develop and commercialize 13 molecules from Amgen
Inc's pipeline in Japan. Financial terms include an upfront cash payment to
AI of $200 mil US (21.3 bil Japanese yen). TP will also pay to AI up to
$340 mil US (36.27 bil yen) in expected worldwide development costs for
these molecules over the next several years, $362 mil US (38.6 bil yen) is
success-based milestone payments and double digit royalties on sales in
Japan. In addition, TP will become AI's worldwide partner for motesanib
diphosphate (AMG 706), and will pay AI $100 mil (10.7 bil yen) upfront,
$175 mil (18.7 bil yen) in success-based milestones for the first two
indications, and double digit royalties on sales in Japan. TP will also pay
60% of ongoing clinical development expenses outside Japan and share
potential profits outside Japan 50/50.
</t>
  </si>
  <si>
    <t xml:space="preserve">Financial terms include an upfront cash payment to AI of $200 mil US (21.3
bil Japanese yen). TP will also pay to AI up to $340 mil US (36.27 bil yen)
in expected worldwide development costs for these molecules over the next
several years, $362 mil US (38.6 bil yen) is success-based milestone
payments and double digit royalties on sales in Japan. In addition, TP will
become AI's worldwide partner for motesanib diphosphate (AMG 706), and will
pay AI $100 mil (10.7 bil yen) upfront, $175 mil (18.7 bil yen) in
success-based milestones for the first two indications, and double digit
royalties on sales in Japan.</t>
  </si>
  <si>
    <t xml:space="preserve">031162
874058</t>
  </si>
  <si>
    <t xml:space="preserve">GlaxoSmithKline PLC
Amira Pharmaceuticals</t>
  </si>
  <si>
    <t xml:space="preserve">Pharmaceutical Preparation Manufacturing
Manufacture pharmaceuticals</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</si>
  <si>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Amira Pharmaceuticals, located
in San Diego, California, is a
molecule pharmaceutical
company that develops
compounds that treat
inflammatory disease. This
research and development focus
on therapies addressing
diseases and disorders
triggered by inflammation,
including asthma and
cardiovascular disease. It was
founded in 2005.</t>
  </si>
  <si>
    <t xml:space="preserve">GLAXOSMITHKLINE PLC/AMIRA PHARMACEUTICALS-STRATEGIC ALLIANCE</t>
  </si>
  <si>
    <t xml:space="preserve">GlaxoSmithKline PLC {GSK} and Amira Pharmaceuticals (AP) formed a strategic
alliance wherein AP exclusively licensed GSK to develop, manufacture and
commercialize AP?s FLAP inhibitors, including AM103 and other compounds
worldwide. AP was expected to receive up to $425 mil US in upfront and
milestone payments. In addition, AP was entitled to receive tiered royalty
payments based on worldwide net sales and commercial sales milestones.</t>
  </si>
  <si>
    <t xml:space="preserve">Exclusive Licensing Services
Licensing Services
Research &amp; Development Services
Manufacturing Services
Marketing Services</t>
  </si>
  <si>
    <t xml:space="preserve">Amira Pharmaceuticals was expected to receive up to $425 mil US in upfront
and milestone payments.</t>
  </si>
  <si>
    <t xml:space="preserve">37733W
03159C</t>
  </si>
  <si>
    <t xml:space="preserve">Meditrina Pharmaceuticals Inc
AstraZeneca PLC</t>
  </si>
  <si>
    <t xml:space="preserve">Mnfr pharm
Manufactures, wholesales pharmaceutical products</t>
  </si>
  <si>
    <t xml:space="preserve">Meditrina Pharmaceuticals Inc,
is a pharmaceutical
manufacturing firm,
headquartered in Ann Arbor,
Michigan. It focused on
developing and commercializing
innovative therapies that
treat women's reproductive
system disorders, with an
initial focus on gynecologic
and aromatase-mediated
conditions with serious unmet
medical needs. The company was
founded in 2006.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</si>
  <si>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MEDITRINA PHARMACEUTICALS/ASTRAZENECA PLC-STRATEGIC ALLIANCE</t>
  </si>
  <si>
    <t xml:space="preserve">Meditrina Pharmaceuticals Inc (MP) and AstraZeneca PLC (AZ) formed a
strategic alliance wherein AZ licensed MP to manufacture, develop and
commercialize endometriosis treatment using AZ's IP know-how regarding the
use of aromatase inhibitors (AI) in combination with estrogen and
progestin. The alliance expands MP's clinical stage product portfolio which
currently includes Femathina (TM) (MPI-674), an AI that MP is repurposing
for several serious women's health conditions. Terms of the agreement were
not disclosed.</t>
  </si>
  <si>
    <t xml:space="preserve">58652T
046353</t>
  </si>
  <si>
    <t xml:space="preserve">Vermillion Inc
Johns Hopkins University</t>
  </si>
  <si>
    <t xml:space="preserve">Vermillion Inc, located in
Fremont, California, is a
biotechnology company focused
on the discovery, development
and commercialization of
novel, high-value molecular
diagnostic tests for several
clinical areas including
cardiology, oncology and
hematology. Its product
pipeline includes the
Peripheral Artery Disease
Blood Test, ovarian cancer
blood tests, and the
Thrombotic Thrombocytopenic
Purpura (TTP) Test.
Johns Hopkins University,
located in Baltimore,
Maryland, owns and operates a
college/university. Founded in
1876.</t>
  </si>
  <si>
    <t xml:space="preserve">VERMILLION INC(WAS 17252Y)/JOHNS HOPKINS UNIVERSITY-STRATEGIC ALLIANCE</t>
  </si>
  <si>
    <t xml:space="preserve">Vermillion Inc and Johns Hopkins University formed a strategic alliance to
provide research and development services of novel biomarkers that can be
applied toward disease  detection, classification and monitoring of
prevalent cancers, including  ovarian, breast and prostate in the United
States.</t>
  </si>
  <si>
    <t xml:space="preserve">92407M
47810P</t>
  </si>
  <si>
    <t xml:space="preserve">Nec Electronincs
Intel Corp</t>
  </si>
  <si>
    <t xml:space="preserve">Mnfr semiconductors
Manufacture,wholesale semiconductors</t>
  </si>
  <si>
    <t xml:space="preserve">NEC Electronics Corp
manufactures semiconductors,
based in Kanagawa. The Group's
principal activity is to
provide system-level
semiconductor solutions for
electronic products and
systems. The Group's
operations are carried out
through the following business
segments: Communications,
Computing and peripherals,
Consumer electronics,
Automotive and industrial,
Multi-market IC's, Discrete,
Optical and microwave devices
and others.
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t>
  </si>
  <si>
    <t xml:space="preserve">NEC Corp
Intel Corp</t>
  </si>
  <si>
    <t xml:space="preserve">7373
3674</t>
  </si>
  <si>
    <t xml:space="preserve">NEC ELECTRONICS CORP/INTEL CORP-STRATEGIC ALLIANCE</t>
  </si>
  <si>
    <t xml:space="preserve">NEC Electronics Corp, a unit o NEC Corp, and Intel Corp formed a strategic
alliance to provide research and development services of power management
integrated circuits for ligic, audio and commnunication devices globally.</t>
  </si>
  <si>
    <t xml:space="preserve">J4881U
458140</t>
  </si>
  <si>
    <t xml:space="preserve">Human Genome Sciences Inc
Xencor Inc</t>
  </si>
  <si>
    <t xml:space="preserve">Mnfr biopharmaceutical prod
Mnfr antibodies prod</t>
  </si>
  <si>
    <t xml:space="preserve">Human Genome Sciences Inc,
located in Rockville,
Maryland, manufactures
biopharmaceutical products
with a pipeline of novel
compounds in clinical
development, including drugs
to treat such diseases as
hepatitis C, lupus, anthrax
disease, cancer, rheumatoid
arthritis and HIV/AIDS. The
company was founded in 1992.
Xencor Inc, located in
Monrovia, California, is a
biopharmaceutical company
that discovers, develops and
manufactures engineered
monoclonal antibodies to
treat severe and
life-threatening diseases
with unmet medical needs. It
uses proprietary XmAb
technology platform to
create antibody product
candidates designed to treat
autoimmune and allergic
diseases, cancer and other
conditions. The company was
founded in 1997.</t>
  </si>
  <si>
    <t xml:space="preserve">HUMAN GENOME SCIENCES INC/XENCOR INC-STRATEGIC ALLIANCE</t>
  </si>
  <si>
    <t xml:space="preserve">Human Genome Sciences Inc and Xencor Inc formed a strategic alliance to
provide research and development services of monoclonal antibodies in the
United States. The alliance was a strategic investment opportunity both for
the partners to leverage their medical development services and to further
expand their market and product coverage.</t>
  </si>
  <si>
    <t xml:space="preserve">444903
98401F</t>
  </si>
  <si>
    <t xml:space="preserve">Millward Brown PLC
Indian Market Research Bureau</t>
  </si>
  <si>
    <t xml:space="preserve">Provide market research services
Pvd market,media research svcs</t>
  </si>
  <si>
    <t xml:space="preserve">Millward Brown PLC, located in
Lisle, Illinois, provides
market research services. It
specializes in advertising,
marketing communications,
media and brand equity
research. It operates 87
offices in 58 countries.
Additional practices include
Millward Brown's Global Media
Practice (media effectiveness
unit), Millward Brown Optimor
(focused on helping clients
maximize the returns on their
brand and marketing
investments) and Dynamic Logic
(the world leader in digital
marketing effectiveness). The
company was founded in 1973.
Indian Market Research Bureau,
located in Mumbai, India,
provides market and media
research services. The Company
was founded in 1971.</t>
  </si>
  <si>
    <t xml:space="preserve">WPP Group PLC
WPP Group PLC</t>
  </si>
  <si>
    <t xml:space="preserve">7311
7311</t>
  </si>
  <si>
    <t xml:space="preserve">MILLWARD BROWN PLC/INDIAN MARKET RESEARCH BUREAU-MILLWARD BROWN INDIA JOINT
VENTURE</t>
  </si>
  <si>
    <t xml:space="preserve">Millward Brown PLC and Indian market Research Bureau, both units of WPP
Group PLC, planned to form a joint venture named Millward Brown India to
provide market research services in India.</t>
  </si>
  <si>
    <t xml:space="preserve">60150Q
45429F</t>
  </si>
  <si>
    <t xml:space="preserve">DuPont
Precision Biosciences Inc</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</si>
  <si>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Precision Biosciences Inc is
a biotechnology company
headquartered in Durham,
North Carolina. It develops
novel tools for genome
manipulation. Its technology
called Directed Nuclease
Editor (TM) can be applied
to crop and cell line
engineering, antivirals,
antibacterials, genetic
diagnostics and gene
therapy. The company was
founded in 2005.</t>
  </si>
  <si>
    <t xml:space="preserve">EI DU PONT DE NEMOURS &amp; CO/PRECISION BIO SCIENCES INC-STRATEGIC ALLIANCE</t>
  </si>
  <si>
    <t xml:space="preserve">Ei Du Pont de Nemours &amp; Co and Precision Biosciences Inc formed a strategic
alliance to provide crop product development services in the United States.
ED's Pioneer Hi-Bred was granted rights by PB's Directed Nuclease Editor
(TM) (DNE) technology to introduce and stack multiple genes that accelerate
product development in corn, soybeans and other important agricultural
crops. Terms of the agreement were not disclosed.
</t>
  </si>
  <si>
    <t xml:space="preserve">263534
74019P</t>
  </si>
  <si>
    <t xml:space="preserve">Alcatel Lucent SA
LG Electronics Inc</t>
  </si>
  <si>
    <t xml:space="preserve">Manufacture communication equipment
Mnfr electn components</t>
  </si>
  <si>
    <t xml:space="preserve">Alcatel Lucent SA, located in
Paris, France, manufactures
communication equipment and
solutions focusing on fixed
wire line and wireless
services, including voice and
data network services,
satellite, broadband Internet,
network management and
switching installation;
manufacture telecommunications
equipment; provide turnkey
systems design services;
provide enterprise solutions,
including IP telephony. The
company was founded in 1898.
Manufacture electronic
components and
telecommunication equipment</t>
  </si>
  <si>
    <t xml:space="preserve">France
Luxembourg</t>
  </si>
  <si>
    <t xml:space="preserve">ALCATEL LUCENT SA/LG ELECTRONICS INC-STRATEGIC ALLIANCE</t>
  </si>
  <si>
    <t xml:space="preserve">Alcatel Lucent SA (AL) and LG Electronics USA Inc (LE), a unit of LG Corp,
formed a strategic alliance to provide Long Term Evolution (LTE) mobile
broadband technology development, testing and commercialization services.
As part of the agreement, AL and LE cooperated on LTE research and
development and interoperability testing efforts, harmonizing their
contributions to Third Generation Partnership Projects (3GPP) standards
development effort and teaming to support ongoing customer trials.</t>
  </si>
  <si>
    <t xml:space="preserve">013904
05843X</t>
  </si>
  <si>
    <t xml:space="preserve">Schering-Plough Corp
OraSure Technologies Inc</t>
  </si>
  <si>
    <t xml:space="preserve">Mnfr,whl pharm
Mnfr diagnostic test prod</t>
  </si>
  <si>
    <t xml:space="preserve">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
OraSure Technologies Inc,
located in Bethlehem,
Pennsylvania, manufactures
and distributes oral fluid
diagnostic and collection
devices and other
technologies designed to
detect or diagnose critical
medical conditions. Products
include tests for the
detection of antibodies to
the HIV virus and
cryosurgical products. Its
products are sold to various
clinical laboratories,
hospitals, clinics,
community-based
organizations and other
public health organizations,
research and academic
institutions, distributors,
government agencies,
physicians' offices, and
commercial and industrial
entities.</t>
  </si>
  <si>
    <t xml:space="preserve">SCHERING-PLOUGH CORP/ORASURE TECHNOLOGIES INC-STRATEGIC ALLIANCE</t>
  </si>
  <si>
    <t xml:space="preserve">Schering-Plough Corp and Orasure Technologies Inc formed a strategic
alliance to provide research and development services of novel therapeutic
oral treatment of hepatitis C virus globally. The alliance was a strategic
investment opportunity both for the partners to leverage their medical
development services and to further expand their market and product
coverage worldwide.</t>
  </si>
  <si>
    <t xml:space="preserve">806605
68554V</t>
  </si>
  <si>
    <t xml:space="preserve">Alcatel Lucent SA
NEC Corp</t>
  </si>
  <si>
    <t xml:space="preserve">Manufacture communication equipment
Computer Systems Design Services</t>
  </si>
  <si>
    <t xml:space="preserve">Alcatel Lucent SA, located in
Paris, France, manufactures
communication equipment and
solutions focusing on fixed
wire line and wireless
services, including voice and
data network services,
satellite, broadband Internet,
network management and
switching installation;
manufacture telecommunications
equipment; provide turnkey
systems design services;
provide enterprise solutions,
including IP telephony. The
company was founded in 1898.
NEC Corp, located in Tokyo,
Japan, is engaged in
providing information
technology (IT) services and
products. The Information
Technology (IT) Solution
segment provides system
integration, supporting,
outsourcing and cloud
services, servers,
mainframes, super computers,
wireless access devices and
software. Carrier Network
segment provides backbone
network system, network
access and operation support
system, among others. Social
Infrastructure segment
provides broadcasting video
system, control system,
transportation and public
system, fire and disaster
prevention system, and
others. Personal Solution
segment provides smart
phones, cellular phones,
corporate computers, tablet
terminals, mobile and
wireless routers, and
Internet service and display
solution. The others segment
provides smart energy
solution, electronic
components and lighting
fixtures. The company was
founded on 1899.</t>
  </si>
  <si>
    <t xml:space="preserve">3669
7373</t>
  </si>
  <si>
    <t xml:space="preserve">ALCATEL LUCENT SA/NEC CORP-STRATEGIC ALLIANCE</t>
  </si>
  <si>
    <t xml:space="preserve">Alcatel-Lucent SA (AL) and NEC Corp (NC) formed a strategic alliance to
provide mobile communication technology research and development services.
The alliance was expected to develop Long Term Evolution wireless broadband
access solutions that will support the network evolution of customers such
as NTT DoCoMo and Verizon. In the future, AL and NC were to collaborate in
3G CDMA-based solutions as well as a wide range of advanced IP-based
solutions such as optical transmission, IP service routing, and IMS-based
communications services.</t>
  </si>
  <si>
    <t xml:space="preserve">Research &amp; Development Services
Telecommunications Services
Internet Services</t>
  </si>
  <si>
    <t xml:space="preserve">013904
629050</t>
  </si>
  <si>
    <t xml:space="preserve">Alstom SA
The Dow Chemical Co</t>
  </si>
  <si>
    <t xml:space="preserve">Manufacture,wholesale power generation equipment
Mnfr,wholesale chemicals</t>
  </si>
  <si>
    <t xml:space="preserve">Alstom SA, located in
Levallois Perret, France,
manufactures and wholesales
power generation equipment.
Its products and services
include steam turbines, gas
turbines and hydroelectric
turbines for nuclear power
plants, rolling stock
including light rail
transit, metro systems,
suburban and regional
trains, urban transport
solutions covering control
centers, automatic train
protection and operation for
driverless trains featuring
point machines, signaling
equipment and switching
systems. The company was
founded in 1928.
The Dow Chemical Co, located
in Midland, Michigan,
manufactures and wholesales
chemicals, plastic
materials, agricultural and
other specialized products
and services through its 6
segments namely, Performance
Plastics which offers
automotive products,
building and construction
products, epoxy resins and
intermediates, polyurethanes
and related systems,
specialty plastics and
elastomers, and technology
licensing and catalyst
products; Performance
Chemicals that offers
designed polymers, latex and
acrylic monomers, and
specialty chemicals;
Agricultural Sciences that
provides pest management,
agricultural, and crop
biotechnology products and
solutions; Basic Plastics
which offers polyethylene,
polypropylene, and
polystyrene resins; Basic
Chemicals which provides
chemicals, such as acids,
alcohols, caustic soda,
chlorine, chloroform, and
other chemicals; and
ethylene oxide/ethylene
glycol chemicals; and
Hydrocarbons and Energy,
which offers procurement of
fuels, natural gas liquids,
and crude oil-based raw
materials. The Company was
founded in 1897.</t>
  </si>
  <si>
    <t xml:space="preserve">3511
2821</t>
  </si>
  <si>
    <t xml:space="preserve">ALSTOM SA/DOW CHEMICAL CO-STRATEGIC ALLIANCE</t>
  </si>
  <si>
    <t xml:space="preserve">Alstom SA and Dow Chemical Co formed a strategic alliance to provide
research and development services of advanced amine scrubbing technology
for the removal of CO2 from low pressure flue gases particular to fossil
fuel fired power plants globally.</t>
  </si>
  <si>
    <t xml:space="preserve">021244
260543</t>
  </si>
  <si>
    <t xml:space="preserve">Nextgen Bioscience Inc
Beckpharma Ltd</t>
  </si>
  <si>
    <t xml:space="preserve">Mnfr digital device
Biotechnology company</t>
  </si>
  <si>
    <t xml:space="preserve">Manufacture digital
presentation devices
Beckpharma Ltd is a
biotechnology company
headquartered in London,
United Kingdom. The companys
brands include Surfacen for
injection for RDS, NewVagin
kit for differential diagnosis
of vaginitis, vax-TET, a
tetanus vaccine, Interferon
alpha-2B for injection for
hepatitis C and meningitis B&amp;C
vaccine.</t>
  </si>
  <si>
    <t xml:space="preserve">3577
2836</t>
  </si>
  <si>
    <t xml:space="preserve">NEXTGEN BIOSCIENCE INC/BECKPHARMA-STRATEGIC ALLIANCE</t>
  </si>
  <si>
    <t xml:space="preserve">NextGen Bioscience inc (NG) and Bechpharma Ltd (BL) formed a strategic
alliance to provide cancer treatment research and development services in
the United Kingdom.</t>
  </si>
  <si>
    <t xml:space="preserve">65294P
07571J</t>
  </si>
  <si>
    <t xml:space="preserve">Statens Serum Institut
Sanofi Pasteur SA</t>
  </si>
  <si>
    <t xml:space="preserve">Mnfr vaccines,diagnostic kits
Mnfr,dvlp vaccines</t>
  </si>
  <si>
    <t xml:space="preserve">Statens Serum Institut,
located in Copenhagen,
Denmark, manufactures
vaccines, plasma-derived
products, diagnostic kits,
media and reagents. The
Company also provides research
and development services on
the prevention, diagnosis and
treatment of infectious
diseases and congenital
disorders.
Sanofi Pasteur SA, located in
Lyon Cedex, France,
manufactures and develops
human vaccines. Its range of
vaccines include TheraCys,
Adacel, Daptacel, TriHIBit,
Tripedia, ActHIB and Fluzone.</t>
  </si>
  <si>
    <t xml:space="preserve">Denmark
France</t>
  </si>
  <si>
    <t xml:space="preserve">Statens Serum Institut
Sanofi-Aventis SA</t>
  </si>
  <si>
    <t xml:space="preserve">STATENS SERUM INSTITUT/SANOFI PASTEUR SA-STRATEGIC ALLIANCE</t>
  </si>
  <si>
    <t xml:space="preserve">Danish state-owned Statens Serum Institut (SS) and Sanofi Pasteur SA (SP),
a unit of Sanofi-Aventis SA, formed a strategic alliance to provide
tuberculosis vaccine development services. SS granted SP a license to its
technology including the right to use fusion proteins and Intercell's IC31
adjuvant in the development of the vaccine.</t>
  </si>
  <si>
    <t xml:space="preserve">85755I
80096R</t>
  </si>
  <si>
    <t xml:space="preserve">NPIL Research &amp; Dvlp Ltd
Eli Lilly &amp; Co</t>
  </si>
  <si>
    <t xml:space="preserve">Pvd drug dvlp svcs
Manufactures,wholesales pharmaceuticals</t>
  </si>
  <si>
    <t xml:space="preserve">NPIL Research &amp; Development
Ltd, located in India,
provides drug development
services.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</si>
  <si>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Nicholas Piramal India Ltd
Eli Lilly &amp; Co</t>
  </si>
  <si>
    <t xml:space="preserve">NPIL RESEARCH &amp; DEVELOPMENT/ELI LILLY &amp; CO-STRATEGIC ALLIANCE</t>
  </si>
  <si>
    <t xml:space="preserve">NPIL Research &amp; Development ltd, a unit of Nicholas Paramal India Ltd, and
Eli Lilly &amp; Co formed a strategic alliance to provide drug development
services in India. The companies will independently carry out early
clinical development of two different candidate compounds directed against
the same target. Following the evaluation of the data from the
Proof-of-Concept studies, one of more of the drug candidates may be
selected for further development.
</t>
  </si>
  <si>
    <t xml:space="preserve">63200N
532457</t>
  </si>
  <si>
    <t xml:space="preserve">Robert Bosch GmbH
Igarashi Motors India Ltd</t>
  </si>
  <si>
    <t xml:space="preserve">Manufacture,wholesale automobile,household equipment
Manufacturer and wholesales motors and generators</t>
  </si>
  <si>
    <t xml:space="preserve">Robert Bosch GmbH is a
manufacturer of motor
vehicle brake systems. The
Company was founded in 1886
and is located in Gerlingen,
Germany.
Igarashi Motors India Ltd is
engaged in the business of
auto components for
automobiles. The Company
offers electric micro motors
and motor components. The
Company is engaged in the
production and export of
permanent magnet direct
current (DC) motors for
automotive sector
specifically for passenger
cars. The Company's DC
motors include SQ-2846,
SQ3264, SQ3657, SQ3365,
SQ-3655, SQ-2848, SQ-3458,
3657 and 3665. The
Company's products'
primary application is
Electronic Throttle Control
(ETC). The Company has
produced over 500 million DC
motors for usage in actuator
application/systems in
passenger cars. The Company
was founded in 1992 and is
located in Chennai, India.</t>
  </si>
  <si>
    <t xml:space="preserve">3714
3621</t>
  </si>
  <si>
    <t xml:space="preserve">Robert Bosch Stiftung GmbH
Igarashi Motors India Ltd</t>
  </si>
  <si>
    <t xml:space="preserve">6732
3621</t>
  </si>
  <si>
    <t xml:space="preserve">ROBERT BOSCH GMBH/IGARASHI MOTORS LTD-JOINT VENTURE</t>
  </si>
  <si>
    <t xml:space="preserve">Robert Bosch GmbH (RB) and Igarashi Motors Ltd (IM), a unit of Igarashi
Electric Works Ltd, planned to form a joint venture (JV) to manufacture,
develop and wholesale automotive components in India. RB was to hold a 51%
interest in the JV while IM was to hold a 49% stake. The JV was to
manufacture and sell DC motors and systems for wiper, HVAC, engine cooling
and window lift applications.
</t>
  </si>
  <si>
    <t xml:space="preserve">10009T
45479V</t>
  </si>
  <si>
    <t xml:space="preserve">Israel Aerospace Industries
Tata Advanced Systems Ltd</t>
  </si>
  <si>
    <t xml:space="preserve">Manufacture airplanes,parts,equipment
Mnfr,whl defense technology</t>
  </si>
  <si>
    <t xml:space="preserve">Israel Aerospace Industries
Ltd, located in Lod, Israel,
is a manufacturer of
aircrafts. Its products
include space systems like
satellites, launchers,
ground stations and
subsystems, arrow weapon
system, EL.M-2080 search,
acquisition and fire control
radar, naval attack
missiles, unmanned air
vehicles, and precision
ground weapons. The Company
was founded in 1953.
Tata Advanced Systems Ltd
engages in defense,
aerospace, aero-structures,
and homeland security
businesses. It manufactures
sight radios for backhaul
communication and access
connectivity, multiband
networking radios to provide
mesh connectivity and
soldier radios; and embedded
systems, such as customized
solutions for software and
hardware based encryption,
personal authentication
systems based on bio-metric
applications, and voice and
video compression solutions
for low bandwidth networks.
The Company is located in
New Delhi, India.</t>
  </si>
  <si>
    <t xml:space="preserve">Israel Aerospace Industries
Tata Sons Pvt Ltd</t>
  </si>
  <si>
    <t xml:space="preserve">ISRAEL AIRCRAFT INDUSTRIES LTD/TATA ADVANCED SYSTEMS LTD-JOINT VENTURE</t>
  </si>
  <si>
    <t xml:space="preserve">State-owned Israel Aerospace Industries Ltd (IA) and Tata Advanced Systems
Ltd (TA), a unit of Tata Sons Ltd's Tata Industries Ltd subsidiary, planned
to form a joint venture (JV) to manufacture and develop aerospace and
defense products in India. The JV was to produce products such as missiles,
unmanned aerial vehicles, radars, electronic warfare systems and security
systems.</t>
  </si>
  <si>
    <t xml:space="preserve">46489A
88395K</t>
  </si>
  <si>
    <t xml:space="preserve">Mega Brands Inc
Intertek Group PLC</t>
  </si>
  <si>
    <t xml:space="preserve">Mnfr educ bldg block toys
Provides testing,inspection svcs</t>
  </si>
  <si>
    <t xml:space="preserve">Mega Brands Inc, located in
Montreal, Quebec, manufactures
educational building block
toys, games and stationery for
infants and children. The
company offers construction
toys under the MEGA BLOKS
brand and MAGNETIX brand name.
It also provides stationery
and activities product lines
are comprised of art
materials, such as crayons,
colored pencils, highlighters,
and markers under the ROSE ART
brand. The company was founded
in 1983.
Intertek Group PLC, located
in London, the United
Kingdom, provides testing,
inspecting and certifying
services. It offers products
and commodities testing
against a range of safety,
regulatory, quality and
performance standards. It
offers advisory, auditing,
certification, consulting,
evaluation, inspection,
outsourcing, quality
assurance, risk management
and validation. It serves
the oil, chemical,
agriculture, consumer goods,
commercial, electrical, and
government services
industries. It has global
locations in North &amp; South
America, EMEA, and Asia
Pacific. The Company was
founded in 1885.</t>
  </si>
  <si>
    <t xml:space="preserve">3944
8734</t>
  </si>
  <si>
    <t xml:space="preserve">Canada
United Kingdom</t>
  </si>
  <si>
    <t xml:space="preserve">MEGA BRANDS INC/INTERTEK GROUP PLC-STRATEGIC ALLIANCE</t>
  </si>
  <si>
    <t xml:space="preserve">Mega Brands Inc and Intertek Group PLC formed a strategic alliance to
provide research and development services of ingestion safety gauge
globally. The partners were expeced to develop a product line that meets a
strict safety  criteria based on size, shape, weight and design.</t>
  </si>
  <si>
    <t xml:space="preserve">58515N
46195K</t>
  </si>
  <si>
    <t xml:space="preserve">Nomura Hldg Inc
The Norinchukin Bank
Development Bank of Japan</t>
  </si>
  <si>
    <t xml:space="preserve">Investment holding company
Bank (non-US)
Pvd long-term financing svcs</t>
  </si>
  <si>
    <t xml:space="preserve">Nomura Holdings Inc, located
in Tokyo, Japan, is an
investment holding company
engaged in providing
securities investment and
financing services. The
company's services include
securities brokerage,
dealing, underwriting and
distribution, asset
management, advisory and
consulting, financing and
related services. The
operations are carried out
through the following
divisions: domestic retail;
global wholesale; and asset
management. The domestic
retail division provides
investment consultation
services. The global
wholesale division deals
with fixed income and equity
trading, investment banking
and merchant banking. The
asset management division is
involved in the development
and management of investment
trusts and advisory
services. Founded in
12-01-1925 00:00:00
The Norinchukin Bank,
located in Tokyo, Japan,
provides banking and asset
management services to
Japan's agricultural,
forestry and fishery
cooperative systems. The
company was founded in 1923.
Development Bank of Japan,
headquartered in Tokyo,
Japan, is a national finance
agency that provides
long-term financing and
other policy-based schemes
to qualified projects. It
also carries out research
projects related to
economic, social, industrial
and local issues. Founded in
1999.</t>
  </si>
  <si>
    <t xml:space="preserve">6289
6000
9651</t>
  </si>
  <si>
    <t xml:space="preserve">NOMURA HOLDINGS INC/NORINCHUKIN BANK/DEVELOPMENT BANK OF JAPAN-PRIVATE
EQUITY FUNDS RESEARCH &amp; INVESTMENTS CO LTD JOINT VENTURE</t>
  </si>
  <si>
    <t xml:space="preserve">Private Equity Funds Research
&amp; Investments Co Ltd, located
in Japan, provides private
equity fund research and
investment advisory services.
The Company was founded in
2008.</t>
  </si>
  <si>
    <t xml:space="preserve">Nomura Holdings Inc (NH), Norinchukin Bank (NB) and state-owned Development
Bank of Japan (DB) formed a joint venture named Private Equity Funds
Research &amp; Investments Co Ltd (PE) to provide private equity fund research
and investment advisory services in Japan. NH held a 65% interest in PE
while NB held a 30% stake. The remaining 5% stake was held by DB. PE was
capitalized at $18.55 mil US (2 bil Japanese yen).</t>
  </si>
  <si>
    <t xml:space="preserve">Investment Services
Consulting Services
Research &amp; Development Services</t>
  </si>
  <si>
    <t xml:space="preserve">65.00
30.00
5.00</t>
  </si>
  <si>
    <t xml:space="preserve">Private Equity Funds Research &amp; Investments Co Ltd was capitalized at
$18.55 mil US (2 bil Japanese yen).</t>
  </si>
  <si>
    <t xml:space="preserve">75475A</t>
  </si>
  <si>
    <t xml:space="preserve">65535H
656029
24989Z</t>
  </si>
  <si>
    <t xml:space="preserve">Core Healthcare Invstmt Hldgs
Tibet Rhodiola Pharm Hldg Co</t>
  </si>
  <si>
    <t xml:space="preserve">Whl diagnostic testing prod
Mnfr pharm</t>
  </si>
  <si>
    <t xml:space="preserve">Core Healthcare Investment
Holdings Ltd located in
Central Hong Kong,
wholesales diagnostic
testing products, health
food and pharmaceuticals.
The company also provides
diagnostic testing services.
Tibet Rhodiola
Pharmaceutical Holding Co
Ltd, located in China,
manufactures and wholesales
prescription pharmaceuticals
intended for final
consumption, including
biotech products and
antibiotics. The company was
founded in 1999.</t>
  </si>
  <si>
    <t xml:space="preserve">5047
2834</t>
  </si>
  <si>
    <t xml:space="preserve">Core Healthcare Invstmt Hldgs
Tibet Huaxi Pharm Grp Co Ltd</t>
  </si>
  <si>
    <t xml:space="preserve">CORE HEALTHCARE/XIZANG MEDICINE-JOINT VENTURE</t>
  </si>
  <si>
    <t xml:space="preserve">Core Healthcare Investment Holdings Ltd (CH) and Tibet Rhodiola
Pharmaceutical Holding Co (TR), a unit of Tibet Huaxi Pharmceutical Group
Co Ltd, form a joint venture (JV) to provide research and development
services of human brain and cardiac natriuretic peptide drug for the
treatment of heart diseases in China. CH held a 51% interest in the JV, and
the remaining 49% stake was held by TR. The JV's formation had been
subjected to due diligence and approval by the shareholders and board of
directors.</t>
  </si>
  <si>
    <t xml:space="preserve">17097W
88695E</t>
  </si>
  <si>
    <t xml:space="preserve">MIPS Technologies Inc
NXP BV</t>
  </si>
  <si>
    <t xml:space="preserve">Mnfr processor architectures
Mnfr,wholesale semiconductors</t>
  </si>
  <si>
    <t xml:space="preserve">MIPS Technologies Inc, based
in Sunnyvale, California,
manufactures processor
architectures and cores for
digital home, networking and
mobile applications. Its
technology is used in
digital televisions, set-top
boxes, Blu-ray players,
broadband customer premises
equipment (CPE), WiFi access
points and routers,
networking infrastructure
and portable/mobile
communications and
entertainment products. It
also has offices in Asia
Pacific, Europe, Japan, and
Middle East. The company was
founded in 1944.
NXP Semiconductors Netherlands
BV, located in Eindhoven,
Netherlands, manufactures and
wholesales semiconductors for
mobile, home, automotive, MMS,
and identification
applications. The products
include FM radio ICs, Subs, 3G
RF, silicon tuners for TVs, TV
reception tuners, PNX5100
video postprocessors,
e-passport ICs, car radio
tuners, digital signal
processors for car radios, and
32-bit ARM-based
microcontrollers. The company
also develops mobile
multimedia software solutions
as well as provide research
and development services.
Customers include Apple,
Bosch, Dell, Flextronics,
Foxconn, Nokia, Philips,
Samsung, Siemens and Sony. The
company was founded in 2006.</t>
  </si>
  <si>
    <t xml:space="preserve">MIPS TECHNOLOGIES INC/NXP SEMICONDUCTORS-STRATEGIC ALLIANCE</t>
  </si>
  <si>
    <t xml:space="preserve">MIPS Technologies Inc (MT) and NXP Semiconductors (NS) formed a strategic
alliance wherein NS licensed MT to use its advanced HDMI receive technology
to develop HDMI receive IP solutions in advaced geometries for digital home
applications.</t>
  </si>
  <si>
    <t xml:space="preserve">604567
62797J</t>
  </si>
  <si>
    <t xml:space="preserve">PUB
Nitto Denko Corp
Mitsubishi Rayon Engineering</t>
  </si>
  <si>
    <t xml:space="preserve">Water utility
Mnfr,whl industrial products
Mnfr engineering sys</t>
  </si>
  <si>
    <t xml:space="preserve">Public Utilities Board {PUB}
is the national water agency
of Singapore. It is
responsible for the supply of
potable water at the most
economic cost and provides
plumbing system maintenance.
Nitto Denko Corp, located in
Osaka, Japan, manufactures and
wholesales industrial products
developed through high polymer
chemistry. It has three
divisions electronic material,
industrial materials and
functional materials. The
Company was founded in 1918.
Mitsubishi Rayon Engineering
Co Ltd, located in Tokyo,
Japan, manufactures and
develops engineering systems
for the synthetic fiber and
chemical plant, medical
system, water treatment, waste
management, food processing,
membranes and aqua-systems and
civil engineering sectors. Its
products include high purity
water production systems,
dialysis equipment, steel belt
machines, nonwoven fabric
production equipment, UV
coating system, and filters
for water purification and
wastewater treatment. It also
provides recycling services as
well as constructs food
processing plants, synthetic
fiber and chemical plants. The
Company was founded in 1975.</t>
  </si>
  <si>
    <t xml:space="preserve">4941
2819
3823</t>
  </si>
  <si>
    <t xml:space="preserve">Singapore
Japan
Japan</t>
  </si>
  <si>
    <t xml:space="preserve">PUB
Nitto Denko Corp
Mitsubishi Rayon Co Ltd</t>
  </si>
  <si>
    <t xml:space="preserve">4941
2819
2821</t>
  </si>
  <si>
    <t xml:space="preserve">PUBLIC UTILITY BOARD/NITTO DENKO CORP/MITSUBISHI RAYON
ENGINEERING-STRATEGIC ALLIANCE</t>
  </si>
  <si>
    <t xml:space="preserve">Singaporean state-owned Public Utility Board {PUB}, Nitto Denko Corp (ND),
and Mitsubishi Rayon Engineering Co Ltd (MR), a unit of Mitsubishi Rayon Co
Ltd, planned to form a strategic alliance to provide research and
development services. The alliance was to develop membrane bioreactor
systems for treating municipal and industrial used water.</t>
  </si>
  <si>
    <t xml:space="preserve">74462P
654802
60825Q</t>
  </si>
  <si>
    <t xml:space="preserve">Lumera Corp
Asyrmatos Inc</t>
  </si>
  <si>
    <t xml:space="preserve">Mnfr polymer materials
Mnfr wireless transceiver sys</t>
  </si>
  <si>
    <t xml:space="preserve">Lumera Corp, located in
Bothell, Washington,
manufactures proprietary
polymer materials and products
based on these materials for a
broad range of applications
such as electro-optic devices
and biotechnology disposables.
Lumera was founded in 2000 as
a Washington corporation and
reincorporated in 2004 as a
Delaware corporation.
Asyrmatos Inc, located in
Brighton, Massachusetts,
manufactures data-rate
wireless transceiver systems</t>
  </si>
  <si>
    <t xml:space="preserve">2821
3661</t>
  </si>
  <si>
    <t xml:space="preserve">LUMERA CORP/ASYRMATOS INC-STRATEGIC ALLIANCE</t>
  </si>
  <si>
    <t xml:space="preserve">Lumera Corp and Asyrmatos Inc formed a strategic alliance to provide
research and development services of telecommunication products in the
United Staes. The partners were expected to develop a device that could
transmit data at spectrum frequencies of 35, 94, and 140 GHz. Data rates
from 2.5 Gbps to 10.3 Gbps can be transmitted up to three miles per data
link.</t>
  </si>
  <si>
    <t xml:space="preserve">55024R
06610N</t>
  </si>
  <si>
    <t xml:space="preserve">Entelos Inc
PDL Biopharma Inc</t>
  </si>
  <si>
    <t xml:space="preserve">Pvd biosimulation sys svcs
Biopharm co</t>
  </si>
  <si>
    <t xml:space="preserve">Entelos Inc, located in Foster
City, California, is a
biopharmaceutical company that
develops predictive
biosimulation systems using
its patented PhysioLab
technology. The Company
develops dynamic large-scale
computer models of human
disease wherein each PhysioLab
platform provides a framework
for integrating data (e.g.,
genomic, proteomic,
physiologic, environmental) in
the context of a disease or
therapeutic area. The Company
was founded in 1996.
PDL Biopharma Inc,
headquartered in Incline
Village, Nevada, is a
biopharmaceutical company,
which develops, manufactures
and markets innovative
therapies for serious or
life-threatening illnesses,
commercially focused on the
acute-care, hospital based
setting. It was founded in
1986.</t>
  </si>
  <si>
    <t xml:space="preserve">CA
NV</t>
  </si>
  <si>
    <t xml:space="preserve">ENTELOS INC/PDL BIOPHARMA INC-STRATEGIC ALLIANCE</t>
  </si>
  <si>
    <t xml:space="preserve">Entelos Inc (EI) and PDL Biopharma Inc (PB) formed a strategic alliance to
provide in silico research and virtual clinical trials in the United
States. The alliance focused on identifying primary endpoints, patient
types, and optimal doses to support one of PB's antibody development
programs.</t>
  </si>
  <si>
    <t xml:space="preserve">29362X
69329Y</t>
  </si>
  <si>
    <t xml:space="preserve">Sigma-Aldrich Corp
MorphoSys AG</t>
  </si>
  <si>
    <t xml:space="preserve">Mnfr,whl chemicals
Mnfr biopharmaceutical prod</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</si>
  <si>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t>
  </si>
  <si>
    <t xml:space="preserve">SIGMA-ALDRICH CORP/MORPHOSYS AG-STRATEGIC ALLIANCE</t>
  </si>
  <si>
    <t xml:space="preserve">Sigma-Aldrich Corp and MorphoSys AG formed a strategic alliance to provide
research and development services of specific and fully human antibodies
used in scientific and genomic research, biotechnology, pharmaceutical
development, and the diagnosis of disease globally. The alliance was a
strategic investment opportunity both for the partners to leverage their
medical development services and to further expand their market and product
coverage worldwide.</t>
  </si>
  <si>
    <t xml:space="preserve">826552
617760</t>
  </si>
  <si>
    <t xml:space="preserve">Acceleron Pharma Inc
Celgene Corp</t>
  </si>
  <si>
    <t xml:space="preserve">Research and Development in Biotechnology
Manufacture,wholesale biopharmaceutical products</t>
  </si>
  <si>
    <t xml:space="preserve">Acceleron Pharma Inc,
located in Cambridge,
Massachusetts, is a provider
of biotechnology research
and development services.
The Company was founded in
June 2003.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</si>
  <si>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ACCELERON PHARMA INC/CELGENE CORP- STRATEGIC ALLIANCE</t>
  </si>
  <si>
    <t xml:space="preserve">Celgene Corp (CC) and Acceleron Pharma Inc (AP), a unit of CC, formed a
strategic alliance to provide anabolic bone agent ACE-011
developmentservices for the treatment of cancer-related bone loss. CC will
make an upfront payment to AP of $50 mil US.</t>
  </si>
  <si>
    <t xml:space="preserve">Celgene Corp will make an upfront payment to Acceleron Pharma Inc of $50
mil US.</t>
  </si>
  <si>
    <t xml:space="preserve">00434H
151020</t>
  </si>
  <si>
    <t xml:space="preserve">Creative Technology Ltd
InnoMedia Pte Ltd</t>
  </si>
  <si>
    <t xml:space="preserve">Mnfr,whl digital ent prod
Internet Service Provider{ISP}</t>
  </si>
  <si>
    <t xml:space="preserve">Creative Technology Ltd
located in Singapore,
manufactures and wholesales
digital entertainment products
and other products for
personal computers. Its
products include personal
digital entertainment
products, such as portable
digital audio and video
players, and desktop and
notebook webcams, as well as
sound cards and speakers;
audio products, such as sound
cards; speakers, including
satellite and subwoofer
speaker and docking systems
for the personal computer and
portable media players, and
portable speaker systems; and
headphones and headsets,
including noise-canceling
headphones and wireless
headphones, as well as
headsets for music, home
entertainment, gaming, and
professional or studio
purposes. It was founded in
1981.
Internet Service Provider
{ISP}</t>
  </si>
  <si>
    <t xml:space="preserve">3577
7375</t>
  </si>
  <si>
    <t xml:space="preserve">CREATIVE TECHNOLOGY LTD/INNOMEDIA PTE LTD-STRATEGIC ALLIANCE</t>
  </si>
  <si>
    <t xml:space="preserve">Creative Technology Ltd (CT) and InnoMedia Pte Ltd (IM) formed a strategic
alliance to manufacture and develop wireless video conferencing system
known as Creative inPerson (TM) in Singapore. Creative inPerson, a
breakthrough in video conferencing technology, design, price and
ease-of-use, offers multi party and cross-platform capabilities and high
quality conferencing. CT has forged partnerships with some of the
industry's top technology companies and developers worldwide, fortifying
its strength and leadership in product innovation and research and
development. The alliance brings together CT's vast experience in designing
audio and video consumer devices and IM's expertise in providing
leading-edge infrastructure and network solutions.</t>
  </si>
  <si>
    <t xml:space="preserve">Y1775U
46242V</t>
  </si>
  <si>
    <t xml:space="preserve">Nanya Technology Corp
Micron Technology Inc</t>
  </si>
  <si>
    <t xml:space="preserve">Mnfr,whl memory prod
Manufactures and wholesales semiconductors</t>
  </si>
  <si>
    <t xml:space="preserve">Nanya Technology Corp,
located in New Taipei,
Taiwan, is a manufacturer of
semiconductors and related
device. The Company was
founded in March 04, 1995.
Micron Technology Inc,
located in Boise, Idaho,
manufactures and wholesales
semiconductors. Its products
include memory products,
personal computer systems,
custom complex printed
circuit board, memory module
and system level assemblies,
remote intelligent
communications products and
field emission flat panel
displays and DRAMs, Flash
memory, CMOS image sensors,
other semiconductor
components, and memory
modules. The Company was
founded in 1978.</t>
  </si>
  <si>
    <t xml:space="preserve">Taiwan
United States</t>
  </si>
  <si>
    <t xml:space="preserve">FF
ID</t>
  </si>
  <si>
    <t xml:space="preserve">MICRON TECHNOLOGY INC/NANYA TECHNOLOGY CO LTD-JOINT VENTURE</t>
  </si>
  <si>
    <t xml:space="preserve">Micron Technology Inc and Nanya technology Corp planned to form a joint
venture named MeiYa Technology Corp (MT) to provide research and
development services of 8-inch dynamic-random-access-memory in Taiwan. The
partners were to explore potential technology sharing and joint technology
development for MT The alliance was to leverage the companies technology,
strengths and experience to successfully compete in the global DRAM
business through greater scale and efficiency. The partners were to each
hold a 50% interest in MT. MT's formation was subject to customary closing
conditions.</t>
  </si>
  <si>
    <t xml:space="preserve">63025W
595112</t>
  </si>
  <si>
    <t xml:space="preserve">Bikam Inc
Dalton Chem Labs Inc</t>
  </si>
  <si>
    <t xml:space="preserve">Biopharmaceutical co
Pharmaceutical Preparation Manufacturing</t>
  </si>
  <si>
    <t xml:space="preserve">Bikam Inc, located in Boston,
Massachusetts, is a
biopharmaceutical company
focused on the development of
novel therapeutics for the
treatment of degenerative eye
diseases and disorders.
Dalton Chemical Laboratories
Inc, located in Toronto,
Canada, is a manufacturer of
pharmaceutical preparation.
The Company focuses on
Contract Research, Drug
Development, Process
Optimization, Peptide
synthesis, Kilo scale GMP
Pharmaceutical
manufacturing, Sterile fill,
Diagnostics, Synthetic Route
Development, Synthetic
feasibility analysis,
natural products, scale up
of difficult chemistry,
heterocyclic and inert
atmosphere chemistry, drug
analog development programs.
The Company was founded in
1986.</t>
  </si>
  <si>
    <t xml:space="preserve">BIKAM INC/DALTON MEDICINAL CHEMISTRY-STRATEGIC ALLIANCE</t>
  </si>
  <si>
    <t xml:space="preserve">Bikam Inc and Dalton Chemical Laboratories Inc formed a strategic alliance
to provide discovery and development  services of potential therapeutic
agents for the treatment of degenerative eye diseases and ocular
disorders.</t>
  </si>
  <si>
    <t xml:space="preserve">09208L
23735R</t>
  </si>
  <si>
    <t xml:space="preserve">Genmab A/S
Pepscan Holding NV</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</si>
  <si>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Pepscan Holding NV, located in
Netherlands, is a product
focused immunotherapy company
with a developed pipeline of
therapeutic vaccines.</t>
  </si>
  <si>
    <t xml:space="preserve">GENMAB AS/PEPESCAN INC-STRATEGIC ALLIANCE</t>
  </si>
  <si>
    <t xml:space="preserve">Genmab A/S and Pepscan Holding NV formed a strategic alliance to provide
research and development services aimed at identifying fully human
monoclonal antibodies against intractable disease targets. The alliance
will use PH's proprietary CLIPS (TM) technology to identify functional
mimics of the essential parts of such intractable targets.</t>
  </si>
  <si>
    <t xml:space="preserve">K3967W
71342X</t>
  </si>
  <si>
    <t xml:space="preserve">Vermillion Inc
Stanford University</t>
  </si>
  <si>
    <t xml:space="preserve">Biotech co
Own,op university</t>
  </si>
  <si>
    <t xml:space="preserve">Vermillion Inc, located in
Fremont, California, is a
biotechnology company focused
on the discovery, development
and commercialization of
novel, high-value molecular
diagnostic tests for several
clinical areas including
cardiology, oncology and
hematology. Its product
pipeline includes the
Peripheral Artery Disease
Blood Test, ovarian cancer
blood tests, and the
Thrombotic Thrombocytopenic
Purpura (TTP) Test.
Stanford University, located
in Stanford, California, is
an owner and operator of a
university, founded in 1891.</t>
  </si>
  <si>
    <t xml:space="preserve">VERMILLION INC/STANFORD UNIVERSITY-STRATEGIC ALLIANCE</t>
  </si>
  <si>
    <t xml:space="preserve">Vermillion Inc (VI) and Stanford University (SU) formed a strategic
alliance wherein SU licensed VI to develop and commercialize a novel
biomarker panel used to asses the risk of peripheral artery disease in the
United States.</t>
  </si>
  <si>
    <t xml:space="preserve">92407M
854403</t>
  </si>
  <si>
    <t xml:space="preserve">QuantRX Biomedical Corp
Jant Pharmacal Corp</t>
  </si>
  <si>
    <t xml:space="preserve">Mnfr med diagnostic prod
Whl diagnostic tests</t>
  </si>
  <si>
    <t xml:space="preserve">QuantRX Biomedical Corp,
located in Doylestown,
Pennsylvania, manufactures and
develops medical technology
products for diagnostics and
treatment of medical and
healthcare needs. Its products
include RapidSense lateral
flow diagnostic test,
OralSense oral fluid
collection device, Affirm
drugs-of-abuse test, PET
imaging agents. GUSA
microarray chips, and PADKit
technology. The company was
founded in 1986.
Jant Pharmacal Corp, located
in Encino, Califorrnia,
wholesales and markets a
comprehensive line of rapid
immuno-diagnostic test
products for clinical,
consumer and workplace
applications. Its products
include Accutest and
Accustrip. The Company was
founded in 1986.</t>
  </si>
  <si>
    <t xml:space="preserve">3841
5047</t>
  </si>
  <si>
    <t xml:space="preserve">QUANTRX BIOMEDICAL CORP/JANT PHARMACAL CORP-STRATEGIC ALLIANCE</t>
  </si>
  <si>
    <t xml:space="preserve">QuantRX Biomedical Corp (QB) and Jant Pharmacal Corp (JP) formed a
strategic alliance to provide research and development services in the
United States. QB and JP collaborated to develop and market new
technologies in the areas of diagnostics and monitoring.</t>
  </si>
  <si>
    <t xml:space="preserve">74765N
47083F</t>
  </si>
  <si>
    <t xml:space="preserve">Acta SpA
CMR Fuel Cells PLC</t>
  </si>
  <si>
    <t xml:space="preserve">Manufacture chemicals
Mnfr fuel cell prod</t>
  </si>
  <si>
    <t xml:space="preserve">Acta SpA, located in Pisa,
Italy, manufactures Catalysts,
electrodes and fule cells. The
company has operations in
Japan, Korea, Taiwan, China
and South East Asia. The
company was founded in 2004.
CMR Fuel Cells PLC, based in
Cambridge, UK, manufactures
fuel cell products and systems
for portable and small
stationary power generation
applications.</t>
  </si>
  <si>
    <t xml:space="preserve">2899
3629</t>
  </si>
  <si>
    <t xml:space="preserve">ACTA SPA/CMR FUEL CELLS LTD-STRATEGIC ALLIANCE</t>
  </si>
  <si>
    <t xml:space="preserve">Acta SpA and CMR Fuel Cells Ltd formed a strategic alliance to provide
research and development services of fuel cell stacks and catalyst
globally. The alliance ws expected to explorenew opportunities in portable
power, hydrogen generation for renewable energy, and waste treatment
technology.</t>
  </si>
  <si>
    <t xml:space="preserve">87564P
12875P</t>
  </si>
  <si>
    <t xml:space="preserve">Kyowa Hakko Kogyo Co Ltd
Amgen Inc</t>
  </si>
  <si>
    <t xml:space="preserve">Mnfr,whl pharm
Manufacture human therapeutics</t>
  </si>
  <si>
    <t xml:space="preserve">Kyowa Hakko Kogyo Co Ltd,
headquartered in Japan and
founded in 1949,
manufactures and wholesales
pharmaceutical products such
as drugs for cancer,
cardiovascular conditions
and fungal infections,
agrochemicals, diagnostic
reagents, plasticizers and
solvents and produce food
and liquor such as umeshu
and imported scotch. It also
manufactures specialty
chemicals, seasonings,
confectionery and baking
ingredients and processed
foods.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</si>
  <si>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KYOWA HAKKO KOGYO CO LTD/AMGEN INC-STRATEGIC ALLIANCE</t>
  </si>
  <si>
    <t xml:space="preserve">Kyowa Hakko Kogyo Co Ltd (KH) and Amgen Inc (AI) planned to form a
strategic alliance wherein KH was to exclusively licensed AI to develop and
commercialize its humanized monoclonal antibody KW-0761 worldwide, except
in Japan, Korea, China and Taiwan. AI was to pay KH an upfront payment of
$100 mil US (10.39 bil Japanese yen) and development and milestone payments
of up to $420 mil US (43.65 bil yen). The alliance was subject to the
approval of the Federal Trade Commission and will be effective upon such
approval.</t>
  </si>
  <si>
    <t xml:space="preserve">Amgen Inc was to pay Kyowa Hakko Kogyo an upfront payment of $100 mil US
(10.39 bil Japanese yen) and development and milestone payments of up to
$420 mil US (43.65 bil yen).</t>
  </si>
  <si>
    <t xml:space="preserve">50156V
031162</t>
  </si>
  <si>
    <t xml:space="preserve">Senz-It Inc
BioMedix Inc</t>
  </si>
  <si>
    <t xml:space="preserve">Mnfr,dvlp sensors
Mnfr,dvlp diagnostic devices</t>
  </si>
  <si>
    <t xml:space="preserve">Senz-It Inc, located in
Newport Beach, California,
manufactures and develops
sensors that provide rapid,
continuous on-site detection
and measurement of biological
and chemical substances in
air, water, blood and other
real-world environments. Its
primary product, Senz-IT,
detects hazardous materials
and a hosts of analytes
ranging from bacteria to
explosives. The product
services 4 primary markets
namely food safety and
security, transportation
authorities, indoor air
quality and disease
diagnostics.
BioMedix Inc, located in St.
Paul, Minnesota, manufactures,
develops and sells peripheral
arterial disease (PAD)
diagnostic device that can be
used to test for PAD and
interpreted by vascular
specialists via secure Web
links. Its products include
PADnet Lab, Portable Vascular
Lab, TRAKnet Lab, and TRAKnet
outcomes. Founded in 1997.</t>
  </si>
  <si>
    <t xml:space="preserve">3822
3841</t>
  </si>
  <si>
    <t xml:space="preserve">World-Am Inc
BioMedix Inc</t>
  </si>
  <si>
    <t xml:space="preserve">3829
3841</t>
  </si>
  <si>
    <t xml:space="preserve">SENZ-IT INC/BIOMEDIX-STRATEGIC ALLIANCE</t>
  </si>
  <si>
    <t xml:space="preserve">Senz-It Inc, a unit of World-Am Inc, and BioMedix Inc formed a strategic
alliance to provide research and development services in the United States.
The alliance was expected to develop a new testing system to detect levels
of decay in fish, one of the most perishable foods.</t>
  </si>
  <si>
    <t xml:space="preserve">81703K
08982A</t>
  </si>
  <si>
    <t xml:space="preserve">PrimeGen Biotech LLC
Unidym Inc</t>
  </si>
  <si>
    <t xml:space="preserve">Pvd research,therapeutic svcs
Mnfr carbon nanotube products</t>
  </si>
  <si>
    <t xml:space="preserve">PrimeGen Biotech LLC, located
in Irvine, California,
provides research and
therapeutic applications
services of adult stem cells,
leading to individualized
patient therapies.
Unidym Inc, located in Menlo
Park, California, manufactures
carbon nanotube products and
other forms of nanostructured
carbon for the electronics
industry. The company offers
electrodes and thin-film
transistors based on carbon
nanotubes, for applications in
displays, solar cells and
lighting. It was founded in
2005.</t>
  </si>
  <si>
    <t xml:space="preserve">8731
3624</t>
  </si>
  <si>
    <t xml:space="preserve">PrimeGen Biotech LLC
Arrowhead Research Corp</t>
  </si>
  <si>
    <t xml:space="preserve">PRIMEGEN BIOTECH LLC/UNIDYM INC-STRATEGIC ALLIANCE</t>
  </si>
  <si>
    <t xml:space="preserve">PrimeGen Biotech LLC and Unidym Inc, a unit of Arrowhead Research Corp,
formed a strategic alliance to provide carbon nanotubes in stem cell
medicine exploration services in the United States.</t>
  </si>
  <si>
    <t xml:space="preserve">73868L
90409H</t>
  </si>
  <si>
    <t xml:space="preserve">CertainTeed Corp
SRS Energy Inc</t>
  </si>
  <si>
    <t xml:space="preserve">Manufacture building products
Mnfr roofs</t>
  </si>
  <si>
    <t xml:space="preserve">CertainTeed Corp, located in
Malvern, Pennsylvania, is a
manufacturer of building
products such as roofing,
vinyl siding, fiber cement
siding, windows, pipe and
foundation materials for
residential and commercial
applications in North
America. The Company was
founded in 1904.
SRS Energy Inc, located in
Philadelphia, Pennsylvania,
manufacture active and
inactive roof tiles</t>
  </si>
  <si>
    <t xml:space="preserve">2435
3251</t>
  </si>
  <si>
    <t xml:space="preserve">Cie de Saint-Gobain SA
SRS Energy Inc</t>
  </si>
  <si>
    <t xml:space="preserve">3231
3251</t>
  </si>
  <si>
    <t xml:space="preserve">CERTAINTEED CORP/SRS ENERGY INC-STRATEGIC ALLIANCE</t>
  </si>
  <si>
    <t xml:space="preserve">CertainTeed Corp and SRS Energy Inc formed a strategic alliance to provide
research and development services of polymeric-based photovoltaic roof tile
in the United States</t>
  </si>
  <si>
    <t xml:space="preserve">156879
78280J</t>
  </si>
  <si>
    <t xml:space="preserve">Marcadia Biotech Inc
Merck &amp; Co Inc</t>
  </si>
  <si>
    <t xml:space="preserve">Mnfr biopharmaceutical product
Mnfr,whl pharmaceutical prod</t>
  </si>
  <si>
    <t xml:space="preserve">Marcadia Biotech Inc, located
in Carmel, Indiana,
manufactures biopharmaceutical
products for the treatment of
diabetes, obesity, and other
metabolic diseases. The
company was founded in 2005.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</si>
  <si>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IN
NJ</t>
  </si>
  <si>
    <t xml:space="preserve">MARCADIA BIOTECH INC/MERCK &amp; CO INC-STRATEGIC ALLIANCE</t>
  </si>
  <si>
    <t xml:space="preserve">Merck &amp; Co Inc and Marcadia Biotech Inc formed a strategic alliance to
provide research and development services of novel biopharmaceutical
therapies targeting the glucagon and related receptors for the treatment of
diabetes and obesity in the United States. Terms were not disclosed. The
transaction was subject to clearance under the United States
Hart-Scott-Rodino Antitrust Improvements Act.</t>
  </si>
  <si>
    <t xml:space="preserve">56615X
589331</t>
  </si>
  <si>
    <t xml:space="preserve">Evotec AG
InterMune Inc</t>
  </si>
  <si>
    <t xml:space="preserve">Evotec AG, located in
Hamburg, Germany, is a
biotechnology company, with
locations in the UK and in
the US. The Group is
specializing in the
discovery and development of
novel small molecule drugs.
The company was founded in
1993.
InterMune Inc, located in
Brisbane, California, is a
biotechnology company engaged
in the research, development
and commercialization of
innovative therapies in
pulmonology and hepatology. It
offers Esbriet (pirfenidone),
which is now approved in the
European Union for the
treatment of adults with mild
to moderate IPF, a progressive
and fatal lung disease. The
hepatology portfolio includes
next-generation HCV protease
inhibitor and NS5A research
programs. InterMune
additionally sells Actimmune
(interferon gamma-1b),
approved for the treatment of
severe, malignant
osteopetrosis and chronic
granulomatous disease. The
company was founded in 1988.</t>
  </si>
  <si>
    <t xml:space="preserve">EVOTEC AG(WAS 30048N)/INTERMUNE INC-STRATEGIC ALLIANCE</t>
  </si>
  <si>
    <t xml:space="preserve">Evotec AG and InterMune Inc formed a strategic alliance  to provide
research and development services of fragment-based drug for the treatment
of Hepatitis C globally. The alliance was a strategic investment
opportunity both for the partners to leverage their medical development
services and to further expand their market and product coverage
worldwide.</t>
  </si>
  <si>
    <t xml:space="preserve">D1646D
45884X</t>
  </si>
  <si>
    <t xml:space="preserve">Genta Inc
Daiichi Sankyo Co Ltd</t>
  </si>
  <si>
    <t xml:space="preserve">Mnfr pharmaceuticals
Mnfr,whl pharm,agrochemicals</t>
  </si>
  <si>
    <t xml:space="preserve">Genta Inc, located in Berkeley
Heights, New Jersey,
manufactures prescription
pharmaceuticals intended for
final consumption, including
biotech products and
antibiotics. The Group's
research platform is:
DNA/RNA-based Medicines and
Small Molecules. Genasense
(oblimersen sodium) Injection
is the Company's lead compound
from its DNA/RNA Medicines
program. The main drug in
Genta's Small Molecule program
is Ganite (gallium nitrate
injection), which the Company
is exclusively marketing in
the U.S. for treatment of
symptomatic patients with
cancer-related hypocalcaemia
that is resistant to
hydration. It has developed
G4544, an oral formulation of
the active ingredient in
Ganite that has recently
entered clinical trials as a
potential treatment for
diseases associated with
accelerated bone loss. The
company was founded in 1988.
Daiichi Sankyo Co Ltd,
headquartered in Tokyo,
Japan, is engaged in the
manufacturing and sale of
pharmaceuticals. The company
has two business segments.
The Pharmaceuticals segment
is involved in the research,
development, manufacturing
and sale of pharmaceuticals,
as well as the provision of
intermediates and basic
materials for pharmaceutical
making. The Others segment
is involved in the real
estate leasing, the
insurance agency business,
human resources and
management services. As of
March 31, 2010, the company
had 100 subsidiaries and
four associated companies.
The company was founded in
2005. 2005.</t>
  </si>
  <si>
    <t xml:space="preserve">GENTA INC/DAIICHI SANKYO CO LTD(WAS 80104T)-STRATEGIC ALLIANCE</t>
  </si>
  <si>
    <t xml:space="preserve">Daiichi Sankyo Co Ltd (DS) and Genta Inc (GI) formed a strategic alliance
wherein DS licensed GI to develop its Oral Taxane tesetaxel oncology drug
globally. Under terms of the agreement, DS was to received an upfront
payments, payments pursuant to the achievement of certain milestones, and
royalties on product sales.</t>
  </si>
  <si>
    <t xml:space="preserve">37245M
J11257</t>
  </si>
  <si>
    <t xml:space="preserve">Dr Reddy's Laboratories Ltd
7TM Pharma A/S</t>
  </si>
  <si>
    <t xml:space="preserve">Manufactures and wholesales prescription pharmaceutical
Biotech co</t>
  </si>
  <si>
    <t xml:space="preserve">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
7TM Pharma A/S, located in
Horsholm, Denmark, is a
biotechnology company that
focuses on new pharmaceutical
drugs targeting 7TM receptors.
The Company's primary
therapeutic area is metabolic
diseases including obesity,
diabetes and cardiovascular
dieases. Founded in 2000.</t>
  </si>
  <si>
    <t xml:space="preserve">India
Denmark</t>
  </si>
  <si>
    <t xml:space="preserve">DR REDDYS LABORATORIES LTD/7TM PHARMA A/S-STRATEGIC ALLIANCE</t>
  </si>
  <si>
    <t xml:space="preserve">Dr Reddys Laboratories Ltd and 7TM Pharma AS formed a strategic alliance to
provide drug discovery services. The partners were expected to develop
clinical candidates for pre-selected targets concerning metabolic
diseases.</t>
  </si>
  <si>
    <t xml:space="preserve">256135
81858M</t>
  </si>
  <si>
    <t xml:space="preserve">Scottish &amp; Southern Energy PLC
Intelligent Energy Hldgs PLC</t>
  </si>
  <si>
    <t xml:space="preserve">Electricity utility company
Mnfr,dvlp fuel cell stack tech</t>
  </si>
  <si>
    <t xml:space="preserve">Scottish &amp; Southern Energy
PLC, located in Perth, UK,
is an electric utility
company. The company is
involved in the generation,
transmission, distribution
and supply of electricity.
It also works in energy
trading and storage and
supply of gas as well as
electrical and utility
contracting and
telecommunication network
operator. The company was
founded in 1998.
Intelligent Energy Holdings
PLC, located in Loughborough,
UK, manufactures and develops
fuel cell power systems and
technologies. The power
systems and technology are
used for power generation and
hydrogen generation as well as
the ENV fuel cell motorbike.
The company was founded in
2001.</t>
  </si>
  <si>
    <t xml:space="preserve">4911
3621</t>
  </si>
  <si>
    <t xml:space="preserve">SCOTTISH &amp; SOUTHERN ENERGY PLC/INTELLIGENT ENERGY HOLDINGS PLC- JOINT
VENTURE</t>
  </si>
  <si>
    <t xml:space="preserve">Scottish &amp; Southern Energy PLC (SS) and Intelligent Energy Holdings PLC
(IE) planned to form a joint venture named IE CHP (UK &amp; Eire) Ltd (IC) to
manufacture and develop fuel-cell based combined heat and power systems for
the light industrial, commercial and residential markets in the United
Kingdom. SS and IE were to each hold a 50% interest in IC. SS was to
initially invest $2 mil US (1 mil British pounds) in IC.</t>
  </si>
  <si>
    <t xml:space="preserve">Scottish &amp; Southern Energy PLC was to initially invest $2 mil US (1 mil
British pounds) in IE CHP (UK &amp; Eire) Ltd.</t>
  </si>
  <si>
    <t xml:space="preserve">81012K
46292Z</t>
  </si>
  <si>
    <t xml:space="preserve">ICBS Ltd
McCoy Enterprises LLC
Connell Associates LLC</t>
  </si>
  <si>
    <t xml:space="preserve">Pvd bus dvlp,financial svcs
Mnfr,dvlp drug delivery sys
Pvd consulting svcs</t>
  </si>
  <si>
    <t xml:space="preserve">ICBS Ltd, located in Ile
Perrot, Quebec, provides
business development,
financial and management
consulting services,
specializing in mergers and
acquisitions (M&amp;A) advisory
services and invests in
selective businesses with
potential for high growth. The
company was founded in 2001.
McCoy Enterprises LLC, located
in Little Falls, New Jersey,
manufactures and develops drug
delivery systems by Metered
Dose Applicator as well as a
patented drug for wound
healing called Debride WH-1
topical therapy.
Connell Associates LLC,
located in Cary, North
Carolina, provides consulting
services to pharmaceutical and
biotechnology companies. It is
involved in sales management,
marketing and commercial
consulting.</t>
  </si>
  <si>
    <t xml:space="preserve">6282
3841
8742</t>
  </si>
  <si>
    <t xml:space="preserve">Canada
United States
United States</t>
  </si>
  <si>
    <t xml:space="preserve">FF
NJ
NC</t>
  </si>
  <si>
    <t xml:space="preserve">ICBS LTD(WAS 87945E)/MCCOY ENTERPRISES LLC/CONNELL ASSOCIATES-PHARMADERM
LLC JOINT VENTURE</t>
  </si>
  <si>
    <t xml:space="preserve">ICBS Ltd, Connell Associates LLC and McCoy Enterprises LLC planned to form
a joint venture named PharmaDerm LLC to manufacture, license and develop
portfolio of pharmaceutical and biotechnology products in the United
States.</t>
  </si>
  <si>
    <t xml:space="preserve">Manufacturing Services
Research &amp; Development Services
Licensing Services</t>
  </si>
  <si>
    <t xml:space="preserve">44924K
57981V
20787Z</t>
  </si>
  <si>
    <t xml:space="preserve">DMetrix Inc
AFRRI
Henry M Jackson Foundation</t>
  </si>
  <si>
    <t xml:space="preserve">Dvlp software
Pvd research, dvlp svcs
Pvd military med research svcs</t>
  </si>
  <si>
    <t xml:space="preserve">Develop software for
array-microscope technology
Armed Forces Radiobiology
Research Institute, located in
Bethesda, Maryland, provides
medical radiological defense
research and development
services.
Provide military medical
research and educational
services</t>
  </si>
  <si>
    <t xml:space="preserve">7372
8731
8731</t>
  </si>
  <si>
    <t xml:space="preserve">AZ
MD
MD</t>
  </si>
  <si>
    <t xml:space="preserve">DMetrix Inc
Uniformed Services University
Henry M Jackson Foundation</t>
  </si>
  <si>
    <t xml:space="preserve">7372
8221
8731</t>
  </si>
  <si>
    <t xml:space="preserve">DMETRIX INC/AFRRI-STRATEGIC ALLIANCE</t>
  </si>
  <si>
    <t xml:space="preserve">DMetrix Inc (DM), Armed Forces Radiobiology Research Institute (AFR), a
unit of American state-owned Uniformed Services University of the Health
Sciences and Henry M Jackson Foundation for the Advancement of Military
Medicine Inc, formed a strategic alliance to provide research and
development services to improve the speed and accuracy of detecting
dicentric chromosome aberrations for radiation dose assessment. The
alliance will integrate DM's EX-40 (R) high throughput array microscope
imaging system into AFR's automated cytogenetic biodosimetry laboratory.
The goal was to develop a cytogenetic laboratory automated-scoring platform
(CLASP).</t>
  </si>
  <si>
    <t xml:space="preserve">23610V
04228A
53564Z</t>
  </si>
  <si>
    <t xml:space="preserve">DuPont
Arcadia Biosciences Inc</t>
  </si>
  <si>
    <t xml:space="preserve">Mnfr chemical,electronic prod
Mnfr,dvlp farming biotech sys</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</si>
  <si>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Arcadia Biosciences Inc,
located in Davis,
California, is involved with
agricultural biotechnology
that uses advanced
screening, breeding and
biotechnology techniques to
create value for consumers,
processors and farmers. Its
products include Arcadia
bioessence solution which
uses Arcadia's Nitrogen Use
Efficiency (NUE) technology
which produces plants with
yields that are equivalent
to plants with conventional
varieties but which uses
sigificantly less nitrogen
fertilizer. It was founded
in 2002.</t>
  </si>
  <si>
    <t xml:space="preserve">DuPont
Moral Compass Corp</t>
  </si>
  <si>
    <t xml:space="preserve">2821
6799</t>
  </si>
  <si>
    <t xml:space="preserve">EI DU PONT DE NEMOURS &amp; CO/ARCADIA BIOSCIENCES INC-STRATEGIC ALLIANCE</t>
  </si>
  <si>
    <t xml:space="preserve">Iowa</t>
  </si>
  <si>
    <t xml:space="preserve">Ei Du Pont de Nemours &amp; Co  and Arcadia Biosciences Inc formed a strategic
alliance to provide nitrogen use in corn development services in the United
States. Terms of the agreement were not disclosed.</t>
  </si>
  <si>
    <t xml:space="preserve">263534
039014</t>
  </si>
  <si>
    <t xml:space="preserve">Vistagen Therapeutics Inc
University Health Network</t>
  </si>
  <si>
    <t xml:space="preserve">Biopharmaceutical company
Own,op hospital</t>
  </si>
  <si>
    <t xml:space="preserve">VistaGen Therapeutics Inc,
located in South San
Francisco, California, is a
biopharmaceutical company
focused on developing novel
drug therapies for treatment
of CNS disorders. It develops
stem-cell biology platforms
which aim to create assay
systems for predictive
toxicology, drug discovery and
drug rescue. The company was
founded in 2003.
University Health Network,
located in Toronto, Canada,
owns and operates a hospital.</t>
  </si>
  <si>
    <t xml:space="preserve">2836
8062</t>
  </si>
  <si>
    <t xml:space="preserve">VISTAGEN THERAPEUTICS INC/UNIVERSITY HEALTH NETWORK- STRATEGIC ALLIANCE</t>
  </si>
  <si>
    <t xml:space="preserve">VistaGen Therapeutics Inc (VG) and University Health Network (UH) formed a
strategic alliance to provide diabetes and neurological disorders new drug
discovery and development services. The new collaboration positions VG to
continue to leverage the ES cell biology expertise and leading-edge ES cell
technologies. The alliance expect to conduct research into advanced
techniques to differentiate ES cells into mature cardiac, liver, and
pancreatic beta-islet cells. The alliance will enhance VG's
industry-leading, in vitro biological systems and bioinformatics databases
for predictive toxicology applications.</t>
  </si>
  <si>
    <t xml:space="preserve">93001X
91428R</t>
  </si>
  <si>
    <t xml:space="preserve">Charter Communications Inc
The Nielsen Co</t>
  </si>
  <si>
    <t xml:space="preserve">Pvd cable TV, Internet svcs
Pvd audience measurement svcs</t>
  </si>
  <si>
    <t xml:space="preserve">Charter Communications Inc,
located in St Louis,
Missouri, provides cable
television and broadband
communications services. The
company offers traditional
cable video programming,
high-speed Internet access,
broadband cable services,
high definition television
service, interactive
television, and telephone
service through the Internet
to residential and
commercial customers. It was
founded in 1999.
The Nielsen Company, based
in New York, New York,
provides audience
measurement and marketing
information services. The
company offers information,
insight, analysis and advice
about consumers to packaged
goods manufacturers and
retailers and for other
consumer service industries.
The company provides
television audience
measurement, print
readership measurement,
internet audience
measurement, advertising
expenditure and content
information, entertainment
information and services,
media planning services,
advertising rate and
circulation data,
point-of-sale retail
measurement, consumer
panels, customized research,
new product sales
forecasting, consumer
segmentation and targeting,
marketing campaign tracking,
analysis and consulting and
publications, trade shows
and digital
business-to-business
products and services. The
company was founded in 1923.</t>
  </si>
  <si>
    <t xml:space="preserve">4841
7311</t>
  </si>
  <si>
    <t xml:space="preserve">CHARTER COMMUNICATIONS INC/NIELSEN CO- STRATEGIC ALLIANCE</t>
  </si>
  <si>
    <t xml:space="preserve">Charter Communications Inc (CC) and Nielsen Co (NC) formed a strategic
alliance to provide digital set top box (STB) data marketing services for
analytical and potential audience measurement in the United States. As part
of the agreement, CC is providing NC with anonymous STB viewing data from
almost 330,000 households in the Los Angeles area, which Nielsen will
develop into commercially available analyses and reports of digital
television viewership. This research will be the first time that
census-level tuning data and panel-based people meter viewing data will be
combined to produce expanded household and demographic reporting from a
local television market.</t>
  </si>
  <si>
    <t xml:space="preserve">Marketing Services
Research &amp; Development Services</t>
  </si>
  <si>
    <t xml:space="preserve">16117M
65417K</t>
  </si>
  <si>
    <t xml:space="preserve">Eli Lilly &amp; Co
Transition Therapeutics Inc</t>
  </si>
  <si>
    <t xml:space="preserve">Manufactures,wholesales pharmaceuticals
Mnfr pharmaceuticals</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</si>
  <si>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Transition Therapeutics Inc,
located in Toronto, Ontario,
manufactures pharmaceuticals
aimed at treating ailments
such as diabetes, Alzheimer's
disease, multiple sclerosis,
and hepatitis C based on its
ELND-005/AZD-103 small
molecule therapeutic
technology. The company was
founded in 1998.</t>
  </si>
  <si>
    <t xml:space="preserve">IN
FF</t>
  </si>
  <si>
    <t xml:space="preserve">ELI LILLY &amp; CO/TRANSITION THERAPEUTICS INC-STRATEGIC ALLIANCE</t>
  </si>
  <si>
    <t xml:space="preserve">Transition Therapeutics Inc (TT) and Eli Lilly &amp; Co (EL) formed a strategic
alliance wherein TT exclusively licensed EL to develops its gastrin based
therapies, including the lead compound TT-223 globally. The agreement was
focused on the development of gastrin analogues, alone or in combination
with approved or experimental diabetes agents as potential disease
modifying therapies for diabetes patients.</t>
  </si>
  <si>
    <t xml:space="preserve">532457
893716</t>
  </si>
  <si>
    <t xml:space="preserve">Duke Energy Corp
Coca-Cola Bottling Co Cons</t>
  </si>
  <si>
    <t xml:space="preserve">Provides electricity delivery services
Produce soft drinks</t>
  </si>
  <si>
    <t xml:space="preserve">Duke Energy Corp,
headquartered in Charlotte,
North Carolina, provides
physical delivery and
management services of both
electricity and natural gas
throughout the US and abroad
with seven business segments
including electric
operations, natural gas
transmission, field
services, trading and
marketing, global assets
development, energy services
and real estate operations.
The Company was founded in
1917.
Coca-Cola Bottling Co
Consolidated, located in
Charlotte, North Carolina,
produces, distribute and
market non-alcoholic
beverages, primarily products
of the Coca-Cola company. Its
products include carbonated
soft drinks, bottled water,
teas, juices, sports drinks,
and energy products. The
Company holds bottle contracts
and allied bottle contracts
under which, it produces and
markets carbonated
nonalcoholic beverage products
of The Coca-Cola Company. The
Company operates in North
Carolina, South Carolina,
Alabama, Georgia, Tennessee,
Virginia, and West Virginia.
It was founded in 1902.</t>
  </si>
  <si>
    <t xml:space="preserve">4931
2086</t>
  </si>
  <si>
    <t xml:space="preserve">NC
NC</t>
  </si>
  <si>
    <t xml:space="preserve">DUKE POWER CORP/COCA-COLA BOTTLING CO CONSOLIDATED-STRATEGIC ALLIANCE</t>
  </si>
  <si>
    <t xml:space="preserve">Duke Energy Corp and Coca-Cola Bottling Co Consolidates formed a strategic
alliance to provide plug-in hybrid electric vehicle technology (PHEV)
research and marketing services in the United States. The alliance was
expected to increase the awareness of plug-in hybrids, demonstrate the
viability of the technology, and evaluate performance parameters. a PHEV
kit extends the efficiency of a standard hybrid vehicle by increasing the
size of its battery which can be charged through a normal 120-volt electric
outlet. PHEV technology has enabled vehicles to travel 100 miles or more on
a gallon of gas.</t>
  </si>
  <si>
    <t xml:space="preserve">264399
191098</t>
  </si>
  <si>
    <t xml:space="preserve">bioMerieux SA
Hitachi High-Technologies Corp</t>
  </si>
  <si>
    <t xml:space="preserve">Mnfr diagnostic pharm prod
Mnfr microscope,semiconductors</t>
  </si>
  <si>
    <t xml:space="preserve">bioMerieux SA, located in
Marcy L'Etoile, France,
manufactures in vitro
diagnostics for medical and
industrial applications. The
Group offers 'in vitro'
diagnosis which serves as
the basis for medical
diagnosis, patient treatment
and therapy monitoring. The
Group contributes to the
field of infectious diseases
such as hepatitis, HIV,
tuberculosis and respiratory
infection and pathologies
such as cancer and
cardiovascular diseases. The
Group performs clinical
diagnosis through three
technologies, bacteriology,
immunoassays and molecular
biology. It also develops
software used to interpret
the results of biological
tests. The Group operates in
Europe, North America,
Asia-Pacific and Latin
America. The Company was
founded in 1897.
Hitachi High-Technologies
Corp is manufacturing
microscorpe and
semiconductors,
headquartered in Tokyo. The
Group's principal activity
is to manufacture electronic
equipment and materials
including semiconductor
equipment and materials,
electronic microscopes and
LC equipment. The Group is
also involved in
manufacturing and marketing
laboratory equipment such as
mass spectrometer, nuclear
magnetic resonance
apparatus,
spectrophotometer,
chromatograph and
centrifuge, information
electronic equipment
including computer systems,
peripheral equipment, OA
equipment, semiconductors
and ICs, electronic
materials, nonferrous metal
products and other
chemicals. The operations
are carried out through the
following divisions:
Electronic Device Systems,
Life Science, Information
Electronics and High-tech
materials.</t>
  </si>
  <si>
    <t xml:space="preserve">Sanofi-Aventis SA
Hitachi Ltd</t>
  </si>
  <si>
    <t xml:space="preserve">BIOMERIEUX SA/HITACHI HIGH-TECHNOLOGIES-STRATEGIC ALLIANCE</t>
  </si>
  <si>
    <t xml:space="preserve">bioMerieux SA (BM) and Hitachi High-Technologies Corp (HH), a unit of
Hitachi Ltd, formed a strategic alliance to provide new microbiology and
molecular diagnostic systems development services. The companies will work
together to identify and develop new systems and news instruments had been
manufactured by HH and distributed through BM's network.
</t>
  </si>
  <si>
    <t xml:space="preserve">09098Z
43344C</t>
  </si>
  <si>
    <t xml:space="preserve">Global Research Services Inc
CardioDynamics Intl Corp</t>
  </si>
  <si>
    <t xml:space="preserve">Pvd research,dvlp svcs
Mnfr heart-monitoring devices</t>
  </si>
  <si>
    <t xml:space="preserve">Global Research Services Inc,
located in Rockville,
Maryland, provides research
and development for
comprehensive clinical and
non-invasive core laboratory
services. The company was
founded in March 2007.
CardioDynamics International
Corp, headquartered in San
Diego, California,
manufactures, develops and
wholesales non-invasive
heart-monitoring devices using
proprietary impedance
cardiography (ICG) technology,
DISQ technology and ZMarc
algorithm, which is used to
monitor the heart's ability to
deliver blood to the body and
help physicians assess,
diagnose and treat
cardiovascular disease. The
company was founded in 1993.</t>
  </si>
  <si>
    <t xml:space="preserve">8731
3845</t>
  </si>
  <si>
    <t xml:space="preserve">GLOBAL RESEARCH SERVICES /CARDIODYNAMICS INTERNATIONAL - STRATEGIC
ALLIANCE</t>
  </si>
  <si>
    <t xml:space="preserve">Global Research Services Inc (GRS) and CardioDynamics International Corp
(CD) formed a strategic alliance to provide advanced processing of
non-invasive homodynamic ICG data service in the United States. CD
authorized GRS to utilize its impedance cardiography (ICG) technology. The
alliance will allow biotechnology, pharmaceutical, and device companies and
clinical research sites to obtain the benefits of enhanced cardiac safety
monitoring in Phase I through IV clinical trials.</t>
  </si>
  <si>
    <t xml:space="preserve">37899Q
141597</t>
  </si>
  <si>
    <t xml:space="preserve">Zogenix Inc
Desitin Arzneimittel GmbH</t>
  </si>
  <si>
    <t xml:space="preserve">Zogenix Inc, located in San
Diego, California,
manufactures pharmaceuticals
with two proprietary product
candidates in late-stage
development for the
treatment of central nervous
system disorders and pain.
Its lead product candidate,
sumatriptan DosePro (TM)
enables needle free delivery
of subcutaneus sumatripan-
the fastest migraine
medicine. The second product
candidate ZX002 is an oral
controlled release
formulation of hydrocodone
for the treatment of chronic
pain. The company was
incorporated on May 11,
2006.
Desitin Arzneimittel GmbH,
headquartered in Germany,
manufactures pharmaceuticals.
It focuses on development and
distribution of products for
the treatment of epilepsy,
Parkinson's disease and
psychiatric disorders. The
company was founded in 1919.</t>
  </si>
  <si>
    <t xml:space="preserve">ZOGENIX INC/DESITIN PHARMACEUTICALS GMBH-STRATEGIC ALLIANCE</t>
  </si>
  <si>
    <t xml:space="preserve">Zogenix Inc (ZI) and Desitin Arzneimittel GmbH (DA) formed a strategic
alliance wherein ZI licensed DA to develop and commercialize its late
stage, single use , needle-free products candidate for migraine headache,
sumatriptan DosePro. Under terms of the agreement, DA will oversee and be
responsible for the expenses related to, all clinical development,
regulatory approvals and commercialization efforts required to market and
sell across Europe. ZI will be responsible for the manufacture and supply
of commercial product, and will receive a transfer price payment on
manufactured product and royalty payments based on sales of the products
upon commercialization.</t>
  </si>
  <si>
    <t xml:space="preserve">98978L
25079R</t>
  </si>
  <si>
    <t xml:space="preserve">Xenobiotic Laboratories Inc
Changao Investment Ltd</t>
  </si>
  <si>
    <t xml:space="preserve">Xenobiotic Laboratories Inc,
located in Plainsboro, New
Jersey, is a biotechnology
company. Founded in 1987.
Changao Investment Ltd,
located in China, is an
investment company
specializing in preclinical
and clinical-supporting
pharmaceutical and biotech
research industries.</t>
  </si>
  <si>
    <t xml:space="preserve">Xenobiotic Laboratories Inc
Screen Power Enterprises Ltd</t>
  </si>
  <si>
    <t xml:space="preserve">2836
6719</t>
  </si>
  <si>
    <t xml:space="preserve">CHANGGAO INVESTMENT LTD/XENOBIOTIC LABORATORIES INC-JOINT VENTURE</t>
  </si>
  <si>
    <t xml:space="preserve">Xenobiotic Laboratories Inc (XL) and Changao Investment Ltd (CI), a unit of
C&amp;O Pharmaceutical Technology (Holdings) Ltd, planned to form a joint
venture named US Good Laboratory Practice Co Ltd (UG) to provide research
and development services specializing in preclinical and
clinical-supporting pharmaceutical industry in China. XL was to hold a
62.5% interest in UG, and the remaining 37.5% stake was to be held by CI.
UG was to operate a compliant laboratory in Nanjing, in Eastern Jiangsu
province by he end of 2008.</t>
  </si>
  <si>
    <t xml:space="preserve">62.50
37.50</t>
  </si>
  <si>
    <t xml:space="preserve">09842C
15933F</t>
  </si>
  <si>
    <t xml:space="preserve">Corgenix Medical Corp
Okayama Prefecture Industrial</t>
  </si>
  <si>
    <t xml:space="preserve">Mnfr,whl diagnostic products
Pvd research,dvlp svcs</t>
  </si>
  <si>
    <t xml:space="preserve">Corgenix Medical Corp, located
in Broomfield, Colorado, is a
manufacturer and wholesaler of
in vitro diagnostic products
for use in disease detection
and diagnosis. The company was
founded in 1990.
Okayama Prefecture Industrial
Promotion Foundation, located
in Japan, is a government
agency promoting research and
development among industry,
universities and governments.</t>
  </si>
  <si>
    <t xml:space="preserve">CORGENIX MEDICAL CORP/OKAYAMA PREFECTURE INDUSTRIAL-STRATEGIC ALLIANCE</t>
  </si>
  <si>
    <t xml:space="preserve">Corgenix Medical Corp (CM) and Japanese state-owned Okayama Prefecture
Industrial Promotion Foundation (OP) formed a strategic alliance wherein OP
licensed CM to develop its serum amyloid technology outside of Japan.</t>
  </si>
  <si>
    <t xml:space="preserve">218724
67840H</t>
  </si>
  <si>
    <t xml:space="preserve">DiObex Inc
Camurus AB</t>
  </si>
  <si>
    <t xml:space="preserve">DiObex Inc is a biotechnology
company headquartered in San
Francisco, California. It is
engaged in the development of
novel products for the
treatment of metabolic
diseases. Its pipeline
includes products targeted at
significant unmet medical
needs in metabolic disorders
including type 1 and type 2
diabetes, dyslipidemia,
obesity and diabetic
nephropathy. It was founded in
2003.
Camurus AB is a
biotechnology company
headquartered in Lund,
Sweden. It focuses on
innovative design,
development, and
documentation of lipid-based
FluidCrystal (R) drug
delivery systems. Its
pipeline of drug product
candidates, both in-house
and in cooperation with
selected pharmaceutical and
biotech partners, covers
therapeutic areas cancer,
pain, infection, CNS, and
metabolic disease. The
company was founded in 1991.</t>
  </si>
  <si>
    <t xml:space="preserve">DiObex Inc
Sandberg Development AB</t>
  </si>
  <si>
    <t xml:space="preserve">DIOBEX INC/CAMURUS AB-STRATEGIC ALLIANCE</t>
  </si>
  <si>
    <t xml:space="preserve">DiObex Inc (DI) and Camurus AB formed a strategic alliance to provide
DIO-901 very low dose glucagon in FluidCrystal (R) development services for
the prevention of insulin-induced hypoglycemia in patients with diabetes.
Terms of the agreement include an undisclosed signing fee, development
milestones, future royalties on product sales and a share of any potential
DI revenues.</t>
  </si>
  <si>
    <t xml:space="preserve">25566N
13476R</t>
  </si>
  <si>
    <t xml:space="preserve">Nokia Siemens Networks Oy
ACME Cleantech Solutions Pvt</t>
  </si>
  <si>
    <t xml:space="preserve">Pvd wireless telecommun svcs
Alternative Energy Services</t>
  </si>
  <si>
    <t xml:space="preserve">Nokia Siemens Networks Oy,
located in Espoo, Finland,
provides wireless
telecommunications services
and has operations in some 150
countries in seven regions:
North America, Latin America,
West &amp; South Europe, North
East, Middle East &amp; Africa,
Greater China and APAC. The
company's main business units
include Radio Access,
Broadband Access, Service Core
and Applications,
IP/Transport, Operations
Support Systems, and Services.
It was founded in 2007.
ACME Cleantech Solutions Pvt
Ltd provides energy management
solutions for wireless
telecommunications and
alternate energy sectors in
India and internationally. It
offers solutions and systems,
such as surveillance systems
and solutions for secure
border management; portable
water and waste water
treatment solutions; bullet
proof permanent defense
systems; renewable and
alternate energy solutions;
and lithium-ion based energy
storage solutions to enable
operation for defense for
remote areas and naval
warships. The company also
provides field, remote
monitoring, operations and
management, and global energy
management services. The
Company is located in
Gurugram, India.</t>
  </si>
  <si>
    <t xml:space="preserve">4812
8748</t>
  </si>
  <si>
    <t xml:space="preserve">Finland
India</t>
  </si>
  <si>
    <t xml:space="preserve">Siemens AG
ACME Cleantech Solutions Pvt</t>
  </si>
  <si>
    <t xml:space="preserve">3663
8748</t>
  </si>
  <si>
    <t xml:space="preserve">NOKIA SIEMENS NETWORKS/ACME TELE POWER LTD-STRATEGIC ALLIANCE</t>
  </si>
  <si>
    <t xml:space="preserve">Nokia Siemens Networks, a joint venture between Nokia OYJ and Siemens AG,
and ACME Tele Power Ltd formed a strategic alliance to provide research and
development services of remote energy monitoring solutions in India. The
partners were expected to build a operate a laboratory to leverage their
energy efficiency solutions.</t>
  </si>
  <si>
    <t xml:space="preserve">65756H
12385R</t>
  </si>
  <si>
    <t xml:space="preserve">ImmuneRegen BioSciences Inc
DelSite Biotechnologies Inc</t>
  </si>
  <si>
    <t xml:space="preserve">Biotechnology co
Biotech co</t>
  </si>
  <si>
    <t xml:space="preserve">ImmuneRegen BioSciences Inc,
located in Scottsdale,
Arizona, is a biotechnology
company engaged in research
and development utilizing
modified substance P and
applications used in improving
pulmonary and function and
human immune system.
Biotechnology company that
provides pharmaceutical and
biotechnology industries with
novel delivery solutions for
new and existing proteins and
peptides</t>
  </si>
  <si>
    <t xml:space="preserve">AZ
TX</t>
  </si>
  <si>
    <t xml:space="preserve">IR Biosciences Holdings Inc
Carrington Laboratories Inc</t>
  </si>
  <si>
    <t xml:space="preserve">IMMUNEREGEN BIOSCIENCES INC/DELSITE BIOTECHNOLOGIES INC-STRATEGIC ALLIANCE</t>
  </si>
  <si>
    <t xml:space="preserve">ImmuneRegen BioSciences Inc, a unit of GPN Network Inc, and DelSite
Biotechnologies Inc, a unit of Carrington Laboratories Inc, formed a
strategic alliance to provide new vaccine adjuvant systems development
services in the United States. The alliance was expected to provide both
immediate and sustained immunostimulation for more effective protection
against a variety of transmittable pathogens.</t>
  </si>
  <si>
    <t xml:space="preserve">45272T
24740R</t>
  </si>
  <si>
    <t xml:space="preserve">Crucell NV
Medarex Inc</t>
  </si>
  <si>
    <t xml:space="preserve">Crucell NV, located in Leiden,
the Netherlands, is a
biopharmaceutical company. It
focuses on research and
development, production and
sale of vaccines, proteins and
antibodies that prevent and
treat infectious diseases. The
company's core portfolio
includes vaccines against
hepatitis B and a
virosome-adjuvanted vaccine
against influenza. The company
has offices in China,
Indonesia, Italy, Korea,
Malaysia, Spain, Sweden,
Switzerland, the UK the USA
and Vietnam. The company was
founded in October 2000.
Medarex Inc, located in
Princeton, New Jersey, is a
biopharmaceutical company
focused on the discovery,
development, and potential
commercialization of fully
human antibody-based
therapeutics to treat life-
threatening and debilitating
diseases, including cancer,
inflammation, autoimmune and
infectious diseases. It was
founded in 1987.</t>
  </si>
  <si>
    <t xml:space="preserve">CRUCELL NV/MEDAREX INC- STRATEGIC ALLIANCE</t>
  </si>
  <si>
    <t xml:space="preserve">Crucell NV and Medarex Inc formed a strategic alliance to provide STAR (R)
research license services for the production of monoclonal antibodies. The
STAR (R) technology was a production technology that was particularly
useful for the production of recombinant human antibodies and proteins. It
has potentially broad application and was effective for production of
antibodies and proteins on mammalian cell lines such as CN's PER.C6 (R)
human cell technology and the widely used Chinese hamster ovary (CHO) cell
line. Financial details were not disclosed.</t>
  </si>
  <si>
    <t xml:space="preserve">228769
583916</t>
  </si>
  <si>
    <t xml:space="preserve">Third Wave Technologies Inc
DCL Medical Laboratories Inc</t>
  </si>
  <si>
    <t xml:space="preserve">Mnf test kits prods
Pvd clinical testing svcs</t>
  </si>
  <si>
    <t xml:space="preserve">Third Wave Technologies Inc,
located in Madison, Wisconsin,
manufactures test kits,
components and related
products for the purpose of
analyzing genetic variations.
The company offers molecular
diagnostic products for
various DNA and RNA analysis
applications. It was founded
in 1993.
DCL Medical Laboratories Inc,
headquartered in Indianapolis,
Indiana, is a provider of
diagnostic and clinical trial
testing services to obstetrics
and gynecology physicians,
hospitals and pharmaceutical
companies in Indianapolis and
St Louis.</t>
  </si>
  <si>
    <t xml:space="preserve">WI
IN</t>
  </si>
  <si>
    <t xml:space="preserve">Third Wave Technologies Inc
Thompson Street Capital Part</t>
  </si>
  <si>
    <t xml:space="preserve">THIRD WAVE TECHNOLOGIES INC/DCL MEDICAL LABORATORIES INC-STRATEGIC
ALLIANCE</t>
  </si>
  <si>
    <t xml:space="preserve">Indiana</t>
  </si>
  <si>
    <t xml:space="preserve">Third Wave Technologies Inc (TW) and DCL Medical Laboratories Inc (DCL), a
unit of Thompson Street Capital Partners, formed a strategic alliance to
provide research and development services in the United States. DCL will
serve as a product development, demonstration and marketing partner with
TW. DCL will adopt products from TW expanding molecular diagnostic menu and
have early access to new assays and equipment developed by TW. The
companies look forward to creating a showcase with DCL of the most
innovative molecular diagnostic products and equipment.</t>
  </si>
  <si>
    <t xml:space="preserve">88428W
23729H</t>
  </si>
  <si>
    <t xml:space="preserve">Royal Dutch Shell PLC
Virent Energy Systems Inc</t>
  </si>
  <si>
    <t xml:space="preserve">Petroleum Refinery Operator
Produce renewable fuels</t>
  </si>
  <si>
    <t xml:space="preserve">Royal Dutch Shell PLC,
located in The Hague, the
Netherlands, is a petroleum
refinery operator. It also
operates in six segments
namely: exploration and
production, gas and power,
oil sands, oil products and
chemicals and corporate. The
exploration and production
division explores and
produces oil and gas through
energy projects. The gas and
power segment explores,
produces and transports
natural gas. The oil sands
division produces oil and
gas from unconventional
sources like oil sands
located mainly in Canada.
The oil products segment
refines, trades and ships
crude oil, manufactures and
markets fuels, lubricants,
bitumen and liquefied
petroleum gas. The chemicals
and corporate group produces
petrochemicals for
industrial customers. The
Company was founded in
February 1907.
Virent Energy Systems Inc,
located in Madison, Wisconsin,
produces renewable liquid
fuels, fuel gases and other
chemicals using the BioForming
(TM) process.</t>
  </si>
  <si>
    <t xml:space="preserve">2911
2869</t>
  </si>
  <si>
    <t xml:space="preserve">ROYAL DUTCH SHELL PLC/VIRENT ENERGY SYSTEMS INC- STRATEGIC ALLIANCE</t>
  </si>
  <si>
    <t xml:space="preserve">Royal Dutch Shell PLC and and Virent Energy Systems Inc formed a 5-year
strategic alliance to provide research and development services in an
effort to convert plant sugars directly into gasoline and gasoline blend
components. The alliance could herald the availability of new biofuels that
can be used at high blend rates in standard gasoline engines. This could
potentially eliminate the need for specialized infrastructure, new engine
designs and blending equipment.</t>
  </si>
  <si>
    <t xml:space="preserve">780259
93224E</t>
  </si>
  <si>
    <t xml:space="preserve">Valence Technology Inc
Securaplane Technologies Inc</t>
  </si>
  <si>
    <t xml:space="preserve">Mnfr rechargeable batteries
Mnfr aircraft prods</t>
  </si>
  <si>
    <t xml:space="preserve">Valence Technology, Inc,
located in Austin, Texas,
manufactures rechargeable
lithium polymer batteries
for portable communication
devices. Its products are
distributed through the
U-Charge brands which
include a range of Lithium
Iron Magnesium Phosphate
battery modules, command and
control systems and
monitoring accessories. The
Company was founded in 1989.
Securaplane Technologies Inc,
located in Tucson, Arizona,
manufactures aircraft Battery
Chargers, Inverters, Airborne
Video and Security Systems,
and Wireless Technologies,
including smoke
detection/suppression systems
for commercial and general
aviation.</t>
  </si>
  <si>
    <t xml:space="preserve">3691
3728</t>
  </si>
  <si>
    <t xml:space="preserve">VALENCE TECHNOLOGY INC/SECURAPLANE TECHNOLOGIES INC-STRATEGIC ALLIANCE</t>
  </si>
  <si>
    <t xml:space="preserve">Valence Technology Inc and Securaplane Technologies Inc formed a strategic
alliance to provide research and development services of customized
lithium-phosphate battery pack use in aviation power applications in the
United State. The alliance was expected to produce a secure aviation energy
storage systems including select mainship and emergency backup power
applications.</t>
  </si>
  <si>
    <t xml:space="preserve">918914
81387R</t>
  </si>
  <si>
    <t xml:space="preserve">Interstate Power &amp; Light Co
Prairielands Energy Marketing</t>
  </si>
  <si>
    <t xml:space="preserve">Electric &amp; gas utility
Pvd gas marketing services</t>
  </si>
  <si>
    <t xml:space="preserve">Interstate Power &amp; Light Co,
located in Cedar Rapids, Iowa,
is an electric &amp; gas utility
company. Incorporated in 1925,
provides energy in a tri-state
portion of the Midwest. It has
nearly 3,000 MW of generating
capacity from fossil-fueled
and nuclear power plants., and
it provides steam and other
energy-related services in
selected areas.
Provide gas marketing services</t>
  </si>
  <si>
    <t xml:space="preserve">4931
4922</t>
  </si>
  <si>
    <t xml:space="preserve">IA
ND</t>
  </si>
  <si>
    <t xml:space="preserve">Alliant Energy Corp
MDU Resources Group Inc</t>
  </si>
  <si>
    <t xml:space="preserve">4911
4911</t>
  </si>
  <si>
    <t xml:space="preserve">INTERSTATE POWER &amp; LIGHT CO/PRAIRIELANDS ENERGY MARKETING-STRATEGIC
ALLIANCE</t>
  </si>
  <si>
    <t xml:space="preserve">Interstate Power &amp; Light Co, a unit of Alliant Energy Corp, and Prairie
Lands Bio-Products Inc formed a strategic alliance to provide research and
development services of switchgrass or other similar agriculturally based
products to serve as a fuel source in the United States.</t>
  </si>
  <si>
    <t xml:space="preserve">461070
73992R</t>
  </si>
  <si>
    <t xml:space="preserve">CSIRO
Nuctech Co Ltd</t>
  </si>
  <si>
    <t xml:space="preserve">Research and Development in The Physical, Engineering and Lifesciences (Except Biotechnology)
Mnfr X-Ray equip</t>
  </si>
  <si>
    <t xml:space="preserve">Commonwealth Scientific &amp;
Industrial Research
Organization is a provides
research and development
services for the
agribusiness, energy and
transport, natural
resources, health,
communication, manufacturing
and mineral resources
industries. The Company was
founded in 1949 and is
located in Canberra,
Australia.
Nuctech Co Ltd is a
manufacturer and wholesaler of
medical apparatuses. The
Company was founded in
December 2000 and is located
in Beijing, China.</t>
  </si>
  <si>
    <t xml:space="preserve">8731
3844</t>
  </si>
  <si>
    <t xml:space="preserve">CSIRO
Tsinghua Tongfang Co Ltd</t>
  </si>
  <si>
    <t xml:space="preserve">CSIRO/NUCTECH CO LTD-STRATEGIC ALLIANCE</t>
  </si>
  <si>
    <t xml:space="preserve">Australian state-owned Commonwealth Scientific &amp; Industrial Research
Organization, and Nuctech Co Ltd, a unit of Tongfang Co Ltd formed a
strategic alliance to develop, design and manufacture integrated air cargo
scanner to detect weapons, narcotics and explosives concealed inside
freight containers in China. Under terms of the agreement, the partners
incorporated their respective neutron solutions and X-ray systems to
determine the content of suspicious materials, thus leveraging a combined
security-inspection technology in the industry.</t>
  </si>
  <si>
    <t xml:space="preserve">Research &amp; Development Services
Manufacturing Services
Computer Integrated Systems Svcs</t>
  </si>
  <si>
    <t xml:space="preserve">20327N
67171H</t>
  </si>
  <si>
    <t xml:space="preserve">Evotec AG
Ono Pharmaceutical Co Ltd</t>
  </si>
  <si>
    <t xml:space="preserve">Evotec AG, located in
Hamburg, Germany, is a
biotechnology company, with
locations in the UK and in
the US. The Group is
specializing in the
discovery and development of
novel small molecule drugs.
The company was founded in
1993.
Ono Pharmaceutical Co Ltd,
located in Osaka, Japan,
manufactures and wholesales
pharmaceuticals and
diagnostic reagents focusing
primarily on prescription
pharmaceuticals. The company
was founded in 1717.</t>
  </si>
  <si>
    <t xml:space="preserve">EVOTEC AG/ONO PHARMACEUTICAL CO LTD-STRATEGIC ALLIANCE</t>
  </si>
  <si>
    <t xml:space="preserve">Evotec AG (EV) and Ono Pharmaceutical Co Ltd (OP) formed a strategic
alliance to provide drug discovery and development services. The alliance
applies EV's proprietary fragment-based drug discovery platform, EVOlution
(TM) to identify novel, small molecular weight compounds active against a
protease target. The platform integrates protein X-ray crystallography,
computational chemistry, structural biology, biochemical, and NMR based
fragment screening in combination with its high-quality fragment libraries.
Under terms of the agreement, OP will pay to EV initial payments
(technology access fee) for access to EV's fragment-based drug discovery
platform, EVOlution (TM), research funding as well as success-based
milestones based on the research progress.</t>
  </si>
  <si>
    <t xml:space="preserve">D1646D
68273Q</t>
  </si>
  <si>
    <t xml:space="preserve">RJ Corp Ltd
Indorama SPL Group</t>
  </si>
  <si>
    <t xml:space="preserve">Investment holding company
Investment company</t>
  </si>
  <si>
    <t xml:space="preserve">RJ Corp Ltd, located in
Gurgaon, India, is an
investment holding company.
The company through its
subsidiaries has ventured into
retail, food and beverages,
education and real estate. It
was founded in 1991.
Indorama SPL Group is a
provider of financial
investment services. The
Company was founded in 1976
and is located in Jakarta,
Indonesia.</t>
  </si>
  <si>
    <t xml:space="preserve">6719
6799</t>
  </si>
  <si>
    <t xml:space="preserve">India
Indonesia</t>
  </si>
  <si>
    <t xml:space="preserve">RJ GROUP/INDORAMA SPL GROUP-JOINT VENTURE</t>
  </si>
  <si>
    <t xml:space="preserve">Cryoviva (Thailand) Ltd,
located in Bangkok, Thailand,
provides biotechnology service
specializing in the
development of stem cells to
be use in the futuristic
therapy with unlimited
possibilities. Founded in
2008.</t>
  </si>
  <si>
    <t xml:space="preserve">Indorama SPL Group and RJ Corp formed a joint venture named Cryoviva
(Thailand) Ltd (CT) to provide biotechnology service specializing in the
development of stem cells to be use in the futuristic therapy with
unlimited possibilities in Thailand. The partners each held a 50% interest
in CT.</t>
  </si>
  <si>
    <t xml:space="preserve">22908F</t>
  </si>
  <si>
    <t xml:space="preserve">75468J
69575X</t>
  </si>
  <si>
    <t xml:space="preserve">Fuji Electric Holdings Co Ltd
Schneider Electric SA</t>
  </si>
  <si>
    <t xml:space="preserve">Mnfr,whl electric mach
Mnfr,whl elec power equipment</t>
  </si>
  <si>
    <t xml:space="preserve">Fuji Electric Holdings Co
Ltd, headquartered in Tokyo,
Japan, manufactures,
distributes and wholesales
heavy electric machinery and
industrial equipments. The
Company's operations are
carried out though the
following divisions:
Electric machinery systems;
Equipment and Controls;
Electronic Devices; Retail
System and others. Electric
machinery systems division
deals in industrial power
application system and
thermal, hydro and nuclear
power plant equipment.
Equipment and Controls
division deals in magnetic
motor starters, push-button
switches and programmable
logic controllers,
molded-case circuit breakers
and earth-leakage circuit
breakers. Electronic Devices
division deals in power
transistor, power module,
smart power device,
semiconductor sensor,
printer and printer-related
devices. Retail System
division deals in vending
machine, store-related show
case, store-related
equipment, currency exchange
machines and control
equipment. The company is
also a holding firm with
interest in financing,
travel and real estate
sectors. It was founded in
1923.
1923.
Schneider Electric SA,
located in Rueil-Malmaison,
France, manufactures and
wholesales low- and
medium-voltage electric
power equipment for
electrical distribution,
secured power and energy
performance management, such
as circuit breakers,
switches, safety lighting,
prefabricated busbar
trucking and modular
switchgear, under the Merlin
Gerin and Square D brands.
It also manufactures and
wholesales control and
automation systems such as
contactors, overload relays,
soft starters, speed drives,
sensors, operator terminals,
automation platforms and
support software, under the
Square D and Telemecanique
brands. The Company has
operations in Europe, Asia
Pacific and North America.
The Company was founded in
1846. 1846.</t>
  </si>
  <si>
    <t xml:space="preserve">3699
3612</t>
  </si>
  <si>
    <t xml:space="preserve">FUJI ELECTRIC HOLDINGS/SCHNEIDER ELECTRIC JAPAN HOLDING LTD-JOINT VENTURE</t>
  </si>
  <si>
    <t xml:space="preserve">Fuji Electric FA Components &amp;
Systems Co Ltd manufactures
electric power distribution
equipments.</t>
  </si>
  <si>
    <t xml:space="preserve">Fuji Electric Holdings Co Ltd (FE) and Schneider Electric SA (SE) planned
to form a joint venture named Fuji Electric FA Components &amp; Systems Co Ltd
(FF) to manufacture, develop, wholesale, distribute and market electrical
distribution and industrial control equipments such as low- and
medium-voltage electric power generator and circuit breakers in Japan. FE
was to hold a 60% interest in FF, and the remaining 40% stake was to be
held by SE. Under terms of the agreement, FE was to integrate its Fuji
Electric FA Components subsidiary with SE's Schneider Electric Japan Co
operation to form FF. FF's formation was subject to regulatory approvals
and anti-trust authority. The JV was to be operational by October 2008. FF
was to have an annual estimated sales of $708.47 mil US(70 bil Japanese
yen/447.682 mil euros).</t>
  </si>
  <si>
    <t xml:space="preserve">63.00
37.00</t>
  </si>
  <si>
    <t xml:space="preserve">The JV was to have an annual estimated sales of $708.47 mil US (70 bil
Japanese yen / 447.682 mil euros).</t>
  </si>
  <si>
    <t xml:space="preserve">36022A</t>
  </si>
  <si>
    <t xml:space="preserve">35999P
806879</t>
  </si>
  <si>
    <t xml:space="preserve">Principia SAS
Kreuz International Pte Ltd</t>
  </si>
  <si>
    <t xml:space="preserve">Pvd research,dvlp svcs
Investment holding company</t>
  </si>
  <si>
    <t xml:space="preserve">Principia SA, located in La
Ciotat, France, provides
research and development
services. The company is
headquartered in France. The
company's products and
services include scientific
engineering studies, which
serves the worldwide offshore
and marine industry in South
East Asia. It was founded in
1981.
Kreuz International Pte Ltd,
located in Singapore, is an
investment holding company.The
company was established in
2007.</t>
  </si>
  <si>
    <t xml:space="preserve">France
Singapore</t>
  </si>
  <si>
    <t xml:space="preserve">France
Swiber Holdings Ltd</t>
  </si>
  <si>
    <t xml:space="preserve">999A
8711</t>
  </si>
  <si>
    <t xml:space="preserve">KREUZ INTERNATIONAL PTE LTD/PRINCIPIA RECHERCHE-PRINCIPIA ASIA PACIFIC
ENGINEERING PTE LTD JOINT VENTURE</t>
  </si>
  <si>
    <t xml:space="preserve">Principia Asia Pacific
Engineering Pte Ltd , located
in Singapore. provides
offshore and marine
engineering and research and
development services. Founded
in 2008.</t>
  </si>
  <si>
    <t xml:space="preserve">Kreuz International Pte Ltd (KI), a unit of Swiber Holdings Ltd, and
Principia Recherche &amp; Development SA (PR), a unit of the Areva TA
subsidiary of French state-owned Commissariat A L'Energie Atomique's Areva
SA unit, formed a joint venture named Principia Asia Pacific Engineering
Pte Ltd (PA) to provide offshore and marine engineering and research and
development services in Singapore. PR held a 51% interest in PA while KI
held a 49% stake.</t>
  </si>
  <si>
    <t xml:space="preserve">75468H</t>
  </si>
  <si>
    <t xml:space="preserve">75496Y
50624Z</t>
  </si>
  <si>
    <t xml:space="preserve">Cell Genesys Inc
Takeda Pharmaceutical Co Ltd</t>
  </si>
  <si>
    <t xml:space="preserve">Mnfr biotech prod
Mnfr,whl pharmaceutical prod</t>
  </si>
  <si>
    <t xml:space="preserve">Cell Genesys Inc, located in
San Francisco, California,
manufactures biotechnology
products focused on the
development and
commercialization of novel
biological therapies for
patients with cancer. The
company is developing
cell-based immunotherapies and
oncolytic virus therapies to
treat different types of
cancer. The company's lead
program is GVAX, a cell-based
immunotherapy for cancer. It
was founded in 1988.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</si>
  <si>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8071
2834</t>
  </si>
  <si>
    <t xml:space="preserve">CELL GENESYS INC/TAKEDA PHARMACEUTICAL CO LTD-STRATEGIC ALLIANCE</t>
  </si>
  <si>
    <t xml:space="preserve">Cell Genesys Inc (CG) and Takeda Pharmaceutical Co Ltd (TP) formed a
strategic alliance wherein CD licensed TP to develop and commercialize its
GVAX immunotheraphy for prostate cancer in the United States, European
Union and Japan. TP was expected to pay CG an upfront payment of $50 mil US
(4.99 bil Japanese yen) and milestone payments of $270 mil US (26.96 bil
yen).</t>
  </si>
  <si>
    <t xml:space="preserve">Takeda Pharmaceutical Co Ltd was expected to pay Cell Genesys Inc an
upfront payment of $50 mil US (4.99 bil Japanese yen) and milestone
payments of $270 mil US (26.96 bil yen).</t>
  </si>
  <si>
    <t xml:space="preserve">150921
874058</t>
  </si>
  <si>
    <t xml:space="preserve">Chemizon Inc
Crown Bioscience Inc</t>
  </si>
  <si>
    <t xml:space="preserve">Chemizon Inc, located in
Seongnam, South korea,
manufactures pharmaceuticals,
including oncology,
inflammation, cardiovascular,
CNS, anti infective and
metabolic diseases. Its goal
is to accelerate our
collaborators drug discovery
efforts using a vertically
integrated discovery platform
that includes Progenitors,
Leadz, ADMET and radiolabeling
capabilities. The company's
technical team aims to develop
quality, "best-in-class"
candidates that can better
survive the rigors of the
development process.
Crown Bioscience Inc, located
in Santa Clara, California, is
a biotechnology company that
provides integrated services
in oncology. Its team of
scientists is highly skilled
in molecular biology,
biochemistry, cell biology,
veterinarian science,
pharmacology, bioanalytics,
and histopathology. It
currently offers services in
Protein Expression, Cancer
pharmacology Antibody
generation and assay
development and Translational
research.
California.</t>
  </si>
  <si>
    <t xml:space="preserve">Optomagic Co Ltd
Crown Bioscience International</t>
  </si>
  <si>
    <t xml:space="preserve">South Korea
Taiwan</t>
  </si>
  <si>
    <t xml:space="preserve">3357
2836</t>
  </si>
  <si>
    <t xml:space="preserve">CHEMIZON INC/CROWN BIOSCIENCE INC-STRATEGIC ALLIANCE</t>
  </si>
  <si>
    <t xml:space="preserve">Chemizon Inc, a unit of Taihan Electric Wire Co Ltd's Optomagic Co Ltd, and
Crown Bioscience Inc formed a strategic alliance to provide drug discovery
services focused on generating best-in-class clinical candidates. The
alliance offers protein cloning and expression, protein purification,
antibody production, X-ray crystallography, computational chemistry,
ADME-DMPK, PK-PD studies, TGI studies with validated tumor models including
orthotropic models, parallel synthesis, medicinal chemistry, Progenitors
(TM), LEADZ (TM), radiolabeling and process research.</t>
  </si>
  <si>
    <t xml:space="preserve">16363J
22831W</t>
  </si>
  <si>
    <t xml:space="preserve">MethylGene Inc
Otsuka Pharmaceutical Co Ltd</t>
  </si>
  <si>
    <t xml:space="preserve">Biopharm co
Mnfr,whl pharm,cosmetics</t>
  </si>
  <si>
    <t xml:space="preserve">MethylGene Inc, headquartered
in Montreal, Quebec, is a
biopharmaceutical company
focused on the discovery,
development and
commercialization of novel
therapeutics for cancer. The
company was founded in 1995.
Otsuka Pharmaceutical Co
Ltd, located in Tokyo,
Japan, manufactures and
wholesales pharmaceuticals,
cosmetics, and medical
equipment. From its initial
focus on the intravenous
solutions business, the
company has grown to be a
leader in the field of
nutrition management in
healthcare settings. It is
also engaged in research and
development of innovative
products. The company was
founded in 1964.</t>
  </si>
  <si>
    <t xml:space="preserve">METHYLGENE INC/OTSUKA HOLDINGS CO LTD(WAS 68916Q)- STRATEGIC ALLIANCE</t>
  </si>
  <si>
    <t xml:space="preserve">MethylGene Inc and Otsuka Pharmaceutical Co Ltd extend their strategic
alliance for the development of novel, small molecule, kinase inhibitors
for the local delivery and treatment of ocular diseases, excluding cancer.
MethylGene will continue to design, synthesize, characterize and screen
kinase inhibitors and Otsuka will fund efficacy and toxicology studies, as
well as the preclinical and clinical development of compounds.</t>
  </si>
  <si>
    <t xml:space="preserve">591544
68916Q</t>
  </si>
  <si>
    <t xml:space="preserve">Compugen Ltd
Biosite Inc</t>
  </si>
  <si>
    <t xml:space="preserve">Biotechnology company
Mnfr diagnostic,med equip</t>
  </si>
  <si>
    <t xml:space="preserve">Compugen Ltd is a
manufacturer of biological
products.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 Company was founded in
1993 and is located in
Holon, Israel.
Manufacture and wholesale
diagnostic and medical
equipment such as drug test
kit, cardiovascular,
infectious, cerebrovascular
and thromboembolic diseases
kit; provide research and
development services</t>
  </si>
  <si>
    <t xml:space="preserve">Compugen Ltd
Inverness Med Innovations Inc</t>
  </si>
  <si>
    <t xml:space="preserve">COMPUGEN LTD/BIOSITE INC- STRATEGIC ALLIANCE</t>
  </si>
  <si>
    <t xml:space="preserve">Compugen Ltd (CL) and Biosite Inc (BS), a unit of Inverness Medical
Innovations Inc, formed a strategic alliance to provide Troponin I
biomarker CGEN-144 discovery and experimental verification services. The
novel Troponin I variant was one of a group of putative cancer and
cardiovascular biomarkers predicted by CL. CL will provide BS with all
existing proprietary data related to the molecule and BS will develop and
select antibodies that bind to CGEN-144 to determine assay sensitivity and
specificity in various disease states and as an addition to the current
commercial Troponin I test.</t>
  </si>
  <si>
    <t xml:space="preserve">M25722
090945</t>
  </si>
  <si>
    <t xml:space="preserve">Lionax SA
Semefab(Scotland)Ltd</t>
  </si>
  <si>
    <t xml:space="preserve">Dvlp tire pressure sys
Mnfr wafer fab node</t>
  </si>
  <si>
    <t xml:space="preserve">Lionax SA, located in France,
develops and designs tire
pressure monitoring systems
(TPMS), navigation integrated
product with GPS, TPMS and
rear view camera and digital
pressure sensor for automotive
industry.
Semefab(Scotland)Ltd, located
in Scotland, United Kingdom,
manufactures wafer fab node
for micro and Nanotechnology
(MNT). Its portfolio includes
MEMS, CMOS, Opto CMOS, ASIC
and discrete technologies. It
operates its fab1
multi-technology fabrication
foundry and fab2 MEMS foundry.</t>
  </si>
  <si>
    <t xml:space="preserve">LIONAX/SEMEFAB-STRATEGIC ALLIANCE</t>
  </si>
  <si>
    <t xml:space="preserve">Lionax SA and Semefab(Scotland)Ltd formed a strategic alliance to provide
digital pressure sensor for tyre pressure monitoring system (TPMS)
development services. The alliance aims to produce a higher performance,
lower cost product compared to existing technologies.</t>
  </si>
  <si>
    <t xml:space="preserve">53644E
81665V</t>
  </si>
  <si>
    <t xml:space="preserve">US Preventive Medicine Inc
deCode Genetics Inc</t>
  </si>
  <si>
    <t xml:space="preserve">Pvd medical/health svcs
Biopharm company</t>
  </si>
  <si>
    <t xml:space="preserve">US Preventive Medicine Inc,
located in Texas, provides
online preventive health
information services in
partnership with established
hospitals and physician groups
used by employers, government
agencies and consumers
proprietary products. The
company's service portfolio,
includes The Prevention
Plan(TM), a personalized
wellness program delivered
online to individuals,
Experience Health 365(R), a
field-based chronic disease
management programs customized
for employers and government
agencies to reduce healthcare
costs, and The Centers for
Preventive Medicine(R), which
offer high-tech diagnostic
screenings delivered to
consumers in partnership with
hospitals, health systems and
other providers.
deCode Genetics Inc, located
in Reykjavik, Iceland, is a
biopharmaceutical company
applying its discoveries in
human genetics to develop
drugs and diagnostics for
common diseases.</t>
  </si>
  <si>
    <t xml:space="preserve">United States
Iceland</t>
  </si>
  <si>
    <t xml:space="preserve">US PREVENTIVE MEDICINE INC/DECODE GENETICS INC-STRATEGIC ALLIANCE</t>
  </si>
  <si>
    <t xml:space="preserve">US Preventive Medicine Inc and deCode Genetics Inc signed a letter of
intent to form a strategic alliance to provide genetic testing services to
expand personalized medicine services in the United States and
internationally. The alliance aims at making the most advanced prevention
strategies including more precise risk stratification.</t>
  </si>
  <si>
    <t xml:space="preserve">91238X
243586</t>
  </si>
  <si>
    <t xml:space="preserve">Biotrove Inc
OSI Pharmaceuticals Inc</t>
  </si>
  <si>
    <t xml:space="preserve">Mnfr lab analytical instr
Mnfr,dvlp,whl pharm</t>
  </si>
  <si>
    <t xml:space="preserve">BioTrove Inc, located in
Woburn, Massachusetts,
manufactures laboratory
analytical instruments that
provides micro and nano-scale
technology platforms for life
science and drug discovery
research applications. Its two
main products are OpenArray,
is a technology platform for
relative gene expression
analysis that advances genomic
research in various life
science fields, including
agriculture, disease research,
and public health, and
RapidFire, a technology
platform that enables the
screening of intractable drug
targets via mass spectrometry
based assay development. The
company was founded in 1997.
OSI Pharmaceuticals Inc,
located in Melville, New York,
manufactures, develops and
wholesales pharmaceuticals
focused on oncology, diabetes
and obesity and eye diseases.
Its product pipeline includes
Tarceva, which is used for
cancer treatment in patients
living with advanced lung and
pancreatic cancer. It was
founded in 1983.</t>
  </si>
  <si>
    <t xml:space="preserve">BIOTROVE INC/OSI PHARMACEUTICALS INC-STRATEGIC ALLIANCE</t>
  </si>
  <si>
    <t xml:space="preserve">BioTrove Inc (BI) and OSI Pharmaceuticals Inc (OP) formed a strategic
alliance to provide lead compound discovery services in the United States.
The partners were expected to combine OP's lead discovery platform with
BI's RapidFire mass spectrometry-based assay development, screening and
analysis services. Terms were not disclosed.</t>
  </si>
  <si>
    <t xml:space="preserve">09160X
671040</t>
  </si>
  <si>
    <t xml:space="preserve">DTU
Novozymes A/S</t>
  </si>
  <si>
    <t xml:space="preserve">Own,op college,university
Mnfr,wholesale enzyme products</t>
  </si>
  <si>
    <t xml:space="preserve">Danmarks Tekniske
Universitet is a university,
located in Lyngby, Denmark.
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t>
  </si>
  <si>
    <t xml:space="preserve">8221
2836</t>
  </si>
  <si>
    <t xml:space="preserve">TECHNICAL UNIVERSITY/NOVOZYMES A/S-STRATEGIC ALLIANCE</t>
  </si>
  <si>
    <t xml:space="preserve">Danmarks Tekniske Universitet and Novozymes A/S formed a strategic alliance
to provide catalysts development services for the production of glucose
polyester in Denmark. The goal was to have a large scale pilot plant ready
in 30 months.</t>
  </si>
  <si>
    <t xml:space="preserve">23622J
67026F</t>
  </si>
  <si>
    <t xml:space="preserve">Commonwealth Biotechnologies
New Zealand Pharm Ltd</t>
  </si>
  <si>
    <t xml:space="preserve">Pvd research,development svcs
Mnfr diagnostic pharm</t>
  </si>
  <si>
    <t xml:space="preserve">Commonwealth Biotechnologies
Inc, located in Richmond,
Virginia, provides research
and development services. Its
sophisticated research and
development support services
are on a fee-for-services
basis to the global
biotechnology and
pharmaceutical industry. The
company was founded in 1992.
New Zealand Pharmaceuticals
Ltd, located in Palmerston
North, New Zealand, is a
manufacturer of prescription
pharmaceuticals intended for
final consumption, including
biotech products and
antibiotics. The company
produces of a range of bulk
pharmaceutical intermediates
and pharmaceutical ingredients
for supply to pharmaceutical
and biotechnology companies
worldwide. The companys
products include;
Pharmaceutical Intermediates
and Ingredients,
Microbiological Media and
Fermentation Ingredients,
Dietary Supplements, Feed
Ingredients and Cosmetic
Ingredients. The company was
founded in 1971.</t>
  </si>
  <si>
    <t xml:space="preserve">United States
New Zealand</t>
  </si>
  <si>
    <t xml:space="preserve">VA
FF</t>
  </si>
  <si>
    <t xml:space="preserve">Commonwealth Biotechnologies
Direct Capital Ltd</t>
  </si>
  <si>
    <t xml:space="preserve">COMMONWEALTH BIOTECHNOLOGIES INC/NEW ZEALAND PHARMACEUTICALS LTD- STRATEGIC
ALLIANCE</t>
  </si>
  <si>
    <t xml:space="preserve">Commonwealth Biotechnologies Inc and New Zealand Pharmaceuticals Ltd,a unit
of Direct Capital Partners Ltd, formed a strategic alliance to provide a
suite of small molecule chemistry products for the drug discovery,
development and manufacturing markets. The alliance was expected to focus
on providing glycotherapeutic products and services for research through to
process scale-up and commercialization by way of an exclusive referral and
co-marketing agreement.</t>
  </si>
  <si>
    <t xml:space="preserve">202739
65018X</t>
  </si>
  <si>
    <t xml:space="preserve">Monsanto Co
Bayer Cropscience LP</t>
  </si>
  <si>
    <t xml:space="preserve">Pesticide and Other Agricultural Chemical Manufacturing
Nitrogenous Fertilizer Manufacturing</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</si>
  <si>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Bayer CropScience LP,
located in Research Triangle
Park, North Carolina,
manufactures and wholesales
agricultural chemicals such
as fungicides, herbicides,
insecticides and seed
treatments.</t>
  </si>
  <si>
    <t xml:space="preserve">2879
2873</t>
  </si>
  <si>
    <t xml:space="preserve">Monsanto Co
Bayer AG</t>
  </si>
  <si>
    <t xml:space="preserve">MONSANTO CO/BAYER CROPSCIENCE LP-STRATEGIC ALLIANCE</t>
  </si>
  <si>
    <t xml:space="preserve">Monsanto Co (MC) and Bayer CropScience LP (BC), a unit of Bayer AG's Bayer
CropScience AG, formed a strategic alliance to provide fungicide seed
treatment services for corn. The treatment which was expected to be
commercialized in conjunction with the planned launch of MC's SmartStax
(TM) seed will provide corn farmers with a significant improvement in
early-season protection against seedling diseases and insects.</t>
  </si>
  <si>
    <t xml:space="preserve">61166W
07290J</t>
  </si>
  <si>
    <t xml:space="preserve">Asian Clinical Trials Ltd
VPS-CRO</t>
  </si>
  <si>
    <t xml:space="preserve">Pvd research svcs
Pvd clinical dvlp svcs</t>
  </si>
  <si>
    <t xml:space="preserve">Asian Clinical Trials Ltd,
located in Hyderabad, India,
provides clinical research
services for global
pharmaceutical, biotechnology
and medical device companies.
VPS-CRO, located in Beijing,
China, provides pre-clinical
and clinical development and
product commercialization
services. It is one of the
most prestigious institutions
for traditional Chinese
medicine research and biotech
clinical development.</t>
  </si>
  <si>
    <t xml:space="preserve">India
China</t>
  </si>
  <si>
    <t xml:space="preserve">Suven Life Sciences Ltd
VPS-CRO</t>
  </si>
  <si>
    <t xml:space="preserve">ASIAN CLINICAL TRIALS LTD/VPSCRO-STRATEGIC ALLIANCE</t>
  </si>
  <si>
    <t xml:space="preserve">Asian Clinical Trials Ltd, a unit Suven Life Sciences Ltd, and VPS-CRO
formed a strategic alliance to provide clinical trials services in India
and China. The alliance offers comprehensive range of clinical services to
global sponsors with infrastructure, network of trained investigators.</t>
  </si>
  <si>
    <t xml:space="preserve">04390Z
91945V</t>
  </si>
  <si>
    <t xml:space="preserve">Achillion Pharmaceuticals Inc
FOB Synthesis Inc</t>
  </si>
  <si>
    <t xml:space="preserve">develops and manufactures pharmaceuticals
Pvd drug discovery svcs</t>
  </si>
  <si>
    <t xml:space="preserve">Achillion Pharmaceuticals
Inc, located in New Haven,
Connecticut, develops and
manufactures pharmaceuticals
for infectious diseases
mainly antivirals and
antibacterials. Its product
pipeline includes
elvucitabine, ACH-702, and
multiple NS4A antagonists.
The Company was incorporated
in August 1998.
FOB Synthesis Inc, located in
Kennesaw, Georgia, provides
drug discovery and development
services. Founded in 2000.</t>
  </si>
  <si>
    <t xml:space="preserve">CT
GA</t>
  </si>
  <si>
    <t xml:space="preserve">ACHILLION PHARMACEUTICALS/FOB SYNTHESIS INC-STRATEGIC ALLIANCE</t>
  </si>
  <si>
    <t xml:space="preserve">Achillion Pharmaceuticals Inc (AP) and FOB Synthesis Inc (FS) formed a
strategic alliance wherein FS licensed AP to develop its carbapenem
compounds for the treatment of serious bacterial infections worldwide. AP
was expected to pay FS $0.5 mil US in upfront license payment as well as
$10 mil US in milestone payments.</t>
  </si>
  <si>
    <t xml:space="preserve">FOB Synthesis Inc was expected to receive $0.5 mil US in upfront license
payment as well as $10 mil US in milestone payments.</t>
  </si>
  <si>
    <t xml:space="preserve">00448Q
34404Q</t>
  </si>
  <si>
    <t xml:space="preserve">Nokia Oyj
Swiss Federal Inst of Tech</t>
  </si>
  <si>
    <t xml:space="preserve">Mnfr network infrastructure products
Own,op college,university</t>
  </si>
  <si>
    <t xml:space="preserve">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
Swiss Federal Institute of
Technology, owns and operates
a college/university. The
college/university is
headquartered in Lausanne,
Switzerland. The university's
offerings include
Architecture, Civil and
Environmental, Computer and
Communication Sciences, Basic
Sciences, Engineering Sciences
and Techniques, Life Sciences,
The College of Humanities,
College of Management .
Founded in 1853.</t>
  </si>
  <si>
    <t xml:space="preserve">3663
8221</t>
  </si>
  <si>
    <t xml:space="preserve">NOKIA OYJ/SWISS FEDERAL INSTITUTE OF TECHNOLOGY-STRATEGIC ALLIANCE</t>
  </si>
  <si>
    <t xml:space="preserve">Nokia Oyj and the Swiss Federal Institute of Technology Lausanne formed a
strategic alliance to provide pervasive communications research and
development services in Switzerland.</t>
  </si>
  <si>
    <t xml:space="preserve">654902
86996W</t>
  </si>
  <si>
    <t xml:space="preserve">Vegenics Ltd
Bioinvent International AB</t>
  </si>
  <si>
    <t xml:space="preserve">Vegenics Ltd, located in
Australia, is a biotechnology
company that is focused on
doing health care technology
research. It specializes on
intellectual property
development services of
molecules known as vascular
endothelial growth factors
(VEGF). The company was
founded in 2006.
Bioinvent International AB,
a biotechnology company, is
involved in the isolation
and development of human
antibodies through its
proprietary human antibody
library n-CoDeR, as well as
the out-licensing of the
same library. The Group also
establishes collaborative
research, development and
manufacturing partnerships
with pharmaceutical
companies and is developing
antibody-based drugs against
AIDS, atherosclerosis,
cancer and diseases of the
joints. The Company operates
from Sweden but has
customers from all over the
world. Its partners include
ALK-Abello, Antisoma,
Celltech, Igeneon and XOMA.</t>
  </si>
  <si>
    <t xml:space="preserve">Australia
Sweden</t>
  </si>
  <si>
    <t xml:space="preserve">Circadian Technologies Ltd
Norsk Hydro ASA</t>
  </si>
  <si>
    <t xml:space="preserve">2836
3334</t>
  </si>
  <si>
    <t xml:space="preserve">VEGENICS LTD/BIOINVENT INTERNATIONAL AB-STRATEGIC ALLIANCE</t>
  </si>
  <si>
    <t xml:space="preserve">Vegenics Ltd, a unit of Circadian Technologies Ltd, and Bioinvent
International AB, a unit of Norsk Hydro ASA formed a strategic alliance to
provide research and development services of VEGF-C antibody for cancer
therapies globally.</t>
  </si>
  <si>
    <t xml:space="preserve">92317T
09059S</t>
  </si>
  <si>
    <t xml:space="preserve">Daihatsu Motor Co Ltd
Fuji Heavy Industries Ltd</t>
  </si>
  <si>
    <t xml:space="preserve">Mnfr,whl motor vehicles
Mnfr,whl auto,aircraft</t>
  </si>
  <si>
    <t xml:space="preserve">Daihatsu Motor Co Ltd,
headquartered in Osaka, Japan,
is mainly engaged in the
manufacture and sale of
automobiles. The Company
manufactures and sells
passenger automobiles,
commercial automobiles,
specialty automobiles, welfare
vehicles and
environment-friendly
automobiles. The Company is
also engaged in the
transportation of automobiles
and the provision of
automobile financing services.
The company was founded in
1907.
Fuji Heavy Industries Ltd,
headquartered in Tokyo,
Japan, manufactures and
wholesales automobile. The
Company is engaged in four
business segments. The
Automobile segment is
engaged in the manufacture
sale and repair of mini
vehicles, compact cars,
ordinary vehicles and
related parts. The Aerospace
segment is engaged in the
manufacture sale and repair
of airplanes,
aerospace-related equipment
and parts. The Industrial
Machinery segment is engaged
in the manufacture sale and
repair of motors and motor
on-board equipment,
agricultural machinery,
forestry machinery and
construction machinery, as
well as other machinery and
equipment. The Others
manufacture, sale and repair
of dustcarts, as well as the
leasing of real estate
properties. The company was
founded in 1917.</t>
  </si>
  <si>
    <t xml:space="preserve">Toyota Motor Corp
Fuji Heavy Industries Ltd</t>
  </si>
  <si>
    <t xml:space="preserve">DAIHATSU MOTOR CO LTD/FUJI HEAVY INDUSTRIES LTD-STRATEGIC ALLIANCE</t>
  </si>
  <si>
    <t xml:space="preserve">Daihatsu Motor Co Ltd, a unit of toyota Motor Corp, and Fuji Heavy
Industries Ltd formed a strategic alliance to provide research and
development services of compact sports car in Japan.</t>
  </si>
  <si>
    <t xml:space="preserve">23379A
359556</t>
  </si>
  <si>
    <t xml:space="preserve">IntelGenx Technologies Corp
DAVA Pharmaceuticals Inc</t>
  </si>
  <si>
    <t xml:space="preserve">IntelGenx Technologies Corp,
located in Ville St-Laurent,
Quebec is a biotechnology
company focused on improving
existing medications by
incorporating its proprietary,
advanced controlled-release
technologies. The company was
founded in 1999.
DAVA Pharmaceuticals Inc,
located in Fort Lee, New
Jersey, manufactures
prescription pharmaceuticals
committed to meeting the needs
of its customers and providing
the highest quality
prescription products to the
healthcare market. Its generic
products includes Acyclovir
Capsules and Tablets,
Albuterol Sulfate
Extended-Release Tablets,
Alprazolam Tablets,
Amoxicillin Capsules and Oral
Suspensions, Ampicillin
Capsules and Oral Suspensions,
Atenolol Tablets, Cefdinir
Capsules and Oral Suspensions,
Clarithromycin Tablets, IR and
Oral Suspensions, Clonidine
HCl Tablets, Doxazosin
Mesylate Tablet, Furosemide
Tablets, Glyburide
Tablets,Hydrochlorothiazide
Tablets, Naproxen Tablets,
Oxycodone Hydrochloride
Extended-Release Tablets. Its
brand products includes
Rheumatrex (R) (methotrexate
sodium) Tablets and VoSpire ER
(R) (Albuterol Sulfate)
Extended-Release Tablets.</t>
  </si>
  <si>
    <t xml:space="preserve">IntelGenx Technologies Corp
Guggenheim Partners LLC</t>
  </si>
  <si>
    <t xml:space="preserve">2834
6282</t>
  </si>
  <si>
    <t xml:space="preserve">INTELGENX TECHNOLOGIES CORP/DAVA PHARMACEUTICALS INC- STRATEGIC ALLIANCE</t>
  </si>
  <si>
    <t xml:space="preserve">IntelGenx Technologies Corp (IG) and DAVA Pharmaceuticals Inc (DP), a unit
of Guggenheim Partners LLC, planned to form a strategic alliance to
manufacture and develop cardiovascular product using IG's proprietary
Versatab delivery technology in the United States. Under terms of the
agreement, the companies expect to launch the product in the fourth quarter
of 2010. IG was to be entitled to fees for the development of the product
as well as recurring revenue through a share of DP's US gross profit. DV
was to be responsible for the commercialization and marketing activities in
the US.</t>
  </si>
  <si>
    <t xml:space="preserve">45822R
23838Q</t>
  </si>
  <si>
    <t xml:space="preserve">China Techfaith Wireless Ltd
Egyptian Telephone Co</t>
  </si>
  <si>
    <t xml:space="preserve">Mnfr mobile phones
Mnfr telephone apparatus</t>
  </si>
  <si>
    <t xml:space="preserve">China Techfaith Wireless
Communication Technology Ltd,
located in Beijing, China,
manufactures, distributes and
designs mobile phones. The
company is operating in three
segments namely: Sales of
prodcuts, Handset design
services and Wireless software
and application. It develops
mobile software applications
such as MMI/UI software on
GSM/GPRS, CDMA1X, EVDO,
WCDMA/UMTS, HSDPA and TD-SCDMA
communication technologies as
well as Smartphone and Pocket
PC. The company was founded in
2002.
Egyptian Telephone Co, located
in Cairo, Egypt, manufactures
telephone apparatus, and
telecommunications networks
for fixed and mobile sectors
with GSM, CDMA and WiMax for
wireless solutions, including
terminals and mobile phones.
The company also provides
engineering, research and
quality check services. The
company has operations in the
Middle East and Africa.
Founded in 1959.</t>
  </si>
  <si>
    <t xml:space="preserve">3663
3661</t>
  </si>
  <si>
    <t xml:space="preserve">China
Egypt</t>
  </si>
  <si>
    <t xml:space="preserve">CHINA TECH FAITH WIRELESS COMMUNICATION/EGYPTIAN TELEPHONE
COMPANY-STRATEGIC ALLIANCE</t>
  </si>
  <si>
    <t xml:space="preserve">Egypt</t>
  </si>
  <si>
    <t xml:space="preserve">China Techfaith Wireless Communication Technology Ltd and Egyptian
Telephone Co  formed a strategic alliance to manufacture, design and
develop low-cost mobile handsets in Cairo, Egypt. The partners were
expected to produce mobile handsets equipped with features customized for
users in the MEA region.</t>
  </si>
  <si>
    <t xml:space="preserve">169424
28239N</t>
  </si>
  <si>
    <t xml:space="preserve">Debiopharm International SA
Airmid Inc</t>
  </si>
  <si>
    <t xml:space="preserve">Manufacture biopharmaceuticals
Mnfr,dvlp pharm</t>
  </si>
  <si>
    <t xml:space="preserve">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
Airmid Inc, located in Redwood
City, California,
manufactures, develops and
commercializes pharmaceuticals
for all autoimmune disorders
such as multiple sclerosis,
psoriasis, rheumatoid
arthritis and type 1 diabetes.</t>
  </si>
  <si>
    <t xml:space="preserve">DEBIOPHARM SA/AIRMID INC-STRATEGIC ALLIANCE</t>
  </si>
  <si>
    <t xml:space="preserve">Debiopharm SA (DS) and Airmid Inc (AI) formed a strategic alliance wherein
AI licensed DS to develop a ShK peptide called Debio 0824 for the treatment
of autoimmune disorders.</t>
  </si>
  <si>
    <t xml:space="preserve">24275A
67230N</t>
  </si>
  <si>
    <t xml:space="preserve">Antisoma PLC
Betagenon AB</t>
  </si>
  <si>
    <t xml:space="preserve">Antisoma PLC, located in
London, United Kingdom, is a
biotechnology company that
aims to develop anti-cancer
drugs. Its products portfolios
include ASA404, AS1413, Oral
fludarabine, AS1411, AS1402,
AS1409 and P2045. The company
was founded in 1988.
Betagenon AB is a
biotechnology company
headquartered in Stockholm,
Sweden. It is focused in the
discovery and early-stage
development of therapies for
treatment of obesity-related
disorders including Type 2
diabetes, fatty liver,
disorders linked to
hyperinsulinemia and cancer.
Founded in September 2001.</t>
  </si>
  <si>
    <t xml:space="preserve">ANTISOMA PLC/BETAGENON- STRATEGIC ALLIANCE</t>
  </si>
  <si>
    <t xml:space="preserve">Antisoma PLC (AP) and Betagenon AB (BA) formed a strategic alliance wherein
BA licensed AP to develop its activated protein kinase activators in cancer
indications. AP was expected to make an immediate upfront payment and fund
certain research at BA. Further payments will be made on achievement of
development and regulatory milestones, and royalties will be paid on any
sales of compounds resulting from the collaboration.</t>
  </si>
  <si>
    <t xml:space="preserve">03718Q
08687V</t>
  </si>
  <si>
    <t xml:space="preserve">Henderson Morley PLC
Schering-Plough Corp</t>
  </si>
  <si>
    <t xml:space="preserve">Henderson Morley PLC,
headquartered in Birmingham,
UK, is a biotechnology company
engaged in the development of
drugs and vaccines for the
pharmaceutical industry. The
Company has a pipeline of
clinical and pre-clinical
candidates in a range of
disease areas, including skin
warts, verrucae (warts on the
feet and toes); herpes simplex
infections of the mouth and
genitalia, and eyes,
adenovirus infection of the
eyes, and orphan diseases,
including recurrent
respiratory papillomatosis
(RRP). It also has vaccine
development programme targeted
at viruses, which include
herpes simplex and
cytomegalovirus.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</si>
  <si>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HENDERSON MORLEY PLC/SCHERING-PLOUGH CORP- STRATEGIC ALLIANCE</t>
  </si>
  <si>
    <t xml:space="preserve">Henderson Morley PLC (HM) and Schering-Plough Corp (SP) formed a strategic
alliance wherein HM licensed SP to develop and commercialize Koi carp
herpes vaccine candidates it produces worldwide. SP was expected to pay
undisclosed payments towards the development of the vaccine over a 15 month
period.</t>
  </si>
  <si>
    <t xml:space="preserve">42517H
806605</t>
  </si>
  <si>
    <t xml:space="preserve">Arcadia Biosciences Inc
Mahyco</t>
  </si>
  <si>
    <t xml:space="preserve">Mnfr,dvlp farming biotech sys
Pvd hybrid seed dvlp svcs</t>
  </si>
  <si>
    <t xml:space="preserve">Arcadia Biosciences Inc,
located in Davis,
California, is involved with
agricultural biotechnology
that uses advanced
screening, breeding and
biotechnology techniques to
create value for consumers,
processors and farmers. Its
products include Arcadia
bioessence solution which
uses Arcadia's Nitrogen Use
Efficiency (NUE) technology
which produces plants with
yields that are equivalent
to plants with conventional
varieties but which uses
sigificantly less nitrogen
fertilizer. It was founded
in 2002.
Maharashtra Hybrid Seed Co
Ltd, located in Jalna, India,
manufactures and develops high
quality hybrid seeds of
sunflower, pearl millets,
cotton, Sorghum and wheat.
Founded in 1964.</t>
  </si>
  <si>
    <t xml:space="preserve">Moral Compass Corp
Mahyco</t>
  </si>
  <si>
    <t xml:space="preserve">6799
0119</t>
  </si>
  <si>
    <t xml:space="preserve">ARCADIA BIOSCIENCES INC/MAHARASHTRA HYBRID CO- STRATEGIC ALLIANCE</t>
  </si>
  <si>
    <t xml:space="preserve">India
Supranational</t>
  </si>
  <si>
    <t xml:space="preserve">Arcadia Biosciences Inc (AB) and Maharashtra Hybrid Seed Co Ltd (MAHYCO)
formed a strategic alliance wherein AB licensed MAHYCO to access its
Nitrogen Use Efficiency and Salt Tolerance technologies to develop advanced
agricultural technologies in India and other South Asian countries.</t>
  </si>
  <si>
    <t xml:space="preserve">039014
55981M</t>
  </si>
  <si>
    <t xml:space="preserve">Ascent Solar Technologies Inc
Icopal SAS</t>
  </si>
  <si>
    <t xml:space="preserve">Manufacturer &amp; wholesaler of flexible photovoltaic (PV) modules
Mnfr roofing materials</t>
  </si>
  <si>
    <t xml:space="preserve">Ascent Solar Technologies Inc
is engaged in commercializing
flexible photovoltaic (PV)
modules using its technology.
The Company's manufacturing
process deposits multiple
layers of materials, including
a thin film of
copper-indium-gallium-diselen
ide (CIGS) semiconductor
material, on a plastic
substrate using a roll-to-roll
manufacturing process and then
laser patterns the layers to
create interconnected PV cells
or PV modules, in a process
known as monolithic
integration. The Company is
producing consumer oriented
products focusing on charging
devices powered by its solar
modules. It manufactures its
products by affixing a thin
CIGS layer to a flexible,
plastic substrate using a
roll-to-roll process. Its
EnerPlex products are
available on
www.goenerplex.com and a range
of third-party e-commerce
sites, including
www.amazon.com,
www.bestbuy.com,
www.walmart.com,
www.newegg.com, www.frys.com,
www.cabelas.com and several
others. The Company was
founded in October 2005 and is
located in Thornton, Colorado.
Icopal SAS, located in France,
manufactures roofing and
waterproofing membranes and
other construction materials
for the protection of
buildings and other
structures.</t>
  </si>
  <si>
    <t xml:space="preserve">3674
2952</t>
  </si>
  <si>
    <t xml:space="preserve">Ascent Solar Technologies Inc
SIPCO Ltd</t>
  </si>
  <si>
    <t xml:space="preserve">United States
Bahrain</t>
  </si>
  <si>
    <t xml:space="preserve">ASCENT SOLAR TECHNOLOGIES INC/ICOPAL SAS-STRATEGIC ALLIANCE</t>
  </si>
  <si>
    <t xml:space="preserve">Ascent Solar Technologies Inc and Icopal SAS, a unit of Icopal A/S, planned
to form a strategic alliance to provide new building integrated
photovoltaic (BIPV) roofing products development services. The products to
be developed were intended to be distributed into the European market
place.</t>
  </si>
  <si>
    <t xml:space="preserve">043635
46807V</t>
  </si>
  <si>
    <t xml:space="preserve">Boston Scientific Corp
Surgi-Vision Inc</t>
  </si>
  <si>
    <t xml:space="preserve">Surgical and Medical Instrument Manufacturing
Mnfr,dvlp MRI tech</t>
  </si>
  <si>
    <t xml:space="preserve">Boston Scientific Corp,
located in Marlborough,
Massachusetts, manufactures
medical instruments. The
Company develops and
wholesales vascular and
non-vascular minimally
invasive medical devices
used in a broad range of
interventional medical
specialties, including
cardiology,
electrophysiology,
gastroenterology,
neuro-endovascular therapy,
pulmonary medicine,
radiology, urology and
vascular surgery. It has 18
manufacturing facilities.
The Company was founded in
June 1979.
Surgi-Vision Inc, located in
Baltimore, Maryland,
manufactures and develops
MRI technologies for
neuromodulation, cardiac EP
and localized delivery of
cell/drug therapies.</t>
  </si>
  <si>
    <t xml:space="preserve">BOSTON SCIENTIFIC CORP/SURGI-VISION INC-STRATEGIC ALLIANCE</t>
  </si>
  <si>
    <t xml:space="preserve">Boston Scientific Corp (BS) and Surgi-Vision inc (SV) formed a strategic
alliance wherein SV licensed BS to utilize its intellectual property to
develop magnetic resonance imaging-safe technology for use in implantable
cardiac devices in the United States.</t>
  </si>
  <si>
    <t xml:space="preserve">101137
86921P</t>
  </si>
  <si>
    <t xml:space="preserve">Ingenuity Systems Inc
Pfizer Inc</t>
  </si>
  <si>
    <t xml:space="preserve">Develop medical software
Manufacture,wholesale pharmaceuticals</t>
  </si>
  <si>
    <t xml:space="preserve">Ingenuity Systems Inc, located
in Redwood City, California,
develops medical pathways
analysis software and
knowledge bases for life
science companies such as
biologists bioinformaticians
pharmaceutical and biotech
companies in order to help
them model, analyze and
understand complex biological
systems foundational to human
health and disease. It offers
Ingenuity Pathways Analysis, a
software application for
researchers for experimental
data, Ingenuity Pathways
Knowledge Base, a database of
biological and chemical
interactions and functional
annotations created from
individually modeled
relationships between
proteins, genes, complexes,
cells, tissues, drugs, and
disease and Ingenuity
Enterprise Search Solutions,
which are software and
services that enable
enterprise customers to
provide their researchers
access to information through
internal portals. The company
was founded in 1998.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</si>
  <si>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INGENUITY SYSTEMS INC/PFIZER INC-STRATEGIC ALLIANCE</t>
  </si>
  <si>
    <t xml:space="preserve">Ingenuity Systems Inc (IS) and Pfizer Inc (PI) formed a strategic alliance
to provide Ingenuity Pathways Analysis (IPA) deployment services to
researchers in the United States. The alliance promotes enterprise-wide
deployment of IPA, enabling more researchers to use IPA for the
exploration, interpretation, and analysis of life science information. PI
was expected to integrate IPA and content from the IS knowledge base with
other informatics solutions used throughout the PI organization.</t>
  </si>
  <si>
    <t xml:space="preserve">46226K
717081</t>
  </si>
  <si>
    <t xml:space="preserve">ProtAffin Biotechnologie AG
Intercell AG</t>
  </si>
  <si>
    <t xml:space="preserve">ProtAffin Biotechnologie AG is
a biotechnology company
developing protein
therapeutics that act by
targeting glycan structures
headquartered in Graz,
Austria.
Intercell AG, headquartered in
Vienna, Austria, is a
biotechnology company which
focuses on the design and
development of novel vaccines
for the prevention and
treatment of infectious
diseases with substantial
unmet medical need. The
Company develops antigens and
adjuvants which are derived
from its proprietary
technology platforms, and has
in-house GMP manufacturing
capabilities. The company was
founded in 1998.</t>
  </si>
  <si>
    <t xml:space="preserve">Entrepreneurs Fund BV
Intercell AG</t>
  </si>
  <si>
    <t xml:space="preserve">Netherlands
Austria</t>
  </si>
  <si>
    <t xml:space="preserve">6141
2836</t>
  </si>
  <si>
    <t xml:space="preserve">PROTAFFIN BIOTECHNOLOGIE AG/INTERCELL AG-STRATEGIC ALLIANCE</t>
  </si>
  <si>
    <t xml:space="preserve">ProtAffin Biotechnologie AG (PA), a unit of Entrepreneurs Fund BV and
Intercell AG (IA) formed a strategic alliance to provide research and
development services  in Austria. Under terms of the agreement, PA was to
use its expertise and know-how in functional proteomics to assist IA in
validating potential vaccine antigens for undisclosed bacterial organisms.
</t>
  </si>
  <si>
    <t xml:space="preserve">69715P
45541V</t>
  </si>
  <si>
    <t xml:space="preserve">American Oriental
China Aoxing Pharm Co Inc</t>
  </si>
  <si>
    <t xml:space="preserve">Biotech co
Mnfr analgesic pharm</t>
  </si>
  <si>
    <t xml:space="preserve">American Oriental
Bioengineering Inc is a
biotechnology company,
headquartered in China. The
company develops,
manufactures, and wholesales
all natural plant based
pharmaceuticals and
nutraceuticals; develops and
produces plant based
pharmaceutical products (PBP)
and plant based nutraceutical
(PBN) products. PBPs are
composed of the leaves and
roots of one or more plants
and do not use synthetic
chemicals. Each PBP has a
certain medicinal function and
treats one or more illnesses
or symptoms of illnesses. For
example, the company's
Shuanghuanglian Lyophilized
Injection Powder can be used
to treat the viral flu. Most
of its PBP are
prescription-based, although
there are cases in which
certain PBPs, such as Double
Ginseng Yishen Grain, are both
prescribed by doctors and
available over-the-counter.
All PBPs require the approval
of China's State Food and Drug
Administration (the SFDA)
before their sale. PBNs, also
frequently referred to as
dietary supplements or
nutritional supplements, are
essentially prophylactic or
preventive, in contrast to its
PBP products which are used to
treat an illness or symptoms
of an illness. The company was
founded in 1970.
Manufacture prescription
analgesic pharmaceuticals and
specializes in research and
development of a variety of
analgesics and pain management
products</t>
  </si>
  <si>
    <t xml:space="preserve">AMERICAN ORIENTAL BIOENGINEERING INC/CHINA AOXING PHARMACEUTICAL CO
INC-STRATEGIC ALLIANCE</t>
  </si>
  <si>
    <t xml:space="preserve">American Oriental Oriental  Bioengineering Inc, and China Aoxing
Pharmaceutical Co Inc formed a strategic alliance to provide research and
development services of narcotic and pain-management products in China. The
partners were expected to jointly explore the benefits of Oxycodone and
Tilidine to assure the strictly regulated availability  to medical
professionals of its narcotic drugs and pain medicines.</t>
  </si>
  <si>
    <t xml:space="preserve">028731
152382</t>
  </si>
  <si>
    <t xml:space="preserve">COMMONWEALTH BIOTECHNOLOGIES INC/NEW ZEALAND PHARMACEUTICALS LTD-STRATEGIC
ALLIANCE</t>
  </si>
  <si>
    <t xml:space="preserve">New Zealand Pharmaceuticals Ltd, a unit of Direct Capital Partners Ltd, and
Commonwealth Biotechnologies Inc formed a strategic alliance to provide
research and development services of glycotherapeutic and chemistry
products globally.The partners were expected to provide customers with
research grade products and services, coupled with pre-clinical and
therapeutic applications.</t>
  </si>
  <si>
    <t xml:space="preserve">E ON Kraftwerke GmbH
Electrabel SA
Hitachi Ltd</t>
  </si>
  <si>
    <t xml:space="preserve">Pvd power gen svcs,hldg co
Pvd elec utility svcs
Mnfr,whl electn equip</t>
  </si>
  <si>
    <t xml:space="preserve">E ON Kraftwerke GmbH, located
in Hannover, Germany, provides
power generation, district
heating and thermal waste
management services. It also
operates as a holding company.
Electrabel SA, located in
Brussels, provides electric
utility services such as
generation, transmission and
distribution of electricity,
natural gas and other energy
products. The company
generates electricity
through combined-cycle gas
turbines, cogeneration of
steam powered by gas engines
for small and medium sized
industrial users and gas
turbines large industrial
facilities, owns and
operates thermal power
plants and nuclear power
plants, wind farms,
hydroelectric power station
and pumped storage power
station, and generates
energy from renewable energy
sources such as biomass. The
company is also involved in
electricity and natural gas
transmission, trading and
distribution as well as
management of electricity
and natural gas networks
which includes technical
operation, maintenance and
development of electricity
and natural gas distribution
networks in the Netherlands,
Belgium, Luxembourg, France,
Spain, Portugal, Germany,
Poland, Hungary and Italy.
The company was founded in
1905.
Hitachi Limited is
manufacturing and
distributing electronic
equipment, based in Tokyo.
The Group's principal
activity is to manufacture
electronic and electrical
equipment. The operations
are carried out through the
following divisions: Power
and industrial systems;
Information and Telecom
Systems; Materials; Consumer
Products; Electronic
Devices; Financial Services
and Service/others. Power
and Industrial systems
division manufactures
nuclear, thermal and
hydroelectric power plants
and control equipment.
Information systems division
deals with system
integration, multi-purpose
computer and others.
Electronics division
manufactures computers,
audio/visual equipment and
development of software.
Materials division
manufactures synthetic resin
materials and products.
Consumer Products division
manufactures air
conditioners, household
appliances and audio/visual
products. Electronic Devices
semi-conductor equipment and
test and measurement
equipment. Services and
other division is engaged in
general trading and
transportation.</t>
  </si>
  <si>
    <t xml:space="preserve">4911
4911
3651</t>
  </si>
  <si>
    <t xml:space="preserve">Germany
Belgium
Japan</t>
  </si>
  <si>
    <t xml:space="preserve">E On Ag
Suez SA
Hitachi Ltd</t>
  </si>
  <si>
    <t xml:space="preserve">Germany
France
Japan</t>
  </si>
  <si>
    <t xml:space="preserve">E.ON KRAFTWERKE GMBH/ELECTRABEL SA/HITACHI SEISAKUJO-STRATEGIC ALLIANCE</t>
  </si>
  <si>
    <t xml:space="preserve">Electrabel SA, a unit of Suez SA, E.ON Kraftwerke GmbH, unit of E.ON AG and
Hitachi Ltd planned to form a strategic alliance to provide research and
development services of different solvents in the process for CO2 capture
from flue gases globally.</t>
  </si>
  <si>
    <t xml:space="preserve">36425N
28474A
433578</t>
  </si>
  <si>
    <t xml:space="preserve">Viridas PLC
INEOS Enterprises Ltd</t>
  </si>
  <si>
    <t xml:space="preserve">Pvd Jatropha tree planting svc
Mnfr brinewater,other chem</t>
  </si>
  <si>
    <t xml:space="preserve">Viridas PLC, located in West
Yorkshire, United Kingdom,
provides Jatropha tree
planting services.The
company was founded in 1932.
INEOS Enterprises Ltd,
located in Runcorn, Halton,
manufactures petrochemicals,
specialty chemicals and oil
products. It also supplies
ammonia, brine, biodiesel,
chlorinated paraffin
de-icing salt, dilute
battery acid (DBA), CEREPLAS
esters, CEREPLAS RSME,
ethanol, granular salt,
glycerine, hydrochloric
acid, oleum, PDV salt, sea
salt, sodium hydrosulphide
(NaSH), sulphur dioxide
(SO2), sulphur trioxide
(SO3), sulphuric acid and
tablet salt products. Its
branded products include
BICHLOR, CEREPLAS,
CHLORCOAT, FM and PEMCOAT,
FM1500, BICHLOR, CERECLOR,
HYDROSOFT AND DIRECT SALT.
It operates businesses
including brine and water
business, esters and
biodiesel business, salt
business, sulphur chemicals
business, ethanol business
and ammonia business.</t>
  </si>
  <si>
    <t xml:space="preserve">0721
2899</t>
  </si>
  <si>
    <t xml:space="preserve">Viridas PLC
INEOS Ltd</t>
  </si>
  <si>
    <t xml:space="preserve">0721
2865</t>
  </si>
  <si>
    <t xml:space="preserve">VIRIDAS PLC/INEOS ENTERPRISES LTD-STRATEGIC ALLIANCE</t>
  </si>
  <si>
    <t xml:space="preserve">Viridas PLC and INEOS Enterprises Ltd, a unit of INEOS Group Ltd, formed a
strategic alliance to manufacture and develop significant growth in the
sustainable output of Jatropha. Jatropha is a perennial non-food oilseed
used in alternative fuels production.</t>
  </si>
  <si>
    <t xml:space="preserve">12901N
46365L</t>
  </si>
  <si>
    <t xml:space="preserve">HKE(Biomass)Holdings Ltd
GeneHarbor(Hong Kong)Tech Ltd</t>
  </si>
  <si>
    <t xml:space="preserve">Invest hldg co
Biotech co</t>
  </si>
  <si>
    <t xml:space="preserve">HKE (Biomass) Holdings Ltd is
an investment holding company,
headquartered in Hong Kong.
GeneHarbor (Hong Kong)
Technologies Ltd is a
biotechnology company
headquartered in Hong Kong.</t>
  </si>
  <si>
    <t xml:space="preserve">Hong Kong
Hong Kong</t>
  </si>
  <si>
    <t xml:space="preserve">Claudio Holdings Ltd
GeneHarbor(Hong Kong)Tech Ltd</t>
  </si>
  <si>
    <t xml:space="preserve">HKE(BIOMASS)HOLDINGS LTD/GENEHARBOR(HONG KONG)TECHNOLOGIES-HONG
KONG(BIOMASS)ENERGY(BVI)CO LTD JOINT VENTURE</t>
  </si>
  <si>
    <t xml:space="preserve">Hong Kong Biomass Energy (BVI)
Co Ltd, headquartered in Hong
Kong, manufactures organic
ethanol from corn stalks and
grass.</t>
  </si>
  <si>
    <t xml:space="preserve">HKE (Biomass) Holdings Ltd (HB), a unit of the JIC Technology Co Ltd
subsidiary of Creator Holdings Ltd's HKC (Holdings) Ltd unit, and
GeneHarbor (Hong Kong) Technologies Ltd (GH) formed a joint venture named
Hong Kong(Biomass)Energy(BVI)Co Ltd (HK) to manufacture and develop
cellulosic ethanol in China. HB held a 55% interest in HK while GH held a
45% stake. Concurrently, HB and GH plan to set up another technology
service JV company to commercialize the cellulosic ethanol technology. In
May 2009, GH was to acquire HB's interest in the JV.</t>
  </si>
  <si>
    <t xml:space="preserve">43904T</t>
  </si>
  <si>
    <t xml:space="preserve">40315Z
37200R</t>
  </si>
  <si>
    <t xml:space="preserve">GlaxoSmithKline PLC
Regulus Therapeutics Inc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</si>
  <si>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Regulus Therapeutics LLC,
headquartered in the United
States and founded on 2007,
manufactures, discovers,
develops and commercializes
microRNA therapeutics that
intends to address
therapeutic opportunities
that arise from abnormal
expression or mutations in
microRNAs.</t>
  </si>
  <si>
    <t xml:space="preserve">GlaxoSmithKline PLC
Alnylam Pharmaceuticals Inc</t>
  </si>
  <si>
    <t xml:space="preserve">GLAXOSMITHKLINE PLC/REGULUS THERAPEUTICS LLC-STRATEGIC ALLIANCE</t>
  </si>
  <si>
    <t xml:space="preserve">GlaxoSmithKline PLC and Regulus Therapeutics LLC, a joint venture between
Alnylam Pharmaceuticals Inc and Isis Pharmaceuticals Inc, formed a
strategic alliance to provide micro-RNA-targeted therapeutics discovery and
development services to treat inflammatory diseases such as rheumatoid
arthritis and inflammatory bowel disease.
</t>
  </si>
  <si>
    <t xml:space="preserve">37733W
75915K</t>
  </si>
  <si>
    <t xml:space="preserve">AstraZeneca PLC
Washington Univ School of Med</t>
  </si>
  <si>
    <t xml:space="preserve">Manufactures, wholesales pharmaceutical products
Own,op med univ</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</si>
  <si>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Washington University School
of Medicine owns and operates
a medical university in St.
Louis, Missouri. Founded in
1891.</t>
  </si>
  <si>
    <t xml:space="preserve">AstraZeneca PLC
Washington Univ In St Louis</t>
  </si>
  <si>
    <t xml:space="preserve">ASTRAZENECA PLC/WASHINGTON UNIVERSITY SCHOOL OF MEDICINE- STRATEGIC
ALLIANCE</t>
  </si>
  <si>
    <t xml:space="preserve">AstraZeneca PLC and Washington University School of Medicine in St. Louis,
a unit of Washington University, formed a strategic alliance to provide
research and development services in order to diagnose and treat
Alzheimer's disease.</t>
  </si>
  <si>
    <t xml:space="preserve">046353
94019T</t>
  </si>
  <si>
    <t xml:space="preserve">Raymond Corp
Ballard Power Systems Inc</t>
  </si>
  <si>
    <t xml:space="preserve">Mnfr industrial lift trucks
Mnfr electricity generators</t>
  </si>
  <si>
    <t xml:space="preserve">Raymond Corp, located in
Greene, New York, manufactures
industrial lift trucks and
automated systems. It also
wholesales industrial machines
and provide equipment leasing
and rental services.
Ballard Power Systems Inc,
located in Burnaby, British
Columbia, manufactures
electricity generators and
proton exchange membrane
fuel cells that convert
fuels such as methanol,
natural gas or hydrogen and
oxygen from air directly
into electricity without
combustion. The company was
founded in 1979.</t>
  </si>
  <si>
    <t xml:space="preserve">3537
3694</t>
  </si>
  <si>
    <t xml:space="preserve">Toyota Inds Corp
Ballard Power Systems Inc</t>
  </si>
  <si>
    <t xml:space="preserve">Japan
Canada</t>
  </si>
  <si>
    <t xml:space="preserve">3552
3694</t>
  </si>
  <si>
    <t xml:space="preserve">RAYMOND CORP/BALLARD POWER SYSTEMS INC- STRATEGIC ALLIANCE</t>
  </si>
  <si>
    <t xml:space="preserve">Raymond Corp, a unit of Toyota Industries Corp's BT Industries AB, and
Ballard Power Systems Inc, formed a strategic alliance to provide lift
truck designs research services. The alliance aims to develop a prototype
using the next-generation of BP's Mark9 SSL (TM) fuel cell product
technology to power RC (R) lift trucks.
</t>
  </si>
  <si>
    <t xml:space="preserve">754688
05858H</t>
  </si>
  <si>
    <t xml:space="preserve">Alcatel Lucent SA
Electn &amp; Telecommun Research</t>
  </si>
  <si>
    <t xml:space="preserve">Manufacture communication equipment
Pvd tech research services</t>
  </si>
  <si>
    <t xml:space="preserve">Alcatel Lucent SA, located in
Paris, France, manufactures
communication equipment and
solutions focusing on fixed
wire line and wireless
services, including voice and
data network services,
satellite, broadband Internet,
network management and
switching installation;
manufacture telecommunications
equipment; provide turnkey
systems design services;
provide enterprise solutions,
including IP telephony. The
company was founded in 1898.
Electronics &amp;
Telecommunications Research
Institute, located in South
Korea, provides electronics
and telecommunications
research services.</t>
  </si>
  <si>
    <t xml:space="preserve">3669
8731</t>
  </si>
  <si>
    <t xml:space="preserve">ALCATEL LUCENT SA/ELECTRONICS &amp; TELECOMMUNICATIONS - STRATEGIC ALLIANCE</t>
  </si>
  <si>
    <t xml:space="preserve">Alcatel Lucent SA and South Korean state-owned Electronics &amp;
Telecommunications Research Institute planned to form a strategic alliance
to provide communications and research development services. The alliance
research activity was expected to focus on advanced optical communications
and network applications , wireless technologies, networks and applications
and fundamental studies in the enabling sciences, including mathematical
sciences, computer science and physics.
</t>
  </si>
  <si>
    <t xml:space="preserve">013904
28611Q</t>
  </si>
  <si>
    <t xml:space="preserve">Symrise AG
Cutech SRL</t>
  </si>
  <si>
    <t xml:space="preserve">Produce,wholesale fragrances,flavorings
Research and Development in Biotechnology</t>
  </si>
  <si>
    <t xml:space="preserve">Symrise AG, located in
Holzminden, Germany,
produces and wholesales
fragrances, flavorings and
raw materials as well as
ingredients for the perfume,
cosmetics and food industry.
The Company operates through
two segments: Flavor and
Nutrition, and Scent and
Care. The Flavor and
Nutrition segment develops,
produces and sells flavors
and functional ingredients
that are used in foods,
beverages and health
products, and also provides
tailor-made solutions from
natural raw materials for
the the food, pet food,
aquaculture and cosmetics
industries. The Scent and
Care segment produces
fragrances, cosmetic
ingredients, aroma molecules
and mint aromas for
manufacturing perfumes,
personal care and cosmetic
products, cleaning products
and detergents, home
fragrances and oral care
products. The Company was
founded in 2003.
Cutech SRL is a
biotechnology company which
operates in the field of
dermatology and cosmetology,
with emphasis on hair and
skin disorders, and
specializes in pre-clinical
screening services based on
innovative proprietary ex
vivo skin, sebaceous gland
and hair models. The Company
was founded in 2002 and is
located in Padova, Italy.</t>
  </si>
  <si>
    <t xml:space="preserve">2844
8731</t>
  </si>
  <si>
    <t xml:space="preserve">Germany
Italy</t>
  </si>
  <si>
    <t xml:space="preserve">SYMRISE GMBH &amp; CO KG/CUTECH SRL-SCOUTECH JOINT VENTURE</t>
  </si>
  <si>
    <t xml:space="preserve">SCoutech, located in Germany,
provides high-tech screening
services for the personal
care, nutraceuticals and
pharma industries. The Company
offers screening services for
cosmetic raw materials,
cosmetic formulations,
pharmaceuticals and
nutraceuticals using cell and
tissue-based screening assays
in order to support the
development of effective
products for skin and hair
care. Founded in 2008.</t>
  </si>
  <si>
    <t xml:space="preserve">Symrise GmbH &amp; Co KG and Cutech Srl formed a joint venture named SCoutech
(SC) to provide high-tech screening services for the personal care,
nutraceuticals and pharma industries. SC was expected to offer screening
services for cosmetic raw materials, cosmetic formulations, pharmaceuticals
and nutraceuticals using cell and tissue-based screening assays in order to
support the development of effective products for skin and hair care.</t>
  </si>
  <si>
    <t xml:space="preserve">81066H</t>
  </si>
  <si>
    <t xml:space="preserve">87064J
23777V</t>
  </si>
  <si>
    <t xml:space="preserve">Agendia Inc
Agilent Technologies Inc</t>
  </si>
  <si>
    <t xml:space="preserve">Biotech co
Manufactures life sciences, diagnostics, applied chemical products</t>
  </si>
  <si>
    <t xml:space="preserve">Agendia Inc, headquartered
in Irvine, California, is a
biotechnology company
focused on gene expression
analysis-based diagnostics
such as MammaPrint, a
prognostic marker to
determine the risk
assessment of breast cancer
reoccurrence. The Company
was founded in 2003.
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t>
  </si>
  <si>
    <t xml:space="preserve">AGENDIA BV/AGILENT TECHNOLOGIES INC-STRATEGIC ALLIANCE</t>
  </si>
  <si>
    <t xml:space="preserve">Agendia BV and Agilent Technologies Inc formed a strategic alliance to
provide research and development services of in-vitro diagnostic tests
globally. The partners were expected to jointly explore the genetic
biomarkers and assess the commercial potential of each of the diagnostic
tests. Financial terms were not disclosed.</t>
  </si>
  <si>
    <t xml:space="preserve">01137Z
00846U</t>
  </si>
  <si>
    <t xml:space="preserve">SkyePharma PLC
Kyorin Co Ltd</t>
  </si>
  <si>
    <t xml:space="preserve">Pharmaceutical Preparation Manufacturing
Holding co</t>
  </si>
  <si>
    <t xml:space="preserve">SkyePharma PLC is a
manufacturer of
pharmaceuticals. Its products
are intended for final
consumption, such as
antibiotics, injectable,
inhalation, oral, topical and
solubilization drugs, and also
include biotechnology. Its
brands include Flutiform,
Pulmicort, Foradil,
Certihaler, Paxil CR, Xatral,
Solaraze, Triglide, Requip and
Lodotra. The company also
provides drug research and
development services. It is
located in London, the United
Kingdom and was founded in
1996.
Kyorin Co Ltd, based in Tokyo,
Japan, is a holding company.
The company is also engaged in
manufacturing and wholesaling
pharmaceutical products. The
company was founded in 1958.</t>
  </si>
  <si>
    <t xml:space="preserve">SKYEPHARMA PLC/KYORIN CO LTD-STRATEGIC ALLIANCE</t>
  </si>
  <si>
    <t xml:space="preserve">SkyePharma Inc (SP) and Kyorin Co Ltd (KC) formed a strategic alliance
wherein SP exclusively licensed KC to develop and distribute its Flutiform
pharmaceutical product for the treatment of asthma in Japan.</t>
  </si>
  <si>
    <t xml:space="preserve">830808
49892A</t>
  </si>
  <si>
    <t xml:space="preserve">Arana Therapeutics Ltd
Kyowa Hakko Kogyo Co Ltd</t>
  </si>
  <si>
    <t xml:space="preserve">Arana Therapeutics Ltd is a
New South Wales,
Australia-based biotechnology
company that is principally
involved in manufacturing
products for the
pharmaceutical, veterinary and
agricultural industries. It
also researches, develops and
invests in licensing
technology, while also
producing, formulating and
marketing peptides and related
products for the human and
animal pharmaceutical
industries. It operates mainly
in Australia but the human
pharmaceutical assets are
located in Europe, the
Americas and Australia, while
the animal pharmaceutical
assets are located in the
Americas and Australia. The
company was established in
1985.
Kyowa Hakko Kogyo Co Ltd,
headquartered in Japan and
founded in 1949,
manufactures and wholesales
pharmaceutical products such
as drugs for cancer,
cardiovascular conditions
and fungal infections,
agrochemicals, diagnostic
reagents, plasticizers and
solvents and produce food
and liquor such as umeshu
and imported scotch. It also
manufactures specialty
chemicals, seasonings,
confectionery and baking
ingredients and processed
foods.</t>
  </si>
  <si>
    <t xml:space="preserve">Australia
Japan</t>
  </si>
  <si>
    <t xml:space="preserve">Arana Therapeutics Ltd
Kirin Holdings Co Ltd</t>
  </si>
  <si>
    <t xml:space="preserve">ARANA THERAPEUTICS/KYOWA HAKKO KOGYO CO LTD-STRATEGIC ALLIANCE</t>
  </si>
  <si>
    <t xml:space="preserve">Arana Therapeutics Ltd (AT) and Kyowa Hakko Kogyo Co Ltd (KH) formed a
strategic alliance to provide research and development services. The
partenrs were expected to develop a new anti-cancer drug for colorectal
cancer (ART104). AT was expected to receive an upfront payment of $4 mil US
(4.26 mil Australian dollars/417.19 mil Japanese yen) in upfront payment
and additional milestones of up to $4 mil US.</t>
  </si>
  <si>
    <t xml:space="preserve">Arana Therapeutics Ltd was expected to receive an upfront payment of $4 mil
US (4.26 mil Australian dollars/417.19 mil Japanese yen) in upfront payment
and additional milestones of up to $4 mil US.</t>
  </si>
  <si>
    <t xml:space="preserve">03909N
50156V</t>
  </si>
  <si>
    <t xml:space="preserve">Astellas Pharma Inc
CoMentis Inc</t>
  </si>
  <si>
    <t xml:space="preserve">Mnfr,whl pharm
Pvd research,dvlp svcs</t>
  </si>
  <si>
    <t xml:space="preserve">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
CoMentis Inc, located in South
San Francisco, California,
provides research, discovery
and development services of
small-molecule drugs to treat
Alzeimer's disease,
age-related macular
degeneration (AMD) and
cognitive disorders. The
company has three product
development programs: ATGS-3,
a topical (eye drop)
anti-angiogenesis compound for
neovascular AMD in Phase II
development, CTS-21166, an
orally active beta-secretase
inhibitor for Alzheimers
disease in Phase I
development; and GTS-21, an
oral agonist of the 7 nACh
receptor for ADHD in Phase II
development, and a series of
next generation agonists of
the 7 nACh receptor in
preclinical development.</t>
  </si>
  <si>
    <t xml:space="preserve">ASTELLAS PHARMA INC/COMENTIS INC-STRATEGIC ALLIANCE</t>
  </si>
  <si>
    <t xml:space="preserve">Astellas Pharma Inc and CoMentis Inc (CM) formed a strategic alliance to
provide Alzheimer's drugs research and development services worldwide. The
alliance was expected to develop and commercialize products from CM's
beta-secretase inhibitor program, including its lead candidate compound
CTS-21166, an orally bioavailable, small-molecule beta secretase inhibitor
which is being developed as a disease-modifying treatment for Alzheimer;s
disease. Upon closing, CM will receive an upfront payment of $80 mil US
(8.4 bil Japanese yen) and has the opportunity to receive up to $660 mil US
(69 bil yen) in development milestones and may also receive
performance-based commercialization milestones. The alliance cost was $760
mil US (79 bil yen).
</t>
  </si>
  <si>
    <t xml:space="preserve">Upon closing, CoMentis Inc will receive an upfront payment of $80 mil US
(8.4 bil Japanese yen) and has the opportunity to receive up to $660 mil US
(69 bil yen) in development milestones and may also receive
performance-based commercialization milestones. The alliance cost was $760
mil US (79 bil yen).</t>
  </si>
  <si>
    <t xml:space="preserve">J03393
20067Z</t>
  </si>
  <si>
    <t xml:space="preserve">Rosetta Genomics Ltd
The Rockefeller University</t>
  </si>
  <si>
    <t xml:space="preserve">Mnfr,whl medical tests,prods
Own,op college,university</t>
  </si>
  <si>
    <t xml:space="preserve">Rosetta Genomics Ltd is a
biotechnology company focused
on diagnostic and therapeutic
product development and
medical research involving
micro-ribonucleic acid,
commonly known as microRNA
focusing primarily on cancer
and various women's health
indications. The Company was
founded in March 2000 and is
located in Rehovot, Israel.
Rockefeller University, owns
and operates a
college/university. The
college/university is
headquartered in New York,
New York.</t>
  </si>
  <si>
    <t xml:space="preserve">ROSETTA GENOMICS LTD/ROCKEFELLER UNIVERSITY-STRATEGIC ALLIANCE</t>
  </si>
  <si>
    <t xml:space="preserve">Rosetta Genomics Ltd (RG) and Rockefeller University (RU) formed a
strategic alliance wherein RG licensed RU's proprietary microRNA genes for
research applications. The alliance encompasses viral and human microRNA
that will be added to RG's existing intellectual property (IP) estate,
which includes two issued patents, two allowed patent applications, and 60
pending patent applications.</t>
  </si>
  <si>
    <t xml:space="preserve">M82183
773104</t>
  </si>
  <si>
    <t xml:space="preserve">Amyris Biotechnologies Inc
Crystalsev Comercio e</t>
  </si>
  <si>
    <t xml:space="preserve">Biotech co
Mnfr ethanol alcohol,sugar</t>
  </si>
  <si>
    <t xml:space="preserve">Amyr Biotechnologies Inc is
a biotechnology company
headquartered in Emeryville,
California. The company is
focused in two major
projects namely the
production of the drug
artemisinin to fight malaria
and production of renewable
biofuels to help reduce
global warming. The company
was founded in 2003.
Crystalsev Comercio e
Representacao Ltda, located in
Sao Paolo, Brazil,
manufactures ethanol alcohol
and related chemical
by-products from sugar cane as
well as owns and operates
sugar plantations. The company
also produces, refines and
sells sugar.</t>
  </si>
  <si>
    <t xml:space="preserve">2869
2869</t>
  </si>
  <si>
    <t xml:space="preserve">Amyris Biotechnologies Inc
Amyris Biotechnologies Inc</t>
  </si>
  <si>
    <t xml:space="preserve">AMYRIS BIOTECHNOLOGIES INC/CRYSTALSEV COMERCIO E REPRESENTACAO LTDA- JOINT
VENTURE</t>
  </si>
  <si>
    <t xml:space="preserve">Amyris-Crystalsev Pesquisa e
Desenvolvimento de
Biocombustiveis Ltda, located
in Brazil, provides research
and development services of
renewable fuels made from
sugarcane, including gasoline,
diesel and jet fuel. Founded
in 2008.</t>
  </si>
  <si>
    <t xml:space="preserve">Amyris Biotechnologies Inc and Crystalsev Comercio e Representacao Ltda
formed a joint venture named Amyris-Crystalsev Pesquisa e Desenvolvimento
de Biocombustiveis Ltda (AC) to provide research and development services
of renewable fuels made from sugarcane, including gasoline, diesel and jet
fuel in Brazil. AC's formation was a strategic growth opportunity both for
the partners to leverage their development services and to further
strengthen their market position.</t>
  </si>
  <si>
    <t xml:space="preserve">93948W</t>
  </si>
  <si>
    <t xml:space="preserve">03249V
22946A</t>
  </si>
  <si>
    <t xml:space="preserve">IBM Corp
Spansion Inc</t>
  </si>
  <si>
    <t xml:space="preserve">Manufacture computer products
Mnfr flash memory devices</t>
  </si>
  <si>
    <t xml:space="preserve">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
Spansion Inc, located in
Sunnyvale, California, is a
manufacturer of flash memory
devices used in a wide variety
of electronic devices,
including wireless phones,
networking equipment, and
automotive subsystems. It also
provides hardware development
tools and production
manufacturing support. The
company was founded in 2003.</t>
  </si>
  <si>
    <t xml:space="preserve">3571
3674</t>
  </si>
  <si>
    <t xml:space="preserve">INTERNATIONAL BUSINESS/SPANSION INC-STRATEGIC ALLIANCE</t>
  </si>
  <si>
    <t xml:space="preserve">International Business Machines Corp {IBM Corp} and Spansion Inc (SI)
formed a 7-year strategic alliance agreement wherein IBM and SI
cross-licensed each others's atent portfolio including SI's MirrorBit(R)
technology in order to develop Flash memory solutions for the Chinese
market.</t>
  </si>
  <si>
    <t xml:space="preserve">459200
84649R</t>
  </si>
  <si>
    <t xml:space="preserve">Singapore Telecommun Ltd
Maritime &amp; Port Authority</t>
  </si>
  <si>
    <t xml:space="preserve">Provide telecommunications services
Pvd port,maritime svcs</t>
  </si>
  <si>
    <t xml:space="preserve">Singapore Telecommunications
Ltd, located in Singapore, is
a communications company. The
Company is engaged in the
operation and provision of
telecommunications systems and
services. In addition, it
offers Internet services and
also holds frequency spectrum
and license rights to install,
operate and maintain mobile
communication systems and
services, including wireless
broadband systems and
services. It operates in three
segments: Group Consumer,
Group Enterprise andDigital
Life. The Group Consumer
segment comprises the consumer
businesses across Singapore
and Australia, as well as the
Company's investments in
Thailand, India, Africa, South
Asia, Philippines and
Indonesia. The Group
Enterprise segment comprises
the business groups across
Singapore, Australia, the
United States, Europe and the
region. The Group Digital Life
segment focuses on using the
Internet technologies and
assets of the Company's
operating companies by
entering adjacent businesses.
The Company was founded on 1
March 1992.
Maritime &amp; Port Authority of
Singapore regulates and
licenses port and marine
services and facilities. It
manages vessel traffic in the
Singapore port, ensures
navigational safety and port
security. It also advises the
Government on matters relating
to sea transport and maritime
services. Founded in 1996.</t>
  </si>
  <si>
    <t xml:space="preserve">4812
9621</t>
  </si>
  <si>
    <t xml:space="preserve">Singapore Telecommun Ltd
Singapore</t>
  </si>
  <si>
    <t xml:space="preserve">4812
999A</t>
  </si>
  <si>
    <t xml:space="preserve">SINGAPORE TELECOMMUNICATIONS/MARITIME &amp; PORT AUTHORITY OF
SINGAPORE-STRATEGIC ALLIANCE</t>
  </si>
  <si>
    <t xml:space="preserve">State-owned Singapore Telecommunications Co Ltd {SingTel} and Maritime &amp;
Port Authority of Singapore formed a strategic alliance to provide maritime
technology research and development services in Singapore. The partners
were to develop and explore the possible integration between SingTel's
maritime satellite broadband solutions with MP's wireless-broadband-access
for Seaport facility.</t>
  </si>
  <si>
    <t xml:space="preserve">82929R
57033X</t>
  </si>
  <si>
    <t xml:space="preserve">IBM Corp
Matheson Tri-Gas Inc</t>
  </si>
  <si>
    <t xml:space="preserve">Manufacture computer products
Mnfr,whl industrial gases</t>
  </si>
  <si>
    <t xml:space="preserve">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
Matheson Tri-Gas Inc,
located in Newark,
California, manufactures and
wholesales industrial and
specialty gases, including
bulk and cylinder gasses. It
also provides support,
engineering and system
management services to
analytical laboratories and
semiconductor manufacturers.
The Company was founded in
1926.</t>
  </si>
  <si>
    <t xml:space="preserve">3571
2813</t>
  </si>
  <si>
    <t xml:space="preserve">IBM Corp
Taiyo Nippon Sanso Corp</t>
  </si>
  <si>
    <t xml:space="preserve">{IBM}/MATHESON TRI-GAS INC- STRATEGIC ALLIANCE</t>
  </si>
  <si>
    <t xml:space="preserve">International business Machines Corp and Matheson Tri-Gas Inc, a unit of
Taiyo Nippon Sanso Corp, formed a 4-year strategic alliance to provide new
manufacturing materials and processes development services for next
generation of semiconductor technology for 32nm and beyond.</t>
  </si>
  <si>
    <t xml:space="preserve">459200
59179J</t>
  </si>
  <si>
    <t xml:space="preserve">Simrad Optronics ASA
Saab-Scania AB</t>
  </si>
  <si>
    <t xml:space="preserve">Mnfr,whl military instr
Mnfr automobiles,engines</t>
  </si>
  <si>
    <t xml:space="preserve">Simrad Optronics ASA, located
in Oslo, Norway, manufactures
and wholesales military and
industrial electro-optical
instruments such as laser
rangefinders, night vision
goggles and clip-on night
vision sights for military,
special forces and police
applications. The company was
founded in 1948.
Saab-Scania AB, located in
Sweden, manufactures and
wholesales passenger cars,
aircraft engines, parts,
equipment and aircraft, truck
and bus bodies, automobile
parts, automobile supplies and
transportation equipment. It
also owns and operates auto
and home supply stores.</t>
  </si>
  <si>
    <t xml:space="preserve">3812
3711</t>
  </si>
  <si>
    <t xml:space="preserve">Norway
Sweden</t>
  </si>
  <si>
    <t xml:space="preserve">Investore AS
Saab-Scania AB</t>
  </si>
  <si>
    <t xml:space="preserve">SIMRAD OPTRONICS ASA/SAAB-JOINT VENTURE</t>
  </si>
  <si>
    <t xml:space="preserve">Simrad Optronics ASA, a unit of the Technor ASA subsidiary of HitecVision
Private Equity IV LP's CET Holding AS unit, and Saab-Scania AB planned to
form a joint venture (JV) to manufacture and develop aircraft parts in
Norway. The establishment of the JV is dependent upon whether the Norwegian
Ministry of Defense decides to purchase Gripen Aircrafts.</t>
  </si>
  <si>
    <t xml:space="preserve">82916Y
785140</t>
  </si>
  <si>
    <t xml:space="preserve">Medtronic Inc
Scil Technology GmbH</t>
  </si>
  <si>
    <t xml:space="preserve">Manufacture, wholesale medical, surgical devices
Biotechnology company</t>
  </si>
  <si>
    <t xml:space="preserve">Medtronic Inc, located in
Minneapolis, Minnesota,
manufactures and wholesales
medical and surgical
devices. Its products
include neurostimulation
systems, drug delivery
systems, neurosurgical
implant devices, surgical
access products, diagnostic
and therapeutic systems for
chronic pain, neurological,
urologic, and
gastrointestinal disorders,
coronary stents, stent
grafts, angioplasty
balloons, guiding catheters,
guide wires and surgical
instruments for treating
ear, nose, throat and eye
disorders and diseases. It
markets its products in 120
nations. The company was
founded in 1949.
Scil Technology GmbH, located
in Martinsried, Germany, is a
biopharmaceutical company. It
is focused on dental and
orthopaedic tissue
regeneration with a particular
emphasis on bone and cartilage
repair. The companys
therapeutic candidates are
based on recombinant human
growth factors. These factors
are combined with
biodegradable biomaterials to
generate local application
forms. Scil Technology
pipeline for dentistry
includes products that are
targeted at periodontal
disease, dental implantology
and maxillofacial surgery.
Orthopaedic products are
developed for treatment of
traumatic lesions of bone and
cartilage and osteoarthritis.</t>
  </si>
  <si>
    <t xml:space="preserve">MEDTRONIC INC/SCIL TECHNOLOGY GMBH-STRATEGIC ALLIANCE</t>
  </si>
  <si>
    <t xml:space="preserve">Medtronic Inc and Scil Technology GmbH formed a strategic alliance to
provide biologic rhGDF-5 dental regenerative technology development
services.  Terms were not disclosed.</t>
  </si>
  <si>
    <t xml:space="preserve">585055
80878Q</t>
  </si>
  <si>
    <t xml:space="preserve">Foamix Ltd
Galderma Pharma SA</t>
  </si>
  <si>
    <t xml:space="preserve">Mnfr pharm
Manufacture skin care products</t>
  </si>
  <si>
    <t xml:space="preserve">Foamix Ltd, located in Ness
Ziona, Israel, manufactures
and develops innovative
topical and dermatological
foam drug delivery
formulations.
Galderma Pharma SA, located
in company was founded in
1981. Lausanne, Switzerland,
manufactures skin care
products such as treatment
for major skin conditions,
acne, rosacea, fungal nail
infections, psoriasis,
seborrheic dermatitis,
non-melanoma skin cancer and
photodamage, and
hyperpigmentation disorders.
Its products are distributed
in over 70 countries. The
company was founded in 1981.</t>
  </si>
  <si>
    <t xml:space="preserve">Foamix Ltd
Nestle SA</t>
  </si>
  <si>
    <t xml:space="preserve">FOAMIX LTD/GALDERMA PHARMA SA-STRATEGIC ALLIANCE</t>
  </si>
  <si>
    <t xml:space="preserve">Foamix Ltd (FL) and Galderma Pharma SA (GP), a joint venture between Nestle
SA and Loreal SA, formed a strategic alliance to provide medicated foam
development services for skin diseases. Under terms of the agreement, FL
was expected to develop the foam formulation and GP was expected to conduct
all other activities.</t>
  </si>
  <si>
    <t xml:space="preserve">34426X
36319A</t>
  </si>
  <si>
    <t xml:space="preserve">DPS Resources Bhd
Hainan LVBO Industry &amp;</t>
  </si>
  <si>
    <t xml:space="preserve">Mnfr,whl furniture
Biotechnology company</t>
  </si>
  <si>
    <t xml:space="preserve">DPS Resources Bhd, located in
Melaka, Malaysia, manufacture
and wholesale furniture. The
companies products include
wooden dining sets,
knock-down, and occasional
furniture. The company was
founded in 2002.
Hainan LVBO Industry &amp;
Commerce Co Ltd is a
biotechnology company focused
in researching a new species
of jatropha trees which yield
higher levels of oil content,
toxicity and oil extraction
rate, headquartered in China.</t>
  </si>
  <si>
    <t xml:space="preserve">2511
2836</t>
  </si>
  <si>
    <t xml:space="preserve">Malaysia
China</t>
  </si>
  <si>
    <t xml:space="preserve">DPS RESOURCES BHD/HAINA LVBO INDUSTRY-JOINT VENTURE</t>
  </si>
  <si>
    <t xml:space="preserve">DPS Resources Bhd (DR) and Hainan LVBO Industry &amp; Commerce Co Ltd (LI)
planned to form a joint venture (JV) to provide research and development
services of jatropha plants for biofuel production in China. DR was to hold
a 60% interest in the JV, and the remaining 40% stake was to be held by
LI.
</t>
  </si>
  <si>
    <t xml:space="preserve">23556Q
52078Y</t>
  </si>
  <si>
    <t xml:space="preserve">Micrus Endovascular Corp
Chemence Medical Products Inc</t>
  </si>
  <si>
    <t xml:space="preserve">Mnfr,wholesale medical devices
Mnfr med supplies</t>
  </si>
  <si>
    <t xml:space="preserve">Micrus Endovascular Corp,
located in San Jose,
California, manufactures and
wholesales both implantable
and disposable medical devices
used in the treatment of
cerebral vascular diseases by
interventional
neuroradiologists and
neurosurgeons primarily to
treat cerebral aneurysms in
the brain responsible for
hemorrhagic stroke. The
company was founded in 1996.
Chemence Medical Products Inc
is a medical supplies
manufacturing firm,
headquartered in Alpharetta,
Georgia. The company's
products include topical
liquid bandages, vet glue, and
a key component of an internal
liquid embolic agent. The
products are protected by a
portfolio of patents covering
various aspects of
cyanoacrylate technology for
medical use, including
sterilization, packaging,
viscosity and bio-absorbable
formulations.</t>
  </si>
  <si>
    <t xml:space="preserve">MICRUS ENDOVASCULAR CORP/CHEMENCE MEDICAL PRODUCTS-STRATEGIC ALLIANCE</t>
  </si>
  <si>
    <t xml:space="preserve">Micrus Endovascular Corp and Chemence Medical Products Inc formed a
strategic alliance to provide research and development services in the
United States. The partners collaborated to develop liquid embolic products
for neurovascular indications.</t>
  </si>
  <si>
    <t xml:space="preserve">59518V
16363W</t>
  </si>
  <si>
    <t xml:space="preserve">Linde AG
Sued Chemie AG</t>
  </si>
  <si>
    <t xml:space="preserve">Mnfr,whl industrial gases
Manufacture chemical products</t>
  </si>
  <si>
    <t xml:space="preserve">Linde AG, located in Munich,
Germany, manufactures and
wholesales industrial gases.
The Company is comprised of
three divisions: Industrial
Gases &amp; Healthcare,
Engineering and Gist. The
Gases segment offers a wide
range of compressed and
liquefied gases, as well as
chemicals, to various
industries, including
energy, steel production,
chemical processing,
environmental protection and
welding, food processing,
glass production and
electronics. The Engineering
division offers planning,
project development and
construction of turnkey
industrial plants, such as
petrochemical and chemical
plants, refineries,
fertilizer plants, as well
as olefin, natural gas, air
separation, hydrogen and
synthesis gas plants. The
Gist specializes in the
distribution of chilled food
and beverages. It operates
in 100 countries worldwide.
The Company offers its
products and services to
industrial, retail, trade,
science, research and public
sectors. It was founded in
1879.
Sued Chemie AG, located in
Munich, Germany, manufactures
chemical products, absorbents
and additives. Its products
include bleaching earths,
foundry chemicals, bentonites,
rheological products, cat
litter, desiccants, kaolin,
zeolite-based absorbents and
mining catalysts for chemical,
petrochemical and food
industries and environmental
technology, waste and process
water treatment, catalytic
purification of flue gases.
The company was founded in
1941.</t>
  </si>
  <si>
    <t xml:space="preserve">2813
2899</t>
  </si>
  <si>
    <t xml:space="preserve">Linde AG
JPMorgan Chase &amp; Co</t>
  </si>
  <si>
    <t xml:space="preserve">2813
6021</t>
  </si>
  <si>
    <t xml:space="preserve">LINDE AG/SUED-CHEMIE AG-STRATEGIC ALLIANCE</t>
  </si>
  <si>
    <t xml:space="preserve">Linde AG and Sued-Chemie AG formed a strategic alliance to develop and
market plants for the production of second-generation biofuels in Germany.</t>
  </si>
  <si>
    <t xml:space="preserve">535223
86467Y</t>
  </si>
  <si>
    <t xml:space="preserve">GLG Life Tech Corp
Weider Global Nutrition</t>
  </si>
  <si>
    <t xml:space="preserve">Mnfr stevia
Produce dietary supplements</t>
  </si>
  <si>
    <t xml:space="preserve">GLG Life Tech Corp, located in
Vancouver, British Columbia,
manufactures high grade
stevia, a zero calorie
sweetener. The company is also
involved in the seed breeding,
propagation and refining
operations and is leading
provider of high grade stevia.
It is also involved in the
development of nutraceuticals,
dietary and food supplements,
vitamins, minerals, and
personal health care products.
The company was founded 1998.
Weider Global Nutrition ,
located in Salt Lake City,
Utah, produces and develops
dietary and tabletop
supplements.</t>
  </si>
  <si>
    <t xml:space="preserve">FF
UT</t>
  </si>
  <si>
    <t xml:space="preserve">GLG LIFE TECH CORP/WEIDER GLOBAL NUTRITION-STRATEGIC ALLIANCE</t>
  </si>
  <si>
    <t xml:space="preserve">GLG Life Tech Corp (GL) and Weider Global Nutrition signed a letter of
intent to form a strategic alliance to wholesale dietary and tabletop
supplements containing GL's stevia products. The companies were expected to
work closely to develop high quality stevia products directly for the
consumer market.</t>
  </si>
  <si>
    <t xml:space="preserve">361793
94880N</t>
  </si>
  <si>
    <t xml:space="preserve">Dainippon Screen Mfg Co Ltd
DuPont</t>
  </si>
  <si>
    <t xml:space="preserve">Mnfr,whl semiconductor equip
Mnfr chemical,electronic prod</t>
  </si>
  <si>
    <t xml:space="preserve">Dainippon Screen Mfg Co Ltd,
headquartered in Kyoto,
Japan, is mainly engaged in
the manufacture and sale of
semiconductor equipment. The
Company operates in four
business segments. The
Semiconductor Equipment (SE)
segment is engaged in the
development, manufacture,
sale and maintenance of
semiconductor manufacturing
equipment. The Flat Panel
Display (FPD) Equipment (FE)
segment provides FPD
manufacturing equipment. The
Media and Precision
Technology (MP) segment is
engaged in the development,
manufacture, sale and
maintenance of printing
related equipment and
printed circuit board
related machinery. The
Others segment is involved
in the development of
software, the planning and
production of prints, as
well as the production and
sale of image materials. It
was founded in 1943.
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t>
  </si>
  <si>
    <t xml:space="preserve">3559
2821</t>
  </si>
  <si>
    <t xml:space="preserve">DAINIPPON SCREEN MANUFACTURING CO LTD/E I DU PONT DE NEMOURS &amp; CO(DNU)-
STRATEGIC ALLIANCE</t>
  </si>
  <si>
    <t xml:space="preserve">Dainippon Screen Manufacturing Co Ltd and DuPont Co planned to form a
strategic alliance to provide research and development services of OEL
(organic electroluminescent) display for flat-screen televisions globally.
The partners were expected to construct a production plant to produce a
more thinner than LCD equipment for a 32-inch television, which consumes
lesser electricity.</t>
  </si>
  <si>
    <t xml:space="preserve">23385Q
263534</t>
  </si>
  <si>
    <t xml:space="preserve">GTC Biotherapeutics Inc
LFB-Biotechnologies SAS</t>
  </si>
  <si>
    <t xml:space="preserve">GTC Biotherapeutics Inc,
located in Framingham,
Massachusetts, manufactures
and develops therapeutic
proteins through transgenic
animal technology. ATryn(R),
its recombinant form of human
antithrombin, is the first
transgenically produced
protein to be approved
anywhere in the world, having
been approved by the European
Commission for the
prophylactic treatment of deep
vein thrombosis in patients
with hereditary antithrombin
deficiencies that are
undergoing surgical
procedures.
LFB-Biotechnologies SAS,
located in Les Ulis, France,
is a biotechnology company.</t>
  </si>
  <si>
    <t xml:space="preserve">GTC Biotherapeutics Inc
France</t>
  </si>
  <si>
    <t xml:space="preserve">GTC BIOTHERAPEUTICS INC/LFB SA(DNU)- STRATEGIC ALLIANCE</t>
  </si>
  <si>
    <t xml:space="preserve">GTC Biotherapeutics Inc and LFB Biotechnologies, a unit of Laboratoire
Francais du Fractionnement et des Biotechnologies SA formed a strategic
alliance to provide recombinant plasma proteins and monoclonal antibodies
development services.</t>
  </si>
  <si>
    <t xml:space="preserve">36238T
49796V</t>
  </si>
  <si>
    <t xml:space="preserve">SomaLogic Inc
Otsuka Pharmaceutical Co Ltd</t>
  </si>
  <si>
    <t xml:space="preserve">Biotechnology company
Mnfr,whl pharm,cosmetics</t>
  </si>
  <si>
    <t xml:space="preserve">SomaLogic Inc is a
biotechnology company located
in Boulder, Colorado. The
Company develops
next-generation medical
diagnostics based on protein
signatures - unique patterns
that can be analyzed using
simple blood tests and that
can distinguish between
disease and health with
unprecedented accuracy.
Otsuka Pharmaceutical Co
Ltd, located in Tokyo,
Japan, manufactures and
wholesales pharmaceuticals,
cosmetics, and medical
equipment. From its initial
focus on the intravenous
solutions business, the
company has grown to be a
leader in the field of
nutrition management in
healthcare settings. It is
also engaged in research and
development of innovative
products. The company was
founded in 1964.</t>
  </si>
  <si>
    <t xml:space="preserve">SOMALOGIC INC/OTSUKA PHARMACEUTICAL CO LTD-STRATEGIC ALLIANCE</t>
  </si>
  <si>
    <t xml:space="preserve">SomaLogic Inc (SI) and Otsuka Pharmaceutical Co Ltd (OP) formed a strategic
alliance to provide research and development services. The partners
collaborated to use SI's proprietary aptamer technology to discover and
develop novel diagnostic products and to  design research tools that will
enhance OP?s pharmaceutical discovery and development  efforts.</t>
  </si>
  <si>
    <t xml:space="preserve">83444K
68916Q</t>
  </si>
  <si>
    <t xml:space="preserve">Ranbaxy Laboratories Ltd
Merck &amp; Co Inc</t>
  </si>
  <si>
    <t xml:space="preserve">Mnfr pharm
Mnfr,whl pharmaceutical prod</t>
  </si>
  <si>
    <t xml:space="preserve">Ranbaxy Laboratories Ltd is a
manufacturer of pharmaceutical
preparation. The company was
founded in 1961 and is located
in Gurgaon, India.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</si>
  <si>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RANBAXY LABORATORIES LTD/MERCK &amp; CO INC-STRATEGIC ALLIANCE</t>
  </si>
  <si>
    <t xml:space="preserve">Ranbaxy Laboratories Ltd (RL) and Merck &amp; Co Inc (MC) formed a 5-year
strategic alliance to provide anti-infective drug discovery and development
services.</t>
  </si>
  <si>
    <t xml:space="preserve">751881
589331</t>
  </si>
  <si>
    <t xml:space="preserve">CSIR Ghana
LonSum</t>
  </si>
  <si>
    <t xml:space="preserve">Pvd crop research svcs
Own,op rubber plantations</t>
  </si>
  <si>
    <t xml:space="preserve">Council for Scientific &amp;
Industrial Research{CSIR},
located in Accra, Ghana,
provides crop, food, oil pal,
agricultural and plant
genetics research services.
Founded in 1968.
PP London Sumatra Indonesia
Tbk PT {LonSum}, headquartered
in Jakarta, Indonesia, owns
and operates rubber, cocoa,
coffee, tea, oil palm and
timber plantations. Lonsum
operates 38 plantations in
four main islands of
Indonesia: Sumatra, Java,
Kalimantan and Sulawesi. It
was founded in 1906.</t>
  </si>
  <si>
    <t xml:space="preserve">8731
0831</t>
  </si>
  <si>
    <t xml:space="preserve">Ghana
Indonesia</t>
  </si>
  <si>
    <t xml:space="preserve">CSIR Ghana
First Pacific Co Ltd</t>
  </si>
  <si>
    <t xml:space="preserve">Ghana
Hong Kong</t>
  </si>
  <si>
    <t xml:space="preserve">8731
6282</t>
  </si>
  <si>
    <t xml:space="preserve">PP LONDON SUMATRA INDONESIA/COUNCIL FOR SCIENTIFIC &amp; INDUSTRIAL-GHANA
SUMATRA LTD JOINT VENTURE</t>
  </si>
  <si>
    <t xml:space="preserve">0831</t>
  </si>
  <si>
    <t xml:space="preserve">Ghana</t>
  </si>
  <si>
    <t xml:space="preserve">PP London Sumatra Indonesia Tbk PT (PL) and Ghana state-owned Council for
Scientific &amp; Industrial research {CSIR} planned to form a joint venture
named Ghana Sumatra Ltd (GS) to own and operate oil palm plantations in
Ghana. CSIR was to hold a 55% interest in GS while PL was to hold a 45%
stake. GS was to develop and realize the gentic potential of the oil palm
species. PL was to invest $4.5 mil US (41.67 bil Indonesian rupiah/44.12
bil Ghanaian cedis) in GS.</t>
  </si>
  <si>
    <t xml:space="preserve">Agricultural, Forestry, &amp; Fishing Svcs
Research &amp; Development Services</t>
  </si>
  <si>
    <t xml:space="preserve">PP London Sumatra Indonesia Tbk PT was to invest $4.5 mil US (41.67 bil
Indonesian rupiah/44.12 bil Ghanaian cedis) in Ghana Sumatra Ltd.</t>
  </si>
  <si>
    <t xml:space="preserve">13069H
69202V</t>
  </si>
  <si>
    <t xml:space="preserve">Bristol-Myers Squibb Co
KAI Pharmaceuticals Inc</t>
  </si>
  <si>
    <t xml:space="preserve">Manufactures pharmaceuticals and medical products
Mnfr pharm</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</si>
  <si>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KAI Pharmaceuticals Inc,
located in South San
Francisco, California, is a
biopharmaceutical company
developing a new class of
therapeutics targeting protein
kinase (PKC) that play a
fundamental role in major
diseases including
cardiovascular and ischemic
disease, pain, cancer,
diabetes and inflammation.</t>
  </si>
  <si>
    <t xml:space="preserve">BRISTOL-MYERS CO/KAI PHARMA-STRATEGIC ALLIANCE</t>
  </si>
  <si>
    <t xml:space="preserve">Bristol-Myers Squibb Co and KAI Pharmaceuticals Inc (KP) formed a strategic
alliance to provide KAI-9803, a delta protein kinase C pathway inhibitor
development services globally. KAI-9803 was designed to reduce the size of
the heart attack and to improve clinical outcomes during treatment of acute
myocardial infarction (AMI). KP was expected to receive an upfront cash
payment of $25 mil US.</t>
  </si>
  <si>
    <t xml:space="preserve">KAI Pharmaceuticals Inc was expected to receive an upfront cash payment of
$25 mil US.</t>
  </si>
  <si>
    <t xml:space="preserve">110122
48682K</t>
  </si>
  <si>
    <t xml:space="preserve">KT Corp
NTT</t>
  </si>
  <si>
    <t xml:space="preserve">Wired Telecommunications Carriers
Pvd telecommunications svcs</t>
  </si>
  <si>
    <t xml:space="preserve">KT Corp is a wired
telecommunications carrier.
The Company was founded in
December 1981 and is located
in Seongnam, South Korea.
NNippon Telegraph &amp;
Telephone Corp {NTT},
located in Tokyo, Japan,
provides telecommunications
services. It primarily
operates in five business
segments. The Regional
domestic intra-prefectural
communication services and
incidental services. The
Long-distance and
International Communications
segment is engaged in the
provision of domestic
inter-prefectural and
international communication
services and incidental
services. The Mobile mobile
phones services, and the
related services. The Data
Communications segment is
engaged in the provision of
system integration and
network system services,
among others. The Others
real estate business and
construction business,
system development business,
as well as advanced company
was founded in 1985.
technology development
business, among others. The</t>
  </si>
  <si>
    <t xml:space="preserve">4813
4813</t>
  </si>
  <si>
    <t xml:space="preserve">South Korea
Japan</t>
  </si>
  <si>
    <t xml:space="preserve">KT CORP/NIPPON TELEGRAPH &amp; TELEPHONE CORP-STRATEGIC ALLIANCE</t>
  </si>
  <si>
    <t xml:space="preserve">KT Corp and Nippon Telegraph &amp; Telephone Corp planned to form a strategic
alliance to provide research and development services of next-generation
broadband communications technologies glboally.</t>
  </si>
  <si>
    <t xml:space="preserve">48268K
654624</t>
  </si>
  <si>
    <t xml:space="preserve">Skinvisible Inc
Embil Ilac Sanayii Ltd Sti</t>
  </si>
  <si>
    <t xml:space="preserve">Mnfr,whl skincare prod
Mnfr pharm</t>
  </si>
  <si>
    <t xml:space="preserve">Skinvisible Inc is a
manufacturer of toilet
preparations. The Company
was founded in 1998 and is
located in Las Vegas,
Nevada.
Embil Ilac Sanayii Ltd Sti,
located in Istanbul, Turkey,
manufactures and wholesales
pharmaceuticals. The company
was founded in 1945.</t>
  </si>
  <si>
    <t xml:space="preserve">United States
Turkey</t>
  </si>
  <si>
    <t xml:space="preserve">SKINVISIBLE INC/EMBIL PHARMACEUTICAL CO LTD- STRATEGIC ALLIANCE</t>
  </si>
  <si>
    <t xml:space="preserve">Skinvisible Inc and Embil Pharmaceutical Co Ltd formed a strategic alliance
wherein SI licensed EP to develop and market SI's prescription anti-acne
products formulated with Invisicare and the active ingredients Clindamycin
HCL, and Retonic Acid.</t>
  </si>
  <si>
    <t xml:space="preserve">830703
26736N</t>
  </si>
  <si>
    <t xml:space="preserve">Safran SA
MBDA Holdings SAS</t>
  </si>
  <si>
    <t xml:space="preserve">Other Aircraft Parts and Auxiliary Equipment Manufacturing
Manufacture,wholesale missiles</t>
  </si>
  <si>
    <t xml:space="preserve">Safran SA, located in Paris,
France, manufactures and
wholesales aircraft
propulsion units, aircraft
equipment, mobile phones,
digital televisions, cables,
navigation and security
equipment. The Group
operates under four major
segments, Aerospace
propulsion, Defense
Security, Aircraft Equipment
and Communication and
Terminals. Under Aerospace
propulsion, the Group offers
aero engines for civil and
military airplanes. The
Company also offers
propulsion systems,
equipment for launchers,
satellites and space
vehicles. Under Defense
security, it offers security
and defense electronics such
as inertial navigation
systems, Optronics system,
information and command
control system and Biometric
identification systems.
Under Aircraft Equipment, it
offers aircraft engine
nacelles, landing gear,
wheels and carbon brakes and
aircraft wiring. Under
Communication and Terminals,
it offers printing
terminals, residential
terminals, digital TV
set-top boxes and broadband
networks and operates mainly
in Europe. The Company was
founded in 1904.
MBDA Holdings SAS, based in
Paris, France, and with
other industrial facilities
in France, the United
Kingdom, Italy, Germany,
Spain, and the United
States, manufactures and
wholesales missiles and
missile systems such as
modular air-to-ground weapon
(AASM) and infrared guidance
for army, navy, and air
force sectors worldwide. It
is also a holding company.
The Company was founded in
2001.</t>
  </si>
  <si>
    <t xml:space="preserve">3728
3761</t>
  </si>
  <si>
    <t xml:space="preserve">Safran SA
BAE Systems PLC</t>
  </si>
  <si>
    <t xml:space="preserve">3728
3721</t>
  </si>
  <si>
    <t xml:space="preserve">SAFRAN SA/MBDA FRANCE SAS-STRATEGIC ALLIANCE</t>
  </si>
  <si>
    <t xml:space="preserve">Safran SA and Matra BAE Dynamics Alenia SAS, a joint venture among
Finmeccanica SpA, BAE Systems PLC, and EADS NV, formed a strategic alliance
to wholesale, distribute and market missiles and missile systems such as
modular air-to-ground weapon (AASM) and infrared guidance for tactical
missiles defense in France. Under terms of the agreement, the partners were
expected to develop AASM, an all-weather precision weapon, comprising a
guidance kit and a range extension kit that could be added to standard
warheads with two versions. The version with inertial guidance and GPS,
offering 10-meter accuracy, deployed by the French air force in foreign
operations. And a  1-meter version with an infrared seeker device.</t>
  </si>
  <si>
    <t xml:space="preserve">Retail &amp; Wholesale Services
Marketing Services
Research &amp; Development Services</t>
  </si>
  <si>
    <t xml:space="preserve">6E5093
57695Z</t>
  </si>
  <si>
    <t xml:space="preserve">DuPont
Genencor International Inc</t>
  </si>
  <si>
    <t xml:space="preserve">Mnfr chemical,electronic prod
Biotech co</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</si>
  <si>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Genencor International Inc,
located in Rochester, New
York, is a biotechnology
company, focusing on the
development of genetically
based biological products,
including gene discovery and
functional genomics and
molecular evolution. It
produces protein (enzyme)
products used for industrial
applications in diverse
consumer and industrial
markets, ranging from grain
processing to cleaning and
textiles to biofuels and
biosafety. The company was
founded in 1982.</t>
  </si>
  <si>
    <t xml:space="preserve">DuPont
Danisco A/S</t>
  </si>
  <si>
    <t xml:space="preserve">2821
2099</t>
  </si>
  <si>
    <t xml:space="preserve">E I DU PONT DE NEMOURS &amp; CO(DNU)/GENENCOR INTERNATIONAL INC-JOINT VENTURE</t>
  </si>
  <si>
    <t xml:space="preserve">DuPont and Genencor International Inc planned to form a joint venture named
DuPont Dansico Cellulosic Ethanol LLC (DD) to provide research and
development services of corn-based ethanol, cellulosic ethanol derived from
dense plant in the United States. The partners were to each hold a 50%
interest in DD.</t>
  </si>
  <si>
    <t xml:space="preserve">263534
368709</t>
  </si>
  <si>
    <t xml:space="preserve">LG Corp
Samsung Electronics Co Ltd</t>
  </si>
  <si>
    <t xml:space="preserve">Manufactures and wholesales electronics and petrochem
Radio and Television Broadcasting and Wireless Communications Equipment Manufacturing</t>
  </si>
  <si>
    <t xml:space="preserve">LG Corp, located in Seoul,
Korea, is a holding company
engaged in the management of
its subsidiaries. The
Companys subsidiaries
include LG Electronics Inc.,
engaged in manufacture of
consumer electronic
products; LG Chem Ltd,
engaged in manufacture of
petrochemical products; LG
Uplus Corp, engaged in
wireless telecommunication
business; LG CNS Co., Ltd.,
engaged in the software
development and information
technology (IT) outsourcing
business; SERVEONE, engaged
in the purchase agency
business; LG Siltron
Incorporated, engaged in the
manufacture of silicon
wafers; LUSEM CO., LTD.,
engaged in the driver
integrated circuit (IC),
light emitting diode (LED)
package and radio frequency
identification (RFID)
businesses; LG Solar Energy
Inc., engaged in
photovoltaic power
generation business; LG
Management Development
Institute, engaged in the
education and management
consulting services, as well
as LG Sports, engaged in the
operation of football club,
among otherslocated in
Seoul, South Korea.
Samsung Electronics Co Ltd,
located in Suwon, South
Korea, manufactures and
wholesales consumer
electronic products. It
operates in three business
divisions: consumer
electronics (CE) division,
which involves in the color
televisions (CTVs),
monitors, printers, air
conditioners, refrigerators,
laundry machines and others;
information technology &amp;
mobile communications (IM)
division, which involves in
the production of computers,
handhold phones (HHPs),
network systems, digital
cameras and others, as well
as device solutions (DM)
division, which is divided
into semiconductor and
display business parts,
providing dynamic random
access memories (DRAMs),
flashes, thin film
transistor-liquid crystal
displays (TFT-LCDs) and
others. It is also a holding
company. The Company
distributes its products
within domestic market and
to overseas markets. It was
founded in 1969.</t>
  </si>
  <si>
    <t xml:space="preserve">3679
3663</t>
  </si>
  <si>
    <t xml:space="preserve">LG CORP(WAS 50336T)/SAMSUNG ELECTRONICS CO LTD-STRATEGIC ALLIANCE</t>
  </si>
  <si>
    <t xml:space="preserve">LG Corp and Samsung Electronics Co Ltd formed a strategic alliance to
provide research and development services of Advanced Vestigial SideBand
television technology in South Korea. The new product portfolio would allow
users to watch terrestrial TV programs through mobile gadgets, including
handsets or car navigation systems.</t>
  </si>
  <si>
    <t xml:space="preserve">Y52755
796050</t>
  </si>
  <si>
    <t xml:space="preserve">Qiagen NV
GENEART AG</t>
  </si>
  <si>
    <t xml:space="preserve">Biotechnology company
Mnfr synthetic genes</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</si>
  <si>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GENEART AG, located in
Regensburg, Germany,
manufactures synthetic genes.
The companys service portfolio
is comprised of 4 fields of
business, which range from the
production of synthetic genes
and the generation of gene
variants/gene libraries in
combinatorial biology (gene
evolution) right through to
the production of plasmid DNA.
It has locations in the US.
The company was founded in
2000.</t>
  </si>
  <si>
    <t xml:space="preserve">QIAGEN NV/GENEART AG-STRATEGIC ALLIANCE</t>
  </si>
  <si>
    <t xml:space="preserve">Qiagen NV (QN) and GENEART AG (GA) formed a strategic alliance to provide
protein development services. The alliance enables enhanced production of
every human protein, spurring advances in drug development GA provided
plasmid and gene synthesis technologies and QN supplied automated sample
technologies to purify the expresses proteins.</t>
  </si>
  <si>
    <t xml:space="preserve">N72482
36894H</t>
  </si>
  <si>
    <t xml:space="preserve">Airbus SAS
Honeywell Aerospace Inc
UOP Inc
IAE International Aero Engines
JetBlue Airways Corp</t>
  </si>
  <si>
    <t xml:space="preserve">Manufacture aircraft
Mnfr aircraft engines
Patent buying, licensing,lease
Manufacture aircraft engines
Pvd air transportation service</t>
  </si>
  <si>
    <t xml:space="preserve">Airbus SAS is a manufacturer
of aircrafts. It specializes
in manufacturing of
commercial jets, civil
airline aircrafts, and
military transport
aircrafts. It has sixteen
sites in Germany, France,
the United Kingdom and
Spain. Airbus has
subsidiaries in the United
States, Japan, China and
India. The Company was
founded in 1970 and is
located in Blagnac, France.
Honeywell Aerospace, based
in Phoenix, Arizona,
manufactures aircraft
engines and avionics.
Patent buying, licensing,
leasing; catalysts, chemical;
chemical engineering, cyclic
crudes &amp; intermediates;
enzymes; flow instruments,
industrial process type
IAE International Aero Engines
AG, located in Glastonbury,
Connecticut, manufactures
aircraft engines. The company
produces the V2500 engine for
the A320 family of aircraft.
It was founded in 1983.
JetBlue Airways Corp is a
passenger airline. The
Company was founded in 1999
and is located in Long
Island, New York.</t>
  </si>
  <si>
    <t xml:space="preserve">3721
3728
6794
3724
4512</t>
  </si>
  <si>
    <t xml:space="preserve">France
United States
United States
United States
United States</t>
  </si>
  <si>
    <t xml:space="preserve">FF
AZ
NJ
CT
NY</t>
  </si>
  <si>
    <t xml:space="preserve">EADS
Honeywell International Inc
Allied Capital Corp
Rolls-Royce Group plc
JetBlue Airways Corp</t>
  </si>
  <si>
    <t xml:space="preserve">France
United States
United States
United Kingdom
United States</t>
  </si>
  <si>
    <t xml:space="preserve">3721
3812
6799
3511
4512</t>
  </si>
  <si>
    <t xml:space="preserve">AIRBUS SAS/HONEYWELL AEROSPACE/UOP INC/INTERNATIONAL AERO ENGINES/JETBLUE
AIRWAYS CORP- STRATEGIC ALLIANCE</t>
  </si>
  <si>
    <t xml:space="preserve">Airbus SAS, a unit of EADS NV, Honeywell Aerospace Inc, a unit of Honeywell
International Inc, UOP Inc, a unit of Allied Capital Corp, International
Aero Engines AG, and JetBlue Airways Corp formed a strategic alliance to
provide research and development services of jet fuel from renewable
sources, such as algae and a hearty arid plant called jatropha in the
United States. The alliance was expected to convert biological materials
into renewable jet fuel that would performed identically to traditional
fuels while meeting the stringent performance specifications for flight.</t>
  </si>
  <si>
    <t xml:space="preserve">
</t>
  </si>
  <si>
    <t xml:space="preserve">00966H
43848M
903200
44890F
477143</t>
  </si>
  <si>
    <t xml:space="preserve">Bridgestone Corp
Toyo Tire &amp; Rubber Co Ltd</t>
  </si>
  <si>
    <t xml:space="preserve">Manufacture,wholesale tires
Mnfr,whl tires</t>
  </si>
  <si>
    <t xml:space="preserve">Bridgestone Corp,
headquartered in Tokyo,
Japan, is mainly engaged in
the tire related business.
The Company has two business
segments. The Tire segment
is engaged in the
manufacture and sale of
tires and tubes for
passenger automobiles,
trucks, buses, construction
and mine vehicles,
industrial vehicles,
agricultural machinery,
aircrafts and motorcycles,
as well as the provision of
retread materials,
tire-related products and
raw materials. This segment
also provides automotive
maintenance and repair
services. The Diversified
Product segment provides
automobile related parts,
urethane foams, electronic
precision parts, industrial
material related products,
construction related
products, sports products,
such as golf balls and golf
clubs, bicycles, as well as
financial services. The
company was founded, March
01, 1931.
Toyo Tire &amp; Rubber Co Ltd,
headquartered in Osaka,
Japan, is mainly engaged in
the manufacture and
wholesale of tires. The
Company operates in three
business segments. The Tire
segment manufactures and
sells various tires, as well
as tubes for tires, flaps,
camel backs, aluminum wheels
and other related products.
The Diver Tec segment is
engaged in the manufacture
and sale of industrial and
construction materials,
transportation equipment,
heating insulating and
waterproof materials, as
well as other materials,
such as office equipment
components. The Others
segment is involved in the
financing, credit purchase
and real estate
businesses.It was founded in
1945.</t>
  </si>
  <si>
    <t xml:space="preserve">3011
3011</t>
  </si>
  <si>
    <t xml:space="preserve">BRIDGESTONE CORP/TOYO TIRE &amp; RUBBER CO LTD-STRATEGIC ALLIANCE</t>
  </si>
  <si>
    <t xml:space="preserve">Bridgestone Corp and Toyo Tire &amp; Rubber Co Ltd formed a strategic alliance
to provide advanced production technology study on the development of new
production methodology and machineries services in Japan. The alliance was
also expected to study more competitive method of procurement by utilizing
the supply and procurement capacities of the companies, seek for synergies
in economy of scale in production, merits in distributions, and utilization
of spare production capacities, seek for cooperation in logistics at global
level and study possible synergies in common business areas other than
tires.</t>
  </si>
  <si>
    <t xml:space="preserve">108441
J92805</t>
  </si>
  <si>
    <t xml:space="preserve">Motech Industries Inc
Solar Semiconductor Pvt Ltd</t>
  </si>
  <si>
    <t xml:space="preserve">Mnfr,whl solar cells
Mnfr,whl solar photovoltaic</t>
  </si>
  <si>
    <t xml:space="preserve">Motech Industries Inc,
headquartered in Tainan,
Taiwan, is a manufacturer and
wholesaler of solar cells. It
supplies its solar cells to
module manufacturers. It
supplies its solar cells to
module manufacturers. Other
activities include
manufacturing and selling of
high-end test and measurement
instruments, and designing and
creating power systems.
Operations are carried out in
Taiwan, Asia and other
countries. The group exports
its products to Asia, Europe,
and the United States of
America. Founded in 1981.
Solar Semiconductor Pvt Ltd,
is a solar photovoltaic
manufacturer and wholesaler
products and solutions,
headquartered in Hyderabad,
India. It was founded in 2006.</t>
  </si>
  <si>
    <t xml:space="preserve">Taiwan
India</t>
  </si>
  <si>
    <t xml:space="preserve">MOTECH INDUSTRIES INC/SOLAR SEMICONDUCTOR LTD-STRATEGIC ALLIANCE</t>
  </si>
  <si>
    <t xml:space="preserve">Motech Industries Inc and Solar Semiconductor Ltd formed a strategic
alliance to provide research and development services of thin-film solar
cell technology and silicon wafer for 120 MW solar cells in Taiwan.</t>
  </si>
  <si>
    <t xml:space="preserve">61967L
83716Y</t>
  </si>
  <si>
    <t xml:space="preserve">Allen-Vanguard Corp
SAIC Inc</t>
  </si>
  <si>
    <t xml:space="preserve">Mnfr,whl equip sys
Pvd system integration svcs</t>
  </si>
  <si>
    <t xml:space="preserve">Allen-Vanguard Corp, based in
Ottawa, Ontario, manufactures
and wholesales
counter-terrorist equipment
systems to governments and
private-sector clients
worldwide. The company has
manufacturing facilities in
Pembroke and in Stoney Creek,
Ontario. In the United States
the company has manufacturing
operations in Ogdensburg, New
York, and sales and service
offices in Ashburn, Virginia
and Arlington, Virginia. It
has manufacturing and sales
offices in Tewkesbury,
Gloucester, UK, and additional
manufacturing facilities in
Kentree, Ireland. The company
was founded in 2001.
SAIC Inc, located in Mclean,
Virginia, provides
scientific, engineering,
system integration and
technical services. It
offers solutions used for
cybersecurity, energy,
environment, and
infrastructure, health,
intelligence, surveillance,
and reconnaissance,
logistics, readiness, and
sustainment. It also offers
technical services to United
States federal, state and
local government agencies,
and foreign governments. It
also designs and develops
customized and standard
hardware and software
products that include
automatic equipment
identification technology,
sensors, and non destructive
imaging and security
instruments. The company was
founded in 1969.</t>
  </si>
  <si>
    <t xml:space="preserve">FF
VA</t>
  </si>
  <si>
    <t xml:space="preserve">ALLEN-VANGUARD CORP/SAIC INC-STRATEGIC ALLIANCE</t>
  </si>
  <si>
    <t xml:space="preserve">Allen-Vanguard Corp and SAIC Inc formed a 2-year strategic alliance to
develop chemical, biological, radiological or explosive (CBRNE) Defense
technologies and training services to track international decontamination
and counter-improvised explosive devices (IED) opportunities  in the United
States. Under terms of the agreement, the alliance was also expected to
distribute the partners respective CBRNE defense hardware, materials and
equipments to leverage their market coverage internationally.
Additionally, the partners were to explore new applications in their
defense and security programs.</t>
  </si>
  <si>
    <t xml:space="preserve">018142
78390X</t>
  </si>
  <si>
    <t xml:space="preserve">Huawei Technologies Co Ltd
Optus Pty Ltd</t>
  </si>
  <si>
    <t xml:space="preserve">Provide information tech svcs
Pvd wireless telecommun svcs</t>
  </si>
  <si>
    <t xml:space="preserve">Huawei Technologies Co Ltd
is a software publisher. The
Company was founded in 1987
and is located in Shenzhen,
China.
Optus Pty Ltd, located in
Sydney, New South Wales,
provides wireless
telecommunication services.</t>
  </si>
  <si>
    <t xml:space="preserve">7376
4812</t>
  </si>
  <si>
    <t xml:space="preserve">China
Australia</t>
  </si>
  <si>
    <t xml:space="preserve">Union of Huawei Invest &amp; Hldg
Singapore Telecommun Ltd</t>
  </si>
  <si>
    <t xml:space="preserve">6799
4812</t>
  </si>
  <si>
    <t xml:space="preserve">HUAWEI TECHNOLOGIES CO LTD/OPTUS PTY LTD-STRATEGIC ALLIANCE</t>
  </si>
  <si>
    <t xml:space="preserve">Huawei Technologies Co Ltd and Optus Pty Ltd, a unit of Cable &amp; Wireless
Optus Ltd formed a strategic alliance to provide research and development
services of high speed mobile and wireless broadband equipments and devices
in Australia. The partners build a Mobile Innovation Centre, located in
Sydney to leverage their mobile communication technologies.</t>
  </si>
  <si>
    <t xml:space="preserve">44334L
68387J</t>
  </si>
  <si>
    <t xml:space="preserve">Marco Polo XTF
T&amp;C Holdings Inc</t>
  </si>
  <si>
    <t xml:space="preserve">Investment management services
Pvd finl info svcs</t>
  </si>
  <si>
    <t xml:space="preserve">Marco Polo XTF, located in New
York, New York, is a provider
of investment management
services. It provides ETF
(Exchange Traded Funds)
research and advisory to
investors, sponsors, asset
managers and exchanges.
T&amp;C Holdings Inc, located in
Tokyo, Japan, provides
investment information and
financial services. The
operations are carried out
through following divisions:
Investment information
provision; Financial advisory.
The Investment information
provision division is engaged
in the provision of Japanese
stock information, Chinese
stock information, foreign
currency exchange and
international financial
information. The Financial
Advisory division offers
advisory and consulting
services. The company was
founded in 2001.</t>
  </si>
  <si>
    <t xml:space="preserve">6282
6282</t>
  </si>
  <si>
    <t xml:space="preserve">Marco Polo Network Inc
T&amp;C Holdings Inc</t>
  </si>
  <si>
    <t xml:space="preserve">6289
6282</t>
  </si>
  <si>
    <t xml:space="preserve">MARCO POLO XTF/T&amp;C HOLDINGS INC-STRATEGIC ALLIANCE</t>
  </si>
  <si>
    <t xml:space="preserve">Marco Polo XTF, a unit of Marco Polo Network Inc, and T&amp;C Holdings Inc
formed a strategic alliance to provide ETF (Excahnge Traded Funds) research
and advisory services catering to the needs of Pan-Asian Institutional and
Retail ETF Investors.</t>
  </si>
  <si>
    <t xml:space="preserve">Consulting Services
Investment Services
Research &amp; Development Services</t>
  </si>
  <si>
    <t xml:space="preserve">56637C
87110R</t>
  </si>
  <si>
    <t xml:space="preserve">Perrigo Co
Cobrek Pharmaceutical Inc</t>
  </si>
  <si>
    <t xml:space="preserve">Mnfr,whl prescription pharm
Mnfr foam-based generic pharm</t>
  </si>
  <si>
    <t xml:space="preserve">Perrigo Co, located in
Allegan, Michigan,
manufactures and wholesales
over-the-counter and
prescription pharmaceuticals.
It also manufactures active
pharmaceutical ingredients,
nutritional and consumer
products. The company was
founded in 1887.
Cobrek Pharmaceuticals Inc,
located in Rolling Meadows,
Illinois, manufactures
foam-based generic
prescription pharmaceutical
products. The company was
founded in 2008.</t>
  </si>
  <si>
    <t xml:space="preserve">MI
IL</t>
  </si>
  <si>
    <t xml:space="preserve">Blisfont Ltd
Cobrek Pharmaceutical Inc</t>
  </si>
  <si>
    <t xml:space="preserve">PERRIGO CO/COBREK PHARMACEUTICAL-STRATEGIC ALLIANCE</t>
  </si>
  <si>
    <t xml:space="preserve">Perrigo Co (PC) and Cobrek Pharmaceutical Inc, a unit of Pentech
Pharmaceuticals Inc (PP), formed a strategic alliance to provide research
and development services of niche generic dosage foams in the United
States. PP was expected to contribute its ANDA filing for generic
equivalent of Luxiq foam, which treats various dermatological conditions
and PC will contribute two of its early stage generic topical pipeline
products. The companies will share development costs and profits from the
products.</t>
  </si>
  <si>
    <t xml:space="preserve">714290
19110M</t>
  </si>
  <si>
    <t xml:space="preserve">BOMBARDIER/CJSC TRANS MASHHOLDING-JOINT VENTURE</t>
  </si>
  <si>
    <t xml:space="preserve">Bombardier Transportation Germany GmbH (BT), a unit of Bombardier Inc, and
Transmashholding CJSC (TC) planned to form a joint venture (JV) to provide
asynchronous propulsion technology and technical solutions engineering and
development services of railway locomotive engines and  equipments in
Russia. BT and TC were to each hold a 50% interest in their third JV
agreement. The partners were expected to build an engineering center to be
operated by the JV. Financial terms were not disclosed.
</t>
  </si>
  <si>
    <t xml:space="preserve">Engineering Services
Research &amp; Development Services
Manufacturing Services</t>
  </si>
  <si>
    <t xml:space="preserve">Thalesnano Technology Inc
Sanofi-Aventis SA</t>
  </si>
  <si>
    <t xml:space="preserve">Mnfr process instr
Manufacture pharmaceuticals</t>
  </si>
  <si>
    <t xml:space="preserve">ThalesNano Technology Inc,
located in Budapest,
Hungary, manufactures
process chemistry
instruments. Its products
includes award winning
H-Cube (R) continuous-flow
hydrodegeneration reactor
and the pilot plant scale
version H-Cube Mide (TM).
The company was founded in
2002.
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t>
  </si>
  <si>
    <t xml:space="preserve">Hungary
France</t>
  </si>
  <si>
    <t xml:space="preserve">THALESNANO INC/SANOFI-AVENTIS SA-STRATEGIC ALLIANCE</t>
  </si>
  <si>
    <t xml:space="preserve">ThalesNano Technology Inc (TN) and Sanofi-Aventis SA (SA) formed a
strategic alliance to provide process chemistry technologies research and
development services.  The alliance will focus on the development and
implementation of continuous process technologies from research to
production. The alliance will study the utilization and application of TN's
process technologies within SA drug R&amp;D process from discovery to
production.
</t>
  </si>
  <si>
    <t xml:space="preserve">88453N
80105N</t>
  </si>
  <si>
    <t xml:space="preserve">Cosmo Oil Co Ltd
SBI Holdings Inc</t>
  </si>
  <si>
    <t xml:space="preserve">Mnfr,whl petroleum prod
Pvd financial svcs</t>
  </si>
  <si>
    <t xml:space="preserve">Cosmo Oil Co Ltd, based in
Tokyo, Japan, is engaged in
manufacture and wholesale of
petroleum products. The
Company operates in four
business segments. The
Petroleum Development
segment is engaged in the
development and production
of crude oil. The Petroleum
import, export and sea
transportation of petroleum
and crude oil products, the
refining of petroleum, the
manufacture of lubricating
oil products, the sale of
petroleum products, the
storage of petroleum and
crude oil products, as well
as the provision of delivery
and transportation services.
The Petrochemistry segment
is involved in the
manufacture and sale of
petrochemical products. The
Others segment is involved
in the purchase and sale of
real estate, the manufacture
and sale of alpha lipoic
acid (ALA) products, as well
as the provision of
construction, leasing and
insurance services and the
wind power business. The
company was founded in 1986.
SBI Holdings Inc, located in
Tokyo, Japan, is a holding
compnay engaged in provision
of financial services. The
company has five business
segments. The Asset
Management segment operates
and manages investment
partnerships, invests in
domestic and international
venture companies, and
provides investment advisory
services. The Brokerage and
Investment Banking segment
operates securities related
businesses. The Financial
Service segment is engaged
in the operation of Websites
providing comparing
information about insurance
and loans, the provision of
online payment services, and
the banking, credit cards,
non-life insurance and life
insurance businesses. The
Housing and Real
Estate-related segment is
engaged in the investment,
development and construction
of real estate, and the
provision of real estate
financing services. The
Others segment is involved
in the finance-related
system business,
pharmaceutical, cosmetics
and health food business.
The company was founded in
1999.</t>
  </si>
  <si>
    <t xml:space="preserve">2911
6282</t>
  </si>
  <si>
    <t xml:space="preserve">COSMO OIL CO LTD/SBI HOLDINGS INC-STRATEGIC ALLIANCE</t>
  </si>
  <si>
    <t xml:space="preserve">Cosmo Oil Co Ltd and SBI Holdings Inc formed a strategic alliance to
provide research and development services in Japan. The partners were
expected to develop products such as drugs, health supplements and
cosmetics based on amino acid technology.</t>
  </si>
  <si>
    <t xml:space="preserve">J08316
J6991H</t>
  </si>
  <si>
    <t xml:space="preserve">GVK Biosciences Pvt Ltd
Wyeth Pharmaceuticals Inc</t>
  </si>
  <si>
    <t xml:space="preserve">Pvd contract research svcs
Mnfr pharm prod</t>
  </si>
  <si>
    <t xml:space="preserve">GVK Biosciences Pvt Ltd,
located in Hyderabad, India,
provides contract research
services to a growing global
base of pharmaceutical and
biotechnology companies. Its
main services include
informatics, chemistry,
clinical pharmacology,
process R&amp;D, clinical
research, and biology,
servicing 15 of the top 20
global Big Pharma companies.
The company was founded in
2001.
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t>
  </si>
  <si>
    <t xml:space="preserve">GVK Group Ltd
Wyeth</t>
  </si>
  <si>
    <t xml:space="preserve">1541
2834</t>
  </si>
  <si>
    <t xml:space="preserve">GVK BIOSCIENCES PVT LTD/WYETH PHARMACEUTICALS INC- STRATEGIC ALLIANCE</t>
  </si>
  <si>
    <t xml:space="preserve">GVK Biosciences Pvt Ltd, a unit of GVK Industries Ltd, and Wyeth
Pharmaceuticals Inc, a unit of Wyeth, formed a strategic alliance to
provide research and development services. The partners collaborated in
discovering drug candidates focused on pre-defined discovery targets.</t>
  </si>
  <si>
    <t xml:space="preserve">36068C
98292L</t>
  </si>
  <si>
    <t xml:space="preserve">Alnylam Pharmaceuticals Inc
Takeda Pharmaceutical Co Ltd</t>
  </si>
  <si>
    <t xml:space="preserve">Manufacture biological products
Mnfr,whl pharmaceutical prod</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</si>
  <si>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</si>
  <si>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ALNYLAM PHARMACEUTICALS INC/TAKEDA PHARMACEUTICAL CO LTD-STRATEGIC
ALLIANCE</t>
  </si>
  <si>
    <t xml:space="preserve">Alnylam Pharmaceuticals Inc and Takeda Pharmaceutical Co Ltd  formed a
strategic alliance to provide research and development services of RNAi
therapeutics for oncology and metabolic diseases in the United States. The
alliance was a strategic growth opportunity both for the partners to
leverage their development services and to further expand their market
coverage globally.</t>
  </si>
  <si>
    <t xml:space="preserve">02043Q
874058</t>
  </si>
  <si>
    <t xml:space="preserve">Sustainable Energy Tech Ltd
Copcisa SA</t>
  </si>
  <si>
    <t xml:space="preserve">Mnfr,whl power electronic prod
Construction company</t>
  </si>
  <si>
    <t xml:space="preserve">Sustainable Energy
Technologies Ltd, located in
Calgary, Alberta, develops
and manufactures advanced
power inverters for the
alternative and renewable
energy industry, solar
photovoltaic (PV) systems,
small wind turbines, fuel
cells and all forms of
energy storage. It markets
its products includes
PARALEX and under the
SUNERGY name to system
integrators and installers,
and solar module companies
in Europe and North America.
The company was founded in
1999.
Copcisa SA, located in
Terrassa, Spain, is a
construction company. Its
civil constructions include
roads and highways, buildings,
urbanizations, hydraulic
works, structures and special
cement works, maritime works,
installations, railway
infrastructures, gas
pipelines, and energy centers.
It also constructs houses,
industrial plants, hospitals,
theatres, commercial centers,
public libraries, offices,
schools, and rehabilitation
centers. The company was
founded in March 1965.</t>
  </si>
  <si>
    <t xml:space="preserve">3674
1522</t>
  </si>
  <si>
    <t xml:space="preserve">Canada
Spain</t>
  </si>
  <si>
    <t xml:space="preserve">Sustainable Energy Tech Ltd
Copcisa Industrial SL</t>
  </si>
  <si>
    <t xml:space="preserve">SUSTAINABLE ENERGY TECHNOLOGIES LTD/COPCISA SA-STRATEGIC ALLIANCE</t>
  </si>
  <si>
    <t xml:space="preserve">Spain</t>
  </si>
  <si>
    <t xml:space="preserve">Sustainable Energy Technologies Ltd and Copcisa SA formed a strategic
alliance to provide research and development services of parallel thin film
PV solution for industrial rooftops and building integrated applications in
Spain. the alliance was expected to reduce the cost per watt by delivering
a massively parallel bundle, which improves total system performance, and
enables 100% area coverage, with reduced installation costs.</t>
  </si>
  <si>
    <t xml:space="preserve">869324
21042Y</t>
  </si>
  <si>
    <t xml:space="preserve">BASF SE
Academia Sinica</t>
  </si>
  <si>
    <t xml:space="preserve">All Other Basic Inorganic Chemical Manufacturing
Pvd scientific research svcs</t>
  </si>
  <si>
    <t xml:space="preserve">BASF SE is a manufacturer
and wholesaler of inorganic
chemicals. The Company's
portfolio is organized into
six segments: Chemicals,
Materials, Industrial
Solutions, Surface
Technologies, Nutrition &amp;
Care and Agricultural
Solutions. BASF generated
sales of around 63 billion
in 2018. The BASF Group
comprises subsidiaries and
joint ventures in more than
80 countries and operates
six integrated production
sites and 390 other
production sites in Europe,
Asia, Australia, the
Americas and Africa. It also
acts as a holding company.
The Company was founded in
April 1865 and is located in
Ludwigshafen, Germany.
Academia Sinica, located in
Taipei, Taiwan, is an academic
institution that provides
scientific research services
in the three research
disciplines of mathematics and
physical sciences, life
sciences, and the humanities
and social sciences. Founded
in 1928.</t>
  </si>
  <si>
    <t xml:space="preserve">Germany
Taiwan</t>
  </si>
  <si>
    <t xml:space="preserve">BASF/ACADEMIA SINICA-STRATEGIC ALLIANCE</t>
  </si>
  <si>
    <t xml:space="preserve">BASF AG and Academia Sinica formed a strategic alliance to provide plant
gene research and discovery services in Taiwan. The partners collaborated
to develop genes that increase yield and improve stress tolerance in major
crops such as rice and corn. Financial details were not disclosed.</t>
  </si>
  <si>
    <t xml:space="preserve">055262
00393N</t>
  </si>
  <si>
    <t xml:space="preserve">AMAG Pharmaceuticals Inc
3SBio Inc</t>
  </si>
  <si>
    <t xml:space="preserve">Specialty pharmaceutical company
Mnfr,dvlp pharm</t>
  </si>
  <si>
    <t xml:space="preserve">AMAG Pharmaceuticals Inc,
located in Waltham,
Massachusetts, is a
specialty pharmaceutical
company focused on maternal
health, anemia and cancer
supportive care. Its
products includes Makena, a
hydroxyprogesterone caproate
injection; Feraheme, a
ferumoxytol Injection for
Intravenous use; and MuGard,
a Mucoadhesive Oral Wound
Rinse. The Company was
founded in 1981.
3SBio Inc, located in
Shenyang, China,
biopharmaceutical company
engaged in
research/development,
manufacture and
marketing/sales of
biopharmaceutical products
in China. The Company
develops recombinant, or
genetically engineered,
protein-based products and
product candidates designed
to address large markets
with significant unmet
medical needs in nephrology,
oncology, supportive cancer
care, inflammation and
infectious disease. Its
principal products are
EPIAO, TPIAO, INTEFEN and
INLEUSIN. Founded in 1993.</t>
  </si>
  <si>
    <t xml:space="preserve">AMAG PHARMACEUTICALS INC/3SBIO INC- STRATEGIC ALLIANCE</t>
  </si>
  <si>
    <t xml:space="preserve">AMAG Pharmaceuticals Inc and 3SBio Inc formed a strategic alliance to
provide pharmaceutical research and development services. The alliance was
expected to develop and commercialize ferumoxytol, an intravenous iron
replacement therapeutic agent being developed to treat iron deficiency
anemia in chronic kidney disease (CKD) patients.</t>
  </si>
  <si>
    <t xml:space="preserve">00163U
88575Y</t>
  </si>
  <si>
    <t xml:space="preserve">Qcept Technologies Inc
CEA Lab of Electronics &amp; Info</t>
  </si>
  <si>
    <t xml:space="preserve">Dvlp wafer tech software
Pvd research,dvlp svcs</t>
  </si>
  <si>
    <t xml:space="preserve">Qcept Technologies Inc,
located in Atlanta, Georgia,
develops wafer inspection
technology software for
non-visual defect (NVD)
detection in advanced
semiconductor manufacturing.
The company was founded in
2002.
Provide research and
development services of
microelectronics and
microtechnologies</t>
  </si>
  <si>
    <t xml:space="preserve">QCEPT TECHNOLOGIES INC/CEA-LETI-STRATEGIC ALLIANCE</t>
  </si>
  <si>
    <t xml:space="preserve">Qcept Technologies Inc and CEA Laboratory of Electronics &amp; Information
Technologies formed a strategic alliance to provide research and
development services for characterizing a leading-edge semiconductor
materials and process including high-k and low-k dielectrics, atomic layer
deposition (ALD), fully silicided (FUSI) metals gates and advanced cleaning
technologies.
</t>
  </si>
  <si>
    <t xml:space="preserve">75502Q
12407J</t>
  </si>
  <si>
    <t xml:space="preserve">Rolls-Royce PLC
GKN Cedu Ltd</t>
  </si>
  <si>
    <t xml:space="preserve">Mnfr,whl turbines,power sys
Manufacture,whl aircaft parts</t>
  </si>
  <si>
    <t xml:space="preserve">Rolls-Royce PLC,
headquartered in London, the
UK, manufactures and
wholesales power systems for
civil aerospace, defense
aerospace, marine and energy
markets. The Company was
founded in 1904.
GKN Aerospace, located in
Derby, UK manufactures and
wholesale aircraft structures,
components and aero engines.</t>
  </si>
  <si>
    <t xml:space="preserve">3511
3724</t>
  </si>
  <si>
    <t xml:space="preserve">Rolls-Royce Group plc
GKN PLC</t>
  </si>
  <si>
    <t xml:space="preserve">3511
3714</t>
  </si>
  <si>
    <t xml:space="preserve">ROLLS-ROYCE GROUP PLC/GKN WESTLAND AEROSPACE- JOINT VENTURE</t>
  </si>
  <si>
    <t xml:space="preserve">Rolls-Royce Group PLC (RR) and GKN Aerospace (GA), a unit of GKN Plc,
planned to form a joint venture (JV) to manufacture and develop aero engine
fan blades made from composite materials in the United Kingdom. RR was to
hold a 51% interest in the JV while GA was to hold a 49% stake. The JV was
to have an investment of mil $22 mil US (11 mil British pounds).</t>
  </si>
  <si>
    <t xml:space="preserve">The JV was to have an investment of mil $22 mil US (11 mil British
pounds).</t>
  </si>
  <si>
    <t xml:space="preserve">77573F
36146E</t>
  </si>
  <si>
    <t xml:space="preserve">Sanyo Electric Co Ltd
Volkswagen AG</t>
  </si>
  <si>
    <t xml:space="preserve">Mnfr electn prod
Automobile Manufacturing</t>
  </si>
  <si>
    <t xml:space="preserve">Sanyo Electric Co Ltd,
headquartered in Osaka, Japan,
is engaged in the manufacture
of electronic products. The
operations are carried out
through the following
divisions: Consumer;
Commercial; Components; and
others. The consumer division
manufactures televisions, DVD
players, air conditioners,
washing machines, digital
cameras, cellular phones and
LCD projectors. The commercial
division manufactures
showcases and commercial air
conditioners. The components
division manufactures
semiconductors, liquid crystal
panels, electronic parts and
batteries. The other
operations involve
distribution, maintenance and
housing services. It was
founded in 1947.
Volkswagen AG, located in
Wolfsburg, Germany,
manufactures and wholesales
motor vehicles and motor
vehicle parts. The Group
comprises twelve brands from
seven European countries:
Volkswagen Passenger Cars,
Audi, SEAT, SKODA, Bentley,
Bugatti, Lamborghini,
Porsche, Ducati, Volkswagen
Commercial Vehicles, Scania
and MAN. It is also active
in other fields of business,
manufacturing large-bore
diesel engines for marine
and stationary applications
(turnkey power plants),
turbochargers, turbo
machinery (steam and gas
turbines), compressors and
chemical reactors. It also
produces vehicle
transmissions, special gear
units for wind turbines,
slide bearings and couplings
as well as testing systems
for the mobility sector. It
operates 100 production
plants in 19 European
countries and a further
eight countries in the
Americas, Asia and Africa.
The company was founded in
1937.</t>
  </si>
  <si>
    <t xml:space="preserve">3651
3711</t>
  </si>
  <si>
    <t xml:space="preserve">SANYO ELECTRIC CO LTD/VOLKSWAGEN AG-STRATEGIC ALLIANCE</t>
  </si>
  <si>
    <t xml:space="preserve">Sanyo Electric Co Ltd (SE) and Volkswagen AG (VA) planned to form a
strategic alliance to develop and manufacture lithium-ion battteries for
hybrid vehicles.</t>
  </si>
  <si>
    <t xml:space="preserve">803038
928662</t>
  </si>
  <si>
    <t xml:space="preserve">National Optics Institute
Bavarian Laser Centre GmbH</t>
  </si>
  <si>
    <t xml:space="preserve">Pvd optics research svcs
Pvd photonic research svcs</t>
  </si>
  <si>
    <t xml:space="preserve">National Optics Institute,
located in Quebec, Canada,
provides optics and photonics
research and development
services.
Bavarian Laser Centre GmbH,
located in Erlangen, Germany,
provides photonic microsystems
research and development
services.</t>
  </si>
  <si>
    <t xml:space="preserve">NATIONAL OPTICS INSTITUTE/BAVARIAN LASER CENTRE GMBH-STRATEGIC ALLIANCE</t>
  </si>
  <si>
    <t xml:space="preserve">National Optics Institute and Bavarian Laser Centre GmbH formed a 3-year
strategic alliance to provide photonic micro- and nanotechnology research
services.</t>
  </si>
  <si>
    <t xml:space="preserve">63708N
07157V</t>
  </si>
  <si>
    <t xml:space="preserve">General Electric Co
Schlumberger Ltd</t>
  </si>
  <si>
    <t xml:space="preserve">Manufacture,wholesale power generation equipment
Software Publishers</t>
  </si>
  <si>
    <t xml:space="preserve">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
Schlumberger Ltd, located in
Houston, Texas, provides
software development and
information management
services to the oil and gas
exploration and production
industry. The Company offers
technology products and
services for seismic
acquisition and processing,
formation evaluation, well
testing, directional drilling
to well cementing and
stimulation, artificial lift
and well completions and
consulting. The Company
operates in more than 85
countries and employing
approximately 100,000 people
who represent over 140
nationalities. The Company was
founded in 1956.</t>
  </si>
  <si>
    <t xml:space="preserve">3612
7372</t>
  </si>
  <si>
    <t xml:space="preserve">MA
TX</t>
  </si>
  <si>
    <t xml:space="preserve">GENERAL ELECTRIC CO{GE}/SCHLUMBERGER LTD-STRATEGIC ALLIANCE</t>
  </si>
  <si>
    <t xml:space="preserve">General Electric Co {GE} and Schlumberger Ltd formed a strategic alliance
to provide carbon dioxide sequestration  technology and storage development
services in the United States.</t>
  </si>
  <si>
    <t xml:space="preserve">369604
806857</t>
  </si>
  <si>
    <t xml:space="preserve">Martek Biosciences Corp
Dow AgroSciences LLC</t>
  </si>
  <si>
    <t xml:space="preserve">Mnfr,dvlp,whl medicinal chem
Mnfr crop protection products</t>
  </si>
  <si>
    <t xml:space="preserve">Martek Biosciences Corp,
located in Columbia, Maryland,
manufactures, develops and
wholesales medicinal chemicals
and products derived from
microalgae, including the
nutritional infant formula
supplement Formulaid, and
fluorescent markers; provide
research and development
services. It also has
facilities in Kentucky and
South Carolina. The company
was founded in 1985.
Dow AgroSciences LLC, located
in Indianapolis, Indiana,
manufactures crop protection
products. It offers
insecticides including
herbicides, insecticides,
fumigants and fungicides. It
also provides agronomic seed
development services to offer
seeds for corn, sunflowers,
canola, cotton, soybeans and
alfalfa. The Company was
founded in 1989.</t>
  </si>
  <si>
    <t xml:space="preserve">2836
2879</t>
  </si>
  <si>
    <t xml:space="preserve">MD
IN</t>
  </si>
  <si>
    <t xml:space="preserve">Martek Biosciences Corp
The Dow Chemical Co</t>
  </si>
  <si>
    <t xml:space="preserve">MARTEK BIOSCIENCES CORP/DOW AGROSCIENCES LLC-STRATEGIC ALLIANCE</t>
  </si>
  <si>
    <t xml:space="preserve">Martek Biosciences Corp and Dow AgroSciences LLC, a unit of Dow Chemical
Co, formed a strategic alliance to provide canola seed development services
to produce the omege-3 fatty acid, DHA (docosahexaenoic acid). Financial
terms were not disclosed.</t>
  </si>
  <si>
    <t xml:space="preserve">572901
42867Y</t>
  </si>
  <si>
    <t xml:space="preserve">Paladin Labs Inc
Nuvo Research Inc</t>
  </si>
  <si>
    <t xml:space="preserve">Manufacture and wholesale pharmaceuticals
Manufacture pharmaceuticals</t>
  </si>
  <si>
    <t xml:space="preserve">Paladin Labs Inc, located in
St. Laurent, Quebec,
manufactures and wholesales
pharmaceutical products. Its
key brands are Metadol, which
contains methadon
hydrochloride and used as an
analgesic in acute cancer
pain, palliative pain and
chronic pain disorders and
maintenance treatment of
opioid-dependent individuals;
Twinject, an auto injector
with two doses of epinephrine
used to treat severe allergic
reactions in emergency cases;
Oxytrol, a patch medication
used for overactive bladder
disorders; and Pennsaid, which
is a lotion for treatment of
knee osteoarthritis and
contraceptive pills, Plan B
and Seasonale. The company was
established in February 1983.
Nuvo Research Inc, located
in Mississauga, Ontario,
manufactures drugs based on
two technology platforms:
transdermal drug delivery
and immune system
regulation. Its products
include Pennsaid which is
used for the treatment of
osteoarthritis and Oxoferin
which is a topical wound
healing agent. It was
founded in 1983.Ontario</t>
  </si>
  <si>
    <t xml:space="preserve">PALADIN LABS INC/NUVO RESEARCH INC-STRATEGIC ALLIANCE</t>
  </si>
  <si>
    <t xml:space="preserve">Paladin Labs Inc (PL) and Nuvo Research Inc (NR) formed a strategic
alliance wherein NR licensed PL to develop and commercialize NR's novel
topical pain formulation with the potential to treat inflammatory and
neuropathic pain conditions in Canada.</t>
  </si>
  <si>
    <t xml:space="preserve">695942
67072X</t>
  </si>
  <si>
    <t xml:space="preserve">Kpf Co Ltd
Plextronics Inc</t>
  </si>
  <si>
    <t xml:space="preserve">Mnfr,whl construction bolts
Mnfr,whl conductive polymers,inks</t>
  </si>
  <si>
    <t xml:space="preserve">Korea Parts &amp; Fasteners is a
Korea-based company engaged
in the manufacturing and
distribution of bolts, nuts
and other forging products.
The Companys products
portfolio consists of high
torque (H/T) bolts, tensile
control (T/C) bolts,
structural bolts and
couplings, which are used in
construction works; heavy
hex bolts, heavy hex nuts
and stud bolts, which are
used in petrochemical
plants; flange nuts, flange
screws, castle nuts,
cylinder head bolts and
others, which are used in
heavy equipment; bearing
inner and outer races, gear
blanks, pinion gears and
others, which are used for
automobiles, as well as
foundation anchor bolts,
barrel nuts and others,
which are used in wind power
plants. The Company also
involves in the building
leasing business. The
Company was founded in
October 1963 and is located
in Seongnam, South Korea.
Plextronics Inc, located in
Pittsburgh, Pennsylvania,
manufactures and wholesales
conductive polymers and inks
for electronic devices. It
offers electronic inks,
electronic polymers, and other
research products. It was
founded in 2002.</t>
  </si>
  <si>
    <t xml:space="preserve">3452
3674</t>
  </si>
  <si>
    <t xml:space="preserve">KOREA PARTS &amp; FASTENERS/PLEXTRONICS INC-JOINT VENTURE</t>
  </si>
  <si>
    <t xml:space="preserve">KPF Co Ltd (KC) and Plextronics Inc (PI) planned to form a joint venture
(JV) to manufacture and develop organic photovoltaic panels in South Korea.
The JV was to set up a production facility in Cheongju and an R&amp;D center in
Ansan. KC was to hold a 51% interest in the JV while PI was to hold a 49%
stake.</t>
  </si>
  <si>
    <t xml:space="preserve">48681C
72921V</t>
  </si>
  <si>
    <t xml:space="preserve">PTT PCL
Toyota Motor Corp</t>
  </si>
  <si>
    <t xml:space="preserve">Mnfr,retail petrochemicals
Mnfr passenger motor vehicles</t>
  </si>
  <si>
    <t xml:space="preserve">PTT PCL is a petrochemicals
manufacturer and retailer,
headquartered in Bangkok,
Thailand. It is also engaged
in oil and gas exploration
and production. The group's
activities include the
production of petroleum,
operation of natural gas,
international trading of
crude oil, condensate,
petroleum and petrochemical
products and investment in
domestic refining and
petrochemical industries as
well as storage and
international marketing. The
company was founded in 1978.
Toyota Motor Corp,
headquartered in Aichi, Japan,
is a manufacturer and seller
of automobiles and a provider
of financial services. The
Group operates through three
segments: Automotive,
Financial Services and others.
Automotive segment designs,
manufactures, assembles and
sells passenger cars,
recreational and sport-utility
vehicles, minivans and trucks
and related parts and
accessories. Financial
services segment provides
financing to dealers and their
customers for the purchase or
lease of Toyota vehicles.
Other services segment
provides intelligent transport
systems, information
technology-based systems
encompassing car multimedia
systems, on-board intelligent
systems, advanced
transportation systems and
transportation infrastructure
and logistics systems. The
Group markets vehicles in more
than 170 countries. The
company was founded in 1937.</t>
  </si>
  <si>
    <t xml:space="preserve">2911
3711</t>
  </si>
  <si>
    <t xml:space="preserve">Thailand
Japan</t>
  </si>
  <si>
    <t xml:space="preserve">PTT PCL/TOYOTA MOTOR CORP-STRATEGIC ALLIANCE</t>
  </si>
  <si>
    <t xml:space="preserve">Thai state-owned PTT PCL and Toyota Motor Corp formed a strategic alliance
to provide research and development services of bio-hydrogenated diesel
products globally.</t>
  </si>
  <si>
    <t xml:space="preserve">716565
892331</t>
  </si>
  <si>
    <t xml:space="preserve">Applied Micro Circuits Corp
Silicon Image Inc</t>
  </si>
  <si>
    <t xml:space="preserve">Mnfr integrated circuits
Manufacture semiconductors</t>
  </si>
  <si>
    <t xml:space="preserve">Applied Micro Circuits Corp,
located in Santa Clara,
California, manufactures,
designs and develops silicon
integrated circuits (IC),
embedded processors and
storage components. The
Company was founded in 1979.
Silicon Image Inc is a
manufacturer of
semiconductors, headquartered
in Sunnyvale, California. It
designs and sells a variety of
integrated circuits, including
digital video controllers,
receivers, transmitters, and
processors that are built into
personal computers, set-top
boxes, and DVD players. Its
chips also are found in video
systems, such as flat-panel
displays and cathode-ray
tubes, as well as storage
networking devices. Its brands
include SteelVine, VastLane,
PinnaClear, and Simplay HD.
The company was founded in
1995.</t>
  </si>
  <si>
    <t xml:space="preserve">APPLIED MICRO CIRCUITS CORP/SILICON IMAGE INC-STRATEGIC ALLIANCE</t>
  </si>
  <si>
    <t xml:space="preserve">Applied Micro Circuits Corp and Silicon Image Inc formed a strategic
alliance to provide Network Attached Storage (NAS) reference designs
development services in the United States. The alliance was based on AM's
Power Architecture based processors and SI's SATA controllers and port
multipliers. The alliance will provide the bbuilding blocks to deliver
network storage solutions including AM's 405EX, 440SPe and 460SX and SI's
Sil3132 and Sil3726.</t>
  </si>
  <si>
    <t xml:space="preserve">03822W
82705T</t>
  </si>
  <si>
    <t xml:space="preserve">Scangroup Ltd
Millward Brown Inc</t>
  </si>
  <si>
    <t xml:space="preserve">Pvd advg,mktg svcs
Pvd mktg research svcs</t>
  </si>
  <si>
    <t xml:space="preserve">Scangroup Ltd, located in
Nairobi, Kenya, provides
advertising and marketing
services. The company provides
services in media planning and
buying, communications
strategy, public relations,
and experiential marketing.
Its clientele includes
Barclays, Serena Hotels, CFC
Life, Unilever, and Kenya
Airways. Scangroup is based in
Nairobi, Kenya.
Millward Brown Inc, located in
Santa Monica, California,
provides marketing research
and brand consulting services.
Its expertise spans from
communication assessment and
media evaluation to brand
performance monitoring and
marketing accountability.</t>
  </si>
  <si>
    <t xml:space="preserve">Kenya
United States</t>
  </si>
  <si>
    <t xml:space="preserve">SCANGROUP LTD/MILLWARD BROWN- JOINT VENTURE</t>
  </si>
  <si>
    <t xml:space="preserve">Millward Brown East Africa,
located in South Africa,
provides marketing research
and corporate design and
in-store advertising services.
The company was founded in
June 2008.</t>
  </si>
  <si>
    <t xml:space="preserve">Scangroup Ltd and Millward Brown Inc formed a joint venture named Millward
Brown East Africa to provide marketing research and corporate design and
in-store advertising services in East Africa.</t>
  </si>
  <si>
    <t xml:space="preserve">Marketing Services
Research &amp; Development Services
Advertising Services</t>
  </si>
  <si>
    <t xml:space="preserve">60149W</t>
  </si>
  <si>
    <t xml:space="preserve">80615A
60149Y</t>
  </si>
  <si>
    <t xml:space="preserve">Akrion Inc
CEA-Liten SA</t>
  </si>
  <si>
    <t xml:space="preserve">Mnfr surface preparation equip
Pvd research,dvlp svcs</t>
  </si>
  <si>
    <t xml:space="preserve">Akrion Inc, based in
Pennsylvania, manufactures
flexible batch immersion and
single-wafer surface
preparation equipment to the
semiconductor and other
related industries. The
company was founded in October
1999.
CEA-Liten SA provides research
and development services of
silicon-based heterojunction
solar cells. The company is
headquartered in France.</t>
  </si>
  <si>
    <t xml:space="preserve">3559
8731</t>
  </si>
  <si>
    <t xml:space="preserve">AKRION INC/CEA LITEN-STRATEGIC ALLIANCE</t>
  </si>
  <si>
    <t xml:space="preserve">Akrion Inc and CEA-Liten SA CEA-Liten SA formed a strategic alliance to
provide research and development services of silicon-based heterojunction
solar cells globally. The alliance was expected to provide pre-deposition
surface conditioning for heterojunction solar cells as part of the research
program.</t>
  </si>
  <si>
    <t xml:space="preserve">00972Y
50630Z</t>
  </si>
  <si>
    <t xml:space="preserve">Oxford Advanced Surfaces Ltd
University of Manchester</t>
  </si>
  <si>
    <t xml:space="preserve">Pvd research,dvlp svcs
Own,op college,university</t>
  </si>
  <si>
    <t xml:space="preserve">Oxford Advanced Surfaces Ltd,
located in Yarnton, United
Kingdom, is a research company
that develops and
commercialises technology
which enables the modification
of the surface properties of a
range of materials in order to
increase and diversify their
applications and functions.
Founded in 2006, the companys
ONTO technology can be used to
modify a broad range of
materials to deliver diverse
and valuable functionalities.
Initial applications include
tailored wetting properties,
adhesion, metallization,
bio-activity in markets
including electronics,
advanced composites and
laminates, biomaterials and
low carbon technologies.
University of Manchester is
a college operator. The
Company was founded in 1824
and is located in
Manchester, the United
Kingdom.</t>
  </si>
  <si>
    <t xml:space="preserve">OXFORD ADVANCED SURFACES LTD/UNIVERSITY OF MANCHESTER-STRATEGIC ALLIANCE</t>
  </si>
  <si>
    <t xml:space="preserve">Oxford Advanced Surfaces Ltd and the University of Manchester formed a
strategic alliance to provide research and development services in the
United Kingdom. The partners aimed to develop a much needed solution to a
specific problem arising in the manufacture of plastic electronics.</t>
  </si>
  <si>
    <t xml:space="preserve">69142H
91439N</t>
  </si>
  <si>
    <t xml:space="preserve">Anesiva Inc
Transcription Factor</t>
  </si>
  <si>
    <t xml:space="preserve">Biopharm co
Mnfr,dvlp pharm</t>
  </si>
  <si>
    <t xml:space="preserve">Anesiva Inc, based in South
San Francisco, California, is
a biopharmaceutical company
focused in the development and
marketing of novel therapeutic
treatments for pain with two
products in combined pipeline
branded as ZingoTM, a
fast-acting local anesthetic,
it is comprised of
microcrystals of lidocaine
delivered into the skin by
compressed gas.
Transcription Factor
Therapeutics, located in
Irvine, California,
manufactures and develops
pharmaceuticals for the
treatment of inflammatory
diseases and pain.</t>
  </si>
  <si>
    <t xml:space="preserve">ANESIVA INC/TRANSCRIPTION FACTOR-STRATEGIC ALLIANCE</t>
  </si>
  <si>
    <t xml:space="preserve">Anesiva Inc (AI) and Transcription Factor Therapeutics (TF) formed a
strategic alliance wherein AI licensed TF to develop and commercialize TF's
NF-kappa B Decoy (NF-kB Decoy) program, which includes the clinical drug
candidate Avrina worldwide. AI received an upfront license fee, with
additional payments dependent on development and regulatory milestones
potentially totaling up to $114 mil US if two products are commercialized.</t>
  </si>
  <si>
    <t xml:space="preserve">Anesiva Inc received an upfront license fee, with additional payments
dependent on development and regulatory milestones potentially totaling up
to $114 mil US if two products are commercialized.</t>
  </si>
  <si>
    <t xml:space="preserve">03460L
89517J</t>
  </si>
  <si>
    <t xml:space="preserve">Force Protection Inc
Med Univ of South Carolina</t>
  </si>
  <si>
    <t xml:space="preserve">Manufacture motor vehicles
Own,op college,university</t>
  </si>
  <si>
    <t xml:space="preserve">Force Protection Inc,
headquartered in South
Carolina, designs,
manufactures, tests, delivers,
and supports blast- and
mine-protected vehicles. Its
vehicles include The Buffalo,
The Cougar, The Cougar Mastiff
and The Cougar Ridgback. It
offers its services primarily
to the U.S. Army, the U.S.
Marine Corps, foreign military
allies of the United States
and the U.K. Ministry of
Defense. The company was
founded in 1997.
Medical University of South
Carolina, owns and operates a
college/university with broad
range of health professionals,
biomedical scientists and
other health related
personnel. The
college/university is
headquartered in Charleston,
South Carolina. Founded in
1824.</t>
  </si>
  <si>
    <t xml:space="preserve">SC
SC</t>
  </si>
  <si>
    <t xml:space="preserve">FORCE PROTECTION INC/MEDICAL UNIVERSITY OF SOUTH CAROLINA-STRATEGIC
ALLIANCE</t>
  </si>
  <si>
    <t xml:space="preserve">South Carolina</t>
  </si>
  <si>
    <t xml:space="preserve">Force Protection Inc and Medical University of South Carolina, formed a
strategic alliance to provide research and development services of
traumatic brain injuries in the United States. The alliance would enable
the scientists to fill clear plastic models of the head with fluids and
other materials to represent the brain. These models, called phantoms,
would be scanned before and after field tests on blast range to better
understand what happens when the brain was injured.</t>
  </si>
  <si>
    <t xml:space="preserve">345203
58586F</t>
  </si>
  <si>
    <t xml:space="preserve">RiceTec Inc
Performance Plants Inc</t>
  </si>
  <si>
    <t xml:space="preserve">Provide hybrid rice development services
Pvd crop reserach svcs</t>
  </si>
  <si>
    <t xml:space="preserve">RiceTec Inc, located in Alvin,
Texas, develops hybrid rice.
Founded in 1988.
Performance Plants Inc,
located in Ontario, Canada,
provides agricultural and
biofuel technology development
services. The Company's
products aims to improve
agricultural crops such as
corn, soybean, rice and
cotton.</t>
  </si>
  <si>
    <t xml:space="preserve">RICETEC INC/PERFORMANCE PLANTS INC-STRATEGIC ALLIANCE</t>
  </si>
  <si>
    <t xml:space="preserve">Ricetec Inc and Performance Plants Inc (PP) formed a strategic alliance to
provide rice research and development services. The partners cooperated to
develop drought-tolerant rice using PP's Yield Protection Technology.</t>
  </si>
  <si>
    <t xml:space="preserve">75837J
71374X</t>
  </si>
  <si>
    <t xml:space="preserve">Jurong Tech Industrial Corp
Fujitsu Ltd</t>
  </si>
  <si>
    <t xml:space="preserve">Mnfr electn equip
Mnfr,whl computer,sys</t>
  </si>
  <si>
    <t xml:space="preserve">Jurong Technologies Industrial
Corp Ltd, headquartered in
Singapore, manufactures
electronic equipment. These
include wireless PCBA, handset
box builds, wireless
accessories products, battery
packs, television sets and
bluetooth modules in
Singapore, Malaysia, China,
Indonesia and Brazil. The
company provides EMS solutions
to its customers that include
product design and
development; raw material
procurement and management;
prototyping; print circuit
board assembly; and modular
products. It was founded in
April 1986.
Fujitsu Ltd, headquartered
in Tokyo, Japan, is engaged
in the information
communication technology
(ICT) business. It has three
segments. The Technology
Solution segment
manufactures and sells
products including various
servers, storage systems,
various types of software,
network management systems
and optical transport
systems, as well as the
provision of system
integrations services,
consulting services, front
technology services, network
services and system support
services. The Ubiquitous
personal computers, mobile
phones, as well as audio
navigational devices, mobile
communication equipment and
automobile electronic
devices. The Device Solution
segment manufactures and
sells large scale
integrations (LSIs),
semiconductor packages,
batteries, relays and
connectors, optical
transmitter and receiver
modules, among others. It
was founded in 1935.</t>
  </si>
  <si>
    <t xml:space="preserve">3674
3577</t>
  </si>
  <si>
    <t xml:space="preserve">Singapore
Japan</t>
  </si>
  <si>
    <t xml:space="preserve">JURONG TECHNOLOGIES INDUSTRIAL CORP LTD/FUJITSU-STRATEGIC ALLIANCE</t>
  </si>
  <si>
    <t xml:space="preserve">Jurong Technologies Industrial Corp Ltd and Fujitsu Ltd formed a strategic
alliance to provide research and development services of wireless broadband
equipmentm including embedded modules for laptops, dongles and PC cards
globally.</t>
  </si>
  <si>
    <t xml:space="preserve">48190L
359590</t>
  </si>
  <si>
    <t xml:space="preserve">Sartorius Stedim Biotech SA
WuXi AppTec</t>
  </si>
  <si>
    <t xml:space="preserve">Biological Product (Except Diagnostic) Manufacturing
Mnfr pharm</t>
  </si>
  <si>
    <t xml:space="preserve">Sartorius Stedim Biotech SA,
located in Aubagne, France,
manufactures
biopharmaceutical products.
It owns manufacturing and
research and development
sites in Europe, North
America and Asia and an
international network of
sales companies. Its
offerings cover inter alia,
cell line technologies, cell
culture media, bioreactors,
separation, purification and
concentration of biological
intermediates and finished
products, and storage and
transportation of
biopharmaceuticals. It also
offers data analytics
software for modeling and
optimizing processes of
biopharmaceutical
development and production.
The Company was founded in
1983.
WuXi AppTec, located in China,
manufactures and wholesales
pharmaceuticals. It also
involves in pharmaceuticals
research activities. The
company was founded in April
2002.</t>
  </si>
  <si>
    <t xml:space="preserve">Sartorius AG
WuXi PharmaTech(Cayman)Inc</t>
  </si>
  <si>
    <t xml:space="preserve">SARTORIUS STEDIM BIOTECH SA(WAS 85780F)/WUXI APPTEC- STRATEGIC ALLIANCE</t>
  </si>
  <si>
    <t xml:space="preserve">Sartorius Stedim Biosystems SA (SS) and WuXi AppTec (WA), a unit of WuXi
PharmaTech(Cayman)Inc formed a strategic alliance to provide viral
clearance studies services. WA was expected to provide relevant viruses,
materials and methodologies to SS to employ in conducting non GLP viral
clearance testing of its technologies with customer products for supporting
its own research and development activities.</t>
  </si>
  <si>
    <t xml:space="preserve">80442R
98287P</t>
  </si>
  <si>
    <t xml:space="preserve">Astex Therapeutics Ltd
Janssen Pharmaceutica NV</t>
  </si>
  <si>
    <t xml:space="preserve">Biotechnology company
Janssen Pharmaceutica NV,
located in Beerse, Belgium,
manufactures prescription
pharmaceuticals intended for
final consumption, including
biotech products and
antibiotics.</t>
  </si>
  <si>
    <t xml:space="preserve">Astex Therapeutics Ltd
J&amp;J</t>
  </si>
  <si>
    <t xml:space="preserve">ASTEX THERAPEUTICS LTD/JANSSEN PHARMACEUTICA NV-STRATEGIC ALLIANCE</t>
  </si>
  <si>
    <t xml:space="preserve">Astex Therapeutics Ltd and Janssen Pharmaceutical NV (JP), a unit of
Johnson &amp; Johnson Inc, formed a strategic alliance to provide drug research
and development services for the treatment of cancer. The alliance grants
JP a worldwide exclusive license to compounds arising from AT novel FGFR
inhibitor program and will also establish a new drug discovery alliance
focused on the identification of novel inhibitors.</t>
  </si>
  <si>
    <t xml:space="preserve">01086Y
47088B</t>
  </si>
  <si>
    <t xml:space="preserve">Access Pharmaceuticals Inc
Jiangsu Aosaikang Pharm Co Ltd</t>
  </si>
  <si>
    <t xml:space="preserve">Biopharmaceutical company
Mnfr,whl pharm</t>
  </si>
  <si>
    <t xml:space="preserve">Access Pharmaceuticals Inc,
located in Dallas, Texas, is a
biopharmaceutical company with
a focus on oncology and
supportive care of cancer
patients. It develops drug
delivery systems and advanced
polymer technology for
application in cancer
treatment, dermatology and
treatment of oral diseases.
Its main products include
ProLindac (TM), MuGard (TM),
Cobalamin (TM), Angiolix (TM),
Prodrax (R), and Alchemix. The
company was founded in 1974.
Jiangsu Aosaikang
Pharmaceutical Co Ltd,
located in China,
manufactures and wholesales
pharmaceutical. It was
founded in 2003.</t>
  </si>
  <si>
    <t xml:space="preserve">ACCESS PHARMACEUTICALS INC/JIANGSU AOSAIKANG PHARMACEUTICAL-STRATEGIC
ALLIANCE</t>
  </si>
  <si>
    <t xml:space="preserve">Access Pharmaceuticals Inc (AP) and Jiangsu Aosaikang Pharmaceutical (JA)
formed a strategic alliance wherein AP licensed JA to manufacture, develop
and commercialized its product for ProLindac in China. JA was expected to
pay AP an upfront fee and subsequent milestone payments along with royalty
upon commercialization of ProLindac.</t>
  </si>
  <si>
    <t xml:space="preserve">00431M
47684N</t>
  </si>
  <si>
    <t xml:space="preserve">Pfizer Inc
UCSF</t>
  </si>
  <si>
    <t xml:space="preserve">Manufacture,wholesale pharmaceuticals
Own,op college,university</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</si>
  <si>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University of California San
Francisco, owns and operates a
college/university. The
college/university is
headquartered in san
Francisco, California.</t>
  </si>
  <si>
    <t xml:space="preserve">PFIZER INC/UNIVERSITY OF CALIFORNIA SAN FRANCISCO-STRATEGIC ALLIANCE</t>
  </si>
  <si>
    <t xml:space="preserve">Pfizer Inc and University of California San Francisco formed a 3-year
strategic alliance to provide drug discovery and development services in
the United States.</t>
  </si>
  <si>
    <t xml:space="preserve">717081
91411Q</t>
  </si>
  <si>
    <t xml:space="preserve">Tianjin Tiangang(Group)Co Ltd
Fosun Tech(Tian Jin)Co Ltd
Tianjin Aoxin Invest Co Ltd</t>
  </si>
  <si>
    <t xml:space="preserve">Mnfr black metals
Mnfr steel prod
Whl,ret iron ore,coke</t>
  </si>
  <si>
    <t xml:space="preserve">Tianjin Tiangang(Group)Co Ltd,
located in China, manufactures
black metals. It is also
engaged in the research and
development of metal
materials.
Fosun Technology (Tian Jin) Co
Ltd, headquartered in China,
manufactures steel products.
The company is also engaged in
investment holding.
Tianjin Aoxin Investment Co
Ltd, headquartered in China,
is engaged in the wholesale
and retail of iron ore and
coke. The company is also
engaged in investment holding.</t>
  </si>
  <si>
    <t xml:space="preserve">3399
3312
1011</t>
  </si>
  <si>
    <t xml:space="preserve">Tianjin Tiangang(Group)Co Ltd
Fosun Interntional Hldgs Ltd
Tianjin Aoxin Invest Co Ltd</t>
  </si>
  <si>
    <t xml:space="preserve">3399
6799
1011</t>
  </si>
  <si>
    <t xml:space="preserve">FOSUN TECH(TIAJIN)CO LTD/TIANJIN AOXIN INVESTMENT CO LTD/TIANJIN
TIANGANG-TIANJIN IRON&amp;STEEL CO LTD JOINT VENTURE</t>
  </si>
  <si>
    <t xml:space="preserve">Tianjin Iron &amp; Steel Co Ltd,
headquartered in China,
manufactures metal products.
It is also engaged in the
research and development of
metal materials. The company
was founded in 1999.</t>
  </si>
  <si>
    <t xml:space="preserve">Fosun Technology Tianjin Co Ltd (FT), a unit of Fosun International Ltd,
Chinese state-owned Tianjin Tiangang (Group) Co Ltd (TT) and Tianjin Aoxin
Investment Co Ltd (TA) planned to form a 30-year joint venture named
Tianjin Iron &amp; Steel Co Ltd (TI) to manufacture processed metal products as
well as develop metal materials in China. TT was to retain and hold a 48.5%
interest in TI while FT was to acquire and hold a 47.5% stake. The
remaining 4% stake was to be held by TA.</t>
  </si>
  <si>
    <t xml:space="preserve">48.50
47.50
4.00</t>
  </si>
  <si>
    <t xml:space="preserve">88595R</t>
  </si>
  <si>
    <t xml:space="preserve">88538M
35044C
88757T</t>
  </si>
  <si>
    <t xml:space="preserve">OPTI Canada Inc
Alberta Energy Research</t>
  </si>
  <si>
    <t xml:space="preserve">Oil,gas expl,prodn company
Pvd energy research,dvlp svcs</t>
  </si>
  <si>
    <t xml:space="preserve">OPTI Canada Inc, located in
Calgary, Alberta, Canada, is
an oil and gas exploration and
production company. Its
principal activity is to
upgrade and develop oil sands
with a $3.4 billion Long Lake
Project in a 50/50
joint-venture partnership with
Nexen. Long Lake is Canada's
first oil sands development to
combine steam-assisted gravity
drainage (SAGD) bitumen
recovery with the next
generation OrCrude process and
on-site upgrading
technologies. The Long Lake is
situated in the centre of the
world's largest oil sands
deposit, in the Athabasca
region of northern Alberta and
holds an estimated 7.3 billion
barrels of bitumen-in-place.
The OrCrude process is a new
way to upgrade and capture the
energy value contained in
bitumen. The three basic
bitumen upgrading processes
that work together to create
OrCrude are distillation,
solvent de-asphalting and
thermal cracking. The upgrader
also uses conventional
hydrocracking and gasification
technologies. The company was
founded in 1999.
Alberta Energy Research
Institute, located in Calgary,
Alberta, provides
collaborative research and
development services in
partnership with industry and
government organizations for
the economic and sustainable
development of Alberta's
energy sector. Its research
priorities are focused on
Bitumen upgrading, Clean
Carbon/Coal, Improved
Recovery, Carbon Dioxide
Management, Alternate &amp;
Renewable Energy and Water
management.</t>
  </si>
  <si>
    <t xml:space="preserve">1311
8731</t>
  </si>
  <si>
    <t xml:space="preserve">OPTI Canada Inc
Alberta Science &amp; Research</t>
  </si>
  <si>
    <t xml:space="preserve">OPTI CANADA INC/ALBERTA ENERGY RESEARCH INSTITUTE- STRATEGIC ALLIANCE</t>
  </si>
  <si>
    <t xml:space="preserve">Opti Canada Inc and Alberta Energy Research Institute, a unit of Canadian
state-owned Alberta Science &amp; Research Authority, formed a strategic
alliance to provide energy research services in Canada. The partners
cooperated to research coast-effective approaches to carbon dioxide capture
and storage.</t>
  </si>
  <si>
    <t xml:space="preserve">68383K
01333P</t>
  </si>
  <si>
    <t xml:space="preserve">Mpex Pharmaceuticals Inc
GlaxoSmithKline PLC</t>
  </si>
  <si>
    <t xml:space="preserve">Mnfr pharmaceutical products
Pharmaceutical Preparation Manufacturing</t>
  </si>
  <si>
    <t xml:space="preserve">Mpex Pharmaceuticals Inc,
headquartered in San Diego,
California, manufactures
pharmaceutical products to
combat antibiotic resistance
with focus on gram-negative
organisms, one of its product
is the Aeroquin which enables
delivery of drug to the lungs
to produce antibacterial
effects with a lower
propensity for drug resistance
and shorter administration
time.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</si>
  <si>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MPEX PHARMACEUTICALS/GLAXOSMITHKLINE PLC- STRATEGIC ALLIANCE</t>
  </si>
  <si>
    <t xml:space="preserve">Mpex Pharmaceuticals Inc (MP) and GlaxoSmithKline PLC (GSK) formed a
strategic alliance to provide novel efflux pump inhibitors development
services for use against serious gram-negative infections worldwide. The
alliance will focus on the discovery and development of novel drug regimens
comprising MP's EPIs combined with GSK's novel development stage compounds
as well as existing commercial antibiotics to improve potency and broaden
the spectrum of antibacterial activity.</t>
  </si>
  <si>
    <t xml:space="preserve">55063K
37733W</t>
  </si>
  <si>
    <t xml:space="preserve">iZumi Bio Inc
J David Gladstone Institutes</t>
  </si>
  <si>
    <t xml:space="preserve">Pharm co
Pvd research,dvlp svcs</t>
  </si>
  <si>
    <t xml:space="preserve">iZumi Bio Inc, located in San
Francisco, California, is a
pharmaceutical manufacturing
company. It develops
regenerative medicines.
J David Gladstone Institutes,
located in San Francisco,
California, provides research
and development services on
the causes and prevention of
diseases. It is composed of
three institutes namely, The
Gladstone Institute of
Cardiovascular Disease,
Gladstone Institute of
Virology and Immunology and
Gladstone Institute of
Neurological Disease.</t>
  </si>
  <si>
    <t xml:space="preserve">IZUMI BIO INC/J DAVID GLADSTONE INSTITUTES-STRATEGIC ALLIANCE</t>
  </si>
  <si>
    <t xml:space="preserve">iZumi Bio Inc (iZ) and J David Gladstone Institutes (JD) formed a strategic
alliance to provide research and licensing services that focus on the
applications for induced pluripotent stem (iPS) cells. The alliance
combines cardiovascular disease and stem cell science, and is an ideal
model for advancing science in a focused, and efficient way. The alliance
underscores iZ's and JD's commitment and ability to translate the best
research in iPS technology to products that address important unmet medical
needs including iZ taking a license to certain JD patents and sponsoring
research related to iPS cells and cardiovascular disease.</t>
  </si>
  <si>
    <t xml:space="preserve">46824T
22653K</t>
  </si>
  <si>
    <t xml:space="preserve">MMR Genetics LLC
Mendel Biotechnology Inc
Richardson Seeds Ltd</t>
  </si>
  <si>
    <t xml:space="preserve">Pvd grain breeding svcs
Plant biotech co
Produce sorghum seed</t>
  </si>
  <si>
    <t xml:space="preserve">MMR Genetics LLC, located in
Vega, Texas, provides grain
breeding services and forage
sorghums. It provides value
added traits though
development of parent lines.
It provides F1 grain and
forage sorghums hybrids for
visual observation and
evaluation.
Mendel Biotechnology Inc,
located in Hayward,
California, is a plant
biotechnology company that
develops products with
enhanced yield and quality
focused on row crops and
cellullosic biofeedstocks.
Richardson Seeds Ltd, based in
Vega, Texas, produces sorghum
seed hybrids.</t>
  </si>
  <si>
    <t xml:space="preserve">0119
2836
0119</t>
  </si>
  <si>
    <t xml:space="preserve">TX
CA
TX</t>
  </si>
  <si>
    <t xml:space="preserve">MMR GENETICS LTD/MENDEL BIOTECHNOLOGY INC/RICHARDSON BIOTECHNOLOGY LTD-
STRATEGIC ALLIANCE</t>
  </si>
  <si>
    <t xml:space="preserve">MMR Genetics LLC (MMR), Mendel Biotechnology Inc (MB) and Richardson Seeds
Ltd (RS) formed a strategic alliance to provide cultivation research,
development and breeding services in the United States. MMR and MB were
expected to establish a bioenergy nursery, which will be used to breed new,
high-performing sorghum cultivars. RS will produce commercial quantities of
selected cultivars. Under the terms of the agreement, MMR will contribute
germplasm, breeding know-how and services, and nursery operations, MB will
provide funding and research and breeding assistance and will have
exclusive commercial rights to selected cultivars and RS will provide seed
production research and produce commercial quantities of selected
cultivars. The financial terms were not disclosed.</t>
  </si>
  <si>
    <t xml:space="preserve">55174J
58651C
76334Q</t>
  </si>
  <si>
    <t xml:space="preserve">Visible Measures Corp
Dynamic Logic Inc</t>
  </si>
  <si>
    <t xml:space="preserve">Pvd video measurement svcs
Pvd online research svcs</t>
  </si>
  <si>
    <t xml:space="preserve">Visible Measures Corp, located
in Boston, Massachusetts,
provides Internet video
consumption and distribution
measurement services. The
company also develops analytic
software designed to monitor
websites and programs
incorporating rich Internet
applications, or RIA. The
Company was founded in 2005.
Dynamic Logic Inc, located in
New York, New York, provides
online research services that
measures and analyzes
marketing effectiveness.</t>
  </si>
  <si>
    <t xml:space="preserve">7375
8732</t>
  </si>
  <si>
    <t xml:space="preserve">Visible Measures Corp
WPP Group PLC</t>
  </si>
  <si>
    <t xml:space="preserve">7375
7311</t>
  </si>
  <si>
    <t xml:space="preserve">VISIBLE MEASURES CORP/DYNAMIC LOGIC-STRATEGIC ALLIANCE</t>
  </si>
  <si>
    <t xml:space="preserve">Visible Measures Corp and Dynamic Logic Inc, a unit of WPP Group PLC's
Millward Brown PLC subsidiary, formed a strategic alliance to provide
online video advertising research and development services in the United
States. The alliance will provide marketers with an unprecedented view into
both the  branding impact as well the behavioral impact of online video
advertising. The alliance aims in helping marketers understand how digital
video advertising campaigns impact overall brand perception.</t>
  </si>
  <si>
    <t xml:space="preserve">93219Q
26765L</t>
  </si>
  <si>
    <t xml:space="preserve">CP Kelco ApS
Fluxome Sciences A/S</t>
  </si>
  <si>
    <t xml:space="preserve">Mnfr gum,resin prod
Biotechnology company</t>
  </si>
  <si>
    <t xml:space="preserve">CP Kelco ApS, located in
Atlanta, Georgia,
manufactures specialty
hydrocolloids. It produces
and markets xanthan gum,
gellan gum and other
fermentation-derived
biopolymers to a range of
industries worldwide. It
operates facilities in
United States, Brazil,
Finland, Denmark, Germany,
China and the Philippines.
Fluxome Sciences A/S is a
biotechnology company
headquartered in Denmark. It
develops nutraceuticals used
as ingredients in dietary
supplements or as addition to
foods and serve in the
non-pharmaceutical category of
health, prevention, and well
being.</t>
  </si>
  <si>
    <t xml:space="preserve">Jm Huber Corp
Fluxome Sciences A/S</t>
  </si>
  <si>
    <t xml:space="preserve">5169
2836</t>
  </si>
  <si>
    <t xml:space="preserve">CP KELCO APS/FLUXOME SCIENCE A/S-STRATEGIC ALLIANCE</t>
  </si>
  <si>
    <t xml:space="preserve">CP Kelco ApS, a unit of JH Huber Corp, and Fluxome Sciences A/S formed a
strategic alliance to provide research and development services of
resveratrol a potent antioxidant normally found in grapes and red wine,
with positive effects on aging, cardiovascular health, diabetes, obesity
and certain cancers globally.</t>
  </si>
  <si>
    <t xml:space="preserve">81799J
46863C</t>
  </si>
  <si>
    <t xml:space="preserve">Taconic Farms Inc
TaconicArtemis GmbH
PhenoPro</t>
  </si>
  <si>
    <t xml:space="preserve">Own,op lab animal breeding ctr
Own,op mice breeding lab
Pvd rmouse phenotyping svcs</t>
  </si>
  <si>
    <t xml:space="preserve">Taconic Farms Inc, located
in Hudson, New York, owns
and operates laboratory
animals breeding center. It
offers rat and mouse models.
The company offers contract
breeding solutions, animal
models, transgenic exchange,
KO repository, custom model
generation, phenotyping
services, contract research
solutions, testing
solutions, testing
solutions, surgical
modifications, animal care
products, and research
applications. The company
was founded in 1952.
TaconicArtemis GmbH, located
in Cologne, is an owner and
operator of transgenic mouse
generation facilities. The
company was founded in 1998.
PhenoPro, located in Illkirch,
France, provides advance mouse
phenotypping-based
translational medicine tools
and expertise services to
improve biopharmaceutical drug
and discovery development
productivity and patient
access to safer drugs. The
company was founded in
September 2007.</t>
  </si>
  <si>
    <t xml:space="preserve">0279
0279
8731</t>
  </si>
  <si>
    <t xml:space="preserve">United States
Germany
France</t>
  </si>
  <si>
    <t xml:space="preserve">NY
FF
FF</t>
  </si>
  <si>
    <t xml:space="preserve">Taconic Farms Inc
Taconic Farms Inc
PhenoPro</t>
  </si>
  <si>
    <t xml:space="preserve">United States
United States
France</t>
  </si>
  <si>
    <t xml:space="preserve">TACONIC FARMS INC/TACONIC ARTEMIS GMBH/PHENOPRO DA- STRATEGIC ALLIANCE</t>
  </si>
  <si>
    <t xml:space="preserve">Taconic Farms Inc (TF), TaconicArtemis GmbH, a unit of TF, and PhenoPro
formed a strategic alliance to provide integrated model design, generation,
delivery and characterization services of Genetically Modified Models
(GMMs) to biopharmaceutical and biomedical researchers. The integrated
solution will offer investigators faster ties for new, customer designed
GMMs. The alliance will simplify and streamline project management through
the most efficient use of resources, increasing the richness and
understanding of data delivered from studies using newly created GMMs.</t>
  </si>
  <si>
    <t xml:space="preserve">87356W
88460C
71755R</t>
  </si>
  <si>
    <t xml:space="preserve">MorphoSys AG
OncoMed Pharmaceuticals Inc</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</si>
  <si>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OncoMed Pharmaceuticals Inc,
located in Redwood City,
California, is a
biotechnology company
dedicated to improving
cancer treatment, by
developing monoclonal
antibodies that target the
biologic pathways critical
to tumor initiating cells,
also known as "cancer stem
cells". The company was
founded on 2004.</t>
  </si>
  <si>
    <t xml:space="preserve">MORPHOSYS AG/ONCOMED PHARMACEUTICALS INC-STRATEGIC ALLIANCE</t>
  </si>
  <si>
    <t xml:space="preserve">MorphoSys AG and OncoMed Pharmaceuticals Inc formed a strategic alliance to
provide research and development services of human antibodies for combating
cancer globally. The alliance was a strategic growth opportunity both for
the partners to leverage their medical development services and to further
expand their market coverage globally.</t>
  </si>
  <si>
    <t xml:space="preserve">617760
68234X</t>
  </si>
  <si>
    <t xml:space="preserve">Segovia Inc
DTECH LABS Inc</t>
  </si>
  <si>
    <t xml:space="preserve">Pvd info tech svcs
Mnfr mobile commu prods</t>
  </si>
  <si>
    <t xml:space="preserve">Segovia Inc, located in
Herndon, Virginia, provides
information technology
services to the United States
Army and other US military
services and government
agencies. The company was
founded in 2002.
DTECH LABS Inc, based in
Sterling, Virginia,
manufactures Mobile IP,
Tactical Communications, and
Power Management products. It
was founded in 2001.</t>
  </si>
  <si>
    <t xml:space="preserve">7376
3663</t>
  </si>
  <si>
    <t xml:space="preserve">SEGOVIA INC/DTECH LABS INC-STRATEGIC ALLIANCE</t>
  </si>
  <si>
    <t xml:space="preserve">Segovia Inc and DTECH LABS Inc formed a strategic alliance to provide
research and development services of secure global voice, data and video
broadband satellite products in the United States. The alliance was
expected to collaborate on the development of new products specifically
targeted at their mutual customer base of military, government and
first-responder customers.</t>
  </si>
  <si>
    <t xml:space="preserve">82178H
26184V</t>
  </si>
  <si>
    <t xml:space="preserve">Bartronics India Ltd
LG Electronics USA Inc</t>
  </si>
  <si>
    <t xml:space="preserve">Mnfr data recording product
Whl electrical applicances</t>
  </si>
  <si>
    <t xml:space="preserve">Bartronics India Ltd, located
in Hyderabad, India,
manufactures identification
and data recording products.
It offers radio frequency
identification (RFID)
products, barcode scanners,
trackers, and temperature
loggers. The company was
founded in 1990.
LG Electronics USA Inc,
located in Englewood Cliffs,
New Jersey, wholesales
electrical appliances and
consumer electronics, home
appliances and mobile
communications. The company
was founded in 1958.</t>
  </si>
  <si>
    <t xml:space="preserve">3577
5064</t>
  </si>
  <si>
    <t xml:space="preserve">Bartronics India Ltd
LG Corp</t>
  </si>
  <si>
    <t xml:space="preserve">India
South Korea</t>
  </si>
  <si>
    <t xml:space="preserve">3577
3679</t>
  </si>
  <si>
    <t xml:space="preserve">BARTRONICS INDIA LTD/LG ELECTRONICS USA INC-STRATEGIC ALLIANCE</t>
  </si>
  <si>
    <t xml:space="preserve">Bartronics India Ltd and LG Electronics USA Inc, a unit of LG Corp, formed
a strategic alliance to provide research and development services of RFID
wristband product enabling cash-less transaction systems globally.</t>
  </si>
  <si>
    <t xml:space="preserve">06960F
50193R</t>
  </si>
  <si>
    <t xml:space="preserve">Monogram Biosciences Inc
Gilead Sciences Inc</t>
  </si>
  <si>
    <t xml:space="preserve">Mnfr diagnostic prod
Biotechnology company</t>
  </si>
  <si>
    <t xml:space="preserve">Monogram Biosciences Inc,
located in South San
Francisco, California,
manufactures molecular
diagnostic products to guide
and improve treatment of viral
diseases. Its main brands are
Trofile, PhenoSense, and
VeraTag. It also provides
laboratory services to enable
physicians to manage
infectious diseases and
cancers. The company was
founded in 1995.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</si>
  <si>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MONOGRAM BIOSCIENCES INC/GILEAD SCIENCES INC-STRATEGIC ALLIANCE</t>
  </si>
  <si>
    <t xml:space="preserve">Monogram Biosciences Inc (MB) and Gilead Sciences Inc (GS) formed a
strategic alliance to provide resistance testing and consultative services
for GS' Elvitegravir Phase III studies.  MB's assays will be used to screen
patients for study enrollment and help select drugs to be given in
conjunction with Elvitegravir during the study. Both MB's Integrase
phenotype and genotype assays were used in Elvitegravir preclinical and
Phase II studies, and will be used to evaluate Phase III patient outcomes.
The Phase III studies are anticipated to begin enrolling patients later
this year.</t>
  </si>
  <si>
    <t xml:space="preserve">60977H
375558</t>
  </si>
  <si>
    <t xml:space="preserve">Tokyo Ohka Kogyo Co Ltd
IBM Corp</t>
  </si>
  <si>
    <t xml:space="preserve">Manufacture,wholesale chemical products
Manufacture computer products</t>
  </si>
  <si>
    <t xml:space="preserve">Tokyo Ohka Kogyo Co Ltd,
located in Kanagawa, Japan,
manufactures and wholesales
chemical products such as
photoresist, and equipment
needed in semiconductors and
flat panel displays. The
Company was founded in 1936.
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t>
  </si>
  <si>
    <t xml:space="preserve">2899
3571</t>
  </si>
  <si>
    <t xml:space="preserve">TOKYO OHKA KOGYO CO LTD/INTERNATIONAL BUSINESS MACHINES CORP{IBM CORP}-
STRATEGIC ALLIANCE</t>
  </si>
  <si>
    <t xml:space="preserve">Tokyo Ohka Kogyo Co Ltd and IBM Corp formed a strategic alliance to povide
research and development services of materials and equipment suitable for
the production of CIGS (Copper-Indium-Gallium-Selenide) solar cell modules
globally. The alliance was a strategic growth opportunity both for the
partners to leverage their development services and to further expand their
technological coverage.</t>
  </si>
  <si>
    <t xml:space="preserve">88912P
459200</t>
  </si>
  <si>
    <t xml:space="preserve">Immtech Pharmaceuticals Inc
Capital Medical University</t>
  </si>
  <si>
    <t xml:space="preserve">Mnfr,dvlp pharm
Own,op college,university</t>
  </si>
  <si>
    <t xml:space="preserve">Immtech Pharmaceuticals Inc,
located in New York, New York,
manufactures and develops
pharmaceuticals for the
treatment of a range of
infectious diseases including
hepatitis C (HCV), fungal
diseases and multi-drug
resistant strains of bacterial
infections. Founded in 1984.
Capital Medical University,
owns and operates a medical
college/university. The
college/university is
headquartered in Beijing,
China. It also has municipal
research and training centers
covering a wide range of
fields including General
Practitioner Training,
Clinical Medicine, Basic
Medicine, Neurosciences,
Ophthalmology, Geriatrics,
Urology, Cardiology, Pain
Medicine, Toxicology,
Biomedical Engineering,
Traditional Chinese Medicine,
Reproduction, Health Policy
and so on. We have achieved
national and international
recognitions in many areas
such as Neurobiology,
Cytobiology, Immunology,
Medical Iconography,
Neurology, Neurosurgery,
Cardiology, Cardio-vascular
Surgery, Kidney
Transplantation, Respiratory
Disease, Digestive Medicine,
Oral-Maxillofacial Surgery,
Ophthalmology, Otolaryngology
and Pediatric Hematology.
Founded in 1960.</t>
  </si>
  <si>
    <t xml:space="preserve">IMMTECH PHARMACEUTICALS INC(WAS 452519)/BEIJING CAPITAL MED UNIVERSITY-
JOINT VENTURE</t>
  </si>
  <si>
    <t xml:space="preserve">Immtech Pharmaceuticals Inc and Capital Medical University planned to form
a joint venture (JV) to provide contract research services in China. The JV
was to offer services ranging from research planning and risk assessment
through preclinical and clinical study design.</t>
  </si>
  <si>
    <t xml:space="preserve">45460V
14104A</t>
  </si>
  <si>
    <t xml:space="preserve">Sigma-Aldrich Corp
UCSF</t>
  </si>
  <si>
    <t xml:space="preserve">Mnfr,whl chemicals
Own,op college,university</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</si>
  <si>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University of California San
Francisco, owns and operates a
college/university. The
college/university is
headquartered in san
Francisco, California.</t>
  </si>
  <si>
    <t xml:space="preserve">2899
8221</t>
  </si>
  <si>
    <t xml:space="preserve">SIGMA-ALDRICH CORP/UNIVERSITY OF CALIFORNIA SAN FRANCISCO-STRATEGIC
ALLIANCE</t>
  </si>
  <si>
    <t xml:space="preserve">Sigma-Aldrich Corp and University of California San Francisco, formed a
5-year strategic alliance to provide optimal cell lines development
services for the production of monoclonal antibodies for a variety of
cancer targets, atoimmune diseases, stel cell characteristics and commonly
neglected disease targets in the United States.</t>
  </si>
  <si>
    <t xml:space="preserve">826552
91411Q</t>
  </si>
  <si>
    <t xml:space="preserve">Carnegie Mellon University
General Motors Corp</t>
  </si>
  <si>
    <t xml:space="preserve">Own,op college,university
Mnfr motor vehicles</t>
  </si>
  <si>
    <t xml:space="preserve">Carnegie Mellon University,
located in Pittsburgh,
Pennsylvania, owns and
operates college and
university with mix of
programs in engineering,
computer science, robotics,
business, public policy, fine
arts and the humanities.
General Motors Corp, located
in Detroit, Michigan,
manufactures motor vehicles,
related parts, defense and
space products, business
information and
telecommunication systems,
locomotives, satellites, test
equipment and marine engines.
The company also provides
financing services include
consumer vehicle financing,
full-service leasing and fleet
leasing, dealer financing and
car and truck extended service
contracts, residential and
commercial mortgage services,
commercial and vehicle
insurance and asset-based
lending. In addition the
company offers insurance
services including automobile
and homeowners insurance,
automobile mechanical
protection, reinsurance and
commercial insurance. The
company operates in the US,
Canada, Mexico, Europe, Asia
Pacific and Latin America and
was founded in September 16,
1908.</t>
  </si>
  <si>
    <t xml:space="preserve">8221
3711</t>
  </si>
  <si>
    <t xml:space="preserve">PA
MI</t>
  </si>
  <si>
    <t xml:space="preserve">CARNEGIE MELLON UNIVERSITY/GENERAL MOTORS(DNU)-STRATEGIC ALLIANCE</t>
  </si>
  <si>
    <t xml:space="preserve">Carnegie Mellon University and General Motors Corp formed a strategic
alliance to provide autonomous driving research and development services in
the United States. The companies were expected to jointly accelerate the
emerging field of autonomous driving, a family of electronics and software
technologies for driving. The alliance established the GM-Carnegie Mellon
Autonomous Driving Collaboratve Research Lab under the terms of a five-year
and costs $5 mil US and will be located at Pittsburgh.</t>
  </si>
  <si>
    <t xml:space="preserve">The alliance established the GM-Carnegie Mellon Autonomous Driving
Collaboratve Research Lab under the terms of a five-year and costs $5 mil
US.</t>
  </si>
  <si>
    <t xml:space="preserve">14349R
370442</t>
  </si>
  <si>
    <t xml:space="preserve">Alnylam Pharmaceuticals Inc
Kyowa Hakko Kogyo Co Ltd</t>
  </si>
  <si>
    <t xml:space="preserve">Manufacture biological products
Mnfr,whl pharm</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</si>
  <si>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Kyowa Hakko Kogyo Co Ltd,
headquartered in Japan and
founded in 1949,
manufactures and wholesales
pharmaceutical products such
as drugs for cancer,
cardiovascular conditions
and fungal infections,
agrochemicals, diagnostic
reagents, plasticizers and
solvents and produce food
and liquor such as umeshu
and imported scotch. It also
manufactures specialty
chemicals, seasonings,
confectionery and baking
ingredients and processed
foods.</t>
  </si>
  <si>
    <t xml:space="preserve">Alnylam Pharmaceuticals Inc
Kirin Holdings Co Ltd</t>
  </si>
  <si>
    <t xml:space="preserve">ALNYLAM PHARMACEUTICALS INC/HAKKO KOGYO CO LTD-STRATEGIC ALLIANCE</t>
  </si>
  <si>
    <t xml:space="preserve">Alnylam Pharmaceuticals Inc and Kyowa Hakko Kogyo Co Ltd formed a strategic
alliance to provide research and development services of RNAi therapeutics
for oncology and metabolic diseases in Japan. The partners were to also
explore medical drugs for the treatment of respiratory syncytial virus
infection.</t>
  </si>
  <si>
    <t xml:space="preserve">02043Q
50156V</t>
  </si>
  <si>
    <t xml:space="preserve">Healthlink Co Ltd
Insymbiosis</t>
  </si>
  <si>
    <t xml:space="preserve">Pvd home health care svcs
Research and Development in Biotechnology</t>
  </si>
  <si>
    <t xml:space="preserve">Provide home health care
services to elderly foreigners
for them to stay for a long
term in order to promote their
health
InSymbiosis is a provider of
biotechnology research and
development services. The
Company is located in
Montreal, Canada.</t>
  </si>
  <si>
    <t xml:space="preserve">8082
8731</t>
  </si>
  <si>
    <t xml:space="preserve">Thailand
Canada</t>
  </si>
  <si>
    <t xml:space="preserve">HEALTHLINK CO LTD/INSYMBIOSIS DISCOVERY INC-STRATEGIC ALLIANCE</t>
  </si>
  <si>
    <t xml:space="preserve">Healthlink Co Ltd and InSymbiosis formed a strategic alliance to provide
peptide therapeutic CR014 development services and its related compounds
for applications in acute respiratory distress syndrome (ARDS) and acute
lung injury. The alliance was expected to conduct a full pre-clinical
evaluation of CR014 with a view to progressing clinical trials.
</t>
  </si>
  <si>
    <t xml:space="preserve">42171Z
46865F</t>
  </si>
  <si>
    <t xml:space="preserve">Hitachi-GE Nuclear Energy Ltd
Cameco Corp</t>
  </si>
  <si>
    <t xml:space="preserve">Manufactures light water reactor power, fast breeder reactor, nuclear fuel cycle equipment
Uranium mining and electricity company</t>
  </si>
  <si>
    <t xml:space="preserve">Hitachi-GE Nuclear Energy
Ltd, located in Hitachi-shi,
Japan, manufactures light
water reactor power, fast
breeder reactor, nuclear
fuel cycle equipment and
related products. The
Company was founded in June
2007.
Cameco Corp, located in
Saskatoon, Canada, is a
uranium mining and
electricity company. It is
primarily engaged in the
exploration for and the
development, mining,
refining, conversion,
fabrication and trading of
uranium for sale as fuel for
generating electricity in
nuclear power reactors in
Canada and other countries.
The Company was founded on
June 19, 1987 .</t>
  </si>
  <si>
    <t xml:space="preserve">3612
1094</t>
  </si>
  <si>
    <t xml:space="preserve">Hitachi Ltd
Cameco Corp</t>
  </si>
  <si>
    <t xml:space="preserve">3651
1094</t>
  </si>
  <si>
    <t xml:space="preserve">GE-HITACHI NUCLEAR ENERGY/CAMECO CORP-STRATEGIC ALLIANCE</t>
  </si>
  <si>
    <t xml:space="preserve">Hitachi GE Nuclear Energy, a joint venture between Hitachi Ltd and General
Electric Co, and Cameco Corp formed a strategic alliance to provide uranium
enrichment services in the United States.</t>
  </si>
  <si>
    <t xml:space="preserve">43335A
13321L</t>
  </si>
  <si>
    <t xml:space="preserve">Hynix Semiconductor Inc
Phison Electronics Corp</t>
  </si>
  <si>
    <t xml:space="preserve">Mnfr semiconductors
Mnfr,whl semiconductors</t>
  </si>
  <si>
    <t xml:space="preserve">Hynix Semiconductor Inc,
headquartered in Incheon,
South Korea, manufactures
semiconductors. The
company's products include
dynamic random access memory
(DRAM) and NAND Flash. The
company was founded in
October 15, 1949.
Phison Electronics Corp,
headquartered in Taiwan,
manufactures and wholesales
semiconductors. The company
is principally engaged in
the manufacture, development
and sale of flash card
readers and flash memory
controller chips. The
company was founded in
November 2000.</t>
  </si>
  <si>
    <t xml:space="preserve">HYNIX SEMICONDUCTOR INC(WAS 44918P)/PHISON ELECTRONICS CORP- STRATEGIC
ALLIANCE</t>
  </si>
  <si>
    <t xml:space="preserve">Hynix Semiconductor Inc and Phison Electronics Corp formed a strategic
alliance to provide research and development services of  NAND flash
applied goods globally. The alliance wsa expected to explore and develop
various products, including micro SD cards and solid state drives.</t>
  </si>
  <si>
    <t xml:space="preserve">449130
69600M</t>
  </si>
  <si>
    <t xml:space="preserve">GTC Biotherapeutics Inc
Ovation Pharmaceuticals Inc</t>
  </si>
  <si>
    <t xml:space="preserve">GTC Biotherapeutics Inc,
located in Framingham,
Massachusetts, manufactures
and develops therapeutic
proteins through transgenic
animal technology. ATryn(R),
its recombinant form of human
antithrombin, is the first
transgenically produced
protein to be approved
anywhere in the world, having
been approved by the European
Commission for the
prophylactic treatment of deep
vein thrombosis in patients
with hereditary antithrombin
deficiencies that are
undergoing surgical
procedures.
Ovation Pharmaceuticals Inc,
located in Deerfield,
Illinois, manufactures
pharmaceuticals focused on
developing specialty
compounds for the US market
and for niche indications
with high unmet medical
needs. The company was
founded in 2000.</t>
  </si>
  <si>
    <t xml:space="preserve">MA
IL</t>
  </si>
  <si>
    <t xml:space="preserve">GTC Biotherapeutics Inc
Lundbeckfonden</t>
  </si>
  <si>
    <t xml:space="preserve">GTC BIOTHERAPEUTICS INC/OVATION PHARMACEUTICALS INC- STRATEGIC ALLIANCE</t>
  </si>
  <si>
    <t xml:space="preserve">GTC Biotherapeutics Inc and Ovation Pharmaceuticals Inc formed a strategic
alliance to provide ATryn (R) development and marketing services in the
United States. ATryn is approved in Europe but not in the U.S. for the
treatment of a rare disorder called hereditary antithrombin deficiency, or
HD, involving people who do not have sufficient antithrombin in their
bloodstream</t>
  </si>
  <si>
    <t xml:space="preserve">36238T
69017W</t>
  </si>
  <si>
    <t xml:space="preserve">Emisphere Technologies Inc
Novo Nordisk A/S</t>
  </si>
  <si>
    <t xml:space="preserve">Mnfr diagnostic pharm
Healthcare company</t>
  </si>
  <si>
    <t xml:space="preserve">Emisphere Technologies Inc,
located in Tarrytown, New
York, manufactures diagnostic
pharmaceuticals including oral
forms of injectible drugs.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</si>
  <si>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2835
2833</t>
  </si>
  <si>
    <t xml:space="preserve">Emisphere Technologies Inc
Novo Nordisk Foundation</t>
  </si>
  <si>
    <t xml:space="preserve">2835
6732</t>
  </si>
  <si>
    <t xml:space="preserve">EMISPHERE TECHNOLOGIES INC/NOVO NORDISK A/S-STRATEGIC ALLIANCE</t>
  </si>
  <si>
    <t xml:space="preserve">Emisphere Technologies Inc (ET) and Novo Nordisk A/S (NN) formed a
strategic alliance wherein ET licensed NN to develop and commercialize oral
formulations of GLP-1 receptor agonists, which have the potential of
treating Type 2 diabetes using its ET's eligen technology. The agreement
includes at least $87 million in product development and sales milestone
payments to ET, of which $10 million will be the minimum first year
payment, as well as royalties on sales. The agreement also provides NN with
the option to develop oral formulations of NN compounds other than GLP-1
receptor agonists using ET's proprietary carrier technology. Further
financial details of the agreement were not made public.</t>
  </si>
  <si>
    <t xml:space="preserve">The agreement includes at least $87 million in product development and
sales milestone payments to Emisphere Technologies Inc, of which $10
million will be the minimum first year payment, as well as royalties on
sales.</t>
  </si>
  <si>
    <t xml:space="preserve">291345
670100</t>
  </si>
  <si>
    <t xml:space="preserve">Proteros biostructures GmbH
Mercachem Holding Bv</t>
  </si>
  <si>
    <t xml:space="preserve">Proteros biostructures GmbH is
a biotechnology company for
X-ray structure analysis and
the production of proteins to
the global life science
industry, headquartered in
Germany.
Mercachem Holding BV is a
biotechnology company
headquartered in
Netherlands. It has a
state-of-the-art organic
chemistry, medicinal
chemistry and process R&amp;D
services to accelerate the
drug discovery and
development process in a
flexible and cost-effective
way.</t>
  </si>
  <si>
    <t xml:space="preserve">PROTEROS BIOSTRUCTURE GMBH/MARCHACHEM HOLDING BV-STRATEGIC ALLIANCE</t>
  </si>
  <si>
    <t xml:space="preserve">Proteros biostructures GmbH and Mercachem Holding BV formed a strategic
alliance to provide research and development services of fragment libraries
and compound kinetics screening globally. The partners were expected to
validate an integrated experimental and computational approach to determine
binding of low-molecular weight compounds and molecular probes.</t>
  </si>
  <si>
    <t xml:space="preserve">75483C
58956N</t>
  </si>
  <si>
    <t xml:space="preserve">Chiltern International Inc
EPS International Co Ltd</t>
  </si>
  <si>
    <t xml:space="preserve">Pvd contact research svcs
Pvd research svcs</t>
  </si>
  <si>
    <t xml:space="preserve">Chiltern International Inc is
a provider of research and
development services. The
Company was founded in 1982
and is located in Wilmington,
North Carolina.
EPS International Co Ltd,
located in Tokyo, Japan,
provides clinical research and
development services through
strategizing and synergizing
its established research
networks, valuable knowledge,
know-how, resources and
experiences in Asia region.
The company was founded in
April 2007.</t>
  </si>
  <si>
    <t xml:space="preserve">Chiltern International Inc
EPS Co Ltd</t>
  </si>
  <si>
    <t xml:space="preserve">CHILTERN INTERNATIONAL INC/EPS INTERNATIONAL CO LTD- STRATEGIC ALLIANCE</t>
  </si>
  <si>
    <t xml:space="preserve">Chiltern International Inc (CI) and EPS International Co Ltd (EI), a unit
of EPS Co Ltd, formed a strategic alliance to provide clinical development
services in the Asia region. CI was expected to provide services to EI form
its network of offices in 23 countries throughout Europe, North America,
South America and India. Similarly, EI was expected to provide clinical
development services for the Asia region from their offices in Japan,
China, Singapore, Korea, and Taiwan.</t>
  </si>
  <si>
    <t xml:space="preserve">16882E
27105X</t>
  </si>
  <si>
    <t xml:space="preserve">Texas A&amp;M University System
Introgen Therapeutics Inc</t>
  </si>
  <si>
    <t xml:space="preserve">Own,op college,university
Biotechnology company</t>
  </si>
  <si>
    <t xml:space="preserve">Texas A&amp;M University System,
located in College Station,
Texas, owns and operates
college and university
offering degrees in more than
150 sources of study through
College of Agriculture and
Life Sciences, College of
Architecture, Mays Business
School, College of Education
and Human Development, Dwight
Look College of Engineering,
College of Geosciences,
College of Liberal Arts,
College of Sciences, College
of Veterinary Medicine and
George Bush School of
Government and Public Affairs.
Introgen Therapeutics Inc,
located in Austin, Texas, is a
biotechnology company that
develops gene therapy products
for the treatment of cancer.
develop gene therapy products
for the treatment of cancer.
The Group's product, ADVEXIN
gene therapy combines the p53
gene to protect cells from
becoming cancerous. The Group
is developing product
candidates to treat a range of
cancers using non-integrating
tumor suppressors, cytokines
and molecular gene agents.
These agents are designed to
increase production of normal
cancer-fighting proteins that
act to overpower cancerous
cells, stimulate immune
activity and enhance
conventional cancer therapies.
The major products of the
Group include INGN 241, INGN
225, INGN 234, INGN 401, INGN
402, INGN 403 and INGN 007.
The company was founded in
1993.</t>
  </si>
  <si>
    <t xml:space="preserve">TX
TX</t>
  </si>
  <si>
    <t xml:space="preserve">United States of America
Introgen Therapeutics Inc</t>
  </si>
  <si>
    <t xml:space="preserve">999A
2836</t>
  </si>
  <si>
    <t xml:space="preserve">TEXAS A&amp;M UNIVERSITY/INTROGEN THERAPEUTICS INC-STRATEGIC ALLIANCE</t>
  </si>
  <si>
    <t xml:space="preserve">Texas A&amp;M University and Introgen Therapeutics Inc formed a strategic
alliance to provide process development and production services of
therapeutics, vaccines, delivery systems and devices for human and
veterinary applications for biopharmaceutical industry, academic research
and government clients.</t>
  </si>
  <si>
    <t xml:space="preserve">882117
46119F</t>
  </si>
  <si>
    <t xml:space="preserve">Towona Mobile TV Media Group
Nielsen Media Research Inc
Sinomonitor International Ltd</t>
  </si>
  <si>
    <t xml:space="preserve">Own,op TV station
Provide audience measurement services
Pvd marketing svcs</t>
  </si>
  <si>
    <t xml:space="preserve">Own and operate bus-television
advertising station
Nielsen Media Research Inc,
based in New York, provides
television audience
measurement services. The
principal activities of the
Group are the provision of
market information and
decision-support services to
the pharmaceutical and
healthcare industries;
automated sales support
technologies to the
pharmaceutical industry;
television audience
measurement services, both
nationally and locally; and
independent provider of
research and analysis on the
computer hardware, software,
communications and related
information technology
industries.
Sinomonitor international Ltd,
based in Beijing, China,
provides professional
marketing research services,
business analysis and public
opinion polls for domestic and
foreign enterprises, research
institutions, public
associations and government
department.</t>
  </si>
  <si>
    <t xml:space="preserve">4833
8742
8742</t>
  </si>
  <si>
    <t xml:space="preserve">China
United States
China</t>
  </si>
  <si>
    <t xml:space="preserve">Towona Mobile TV Media Group
Valcon Acquisition BV
Sinomonitor International Ltd</t>
  </si>
  <si>
    <t xml:space="preserve">4833
8732
8742</t>
  </si>
  <si>
    <t xml:space="preserve">TOWONA MEDIA CO/NIELSEN MEDIA RESEARCH INC/SINOMONITOR-STRATEGIC ALLIANCE</t>
  </si>
  <si>
    <t xml:space="preserve">Nielsen Media Research Inc, a unit of Nielsen Co, Towona Mobile TV Media
Group, and Sinomonitor International Ltd, formed a strategic alliance to
provide research and development services on the nature of digital mobile
television as well as viewing behavior, audience composition, and
advertising effects in China.</t>
  </si>
  <si>
    <t xml:space="preserve">89495H
653929
78888W</t>
  </si>
  <si>
    <t xml:space="preserve">OneBeacon Insurance Co
River City Solutions Inc</t>
  </si>
  <si>
    <t xml:space="preserve">Pvd ins svcs
Pvd network tech svcs</t>
  </si>
  <si>
    <t xml:space="preserve">OneBeacon Insurance Co,
located in Boston,
Massachusetts, provides fire,
marine, casualty insurance
services.
River City Solutions Inc,
located in Kansas City,
Montana, provides network
technology support and
training services.</t>
  </si>
  <si>
    <t xml:space="preserve">6331
7373</t>
  </si>
  <si>
    <t xml:space="preserve">MA
MT</t>
  </si>
  <si>
    <t xml:space="preserve">OneBeacon Insurance Co
Eakin &amp; Co Ltd</t>
  </si>
  <si>
    <t xml:space="preserve">6331
6211</t>
  </si>
  <si>
    <t xml:space="preserve">ONEBEACON INSURANCE CO/RIVER CITY SOLUTIONS INC- STRATEGIC ALLIANCE</t>
  </si>
  <si>
    <t xml:space="preserve">OneBeacon Insurance Co and River City Solutions Inc,a unit of 3D Imaging &amp;
Development Inc, formed a strategic alliance to provide resilency
banchmarking tool development services. The companies developed the
Resiliency 1 Index(TM), a new benchmarking tool that will provide
organizations of all sizes with a model to measure and improve their
resiliency against a catastrophe. Unlike existing benchmarking tools that
simply provide a framework of resiliency, the Resiliency 1 Index(TM) is
unique in that it offers prescriptive advice on how to prepare for a
disaster in addition to a benchmarked framework. The Resiliency 1 Index(TM)
provides specific guidance on how to grow and build organizational
resilience.</t>
  </si>
  <si>
    <t xml:space="preserve">68180J
76800V</t>
  </si>
  <si>
    <t xml:space="preserve">NITD
Global Alliance For Tb Drug</t>
  </si>
  <si>
    <t xml:space="preserve">Pvd treament dvlp svcs
Provide medical,health svcs</t>
  </si>
  <si>
    <t xml:space="preserve">Novartis Institute for
Tropical Diseases, located in
Singapore, provides novel
treatments and prevention
methods development services
for major tropical diseases.
Global Alliance for TB Drug
Development is a provider of
ambulatory health care
services. The Company is
located in New York, New
York.</t>
  </si>
  <si>
    <t xml:space="preserve">Novartis AG
Global Alliance For Tb Drug</t>
  </si>
  <si>
    <t xml:space="preserve">2834
8099</t>
  </si>
  <si>
    <t xml:space="preserve">NOVARTIS INSTITUTES FOR TROPICAL DISEASE/GLOBAL ALLIANCE FOR TB DRUG
DEVELOPMENT- STRATEGIC ALLIANCE</t>
  </si>
  <si>
    <t xml:space="preserve">Novartis Institute for Tropical Diseases, a unit of Novartis AG, and Global
Alliance for TB Drug Development, formed a 5-year strategic alliance to
provide TB drug development services. The partnership is a milestone toward
the development of faster TB drug regimens that treat all forms of TB, are
easier for patients to complete, and can be used safely in patients with
HIV/AIDS.</t>
  </si>
  <si>
    <t xml:space="preserve">66920K
38127P</t>
  </si>
  <si>
    <t xml:space="preserve">Superlattice Power Inc
Hybrid Technologies Inc</t>
  </si>
  <si>
    <t xml:space="preserve">Mnfr rechargeable batteries
Mnfr lithium powered vehicles</t>
  </si>
  <si>
    <t xml:space="preserve">Zingo Inc is a manufacturer of
rechargeable lithium ion
batteries, headquartered in
Nevada.
Hybrid Technologies Inc is a
manufacturer of
lithium-powered motorcycles
and other electric powered
vehicles and products,
headquartered in Las Vegas,
Nevada.</t>
  </si>
  <si>
    <t xml:space="preserve">3691
3699</t>
  </si>
  <si>
    <t xml:space="preserve">NV
NV</t>
  </si>
  <si>
    <t xml:space="preserve">Hybrid Technologies Inc
Hybrid Technologies Inc</t>
  </si>
  <si>
    <t xml:space="preserve">3699
3699</t>
  </si>
  <si>
    <t xml:space="preserve">SUPERLATTICE POWER INC/HYBRID TECHNOLOGIES INC-STRATEGIC ALLIANCE</t>
  </si>
  <si>
    <t xml:space="preserve">Superlattice Power Inc and Hybrid Technologies Inc formed a strategic
alliance to provide research and development services of super lattice
battery used in electric vehicle in the United States.</t>
  </si>
  <si>
    <t xml:space="preserve">868301
44860H</t>
  </si>
  <si>
    <t xml:space="preserve">Bioanalytical Systems Inc
Swiftwater Group LLC</t>
  </si>
  <si>
    <t xml:space="preserve">Provides contract research services
Mnfr pharm</t>
  </si>
  <si>
    <t xml:space="preserve">Bioanalytical Systems Inc,
located in West Lafayette,
Indiana, provides contract
research services and
manufactures research
equipment to global
pharmaceutical, medical
research and biotechnology
companies and institutions.
The Group operates in two
principal segments: Research
services and Research
products. The Research
services unit provides
screening, pharmacological
testing, preclinical safety
testing, formulation
development, clinical
trials, regulatory
compliance and quality
control testing. The
Research products unit
provides liquid
chromatography,
electrochemical and
physiological monitoring
products to pharmaceutical
companies, universities,
government research centres
and medical research
institutions. The Company
was founded in December
1974. 1974.
Swiftwater Group LLC, located
in Tucson, Arizona,
manufactures pharmaceuticals
focused on non-clinical and
clinical development planning,
regulatory submissions and
communication, protocol
preparation, and clinical
program management including
QA/QC audits and site
monitoring. The company was
founded in 1998.</t>
  </si>
  <si>
    <t xml:space="preserve">IN
AZ</t>
  </si>
  <si>
    <t xml:space="preserve">BIOANALYTICAL SYSTEMS INC/SWIFTWATER GROUP LLC-STRATEGIC ALLIANCE</t>
  </si>
  <si>
    <t xml:space="preserve">Bioanalytical Systems Inc (BS) and Swiftwater Group LLC (SG) formed a
strategic alliance to provide research and development services. SG was
expected o bring its extensive product development, regulatory, project
management and auditing experiences to work with BS' contract research
services for the pharmaceutical industry. BS was also expected to offer a
preferred provider arrangement for SG clients, and BS clients was expected
to have access to SG's consultancy services that allow clients a single
point of contract for a broad spectrum of services.</t>
  </si>
  <si>
    <t xml:space="preserve">09058M
88460Z</t>
  </si>
  <si>
    <t xml:space="preserve">Kuehne + Nagel International
AIRDEX International Inc</t>
  </si>
  <si>
    <t xml:space="preserve">Provide logistics services
Mnfr air pallets</t>
  </si>
  <si>
    <t xml:space="preserve">Kuehne + Nagel International
AG, located in Schindellegi,
Switzerland, provides
logistics services. The
Group's main business
segments are International
forwarding and Contract
logistics. International
contracts include sea
freight, airfreight,
international overland
transportation, rail
transport and custom
brokerage. Contract
logistics include
warehousing and
distribution. The Group is
also involved in special
logistics and insurance
brokerage services. The
Company was founded on
December 1890.
AIRDEX International Inc,
located in Henderson, Nevada,
manufactures air freight
pallets, AIRpallet (TM) to be
used by importers/exporters of
cargo.</t>
  </si>
  <si>
    <t xml:space="preserve">4412
3537</t>
  </si>
  <si>
    <t xml:space="preserve">FF
NV</t>
  </si>
  <si>
    <t xml:space="preserve">Kuehne Holding AG
AIRDEX International Inc</t>
  </si>
  <si>
    <t xml:space="preserve">6799
3537</t>
  </si>
  <si>
    <t xml:space="preserve">KUEHNE UND NAGEL/AIRDEX INTERNATIONAL INC-STRATEGIC ALLIANCE</t>
  </si>
  <si>
    <t xml:space="preserve">`Kuehne+Nagel International AG and AIRDEX International Inc formed a
strategic alliance to providel ogistics development services. The alliance
was expected to investigate and find solutions for joint costumers who are
interested in reducing the costs and environmental impacts of airfreight
tansportations.</t>
  </si>
  <si>
    <t xml:space="preserve">50118G
01336F</t>
  </si>
  <si>
    <t xml:space="preserve">Sembcorp Industries Ltd
Nanyang Environment &amp; Water</t>
  </si>
  <si>
    <t xml:space="preserve">Provide utilities,marine services
Pvd envi,water research svcs</t>
  </si>
  <si>
    <t xml:space="preserve">Sembcorp Industries Ltd is
an investment holding
company. The Company with
its subsidiaries is involved
in utilities, marine and
urban development businesses
worldwide. The companys
Utilities segment provides
energy, water, on-site
logistics, and solid waste
management services to
industrial, commercial, and
municipal customers. Its
activities in the energy
sector include power
generation and retail, and
process steam production and
supply, as well as natural
gas import, supply, and
retail; and water sector
comprise wastewater
treatment, and production
and supply of reclaimed,
desalinated, and potable
water. Its Urban Development
segment owns, develops,
markets, and manages
integrated urban
developments comprising
industrial parks, as well as
business, commercial, and
residential spaces in
Vietnam, China, and
Indonesia. The Company was
founded in 1998 and is
located in Singapore,
Singapore.
Nanyang Environment &amp; Water
Research Institute, located in
Singapore, provides
environmental and water
technology research services.
Founded in 20</t>
  </si>
  <si>
    <t xml:space="preserve">Sembcorp Industries Ltd
Nanyang Tech University</t>
  </si>
  <si>
    <t xml:space="preserve">4911
8221</t>
  </si>
  <si>
    <t xml:space="preserve">SEMBCORP INDUSTRIES LTD/NANYANG ENVIRONMENT &amp; WATER RESEARCH-STRATEGIC
ALLIANCE</t>
  </si>
  <si>
    <t xml:space="preserve">SembCorp Industries Ltd and Nanyang Environment &amp; Water Research Institute,
a unit of Nanyang Technological University, formed a strategic alliance to
provide water and wastewater treatment technology research services in
Singapore.</t>
  </si>
  <si>
    <t xml:space="preserve">81671Y
62780Q</t>
  </si>
  <si>
    <t xml:space="preserve">Rosetta Genomics Ltd
Rabin Medical Center</t>
  </si>
  <si>
    <t xml:space="preserve">Mnfr,whl medical tests,prods
Own,op hospital</t>
  </si>
  <si>
    <t xml:space="preserve">Rosetta Genomics Ltd is a
biotechnology company focused
on diagnostic and therapeutic
product development and
medical research involving
micro-ribonucleic acid,
commonly known as microRNA
focusing primarily on cancer
and various women's health
indications. The Company was
founded in March 2000 and is
located in Rehovot, Israel.
Rabin Medical Center, owns and
operates medical hospital. The
company is headquartered in
Israel.</t>
  </si>
  <si>
    <t xml:space="preserve">ROSETTA GENOMICS LTD/RABIN MEDICAL CENTER-STRATEGIC ALLIANCE</t>
  </si>
  <si>
    <t xml:space="preserve">Rosetta Genomics Ltd and Rabin Medical Center formed a strategic alliance
to provide research and development services of microRNA-based diagnostics
in the fields of oncology, gynecology and obstetrics in Israel.</t>
  </si>
  <si>
    <t xml:space="preserve">M82183
83705Y</t>
  </si>
  <si>
    <t xml:space="preserve">WuXi PharmaTech(Cayman)Inc
Covance Inc</t>
  </si>
  <si>
    <t xml:space="preserve">Manufacture pharmaceutical
Pvd medical research services</t>
  </si>
  <si>
    <t xml:space="preserve">WuXi PharmaTech (Cayman) Inc,
based in Shanghai, China, is a
pharmaceutical manufacturing,
biotechnology, and medical
device R&amp;D outsourcing
company. Its core lab services
business offers research and
development, discovery
chemistry, service biology,
and pharmaceutical development
services. Its ancillary
manufacturing operations
mainly produce advanced
intermediate drugs and active
drug ingredients. The company
was founded in 2000.
Covance Inc, headquartered
in Princeton, New Jersey, is
a provider of medical
research services, health
economics and outcomes
services for managed care
organizations, hospitals and
other healthcare providers,
and laboratory testing
services to the chemical,
agrochemical and food
industries. The operations
of the group are carried out
through two segments. The
late-stage development
services segment includes
central laboratory, clinical
development,
commercialization and other
clinical support services.
The early development
services segment includes
preclinical and phase I
clinical service
capabilities. The operations
of this segment involve
evaluating a new compound
for safety and early
effectiveness as well as
evaluating the absorption,
distribution, metabolism and
excretion of the compound in
the human body. It has
global operations in more
than 30 countries. The
company was founded in 1997.</t>
  </si>
  <si>
    <t xml:space="preserve">WUXI PHARMATECH(CAYMAN)INC/COVANCE INC-JOINT VENTURE</t>
  </si>
  <si>
    <t xml:space="preserve">WuXi PharmaTech (Cayman) Inc and Covance Inc (CI) terminated their plans to
form a joint venture (JV) in October 2008 when CI decided to build its owns
preclinical facility in China. Originally in June 2008, the partners
planned to form a joint venture (JV) to provide clinical drug research and
development services of GLP toxicology, drug metabolism and bioanalytical
chemistry in China. The partners were to each hold a 50% interest in the
JV. The JV was to be based in Suzhou.</t>
  </si>
  <si>
    <t xml:space="preserve">929352
222816</t>
  </si>
  <si>
    <t xml:space="preserve">Tokyo Electric Power Co Inc
Petrobras</t>
  </si>
  <si>
    <t xml:space="preserve">Electric utility company
Oil,gas exploration,production</t>
  </si>
  <si>
    <t xml:space="preserve">Tokyo Electric Power Co Inc
{TEPCO}, headquartered in
Tokyo, Japan, is an electric
power supplier engaged in
five business segments. The
Electric segment generates
electricity and provides its
energy to the Kanto, eastern
Fuji River areas of
Yamanashi and Shizuoka
Prefectures. The Information
and Communications segment
is engaged in the
telecommunication, cable
television broadcasting and
information communication
facility construction and
maintenance businesses, as
well as the provision of
information software and
services. The Energy
Environmental segment is
engaged in the construction
and maintenance of its
facilities, the supply and
transportation of fuel
products and materials, as
energy and environment
solutions. The Living
Environment and
Living-related segment is
involved in the provision of
real estate and
living-related services. The
Overseas segment is involved
in the investment and the
power generating business.
The company was founded in
1951.
Petroleo Brasileiro SA,
headquartered in Rio de
Janeiro, Brazil, is an oil
and gas exploration and
production company that is
also engaged in the
distribution, import and
export of oil, gas, energy
and its by-products. It
deals with oil refineries,
production of crude oil, and
natural gas and generation
of energy. Its products
include gasoline, diesel,
base oil, LPG, natural gas,
kerosene, solvents,
paraffin, fertilizers,
sulfur and aviation fuels.
In 2008, the group had 109
production units and 5,998
service stations all over
Brazil. It operates in 27
countries with 4 continents.
The company was founded in
1953.</t>
  </si>
  <si>
    <t xml:space="preserve">4911
1311</t>
  </si>
  <si>
    <t xml:space="preserve">Japan
Brazil</t>
  </si>
  <si>
    <t xml:space="preserve">TOKYO ELECTRIC POWER CO INC/PETROLEO BRASILEIRO SA-STRATEGIC ALLIANCE</t>
  </si>
  <si>
    <t xml:space="preserve">Tokyo Electric Power Co Inc and Brazilian state-owned Petroleo Brasileiro
SA {Petrobras} formed a strategic alliance to provide bioethanol-fueled
power generation research services.</t>
  </si>
  <si>
    <t xml:space="preserve">889107
71654V</t>
  </si>
  <si>
    <t xml:space="preserve">Sinofert Holdings Ltd
Yara International ASA</t>
  </si>
  <si>
    <t xml:space="preserve">Mnfr,whl fertilizers
Nitrogenous Fertilizer Manufacturing</t>
  </si>
  <si>
    <t xml:space="preserve">Sinofert Holdings Ltd is a
manufacturer of nitrogenous
fertilizers. The Company was
founded in May 1994 and is
located in Wanchai, Hong
Kong.
Yara International ASA,
manufactures and wholesales
fertilizers and chemicals.
Its portfolio ranges from
single nutrient fertilizers
to complex compound and
micronutrients for feeding
plants. It also provides
industrial solutions
containing products and
integrated solutions for
optimizing industrial
processes, water treatment
and preventing air
pollution. It is also a
holding company. The Company
was founded in 1900 and is
located in Oslo, Norway.</t>
  </si>
  <si>
    <t xml:space="preserve">2873
2873</t>
  </si>
  <si>
    <t xml:space="preserve">Hong Kong
Norway</t>
  </si>
  <si>
    <t xml:space="preserve">Sinochem Group
Yara International ASA</t>
  </si>
  <si>
    <t xml:space="preserve">China
Norway</t>
  </si>
  <si>
    <t xml:space="preserve">1311
2873</t>
  </si>
  <si>
    <t xml:space="preserve">SINOFERT HOLDINGS LTD(WAS 82907L)/YARA INTERNATIONAL ASA(WAS 65648K)-JOINT
VENTURE</t>
  </si>
  <si>
    <t xml:space="preserve">Sinofert Holdings Ltd, a unit of Chinese state-owned Sinochem Corp's
Sinochem Hong Kong (Group) Co Ltd subsidiary, and Yara Internationsal ASA
planned to form a joint venture (JV) to provide denitrification research
services in China. The JV was to utilize urea or hartshorn as the catalyst
to reduce the nitrogen oxides emitted from diesel engines, power
generators, and other heavy industrial equipment.</t>
  </si>
  <si>
    <t xml:space="preserve">G8403G
984851</t>
  </si>
  <si>
    <t xml:space="preserve">BioLayer Corp Ltd
POWMRI</t>
  </si>
  <si>
    <t xml:space="preserve">Mnfr biomimetic polymers
Pvd research,dvlp svcs</t>
  </si>
  <si>
    <t xml:space="preserve">BioLayer Corp Ltd, located
in Eight Mile Plains,
Queensland, Australia,
manufactures and develops
novel, high-value,
biomimetic polymers for
research and clinical
diagnostics immunoassays,
bioseparations, drug
delivery and medical
devices.
Prince of Wales Medical
Research Institute, located in
Randwick, Australia, provides
research and development
services in the brain and
nervous system.</t>
  </si>
  <si>
    <t xml:space="preserve">BIOLAYER CORP LTD/PRUNCE OF WALES MEDICAL RESEARCH-STRATEGIC ALLIANCE</t>
  </si>
  <si>
    <t xml:space="preserve">BioLayer Corp Ltd (BL) and Prince of Wales Medical Research Institute (PW)
formed a strategic alliance to provide assay development services and other
diagnostic tools relating to the early detection of neurodegenerative
disease, including Parkinson's Disease in the Australia. PW was expected to
grant BL an option for an exclusive license to develop existing PW
intellectual property and to collaborate on further research and
development, and the development of a marketable assay and other diagnostic
tools.</t>
  </si>
  <si>
    <t xml:space="preserve">09128E
75485J</t>
  </si>
  <si>
    <t xml:space="preserve">Gazprom
VNG-Verbundnetz Gas AG</t>
  </si>
  <si>
    <t xml:space="preserve">Oil,gas exploration,prodn co
Gas utility</t>
  </si>
  <si>
    <t xml:space="preserve">OAO "Gazprom", located in
Moscow, Russian Federation, is
a holding company engaged in
oil and gas exploration and
production and focused on
geological exploration,
production, transportation,
storage, processing and
marketing of gas and other
hydrocarbons. The company was
founded in February 1993.
VNG-Verbundnetz Gas AG,
based in Leipzig, Germany,
is a gas utility company
with a transmission and
distribution network
featuring extensive
underground storage
facilities. The Company was
founded in June 1990.</t>
  </si>
  <si>
    <t xml:space="preserve">1311
4922</t>
  </si>
  <si>
    <t xml:space="preserve">OAO GAZPROM/VNG VERBUNDNETZ GAS AG-STRATEGIC ALLIANCE</t>
  </si>
  <si>
    <t xml:space="preserve">Russian state-owned OAO Gazprom and VNG Verbundnetz Gas AG formed a
strategic alliance to provide research and development services in the area
of gas transmission, distribution, utilization, and anti-corrosion
protection of gas pipelines, as well as energy conservation globally.</t>
  </si>
  <si>
    <t xml:space="preserve">36828E
92371K</t>
  </si>
  <si>
    <t xml:space="preserve">Lonza Group Ltd
Osiris Therapeutics Inc</t>
  </si>
  <si>
    <t xml:space="preserve">Biopharmaceutical company
Biotechnology company</t>
  </si>
  <si>
    <t xml:space="preserve">Lonza Group Ltd, located in
Basel, Switzerland, is a
biopharmaceutical company
that manufactures and
develops active ingredients,
peptides, amino acids and
other chemical and biotech
ingredients for the
nutrition, hygiene,
preservation, agro and
personal care markets. The
Company was founded in 1897.
Osiris Therapeutics Inc,
located in Columbia,
Maryland, is a biotechnology
company focused on
developing and marketing
products to treat medical
conditions in the
inflammatory, orthopedic and
cardiovascular areas. It
currently markets and sells
Osteocel for regenerating
bone in orthopedic
indications which includes
Grafix product line,
Stravix, BIO4 and Cartiform.
Its lead biologic drug
candidate, Prochymal, for
the treatment of
inflammatory disease, is the
only stem cell therapeutic
for which patients are being
enrolled in phase iii
clinical trial. The Company
was founded in 2002.</t>
  </si>
  <si>
    <t xml:space="preserve">LONZA LTD(DNU)/OSIRIS THERAPEUTICS INC- STRATEGIC ALLIANCE</t>
  </si>
  <si>
    <t xml:space="preserve">Lonza Group Ltd and Osiris Therapeutics Inc formed a strategic alliance to
manufacture and develop Prochymal adult stem cell therapy product in the
United States.</t>
  </si>
  <si>
    <t xml:space="preserve">54338V
68827R</t>
  </si>
  <si>
    <t xml:space="preserve">Showa Shell Sekiyu KK
Ulvac Inc</t>
  </si>
  <si>
    <t xml:space="preserve">Crude Petroleum and Natural Gas Extraction
Mnfr,whl pumps,vacuum</t>
  </si>
  <si>
    <t xml:space="preserve">Showa Shell Sekiyu KK, based
in Tokyo, Japan, is an oil
company. The Company
operates in three business
segments. The Petroleum
segment is engaged in the
development and refinement
of oil, the manufacture of
oil and petrochemical
products, the
transportation, storage and
handling of crude oil and
petroleum products, as well
as the sale of gasoline,
liquefied petroleum (LP)
gas, kerosene, gas oil, fuel
oil, asphalt, lubricant and
chemicals. The Energy
Solution segment provides
solar cell modules and
electricity. The Others
segment is engaged in the
lease of real estates, the
construction work, the sale
of automobile related
products and dispersed power
businesses. The company was
founded in 1876.
ULVAC, Inc, located in
Kanagawa, Japan, mainly
engaged in the vacuum
machinery business. The Vacuum
Machinery segment provides
flat panel display (FDP)
manufacturing equipment,
photovoltaic (PV) product
semiconductor and electronic
part manufacturing equipment,
as well as components and
general industrial machinery,
including sputtering systems,
chemical vapor deposition
(CVD) systems, etching
systems, vacuum evaporation
systems and vacuum bonding
systems, among others. The
Vacuum Application segment
offers sputtering target
materials, vacuum evaporation
materials, titanium and
tantalum processing products,
surface treatment services,
Auger electron spectroscopy
analyzers, X-ray photoelectron
analyzers, secondary ion mass
spectroscopy analyzers,
various industrial machinery
control devices, high voltage
inverters, power source
converters and uninterruptible
power source devices. The
company was foudned in 1952.</t>
  </si>
  <si>
    <t xml:space="preserve">1311
3569</t>
  </si>
  <si>
    <t xml:space="preserve">SHOWA SHELL SEKIYU KK/ULVAC INC-STRATEGIC ALLIANCE</t>
  </si>
  <si>
    <t xml:space="preserve">Showa Shell Sekiyu KK and Ulvac Inc formed a strategic alliance to develop
and manufacture solar cells with 1,000 MW capacity in Japan. Under terms of
the agreement, the partners were expected to build a research facility
located in Atsugi, Kanagawa Prefecture, worth $66.143 mil US (7 bil
Japanese yen) to further leverage their production capacity of
semiconductor equipment and machinery made from copper and rare metals. The
facility was to be operational by March 2009.</t>
  </si>
  <si>
    <t xml:space="preserve">The partners were expected to build a research facility located in Atsugi,
Kanagawa Prefecture, worth $66.143 mil US (7 bil Japanese yen).</t>
  </si>
  <si>
    <t xml:space="preserve">J75390
J94048</t>
  </si>
  <si>
    <t xml:space="preserve">Patheon Inc
BSP Pharmaceuticals srl</t>
  </si>
  <si>
    <t xml:space="preserve">Manufacture pharmaceuticals
Mnfr,dvlp pharm</t>
  </si>
  <si>
    <t xml:space="preserve">Patheon Inc, headquartered in
Durham, North Carolina,
manufactures pharmaceutical
products for the
pharmaceutical and
biotechnology industries. The
company produces both
prescription and
over-the-counter drugs such as
compressed tablets, hard-shell
capsules, liquids and powders
filled in ampoules, vials,
bottles or pre-filled
syringes. The company was
founded in 1974.
BSP Pharmaceuticals Srl,
located in Latina Scalo,
Italy, manufactures and
develops pharmaceutical
products with cytotoxic
characteristics.</t>
  </si>
  <si>
    <t xml:space="preserve">JLL Partners Inc
BSP Pharmaceuticals srl</t>
  </si>
  <si>
    <t xml:space="preserve">PATHEON INC/BSP PHARMACEUTICALS SRL - STRATEGIC ALLIANCE</t>
  </si>
  <si>
    <t xml:space="preserve">Patheon Inc and BSP Pharmaceuticals Srl formed a strategic alliance to
manufacture and develop cytotoxic pharmaceutical products in Canada.</t>
  </si>
  <si>
    <t xml:space="preserve">70319W
06224C</t>
  </si>
  <si>
    <t xml:space="preserve">Institut de la Vision
Iris Pharma</t>
  </si>
  <si>
    <t xml:space="preserve">Pvd research,dvlp svcs
Pvd contract research svcs</t>
  </si>
  <si>
    <t xml:space="preserve">Institut de la Vision provides
research and development
services of ocular and
auditory diseases. The company
is headquartered in Nice,
France.
Iris Pharma, located in La
Gaude, France, provides
contract research services.
The company provides non
clinical research services in
ophthalmology. The company
also provides drug development
services to biotechnology and
pharmaceutical industries, and
research institutes. The
company was founded in 1989.</t>
  </si>
  <si>
    <t xml:space="preserve">INSTITUT DE LA VISION/IRIS PHARMA-STRATEGIC ALLIANCE</t>
  </si>
  <si>
    <t xml:space="preserve">Iris Pharma and Institut de la Vision formed a strategic alliance to
provide research and development services of therapeutic molecules intended
to fight blindness globally. the alliance was expected to offer
bio-analysis, pre-formulation, preclinical studies and services (proof of
concept studies, pilot studies, regulatory studies, applied research),
clinical trials (Phase I and IV and medico-marketing surveys) and strategic
consulting for eye problems.</t>
  </si>
  <si>
    <t xml:space="preserve">44717J
44735N</t>
  </si>
  <si>
    <t xml:space="preserve">Cellectis SA
Regeneron Pharmaceuticals Inc</t>
  </si>
  <si>
    <t xml:space="preserve">Biotechnology company
Mnfr,dvlp biopharm</t>
  </si>
  <si>
    <t xml:space="preserve">Cellectis SA, located in
Paris, France, is a
biotechnology company. The
company is involved in the
research, development and
commercialization of genome
engineering technologies
based upon naturally
occurring class of DNA end
nucleases, the Mega
nucleases and DNA
recombination. The company
was founded in 1999.
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t>
  </si>
  <si>
    <t xml:space="preserve">CELLECTIS SA/REGENERON PHARMACEUTICALS INC-STRATEGIC ALLIANCE</t>
  </si>
  <si>
    <t xml:space="preserve">Cellectis SA and Regeneron Pharmaceuticals Inc formed a strategic alliance
to provide research and development services of homologous recombination
for the generation of innovative human therapies, including the development
of fully human monoclonal antibodies globally.</t>
  </si>
  <si>
    <t xml:space="preserve">15117K
75886F</t>
  </si>
  <si>
    <t xml:space="preserve">Areva SA
ArcelorMittal SA</t>
  </si>
  <si>
    <t xml:space="preserve">Provide electric utility services
Steel Investment Foundries</t>
  </si>
  <si>
    <t xml:space="preserve">Areva SA, located in
Courbevoie, France, provides
electric utility services
via nuclear power plants
operations. Its principal
activity is to provide
solutions for carbon
dioxide-free power
generation and electricity
distribution. The Company's
business consists of uranium
ore exploration, mining,
conversion and enrichment.
It undertakes nuclear fuel
design and fabrication,
nuclear reactor design and
construction, as well as
treatment and recycling of
fuel, following its use in
nuclear power plants. It
also provides transmission
and distribution of medium
and high voltage electricity
and connectors. The Company
is also engaged in operating
wind electric power
generation facilities. The
group operates in Europe,
Asia/Pacific, Americas,
Africa and Middle East. It
was founded in 2001.
ArcelorMittal SA, located in
Luxembourg, Luxembourg,
manufactures and wholesales
steel products. It also
provides mining services. It
has another main office in
London, United Kingdom. Its
products and services
include slabs, flat steel,
automotive forgings,
machining bars for precision
engineering, wire rods,
coated steel products,
carbon steel, stainless
steel, tubes and pipes for
clients within the
automotive, construction,
household appliances,
packaging and oil and gas
industries. It has
operations in more than 22
countries in Europe, North
and South America, and
Africa. The Company was
founded in 1989.</t>
  </si>
  <si>
    <t xml:space="preserve">4911
3324</t>
  </si>
  <si>
    <t xml:space="preserve">France
ArcelorMittal SA</t>
  </si>
  <si>
    <t xml:space="preserve">999A
3324</t>
  </si>
  <si>
    <t xml:space="preserve">AREVA SA/ARCELOR MITTAL NV-STRATEGIC ALLIANCE</t>
  </si>
  <si>
    <t xml:space="preserve">Areva SA and Arcelor Mittal NV formed a 3-year strategic alliance to
provide metallurgy research and development at the Creusot Materials
Research Center in France. This partnership aimed to incrrease the
production and supply of forged nuclear parts for AREVA, via its subsidiary
Creusot Forge, and allow it to continue to develop the French nuclear
industry.</t>
  </si>
  <si>
    <t xml:space="preserve">04012G
03937E</t>
  </si>
  <si>
    <t xml:space="preserve">China Tech Dvlp Grp Corp
China Merchants Zhangzhou Dvlp</t>
  </si>
  <si>
    <t xml:space="preserve">Own,op solar power plants
Land Subdivision</t>
  </si>
  <si>
    <t xml:space="preserve">China Technology Development
Group Corp, located in Hong
Kong, is an owner and operator
of solar power plants. It was
founded in 1995.
China Merchants Zhangzhou
Development Zone Co Ltd is a
provider of land subdivision
services. The Company was
founded in October 1992 and
is located in Zhangzhou,
China.</t>
  </si>
  <si>
    <t xml:space="preserve">499A
6552</t>
  </si>
  <si>
    <t xml:space="preserve">China Tech Dvlp Grp Corp
China Merchants Group Ltd</t>
  </si>
  <si>
    <t xml:space="preserve">499A
4491</t>
  </si>
  <si>
    <t xml:space="preserve">CHINA TECHNOLOGY DEVELOPMENT/CHINA MERCHANTS ZHANGZHOU
DEVELOPMENT-STRATEGIC ALLIANCE</t>
  </si>
  <si>
    <t xml:space="preserve">China Technology Development Corp, a unit of Beijing Holdings Ltd, and
China Merchants Zhangzhou Development Zone Co Ltd, a unit of China
Merchants Group Ltd, signed letter of intent to form a strategic alliance
to provide research and development services of solar thin-film technology
in China.</t>
  </si>
  <si>
    <t xml:space="preserve">G84384
17008K</t>
  </si>
  <si>
    <t xml:space="preserve">Beijing DMX Technologies Ltd
Ashcombe Technologies Inc</t>
  </si>
  <si>
    <t xml:space="preserve">Dvlp Internet software
Pvd digital media research svc</t>
  </si>
  <si>
    <t xml:space="preserve">Beijing DMX Technologies Ltd,
located in China, is an
Internet software developer,
headquartered in Beijing,
China.
Ashcombe Technologies Inc,
located in China, provides
digital media research
services.</t>
  </si>
  <si>
    <t xml:space="preserve">DMX Technologies Group Ltd
Ashcombe Technologies Inc</t>
  </si>
  <si>
    <t xml:space="preserve">BEIJING DMX TECHNOLOGIES LTD/ASHCOMBE TECHNOLOGIES INC-JOINT VENTURE</t>
  </si>
  <si>
    <t xml:space="preserve">Beijing DMX Technologies Ltd (BD), a unit of DMX Technologies Group Ltd,
and Ashcombe Technologies Inc planned to form a joint venture Beijing
Bangtian Information technology Co Ltd (BB) to provide digital media
research services in China. BD was to hold 55% interest in BB.</t>
  </si>
  <si>
    <t xml:space="preserve">07860V
04424N</t>
  </si>
  <si>
    <t xml:space="preserve">Actelion Ltd
GlaxoSmithKline PLC</t>
  </si>
  <si>
    <t xml:space="preserve">Mnfr,wholesale pharmaceuticals
Pharmaceutical Preparation Manufacturing</t>
  </si>
  <si>
    <t xml:space="preserve">Actelion Ltd, located in
Allschwil, Switzerland,
manufactures and wholesales
pharmaceuticals to treat and
prevent diseases related to
the endothelium. The Company
specializes in the field of
pulmonary arterial
hypertension (PAH), a chronic,
life-threatening disorder
characterized by abnormally
high blood pressure in the
arteries between the heart and
lungs. Its portfolio of PAH
treatments includes Opsumit
(macitentan), Tracleer
(bosentan), Uptravi
(selexipag), Veletri
(epoprostenol for injection)
and Ventavis (iloprost). It
has operative affiliates in
over 30 countries. The Company
was founded in December 1997.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</si>
  <si>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Switzerland
United Kingdom</t>
  </si>
  <si>
    <t xml:space="preserve">ACTELION LTD/GLAXOSMITHKLINE PLC- STRATEGIC ALLIANCE</t>
  </si>
  <si>
    <t xml:space="preserve">Actelion Ltd (AL) and GlaxoSmithKline PLC {GSK} formed a strategic alliance
to provide drug research and commercialization services worldwide excluding
Japan. Under terms of the agreement, GSK received exclusive worldwide
rights to co-develop and co-commercialise AL's almorexant, an orexin
receptor antagonist in phase III development with first-in-class potential
as a treatment for primary insomnia. AL was expected to continue to lead
the ongoing development programme and potential registration for almorexant
in the first indication, primary insomnia, with GSK contributing 40 per
cent of the costs. AL received an upfront payment of $147.5 mil US (73.9
mil British pounds/92.7 mil euros) and was eligible for additional
potential milestone payments of up to $408 mil US (256.58 mil euros/204.69
mil pounds) in regards to the successful development and approval of
almorexant in primary insomnia.</t>
  </si>
  <si>
    <t xml:space="preserve">Actelion Ltd received an upfront payment of $147.5 mil US (73.9 mil British
pounds/92.7 mil euros) and was eligible for additional potential milestone
payments of up to $408 mil US (256.58 mil euros/204.69 mil pounds) in
regards to the successful development and approval of almorexant in primary
insomnia.</t>
  </si>
  <si>
    <t xml:space="preserve">00516Q
37733W</t>
  </si>
  <si>
    <t xml:space="preserve">Immunomedics Inc
Nycomed Intl Mgmt GmbH</t>
  </si>
  <si>
    <t xml:space="preserve">Biopharm co
Manufacture pharmaceutical</t>
  </si>
  <si>
    <t xml:space="preserve">Immunomedics Inc, located in
Morris Plains, New Jersey,
is a biopharmaceutical
company that manufactures,
develops and markets
monoclonal antibody-based
products for the detection
and treatment of cancer,
autoimmune and other serious
diseases. The Group has
developed a number of
advanced technologies to
create humanized antibodies
that can be either alone in
unlabeled form, or
conjugated with radioactive
isotopes, chemotherapeutics
or toxins to create highly
targeted agents. The
Group's product candidates
and technologies are
protected by a portfolio of
intellectual property that
includes 108 issued patents
in the United States and 285
other issued patents
worldwide. The Group
currently markets Leukoscan
in the United States, Canada
and Europe.
Nycomed International
Management GmbH, located in
Zurich, Switzerland,
manufactures pharmaceutical
products. It focuses on
branded medicines in
gastroenterology,
respiratory and inflammatory
diseases, pain, osteoporosis
and tissue management. The
company was founded in 1874.</t>
  </si>
  <si>
    <t xml:space="preserve">IMMUNOMEDICS INC/NYCOMED INTERNATIONAL-STRATEGIC ALLIANCE</t>
  </si>
  <si>
    <t xml:space="preserve">Immunomedics Inc (II) and Nyvomed International Management GmbH (NI)
planned to form a strategic alliance wherein II licensed NI to manufacture,
develop and commercialize the subcutaneous formulation of vertuzumab for
the treatment of all non-cancer indications worldwide. The alliance was
subject to the Hart Scott Rodino Antitrust Improvements Act.</t>
  </si>
  <si>
    <t xml:space="preserve">452907
67224X</t>
  </si>
  <si>
    <t xml:space="preserve">Jubilant Biosys Ltd
Amgen Inc</t>
  </si>
  <si>
    <t xml:space="preserve">Jubilant Biosys Ltd, based in
Bangalore, India, provides
drug discovery services that
include pre-clinical, in-vivo
and formulation services such
as proprietary products,
exclusive synthesis, active
pharmaceutical ingredients,
sterile injectables (liquids
and lyophilized) products, and
non-steriles (ointments,
creams and liquids)
pharmaceuticals.. It
specializes in
multi-disciplines including
biology, chemistry, structural
biology, pharmacology,
molecular modeling,
crystallography and
information technology. The
company also develops and
distributes ePathArt,
eMolSign, TAS, Anti Bacterial
Database, Antibody database
and Phosphodiesterase
ChemBiobase web-based
software. It has operations in
USA, Europe and Japan. Founded
in 2001.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</si>
  <si>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Jubilant Organosys Ltd
Amgen Inc</t>
  </si>
  <si>
    <t xml:space="preserve">JUBILANT BIOSYS LTD/AMGEN INC-STRATEGIC ALLIANCE</t>
  </si>
  <si>
    <t xml:space="preserve">Jubilant Biosys Ltd, a unit of Jubilant Organosys Ltd, and Amgen Inc,
formed a 3-year strategic alliance to provide research and development
services of portfolio of novel drugs across multiple therapeutic areas in
India. Under terms of the agreement, the partners were expected to
collaborate in the pre-clinical and clinical development for multiple
projects such as proprietary products, exclusive synthesis, active
pharmaceutical ingredients, sterile injectables (liquids and lyophilized)
products, and non-steriles (ointments, creams and liquids) pharmaceuticals.
Financial terms were not disclosed.</t>
  </si>
  <si>
    <t xml:space="preserve">48119C
031162</t>
  </si>
  <si>
    <t xml:space="preserve">Lenzing AG
Weyerhaeuser Co Ltd</t>
  </si>
  <si>
    <t xml:space="preserve">Mnfr cellulose fibers;hldg co
Mnfr paper,forest products</t>
  </si>
  <si>
    <t xml:space="preserve">Lenzing AG, located in
Lenzing, Austria, manufactures
cellulose fibers. It has
locations in Germany, Austria,
the Czech Republic, the UK,
the US and Asia. The Company's
products include fibers made
of wood used for textile and
non-textile applications such
as garments, home textiles and
technical textiles. It
operates also as a holding
company. It was founded 1938.
Weyerhaeuser Co Ltd, located
in Vancouver, British
Columbia, manufactures paper
and forest products.</t>
  </si>
  <si>
    <t xml:space="preserve">2823
2421</t>
  </si>
  <si>
    <t xml:space="preserve">Austria
Canada</t>
  </si>
  <si>
    <t xml:space="preserve">Unicredit SpA
Weyerhaeuser Co Ltd</t>
  </si>
  <si>
    <t xml:space="preserve">6000
2421</t>
  </si>
  <si>
    <t xml:space="preserve">LENZING AG/WEYERHAEUSER CO LTD-STRATEGIC ALLIANCE</t>
  </si>
  <si>
    <t xml:space="preserve">Lenzing AG, a unit of B &amp; C Holding GmbH, and Weyerhaeuser Co Ltd, formed a
strategic alliance to provide research and development services of novel
lyocell-based nonwoven fabrics globally. The technology would provide an
alternative to petroleum-based materials in nonwoven products with raw
materials based on renewable wood fiber.</t>
  </si>
  <si>
    <t xml:space="preserve">52635A
962171</t>
  </si>
  <si>
    <t xml:space="preserve">AMT
St Jude Children's Research</t>
  </si>
  <si>
    <t xml:space="preserve">Develop therapeutic products
Pvd medical/health svcs</t>
  </si>
  <si>
    <t xml:space="preserve">Amsterdam Molecular
Therapeutics (AMT), located in
Amsterdam, the Netherlands,
develops therapeutic
biotechnology products. AMT
has a product pipeline of
several gene therapy products
in development for hemophilia
B, acute intermittent
porphyria, Parkinson's disease
and SanfilippoB. The company
was founded in 1998.
St Jude Children's Research
Hospital is a provider of
ambulatory health care
services. The Company is
located in Memphis,
Tennessee.</t>
  </si>
  <si>
    <t xml:space="preserve">2836
8099</t>
  </si>
  <si>
    <t xml:space="preserve">AMSTERDAM MOLECULAR THERAPEUTICS/ST JUDE CHILDREN'S RESEARCH
HOSPITAL-STRATEGIC ALLIANCE</t>
  </si>
  <si>
    <t xml:space="preserve">Amsterdam Molecular Therapeutics Holding NV and St Jude Children's Research
Hospital formed a strategic alliance to provide research and development
services of a gene therapy treatment for Hemophilia.</t>
  </si>
  <si>
    <t xml:space="preserve">60857C
79085M</t>
  </si>
  <si>
    <t xml:space="preserve">Mattson Technology Inc
Synopsys Inc</t>
  </si>
  <si>
    <t xml:space="preserve">Mnfr,whl semiconductor equip
Develops electronic design automation software</t>
  </si>
  <si>
    <t xml:space="preserve">Mattson Technology Inc,
located in Fremont,
California, designs,
manufactures, markets, and
globally supports
semiconductor wafer processing
equipment used in the
fabrication of integrated
circuits. It is a supplier of
dry strip, rapid thermal
processing (RTP) and etch
equipment to the global
semiconductor industry. The
company was founded in 1988.
Synopsys Inc, headquartered
in Mountain View,
California, develops
electronic design automation
(EDA) software for the
global electronics market.
It offers technology-leading
semiconductor design and
verification software
platforms and integrated
circuit manufacturing
software products to enable
the development and
production of complex
systems-on-chips. It
provides a broad portfolio
of consulting and design
services covering all
critical phases of the
system-on-chip (SoC)
development process. It also
provides intellectual
property and design services
to simplify the design
process. It offers a range
of professional services to
help customers, improve
their internal design
methodologies and design
services ranging from
specialized assistance to
turnkey design. It operates
in the United States,
Europe, Japan and Asia
Pacific and other countries.
The Company was founded in
1986.</t>
  </si>
  <si>
    <t xml:space="preserve">MATTSON TECHNOLOGY INC/SYNOPSYS INC-STRATEGIC ALLIANCE</t>
  </si>
  <si>
    <t xml:space="preserve">Mattson Technology Inc (MT) and Synopsys Inc (SI) formed a strategic
alliance to provide advanced TCAD process simulation development services
in the United States. The partners collaborated to offer calibrated process
models for flash annealing equipment used on the 45-nanometer (nm) node and
beyond. Through this collaboration, SI's Sentaurus Process models will be
calibrated to MT's Millios flash-assist Rapid Thermal Process (fRTP)
system.</t>
  </si>
  <si>
    <t xml:space="preserve">577223
871607</t>
  </si>
  <si>
    <t xml:space="preserve">Toyota Tsusho America Inc
Nippon Kayaku Co Ltd</t>
  </si>
  <si>
    <t xml:space="preserve">Domestic,intl whl trading co
Mnfr,whl chem</t>
  </si>
  <si>
    <t xml:space="preserve">Toyota Tsusho America Inc,
headquartered in the United
States, is a domestic and
international wholesale
trading company, trading
industrial products such as
steel and other metals,
chemicals and plastics, and
automobiles, consumer and food
products such as feed and
grain, automotive materials,
and textiles, and provides
services such as engineering
activities, logistics, and
metals processing.
Nippon Kayaku Co Ltd,
headquartered in Tokyo,
Japan, is engaged in the
manufacture and wholesale of
chemicals. The company is
involved in four business
segments. The functional
chemical segment
manufactures and sells
functional materials, such
as epoxy resin, ultraviolet
curable resin and
high-performance chemicals;
electronic information
materials, including seals
for liquid crystal displays
(LCDs), resin for optical
discs, pigment for inkjet
printers and films for
plasma displays; catalysts,
such as catalysts for
acrylic and methacrylic acid
manufacturing, as well as
coloring materials, such as
dyes and special coloring
materials for nonfibrous
products, among others.
Pharmaceutical segment
supplies pharmaceutical
products, drug substances,
medical intermediates and
diagnostic medicines, among
others. The safety systems
segment provides inflators
for airbags and micro gas
generators for seatbelt
pretensioners. The other
segment is engaged in the
manufacture and sale of
agricultural chemicals, as
well as the leasing of real
estate. The company was
founded in 1916.</t>
  </si>
  <si>
    <t xml:space="preserve">5099
2899</t>
  </si>
  <si>
    <t xml:space="preserve">KY
FF</t>
  </si>
  <si>
    <t xml:space="preserve">Toyota Tsusho Corp
Nippon Kayaku Co Ltd</t>
  </si>
  <si>
    <t xml:space="preserve">5051
2899</t>
  </si>
  <si>
    <t xml:space="preserve">TOYOTA TSUSHO AMERICA INC/NIPPON KAYAKU CO LTD-GLYCOMARK INC JOINT VENTURE</t>
  </si>
  <si>
    <t xml:space="preserve">GlycoMark Inc provides
research and development
services. The company is
headquartered in New York, New
York and with locations at the
Piedmont Triad Research Park
in Winston-Salem, North
Carolina. The Company develops
and commercializes novel
biomarkers for diabetes
diagnosis. Founded in 2008.</t>
  </si>
  <si>
    <t xml:space="preserve">Toyota Tsusho America Inc, a unit of Tyotoa Tsusho Corp, and Nippon Kayaku
Co Ltd formed a joint venture named GlycoMark Inc (GM) to provide research
and development services in the United States. GM was expected to develop
and commercialize novel biomarkers for diabetes diagnosis.</t>
  </si>
  <si>
    <t xml:space="preserve">37879Y</t>
  </si>
  <si>
    <t xml:space="preserve">89231A
65457N</t>
  </si>
  <si>
    <t xml:space="preserve">Trina Solar Ltd
Lisa Airplanes SA</t>
  </si>
  <si>
    <t xml:space="preserve">Mnfr solar power prod
Mnfr airplanes</t>
  </si>
  <si>
    <t xml:space="preserve">Trina Solar Ltd, located in
Changzhou, China,
manufacture semiconductors,
builds solar power stations,
manufactures solar-modules
that provide electric power
for residential, commercial,
industrial and other
applications worldwide.
Lisa Airplanes SA manufactures
airplanes. It provides
products and services in the
field of luxury leisure
aviation. The company offers
wings, hydrofoils, and
electrically powered flight.
Founded in 2002 and is based
in Chambery, France.</t>
  </si>
  <si>
    <t xml:space="preserve">3674
3721</t>
  </si>
  <si>
    <t xml:space="preserve">China
France</t>
  </si>
  <si>
    <t xml:space="preserve">TRINA SOLAR LTD/LISA AIRPLANES-STRATEGIC ALLIANCE</t>
  </si>
  <si>
    <t xml:space="preserve">Trina Solar Ltd and Lisa Airplanes SA formed a strategic alliance to
provide research and development services of solar and hydrogen powered
airplane in China. The partners were espected to develop 292
high-functioning photovoltaic cells for the assembly of this hybrid
airplane. The solar PV cells on the wings and horizontal tail of the plane
to supply sufficient energy to complete the fuel cell power for takeoff and
for on-board flight.</t>
  </si>
  <si>
    <t xml:space="preserve">89628E
53615K</t>
  </si>
  <si>
    <t xml:space="preserve">CCIHealth
Shi Consulting Inc</t>
  </si>
  <si>
    <t xml:space="preserve">Pvd medical/health svcs
Pvd consulting svcs</t>
  </si>
  <si>
    <t xml:space="preserve">Comprehensive Care
International, located in
Toronto, Canada, provides
medical and health services.
Shi Consulting Inc, located in
Toronto, Canada, provides life
sciences consulting services.
It works with government
leaders, research
organizations and businesses
ranging from Fortune 500
companies to innovative
start-ups, offering customized
solutions to meet the unique
needs of clients through all
stages of growth and
development.</t>
  </si>
  <si>
    <t xml:space="preserve">8099
8748</t>
  </si>
  <si>
    <t xml:space="preserve">COMPREHENSIVE CARE INTERNATIONAL/SHI CONSULTING INC-STRATEGIC ALLIANCE</t>
  </si>
  <si>
    <t xml:space="preserve">Comprehensive Care International and Shi Consulting Inc formed a strategic
alliance to provide effective research into clinical planning and design
services in Canada. Through the partnership, clients can access a complete
range of resources in clinical, functional and operational plans, human
resources, and information technology, as well as services in research
strategy, the implementation of research programs, and the development of
research infrastructure.</t>
  </si>
  <si>
    <t xml:space="preserve">20627T
86651M</t>
  </si>
  <si>
    <t xml:space="preserve">GeoVax Labs Inc
Vivalis SA</t>
  </si>
  <si>
    <t xml:space="preserve">Mnfr pharm
Biotech company</t>
  </si>
  <si>
    <t xml:space="preserve">GeoVax Labs Inc is a
manufacturer of
pharmaceutical preparation.
The company is engaged in
research and development
activities with a mission to
develop, license and
commercialize the
manufacture and sale of
human vaccines for diseases
caused by Human
Immunodeficiency Virus (HIV)
and other infectious agents.
The Company was founded in
1988 and is located in
Smyrna, Georgia.
Vivalis SA, located in
Saint-Herblain, France, is a
biotechnology company that
provides cell-based
solutions to the
pharmaceutical industry for
the manufacture of vaccines
and proteins, and developes
drugs for the prevention and
treatment of viral diseases.
It specializes in the field
of embryonic stem cells and
their use for practical
applications in human and
animal health. It
commercialized its
proprietary EB66 platform, a
series of documented cells
lines derived from chicken
and duck embryonic stem
cells. The company was
founded in 1999.</t>
  </si>
  <si>
    <t xml:space="preserve">GEOVAX LABS INC(WAS 238326)/VIVALIS PROMESSES-STRATEGIC ALLIANCE</t>
  </si>
  <si>
    <t xml:space="preserve">GeoVax Labs Inc and Vivalis Promesses formed a strategic alliance  to
provide research and development services of vaccines for diseases caused
by HIV-1 (Human Immunodeficiency Virus) and other infectious agents
globally. Terms were  not disclosed.</t>
  </si>
  <si>
    <t xml:space="preserve">373678
93035W</t>
  </si>
  <si>
    <t xml:space="preserve">General Electric Co
Mubadala Development Co PJSC</t>
  </si>
  <si>
    <t xml:space="preserve">Manufacture,wholesale power generation equipment
Sovereign Wealth Fund</t>
  </si>
  <si>
    <t xml:space="preserve">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
Mubadala Development Co PJSC
is a sovereign wealth fund.
The Company was founded in
October 2002 and is located
in Abu Dhabi, the United
Arab Emirates.</t>
  </si>
  <si>
    <t xml:space="preserve">3612
6722</t>
  </si>
  <si>
    <t xml:space="preserve">General Electric Co
United Arab Emirates</t>
  </si>
  <si>
    <t xml:space="preserve">3612
999A</t>
  </si>
  <si>
    <t xml:space="preserve">GENERAL ELECTRIC CO{GE}/MUBADALA DEVELOPMENT CO-STRATEGIC ALLIANCE</t>
  </si>
  <si>
    <t xml:space="preserve">Utd Arab Em</t>
  </si>
  <si>
    <t xml:space="preserve">Emirate state-owned Mubadala Development Co and General Electric Co {GE}
planned to form a strategic alliance to provide alternative energy research
and development services in the United Arab Emirates. The partners were to
develop new clean energy technologies as well as offer a new corporate
learning program for GE executives. Concurrently, MD and GE planned to form
a joint venture in Abu Dhabi to provide commercial finance services. Both
agreements were subject to negotiation of definitive agreements and receipt
of required regulatory approvals.</t>
  </si>
  <si>
    <t xml:space="preserve">369604
62463L</t>
  </si>
  <si>
    <t xml:space="preserve">PhenoPro
Oncodesign SA</t>
  </si>
  <si>
    <t xml:space="preserve">Pvd rmouse phenotyping svcs
Biotech co</t>
  </si>
  <si>
    <t xml:space="preserve">PhenoPro, located in Illkirch,
France, provides advance mouse
phenotypping-based
translational medicine tools
and expertise services to
improve biopharmaceutical drug
and discovery development
productivity and patient
access to safer drugs. The
company was founded in
September 2007.
Oncodesign SA, based in Dijon,
France, is a biotechnology
company focus in preclinical
and translational evaluation
of anti-cancer therapies. With
services ranging from rapid in
vitro and in vivo
proof-of-concept studies to
mechanistic and translational
studies. The company was
founded in 1995.</t>
  </si>
  <si>
    <t xml:space="preserve">PHENOPRO/ONCODESIGN-STRATEGIC ALLIANCE</t>
  </si>
  <si>
    <t xml:space="preserve">PhenoPro and Oncodesign SRL formed a strategic alliance to provide research
and development services of anti-cancer drugs in France. The partners were
expected to deliver a comprehensive characterization, including functional,
morphological and pharmacological phenotyping.</t>
  </si>
  <si>
    <t xml:space="preserve">71755R
68257Z</t>
  </si>
  <si>
    <t xml:space="preserve">Hitachi Ltd
General Electric Co</t>
  </si>
  <si>
    <t xml:space="preserve">Mnfr,whl electn equip
Pvd gas &amp; electric services</t>
  </si>
  <si>
    <t xml:space="preserve">Hitachi Limited is
manufacturing and
distributing electronic
equipment, based in Tokyo.
The Group's principal
activity is to manufacture
electronic and electrical
equipment. The operations
are carried out through the
following divisions: Power
and industrial systems;
Information and Telecom
Systems; Materials; Consumer
Products; Electronic
Devices; Financial Services
and Service/others. Power
and Industrial systems
division manufactures
nuclear, thermal and
hydroelectric power plants
and control equipment.
Information systems division
deals with system
integration, multi-purpose
computer and others.
Electronics division
manufactures computers,
audio/visual equipment and
development of software.
Materials division
manufactures synthetic resin
materials and products.
Consumer Products division
manufactures air
conditioners, household
appliances and audio/visual
products. Electronic Devices
semi-conductor equipment and
test and measurement
equipment. Services and
other division is engaged in
general trading and
transportation.
General Electric Co provides
gas and electric services,
based in Tokyo.</t>
  </si>
  <si>
    <t xml:space="preserve">3651
4931</t>
  </si>
  <si>
    <t xml:space="preserve">3651
3612</t>
  </si>
  <si>
    <t xml:space="preserve">HITACHI LTD/GENERAL ELECTRIC CO-STRATEGIC ALLIANCE</t>
  </si>
  <si>
    <t xml:space="preserve">Hitachi Ltd. and General Electric Co formed a strategic alliance to provide
research and development services of nuclear reactor in Japan. The alliance
was expected to design and develop compact boiling-water reactors with
power outputs of between 400,000 kilowatts to 600,000 kilowatts, as well as
600,000 kilowatts and 900,000 kilowatts advanced BWRs.</t>
  </si>
  <si>
    <t xml:space="preserve">433578
36876T</t>
  </si>
  <si>
    <t xml:space="preserve">ImmunoCellular Therapeutics
Antitope Ltd</t>
  </si>
  <si>
    <t xml:space="preserve">Mnfr diagnostic pharm
Biotechnology company</t>
  </si>
  <si>
    <t xml:space="preserve">ImmunoCellular Therapeutics
Ltd, headquartered in Los
Angeles, California, is a
manufacturer of diagnostic
pharmaceuticals. The company
develops pharmaceuticals for
the treatment of brain and
other cancers as well as
neurodegenerative disorders.
Spectral Molecular Imaging Inc
is the company's wholly owned
subsidiary.
Antitope Ltd, is a
biotechnology company
specializing in immunogenicity
testing and the engineering of
therapeutic
antibodies/proteins to reduce
immunogenicity headquartered
in Cambridge, UK.</t>
  </si>
  <si>
    <t xml:space="preserve">IMMUNOCELLULAR THERAPEUTICS LTD/ANTITOPE INC-STRATEGIC ALLIANCE</t>
  </si>
  <si>
    <t xml:space="preserve">ImmunoCellular Therapeutics Ltd and Antitope Ltd formed a strategic
alliance to pProvide research and development services of monoclonal
antibodies to detect dramatic disparities between cancer types in the
United States. The alliance was a strategic growth opportunity both for the
partners to leverage their research services and to further expand their
market coverage in the antibody engineering technologies.</t>
  </si>
  <si>
    <t xml:space="preserve">452536
48691N</t>
  </si>
  <si>
    <t xml:space="preserve">Oxford University
Emergent Biosolutions Inc</t>
  </si>
  <si>
    <t xml:space="preserve">Own,op college,university
Manufactures biopharmaceuticals</t>
  </si>
  <si>
    <t xml:space="preserve">Oxford University, owns and
operates a
college/university. The
college/university is
headquartered in Oxford,
United Kingdom.
Emergent Biosolutions Inc is
a manufacturer of
biopharmaceuticals. The
Company focuses on
immunobiotics which includes
vaccines and immune
globulins, that induce or
assist the body's immune
system to prevent or treat
disease. It also
manufactures and markets
BioThrax, also referred to
as anthrax vaccine. It has
offices across the United
States; Munich, Germany;
Wokingham, the United
Kingdom and Singapore. The
Company was founded in 1998
and is located in
Gaithersburg, Maryland.</t>
  </si>
  <si>
    <t xml:space="preserve">8221
2834</t>
  </si>
  <si>
    <t xml:space="preserve">OXFORD UNIVERSITY/EMERGENT BIOSOLUTIONS INC-JOINT VENTURE</t>
  </si>
  <si>
    <t xml:space="preserve">Oxford-Emergent Tuberculosis
Consortium Ltd, located in the
United Kingdom, provides
advanced tuberculosis vaccine
development services.</t>
  </si>
  <si>
    <t xml:space="preserve">Oxford University and Emergent BioSolutions Inc formed a joint venture
named Oxford-Emergent Tuberculosis Consortium Ltd (OE) to provide advanced
tuberculosis vaccine development services in the United Kingdom. OE was
expected to develop MVA85A, the advance vaccine candidate for the
prevention of tuberculosis.</t>
  </si>
  <si>
    <t xml:space="preserve">69142K</t>
  </si>
  <si>
    <t xml:space="preserve">69182Y
29089Q</t>
  </si>
  <si>
    <t xml:space="preserve">Dalian Ind Waste Treatment Co
Huaneng Xiaoyetian Cement Co</t>
  </si>
  <si>
    <t xml:space="preserve">Pvd waste treatment svcs
Mnfr cement</t>
  </si>
  <si>
    <t xml:space="preserve">Dalian Dongtai Industrial
Waste Treatment Co, located in
China, provides waste
treatment services.
Dalian Huaneng Xiaoyetian
Cement Co, located in China,
manufactures cement.</t>
  </si>
  <si>
    <t xml:space="preserve">China Industrial Waste Mgmt
Huaneng Xiaoyetian Cement Co</t>
  </si>
  <si>
    <t xml:space="preserve">DALIAN DONGTAI INDUSTRIAL WASTE/DALIAN HUANENG XIAOYETIAN- STRATEGIC
ALLIANCE</t>
  </si>
  <si>
    <t xml:space="preserve">Dalian Dongtai Industrial Waste Treatment Co, a unit of China Industrial
Waste Management Inc, and Dalian Huaneng Xiaoyetian Cement Co, formed a
strategic alliance to provide cement research and development services in
China. The companies were expected to cooperate on research and development
related to the production of cement using solid waste.</t>
  </si>
  <si>
    <t xml:space="preserve">23148T
23149F</t>
  </si>
  <si>
    <t xml:space="preserve">Mantra Venture Group Ltd
Northwind Ethanol Ltd</t>
  </si>
  <si>
    <t xml:space="preserve">Investment company
Mnfr ethanol</t>
  </si>
  <si>
    <t xml:space="preserve">Mantra Venture Group Ltd,
located in Surrey, British
Columbia, is an investment
company with focus on
renewable and low carbon
impact technologies. The
Company was founded in 2007.
Northwind Ethanol Ltd, located
in Vancouver, British
Columbia, manufactures
cellulosic ethanol.</t>
  </si>
  <si>
    <t xml:space="preserve">MANTRA VENTURE GROUP LTD/NORTHWIND ETHANOL LTD-JOINT VENTURE</t>
  </si>
  <si>
    <t xml:space="preserve">Mantra NextGen Power Inc,
located in Nevada,
manufactures and develops
technologies in power
generation: Renewable Fuels
and the solar electricity for
specialty applications.
Founded in 2008.</t>
  </si>
  <si>
    <t xml:space="preserve">Mantra NextGen Power Inc (MN), a unit of Mantra Venture Group Ltd, and
Northwind Ethanol Ltd (NE) planned to form a joint venture named Mantra
NextGen Power Inc (MP) to manufacture and develop technologies in power
generation: Renewable Fuels and the solar electricity for specialty
applications in the United States. MN was to hold a 51% interest in MP
while NE was to hold a 49% stake. MP was to be formed through NE's
acquisition of stake in MP from MN.</t>
  </si>
  <si>
    <t xml:space="preserve">56464Z</t>
  </si>
  <si>
    <t xml:space="preserve">564656
66845W</t>
  </si>
  <si>
    <t xml:space="preserve">Cobra BioManufacturing PLC
Viromed Co Ltd</t>
  </si>
  <si>
    <t xml:space="preserve">Mnfr biopharm prod
Pvd Mnfr new biopharmaceuticals and reagents</t>
  </si>
  <si>
    <t xml:space="preserve">Cobra Biomanufacturing PLC,
based in Keele, UK,
manufactures biopharmaceutical
products. The company operates
two United Kingdom based
manufacturing facilities, one
located in Keele,
Staffordshire and the other in
Cowley, Oxfordshire.
ViroMed Co Ltd, located in
Seoul, South Korea, is a
provider and manufacturer of
new biopharmaceuticals and
reagents. The Company
produces
protein/deoxyribonucleic
acid (DNA)-based
biopharmaceuticals,
botanical drugs, natural
pharmaceuticals and others,
which are used for therapy
of various diseases,
including cardiovascular
diseases, such as peripheral
artery disease and coronary
artery disease; neuropathy
diseases, such as diabetic
peripheral neuropathy
disease; cancer, such as
breast cancer and
thrombocytopenia; arthritis,
such as osteoarthritis, and
allergy, such as atopic
dermatitis and muscular
fatigue. The company was
founded in 1996.</t>
  </si>
  <si>
    <t xml:space="preserve">United Kingdom
South Korea</t>
  </si>
  <si>
    <t xml:space="preserve">COBRA BIOMANUFACTURING PLC/VIROMED CO LTD-JOINT VENTURE</t>
  </si>
  <si>
    <t xml:space="preserve">Cobra BioManufacturing PLC and ViroMed Co Ltd, a unit of Takara Holdings
Corp, planned to form a joint venture (JV) to provide research and
development services of DNA and protein-based therapeutics in South Korea.
The JV was to provie technical consultancy agreement for all ViroMed
products for the treatment of tumours expressing Her2/neu.</t>
  </si>
  <si>
    <t xml:space="preserve">19103T
92882V</t>
  </si>
  <si>
    <t xml:space="preserve">General Automotive Co
Sencer Inc</t>
  </si>
  <si>
    <t xml:space="preserve">Mnfr automotive parts
Pvd ceramic composite dvlp</t>
  </si>
  <si>
    <t xml:space="preserve">General Automotive Co, located
in Orlando, Florida,
manufactures automotive parts,
mobile electronics and related
products.
Sencer Inc, located in Penn
Yan, New York, provides
ceramic composite materials
known as UltraTemp (TM),
research and development
services.</t>
  </si>
  <si>
    <t xml:space="preserve">3714
8731</t>
  </si>
  <si>
    <t xml:space="preserve">FL
NY</t>
  </si>
  <si>
    <t xml:space="preserve">GENERAL AUTOMOTIVE CO/SENCER INC-JOINT VENTURE</t>
  </si>
  <si>
    <t xml:space="preserve">Advanced Composite Technology
LLC, located in New York,
provides advanced fuel
technology research and
development services. The
company develops and markets
Ultra Temp(TM) ceramic
composite materials for
accelerating the development
of energy-efficient,
environmentally friendly fuel
cell technologies. The company
was founded in September 2008.</t>
  </si>
  <si>
    <t xml:space="preserve">General Automotive Co and Sencer Inc formed a joint venture named Advanced
Composite Technology LLC (ACT) to provide advanced fuel technology research
and development services in the United States. ACT was expected to develop
and market Ultra Temp(TM) ceramic composite materials for accelerating the
development of energy-efficient, environmentally friendly fuel cell
technologies.</t>
  </si>
  <si>
    <t xml:space="preserve">01355A</t>
  </si>
  <si>
    <t xml:space="preserve">36904K
20005C</t>
  </si>
  <si>
    <t xml:space="preserve">Nu Skin Enterprises Inc
Toyo Bio-Pharma</t>
  </si>
  <si>
    <t xml:space="preserve">Drugs and Druggists' Sundries Merchant Wholesalers
Mnfr supplements,natural food</t>
  </si>
  <si>
    <t xml:space="preserve">Nu Skin Enterprises Inc,
located in Provo, Utah,
wholesales personal care and
nutritional products. It
offers its products
primarily under the Nu Skin,
Pharmanex, and Big Planet
brands primarily through
independent distributors in
North Asia, the Americas,
South Asia Pacific, and
Europe. The Company was
founded in 1984.
Toyo Bio-Pharma, located in
Century City, California,
manufactures and sells
botanical dietary supplements
and natural food products such
as the young barley grass
juice.</t>
  </si>
  <si>
    <t xml:space="preserve">UT
CA</t>
  </si>
  <si>
    <t xml:space="preserve">Nu Skin Enterprises Inc
Toyo Shinyaku Co Ltd</t>
  </si>
  <si>
    <t xml:space="preserve">5122
2037</t>
  </si>
  <si>
    <t xml:space="preserve">NU SKIN ENTERPRISES INC/TOYO BIO PHARMA-NU TOYO RESEARCH JOINT VENTURE</t>
  </si>
  <si>
    <t xml:space="preserve">Nu Toyo Research Inc provides
research and development
services. The company is
headquartered in Utah. The
Company develops nutraceutical
and cosmeceutical products for
Nu Skin sales through its
worldwide distribution
network. Founded in 2008.</t>
  </si>
  <si>
    <t xml:space="preserve">Nu Skin Enterprises Inc and Toyo Bio-Pharma, a unit of Toyo Shinyaku Co
Ltd, formed a joint venture named Nu Toyo Research Inc (NT) to provide
research and development services in the United States. NT was expected to
develop nutraceutical and cosmeceutical products for Nu Skin sales through
its worldwide distribution network.</t>
  </si>
  <si>
    <t xml:space="preserve">67242V</t>
  </si>
  <si>
    <t xml:space="preserve">67018T
89313V</t>
  </si>
  <si>
    <t xml:space="preserve">City Developments Ltd
National Univ of Singapore</t>
  </si>
  <si>
    <t xml:space="preserve">Real estate development,investment firm
Own,op college,university</t>
  </si>
  <si>
    <t xml:space="preserve">City Developments Ltd,
headquartered in Singapore,
is engaged in real estate
development and investment,
hotel ownership and
management, facilities
management and hospitality
services. The Company owns
commercial properties in
Singapore including the
Republic Plaza, Central
Mall, Le Grove, New Tech
Plaza, Plaza-By-The-Park,
City House, Chinatown Point,
City Industrial Building,
Cideco Industrial Complex,
Citilink Warehousing Complex
and Delfi Orchard. The
Company also owns and
operates clubs and hotels in
East and Southeast Asia,
North America, Europe,
Australia and New Zealand.
It was founded in 1963.
National University of
located in
Singapore, owns and operates
college and university.</t>
  </si>
  <si>
    <t xml:space="preserve">6552
8221</t>
  </si>
  <si>
    <t xml:space="preserve">Hong Leong Group Singapore
National Univ of Singapore</t>
  </si>
  <si>
    <t xml:space="preserve">CITY DEVELOPMENTS LTD/NATIONAL UNIVERSITY OF SINGAPORE-STRATEGIC ALLIANCE</t>
  </si>
  <si>
    <t xml:space="preserve">City Developments Ltd, a unit of Hong Leong Investment Holdings Pte Ltd,
and National University of Singapore, formed a strategic alliance to
provide research and development services of environmental management in
Singapore. the alliance was expected to  develop innovative features and
solutions in the environmental aspects of property development, building
management and facilities management.</t>
  </si>
  <si>
    <t xml:space="preserve">177797
63838Q</t>
  </si>
  <si>
    <t xml:space="preserve">Abingdon Life Sciences Inc
Stason Pharmaceuticals Inc</t>
  </si>
  <si>
    <t xml:space="preserve">Abingdon Life Sciences Inc,
located in Carlsbad,
California, manufactures
pharmaceuticals. It represents
a new philosophy, a first in
class Drug Development
Management Organization (DDMO)
offering technical and
operational expertise in all
aspects of drug development
from strategic assistance with
candidate selection through
pre-clinical and clinical
portfolio development
incorporating guidance on the
strategy and minimum
requirements for new drug
applications including ANDAs
and 505(b)2 applications.
Stason Pharmaceuticals Inc,
located in Irvine,
California, manufactures
pharmaceuticals. It is a
cGMP contact development
organization that provides
complete turn-key drug
development solutions for
API, prototype and final
product, clinical supplies
for all phases and
commercial production and
distribution. The Company
was founded in 1994.</t>
  </si>
  <si>
    <t xml:space="preserve">ABINGDON LIFE SCIENCES INC/STATSON PHARMA-STRATEGIC ALLIANCE</t>
  </si>
  <si>
    <t xml:space="preserve">Abingdon Life Sciences Inc and Stason Pharmaceuticals Inc formed a
strategic alliance to provide clinical and regulatory services for
potential drug candidates and devices in the areas of cancer and
inflammation services in the United States.</t>
  </si>
  <si>
    <t xml:space="preserve">46839H
85578Q</t>
  </si>
  <si>
    <t xml:space="preserve">DuPont
Hexima Ltd</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</si>
  <si>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Hexima Ltd, located in
Melbourne, Australia, provides
agri technology research and
development services for the
protection and enhancement of
commercial crops.</t>
  </si>
  <si>
    <t xml:space="preserve">EI DU PONT DE NEMOURS &amp; CO/HEXIMA LTD-STRATEGIC ALLIANCE</t>
  </si>
  <si>
    <t xml:space="preserve">EI du Pont de Nemours &amp; Co and Hexima Ltd formed a strategic alliance to
provide research and development services. The partners developed and
marketed transgenic fungal disease resistance technology in corn, soybeans
and other crops.</t>
  </si>
  <si>
    <t xml:space="preserve">263534
69410T</t>
  </si>
  <si>
    <t xml:space="preserve">Clean Power Technologies Inc
East West Express Inc</t>
  </si>
  <si>
    <t xml:space="preserve">Dvlp steam hybrid tech
Trucking company</t>
  </si>
  <si>
    <t xml:space="preserve">Clean Power Technologies Inc,
headquartered in Calgary,
Canada, develops
petrol/gasoline and steam
hybrid technology for vehicles
in which the alternative,
auxiliary power is charged
with exhaust heat otherwise
dissipated in conventional
combustion engines and
regularly equivalent to
two-thirds of the energy in
the combusted fuel. The
company was founded in 2006.
East West Express Inc is a
trucking company. The company
is headquartered in Canada.</t>
  </si>
  <si>
    <t xml:space="preserve">8711
4213</t>
  </si>
  <si>
    <t xml:space="preserve">CLEAN POWER TECHNOLOGIES INC/EAST WEST EXPRESS INC-STRATEGIC ALLIANCE</t>
  </si>
  <si>
    <t xml:space="preserve">Clean Power Technologies Inc and East West Express Inc planned to form a
strategic alliance to provide vehicle emissions research and development
services in Canada. EW was to provide CP a Road Load Data Collection
Vehicle for the purpose of detailed research on its existing refrigerated
trailer fleet.</t>
  </si>
  <si>
    <t xml:space="preserve">18459W
27581K</t>
  </si>
  <si>
    <t xml:space="preserve">Standard &amp; Poors Corp
Shanghai Brilliance Credit</t>
  </si>
  <si>
    <t xml:space="preserve">Publish financial market information
Pvd credit rating svcs</t>
  </si>
  <si>
    <t xml:space="preserve">Standard &amp; Poors Corp, based
in New York, New York,
publishes financial market
information, including general
financial, investment,
economic and marketing
information. The company
provides independent credit
ratings, indices, risk
evaluation, investment
research and data. Founded in
1860, the company has
locations in 23 countries.
Shanghai Brilliance Credit
Rating &amp; Investors Service Co
Ltd, located in Shanghai,
China, provides credit rating
services for Bond Rating,
Corporate Rating, Property
Rating, Credit Management for
companies etc. The company was
founded in 1992.</t>
  </si>
  <si>
    <t xml:space="preserve">2721
6211</t>
  </si>
  <si>
    <t xml:space="preserve">McGraw-Hill Cos Inc
Shanghai Brilliance Credit</t>
  </si>
  <si>
    <t xml:space="preserve">2731
6211</t>
  </si>
  <si>
    <t xml:space="preserve">STANDARD &amp; POORS CORP/SHANGHAI BRILLIANCE CREDIT-STRATEGIC ALLIANCE</t>
  </si>
  <si>
    <t xml:space="preserve">Standard &amp; Poors Corp, a unit of McGraw-Hill Cos Inc, and Shanghai
Brilliance Credit Rating &amp; Investors Service Co Ltd, formed a strategic
alliance to provide joint research projects services, training and sharing
of credit rating expertise in China.</t>
  </si>
  <si>
    <t xml:space="preserve">Research &amp; Development Services
Financial Services</t>
  </si>
  <si>
    <t xml:space="preserve">85300Q
81546L</t>
  </si>
  <si>
    <t xml:space="preserve">E I DU PONT DE NEMOURS &amp; CO(DNU)/HEXIMA LTD-STRATEGIC ALLIANCE</t>
  </si>
  <si>
    <t xml:space="preserve">Hexima Ltd and DuPont formed a strategic alliance to provide research and
development services of anti-fungal protein assets for the treatment of
transgenic fungal disease in Australia. The alliance was a strategic growth
opportunity both for the partners to leverage their fungal disease
resistance technology services and to further expand their market coverage
in the region.</t>
  </si>
  <si>
    <t xml:space="preserve">Meda AB
Valeant Pharmaceuticals Intl</t>
  </si>
  <si>
    <t xml:space="preserve">Manufacture,wholesale pharmaceutical products
Manufacture,wholesale specialty pharm prod</t>
  </si>
  <si>
    <t xml:space="preserve">Meda AB, located in Solna,
Sweden, manufactures and
wholesales pharmaceutical
products. The Company's
product categories include:
Branded Generics, which are
non-patented prescription
pharmaceuticals with brand
names, Specialty Products,
which are original
prescription pharmaceuticals
and specialty products, OTC,
which are over-the-counter
products, and other Sales,
such as revenue from
med-tech products and income
not related to products.
Medas therapy areas are
respiratory, dermatology,
cardiology, pain and
inflammation, and central
nervous system (CNS). Sales
and marketing activities are
carried out through agents
in countries where Meda has
no representation. In
October 2013, the Company
acquired Acton
Pharmaceuticals Inc and its
product, Aerospan.
Valeant Pharmaceuticals
International Inc,
headquartered in Bridgewater,
New Jersey, is a manufacturer
and wholesaler of specialty
pharmaceutical products. Its
brands include Mestinon,
Tasmar, Virazole, Dermatix and
Kinerase, focusing in the
neurology and dermatology
therapeutic areas, while also
producing branded generics,
and consumer and cosmeceutical
products. The company was
founded on 1960.</t>
  </si>
  <si>
    <t xml:space="preserve">MEDA AB/VALEANT PHARMACEUTICALS INTERNATIONAL-JOINT VENTURE</t>
  </si>
  <si>
    <t xml:space="preserve">Meda AB and Valeant Pharmaceuticals International Inc planned to form a
joint venture (JV) to manufacture, develop, market, distribute and
commercialize certain current and future therapeutic products such as
Sublinox, a treatment for insomnia, and flupertine, a pain treatment in
Australia. The JV was to be responsible with the regulatory filings and
management of new medicinal products. Concurrently, the partners were to
also create a JV in Canada and Mexico, thus to leverage further their
operations and market shares in the pharmaceutical industry.
</t>
  </si>
  <si>
    <t xml:space="preserve">58390T
91911X</t>
  </si>
  <si>
    <t xml:space="preserve">Mitsubishi Motors Corp
Pacific Gas &amp; Electric Co</t>
  </si>
  <si>
    <t xml:space="preserve">Mnfr,whl automobiles
Provide electric utility svcs</t>
  </si>
  <si>
    <t xml:space="preserve">Mitsubishi Motors Corp,
headquartered in Tokyo,
Japan, is an automobile
manufacturer. The company,
along with its subsidiaries
and associated companies, is
engaged in the development,
production and sale of
general and small-sized
passenger vehicles,
mini-vehicles, sport utility
vehicles (SUVs), vans,
trucks and automobile parts,
as well as the checking and
maintenance of new vehicles.
In addition, the company is
also engaged in the
financing business including
automobile sales financing
and leasing. It was founded
in 1970.
Pacific Gas &amp; Electric Co,
located in San Francisco,
California, provides electric
utility services. The company
provides natural gas and
electric service to 15 million
people throughout a
70,000-square-mile service
area with 123,054 circuit
miles of electric distribution
lines and 18,610 circuit miles
of interconnected transmission
lines, and 40,123 miles of
natural gas distribution
pipelines and 6,136 miles of
transportation pipelines. The
company was founded in 1905.</t>
  </si>
  <si>
    <t xml:space="preserve">Mitsubishi Motors Corp
PG&amp;E Corp</t>
  </si>
  <si>
    <t xml:space="preserve">3711
4931</t>
  </si>
  <si>
    <t xml:space="preserve">MITSUBISHI MOTOR CORP/PACIFIC GAS &amp; ELECTRIC CO-STRATEGIC ALLIANCE</t>
  </si>
  <si>
    <t xml:space="preserve">Mitsubishi Motors Corp and Pacific Gas &amp; Electric Co, a unit of PG &amp; E
Corp, signed a letter of intent to form a strategic alliance to provide
zero-emissions i MiEV electric vehicle for research and demonstration
services.</t>
  </si>
  <si>
    <t xml:space="preserve">J44131
694308</t>
  </si>
  <si>
    <t xml:space="preserve">MEDA AB/VALEANT PHARMACEUTICALS-JOINT VENTURE</t>
  </si>
  <si>
    <t xml:space="preserve">Meda AB and Valeant Pharmaceuticals International Inc planned to form a
joint venture (JV) to manufacture, develop, market, distribute and
commercialize certain current and future therapeutic products such as
Sublinox, a treatment for insomnia, and flupertine, a pain treatment in
Canada. The JV was to be responsible with the regulatory filings and
management of new medicinal products. Concurrently, the partners were to
also create a JV in Australia and Mexico, thus to leverage further their
operations and market shares in the pharmaceutical industry.</t>
  </si>
  <si>
    <t xml:space="preserve">Mexico</t>
  </si>
  <si>
    <t xml:space="preserve">Meda AB and Valeant Pharmaceuticals International Inc planned to form a
joint venture (JV) to manufacture, develop, market, distribute and
commercialize certain current and future therapeutic products such as
Sublinox, a treatment for insomnia, and flupertine, a pain treatment in
Mexico. The JV was to be responsible with the regulatory filings and
management of new medicinal products. Concurrently, the partners were to
also create a JV in Australia and Canada, thus to leverage further their
operations and market shares in the pharmaceutical industry.</t>
  </si>
  <si>
    <t xml:space="preserve">Sonus Pharmaceuticals Inc
Bayer HealthCare LLC</t>
  </si>
  <si>
    <t xml:space="preserve">Sonus Pharmaceuticals Inc,
located in Bothell,
Washington, manufactures and
wholesales prescription
pharmaceuticals intended for
final consumption, including
biotech products and
antibiotics. The company
also provides research and
development services of
oncology drugs for the
treatment of cancer
primarily in the United
States. The company was
founded in 1991.
Bayer HealthCare LLC, located
in Tarrytown, New York, is a
biotechnology company focused
on medical care. Its business
is comprised of blood glucose
meters, contrast-enhanced
diagnostic imaging equipment
together with the necessary
contrast agents, and
mechanical systems for
treating constricted or
blocked blood vessels. The
company was founded in 2002.</t>
  </si>
  <si>
    <t xml:space="preserve">Sonus Pharmaceuticals Inc
Bayer AG</t>
  </si>
  <si>
    <t xml:space="preserve">SONUS PHARMACEUTICALS INC/BAYER HEALTHCARE LLC-STRATEGIC ALLIANCE</t>
  </si>
  <si>
    <t xml:space="preserve">Sonus Pharmaceuticals Inc (SP) and Bayer HealthCare LLC (BH), a unit of
Bayer AG's Bayer Healthcare AG subsidiary, formed a strategic alliance
wherein BH exclusively licensed SP to develop its family of compounds known
as caspase activators targeted for all prophylactic and therapeutic uses in
humans in the United States. BH receives an upfront license fee of $0.45
mil US, milestone payments, and royalties on sales of any compounds
successfully commercialized upon FDA approval. Specific financial terms on
milestone payments and royalties were not disclosed.</t>
  </si>
  <si>
    <t xml:space="preserve">Bayer HealthCare LLC received an upfront license fee of $0.45 mil US,
milestone payments, and royalties on sales of any compounds successfully
commercialized upon FDA approval. Specific financial terms on milestone
payments and royalties were not disclosed.</t>
  </si>
  <si>
    <t xml:space="preserve">835692
07289V</t>
  </si>
  <si>
    <t xml:space="preserve">Metabasis Therapeutics Inc
Roche Holdings AG</t>
  </si>
  <si>
    <t xml:space="preserve">Biopharm co
Manufactures, wholesales pharmaceuticals and medical instruments</t>
  </si>
  <si>
    <t xml:space="preserve">Metabasis Therapeutics Inc,
located in La Jolla,
Caslifornia, is a
biopharmaceutical company
focused on the discovery,
development and
commercialization of novel
small molecule drugs
principally to treat metabolic
and liver diseases. Its
product pipeline includes
clinical-stage product
candidates and advanced
discovery programs for the
treatment of metabolic
diseases, such as diabetes and
hyperlipidemia. The Company
was founded in 1997.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</si>
  <si>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METABASIS THERAPEUTICS INC/ROCHE HOLDING AG-STRATEGIC ALLIANCE</t>
  </si>
  <si>
    <t xml:space="preserve">Metabasis Therapeutics Inc and Roche Holdings Ag formed a strategic
alliance to provide research and development services of antiviral
nucleosides for treatments of hepatitis C virus globally. The alliance was
a strategic investment opportunity both for the partners to leverage their
medical development services and to further expand their market and product
coverage worldwide.</t>
  </si>
  <si>
    <t xml:space="preserve">59101M
77119M</t>
  </si>
  <si>
    <t xml:space="preserve">Clean Power Technologies Inc
Voith Turbo GmbH &amp; Co KG</t>
  </si>
  <si>
    <t xml:space="preserve">Dvlp steam hybrid tech
Mnfr power transmission sys</t>
  </si>
  <si>
    <t xml:space="preserve">Clean Power Technologies Inc,
headquartered in Calgary,
Canada, develops
petrol/gasoline and steam
hybrid technology for vehicles
in which the alternative,
auxiliary power is charged
with exhaust heat otherwise
dissipated in conventional
combustion engines and
regularly equivalent to
two-thirds of the energy in
the combusted fuel. The
company was founded in 2006.
Voith Turbo GmbH &amp; Co KG,
located in Heidenheim,
Germany, manufactures and
wholesales power transmission
systems. It develops drive and
braking systems for industry,
rail, road and marine:
mechanical, hydrodynamic,
electrical and electronic
solutions that drive machines
efficiently, move vehicles
comfortably, save energy and
reduce emissions. It was
founded in 1956.</t>
  </si>
  <si>
    <t xml:space="preserve">8711
3568</t>
  </si>
  <si>
    <t xml:space="preserve">Clean Power Technologies Inc
Voith GmbH</t>
  </si>
  <si>
    <t xml:space="preserve">8711
3554</t>
  </si>
  <si>
    <t xml:space="preserve">CLEAN POWER TECHNOLOGIES INC/VOITH TURBO GMBH &amp; CO KG-STRATEGIC ALLIANCE</t>
  </si>
  <si>
    <t xml:space="preserve">Clean Power Technologies Inc (CP) and Voith Turbo GmbH &amp; Co KG, a unit of
Voith AG, formed a strategic alliance to provide research and development
services on steam and heat energy recovery engines for refrigeration
trailers for the grocery markets. The companies will analyze data from the
testing of an existing refrigeration engine, and results from which will be
used to build and test a new engine that incorporates CP's heat recovery
technology.</t>
  </si>
  <si>
    <t xml:space="preserve">18459W
92863M</t>
  </si>
  <si>
    <t xml:space="preserve">K-V Pharmaceutical Co
Acrux Ltd</t>
  </si>
  <si>
    <t xml:space="preserve">Mnfr,whl pharm products
Mnfr,whl pharm</t>
  </si>
  <si>
    <t xml:space="preserve">KV Pharmaceutical Co, located
in St. Louis, Missouri, is an
integrated specialty
pharmaceutical company that
develops, manufactures,
acquires and markets branded
and generic/non-branded
prescription pharmaceutical
products. It focuses on
women's health care products.
It markets Evamist, a
transdermal estrogen therapy
delivering a low dose of
estradiol in a once-daily
spray indicated for the
treatment of
moderate-to-severe vasomotor
symptoms due to menopause.
Ther-Rx Corporation is the
company's marketing
subsidiary. The company was
founded in 1942.
Acrux Ltd, located in
Australia, manufactures and
sells pharmaceuticals
administered through
transdermal drug delivery
systems. Its product pipeline
includes treatment of hormonal
deficiencies, central nervous
system disorders,
contraception and
dermatological conditions.</t>
  </si>
  <si>
    <t xml:space="preserve">KV PHARMACEUTICAL CO/ACRUX LTD-STRATEGIC ALLIANCE</t>
  </si>
  <si>
    <t xml:space="preserve">KV Pharmaceutical Co (KP) and Acrux Ltd (AL) formed a strategic alliance
wherein AL licensed KP to develop its transdermal spray technology for
application in 6 additional products. The technology was further licensed
to KP to develop three novel  products for global markets. KP was expected
to fund all clinical development costs for  each product and AL was
expected to receive royalties on global sales plus milestone  payments.</t>
  </si>
  <si>
    <t xml:space="preserve">482740
52750P</t>
  </si>
  <si>
    <t xml:space="preserve">Tekmira Pharmaceuticals Corp
Bristol-Myers Squibb Co</t>
  </si>
  <si>
    <t xml:space="preserve">Mnfr biological prods
Manufactures pharmaceuticals and medical products</t>
  </si>
  <si>
    <t xml:space="preserve">Tekmira Pharmaceuticals
Corp, headquartered in
Burnaby, Canada manufactures
biological products
specifically "small
interfering RNAs" or
siRNA-based therapeutics to
bind disease-causing
proteins in the human
genome. It focuses on
working to exploit the
potential of RNAi mechanism
to treat disease. The
company is involved in
research for the further
development of its product,
the RNAi.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</si>
  <si>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TEKMIRA PHARMACEUTICALSCORP/BRISTOL MYERS CO-STRATEGIC ALLIANCE</t>
  </si>
  <si>
    <t xml:space="preserve">Tekmira Pharmaceuticals Corp and Bristol-Myers Squibb Co formed a strategic
alliance to provide RNAi research and development services. The alliance
was expected to use TP's SNALP technology to deliver small interfering RNAs
(siRNAs) to specific organs and tissues outside of the liver.
</t>
  </si>
  <si>
    <t xml:space="preserve">87911B
110122</t>
  </si>
  <si>
    <t xml:space="preserve">G4G Resources Ltd
University of Witwatersrand</t>
  </si>
  <si>
    <t xml:space="preserve">Iron ore,gold mining company
Own,op college,university</t>
  </si>
  <si>
    <t xml:space="preserve">G4G Resources Ltd, located
in Vancouver, British
Columbia, is an iron ore,
gold and silver mining
company engaged in the
acquisition, exploration and
development of mineral
properties in Canada. It
holds a 100% interest in 40
mineral claims known as the
Macktush Dauntless and MC
properties and a 100%
interest in 19 mineral
claims known as the Cameron
Valley property. The company
was founded in 1987.
University of Witwatersrand,
owns and operates a
college/university. The
college/university is
headquartered in Wit, South
Africa.</t>
  </si>
  <si>
    <t xml:space="preserve">1011
8221</t>
  </si>
  <si>
    <t xml:space="preserve">Canada
South Africa</t>
  </si>
  <si>
    <t xml:space="preserve">G4G RESOURCES LTD/UNIVERSITY OF WITWATERSRAND-JOINT VENTURE</t>
  </si>
  <si>
    <t xml:space="preserve">G4G Resources Ltd and University of Witwatersrand planned to form a joint
venture (JV) to provide syngas to liquid production process services in
South Africa. The parties were to work together to market Gas-To-Liquid
production process using the Fischer Tropsch (FT) technology developed by
Center of Materials and Process Synthesis (COMPS), secure and develop in
house natural gas, coal, biomass and municipal waste assets using COMPS
technology, provide access to skills and personnel required to complete
projects and complete an exclusive definitive agreement for future projects
with Wits.</t>
  </si>
  <si>
    <t xml:space="preserve">37441T
91509X</t>
  </si>
  <si>
    <t xml:space="preserve">BN ImmunoTherapeutics Inc
National Cancer Inst</t>
  </si>
  <si>
    <t xml:space="preserve">Biotech co
Pvd med research svcs</t>
  </si>
  <si>
    <t xml:space="preserve">BN ImmunoTherapeutics Inc,
located in Mountain View,
California, is a biotechnology
company that is focused on the
research and development of
cancer vaccines. The company
was founded in 2005.
National Cancer Institute,
located in Bethesda,
Maryland, provides medical
research services.</t>
  </si>
  <si>
    <t xml:space="preserve">Bavarian Nordic A/S
National Institutes of Health</t>
  </si>
  <si>
    <t xml:space="preserve">BN IMMUNOTHERAPEUTIC INC/NATIONAL CANCER INSTITUTE- STRATEGIC ALLIANCE</t>
  </si>
  <si>
    <t xml:space="preserve">BN ImmunoTherapeutics Inc, a unit of Bavarian Nordic AS, and American
state-owned National Cancer Institute formed a strategic alliance to
provide research and development services in the United States. The
partners collaborated to develop new immunotherapies for the treatment of
prostate cancer.</t>
  </si>
  <si>
    <t xml:space="preserve">09747Q
63306A</t>
  </si>
  <si>
    <t xml:space="preserve">febit Inc
TGen</t>
  </si>
  <si>
    <t xml:space="preserve">Mnfr DNA analysis tech
Pvd genomics research svcs</t>
  </si>
  <si>
    <t xml:space="preserve">febit Inc, located in
Lexington, Massachusetts,
manufactures and develops
innovative technologies for
DNA analysis.
Translational Genomics
Research Institute, located
in Phoenix, Arizona,
provides genomics research
services developing earlier
diagnostics and smarter
treatments. The company was
founded in 2002.</t>
  </si>
  <si>
    <t xml:space="preserve">MA
AZ</t>
  </si>
  <si>
    <t xml:space="preserve">FEBIT/TRANSLATIONAL GENOMICS RESEARCH INSTITUT-STRATEGIC ALLIANCE</t>
  </si>
  <si>
    <t xml:space="preserve">febit Inc (fI) and Translational Genomics Research Institute (TG) formed a
strategic alliance to provide new DNA capture method development services
in the United States. TG was expected to evaluate
Next-Generation-Sequencing equipment in conjunction with fi's proprietary
Geniom Microarray Technology.</t>
  </si>
  <si>
    <t xml:space="preserve">31310A
88996X</t>
  </si>
  <si>
    <t xml:space="preserve">NST NeuroSurvival Technologies
Ion Beam Applications SA</t>
  </si>
  <si>
    <t xml:space="preserve">Biotechnology company
Mnfr medical precision equip</t>
  </si>
  <si>
    <t xml:space="preserve">NST Neurosurgical Technologies
Ltd, located in Israel, is a
biotechnology drug development
company, focused on the
introduction of novel drugs
based on the identification
and targeting of cells
undergoing apoptosis
(programmed cell death).
Ion Beam Applications SA,
located in Louvain-La-Neuve,
Belgium, manufactures medical
precision equipment for cancer
diagnosis and treatment,
sterilization and ionization
for the hygiene and safety of
the customers. The company
products range from IBA
Molecular, Dosimetry, Advanced
Radio Therapy and Industrial.
It is founded in 1986.</t>
  </si>
  <si>
    <t xml:space="preserve">Israel
Belgium</t>
  </si>
  <si>
    <t xml:space="preserve">NST NEUROSURVIVAL TECHNOLOGIES LTD/BEAM APPLICATIONS SA- STRATEGIC
ALLIANCE</t>
  </si>
  <si>
    <t xml:space="preserve">NST NeuroSurvival Technologies Ltd and Ion Beam Applications SA formed a
strategic alliance to provide radioactive marker development services for
molecular imaging.</t>
  </si>
  <si>
    <t xml:space="preserve">67238X
46204T</t>
  </si>
  <si>
    <t xml:space="preserve">Goodman International Ltd
UK Atomic Energy Authority
STFC</t>
  </si>
  <si>
    <t xml:space="preserve">Investment holding company
Govt agency
Pvd research,dvlp svcs</t>
  </si>
  <si>
    <t xml:space="preserve">Goodman International Ltd is
an investment holding company,
headquartered in the United
kingdom.
UK Atomic Energy Authority,
located in Oxon, United
kingdom, is a government
agency.
Science &amp; Technology
Facilities Council, located in
the United Kingdom, provides
research and development
services.</t>
  </si>
  <si>
    <t xml:space="preserve">6719
999B
8731</t>
  </si>
  <si>
    <t xml:space="preserve">Goodman International Ltd
United Kingdom Of Great
STFC</t>
  </si>
  <si>
    <t xml:space="preserve">6719
999A
8731</t>
  </si>
  <si>
    <t xml:space="preserve">GOODMAN INTERNATIONAL LTD/UK ATOMIC ENERGY AUTHORITY/SCIENCE &amp; TECHNOLOGY
FACILITIES COUNCIL- STRATEGIC ALLIANCE</t>
  </si>
  <si>
    <t xml:space="preserve">Goodman International Ltd, state-owned UK Atomic Energy Authority, and
Science &amp; Technology Facilities Council, formed a strategic alliance to
provide investment services through research facilities, infrastructure
development and private sector interest. The alliance was expected to
create 5000 knowledge-based jobs. The Harwell Science and Innovation Campus
was expected to develop into one of the world's principal locations for
specific, academic and business collaboration.</t>
  </si>
  <si>
    <t xml:space="preserve">Investment Services
Research &amp; Development Services</t>
  </si>
  <si>
    <t xml:space="preserve">38235R
90276E
80878H</t>
  </si>
  <si>
    <t xml:space="preserve">Sanwa Kagaku Kenkyusho Co Ltd
Kowa Co Ltd</t>
  </si>
  <si>
    <t xml:space="preserve">Mnfr pharm
Whl texiles</t>
  </si>
  <si>
    <t xml:space="preserve">Sanwa Kagaku Kenkyusho Co
Ltd is a provider of
pharmaceutical products
manufacturing, development
and wholesale. The company
was founded in December 1953
and is located in Nagoya-Shi
Aichi, Japan.
Kowa Co Ltd, headquartered in
Aichi, Japan, is a domestic
and international wholesale
trading company engaged in the
wholesale of textiles,
construction materials,
machinery, chemicals and other
commodities. It is also
engaged in the manufacture of
drugs, LED lighting, medical
equipment and optical system
products. The company was
founded in 1894.</t>
  </si>
  <si>
    <t xml:space="preserve">2834
5131</t>
  </si>
  <si>
    <t xml:space="preserve">Suzuken Co Ltd
Kowa Co Ltd</t>
  </si>
  <si>
    <t xml:space="preserve">SANWA KAGAKU KENKYUSHO CO LTD/KOWA CO LTD-STRATEGIC ALLIANCE</t>
  </si>
  <si>
    <t xml:space="preserve">Sanwa Kagaku Kenkyusho Co Ltd (SK), a unit of Suzuken Co Ltd, and Kowa Co
Ltd (KC) formed a strategic alliance wherein SK licensed KC to develop and
market its new diabetes treatment SK-0403 in Japan.</t>
  </si>
  <si>
    <t xml:space="preserve">80306F
50074F</t>
  </si>
  <si>
    <t xml:space="preserve">Attitude Drinks Inc
Nutraceutical Discoveries Inc</t>
  </si>
  <si>
    <t xml:space="preserve">Manufacture,whl beverages
Pvd research,dvlp svcs</t>
  </si>
  <si>
    <t xml:space="preserve">Attitude Drinks Inc located in
North Palm Beach, Florida,
manufactures and wholesales
beverages including VisViva,
an energy drink.
Nutraceutical Discoveries Inc,
located in Knoxville,
Tennessee, develops
anti-obesity and metabolic
health activity in food
compounds. Its lead product is
Innutria.</t>
  </si>
  <si>
    <t xml:space="preserve">2086
8731</t>
  </si>
  <si>
    <t xml:space="preserve">FL
TN</t>
  </si>
  <si>
    <t xml:space="preserve">ATTITUDE DRINKS INC/NUTRACEUTICAL DISCOVERIES-STRATEGIC ALLIANCE</t>
  </si>
  <si>
    <t xml:space="preserve">Attitude Drinks Inc and Nutraceutical Discoveries Inc formed a strategic
alliance to manufacture and develop a dairy beverage with enhanced
metabolic effects in the United States.</t>
  </si>
  <si>
    <t xml:space="preserve">049838
67239T</t>
  </si>
  <si>
    <t xml:space="preserve">Bristol-Myers Squibb Co
PDL Biopharma Inc</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</si>
  <si>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PDL Biopharma Inc,
headquartered in Incline
Village, Nevada, is a
biopharmaceutical company,
which develops, manufactures
and markets innovative
therapies for serious or
life-threatening illnesses,
commercially focused on the
acute-care, hospital based
setting. It was founded in
1986.</t>
  </si>
  <si>
    <t xml:space="preserve">NY
NV</t>
  </si>
  <si>
    <t xml:space="preserve">BRISTOL-MYERS SQUIBB CO(WAS 110097)/PDL BIOPHARMA INC(WAS 74369L)-
STRATEGIC ALLIANCE</t>
  </si>
  <si>
    <t xml:space="preserve">Bristol-Myers Squibb Co and PDL Biopharma Inc formed a strategic alliance
to provide research and development services of anti-CS1 antibody,
elotuzumab, for the treatment of multiple myeloma globally. The alliance
was a strategic growth opportunity both for the partners to leverage their
research treatment services and to further expand their market coverage in
the region.</t>
  </si>
  <si>
    <t xml:space="preserve">110122
69329Y</t>
  </si>
  <si>
    <t xml:space="preserve">Vion Pharmaceuticals Inc
HOVON</t>
  </si>
  <si>
    <t xml:space="preserve">Biopharm co
Pvd research,dvlp svcs</t>
  </si>
  <si>
    <t xml:space="preserve">Vion Pharmaceuticals Inc,
headquartered in New Haven,
Connecticut, is a
biopharmaceutical company that
develops novel agents for the
treatment of cancer. Its
portfolio of potential
products consists of two
distinct small molecule
anticancer agents in clinical
development, and additional
small molecules and a drug
delivery system in preclinical
development. The company was
founded in 1992.
Cooperative Trial Group for
Hematology Oncology provides
research and development
services. The company is
headquartered in Netherlands.
It has strong clinical
development program in
leukemia, malignant lymphomas
and multiple myeloma.</t>
  </si>
  <si>
    <t xml:space="preserve">VION PHARMACEUTICALS INC/HOVON-STRATEGIC ALLIANCE</t>
  </si>
  <si>
    <t xml:space="preserve">Vion Pharmaceuticals Inc and Cooperative Trial Group for Hematology
Oncology formed a strategic alliance to provide clinical trials services of
laromustine (Cloretazine (R) (VNP 40101M) with standard remission-induction
therapy in patients aged 18-65 with previously untreated acute myelogenous
leukemia (AML) and high-risk myelodysplasia (MDS).</t>
  </si>
  <si>
    <t xml:space="preserve">927624
21730C</t>
  </si>
  <si>
    <t xml:space="preserve">Hella KGaA Hueck &amp; Co
Gutmann Messtechnik GmbH</t>
  </si>
  <si>
    <t xml:space="preserve">Mnfr,whl auto lighting equip
Mnfr emission testers</t>
  </si>
  <si>
    <t xml:space="preserve">Hella KGaA Hueck &amp; Co,
located in Lippstadt,
Germany, manufactures and
wholesales automobile
lighting equipment and
components. These include
signal processing systems
and integrated front-end
modules. It has 70
manufacturing facilities
worldwide. It was founded in
1899.
Gutmann Messtechnik GmbH,
located in Ihringen, Germany,
develops and manufactures
emission testers and fault
code readers used for the
diagnostics of all systems in
the latest cars.</t>
  </si>
  <si>
    <t xml:space="preserve">3647
3714</t>
  </si>
  <si>
    <t xml:space="preserve">HELLA KGAA HUECK &amp; CO/GUTMANN MESSTECHNIK GMBH-HELLA GUTMANN SOLUTIONS
JOINT VENTURE</t>
  </si>
  <si>
    <t xml:space="preserve">Hella Gutmann Solutions,
located in Germany,
manufactures and develops
vehicle diagnostic systems.
Founded in 2008.</t>
  </si>
  <si>
    <t xml:space="preserve">Hella KGaA Hueck &amp; Co and Gutmann Messtechnik GmbH formed a joint venture
named Hella Gutmann Solutions (HG) to manufacture and develop vehicle
diagnostic systems in Germany. The partners each held a 50% interest in
HG.</t>
  </si>
  <si>
    <t xml:space="preserve">42397H</t>
  </si>
  <si>
    <t xml:space="preserve">42331C
40306A</t>
  </si>
  <si>
    <t xml:space="preserve">Cryo-Cell International Inc
Eq Lifestyle Ppty Inc</t>
  </si>
  <si>
    <t xml:space="preserve">Own,op umbilical cord banks
Real estate investment trust</t>
  </si>
  <si>
    <t xml:space="preserve">Cryo-Cell International Inc,
headquartered in Oldsmar,
Florida, owns and operates
umbilical cord banks. It
provides research services
seeking approaches and
applications of newly
developed stem cell
technologies. It was founded
in 1989.
Equity Lifestyle Properties
Inc is a real estate
investment trust (REIT)
located in Chicago,
Illinois. The Company leases
individual developed areas
(sites or pads) with access
to utilities for placement
of factory built homes or
recreational vehicles. Its
properties are predominantly
located in 30 states and in
British Columbia, Canada.
The Company was founded in
1992.</t>
  </si>
  <si>
    <t xml:space="preserve">8099
6798</t>
  </si>
  <si>
    <t xml:space="preserve">FL
IL</t>
  </si>
  <si>
    <t xml:space="preserve">CRYO-CELL INTERNATIONAL INC/ENDGENITOR TECHNOLOGIES INC-STRATEGIC ALLIANCE</t>
  </si>
  <si>
    <t xml:space="preserve">Cryo-Cell International Inc and EndGenitor Technologies Inc formed a
strategic alliance to povide research and development services of cellular
platform therapeutic for rapidly forming vasculature in injured tissues in
the United States. The research would focus on the utilization of cord
blood and menstrual blood derived cells, known as ECFCs(R) and MenSCs,
respectively.</t>
  </si>
  <si>
    <t xml:space="preserve">228895
29472R</t>
  </si>
  <si>
    <t xml:space="preserve">Provexis Ltd
ULive Plc</t>
  </si>
  <si>
    <t xml:space="preserve">Mnfr bioactive prod
Biotechnology company</t>
  </si>
  <si>
    <t xml:space="preserve">Manufacture bioactive products
and other nutraceutical and
medical food
ULive Plc is a biotechnology
company headquartered in
Liverpool, United Kingdom. The
Company commercializes
intellectual property
generated by the University of
Liverpool's research
activities.</t>
  </si>
  <si>
    <t xml:space="preserve">Provexis PLC
ULive Plc</t>
  </si>
  <si>
    <t xml:space="preserve">PROVEXIS LTD/ULIVE PLC- STRATEGIC ALLIANCE</t>
  </si>
  <si>
    <t xml:space="preserve">Provexis PLC and ULive PLC formed a strategic alliance to provide research
and development services in the United Kingdom. The partners collaborated
on the development of a novel plant-derived formulation for the treatment
and prevention of infections caused by invasive bacteria such as the
hospital `superbug? Clostridium difficile (C.difficile).</t>
  </si>
  <si>
    <t xml:space="preserve">74541F
90473L</t>
  </si>
  <si>
    <t xml:space="preserve">Sanwa Kagaku Kenkyusho Co Ltd
JW Pharmaceutical Corp</t>
  </si>
  <si>
    <t xml:space="preserve">Mnfr pharm
Mnfr,whl pharm</t>
  </si>
  <si>
    <t xml:space="preserve">Sanwa Kagaku Kenkyusho Co
Ltd is a provider of
pharmaceutical products
manufacturing, development
and wholesale. The company
was founded in December 1953
and is located in Nagoya-Shi
Aichi, Japan.
JW Pharmaceutical Corp,
based in Seoul, South Korea,
is a Korea-based company
engaged in the development
and manufacture and
wholesale of
pharmaceuticals. The
Company's products include
analgesics, antipyretics and
cold remedies, antidote
agents, antimicrobials,
anticancer agents,
antifungal agents,
circulatory system agents,
gastrointestinal agents,
multivitamins and antianemic
agents, contact lens care
and ophthalmic agents,
alopecia treatments, skin
disease treatments, amino
acid solutions, carbohydrate
solutions, flexible
intravenous (I.V.)
containers, respiratory
agents, nephrology agents,
urology agents, diabetic
agents and others. It also
engages in the research of
anti-cancer drugs. The
Company was founded in 1945.</t>
  </si>
  <si>
    <t xml:space="preserve">Suzuken Co Ltd
JW Pharmaceutical Corp</t>
  </si>
  <si>
    <t xml:space="preserve">SANWA KAGAKU KENKYUSHO CO LTD/CHOONGWAE PHARMA CORP-STRATEGIC ALLIANCE</t>
  </si>
  <si>
    <t xml:space="preserve">Sanwa Kagaku Kenkyusho Co Ltd (SK), a unit of Suzuken Co Ltd, and Choongwae
Pharma Corp (CP) formed a strategic alliance wherein SK licensed CP to
develop and market its DPP-4 inhibitor SK-0403 for the treatment of
diabetes in South Korea.</t>
  </si>
  <si>
    <t xml:space="preserve">80306F
17039M</t>
  </si>
  <si>
    <t xml:space="preserve">Archer Daniels Midland Co
Deere &amp; Co
Monsanto Co</t>
  </si>
  <si>
    <t xml:space="preserve">Produce,wholesale agricultural products
Farm Machinery and Equipment Manufacturing
Pesticide and Other Agricultural Chemical Manufacturing</t>
  </si>
  <si>
    <t xml:space="preserve">Archer Daniels Midland Co is
an oilseed processor. It
produces and wholesales
agricultural products
including oilseeds, corn,
wheat, Milo, oats, barley
peanuts, ethanol, flour,
flour additives, cocoa
products, bakery products,
lettuce and other
vegetables, beans,
spaghetti, noodles,
macaroni, and livestock feed
and health products. The
Company operations are
classified into three
business segments: oilseeds
processing, corn processing
and agricultural services.
It also owns and operates
fish farms and is a holding
company. The Company was
founded in 1902 and is
located in Chicago,
Illinois.
Deere &amp; Co, located in
Moline, Illinois,
manufactures and wholesales
farm and construction
equipment. The Company
operates through three
business segments:
agriculture and turf,
construction and forestry,
and financial services. The
agriculture and turf segment
manufactures and distributes
a line of agriculture and
turf equipment and related
service parts. The
construction and forestry
segment provides a line of
construction equipment, and
forestry machines and
attachments available in the
world. The financial
services segment primarily
finances sales and leases by
the Company dealers of new
and used agriculture and
turf equipment and
equipment. Its products are
marketed primarily through
independent retail dealer
networks and retail outlets.
It has operations in US,
Canada, Brazil, China,
France, Germany, India,
Israel, Mexico, the
Netherlands, Russia and
Spain. It offers farm
equipment, construction and
forestry equipment,
commercial and consumer
equipment including lawn and
garden tractors, mowers,
off-highway diesel engines
and other outdoor power
products. It also provides
equipment financing
services. The Company was
founded in 1837.
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t>
  </si>
  <si>
    <t xml:space="preserve">2074
3523
2879</t>
  </si>
  <si>
    <t xml:space="preserve">IL
IL
MO</t>
  </si>
  <si>
    <t xml:space="preserve">ARCHER DANIELS MIDLAND CO/DEERE &amp; CO/MONSANTO CO-STRATEGIC ALLIANCE</t>
  </si>
  <si>
    <t xml:space="preserve">Archer Daniels Midland Co{ADM}, Deere &amp; Co and Monsanto Co formed a
strategic alliance to provide corn stover research services in the United
States. The partners collaborated on research to explore technologies and
processes to turn crop residues into feed and bioenergy products.</t>
  </si>
  <si>
    <t xml:space="preserve">039483
244199
61166W</t>
  </si>
  <si>
    <t xml:space="preserve">Asterand PLC
Allergan Inc</t>
  </si>
  <si>
    <t xml:space="preserve">Biotech co
Mnfr eye care,skin care pharmaceutical products</t>
  </si>
  <si>
    <t xml:space="preserve">Asterand PLC, located in
Royston, UK, is a
biotechnology company that
provides human tissue and
human tissue-based research
services to pharmaceutical,
biotech, and diagnostic
companies engaged in drug
discovery research in Europe,
North America, and Japan. The
company offers human tissues,
biofluids, and derivatives for
research use. It was founded
in 2000.
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t>
  </si>
  <si>
    <t xml:space="preserve">ASTERAND PLC/ALLERGAN INC-STRATEGIC ALLIANCE</t>
  </si>
  <si>
    <t xml:space="preserve">Asterand PLC (AP) and Allergan Inc (AI) formed a strategic alliance wherein
AP exclusively licensed AI to develop and commercialize its series of
compounds for the treatment of eye diseases such as glaucoma. AI was
expected to pay AP an upfront technology access fee of $6.25 mil US (3.4
mil British pounds) as well as milestone payments of up to $56 mil US (30.5
mil pounds).</t>
  </si>
  <si>
    <t xml:space="preserve">Allergan Inc was expected to pay Asterand PLC an upfront technology access
fee of $6.25 mil US (3.4 mil British pounds) as well as milestone payments
of up to $56 mil US (30.5 mil pounds).</t>
  </si>
  <si>
    <t xml:space="preserve">04671X
018490</t>
  </si>
  <si>
    <t xml:space="preserve">GlaxoSmithKline PLC
Valeant Pharmaceuticals Intl</t>
  </si>
  <si>
    <t xml:space="preserve">Pharmaceutical Preparation Manufacturing
Manufacture,wholesale specialty pharm prod</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</si>
  <si>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Valeant Pharmaceuticals
International Inc,
headquartered in Bridgewater,
New Jersey, is a manufacturer
and wholesaler of specialty
pharmaceutical products. Its
brands include Mestinon,
Tasmar, Virazole, Dermatix and
Kinerase, focusing in the
neurology and dermatology
therapeutic areas, while also
producing branded generics,
and consumer and cosmeceutical
products. The company was
founded on 1960.</t>
  </si>
  <si>
    <t xml:space="preserve">GLAXO HOLDINGS PLC(DNU)/VALEANT PHARMACEUTICALS-STRATEGIC ALLIANCE</t>
  </si>
  <si>
    <t xml:space="preserve">Valeant Pharmaceuticals International and GlaxoSmithKline PLC formed a
strategic alliance to provide research and development services of
investigational drug retigabine for treatment of adult epilepsy patients
with refractory partial onset seizures in United Kingdom.The alliance was a
strategic growth opportunity both for the partners to leverage their
medicinal research services and to further expand their market coverage in
the region.</t>
  </si>
  <si>
    <t xml:space="preserve">37733W
91911X</t>
  </si>
  <si>
    <t xml:space="preserve">Monsanto Co
Evogene Ltd</t>
  </si>
  <si>
    <t xml:space="preserve">Mnfr agro chems,manmade fibers
Biotechnology company</t>
  </si>
  <si>
    <t xml:space="preserve">Manufacture agro chemicals and
manmade fibers
Evogene Ltd, located in
Rehovot, Israel, is an
agri-biotechnology company
focused in the improvement of
plant traits, as well as the
high oil yielding plant
varieties for biofuels
production with the use of
state-of-the-art computational
gene discovery technologies,
molecular biology,
highthrough-put assays,
classical and advanced
breeding methods. Founded in
2002.</t>
  </si>
  <si>
    <t xml:space="preserve">Pfizer Inc
Evogene Ltd</t>
  </si>
  <si>
    <t xml:space="preserve">MONSANTO CO/EVOGENE LTD-STRATEGIC ALLIANCE</t>
  </si>
  <si>
    <t xml:space="preserve">Monsanto Co (MC) and Evogene Ltd (EL) formed a 5-year strategic alliance to
provide research and development services of plant genes related to yield,
environmental stress and fertilizer utilization globally. Under terms of
the agreement, the partners received an exclusive licensing rights to each
other's portfolio of crops such genes in a number of crops, including corn,
soybean, canola, and cotton. EL was expected to received an estimated $35
mil US (125.37 mil Israeli shekel) upfront payment and annual research
payments, in consideration for the performance of the research from MC,
including development milestone and royalty payments based on sales of any
resulting products.</t>
  </si>
  <si>
    <t xml:space="preserve">Research &amp; Development Services
Licensing Services
Exclusive Licensing Services</t>
  </si>
  <si>
    <t xml:space="preserve">Evogene Ltd was expected to received an estimated $35 mil US (125.37 mil
Israeli shekel) upfront payment and annual research payments, in
consideration for the performance of the research from MC, including
development milestone and royalty payments based on sales of any resulting
products.</t>
  </si>
  <si>
    <t xml:space="preserve">611662
M4119S</t>
  </si>
  <si>
    <t xml:space="preserve">HemCon Medical Technologies
Institute of Technology Sligo</t>
  </si>
  <si>
    <t xml:space="preserve">Mnfr,whl hemostatic devices
Own,op college,university</t>
  </si>
  <si>
    <t xml:space="preserve">HemCon Medical Technologies
Inc located in Portland,
Oregon, manufacture and
wholesale plasma and
hemostatic devices for the
control of bleeding resulting
from trauma or surgery. It has
additional commercial
operations in Ireland and the
Czech Republic. The company
was founded 2001.
Institute of Technology Sligo,
owns and operates a
college/university. The
college/university is
headquartered in Ballinode
Sligo, Ireland.</t>
  </si>
  <si>
    <t xml:space="preserve">3845
8221</t>
  </si>
  <si>
    <t xml:space="preserve">HEMCON MEDICAL TECHNOLOGIES INC /INSTITUTE OF TECHNOLOGY-STRATEGIC
ALLIANCE</t>
  </si>
  <si>
    <t xml:space="preserve">HemCon Medical Technologies Inc (HM) and Institute of Technology Sligo (IT)
formed a strategic alliance wherein IT exclusively licensed HM to utilize
its controlled release hydrogen peroxide technology that provides broad
spectrum antibacterial and antiseptic properties worldwide. With this
technology, HM was able to develop and manufacture a full range of product
solutions for the wound care, oral  care and personal care markets ranging
from antimicrobial professional products to personal hygiene  solutions for
consumers.</t>
  </si>
  <si>
    <t xml:space="preserve">Exclusive Licensing Services
Licensing Services
Manufacturing Services
Research &amp; Development Services</t>
  </si>
  <si>
    <t xml:space="preserve">42392F
46895Q</t>
  </si>
  <si>
    <t xml:space="preserve">Acesys Pharmatech Co Ltd
Provid Pharmaceuticals Inc</t>
  </si>
  <si>
    <t xml:space="preserve">Biotechnology company
Pvd drug research,dvlp svcs</t>
  </si>
  <si>
    <t xml:space="preserve">Acesys Pharmatech Co Ltd is a
biotechnology company
headquartered in Nanjing
Hi-Tech Zone in China. The
company provides services in
medicinal chemistry, including
custom synthesis (from gram to
kilogram), exploratory
medicinal chemistry, and full
medicinal chemistry project
support.
Provide drug discovery,
research and development
services</t>
  </si>
  <si>
    <t xml:space="preserve">ACESYS PHARMATECH LTD/PROVID PHARMACEUTICALS INC-STRATEGIC ALLIANCE</t>
  </si>
  <si>
    <t xml:space="preserve">Provid Pharmaceuticals Inc and Acesys Pharmatech Co Ltd formed a strategic
alliance to provide research and development services of medicinal
chemistry in the pharmaceutical and biotech industries in China.</t>
  </si>
  <si>
    <t xml:space="preserve">50641L
75505P</t>
  </si>
  <si>
    <t xml:space="preserve">Millipore Corp
Agilent Technologies Inc</t>
  </si>
  <si>
    <t xml:space="preserve">Mnfr med,analytical lab equip
Manufactures life sciences, diagnostics, applied chemical products</t>
  </si>
  <si>
    <t xml:space="preserve">Millipore Corp, based in
Billerica, Massachusetts,
manufactures and wholesales
medical and analytical
laboratory equipment used in
the analysis, identification
and purification of liquids.
The company's
specializations include
pharmaceuticals,
biotechnology medicines and
other therapeutic products.
The company's services are
available to clients in 47
nations. The company was
founded in 1954.
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t>
  </si>
  <si>
    <t xml:space="preserve">MILLIPORE CORP/AGILENT TECHNOLOGIES INC-STRATEGIC ALLIANCE</t>
  </si>
  <si>
    <t xml:space="preserve">Millipore Corp and Agilent Technologies Inc formed a strategic alliance to
provide research and development services of innovative ChIP (chromatin
immunoprecipitation) kits to study genetic information in the United
States. The partners were to provide an end-to-end solution for studying
the complexities of DNA-protein interactions and binding.</t>
  </si>
  <si>
    <t xml:space="preserve">601073
00846U</t>
  </si>
  <si>
    <t xml:space="preserve">Pfizer Inc
Medivation Inc</t>
  </si>
  <si>
    <t xml:space="preserve">Manufacture,wholesale pharmaceuticals
Pharmaceutical Preparation Manufacturing</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</si>
  <si>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Medivation Inc, located in San
Francisco, California, is a
biopharmaceutical company on
the development and
commercialization of medically
innovative therapies to treat
serious diseases. Its products
include XTANDI, Enzalutamide,
Talazoparib (MDV3800),
Pidilizumab (MDV9300), and
MDV4463.</t>
  </si>
  <si>
    <t xml:space="preserve">PFIZER INC/MEDIVATION INC-STRATEGIC ALLIANCE</t>
  </si>
  <si>
    <t xml:space="preserve">Pfizer Inc (PI) and Medivation Inc (MI) formed a strategic alliance to
provide research and development services of an investigational drug called
Dimebon for treatment of Alzheimer?s disease and Huntington?s disease in
the United States. PI paid MI an upfront payment of $225 mil US. The
alliance was cleared by a regulatory review as of October 2008.</t>
  </si>
  <si>
    <t xml:space="preserve">Medivation Inc received an upfront payment of $225 mil US.</t>
  </si>
  <si>
    <t xml:space="preserve">717081
58501N</t>
  </si>
  <si>
    <t xml:space="preserve">Merck Serono SA
Ablynx NV</t>
  </si>
  <si>
    <t xml:space="preserve">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
Ablynx NV, based in Ghent,
Belgium, is a
biopharmaceutical company
focused on the discovery and
development of
Nanobodies(R), a novel class
of therapeutic proteins
based on single-domain
antibody fragments, for a
range of serious and
life-threatening human
diseases. The Company was
founded in 2001.</t>
  </si>
  <si>
    <t xml:space="preserve">Merck KGaA
Ablynx NV</t>
  </si>
  <si>
    <t xml:space="preserve">Germany
Belgium</t>
  </si>
  <si>
    <t xml:space="preserve">MERCK SERONO SA (WAS 81752M)/ABLYNX NV-STRATEGIC ALLIANCE</t>
  </si>
  <si>
    <t xml:space="preserve">Merck Serono SA (MS), a unit of Merck KGaA , and Ablynx NV (AN) formed a
strategic alliance to provide research and development services of
nanobody-based therapeutics for oncology and immunology globally. Under
terms of the agreement, the partners were to equally share the research and
development cost of the project. Should AN would contribute equally to each
program, it would be eligible to receive 50% of the resulting profits. In
addition, AN have an option to opt-out partly or fully during the
development programs, in which case the it would be eligible to receive
either a reduced profit share, in the case of a partial opt-out, or
milestones and royalties on potential sales, in the case of a full opt-out.
AN was to recieved an upfront cash payment of $14.259 mil US (10 mil euro)
from MS.</t>
  </si>
  <si>
    <t xml:space="preserve">Ablynx NV was to recieved an upfront cash payment of $14.259 mil US (10 mil
euro) from Merck Serono SA.</t>
  </si>
  <si>
    <t xml:space="preserve">589345
40613C</t>
  </si>
  <si>
    <t xml:space="preserve">Presto Engineering Inc
Micromanipulator Co Inc</t>
  </si>
  <si>
    <t xml:space="preserve">Engineering Services
Mnfr semiconductors</t>
  </si>
  <si>
    <t xml:space="preserve">Presto Engineering Inc,
located in San Jose,
California, provides
engineering services. It
offers outsourced
engineering and production
solutions to its
semiconductor and industrial
customers. It also
manufactures new
microelectronic products.
The Company was founded in
2006.
Micromanipulator Co Inc,
located in Carson City,
Nevada, is a semiconductor
manufacturing firm. The
company was founded in 1956.</t>
  </si>
  <si>
    <t xml:space="preserve">8711
3674</t>
  </si>
  <si>
    <t xml:space="preserve">PRESTO ENGINEERING INC/MICROMANIPULATOR CO-STRATEGIC ALLIANCE</t>
  </si>
  <si>
    <t xml:space="preserve">Presto Engineering Inc and Micromanipulator Co Inc formed a strategic
alliance to provide access enhancement services to wafer-level advanced
in-silicon analysis services for customers needing 300 millimeter wafer
probing support in the United States. The alliance was expected to offer
probing support services to integrated device manufacturers (IDMs) and
fabless semiconductor manufacturers.</t>
  </si>
  <si>
    <t xml:space="preserve">73858F
59556H</t>
  </si>
  <si>
    <t xml:space="preserve">Acucela Inc
Otsuka Holdings Co Ltd</t>
  </si>
  <si>
    <t xml:space="preserve">Biotechnology company
Mnfr,whl pharm prod</t>
  </si>
  <si>
    <t xml:space="preserve">Acucela Inc, located in
Bothell, Washington, is a
biotechnology company
developing therapies for
blinding eye diseases.
Otsuka Holdings Co Ltd,
located in Tokyo, Japan, is
a holding company. The group
develops, manufactures, and
wholesales pharmaceuticals
and other medical
care-related products. The
company also provides
medical-related services.
The company was founded in
1964.</t>
  </si>
  <si>
    <t xml:space="preserve">ACUCELA INC/OTSUKA HOLDINGS CO LTD(WAS 68916Q)- STRATEGIC ALLIANCE</t>
  </si>
  <si>
    <t xml:space="preserve">Acucela Inc (AI) and Otsuka Holdings Co Ltd (OH) formed a strategic
alliance to provide Rebamipide ophthalmic suspension (OH's proprietary
compound for the treatment of dry eye) development services in the United
States (US). Under terms of the agreement, the parties were expected to
collaborate in the clinical development efforts for Rebamipide in the US
with AI spearheading the regulatory strategy to gain approval for the
product in the US. Upon regulatory approval of Rebamipide, the parties may
negotiate the terms under which AI may co-promote Rabamipide with OH in the
US.</t>
  </si>
  <si>
    <t xml:space="preserve">01354Q
68918R</t>
  </si>
  <si>
    <t xml:space="preserve">ZyGEM Corp Ltd
Commonwealth Biotechnologies</t>
  </si>
  <si>
    <t xml:space="preserve">Biotech co
Pvd research,development svcs</t>
  </si>
  <si>
    <t xml:space="preserve">ZyGEM Corp Ltd, located in
Hamilton, New Zealand, is a
biotechnology company
identifying enzymes extracted
from extremophiles - a rare
microorganisms from extreme
environments -and using for a
wide range of application. The
company was founded in 1980.
Commonwealth Biotechnologies
Inc, located in Richmond,
Virginia, provides research
and development services. Its
sophisticated research and
development support services
are on a fee-for-services
basis to the global
biotechnology and
pharmaceutical industry. The
company was founded in 1992.</t>
  </si>
  <si>
    <t xml:space="preserve">New Zealand
United States</t>
  </si>
  <si>
    <t xml:space="preserve">ZYGEM CORP LTD/COMMONWEALTH BIOTECHNOLOGIES INC-STRATEGIC ALLIANCE</t>
  </si>
  <si>
    <t xml:space="preserve">ZyGEM Corp Ltd (ZG) and Commonwealth Biotechnologies Inc (CB) formed a
strategic alliance to provide DNA extraction products development services.
The alliance was expected to evaluate the use of ZG's forensicGEM(TM) DNA
extraction technology in CB's operations. The alliance was also expected to
combine ZG's technologies with CB's forensic expertise to develop
additional products for the forensic DNA market. Terms were not disclosed.</t>
  </si>
  <si>
    <t xml:space="preserve">99172N
202739</t>
  </si>
  <si>
    <t xml:space="preserve">KNM Process Systems Sdn Bhd
Prosernat SA</t>
  </si>
  <si>
    <t xml:space="preserve">Manufacture process equipment
Manufacture,dvlp process equip</t>
  </si>
  <si>
    <t xml:space="preserve">KNM Process Systems Sdn Bhd,
located in Selangor Darul
Ehsan, Malaysia, manufactures
process equipment and turnkey
storage provider for the oil,
gas and petrochemical
industries. The company was
founded in 1990.
Prosernat SA, located in
Puteaux, France, manufactures
and develops process equipment
for the oil and gas industry.
Its products include equipment
for phase separation and
desalting, gas dehydration,
gas sweetening, sulfur
recovery and carbon dioxide
capture.</t>
  </si>
  <si>
    <t xml:space="preserve">3532
3823</t>
  </si>
  <si>
    <t xml:space="preserve">Malaysia
France</t>
  </si>
  <si>
    <t xml:space="preserve">Knm Group Bhd
L'Institut Francais du Petrole</t>
  </si>
  <si>
    <t xml:space="preserve">3533
8731</t>
  </si>
  <si>
    <t xml:space="preserve">KNM PROCESS SYSTEMS SDN BHD/PROSERNAT-JOINT VENTURE</t>
  </si>
  <si>
    <t xml:space="preserve">KNM Process Systems Sdn Bhd, a unit of KNM Group Bhd, and Prosernat, a unit
of IFP, planned to form a joint venture (JV) to manufacture and develop
process technologies for field gas separation and gas treatment facilities
in France. The partners were to each hold a 50% interest in the JV.</t>
  </si>
  <si>
    <t xml:space="preserve">48891V
70574C</t>
  </si>
  <si>
    <t xml:space="preserve">Polartechnics Ltd
Genera Biosys Ltd
Healthscope Ltd</t>
  </si>
  <si>
    <t xml:space="preserve">Mnfr,dvlp diagnostic tests
Biotechnology company
Own,operate hospitals</t>
  </si>
  <si>
    <t xml:space="preserve">Polartechnics Ltd, located in
Erskineville, Australia, is a
biotechnology company which
develops, manufactures and
sells diagnostic tests for the
detection of pre-cancer and
cancer. It develops screening
systems for cervical cancer
and related high risk HPV
infection, and melanoma, an
aggressive deadly skin cancer
with products such as
TruScreen, SolarScan, Mediscan
Kestrel and CerviScreen.
Genera Biosystems Ltd,
located in Scoresby,
Victoria, Australia, is a
biotechnology company. Its
principal activity is
developing a series of
products for human health,
food, and environmental
testing based on its
patented detection
technologies. The Company
was founded on November 1,
2001.
Healthscope Ltd, located in
Melbourne, Australia, owns
and operates hospitals. It
includes a pathology
business with facilities in
Australia, New Zealand,
Singapore and Malaysia; a
medical centres division
with over 45 clinics; and a
diagnostic imaging division
centered in major hospitals.
The Company was founded in
1985.</t>
  </si>
  <si>
    <t xml:space="preserve">2835
2836
8062</t>
  </si>
  <si>
    <t xml:space="preserve">Australia
Australia
Australia</t>
  </si>
  <si>
    <t xml:space="preserve">POLARTECHNICS LTD/GENERA BIOSYSTEMS LTD/HEALTHSCOPE LTD-STRATEGIC ALLIANCE</t>
  </si>
  <si>
    <t xml:space="preserve">Polartechnics Ltd, Genera Biosystems Ltd, and Healthscope Ltd formed a
strategic alliance to provide Cerviscreen development services in
Australia. Cerviscreen is a novel self-sampling device for human
papillomavirus, the virus causing cervical cancer.</t>
  </si>
  <si>
    <t xml:space="preserve">73109I
37141J
42221W</t>
  </si>
  <si>
    <t xml:space="preserve">Anwell Technologies Ltd
Peoples Republic of China</t>
  </si>
  <si>
    <t xml:space="preserve">Pvd manufacturing solutions
Natl govt</t>
  </si>
  <si>
    <t xml:space="preserve">Anwell Technologies Ltd,
located in Kwai Chung, Hong
Kong, provides manufacturing
solutions for the optical
media, solar cell and OLED
manufacturing industries.
Founded in 2000, it also
manufactures and wholesales
optical media equipment.
National government</t>
  </si>
  <si>
    <t xml:space="preserve">7373
999A</t>
  </si>
  <si>
    <t xml:space="preserve">ANWELL TECHNOLOGIES LTD/PEOPLES REPUBLIC OF CHINA-STRATEGIC ALLIANCE</t>
  </si>
  <si>
    <t xml:space="preserve">Anwell Technologies Ltd and the People's Republic of China formed a
strategic alliance to provide research and development services for the
flat panel display industry in China.</t>
  </si>
  <si>
    <t xml:space="preserve">00602V
712219</t>
  </si>
  <si>
    <t xml:space="preserve">Shanghai Academy of Social
Adecco Institute</t>
  </si>
  <si>
    <t xml:space="preserve">Own,op college,university
Pvd research,dvlp svcs</t>
  </si>
  <si>
    <t xml:space="preserve">Shanghai Academy of Social
Sciences, based in China, owns
and operates college and
university.
Adecco Institute provides
research and development
services. The company is
headquartered in UK.</t>
  </si>
  <si>
    <t xml:space="preserve">8221
8731</t>
  </si>
  <si>
    <t xml:space="preserve">SHANGHAI ACADEMY OF SOCIAL SCIENCES/ADECCO INSTITUTE-STRATEGIC ALLIANCE</t>
  </si>
  <si>
    <t xml:space="preserve">Adecco Institute and Shanghai Academy of Social Science formed a strategic
alliance to provide research and development services in China. The
alliance was expected to make a comparative Chinese-European labor market
studies locally.</t>
  </si>
  <si>
    <t xml:space="preserve">82002K
75516Z</t>
  </si>
  <si>
    <t xml:space="preserve">Oramed Pharmaceuticals Inc
ETI Karle Clinical Pvt Ltd</t>
  </si>
  <si>
    <t xml:space="preserve">Biotechnology company
Pvd clinical research svcs</t>
  </si>
  <si>
    <t xml:space="preserve">Oramed Pharmaceuticals Inc,
located in Jerusalem,
Israel, is a biotechnology
company. The company is
focused on the commercial
development of proprietary
oral delivery solutions. Its
leading product is the
treatment of diabetes via an
oral insulin capsule which
has the potential to help
diabetics worldwide. It was
founded in 2002.
ETI Karle Clinical Pvt Ltd,
located in Bangalore, India,
provides clinical research
services.</t>
  </si>
  <si>
    <t xml:space="preserve">ORAMED PHARMACEUTICALS INC/ETI KARLE CLINICAL PVT LTD- STRATEGIC ALLIANCE</t>
  </si>
  <si>
    <t xml:space="preserve">Oramed Pharmaceuticals Inc and ETI Karle Clinical Pvt Ltd formed a
strategic alliance to provide research and development services on oral
insulin capsule, ORMD 0801. It will be tested on Type 2 Diabetic
Volunteers. The alliance was intended to evaluate the safety, tolerability
and efficacy of ORMD 0801.</t>
  </si>
  <si>
    <t xml:space="preserve">68403P
26734C</t>
  </si>
  <si>
    <t xml:space="preserve">ThermoGenesis Corp
Celling Technologies</t>
  </si>
  <si>
    <t xml:space="preserve">Mnfr blood processing equip
Pvd research,dvlp svcs</t>
  </si>
  <si>
    <t xml:space="preserve">ThermoGenesis Corp,
headquartered in Rancho
Cordova, California,
manufactures and wholesales
blood processing equipment
including plasma freezing
systems, liquid nitrogen
cryopreservation and storage
systems. It provides
solutions to stem cell
research, wound care, and
biopreservation. The company
was founded in 1986.
Celling Technologies, located
in Austin, Texas, provides
research and development
services for regenerative
medicine. The company focuses
on adult stem cell therapy and
its related devices and
services.</t>
  </si>
  <si>
    <t xml:space="preserve">ThermoGenesis Corp
SpineSmith Partners LP</t>
  </si>
  <si>
    <t xml:space="preserve">3826
3842</t>
  </si>
  <si>
    <t xml:space="preserve">THERMOGENESIS CORP/CELLING TECHNOLOGIES - STRATEGIC ALLIANCE</t>
  </si>
  <si>
    <t xml:space="preserve">ThermoGenesis and Celling Technologies agreed to form a strategic alliance
to provide development and promotional services for ThermoGenesis? bone
marrow products, MXP(TM) MarrowXpress(TM) (MXP) and Res-Q(TM) 60 BMC
(Res-Q).  Under the alliance, both companies will share in funding the
clinical studies to test the effectiveness of the products using Celling?s
orthopedic applications.  Celling Technologies will be managing the
clinical trials and be a distributor for ThermoGenesis? Res-Q System and
MXP System.</t>
  </si>
  <si>
    <t xml:space="preserve">883623
15194L</t>
  </si>
  <si>
    <t xml:space="preserve">Tata Consultancy Services Ltd
Saab-Scania AB</t>
  </si>
  <si>
    <t xml:space="preserve">Pvd info tech consulting svcs
Mnfr automobiles,engines</t>
  </si>
  <si>
    <t xml:space="preserve">Tata Consultancy Services
Ltd, headquartered in
Mumbai, India, is an
Information Technology (IT)
services, consulting and
business solutions company.
The Company provides
consulting-led integrated
portfolio of IT and
IT-enabled services
delivered through a network
of multiple locations around
the globe. The Company's
domain knowledge and
technology expertise helps
global corporations to focus
on their core business,
while TCS manages their
investments in technology
and helps transform their
business processes. The
Company's services
portfolio consists of
Application Development and
Maintenance, Business
Intelligence, Enterprise
Solutions, Assurance,
Engineering and Industrial
Services, IT Infrastructure
Services, Business Process
Outsourcing, Consulting and
Asset Leveraged Solutions.
The Company was founded in
1968.
Saab-Scania AB, located in
Sweden, manufactures and
wholesales passenger cars,
aircraft engines, parts,
equipment and aircraft, truck
and bus bodies, automobile
parts, automobile supplies and
transportation equipment. It
also owns and operates auto
and home supply stores.</t>
  </si>
  <si>
    <t xml:space="preserve">7375
3711</t>
  </si>
  <si>
    <t xml:space="preserve">India
Sweden</t>
  </si>
  <si>
    <t xml:space="preserve">Tata Sons Pvt Ltd
Saab-Scania AB</t>
  </si>
  <si>
    <t xml:space="preserve">TATA CONSULTANCY SERVICES LTD/SAAB SCANIA AB- JOINT VENTURE</t>
  </si>
  <si>
    <t xml:space="preserve">Tata Consultancy Services Ltd, Tata Sons Ltd, and Saab-Scania AB formed a
joint venture to provide single source of design and development services
in addressing domestic and the global defense and civil aeronautical
applications. The venture established Aeronautical Design &amp; Development
Center (ADDC) wherein its capabilities across product lifecycle includes:
Desin and Development of Structures/ Systes for new Platforms, Performance
Studies and Virtual prototyping, Aircraft Sustenance Engineering,
Manufacturing Suport, Production and After Market Support, Life extension/
Upgrade Programs, Avionics and Mission Critical Software Development.</t>
  </si>
  <si>
    <t xml:space="preserve">87656P
785140</t>
  </si>
  <si>
    <t xml:space="preserve">Cellzome Ltd
GlaxoSmithKline PLC</t>
  </si>
  <si>
    <t xml:space="preserve">Pvd drug discovery, dvlp svcs
Pharmaceutical Preparation Manufacturing</t>
  </si>
  <si>
    <t xml:space="preserve">Cellzome Ltd, located in
Cambridge, UK, provides drug
discovery and development
services. It develops
experimental drugs for the
treatments of rheumatoid
arthritis, multiple sclerosis
and other inflammatory
diseases, and advancement of
proteomics technologies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</si>
  <si>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CELLZOME INC/GLAXOSMITHKLINE PLC-STRATEGIC ALLIANCE</t>
  </si>
  <si>
    <t xml:space="preserve">GlaxoSmithKline PLC (GP) and Cellzome GmbH (CG), a unit of Cellzome Ltd,
formed a strategic alliance to provide research, development and marketing
services of kinase-targeted treatments for inflammatory diseases such as
rheumatoid arthritis or multiple sclerosis globally. Kinases were important
enzymes responsible for either activating or inhibiting proteins within
cell signaling pathways. Under terms of the agreement, GP has an exclusive
options to license drug candidates from CG's kinase programs directed
against four identified targets, and three additional targets to be jointly
identified by both parties. Additionally, CG was to received an upfront
payments of $25.207 mil  US (14.4 mill British pounds) comprised of both
cash and equity, from GP. CP was also eligible for up to $206.56 mil (118
mil pounds) per program in potential development, regulatory and commercial
milestones and up to double digit royalties on net sales of products.</t>
  </si>
  <si>
    <t xml:space="preserve">Cellzome GmbH (CG) was to received an upfront payments of $25.207 mil  US
(14.4 mill British pounds) comprised of both cash and equity. CG was also
eligible for up to $206.56 mil (118 mil pounds) per program in potential
development, regulatory and commercial milestones and up to double digit
royalties on net sales of products.</t>
  </si>
  <si>
    <t xml:space="preserve">15176A
37733W</t>
  </si>
  <si>
    <t xml:space="preserve">Jurong Tech Industrial Corp
Spirit Solutions Inc</t>
  </si>
  <si>
    <t xml:space="preserve">Mnfr electn equip
Mnfr thermal imaging equip</t>
  </si>
  <si>
    <t xml:space="preserve">Jurong Technologies Industrial
Corp Ltd, headquartered in
Singapore, manufactures
electronic equipment. These
include wireless PCBA, handset
box builds, wireless
accessories products, battery
packs, television sets and
bluetooth modules in
Singapore, Malaysia, China,
Indonesia and Brazil. The
company provides EMS solutions
to its customers that include
product design and
development; raw material
procurement and management;
prototyping; print circuit
board assembly; and modular
products. It was founded in
April 1986.
Spirit Solutions Inc, located
in Dayton, Ohio, manufactures
and develops thermal imaging
equipment for military
applications. The Company also
develops open based K2
software platform too process
infrared thermal imaging
communication.</t>
  </si>
  <si>
    <t xml:space="preserve">3674
3823</t>
  </si>
  <si>
    <t xml:space="preserve">JURONG TECHNOLOGIES INDUSTRIAL CORP LTD/SPIRIT SOLUTIONS INC- STRATEGIC
ALLIANCE</t>
  </si>
  <si>
    <t xml:space="preserve">Jurong Technologies Industrial Corp Ltd (JT) and Spirit Solutions Inc
formed a strategic alliance to manufacture and develop breast cancer
screening system.</t>
  </si>
  <si>
    <t xml:space="preserve">48190L
84835P</t>
  </si>
  <si>
    <t xml:space="preserve">UOP LLC
Ensyn Technologies Inc</t>
  </si>
  <si>
    <t xml:space="preserve">Mnfr,whl molecular sieves
Mnfr,dvlp pyrolysis tech</t>
  </si>
  <si>
    <t xml:space="preserve">UOP LLC, located in Des
Plaines, Illinois,
manufactures and sells
molecular sieves and alumina
adsorbents, process
technologies, catalysts and
gasoline production
technologies for the renewable
energy and refining industry,
production equipment for the
manufacture of aromatics,
normal paraffin and linear
alkylbenzene, light olefins
and for gas processing. The
company was founded in 1914.
Ensyn Technologies Inc,
located in Ottawa, Ontario,
manufactures and develops
the Rapid Thermal Processing
to produce oil from biomass,
especially wood and wood
wastes. Ensyn also used
related technology to
upgrade heavy oil and
bitumen. The Company was
founded in 1984.</t>
  </si>
  <si>
    <t xml:space="preserve">3823
3823</t>
  </si>
  <si>
    <t xml:space="preserve">Honeywell International Inc
Ensyn Technologies Inc</t>
  </si>
  <si>
    <t xml:space="preserve">3812
3823</t>
  </si>
  <si>
    <t xml:space="preserve">UOP LLC/ENSYN-JOINT VENTURE</t>
  </si>
  <si>
    <t xml:space="preserve">UOP LLC (UL), a unit of Honeywell International Inc, and Ensyn Technologies
Inc (ET) signed letter of intent to form a joint venture (JV) to provide
research and development services in the United States. The JV was to
develop next-generation technology to refine bio-oil into transport fuels
such as green gasoline, green diesel and green jet fuel. The JV was to also
market ET's Rapid Thermal Processing technology.</t>
  </si>
  <si>
    <t xml:space="preserve">90317X
29693T</t>
  </si>
  <si>
    <t xml:space="preserve">Nec Electronincs
IBM Corp</t>
  </si>
  <si>
    <t xml:space="preserve">NEC Electronics Corp
manufactures semiconductors,
based in Kanagawa. The Group's
principal activity is to
provide system-level
semiconductor solutions for
electronic products and
systems. The Group's
operations are carried out
through the following business
segments: Communications,
Computing and peripherals,
Consumer electronics,
Automotive and industrial,
Multi-market IC's, Discrete,
Optical and microwave devices
and others.
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t>
  </si>
  <si>
    <t xml:space="preserve">NEC Corp
IBM Corp</t>
  </si>
  <si>
    <t xml:space="preserve">7373
3571</t>
  </si>
  <si>
    <t xml:space="preserve">NEC ELECTRONICS CORP/{IBM CORP}-STRATEGIC ALLIANCE</t>
  </si>
  <si>
    <t xml:space="preserve">International Business Machines Corp and NEC Electronics Corp (NE), a unit
of NEC CORP, formed a strategic alliance to provide next-generation
semiconductor process technology development services. Under terms of the
agreement, NE was expected to participate in a joint development project
for the next generation core CMOS process at the 32-nm node, and in
advanced fundamental research for leading edge semiconductor technologies.</t>
  </si>
  <si>
    <t xml:space="preserve">J4881U
459200</t>
  </si>
  <si>
    <t xml:space="preserve">Varian Inc
GE Healthcare</t>
  </si>
  <si>
    <t xml:space="preserve">Mnfr,whl scientific instr
Manufacture diagnostic imaging equipment</t>
  </si>
  <si>
    <t xml:space="preserve">Varian Inc, located in Palo
Alto, California,
manufactures, markets and
wholesales scientific
instruments including
chromatography and optical
spectroscopy systems for
chemical analysis, nuclear
magnetic resonance
spectroscopy systems used in
biomedicine and materials
research, and vacuum
technologies, such as
high-vacuum pumps and helium
leak detectors. The company
operates in the United States,
the United Kingdom, Italy,
Netherlands, France, Spain,
Australia, China Singapore and
Korea. The company was founded
in 1999.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</si>
  <si>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3826
3845</t>
  </si>
  <si>
    <t xml:space="preserve">Varian Inc
General Electric Co</t>
  </si>
  <si>
    <t xml:space="preserve">3826
3612</t>
  </si>
  <si>
    <t xml:space="preserve">VARIAN INC/GE HEALTHCARE LTD-STRATEGIC ALLIANCE</t>
  </si>
  <si>
    <t xml:space="preserve">Varian Inc (VI) and GE Healthcare Ltd (GE), a unit of General Electric Co,
formed a strategic alliance to manufacture and develop pre-clinical 7T
magnetic resonance (MR) imaging system. VI was expected to offer customers
a fully integrated 7T system combining GE's state of the art electronics,
user interface, pulse-sequences and applications with the magnet,
gradients, positioning devices and RF coils provided by VI.</t>
  </si>
  <si>
    <t xml:space="preserve">922206
36069Q</t>
  </si>
  <si>
    <t xml:space="preserve">DSM Pharmaceutical Products
LibraGen SA</t>
  </si>
  <si>
    <t xml:space="preserve">Mnfr,whl prescription pharm
Biotechnology company</t>
  </si>
  <si>
    <t xml:space="preserve">DSM Pharmaceutical Products
Inc, headquartered in
Parsippany, New Jersey,
manufactures and wholesales
prescription pharmaceuticals
intended for final
consumption, including biotech
products and antibiotics. It
serves the pharmaceutical,
biopharmaceutical and
agrochemical industries. Its
primary focus is on
biopharmaceutical market as
well as the merchant
pharmaceutical fine chemicals
markets. The company was
founded in 1990.
LibraGen SA, located in
Toulouse, France, is a
biotechnology company. The
company was founded in 2001.</t>
  </si>
  <si>
    <t xml:space="preserve">Koninklijke DSM NV
LibraGen SA</t>
  </si>
  <si>
    <t xml:space="preserve">Netherlands
France</t>
  </si>
  <si>
    <t xml:space="preserve">DSM PHARMACEUTICAL PRODUCTS/LIBRAGEN-STRATEGIC ALLIANCE</t>
  </si>
  <si>
    <t xml:space="preserve">DSM Pharmaceutical Products , a unit of Royal DSM NV, and LibraGen, formed
a strategic alliance to provide new omega-transminases development services
for production of chiral amines. LG was expected to use its proprietary
enzyme discovery and development to identify new enzymes for efficient
conversion of a large spectrum of ketons into optically pure R- and S-
amines, a compound class highly relevant for fine chemicals and
pharmaceuticals industries.</t>
  </si>
  <si>
    <t xml:space="preserve">23556T
53182H</t>
  </si>
  <si>
    <t xml:space="preserve">Genencor International Inc
Goodyaer Tire &amp; Rubber Co</t>
  </si>
  <si>
    <t xml:space="preserve">Biotech co
Investment firm</t>
  </si>
  <si>
    <t xml:space="preserve">Genencor International Inc,
located in Rochester, New
York, is a biotechnology
company, focusing on the
development of genetically
based biological products,
including gene discovery and
functional genomics and
molecular evolution. It
produces protein (enzyme)
products used for industrial
applications in diverse
consumer and industrial
markets, ranging from grain
processing to cleaning and
textiles to biofuels and
biosafety. The company was
founded in 1982.
Investment firm</t>
  </si>
  <si>
    <t xml:space="preserve">Danisco A/S
Goodyaer Tire &amp; Rubber Co</t>
  </si>
  <si>
    <t xml:space="preserve">Denmark
Japan</t>
  </si>
  <si>
    <t xml:space="preserve">2099
6799</t>
  </si>
  <si>
    <t xml:space="preserve">GENENCOR INTERNATIONAL INC/GOODYEAR TIRE &amp; RUBBER CO-STRATEGIC ALLIANCE</t>
  </si>
  <si>
    <t xml:space="preserve">Genencor International Inc (GI), a unit of Danisco AS, and Goodyear Tire &amp;
Rubber Co formed a strategic alliance to manufacture and develop
BioIsoprene, which was a bio-based alternative for the petreoleum-derived
chemical compound isoprene.</t>
  </si>
  <si>
    <t xml:space="preserve">368709
38253R</t>
  </si>
  <si>
    <t xml:space="preserve">Nec Electronincs
Elmos Semiconductor AG</t>
  </si>
  <si>
    <t xml:space="preserve">Mnfr semiconductors
Mnfr,wholesale semiconductors</t>
  </si>
  <si>
    <t xml:space="preserve">NEC Electronics Corp
manufactures semiconductors,
based in Kanagawa. The Group's
principal activity is to
provide system-level
semiconductor solutions for
electronic products and
systems. The Group's
operations are carried out
through the following business
segments: Communications,
Computing and peripherals,
Consumer electronics,
Automotive and industrial,
Multi-market IC's, Discrete,
Optical and microwave devices
and others.
Elmos Semiconductor AG,
located in Dortmund,
Germany, manufactures,
wholesales and designs
semiconductors and related
devices which include
integrated circuits (ASICs)
in analog and mixed signal
CMOS technology. The company
was founded in 1984.</t>
  </si>
  <si>
    <t xml:space="preserve">NEC Corp
Elmos Semiconductor AG</t>
  </si>
  <si>
    <t xml:space="preserve">NEC ELECTRONICS CORP/ELMOS SEMICONDUCTOR AG-STRATEGIC ALLIANCE</t>
  </si>
  <si>
    <t xml:space="preserve">NEC Electronics Corp, a unit of NEC Corp, and Elmos Semiconductor AG (ES)
planned to form a strategic alliance to manufacture and develop
semiconductor products for cars.</t>
  </si>
  <si>
    <t xml:space="preserve">J4881U
28967E</t>
  </si>
  <si>
    <t xml:space="preserve">Marl International Ltd
EAO AG</t>
  </si>
  <si>
    <t xml:space="preserve">Mnfr,whl LED sys
Mnfr,whl switches</t>
  </si>
  <si>
    <t xml:space="preserve">Marl International Ltd,
located in the United Kingdom,
manufactures, designs, and
wholesales visible LED
indication, illumination,
components and systems.
EAO AG, located in
Switzerland, manufactures and
wholesales Human Machine
Interface products and
solutions, from switches,
keypads and keyboards to
complete custom built control
panels. Founded in 1947.</t>
  </si>
  <si>
    <t xml:space="preserve">3674
3613</t>
  </si>
  <si>
    <t xml:space="preserve">United Kingdom
Switzerland</t>
  </si>
  <si>
    <t xml:space="preserve">MARL INTERNATIONSL/EAO HOLDING AG-STRATEGIC ALLIANCE</t>
  </si>
  <si>
    <t xml:space="preserve">Marl International Ltd and EAO AG formed a strategic alliance to
manufacture and develop LED lighting fixtures for the rail industry.</t>
  </si>
  <si>
    <t xml:space="preserve">55644J
26791R</t>
  </si>
  <si>
    <t xml:space="preserve">RCP Technologies Sdn Bhd
Rubber Research Inst Vietnam</t>
  </si>
  <si>
    <t xml:space="preserve">Mnfr,dvlp agro-tech
Pvd research,dvlp svcs</t>
  </si>
  <si>
    <t xml:space="preserve">RCP Technologies Sdn Bhd,
located in Malaysia,
manufactures and develops
agro-technologies such as
insecticide spraying
equipment.
Rubber Research Institute of
Vietnam provides research and
development services on
natural rubber. The company is
headquartered in Ho Chi Minh
City.</t>
  </si>
  <si>
    <t xml:space="preserve">3523
8731</t>
  </si>
  <si>
    <t xml:space="preserve">Malaysia
Vietnam</t>
  </si>
  <si>
    <t xml:space="preserve">Greenyield Bhd
Rubber Research Inst Vietnam</t>
  </si>
  <si>
    <t xml:space="preserve">2873
8731</t>
  </si>
  <si>
    <t xml:space="preserve">RCP TECHNOLOGIES SDN BHD/RUBBER RESEARCH INSTITUTE OF VIETNAM-STRATEGIC
ALLIANCE</t>
  </si>
  <si>
    <t xml:space="preserve">RCP Technologies Sdn Bhd, a unit of GreenYield Bhd, and Rubber Research
Institute of Vietnam (RR) formed a strategic alliance to provide research
and development services related to agro-technology for rubber trees and
rubber plantations.</t>
  </si>
  <si>
    <t xml:space="preserve">76339V
78144N</t>
  </si>
  <si>
    <t xml:space="preserve">Signum Biosciences Inc
ROHTO Pharmaceutical Co Ltd</t>
  </si>
  <si>
    <t xml:space="preserve">Biotechnology company
Mnfr,whl ophthalmic medicines</t>
  </si>
  <si>
    <t xml:space="preserve">Signum Biosciences Inc is a
biotechnology company
headquartered in Monmouth
Junction, New Jersey. The
Company develops
small-molecule therapeutics
derived from its Signal
Transduction Modulation
platform to modulate signal
transduction imbalances.
ROHTO Pharmaceutical Co Ltd,
located in Osaka, Japan,
principally engaged in the
health and beauty care area.
The Company primarily provides
eye care-related products,
including eye drops and eye
lotions; skin care-related
products, including
dermatological preparations,
lip balms, sunscreens and
functional cosmetics; oral
medication and food-related
products, including digestive
medicines, Chinese herbal
medicines and supplements, as
well as extracorporeal test
drugs and other products. The
Company operates its business
in domestic market and
overseas markets, including
Europe, Asia and America. The
company was founded in 1899.</t>
  </si>
  <si>
    <t xml:space="preserve">2836
2844</t>
  </si>
  <si>
    <t xml:space="preserve">SIGNUM BIOSCIENCES/ROHTO PHARMACEUTICAL CO LTD-STRATEGIC ALLIANCE</t>
  </si>
  <si>
    <t xml:space="preserve">Signum Biosciences Inc (SB) and Rohto Pharmaceutical Co Ltd (RP) formed a
strategic alliance wherein SB licensed RP to develop and sell products
containing SB's anti-inflammatory ingredient Arazine in Japan. SB was
expected to receive significant license fees and investment funds which
will help it continue to develop and expand its portfolio of skin care
ingredients.</t>
  </si>
  <si>
    <t xml:space="preserve">82391Z
77542C</t>
  </si>
  <si>
    <t xml:space="preserve">Saint Joseph's Hospital &amp;
InNexus Biotechnology Inc</t>
  </si>
  <si>
    <t xml:space="preserve">Own,op hospital
Biotechnology company</t>
  </si>
  <si>
    <t xml:space="preserve">St. Joseph's Hospital and
Medical Center, owns and
operates a hospital. The
company is headquartered in
Phoenix, Arizona. It manages
743-bed hospital that is
recognized for outstanding
patient care, medical
education and research
projects. Founded in 1895.
InNexus Biotechnology Inc,
located in Vancouver, British
Columbia, is a drug
development company
commercializing the next
generation of monoclonal
antibodies based on its
Dynamic Cross Linking
technology, which improves the
potency of existing antibody
products and create a novel
class of antibody based drugs.
The company was founded in
1997.</t>
  </si>
  <si>
    <t xml:space="preserve">Catholic Healthcare West
InNexus Biotechnology Inc</t>
  </si>
  <si>
    <t xml:space="preserve">ST JOSEPH HOSPITAL/INNEXUS BIOTECHNOLOGY INC-STRATEGIC ALLIANCE</t>
  </si>
  <si>
    <t xml:space="preserve">St. Joseph's Hospital and Medical Center, a unit of Catholic Healthcare
West, and InNexus Biotechnology Inc, formed a strategic alliance to provide
research, development and commercialization services of monoclonal
antibodies based on Dynamic Cross Linking for the treatments of
endometriosis globally. An endometriosis occurs when tissues that normally
grow inside the uterus, would instead grow on the outside. These tissues
often grow on the surfaces of organs in the pelvis or abdomen, where they
were not supposed to grow. Financial terms were not disclosed.</t>
  </si>
  <si>
    <t xml:space="preserve">79062J
45771Q</t>
  </si>
  <si>
    <t xml:space="preserve">Archer Daniels Midland Co
PolyOne Corp</t>
  </si>
  <si>
    <t xml:space="preserve">Produce,wholesale agricultural products
Manufacture,wholesale polymer products</t>
  </si>
  <si>
    <t xml:space="preserve">Archer Daniels Midland Co is
an oilseed processor. It
produces and wholesales
agricultural products
including oilseeds, corn,
wheat, Milo, oats, barley
peanuts, ethanol, flour,
flour additives, cocoa
products, bakery products,
lettuce and other
vegetables, beans,
spaghetti, noodles,
macaroni, and livestock feed
and health products. The
Company operations are
classified into three
business segments: oilseeds
processing, corn processing
and agricultural services.
It also owns and operates
fish farms and is a holding
company. The Company was
founded in 1902 and is
located in Chicago,
Illinois.
PolyOne Corp, headquartered
in Avon Lake, Ohio,
manufactures and wholesales
specialized polymer
products. It specializes in
colorants and additive
concentrates used in
plastics manufacturing
processes, injection
molding, extrusion, sheet,
film, rotational molding and
blow. It has operations
primarily in the United
States, Europe, Canada,
Asia, and Mexico and
operates through its four
segments namely Vinyl
Business, International
Color, Engineered Materials
and PolyOne Distribution.
The Company was founded in
1885.</t>
  </si>
  <si>
    <t xml:space="preserve">2074
2821</t>
  </si>
  <si>
    <t xml:space="preserve">IL
OH</t>
  </si>
  <si>
    <t xml:space="preserve">ARCHER DANIELS MIDLAND CO/POLYONE CORP-STRATEGIC ALLIANCE</t>
  </si>
  <si>
    <t xml:space="preserve">Archer Daniels Midland Co and PolyOne Corp formed a strategic alliance to
provide bio-based plasticizers development services for use in polymer
formulations.  Plasticizers were used primarily to make plastics softer and
more flexible.</t>
  </si>
  <si>
    <t xml:space="preserve">039483
73179P</t>
  </si>
  <si>
    <t xml:space="preserve">US Genomics Inc
Becton Dickinson &amp; Co</t>
  </si>
  <si>
    <t xml:space="preserve">Mnfr molecule biology analyzer
Surgical Appliance and Supplies Manufacturing</t>
  </si>
  <si>
    <t xml:space="preserve">US Genomics Inc, headquartered
Woburn, Massachusetts,
manufactures and develops
Trilogy analyzer and
associated reagents to enable
single molecule biology for
the life sciences industry.
The company was founded in
1997.
Becton Dickinson &amp; Co,
located in Franklin Lakes,
New Jersey, is a
manufacturer of surgical
appliance and supplies. It
manufactures and wholesales
a range of medical supplies,
devices, laboratory
equipment and diagnostic
products. It also develops
solutions for medical
research and clinical
laboratories. The Company
was founded in 1897.</t>
  </si>
  <si>
    <t xml:space="preserve">US GENOMICS INC/BECTON DICKINSON &amp; CO{BD}-STRATEGIC ALLIANCE</t>
  </si>
  <si>
    <t xml:space="preserve">US Genomics Inc (UG) and Becton Dickinson &amp; Co{BD} formed a strategic
alliance to provide novel infectious disease diagnostic platform
development services in the United States.</t>
  </si>
  <si>
    <t xml:space="preserve">91202W
075887</t>
  </si>
  <si>
    <t xml:space="preserve">Svenska Cellulosa AB SCA
Sodra</t>
  </si>
  <si>
    <t xml:space="preserve">Sanitary Paper Product Manufacturing
Business Associations</t>
  </si>
  <si>
    <t xml:space="preserve">Svenska Cellulosa AB SCA,
located in Stockholm,
Sweden, manufactures and
wholesales absorbent hygiene
products including tissue,
incontinence products, baby
diapers and feminine hygiene
products, corrugated
packaging and
containerboard, forest
products including
publication papers, pulp,
timber, solid wood products
and forest fuel. Among its
well-known brands are
Libero, Zewa, Drypers,
Handee, Edet and Velvet. The
Company was founded in 1929.
Sodra Skogsagarna Ekonomisk
Forening, located in Vaxjo,
Sweden, in an association
that provides forestry
services. It is also
involved in manufacturing of
paper pulpwood products
and acts as a holding
company for its
subsidiaries. The Company
was founded in 1926.</t>
  </si>
  <si>
    <t xml:space="preserve">2676
8611</t>
  </si>
  <si>
    <t xml:space="preserve">SVENSKA CELLULOSA AB/SODRA GROUP AB- STRATEGIC ALLIANCE</t>
  </si>
  <si>
    <t xml:space="preserve">Svenska Cellulosa AB and Sodra Group AB formed a strategic alliance to
manufacture and develop eco friendly diapers that would use wood based
absorbents in Sweden.</t>
  </si>
  <si>
    <t xml:space="preserve">869587
83379V</t>
  </si>
  <si>
    <t xml:space="preserve">ChemBridge Corp
AstraZeneca PLC</t>
  </si>
  <si>
    <t xml:space="preserve">Biotechnology company
Manufactures, wholesales pharmaceutical products</t>
  </si>
  <si>
    <t xml:space="preserve">Biotechnology company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</si>
  <si>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CHEMBRIDGE CORP/ASTRAZENECA PLC(WAS 046353)-STRATEGIC ALLIANCE</t>
  </si>
  <si>
    <t xml:space="preserve">ChemBridge Corp and AstraZeneca PLC formed a strategic alliance to provide
research and development services of new generation of highly advanced,
research intensive small molecule libraries globally. Financial terms were
not disclosed.</t>
  </si>
  <si>
    <t xml:space="preserve">16356V
046353</t>
  </si>
  <si>
    <t xml:space="preserve">Fusion IP PLC
Asterion Ltd</t>
  </si>
  <si>
    <t xml:space="preserve">Biotechnology company
Mnfr,dvlp therapeutic proteins</t>
  </si>
  <si>
    <t xml:space="preserve">Fusion IP PLC, located in
Sheffield, UK, is a
biotechnology company. Its
principal activity is
commercializing intellectual
property that is developed at
universities and similar
establishments. The company's
operation focuses on hormone
replacement and angiogenesis
compounds. It also has
operations relating to vaccine
adjuvants, cytokine therapies,
stem cell therapy, drug
metabolism and chronic wound
therapy. The company was
founded in 2002.
Asterion Ltd, located in
Sheffield, United Kingdom,
manufactures and develops
novel therapeutic products
with superior pharmacological
profiles that will improve the
current treatment options for
patients with chronic and
debilitating diseases.</t>
  </si>
  <si>
    <t xml:space="preserve">FUSION IP PLC/ASTERION LTD-STRATEGIC ALLIANCE</t>
  </si>
  <si>
    <t xml:space="preserve">Fusion IP PLC (FI) and Asterion Ltd formed a strategic alliance to provide
research and development services in the United Kingdom. The partners
collaborated to develop a long-acting form of a non-cytokine protein.</t>
  </si>
  <si>
    <t xml:space="preserve">36521R
04467A</t>
  </si>
  <si>
    <t xml:space="preserve">TomTom International BV
Regie Natle Des Usines</t>
  </si>
  <si>
    <t xml:space="preserve">Search Detection Navigation Guidance Aeronautical and Nautical System and Instrument Manufacturing
Automobile Manufacturing</t>
  </si>
  <si>
    <t xml:space="preserve">TomTom International BV,
located in Amsterdam,
Netherlands, manufactures
and develops personal
navigation systems with
products including
integrated devices for
vehicle navigation as well
as non-integrated
navigations solutions for
PDAs and smartphones. Its
products also specialize in
fleet management and
optimisation, workforce
management, vehicle tracking
and green and safe driving,
by providing maps,
navigation software,
real-time traffic
information and services.
The Company has offices in
37 countries in Europe,
North America and Asia
Pacific. The Company was
founded in 1991.
Regie Nationale Des Usines
Renault SA is a manufacturer
of and parts focusing on
passenger cars, light
commercial vehicles and
other special purpose
vehicles. With major
operations in Europe,
France, Africa, Asia and the
US. The Company markets its
products in these regions
under the brands, Renault,
Renault Samsung and Dacia.
The Company was founded in
1898 and is located in
Boulogne-Billancourt,
France.</t>
  </si>
  <si>
    <t xml:space="preserve">TOMTOM NV/REGIE NATIONALE DES USINES RENAULT SA-STRATEGIC ALLIANCE</t>
  </si>
  <si>
    <t xml:space="preserve">TomTom NV and Regie Nationale des Usines Renault SA {Renault SA} formed a
strategic alliance to manufacture and develop integrated car navigation
systems.</t>
  </si>
  <si>
    <t xml:space="preserve">88973K
759673</t>
  </si>
  <si>
    <t xml:space="preserve">Danfoss A/S
Tianjin Sanhua Refrigeration</t>
  </si>
  <si>
    <t xml:space="preserve">Mnfr electronic components
Whl refrigeration equip</t>
  </si>
  <si>
    <t xml:space="preserve">Danfoss AS, located in
Nordborg, Denmark,
manufactures and wholesales
mechanical and electronic
components through its 4
business segments: Danfoss
Power Solutions, Danfoss
Cooling, Danfoss Drives and
Danfoss Heating. The
Company''s products include
compressors, air
conditioning, refrigeration,
heating and hydraulic
components, switchboard
equipment and environmental
controls. It was founded in
1933.
Tianjin Sanhua Refrigeration
Equipment Co Ltd, located in
China, wholesales
refrigeration equipment.</t>
  </si>
  <si>
    <t xml:space="preserve">3679
5064</t>
  </si>
  <si>
    <t xml:space="preserve">Denmark
China</t>
  </si>
  <si>
    <t xml:space="preserve">Bitten Og Mads Clausens Fond
Tianjin Sanhua Refrigeration</t>
  </si>
  <si>
    <t xml:space="preserve">6726
5064</t>
  </si>
  <si>
    <t xml:space="preserve">DANFOSS A/S/TIANJIN SANHUA REFRIGERATION-DANFOSS FUMAO(TIANJIN)CONDENSING
UNIT CO JOINT VENTURE</t>
  </si>
  <si>
    <t xml:space="preserve">Danfoss Fumao (Tianjin)
Condensing Unit Co Ltd,
located in China,
manufactures, develops and
sells refrigeration equipment.
Founded in 2008.</t>
  </si>
  <si>
    <t xml:space="preserve">Danfoss A/S (DA) and Tianjin Sanhua Refrigeration Equipment Co Ltd (TS)
formed a joint venture named Danfoss Fumao (Tianjin) Condensing Unit Co Ltd
(DF) to manufacture, develop and wholesale refrigeration equipment in
China. DA held a 51% interest in DF while TS held a 49% stake.</t>
  </si>
  <si>
    <t xml:space="preserve">23864K</t>
  </si>
  <si>
    <t xml:space="preserve">23612I
88764X</t>
  </si>
  <si>
    <t xml:space="preserve">China Recycling Energy Corp
China Aviation Ind Gas Turbine</t>
  </si>
  <si>
    <t xml:space="preserve">Recycling energy co
Mnfr gas turbines</t>
  </si>
  <si>
    <t xml:space="preserve">China Recycling Energy Corp,
located in Xi'an, China, is a
recycling energy solution
company engaged in the
development, investment,
construction and operation of
recovered energy power plants
for a wide variety of
industrial processes, such as
steel mills, cement factories,
coke and petrochemical plants
in China.
China Aviation Industry Gas
Turbine Power (Group) Corp
manufactures industry gas
turbines.</t>
  </si>
  <si>
    <t xml:space="preserve">5093
3511</t>
  </si>
  <si>
    <t xml:space="preserve">China Recycling Energy Corp
AVIC I</t>
  </si>
  <si>
    <t xml:space="preserve">5093
3721</t>
  </si>
  <si>
    <t xml:space="preserve">CHINA RECYCLING ENERGY CORP (WAS 169383)/CHINA AVIATION GAS TURBINE-
STRATEGIC ALLIANCE</t>
  </si>
  <si>
    <t xml:space="preserve">China Recycling Energy Corp and China Aviation Industry Gas Turbine Power
(Group) Corp formed a strategic alliance to provide research and
development services of blast furnace top-gas recovery turbines and
combined cycle power plants in China.</t>
  </si>
  <si>
    <t xml:space="preserve">168913
06219R</t>
  </si>
  <si>
    <t xml:space="preserve">Orchid Research Labs Ltd
Merck &amp; Co Inc</t>
  </si>
  <si>
    <t xml:space="preserve">Orchid Research Laboratories
Ltd is a biotechnology company
headquartered in Chennai. The
company is Orchid Chemicals &amp;
Pharmaceuticals Ltd's new drug
discovery and development
unit.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</si>
  <si>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Orchid Chem &amp; Pharm Ltd
Merck &amp; Co Inc</t>
  </si>
  <si>
    <t xml:space="preserve">ORCHID RESEARCH LABORATORIES/MERCK &amp; CO INC- STRATEGIC ALLIANCE</t>
  </si>
  <si>
    <t xml:space="preserve">Orchid Research Laboratories Ltd, a unit of Orchid Chemicals &amp;
Pharmaceuticals Ltd and Merck &amp; Co Inc formed a strategic alliance to
provide novel agents development, discovery and commercializaion services
for the treatment of bacterial and fungal infections. The companies will
work to identify and develop novel antibacterial and anti fungal compounds
as clinically validated drug candidates. Under terms of the agreement, OR
will be paid an undisclosed upfront sum, and is eligible to receive
payments totaling to more than $100 mil (4.7 bil Indian rupees)associated
with the achivement of various research and development milestones.</t>
  </si>
  <si>
    <t xml:space="preserve">Orchid Research Laboratories Ltd  will be paid an undisclosed upfront sum,
and is eligible to receive payments totaling to more than $100 mil (4.7 bil
Indian rupees)associated with the achivement of various research and
development milestones.</t>
  </si>
  <si>
    <t xml:space="preserve">68584Y
589331</t>
  </si>
  <si>
    <t xml:space="preserve">Zenergy Power PLC
Honeywell International Inc</t>
  </si>
  <si>
    <t xml:space="preserve">Mnfr,develop superconductor
Search Detection Navigation Guidance Aeronautical and Nautical System and Instrument Manufacturing</t>
  </si>
  <si>
    <t xml:space="preserve">Zenergy Power PLC, located
in London, United Kingdom,
manufactures and develops
superconductor materials and
devices. The Company has
three operating subsidiaries
in Germany, United States
and Australia. The company
was founded in 2006.
was founded in 2006.
Honeywell International Inc,
located in Morris Plaines,
New Jersey, manufactures
automation and aerospace
solutions. Its products
include aircraft engines,
environmental control
systems, collision avoidance
radar systems, cockpit data
recorders, space-pointing
devices and control systems
for spacecraft, and
antisubmarine warfare
systems. The Company also
designs, engineers and
manufactures automotive
products such as braking
systems, engine components
and safety restraint
systems, as well as control
technologies for building,
homes and industry. The
Company was founded in 1885.</t>
  </si>
  <si>
    <t xml:space="preserve">3612
3812</t>
  </si>
  <si>
    <t xml:space="preserve">ZENERGY POWER PLC/HONEYWELL-STRATEGIC ALLIANCE</t>
  </si>
  <si>
    <t xml:space="preserve">Zenergy Power PLc and Honeywell International Inc formed a strategic
alliance to provide research and development services of commercial
applications for high-temperature superconductive materials in United
Kingdom. The alliance was expected to produce a  superior methods of
chemical processing.</t>
  </si>
  <si>
    <t xml:space="preserve">99123H
438516</t>
  </si>
  <si>
    <t xml:space="preserve">Qian Hu Corp Ltd
Temasek Life Sciences Lab Ltd</t>
  </si>
  <si>
    <t xml:space="preserve">Own,op ornamental fish farm
Pvd research,development svcs</t>
  </si>
  <si>
    <t xml:space="preserve">Qian Hu Corp Ltd, located in
Singapore, owns and operates
ornamental fish farm,
including breeding of Dragon
fish, farming, importing,
exporting and distributing of
ornamental fish as well as
manufacturing of aquarium and
pet accessories. The company
operates in Singapore,
Malaysia, Thailand and China.
Temasek Life Sciences
Laboratory Ltd, located in
Singapore, provides research
and development services in
molecular biology and
genetics utilizing a broad
range of model organisms.
The company was founded in
2002.</t>
  </si>
  <si>
    <t xml:space="preserve">0273
8731</t>
  </si>
  <si>
    <t xml:space="preserve">QIAN HU CORP LTD/TEMASEK LIFE SCIENCES LABORATORY LTD-STRATEGIC ALLIANCE</t>
  </si>
  <si>
    <t xml:space="preserve">Qian Hu Corp Ltd and Temasek Life Sciences Laboratory Ltd formed a
strategic alliance to provide research and development services of breed
pedigree dragon fish or arowana using in-vitro fertilisation in Singapore.
The alliance was a strategic growth opportunity both for the partners to
leverage their molecular biology and genetics services and to further
expand their market coverage in the region.</t>
  </si>
  <si>
    <t xml:space="preserve">74716E
88266Z</t>
  </si>
  <si>
    <t xml:space="preserve">International Brachytherapy SA
000 Bebig</t>
  </si>
  <si>
    <t xml:space="preserve">International Brachytherapy
SA, headquartered in
Seneffe, Belgium, is a
biotechnology company,
focusing on the development
of cancer treatment
implants. It has three
product lines namely:
Permanent implant
brachytherapy for treating
prostate cancer; Temporary
brachytherapy for eye cancer
and Multisource to treat
cancer of the head, the
neck, the brain and certain
gynecological cancers.
000 Bebig is a biotechnology
company headquartered in
Russia.</t>
  </si>
  <si>
    <t xml:space="preserve">Belgium
Russian Fed</t>
  </si>
  <si>
    <t xml:space="preserve">INTERNATIONAL BRACHYTHERAPY SA/RUSSIAN CORP-JOINT VENTURE</t>
  </si>
  <si>
    <t xml:space="preserve">International Brachytherapy SA and 000 Bebig planned to form a joint
venture (JV) to provide research and development services of radioactive
microsources, microspheres and accessories used for the treatment of cancer
by brachytherapy in Russia. The JV was to be based in Moscow.</t>
  </si>
  <si>
    <t xml:space="preserve">45916H
73848X</t>
  </si>
  <si>
    <t xml:space="preserve">Astellas Pharma Inc
Maxygen Inc</t>
  </si>
  <si>
    <t xml:space="preserve">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
Maxygen Inc, headquartered in
Redwood City, California, is a
biotechnology company focused
on the development of superior
versions of validated major
protein pharmaceuticals.
Maxygen's lead product
candidates address substantial
market opportunities in
cancer, hemostatis and
rheumatoid arthritis. The
company was founded in 1997.</t>
  </si>
  <si>
    <t xml:space="preserve">ASTELLAS PHARMA INC(WAS 98490Q)/MAXYGEN INC-STRATEGIC ALLIANCE</t>
  </si>
  <si>
    <t xml:space="preserve">Astellas Pharma Inc and Maxygen Inc formed a strategic alliance to provide
research and development services of next-generation CTLA4-Ig protein for
rheumatoid arthritis, transplant rejection and other autoimmune indications
globally. The alliance was a strategic growth opportunity both for the
partners to leverage their research services and to further enhance the
treatment of autoimmune disease and transplant rejection.</t>
  </si>
  <si>
    <t xml:space="preserve">J03393
577776</t>
  </si>
  <si>
    <t xml:space="preserve">Panacea Biotec Ltd
PharmAthene Inc</t>
  </si>
  <si>
    <t xml:space="preserve">Panacea Biotec Ltd is a
manufacturer of
pharmaceutical preparation.
It manufactures and
wholesales vaccines,
pharmaceutical and
biotechnology based
products. The products are
used in various segments
like, pediatric vaccines,
pain management, diabetes
management and organ
transplantation. It operates
in three segments such as
Vaccines, Formulations and
Research and Development.
The Company was founded in
1984 and is located in New
Delhi, India.
PharmAthene Inc, located in
Annapolis, Maryland, is a
biotechnology company
involved in the development
of countermeasures to a
range of potential
biological and chemical
weapons. The company is
backed by Bear Stearns
Health Innoventure Fund,
LLC, HealthCare Ventures,
LLC, MPM Capital, MDS
Capital Corp and Ontario
Teachers Pension Plan. The
company was founded in 2001.</t>
  </si>
  <si>
    <t xml:space="preserve">PANACEA BIOTEC LTD/PHARMATHENE INC(WAS 71697Y)-STRATEGIC ALLIANCE</t>
  </si>
  <si>
    <t xml:space="preserve">Panacea Biotec Ltd and PharmAthene Inc formed a strategic alliance to
provide research and development services of medical countermeasures and
bio-defence products against biological and chemical weapons globally.</t>
  </si>
  <si>
    <t xml:space="preserve">Y6695F
71714G</t>
  </si>
  <si>
    <t xml:space="preserve">Athera Biotechnologies AB
Dyax Corp</t>
  </si>
  <si>
    <t xml:space="preserve">Athera Biotechnologies AB is a
biotechnology company that
develops novel products for
risk assessment and treatment
of CVD, headquartered in
Stockholm, Sweden. Founded in
2002.
Dyax Corp, based in
Burlington, Massachusetts, is
a biotechnology company
focused to identify, develop
and provides commercialized
treatments for angioedemas
that are identified as PKM
angioedemas, including HAE.
The company was founded in
1995.</t>
  </si>
  <si>
    <t xml:space="preserve">Karolinska Development AB
Dyax Corp</t>
  </si>
  <si>
    <t xml:space="preserve">ATHERA BIOTECHNOLOGIES AB/DYAX CORP(WAS 26746Q)-STRATEGIC ALLIANCE</t>
  </si>
  <si>
    <t xml:space="preserve">Dyax Corp and Athera Biotechnologies AB formed a strategic alliance to
provide research and development services of therapeutic products for the
prevention or treatment of cardiovascular inflammatory diseases globally.</t>
  </si>
  <si>
    <t xml:space="preserve">88496W
26746E</t>
  </si>
  <si>
    <t xml:space="preserve">Jubilant Organosys Ltd
Eli Lilly &amp; Co</t>
  </si>
  <si>
    <t xml:space="preserve">Mnfr,whl pharm,specialty chem
Manufactures,wholesales pharmaceuticals</t>
  </si>
  <si>
    <t xml:space="preserve">Jubilant Organosys Ltd,
located in Noida, India,
manufactures and wholesales
pharmaceuticals and
specialty chemicals. These
products primarily have
applications in the
pharmaceutical,
agrochemical, textiles, and
food industries. It also
offers related research
services. It markets its
products and services in
India, the United States of
America, Europe, China, and
rest of Asia. The company
was founded in 1978.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</si>
  <si>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JUBILANT ORGANOSYS LTD(WAS 91857Y)/ELI LILLY &amp; CO-JOINT VENTURE</t>
  </si>
  <si>
    <t xml:space="preserve">Jubilant Organosys Ltd and Eli Lilly &amp; Co formed a joint venture (JV) to
provide research and development services of drugs in the areas of
oncology, diabetes and cardiovascular in India. The partners each held a
50% interest in the JV. The JV was to be based in Bangalore and was
expected to commence operations by the end of 2008. The partners were
expected to invest an estimated $8 mil US (374.725 mil Indian rupees) to
the JV's pre-clinical molecules and early stage drug development projects.
</t>
  </si>
  <si>
    <t xml:space="preserve">The partners were expected to invest an estimated $8 mil US (374.725 mil
Indian rupees) to the JV's pre-clinical molecules and early stage drug
development projects.</t>
  </si>
  <si>
    <t xml:space="preserve">48123X
532457</t>
  </si>
  <si>
    <t xml:space="preserve">Exxonmobil Research &amp; Engineer
Pratt &amp; Whitney Rocketdyne Inc</t>
  </si>
  <si>
    <t xml:space="preserve">Pvd research svcs
Manufacture rocket engines</t>
  </si>
  <si>
    <t xml:space="preserve">ExxonMobil Research &amp;
Engineering Co, located in New
Jersey, provides energy and
chemical research and
engineering services.
Pratt &amp; Whitney Rocketdyne
Inc, located in Canoga Park,
California, manufactures
rocket engines and space
propulsion systems.</t>
  </si>
  <si>
    <t xml:space="preserve">8731
3724</t>
  </si>
  <si>
    <t xml:space="preserve">Exxon Mobil Corp
United Technologies Corp</t>
  </si>
  <si>
    <t xml:space="preserve">2911
3724</t>
  </si>
  <si>
    <t xml:space="preserve">EXXONMOBILE RESEARCH &amp; ENGINEERING CO/PRATT &amp; WHITNEY ROCKETDYNE INC-
STRATEGIC ALLIANCE</t>
  </si>
  <si>
    <t xml:space="preserve">ExxonMobil Research &amp; Engineering Co, a unit of ExxonMobil Corp, and Pratt
&amp; Whitney Rocketdyne Inc, a unit of United Technologies Corp's Pratt &amp;
Whitney Co subsidiary, formed a strategic alliance to provide new
gasification technology development services in the United States.</t>
  </si>
  <si>
    <t xml:space="preserve">30464N
73845T</t>
  </si>
  <si>
    <t xml:space="preserve">Gene Express Inc
AbaStar MDx Inc</t>
  </si>
  <si>
    <t xml:space="preserve">Mnfr,dvlp diagnostic tech
Mnfr,dvlp diagnostic test</t>
  </si>
  <si>
    <t xml:space="preserve">Gene Express Inc, located in
Wilmington, North Carolina,
manufactures and develops
molecular diagnostic
technology such as the
StaRT-PCR (Standardized
Reverse Transcription
Polymerase Chain Reaction)
platform technology that
measures gene expression
levels in cells, clinical
biopsies and blood.
AbaStar MDx Inc, located in
Lake Bluff, Illinois,
manufactures and develops
blood-based gene expression,
molecular diagnostic tests for
the accurate diagnosis of
mental disorders and
neurodegenerative diseases.</t>
  </si>
  <si>
    <t xml:space="preserve">ABASTAR MDX INC/GENE EXPRESS INC-STRATEGIC ALLIANCE</t>
  </si>
  <si>
    <t xml:space="preserve">AbaStar MDx Inc (AM) and Gene Express Inc (GE) formed a strategic alliance
wherein GE licensed AM to utilize its SEM Center and StaRT-PCR technology
to develop genetic biomarkers for the diagnosis of neurological and
psychological disorders in the United States.</t>
  </si>
  <si>
    <t xml:space="preserve">30002C
98317N</t>
  </si>
  <si>
    <t xml:space="preserve">VIBGYOR Scientific Research
Cardiovascular Center Aalst
Genae</t>
  </si>
  <si>
    <t xml:space="preserve">Pvd research,dvlp svcs
Pvd research,dvlp svcs
Pvd research,dvlp svcs</t>
  </si>
  <si>
    <t xml:space="preserve">VIBGYOR Scientific Research
Pvt Ltd, headquartered in
Gujarat, India, and with
locations in United Kingdom
and United States, provides
clinical research services
such as total project
management of phase II-IV drug
and device studies, FIM device
studies, ECG core lab, Medical
Writing and Communications,
Regulatory Services,
Pharmacovigilance, Clinical
Research Training, IT Services
including software and e-CRF
development. Founded in 2000.
Cardiovascular Center,
headquartered in Aalst,
Belgium, and with locations in
Asse and Ninove, Belgium,
provides cardiovascular
research for physicians,
hospitals, universities,
pharmaceutical institutions,
governments and governmental
institutions.
Genae Associates NV is a
provider of research and
development services. The
Company is located in
Antwerp, Belgium. The
Company was founded in 2005.</t>
  </si>
  <si>
    <t xml:space="preserve">8731
8731
8731</t>
  </si>
  <si>
    <t xml:space="preserve">India
Belgium
Belgium</t>
  </si>
  <si>
    <t xml:space="preserve">VIBGYOR RESEARCH/CARDIOVASCULAR CENTER-JOINT VENTURE</t>
  </si>
  <si>
    <t xml:space="preserve">VIBGYOR Scientific Research Pvt Ltd, Cardiovascular Center Aalst, and genae
associates nv, planned to form a joint venture named Imaeon Inc (II) to
provide research and development services of medical images analysis for
clinical research projects in the United States. II was to focus on
quantitative coronary and peripheral angiography (QCA, QVA), computed
tomography (CT) angiography, intravascular ultrasound (IVUS) and IVUS
related techniques, multiple gated acquisition scan (MUGA), optical
coherence tomography (OCT), magnetic resonance imaging (MRI), multi slice
computer tomography (MSCT), electrocardiogram (ECG) and ECHO assessments.</t>
  </si>
  <si>
    <t xml:space="preserve">91952K
83257R
36819F</t>
  </si>
  <si>
    <t xml:space="preserve">Complete Genomics Inc
ISB</t>
  </si>
  <si>
    <t xml:space="preserve">Complete Genomics Inc is a
biotechnology company
headquartered in Mountain
View, California. The Company
develops a third-generation
genome sequencing technology
that will provide complete
human genetic data. Founded in
2006.
Institute for Systems Biology
, located in Seattle,
Michigan, provides research
and development services
focusing in human biology and
identification of strategies
for predicting and preventing
diseases such as cancer,
diabetes and AIDS. The company
was founded in 2000.</t>
  </si>
  <si>
    <t xml:space="preserve">8071
8731</t>
  </si>
  <si>
    <t xml:space="preserve">COMPLETE GENOMICS INC/INSTITUTE FOR SYSTEMS BIOLOGY-STRATEGIC ALLIANCE</t>
  </si>
  <si>
    <t xml:space="preserve">Complete Genomics Inc and Institute for Systems Biology formed a strategic
alliance to provide human genome population study services in the United
States.</t>
  </si>
  <si>
    <t xml:space="preserve">20454K
46773P</t>
  </si>
  <si>
    <t xml:space="preserve">Panasonic Corp
Renesas Technology Corp</t>
  </si>
  <si>
    <t xml:space="preserve">Mnfr,wholesale electronic prod
Mnfr,whl semiconductors</t>
  </si>
  <si>
    <t xml:space="preserve">Panasonic Corp, located in
Osaka, Japan, manufactures
and wholesales consumer
electric and electronic
products. The Audio-Visual
Computer (AVC) Network
segment offers audio and
video equipment. The
Appliance segment provides
household air-conditioning
machines. The System
Communications segment
provides system network and
mobile
communications-related
products and services. The
Eco-solutions segment
consists of riding, energy
system, housing system and
ecological system. The
Automotive systems segment
provides automotive
multimedia-related equipment
and environmental automotive
equipment. The Device
segment provides electronic
components, semiconductors
and optical devices. The
Energy segment provides
solar system and lithium-ion
batteries. The Others
segment consists of health
care, manufacturing
solutions and PanaHome. The
company was founded in 1918.
Renesas Technology Corp,
headquartered in Chiyoda-Ku,
Tokyo, manufactures, designs,
and wholesales system LSIs
including microcomputers,
logic and analog devices,
discrete devices and memory
products such as SRAM. It was
founded in April 2003.</t>
  </si>
  <si>
    <t xml:space="preserve">Panasonic Corp
Hitachi Ltd</t>
  </si>
  <si>
    <t xml:space="preserve">PANASONIC CORP(WAS 576879)/RENESAS TECHNOLOGY CORP(WAS 43383T)- STRATEGIC
ALLIANCE</t>
  </si>
  <si>
    <t xml:space="preserve">Panasonic Corp and Renesas Technology Corp, a joint venture between Hitachi
Ltd and Mitsubishi Electric Corp, formed a strategic alliance to provide
research and development services of next-generation 32nm node chips for
advanced mobile and digital home appliance products in Japan.</t>
  </si>
  <si>
    <t xml:space="preserve">J6354Y
76002J</t>
  </si>
  <si>
    <t xml:space="preserve">Koninklijke Philips Elect
Lawrence Berkeley National</t>
  </si>
  <si>
    <t xml:space="preserve">Manufacture, wholesale electronic products
Pvd scientific research svcs</t>
  </si>
  <si>
    <t xml:space="preserve">Koninklijke Philips
Electronics NV, located in
Amsterdam, the Netherlands,
manufactures and wholesales
electronic products offered to
more than 100 countries. It
focuses on consumer electronic
products including home
entertainment products and
house appliances; electronic
healthcare products such as
medical diagnostic imaging and
patient monitoring machine;
and lightning products. It is
also engaged in the production
of telecommunication equipment
and other electronic products.
It is also a holding company
and acts as parent company of
the Philips Group. The Company
was founded in 1891.
Lawrence Berkeley National
Laboratory, located in
California, provides
scientific research services.
Founded in 1931.</t>
  </si>
  <si>
    <t xml:space="preserve">ROYAL PHILIPS ELECTRONICS/LAWRENCE BERKELEY NATIONAL LABORATORY-STRATEGIC
ALLIANCE</t>
  </si>
  <si>
    <t xml:space="preserve">Koninklijke Philips Electronics NV and Lawrence Berkeley National
Laboratory, a unit of the US Department of Energy, formed a strategic
alliance to provide research and development services on new
energy-efficient solutions for buildings.</t>
  </si>
  <si>
    <t xml:space="preserve">500472
51961Q</t>
  </si>
  <si>
    <t xml:space="preserve">Nielsen Online
ChinaRank</t>
  </si>
  <si>
    <t xml:space="preserve">Pvd Internet search engine svc
Pvd ranking svcs</t>
  </si>
  <si>
    <t xml:space="preserve">Nielsen Online, located in
China, provides internet
search engine services.
ChinaRank, located in Beijing,
China, provides website
ranking services to track
Internet use.</t>
  </si>
  <si>
    <t xml:space="preserve">Valcon Acquisition BV
ChinaRank</t>
  </si>
  <si>
    <t xml:space="preserve">NIELSEN ONLINE INC/CHINARANK- JOINT VENTURE</t>
  </si>
  <si>
    <t xml:space="preserve">CR-Nielsen, located in China,
publish and compile standard
Internet data such as traffic
and ad-spending figures. The
company was founded in October
2008.</t>
  </si>
  <si>
    <t xml:space="preserve">Nielsen Online, a unit of Valcon Acquisition BV's Nielsen Co subsidiary,
and Chinarank formed a joint venture named CR-Nielsen to publish and
compile standard Internet data such as traffic and ad-spending figures in
China.</t>
  </si>
  <si>
    <t xml:space="preserve">Printing &amp; Publishing Services
Research &amp; Development Services</t>
  </si>
  <si>
    <t xml:space="preserve">13093K</t>
  </si>
  <si>
    <t xml:space="preserve">65792E
17366J</t>
  </si>
  <si>
    <t xml:space="preserve">Magnum D'Or Resources Inc
Sekhar Research Innovations</t>
  </si>
  <si>
    <t xml:space="preserve">Pvd recycling svcs
Pvd research,dvlp svcs</t>
  </si>
  <si>
    <t xml:space="preserve">Magnum d'Or Resources Inc,
located in Ft Lauderdale,
Florida, provides recycling
services. They also provide
solid waste solutions and
automated facility operations.
The company was founded in
1999.
Sekhar Research Innovations
Sdn Bhd, located in Selangor,
Malaysia, provides research
and development services on
elastomeric processing
technologies and proprietary
next generation equipment and
processes for the rubber
recycling industry.</t>
  </si>
  <si>
    <t xml:space="preserve">4953
8731</t>
  </si>
  <si>
    <t xml:space="preserve">United States
Malaysia</t>
  </si>
  <si>
    <t xml:space="preserve">MAGNUM D'OR RESOURCES INC/SEKHAR RESEARCH INNOVATIONS-STRATEGIC ALLIANCE</t>
  </si>
  <si>
    <t xml:space="preserve">Magnum D'Or Resources Inc and Sekhar Research Innovations Sdn Bhd planned
to form a strategic alliance to provide research and development services.
The partners were to develop next generation rubber processing aids and a
range of custom multi application compounds.</t>
  </si>
  <si>
    <t xml:space="preserve">55970P
82197E</t>
  </si>
  <si>
    <t xml:space="preserve">Alcon Inc
GlaxoSmithKline PLC</t>
  </si>
  <si>
    <t xml:space="preserve">Manufacture and Wholesale eye care products
Pharmaceutical Preparation Manufacturing</t>
  </si>
  <si>
    <t xml:space="preserve">Alcon Inc, headquarter in
Hunenberg, Switzerland,
manufacture and wholesale
eye care products. The
Company's core business is
centered on three key
divisions: Surgical,
Pharmaceutical and Consumer
Vision Care. It has offices
located in Canada and the
Far East; Europe, Middle
East and Africa; Latin
Americathe Caribbean; and
the United States. The
Company was founded in 1945.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</si>
  <si>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3851
2834</t>
  </si>
  <si>
    <t xml:space="preserve">Nestle SA
GlaxoSmithKline PLC</t>
  </si>
  <si>
    <t xml:space="preserve">2095
2834</t>
  </si>
  <si>
    <t xml:space="preserve">ALCON INC/GLAXOSMITHKLINE PLC(WAS 377327)-STRATEGIC ALLIANCE</t>
  </si>
  <si>
    <t xml:space="preserve">Alcon Inc, a unit of Nestle SA, and GlaxoSmithKline PLC, formed a strategic
alliance to provide research and development services of small molecules
for the treatment of eye diseases using ophthalmic rights to cilomilast, a
phosphodiesterase IV inhibitor.globally.</t>
  </si>
  <si>
    <t xml:space="preserve">H01301
37733W</t>
  </si>
  <si>
    <t xml:space="preserve">Alcon Inc
Origenis GmbH</t>
  </si>
  <si>
    <t xml:space="preserve">Manufacture and Wholesale eye care products
Biotechnology company</t>
  </si>
  <si>
    <t xml:space="preserve">Alcon Inc, headquarter in
Hunenberg, Switzerland,
manufacture and wholesale
eye care products. The
Company's core business is
centered on three key
divisions: Surgical,
Pharmaceutical and Consumer
Vision Care. It has offices
located in Canada and the
Far East; Europe, Middle
East and Africa; Latin
Americathe Caribbean; and
the United States. The
Company was founded in 1945.
Origenis GmbH is a
biotechnology company
headquartered in Germany, it
specializes for drug design,
synthesis, and
characterisation driven by its
patented technology platform
MOREsystem. Founded in 2005.</t>
  </si>
  <si>
    <t xml:space="preserve">Nestle SA
Origenis GmbH</t>
  </si>
  <si>
    <t xml:space="preserve">ALCON INC/OREGENIC GMBH-STRATEGIC ALLIANCE</t>
  </si>
  <si>
    <t xml:space="preserve">Alcon Inc, a unit of Nestle Inc, and Origenis GmbH, formed a strategic
alliance to provide research and development services of small molecules
for the treatment of eye diseases globally. The alliance was a strategic
growth opportunity both for the partners to leverage their developments
services and to further expand their market coverage in ophthalmic
products.</t>
  </si>
  <si>
    <t xml:space="preserve">H01301
68601K</t>
  </si>
  <si>
    <t xml:space="preserve">PTS Inc
Chengdu Pujian Med Equip Mnfg</t>
  </si>
  <si>
    <t xml:space="preserve">Mnfr,whl latex glove dispenser
Mnfr medical equip</t>
  </si>
  <si>
    <t xml:space="preserve">PTS Inc, headquartered in
Nevada, is a manufacturer and
wholesaler of automated latex
glove dispensers targeting
sterile, protective and clean
room environments.
Chengdu Pujian Medical
Equipment Manufacturing Co Ltd
is a medical equipment
manufacturer headquartered in
China.</t>
  </si>
  <si>
    <t xml:space="preserve">3842
3841</t>
  </si>
  <si>
    <t xml:space="preserve">PTS INC/CHENGDU PUJIAN MEDICAL-STRATEGIC ALLIANCE</t>
  </si>
  <si>
    <t xml:space="preserve">PTS Inc and Chengdu Pujian Medical Equipment Manufacturing Co Ltd for
planned to form a strategic alliance to manufacture and develop third
generation Glove Box (TM) in India.</t>
  </si>
  <si>
    <t xml:space="preserve">69366Q
16404K</t>
  </si>
  <si>
    <t xml:space="preserve">Nellson Nutraceutical Inc
Ganeden Biotech Inc</t>
  </si>
  <si>
    <t xml:space="preserve">Produce nutritional supplement
Mnfr,dvlp OTC drugs</t>
  </si>
  <si>
    <t xml:space="preserve">Nellson Nutraceutical LLC,
located in Irwindale,
California, produces
nutritional bars and
supplements, including diet
bars, dry blends and healthy
snacks. The company was
founded in 1962.
Ganeden Biotech Inc, located
in Mayfield Heights, Ohio,
manufacture, develop and
wholesale
over-the-counter-probiotic
drugs for the treatment of
irritable bowel syndrome and
arthritis. The company was
founded in 1997.</t>
  </si>
  <si>
    <t xml:space="preserve">2099
2834</t>
  </si>
  <si>
    <t xml:space="preserve">Calera Capital Management Inc
Ganeden Biotech Inc</t>
  </si>
  <si>
    <t xml:space="preserve">NELLSON NUTRACEUTICAL INC/GANEDEN BIOTECH INC-STRATEGIC ALLIANCE</t>
  </si>
  <si>
    <t xml:space="preserve">Nellson Nutraceutical Inc, a unit of Freemont PArtners, and Ganeden Biotech
Inc formed a strategic alliance to provide probiotic-enhanced nutrition
bars and powdered products development services in the United States.</t>
  </si>
  <si>
    <t xml:space="preserve">64027P
36506K</t>
  </si>
  <si>
    <t xml:space="preserve">Glycotex Inc
Advanced Med Solutions Grp</t>
  </si>
  <si>
    <t xml:space="preserve">Biotechnology company
Mnfr woundcare products</t>
  </si>
  <si>
    <t xml:space="preserve">Biotechnology company
Advanced Medical Solutions
Group PLC, located in
Winsford, UK, manufactures
wound care products such as
wound care dressings and
tissue adhesives for wound
closure. The company was
founded in 1991.</t>
  </si>
  <si>
    <t xml:space="preserve">GLYCOTEX INC/ADVANCED MEDICAL SOLUTIONS GROUP PLC-STRATEGIC ALLIANCE</t>
  </si>
  <si>
    <t xml:space="preserve">Glycotex Inc and Advanced Medical Solutions Group PLC formed a strategic
alliance to provide the use of GLYC-101 with wound dressings services.
GLYC-101 was intented to stimulate and modulate the natural cascade of
would healing activities of several cell populations.</t>
  </si>
  <si>
    <t xml:space="preserve">38004E
00733N</t>
  </si>
  <si>
    <t xml:space="preserve">Lumidigm Inc
Methode Electronics Inc</t>
  </si>
  <si>
    <t xml:space="preserve">Mnfr biometric sensors
Manufacture, wholesale electronic products</t>
  </si>
  <si>
    <t xml:space="preserve">Lumidigm Inc, located in
Albuquerque, New Mexico,
manufactures biometric
fingerprint sensors. It allows
customers to know "who" or
"what" to a high degree of
certainty. Suitable for
industrial, commercial, and
transportation applications.
Methode Electronics Inc,
located in Chicago,
Illinois, is a manufacturer
of electronic connectors. It
manufactures and wholesales
electronic controls and
connectors, printed
circuits, and current
carrying distribution
systems, with manufacturing,
design, and testing
facilities in the United
States, Mexico, Malta,
United Kingdom, Germany,
Czech Republic, Singapore,
and China. The Company was
founded in 1946.</t>
  </si>
  <si>
    <t xml:space="preserve">3999
3678</t>
  </si>
  <si>
    <t xml:space="preserve">NM
IL</t>
  </si>
  <si>
    <t xml:space="preserve">LUMIDIGM INC/METHODE ELECTRONICS INC-STRATEGIC ALLIANCE</t>
  </si>
  <si>
    <t xml:space="preserve">Methode Electronics Inc and Lumidigm Inc formed a strategic alliance to
provide research and development services of automotive-grade biometric
solution in the United States. The partners were to focus on
technology-rich application-specific components and subsystem devices, with
engineering know-how and automotive OEM relationships needed to place this
biometric solution into vehicles.</t>
  </si>
  <si>
    <t xml:space="preserve">55022W
591520</t>
  </si>
  <si>
    <t xml:space="preserve">Pfizer Inc
UCB SA</t>
  </si>
  <si>
    <t xml:space="preserve">Manufacture,wholesale pharmaceuticals
Biopharmaceutical company</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</si>
  <si>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UCB SA, located in Brussels,
Belgium, is a
biopharmaceutical company
focused on the discovery and
development of innovative
medicines and solutions. It
specializes in two
therapeutic areas: diseases
of the central nervous
system (CNS) and immunology.
In the area of central
nervous system disorders, it
is focused on epilepsy,
diabetic neuropathic pain,
multiple sclerosis,
fibromyalgia, restless legs
syndrome and Parkinsons
disease, and the area of
immunology includes, bone
loss disorders, Crohns
disease, rheumatoid
arthritis and respiratory
disease. It also delivers
molecule solutions to
specialists for use in the
treatment of severe
diseases. Its product
portfolio includes drugs,
such as Neupro, Vimpat,
Cimzia, among others. The
Company was founded on
January 18, 1928.</t>
  </si>
  <si>
    <t xml:space="preserve">PFIZER CORP(DNU)/UCB SA-JOINT VENTURE</t>
  </si>
  <si>
    <t xml:space="preserve">Cyclofluidic Ltd, based in UK,
provides research and
development services of new
drug discovery process, which
automate and integrate
processes known as flow
chemistry and flow biology to
help pharmaceutical companies
shorten timelines within the
drug development. Founded in
2008.</t>
  </si>
  <si>
    <t xml:space="preserve">Pfizer Inc and UCB SA formed a joint venture named Cyclofluidic Ltd (CL) to
provide research and development services of new drug discovery process,
which automate and integrate processes known as flow chemistry and flow
biology to help pharmaceutical companies shorten timelines within the drug
development in United Kingdom. CL was to be based with an office and
laboratory space in southern England.</t>
  </si>
  <si>
    <t xml:space="preserve">23885Z</t>
  </si>
  <si>
    <t xml:space="preserve">717081
903480</t>
  </si>
  <si>
    <t xml:space="preserve">NERVIANO MEDICAL SCIENCES SRL/GENEN TECH INC-STRATEGIC ALLIANCE</t>
  </si>
  <si>
    <t xml:space="preserve">Nerviano Medical Sciences Srl (NM), a unit of Provincia Italiana della
Congregazione dei Figli dell'Immacolata Concezione, and Genentech Inc (GI),
a unit of Roche Holding AG, formed a strategic alliance to provide antibody
drug conjugates research and development services for the treatment of
cancer globally. Under terms of the agreement, NM was responsible with the
synthesizing and manufacturing drug reagents, while GI generated an
antibody drug conjugates with such drug reagents and further evaluate their
potential therapeutic utility. Financial terms were  not disclosed.</t>
  </si>
  <si>
    <t xml:space="preserve">UCB SA/UNDISCLOSED JOINT VENTURE PARTNER-CYCLOFLUIDIC JOINT VENTURE</t>
  </si>
  <si>
    <t xml:space="preserve">Pfizer Inc and Union Chimique Belge SA formed a joint venture named
Cyclofluidic to provide drug discovery process services in the United
States. CF was expected to develop technologies that automate and integrate
processes known as flow chemistry and flow biology to help pharmaceutical
companies shorten timelines within the drug development process.</t>
  </si>
  <si>
    <t xml:space="preserve">GTC Nutrition LLC
Ganeden Biotech Inc</t>
  </si>
  <si>
    <t xml:space="preserve">Produce nutritional ingredient
Mnfr,dvlp OTC drugs</t>
  </si>
  <si>
    <t xml:space="preserve">GTC Nutrition LLC, located in
Golden, Colorado, produce
nutritional ingredients such
as NutraFlora, Aquamin,
Calcilife and OatVantage and
FortiFeed. The company was
founded in 1988.
Ganeden Biotech Inc, located
in Mayfield Heights, Ohio,
manufacture, develop and
wholesale
over-the-counter-probiotic
drugs for the treatment of
irritable bowel syndrome and
arthritis. The company was
founded in 1997.</t>
  </si>
  <si>
    <t xml:space="preserve">CO
OH</t>
  </si>
  <si>
    <t xml:space="preserve">Corn Products Intl Inc
Ganeden Biotech Inc</t>
  </si>
  <si>
    <t xml:space="preserve">2041
2834</t>
  </si>
  <si>
    <t xml:space="preserve">GTC NUTRITION LLC/GANEDEN BIOTECH INC-STRATEGIC ALLIANCE</t>
  </si>
  <si>
    <t xml:space="preserve">GTC Nutrition LLC, a unit of Corn Products International Inc, and Ganeden
Biotech Inc formed a strategic alliance to manufacture and develop
prebiotic and probiotic ingredients for health digestive and immune systems
in the United States.</t>
  </si>
  <si>
    <t xml:space="preserve">36331V
36506K</t>
  </si>
  <si>
    <t xml:space="preserve">Welch Allyn Inc
ZOLL Medical Corp</t>
  </si>
  <si>
    <t xml:space="preserve">Mnfr med equip
Mnfr,whl med equip</t>
  </si>
  <si>
    <t xml:space="preserve">Welch Allyn Inc, located in
Skaneateles Falls, New York,
manufactures medical
diagnostic and therapeutic
equipment, cardiac
defibrillators, patient
monitoring systems and
miniature precision lamps. The
company's products include
otoscopes, retinoscopes,
illuminators, and
sphygmomanometers. It has
offices in Canada, Latin
America, Europe, Middle East,
Africa, Asia &amp; the Pacific
regions. The company was
founded in 1915.
ZOLL Medical Corp,
headquartered in Chelmsford,
Massachusetts, manufactures
and wholesales a variety of
medical equipment including
an integrated line of
proprietary, noninvasive
cardiac resuscitation
devices, external pacemaker/
defibrillators, disposable
electrodes, mobile ECG
Systems, and EMS data
management solutions,
permitting cardiac
monitoring, pacing and
defibrillation through a
single pair of electrodes,
software and associated
hardware. The company was
founded in 1980.</t>
  </si>
  <si>
    <t xml:space="preserve">WELCH ALLYN INC/ZOLL MEDICAL CORP- STRATEGIC ALLIANCE</t>
  </si>
  <si>
    <t xml:space="preserve">Welch Allyn Inc and ZOLL Medical Corp formed a strategic alliance to
manufacture, develop, and distribute defibrillation and monitoring products
in the United States.</t>
  </si>
  <si>
    <t xml:space="preserve">94908Q
989922</t>
  </si>
  <si>
    <t xml:space="preserve">Therapure Biopharma Inc
Induce Biologics Inc</t>
  </si>
  <si>
    <t xml:space="preserve">Mnfr,whl therapeutic proteins
Pvd research,dvlp svcs</t>
  </si>
  <si>
    <t xml:space="preserve">Therapure Biopharma Inc,
located in Ontario, Canada,
manufactures and wholesales
therapeutic proteins. It has
two facilities located in
Mississauga. The company was
founded on June 22, 2007.
Induce Biologics Inc, located
in Ontario, Canada, develops
and commercializes
technologies invented at the
University of Toronto. Induce
Biologics goal is to utilize
these technologies along with
others being developed
internally to create cost
effective growth factor
containing bone grafts for
mammalian skeletal
regeneration. Founded in 2008.</t>
  </si>
  <si>
    <t xml:space="preserve">THERAPURE BIOPHARMA INC/INDUCE BIOLOGICS INC-STRATEGIC ALLIANCE</t>
  </si>
  <si>
    <t xml:space="preserve">Therapure Biopharma Inc and Induce Biologics Inc formed a strategic
alliance to provide research and development services on innovative bone
protein technology in Canada.</t>
  </si>
  <si>
    <t xml:space="preserve">88535C
44703C</t>
  </si>
  <si>
    <t xml:space="preserve">UMW Corp Sdn Bhd
Titanium Assets Hldg Sdn Bhd</t>
  </si>
  <si>
    <t xml:space="preserve">Other Management Consulting Services
Investment holding company</t>
  </si>
  <si>
    <t xml:space="preserve">UMW Corp Sdn Bhd is a
provider of management
consulting services. The
Company was founded in
August 1970 and is located
in Shah Alam, Malaysia.
Titanium Assets Holdings Sdn
Bhd, headquartered in
Selangor, Malaysia is an
investment holding company.
The company was founded in
October 2008.</t>
  </si>
  <si>
    <t xml:space="preserve">8748
6719</t>
  </si>
  <si>
    <t xml:space="preserve">Umw Holdings Bhd
Titanium Assets Hldg Sdn Bhd</t>
  </si>
  <si>
    <t xml:space="preserve">3714
6719</t>
  </si>
  <si>
    <t xml:space="preserve">UMW CORP SDN BHD/TITANIUM ASSETS AND TECHNOLOGY-COLDFUSION ENGINEERING SDN
BHD JOINT VENTURE</t>
  </si>
  <si>
    <t xml:space="preserve">Coldfusion Engineering Sdn
Bhd, headquartered in
Malaysia, is a turnkey
solutions services provider,
focusing mainly on the design
and manufacture of thick film
technology products for the
electronics industry.</t>
  </si>
  <si>
    <t xml:space="preserve">UMW Corp Sdn Bhd (UC), a unit of UMW Holdings Bhd and Titanium Assets
Holdings Sdn Bhd (TA) planned to form a joint venture named Coldfusion
Engineering Sdn Bhd (CE) to manufacture, develop and supply advanced micro
electronics products and services in Malaysia. UC was to hold 60% interest
while TA was to hold the remaining 40% stake. UC was to acquire 60%
interest in TA's CE.</t>
  </si>
  <si>
    <t xml:space="preserve">39326M</t>
  </si>
  <si>
    <t xml:space="preserve">90300X
88852P</t>
  </si>
  <si>
    <t xml:space="preserve">Beijing Kawin Bio-Tech Co Ltd
Beijing Kawin Bio-Tech Co Op</t>
  </si>
  <si>
    <t xml:space="preserve">Pvd research svcs
Pvd research,dvlp svcs</t>
  </si>
  <si>
    <t xml:space="preserve">Beijing Kawin Bio-Tech Co Ltd,
located in Beijing, China, an
anti-virus and brain nerves
research services provider.
The company was founded in
1999.
Beijing Kawin Bio-Tech Co Ltd
Operation Team provides
research and development
services. The company is
headquartered in China.</t>
  </si>
  <si>
    <t xml:space="preserve">China Dalian Intl Cooperation
Beijing Kawin Bio-Tech Co Op</t>
  </si>
  <si>
    <t xml:space="preserve">6552
8731</t>
  </si>
  <si>
    <t xml:space="preserve">BEIJING KAWIN BIO-TECH/BEIJING KAWIN BIO-TECH CO LTD OPERATION-BEIJING
KAWIN TECHNOLOGY SHARE-HOLDING CO LTD JOINT VENTURE</t>
  </si>
  <si>
    <t xml:space="preserve">The production lines of
Beijing Kawin Bio-Tech Co Ltd,
located in Beijing China.</t>
  </si>
  <si>
    <t xml:space="preserve">Beijing Kawin Bio-Tech Co Ltd (BK), a unit of China Dalian International
Cooperation (Group) Holdings Ltd, and Beijing Kawin Bio-Tech Co Ltd
Operation Team (OT) planned to form a 30-year joint venture named Beijing
Kawin Share-holding Co Ltd (SH) to provide biotechnology development and
consultancy services in China. BK was to hold an 80% interest in SH in
exchange for $0.513 mil US (3.5 mil Chinese yuan) in cash and 3 production
line assets worth $3.24 mil US (22.1 mil yuan). OT was to hold the
remaining 20% stake for an investment of $0.938 mil US (6.4 mil yuan). The
transaction was approved by the board of directors.</t>
  </si>
  <si>
    <t xml:space="preserve">Beijing Kawin Bio-Tech Co Ltd was to hold an 80% interest in the joint
venture in exchange for $0.513 mil US (3.5 mil Chinese yuan) in cash and 3
production line assets worth $3.24 mil US (22.1 mil yuan). Beijing Kawin
Bio-Tech Co Ltd Operation Team was to hold the remaining 20% stake for an
investment of $0.938 mil US (6.4 mil yuan).</t>
  </si>
  <si>
    <t xml:space="preserve">07864X</t>
  </si>
  <si>
    <t xml:space="preserve">07864L
07864V</t>
  </si>
  <si>
    <t xml:space="preserve">Polyphor Ltd
Allergan Inc</t>
  </si>
  <si>
    <t xml:space="preserve">Manufacture,develop drugs
Mnfr eye care,skin care pharmaceutical products</t>
  </si>
  <si>
    <t xml:space="preserve">Polyphor Ltd is a
manufacturer of
pharmaceutical preparation.
It develops antibiotics and
other efficacious therapies
against specialty diseases.
The Company was founded in
1996 and is located in
Allschwil, Switzerland.
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t>
  </si>
  <si>
    <t xml:space="preserve">POLYPHOR LTD/ALLERGAN INC(WAS 018492)- STRATEGIC ALLIANCE</t>
  </si>
  <si>
    <t xml:space="preserve">Polyphor Ltd (PL) and Allergan Inc (AI) formed a strategic alliance wherein
PL exclusively licensed AI to develop its PEM cytokine inhibitors for the
treatment of eye diseases. PL was expected to receive an upfront payment of
$7 mil US (5.496 mil euros) and was entitled to receive up to $61 mil US
(47.891 mil euros) in research, development and first commercial sales
milestones and royalties.</t>
  </si>
  <si>
    <t xml:space="preserve">Polyphor Ltd was expected to receive an upfront payment of $7 mil US (5.496
mil euros) and was entitled to receive up to $61 mil US (47.891 mil euros)
in research, development and first commercial sales milestones and
royalties.</t>
  </si>
  <si>
    <t xml:space="preserve">73190P
018490</t>
  </si>
  <si>
    <t xml:space="preserve">BioVectra Inc
Therapure Biopharma Inc</t>
  </si>
  <si>
    <t xml:space="preserve">Mnfr active pharm ingredients
Mnfr,whl therapeutic proteins</t>
  </si>
  <si>
    <t xml:space="preserve">BioVectra Inc, located in
Charlottetown, Prince Edward
Island, manufactures active
pharmaceutical ingredients,
chemical intermediates, and
bioprocessing reagents to
global pharmaceutical and
biotechnology industries. It
also provides contract
manufacturing services. The
company was founded in 1970.
Therapure Biopharma Inc,
located in Ontario, Canada,
manufactures and wholesales
therapeutic proteins. It has
two facilities located in
Mississauga. The company was
founded on June 22, 2007.</t>
  </si>
  <si>
    <t xml:space="preserve">BIOVECTRA DCL/THERAPURE BIOPHARMA INC - STRATEGIC ALLIANCE</t>
  </si>
  <si>
    <t xml:space="preserve">Biovectra DCL and Therapure Biopharma Inc formed a strategic alliance to
provide research and development services in Canada. The partners
collaborated in the development of a PEGylated biologic drug target used
for cancer treatments, with a goal of advancing the project to a regulatory
filing stage.</t>
  </si>
  <si>
    <t xml:space="preserve">09153X
88535C</t>
  </si>
  <si>
    <t xml:space="preserve">Epichem Pty Ltd
Curtin University</t>
  </si>
  <si>
    <t xml:space="preserve">Pvd medicinal chem svcs
Own,op college,university</t>
  </si>
  <si>
    <t xml:space="preserve">Epichem Pty Ltd, located in
Murdoch, Australia, provides
synthetic and medicinal
chemistry services to the drug
discovery and pharmaceutical
industries. Founded in 2003.
Curtin University of
Technology, located in
Australia, owns and operates
college and university.</t>
  </si>
  <si>
    <t xml:space="preserve">PharmAust Ltd
Curtin University</t>
  </si>
  <si>
    <t xml:space="preserve">EPICHEM PTY LTD/CURTIN UNIVERSITY OF TECHNOLOGY- STRATEGIC ALLIANCE</t>
  </si>
  <si>
    <t xml:space="preserve">Epichem Pty Ltd, a unit of PharmAust Ltd, and Curtin University of
Technology formed a strategic alliance to provide research and development
services of orally available insulin mimetics for the treatment of diabetes
in Australia.</t>
  </si>
  <si>
    <t xml:space="preserve">29697C
23147R</t>
  </si>
  <si>
    <t xml:space="preserve">Thermo Fisher Scientific Inc
Genentech Inc</t>
  </si>
  <si>
    <t xml:space="preserve">Mnfr analytical tech,equipment
Biotech co</t>
  </si>
  <si>
    <t xml:space="preserve">Thermo Fisher Scientific
Inc, headquartered in
Waltham, Massachusetts,
manufactures analytical
technologies, scientific
equipment, and laboratory
consumables, including mass
spectrometers, liquid and
gas chromatographs, and
affiliated software, vials,
syringes, and columns
necessary for
chromatography,
microplate-based handling
and reading equipment,
optical biosensors, thermal
cyclers, DNA purification
systems, SNP scoring
systems, and capillary
electrophoresis (CE),
ultralow-temperature
freezers, high-speed
centrifuges, centrifugal
vacuum concentrators, and
laboratory freeze dryers,
precision control
instruments. It clients
include the pharmaceutical
and biotech companies,
hospitals and clinical
diagnostic labs,
universities, research
institutions and government
agencies, as well as in
environmental and process
control industries. Its
brands include Thermo
Scientific and Fisher
Scientific. The Company was
founded in 1956.
Genentech Inc, located in
South San Francisco,
California, is a
biotechnology company that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</si>
  <si>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3829
2836</t>
  </si>
  <si>
    <t xml:space="preserve">Thermo Fisher Scientific Inc
Roche Holdings AG</t>
  </si>
  <si>
    <t xml:space="preserve">3829
2834</t>
  </si>
  <si>
    <t xml:space="preserve">THERMO FISHER SCIENTIFIC INC/GENENTECH INC-STRATEGIC ALLIANCE</t>
  </si>
  <si>
    <t xml:space="preserve">Thermo Fisher Scientific Inc and Genentech Inc (GI), a unit of Roche
Holding AG, formed a strategic alliance to provide research and development
services of novel small-interfering RNA (siRNA) therapeutic products in the
United States. The partners were expected to develop an in vivo target
validation for human therapeutics.</t>
  </si>
  <si>
    <t xml:space="preserve">883556
368710</t>
  </si>
  <si>
    <t xml:space="preserve">Freescale Semiconductor Inc
EVOC Intelligent Tech Co Ltd</t>
  </si>
  <si>
    <t xml:space="preserve">Mnfr,whl semiconductors
Mnfr,whl computer hardware</t>
  </si>
  <si>
    <t xml:space="preserve">Freescale Semiconductor Inc,
located in Austin, Texas,
manufactures, markets and
designs embedded
semiconductors for the
automotive, consumer,
industrial, networking and
wireless markets that
operates in more than 30
countries. It offers
microcontroller solutions
comprising microcontrollers
and embedded
microprocessors, networking
and multimedia products,
including communication
processors, digital signal
processors, networked
multimedia devices, and
application processors, and
radio frequency, analog, and
sensors products consisting
of analog and mixed-signal
integrated circuits,
sensors, and radio frequency
devices. The company was
founded in 1953.
EVOC Intelligent Technology
Co Ltd is a manufacturer of
computer peripheral
equipment. The Company is
located in DistrictShenzhen,
China.</t>
  </si>
  <si>
    <t xml:space="preserve">Freescale Holdings LP
Evoc Hi-Tech Hldg Grp Co Ltd</t>
  </si>
  <si>
    <t xml:space="preserve">6371
6799</t>
  </si>
  <si>
    <t xml:space="preserve">FREESCALE SEMICONDUCTOR/EVOC INTELLIGENT-STRATEGIC ALLIANCE</t>
  </si>
  <si>
    <t xml:space="preserve">Freescale Semiconductor Inc, a unit of Firestone Holdings LLC, and EVOC
Intelligent Technology Co Ltd, planned to form a strategic alliance to
provide research and development services of electric network control field
for transportation, resources, environmental protection, telecoms, and
financial sectors globally.</t>
  </si>
  <si>
    <t xml:space="preserve">35687M
30038K</t>
  </si>
  <si>
    <t xml:space="preserve">Genzyme Corp
Osiris Therapeutics Inc</t>
  </si>
  <si>
    <t xml:space="preserve">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
Osiris Therapeutics Inc,
located in Columbia,
Maryland, is a biotechnology
company focused on
developing and marketing
products to treat medical
conditions in the
inflammatory, orthopedic and
cardiovascular areas. It
currently markets and sells
Osteocel for regenerating
bone in orthopedic
indications which includes
Grafix product line,
Stravix, BIO4 and Cartiform.
Its lead biologic drug
candidate, Prochymal, for
the treatment of
inflammatory disease, is the
only stem cell therapeutic
for which patients are being
enrolled in phase iii
clinical trial. The Company
was founded in 2002.</t>
  </si>
  <si>
    <t xml:space="preserve">GENZYME CORP/OSIRIS THERAPEUTICS INC-STRATEGIC ALLIANCE</t>
  </si>
  <si>
    <t xml:space="preserve">Genzyme Corp and Osiris Therapeutics Inc formed a strategic alliance to
provide research and development services of Prochymal and Chondrogen, an
adult stem cell drugs in the United States and Canada. The partners were to
also commercialize the treatments in the areas of immune diseases,
cardiovascular disease and endocrinology regionally. The strategic alliance
was terminated, September 28, 2012.</t>
  </si>
  <si>
    <t xml:space="preserve">372917
68827R</t>
  </si>
  <si>
    <t xml:space="preserve">WuXi PharmaTech(Cayman)Inc
Pfizer Inc</t>
  </si>
  <si>
    <t xml:space="preserve">Manufacture pharmaceutical
Manufacture,wholesale pharmaceuticals</t>
  </si>
  <si>
    <t xml:space="preserve">WuXi PharmaTech (Cayman) Inc,
based in Shanghai, China, is a
pharmaceutical manufacturing,
biotechnology, and medical
device R&amp;D outsourcing
company. Its core lab services
business offers research and
development, discovery
chemistry, service biology,
and pharmaceutical development
services. Its ancillary
manufacturing operations
mainly produce advanced
intermediate drugs and active
drug ingredients. The company
was founded in 2000.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</si>
  <si>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WUXI PHARMATECH(CAYMAN)INC/PFIZER INC-STRATEGIC ALLIANCE</t>
  </si>
  <si>
    <t xml:space="preserve">WuXi PharmaTech (Cayman) Inc and Pfizer Inc formed a 3-year strategic
alliance to provide research and development services of ADME assays for
vitro screening services on compounds in China. Financial terms were not
disclosed.</t>
  </si>
  <si>
    <t xml:space="preserve">929352
717081</t>
  </si>
  <si>
    <t xml:space="preserve">Ascent Solar Technologies Inc
TurtleEnergy LLC</t>
  </si>
  <si>
    <t xml:space="preserve">Manufacturer &amp; wholesaler of flexible photovoltaic (PV) modules
Mnfr semiconductors</t>
  </si>
  <si>
    <t xml:space="preserve">Ascent Solar Technologies Inc
is engaged in commercializing
flexible photovoltaic (PV)
modules using its technology.
The Company's manufacturing
process deposits multiple
layers of materials, including
a thin film of
copper-indium-gallium-diselen
ide (CIGS) semiconductor
material, on a plastic
substrate using a roll-to-roll
manufacturing process and then
laser patterns the layers to
create interconnected PV cells
or PV modules, in a process
known as monolithic
integration. The Company is
producing consumer oriented
products focusing on charging
devices powered by its solar
modules. It manufactures its
products by affixing a thin
CIGS layer to a flexible,
plastic substrate using a
roll-to-roll process. Its
EnerPlex products are
available on
www.goenerplex.com and a range
of third-party e-commerce
sites, including
www.amazon.com,
www.bestbuy.com,
www.walmart.com,
www.newegg.com, www.frys.com,
www.cabelas.com and several
others. The Company was
founded in October 2005 and is
located in Thornton, Colorado.
TurtleEnergy LLC is a
semiconductor and photovoltaic
(BIPV) products manufacturing
firm, headquartered in Linden,
New Jersey.</t>
  </si>
  <si>
    <t xml:space="preserve">CO
NJ</t>
  </si>
  <si>
    <t xml:space="preserve">ASCENT SOLAR TECHNOLOGIES INC/TURTLE ENERGY-STRATEGIC ALLIANCE</t>
  </si>
  <si>
    <t xml:space="preserve">Ascent Solar Technologies Inc and TurtleEnergy LLC formed a strategic
alliance to provide research and development services of integrated
photovoltaic products for space satellite, near-space, and terrestrial
markets in the United States.</t>
  </si>
  <si>
    <t xml:space="preserve">043635
90046M</t>
  </si>
  <si>
    <t xml:space="preserve">Bristol-Myers Squibb Co
Exelixis Inc</t>
  </si>
  <si>
    <t xml:space="preserve">Manufactures pharmaceuticals and medical products
Biotechnology company</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</si>
  <si>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Exelixis Inc, located in South
San Francisco, California, is
a biotechnology company
focused on the discovery and
development of novel small
molecule therapeutics for
cancer and other serious
diseases. The company was
founded in 1994.</t>
  </si>
  <si>
    <t xml:space="preserve">BRISTOL-MYERS SQUIBB CO/EXELIXIS INC- STRATEGIC ALLIANCE</t>
  </si>
  <si>
    <t xml:space="preserve">Bristol-Myers Squibb Co (BM) and Exelixis Inc (EI) terminated their
strategic alliance agreement to develop and commercialize EIs novel
therapeutic product, XL184, which is used as a treatment for thyroid
cancer, glioblastoma and other solid tumors. Previously in December 2008,
the companies agreed to form a strategic alliance to develop XL184. A
transition payment of USD 17 mil to fulfill BM's obligations in the
agreement will be paid by BM will to EI.</t>
  </si>
  <si>
    <t xml:space="preserve">A transition payment of USD 17 mil to fulfill BM's obligations in the
agreement will be paid by BM will to EI.</t>
  </si>
  <si>
    <t xml:space="preserve">110122
30161Q</t>
  </si>
  <si>
    <t xml:space="preserve">Panasonic Corp
IMEC</t>
  </si>
  <si>
    <t xml:space="preserve">Mnfr,wholesale electronic prod
Pvd research,dvlp svcs</t>
  </si>
  <si>
    <t xml:space="preserve">Panasonic Corp, located in
Osaka, Japan, manufactures
and wholesales consumer
electric and electronic
products. The Audio-Visual
Computer (AVC) Network
segment offers audio and
video equipment. The
Appliance segment provides
household air-conditioning
machines. The System
Communications segment
provides system network and
mobile
communications-related
products and services. The
Eco-solutions segment
consists of riding, energy
system, housing system and
ecological system. The
Automotive systems segment
provides automotive
multimedia-related equipment
and environmental automotive
equipment. The Device
segment provides electronic
components, semiconductors
and optical devices. The
Energy segment provides
solar system and lithium-ion
batteries. The Others
segment consists of health
care, manufacturing
solutions and PanaHome. The
company was founded in 1918.
IMEC VZW, headquartered in
Leuven, Belgium, provides
research and development
services for microelectronics,
nomadic embedded systems,
wireless autonomous transducer
solutions, biomedical
electronics, photovoltaic,
organic electronics and GaN
power electronics. Founded in
1982.</t>
  </si>
  <si>
    <t xml:space="preserve">3651
8733</t>
  </si>
  <si>
    <t xml:space="preserve">PANASONIC CORP(WAS 576879)/IMEC-STRATEGIC ALLIANCE</t>
  </si>
  <si>
    <t xml:space="preserve">Panasonic Corp and IMEC formed a strategic alliance to provide research and
development services of microelectronics and nanoelectronics technologies
such as biosensors and wireless applications in Japan. The partners were
expected to build a  semiconductor microfabrication plant with 30
researchers.</t>
  </si>
  <si>
    <t xml:space="preserve">J6354Y
45248J</t>
  </si>
  <si>
    <t xml:space="preserve">Redpoint Bio Corp
Schering-Plough Corp</t>
  </si>
  <si>
    <t xml:space="preserve">Redpoint Bio Corp, located in
Ewing, New Jersey, is a
biotechnology company that
researches, discovers,
develops, and commercializes
breakthrough products that
improve the palatability of
oral medicines and enhance the
flavor and nutritional value
of foods and beverages.
Schering-Plough Corp,
located in Kenilworth, New
Jersey, manufactures and
wholesales pharmaceuticals
for the treatment of
cardiovascular diseases,
central nervous system
disorders, immunology and
infectious disease,
oncology, respiratory
diseases and women''s
health. Its largest-selling
products include Vytorin,
Zetia, Remicade and Nasonex.</t>
  </si>
  <si>
    <t xml:space="preserve">REDPOINT BIO CORP/SCHERING-PLOUGH CORP-STRATEGIC ALLIANCE</t>
  </si>
  <si>
    <t xml:space="preserve">Redpoint Bio Corp and Schering-Plough Corp formed a strategic alliance to
provide research and development services of taste science for
pharmaceutical applications, food and beverage products in the United
States. Terms were not disclosed.
</t>
  </si>
  <si>
    <t xml:space="preserve">757736
806605</t>
  </si>
  <si>
    <t xml:space="preserve">Bayer MaterialScience AG
Bayer MaterialScience LLC
Ultimate Holographic</t>
  </si>
  <si>
    <t xml:space="preserve">Manufacture polymers,plastics
Manufacture polymers,coatings
Whl holographic prods</t>
  </si>
  <si>
    <t xml:space="preserve">Bayer MaterialScience AG,
located in Leverkusen,
Germany, manufactures
polymers and plastics. These
include coatings, adhesives,
and sealants;
polycarbonates,
polyurethanes, and
thermoplastic polyurethanes.
The company serves the
automotive, electrical and
electronics, construction,
sports and leisure
industries. It has 30
production sites. The
company was founded in 2004.
Bayer MaterialScience LLC,
located in Pittsburg,
Pennsylvania, manufactures
polymers, coatings,
thermoplastics, polyurethanes
and rubber for the automotive,
bedding and furniture,
construction, food service,
footwear, lawn and garden,
medical, optical, packaging,
sports, textiles,
transportation and wood
industries.
Ultimate Holographic
Reproductions Inc, based in
Ontario, Canada, wholesales
full-color holograms used in a
broad spectrum of
applications, for example in
the advertising industry, the
packaging and entertainment
sectors, product design and
the manufacture of a whole
range of high-quality print
products.</t>
  </si>
  <si>
    <t xml:space="preserve">2821
2821
5043</t>
  </si>
  <si>
    <t xml:space="preserve">Germany
United States
Canada</t>
  </si>
  <si>
    <t xml:space="preserve">FF
PA
FF</t>
  </si>
  <si>
    <t xml:space="preserve">Bayer AG
Bayer AG
Ultimate Holographic</t>
  </si>
  <si>
    <t xml:space="preserve">Germany
Germany
Canada</t>
  </si>
  <si>
    <t xml:space="preserve">2899
2899
5043</t>
  </si>
  <si>
    <t xml:space="preserve">BAYER MATERIALSCIENCE AG/BAYER MATERIALSCIENCE LLC/ULTIMATE
HOLOGRAPHIC-STRATEGIC ALLIANCE</t>
  </si>
  <si>
    <t xml:space="preserve">Bayer MaterialScience AG, Bayer MaterialScience Inc, both units of Bayer
AG, and Ultimate Holographic Reproductions Inc, formed a strategic alliance
to provide research and development services of full-color hologram
technology globally.</t>
  </si>
  <si>
    <t xml:space="preserve">07267T
07269W
90684X</t>
  </si>
  <si>
    <t xml:space="preserve">Patheon Inc
Solvias AG</t>
  </si>
  <si>
    <t xml:space="preserve">Manufacture pharmaceuticals
Own,op testing laboratories</t>
  </si>
  <si>
    <t xml:space="preserve">Patheon Inc, headquartered in
Durham, North Carolina,
manufactures pharmaceutical
products for the
pharmaceutical and
biotechnology industries. The
company produces both
prescription and
over-the-counter drugs such as
compressed tablets, hard-shell
capsules, liquids and powders
filled in ampoules, vials,
bottles or pre-filled
syringes. The company was
founded in 1974.
Solvias AG, located in
Kaiseraugst, Switzerland,
owns and operates testing
laboratories. It provides
polymorphism screening, salt
selection, catalysis,
asymmetric synthesis, custom
synthesis, process R&amp;D, and
analytical services. It was
founded in 1999.</t>
  </si>
  <si>
    <t xml:space="preserve">JLL Partners Inc
Solvias AG</t>
  </si>
  <si>
    <t xml:space="preserve">PATHEON INC/SOLVIAS AG-STRATEGIC ALLIANCE</t>
  </si>
  <si>
    <t xml:space="preserve">Patheon Inc and Solvias AG formed a strategic alliance to provide research
and development services of pre-formulation and solid state chemistry
technologies globally. The alliance was expected to provide API
characterization, salt selection and co-crystallization, polymorphism
screening, solubility determination, excipient compatibility and
formulation services.</t>
  </si>
  <si>
    <t xml:space="preserve">70319W
83256W</t>
  </si>
  <si>
    <t xml:space="preserve">Patheon Inc
Senopsys LLC</t>
  </si>
  <si>
    <t xml:space="preserve">Patheon Inc, headquartered in
Durham, North Carolina,
manufactures pharmaceutical
products for the
pharmaceutical and
biotechnology industries. The
company produces both
prescription and
over-the-counter drugs such as
compressed tablets, hard-shell
capsules, liquids and powders
filled in ampoules, vials,
bottles or pre-filled
syringes. The company was
founded in 1974.
Senopsys LLC is a specialty
pharmaceutical and
biotechnology company
headquartered in Saugus,
Massachusetts. It provides
palatable pharmaceuticals
research and development
services.</t>
  </si>
  <si>
    <t xml:space="preserve">NC
MA</t>
  </si>
  <si>
    <t xml:space="preserve">JLL Partners Inc
Senopsys LLC</t>
  </si>
  <si>
    <t xml:space="preserve">PATHEON INC/SENOPSYS LLC-STRATEGIC ALLIANCE</t>
  </si>
  <si>
    <t xml:space="preserve">Patheon Inc and Senopsys LLC formed a strategic alliance to provide
research and development services of dose formulations which enhance
palatability (taste) for drugs globally. The alliance was expected to offer
patient-accepted pediatric formulations, line extension products and
reformulated pharmaceutical products.</t>
  </si>
  <si>
    <t xml:space="preserve">70319W
82195T</t>
  </si>
  <si>
    <t xml:space="preserve">Purdue Pharma LP
Mundipharma Int Ltd
Infinity Pharmaceuticals Inc</t>
  </si>
  <si>
    <t xml:space="preserve">Biopharma co
Manufacture pharmaceuticals
Mnfr pharm</t>
  </si>
  <si>
    <t xml:space="preserve">Purdue Pharma LP,
headquartered in Stamford,
Connecticut, is a
pharmaceutical company. It
develops and provides
prescription medicines for
healthcare professionals,
patients, and caregivers.
The Company was founded in
1892.
Mundipharma Int Ltd is a
manufacturer of
pharmaceutical preparation.
The Company was founded in
1992 and is located in
Cambridge, the United
Kingdom.
Infinity Pharmaceuticals Inc,
located in Cambridge,
California, is a drug
discovery and development
company. It manufactures
pharmaceuticals for the
treatment of cancer and
related conditions. The
company was founded in 1995.</t>
  </si>
  <si>
    <t xml:space="preserve">CT
FF
CA</t>
  </si>
  <si>
    <t xml:space="preserve">PURDUE PHARMA LP/MUNDIPHARMA INTERNATIONAL LTD/INFINITY
PHARMACEUTICALS-STRATEGIC ALLIANCE</t>
  </si>
  <si>
    <t xml:space="preserve">Purdue Pharma LP (PP), Mundipharma International Corp Ltd (MI) and Infinity
Pharmaceuticals, Inc (IP) terminated their strategic alliance. Previously
in November 2008, PP, MI and IP formed a strategic alliance for the
worldwide development and commercialization of IP's fatty acid amide
hydrolase (FAAH) program, an experimental target for the treatment of
neuropathic pain. PP and MI will be responsible for the development and
commercialization costs of the program and will pay royalty fees to IP.</t>
  </si>
  <si>
    <t xml:space="preserve">74616F
62615M
45666G</t>
  </si>
  <si>
    <t xml:space="preserve">Infinity Pharmaceuticals Inc
Purdue Pharma LP
Mundipharma Int Ltd</t>
  </si>
  <si>
    <t xml:space="preserve">Mnfr pharm
Biopharma co
Manufacture pharmaceuticals</t>
  </si>
  <si>
    <t xml:space="preserve">Infinity Pharmaceuticals Inc,
located in Cambridge,
California, is a drug
discovery and development
company. It manufactures
pharmaceuticals for the
treatment of cancer and
related conditions. The
company was founded in 1995.
Purdue Pharma LP,
headquartered in Stamford,
Connecticut, is a
pharmaceutical company. It
develops and provides
prescription medicines for
healthcare professionals,
patients, and caregivers.
The Company was founded in
1892.
Mundipharma Int Ltd is a
manufacturer of
pharmaceutical preparation.
The Company was founded in
1992 and is located in
Cambridge, the United
Kingdom.</t>
  </si>
  <si>
    <t xml:space="preserve">United States
United States
United Kingdom</t>
  </si>
  <si>
    <t xml:space="preserve">CA
CT
FF</t>
  </si>
  <si>
    <t xml:space="preserve">INFINITY PHARMACEUTICALS/PURDUE PHARMA LP/MUNDIPHARMA INTERNATIONAL
LTD-STRATEGIC ALLIANCE</t>
  </si>
  <si>
    <t xml:space="preserve">Infinity Pharmaceuticals Inc, Purdue Pharma LP, and Mundipharma
International Ltd, formed a strategic alliance to provide research and
development services of prescription and OTC medicines globally. The
partners were expected to focus on the advancement of early-stage clinical
and discovery pipeline of novel, small molecule drug candidates.</t>
  </si>
  <si>
    <t xml:space="preserve">45666G
74616F
62615M</t>
  </si>
  <si>
    <t xml:space="preserve">Shenzhen Neptunus Interlong
GlaxoSmithKline PLC</t>
  </si>
  <si>
    <t xml:space="preserve">Mnfr,whl biological prods
Pharmaceutical Preparation Manufacturing</t>
  </si>
  <si>
    <t xml:space="preserve">Shenzhen Neptunus Interlong
Bio-technique Co Ltd, located
in China, manufactures,
develops, and wholesales
biological products such as
biochemistry raw materials,
reagents and products like
biochemical drugs,
bioengineering products,
Chinese medicines, health care
products, and other products
called anti-HB iRNA series,
anti-cancer iRNA, anti
allergy, fungus, asthma
medicine in the form of
injection, capsules and
tablets like Thrombin,
Neptunus, Antike and
Amoxicillin capsules. The
company was founded in 1999.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</si>
  <si>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Shenzhen Neptunus
GlaxoSmithKline PLC</t>
  </si>
  <si>
    <t xml:space="preserve">GLAXOSMITHKLINE PLC/SHENZHEN NEPTUNUS-JOINT VENTURE</t>
  </si>
  <si>
    <t xml:space="preserve">Shenzhen Neptunus Interlong Bio-technique Co Ltd (SN), a unit of Shenzhen
Neptunus Bioengineering Co Ltd, and GlaxoSmithKline PLC (GP), planned to
form a 10-year joint venture named Shenzhen GSK-Neptunus Biologicals Co Ltd
(SG) to provide research and development services of human-use vaccines
including bird flu and rabies vaccines in China. SN was to hold a 60%
interest in SG, while GP would  hold a 40% stake. SN was to contribute  $47
mil US (320.657 mil Chinese yuan) worth of assets to SG's operation, while
GP was to invest $31 mil (211.497 mil yuan) in cash. The transaction was
subject to approval by the shareholders and other relevant government
authorities. SG was to be operational by Feb. 1, 2009.
</t>
  </si>
  <si>
    <t xml:space="preserve">Shenzhen Neptunus Interlong Bio-technique Co Ltd was to contribute $47 mil
US (320.657 mil Chinese yuan) worth of assets to Shenzhen GSK-Neptunus
Biologicals Co Ltd's operation, while GlaxoSmithKline PLC was to invest $31
mil (211.497 mil yuan) in cash.</t>
  </si>
  <si>
    <t xml:space="preserve">64207R
37733W</t>
  </si>
  <si>
    <t xml:space="preserve">JA Solar Holdings Co Ltd
BP Alternative Energy Ltd</t>
  </si>
  <si>
    <t xml:space="preserve">Mnfr,whl solar cells
Own,operate cogeneration plant</t>
  </si>
  <si>
    <t xml:space="preserve">JA Solar Holdings Co Ltd,
headquartered in China,
manufactures and wholesales
solar cells and module
products that convert
sunlight into electricity
for a variety of uses in
China. It sell its products
mainly under its "JA Solar"
brand name and also produce
original equipment for
manufacturers or customers,
known as OEMs, under their
brand names. The company was
founded in 2005.
BP Alternative Energy Ltd,
located in Middlesex, the UK,
owns and operates cogeneration
plant. The company was founded
in 2005.</t>
  </si>
  <si>
    <t xml:space="preserve">3674
499A</t>
  </si>
  <si>
    <t xml:space="preserve">JA Solar Holdings Co Ltd
BP PLC</t>
  </si>
  <si>
    <t xml:space="preserve">3674
2911</t>
  </si>
  <si>
    <t xml:space="preserve">JA SOLAR HOLDINGS CO LTD/BP ALTERNATIVE ENERGY LTD-STRATEGIC ALLIANCE</t>
  </si>
  <si>
    <t xml:space="preserve">JA Solar Holdings Co Ltd and BP Alternative Energy Ltd, a unit of BP PLC,
formed a 5-year strategic alliance to provide research and development
services of solar photovoltaic product portfolio globally. The alliance was
a strategic growth opportunity both for the partners to leverage their
brand and sales services.</t>
  </si>
  <si>
    <t xml:space="preserve">466090
06098Q</t>
  </si>
  <si>
    <t xml:space="preserve">Sunzen Biotech Bhd
Universiti Putra Malaysia</t>
  </si>
  <si>
    <t xml:space="preserve">Sunzen Biotech Bhd is a
biotechnology company that
develops, manufactures and
markets animal health products
for livestock and companion
animals. The Company was
founded in February 2005 and
is located in Shah Alam
Selangor, Malaysia.
Universiti Putra Malaysia,
owns and operates a
college/university. The
college/university is
headquartered in Selangor,
Malaysia. Founded in 1931.</t>
  </si>
  <si>
    <t xml:space="preserve">SUNZEN BIOTECH BHD/UNIVERSITI PUTRA MALAYSIA-STRATEGIC ALLIANCE</t>
  </si>
  <si>
    <t xml:space="preserve">Sunzen Biotech Bhd and Universiti Putra Malaysia formed a 5-year strategic
alliance to provide research and development services on animal health
products in Malaysia.</t>
  </si>
  <si>
    <t xml:space="preserve">86642V
91403L</t>
  </si>
  <si>
    <t xml:space="preserve">International Stem Cell Corp
Absorption Systems LP</t>
  </si>
  <si>
    <t xml:space="preserve">Biotechnology co
Mnfr,dvlp assays</t>
  </si>
  <si>
    <t xml:space="preserve">International Stem Cell Corp,
located in Oceanside,
California, is a biotechnology
company with focus on stem
cell research and stem cell
therapy development. The
company was incorporated in
2001.
Absorption Systems LP,
located in Exton,
Pennsylvania, manufactures
and develops assays that can
predict the Absorption,
Distribution, Metabolism,
and Excretion (ADME) of
small molecules using a
variety of in vitro, in
situ, and in vivo models.
The Company was founded in
1996.</t>
  </si>
  <si>
    <t xml:space="preserve">INTERNATIONAL STEM CELL CORP(WAS 05577Y)/ABSORPTION SYSTEMS LP-STRATEGIC
ALLIANCE</t>
  </si>
  <si>
    <t xml:space="preserve">International Stem Cell Corp and Absorption Systems LP formed a strategic
alliance to develop and market human stem cell-derived corneal tissue for
drug testing in the United States.</t>
  </si>
  <si>
    <t xml:space="preserve">460378
00385E</t>
  </si>
  <si>
    <t xml:space="preserve">NETGEAR Inc
Verismo Networks Inc</t>
  </si>
  <si>
    <t xml:space="preserve">Telephone Apparatus Manufacturing
Mnfr commun equip</t>
  </si>
  <si>
    <t xml:space="preserve">NETGEAR Inc, headquartered
in San Jose, California
manufactures and wholesales
networking products. it
offers products such as
routers, adapter and
ethernet bridges, print
server, switches that enable
users to share Internet
access, peripherals, files,
digital multimedia content
and applications among
multiple personal computers
and other Internet-enabled
devices. It also develops
Network Management Software
and has operations in North
America, Europe and Asia
Pacific. The Company was
founded on January 8, 1996.
Verismo Networks Inc, located
in Mountain View, California,
manufactures a communication
equipment known as VuNow,
which enables online video
viewing directly on
television. The company was
founded in 2003.</t>
  </si>
  <si>
    <t xml:space="preserve">3661
3663</t>
  </si>
  <si>
    <t xml:space="preserve">NETGEAR INC/VERISMO NETWORK-STRATEGIC ALLIANCE</t>
  </si>
  <si>
    <t xml:space="preserve">NETGEAR Inc and Verismo Networks Inc formed a strategic alliance to provide
research and development services in the United States. The partners were
expected to develop products that will enhance TV entertainment by giving
consumers the ability to access and enjoy Internet video directly on the TV
without a computer.</t>
  </si>
  <si>
    <t xml:space="preserve">64111Q
92403X</t>
  </si>
  <si>
    <t xml:space="preserve">Sigma-Aldrich Corp
D-Finitive Cell Technologies</t>
  </si>
  <si>
    <t xml:space="preserve">Mnfr,whl chemicals
Mnfr,dvlp stem cell prod</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</si>
  <si>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D-Finitive Cell Technologies
Inc, located in Charleston,
South Carolina, develops and
manufactures umbilical cord
blood stem cell products, cell
culture media, and innovative
growth factors for cells. The
Company also provides
customized, contract based
research services.</t>
  </si>
  <si>
    <t xml:space="preserve">MO
SC</t>
  </si>
  <si>
    <t xml:space="preserve">SIGMA-ALDRICH CORP/D-FINITIVE CELL-STRATEGIC ALLIANCE</t>
  </si>
  <si>
    <t xml:space="preserve">Sigma-Aldrich Corp and D-Finitive Cell Technologies Inc formed a 2-year
strategic alliance to provide research and development services in the
United States. The alliance was expected to support the development and
commercial offering of 14 products on regenerative medicine over a two-year
span, with a planned launch of many of these products in 2009.</t>
  </si>
  <si>
    <t xml:space="preserve">826552
23122Z</t>
  </si>
  <si>
    <t xml:space="preserve">Nuvo Research Inc
Undisclosed JV Partner</t>
  </si>
  <si>
    <t xml:space="preserve">Manufacture pharmaceuticals
Investment company</t>
  </si>
  <si>
    <t xml:space="preserve">Nuvo Research Inc, located
in Mississauga, Ontario,
manufactures drugs based on
two technology platforms:
transdermal drug delivery
and immune system
regulation. Its products
include Pennsaid which is
used for the treatment of
osteoarthritis and Oxoferin
which is a topical wound
healing agent. It was
founded in 1983.Ontario
Investment company</t>
  </si>
  <si>
    <t xml:space="preserve">NUVO RESEARCH INC/UNDISCLOSED JOINT VENTURE PARTNER-STRATEGIC ALLIANCE</t>
  </si>
  <si>
    <t xml:space="preserve">Nuvo Research Inc (NR) and an undisclosed Fortune Global 500 company formed
a strategic alliance to provide research and development services in
Canada. The partners were expected to develop and expand the scope of NR's
TEMPEST high throughput  experimentation (HTE) platform to evaluate
potential formulationsthat will drug delivery through the skin.</t>
  </si>
  <si>
    <t xml:space="preserve">67072X
904JVP</t>
  </si>
  <si>
    <t xml:space="preserve">Chinese Academy of Sciences
BP PLC</t>
  </si>
  <si>
    <t xml:space="preserve">Pvd scientific research svcs
Oil and gas company</t>
  </si>
  <si>
    <t xml:space="preserve">Chinese Academy of Sciences
is a provider of research
and development services.
The Company was founded in
November 1949 and is located
in Beijing, China.
BP PLC, located in London,
the United Kingdom, is an
oil and gas company. Its
segments include Upstream,
Downstream, Rosneft, and
Other businesses and
corporate. The Upstream
segment is engaged in oil
and natural gas exploration,
field development and
production, as well as
midstream transportation,
storage and processing. The
Downstream segment has
global manufacturing and
marketing operations. The
Rosneft segment has a
resource base of
hydrocarbons onshore and
offshore. The Other
businesses and corporate
segment comprises the
biofuels and wind
businesses, shipping and
treasury functions, and
corporate activities around
the world. It provides its
customers with fuel for
transportation, energy for
heat and light, lubricants
to keep engines moving and
the petrochemicals products
used to make everyday items
as diverse as paints,
clothes and packaging. The
Company was founded on April
14, 1909.</t>
  </si>
  <si>
    <t xml:space="preserve">8731
2911</t>
  </si>
  <si>
    <t xml:space="preserve">Peoples Republic of China
BP PLC</t>
  </si>
  <si>
    <t xml:space="preserve">999A
2911</t>
  </si>
  <si>
    <t xml:space="preserve">CHINESE ACADEMY OF SCIENCES/BP AMOCO PLC(DNU&lt;5/1/2001)-JOINT VENTURE</t>
  </si>
  <si>
    <t xml:space="preserve">Chinese state-owned Chinese Academy of Sciences (CA) and BP PLC (BP),
planned to form a joint venture (JV) to provide research and development
services of clean energy technology such as coal gasification and
conversion, carbon capture and storage, coal bed methane and underground
gasification  into competitive integrated manufacturing systems and
solutions in China. CA was to hold a 51% interest in the JV, while BP would
hold a 49% stake.</t>
  </si>
  <si>
    <t xml:space="preserve">16890H
055622</t>
  </si>
  <si>
    <t xml:space="preserve">MorphoSys AG
Galapagos NV</t>
  </si>
  <si>
    <t xml:space="preserve">Mnfr biopharmaceutical prod
Biopharmaceutical company</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</si>
  <si>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t>
  </si>
  <si>
    <t xml:space="preserve">MORPHOSYS AG/GALAPAGOS NV-STRATEGIC ALLIANCE</t>
  </si>
  <si>
    <t xml:space="preserve">MorphoSys AG and Galapagos NV formed a strategic alliance to provide
research and development services of antibody therapies based on novel
modes of action in bone &amp; joint disease, including rheumatoid arthritis,
osteoporosis and osteoarthritis. The partners were expected to share the
research and development costs, as well as all future revenues equally.</t>
  </si>
  <si>
    <t xml:space="preserve">617760
36315X</t>
  </si>
  <si>
    <t xml:space="preserve">Tigermed Consulting Co Ltd
OCT Group LLC
LSK Global Pharma Services Co</t>
  </si>
  <si>
    <t xml:space="preserve">Pvd contract research svcs
Pvd contract research svcs
Pvd contract research svcs</t>
  </si>
  <si>
    <t xml:space="preserve">Tigermed Consulting Co Ltd,
located in Shanghai, China,
provides contract
pharmaceutical research
services. Its services include
all phases of clinical
studies, registration
(chemical and biological
drugs, medical device and
functional food), new drug
development and technology
transfer, GCP training, and
marketing research.
OCT Group LLC, located in St.
Petersburg, Russia, provides
contract research services to
Pharmaceutical, Biotech, and
Nutraceutical companies
interested in conducting
clinical trials in Russia,
Ukraine, Baltic States,
Bulgaria, Belarus, other
Eastern European countries.
LSK Global Pharma Services Co
Ltd, located in South Korea,
provides contract research
services. Founded in 2000.</t>
  </si>
  <si>
    <t xml:space="preserve">China
Russian Fed
South Korea</t>
  </si>
  <si>
    <t xml:space="preserve">TIGERMED CONSULTING CO/OCT/LSK-STRATEGIC ALLIANCE</t>
  </si>
  <si>
    <t xml:space="preserve">Tigermed Consulting Co, OCT Group LLC and LSK Global Pharma Services Co Ltd
formed a strategic alliance to provide contract research services. The
alliance aimed to provide a comprehensive outsourcing clinical service to
multinational pharmaceutical companies.</t>
  </si>
  <si>
    <t xml:space="preserve">88776K
67584M
50654A</t>
  </si>
  <si>
    <t xml:space="preserve">Helsinn Healthcare SA
Zealand Pharma A/S</t>
  </si>
  <si>
    <t xml:space="preserve">Pharmaceutical company
Mnfr peptide drugs</t>
  </si>
  <si>
    <t xml:space="preserve">Helsinn Healthcare SA,
headquartered in Lugano,
Switzerland, is a
pharmaceutical company whose
business model is focused on
licensing of pharmaceutical
compounds for therapeutic
areas such as cancer
supportive care, oncology,
pain and inflammation,
gastrointestinal and niche
areas. Its business strategy
is to in-license early-stage
new chemical entities and
completes their development
from the performance of
pre-clinical/clinical
studies and CMC development
to the attainment of market
approvals in strategic
markets. Its products are
eventually out-licensed to
its worldwide consolidated
network of partners for
distribution. The Company
was founded in 1983.
Zealand Pharma A/S,
headquartered in Copenhagen,
Denmark, manufactures
peptide drugs. It provides
discovery and development in
peptide-based drugs that
treat metabolic and
cardiovascular diseases. The
company was founded in 1999.</t>
  </si>
  <si>
    <t xml:space="preserve">Switzerland
Denmark</t>
  </si>
  <si>
    <t xml:space="preserve">HELSIN HEALTHCARE/ZEALAND PHARMACUTICAL BIOTEK-STRATEGIC ALLIANCE</t>
  </si>
  <si>
    <t xml:space="preserve">Zealand Pharma A/S and Helsinn Healthcare SA formed a strategic alliance to
provide research and development services of ZP1846, a GLP-2 (glucagon-like
peptide-2) receptor agonist to treat chemotherapy-induced diarrhea
globally.</t>
  </si>
  <si>
    <t xml:space="preserve">42344N
99018J</t>
  </si>
  <si>
    <t xml:space="preserve">Intermolecular Inc
Advanced Micro Devices Inc</t>
  </si>
  <si>
    <t xml:space="preserve">Mnfr semiconductor sys
Mnfr,whl microprocessors</t>
  </si>
  <si>
    <t xml:space="preserve">Intermolecular Inc, located
in San Jose, California,
manufactures and develops
semiconductor-specific
High-Productivity
Combinatorial (HPC) systems
and methods in three
functional areas to
accelerate the pace and
learning of clients'
semiconductor R&amp;D.
Advanced Micro Devices Inc
is a manufactures and
wholesales microprocessors,
embedded electronics
devices, desktop and
notebook processors, and
develops graphic systems
software, for the computing,
graphics and consumer
electronics industries. The
Company was founded in May
1969 and is located in Santa
Clara, California.</t>
  </si>
  <si>
    <t xml:space="preserve">INTERMOLECULAR/ADVANCED MICRO DEVICES INC- STRATEGIC ALLIANCE</t>
  </si>
  <si>
    <t xml:space="preserve">Intermolecular Inc and Advanced Micro Devices Inc formed a strategic
alliance to provide interconnect technology development services for logic
devices based on the process of molecular self-assembly in the United
States.</t>
  </si>
  <si>
    <t xml:space="preserve">45882D
007903</t>
  </si>
  <si>
    <t xml:space="preserve">Purdue Pharma LP
Mundipharma Int Ltd</t>
  </si>
  <si>
    <t xml:space="preserve">Biopharma co
Manufacture pharmaceuticals</t>
  </si>
  <si>
    <t xml:space="preserve">Purdue Pharma LP,
headquartered in Stamford,
Connecticut, is a
pharmaceutical company. It
develops and provides
prescription medicines for
healthcare professionals,
patients, and caregivers.
The Company was founded in
1892.
Mundipharma Int Ltd is a
manufacturer of
pharmaceutical preparation.
The Company was founded in
1992 and is located in
Cambridge, the United
Kingdom.</t>
  </si>
  <si>
    <t xml:space="preserve">PURDUE PHARMA LP/MUNDIPHARMA AG-STRATEGIC ALLIANCE</t>
  </si>
  <si>
    <t xml:space="preserve">Purdue Pharma LP and Mundipharma International Ltd formed a strategic
alliance to provide research and development services in the areas of
oncology and neuropathic pain globally.</t>
  </si>
  <si>
    <t xml:space="preserve">74616F
62615M</t>
  </si>
  <si>
    <t xml:space="preserve">Advanced Cell Technology Inc
CHA Biotech Co Ltd</t>
  </si>
  <si>
    <t xml:space="preserve">Biotechnology company
Mnfr,dvlp stem cell therapies</t>
  </si>
  <si>
    <t xml:space="preserve">Advanced Cell Technology Inc,
based in Marlborough,
Massachusetts, is a
biotechnology company applying
cellular technology in the
emerging field of regenerative
medicine branded as Myoblast
program, an autologous adult
stem cell therapy for the
treatment of heart disease.
CHA Biotech Co Ltd,
headquartered in Seoul, South
Korea, is a research facility
that develops and manufactures
biotechnological advances in
stem cell research &amp;
regenerative medicine. The
Company operates the CHA Stem
Cell Institute, the CHA i-Cord
blood bank and the mobile
healthcare unit called CHA
Paramedic Service. Founded in
2000.</t>
  </si>
  <si>
    <t xml:space="preserve">ADVANCED CELL TECHNOLOGY INC/CHA BIOTECH CO LTD-JOINT VENTURE</t>
  </si>
  <si>
    <t xml:space="preserve">Allied Cell Technology Inc,
based in Worcester,
Massachusetts, provides
research and development
services of human blood cells
and other clinical therapies.
Founded in 2008.</t>
  </si>
  <si>
    <t xml:space="preserve">Advanced Cell Technology Inc and CHA Biotech Co Ltd, a unit of Raiders
Company Co Ltd, formed a joint venture named Allied Cell Technology Inc
(AC) to provide research and development services of human blood cells and
other clinical therapies in the United States. AC was based in Worcester,
Massachusetts.</t>
  </si>
  <si>
    <t xml:space="preserve">92403F</t>
  </si>
  <si>
    <t xml:space="preserve">0075KK
13049P</t>
  </si>
  <si>
    <t xml:space="preserve">Intel Corp
Hitachi Ltd</t>
  </si>
  <si>
    <t xml:space="preserve">Manufacture,wholesale semiconductors
Mnfr,whl electn equip</t>
  </si>
  <si>
    <t xml:space="preserve">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
Hitachi Limited is
manufacturing and
distributing electronic
equipment, based in Tokyo.
The Group's principal
activity is to manufacture
electronic and electrical
equipment. The operations
are carried out through the
following divisions: Power
and industrial systems;
Information and Telecom
Systems; Materials; Consumer
Products; Electronic
Devices; Financial Services
and Service/others. Power
and Industrial systems
division manufactures
nuclear, thermal and
hydroelectric power plants
and control equipment.
Information systems division
deals with system
integration, multi-purpose
computer and others.
Electronics division
manufactures computers,
audio/visual equipment and
development of software.
Materials division
manufactures synthetic resin
materials and products.
Consumer Products division
manufactures air
conditioners, household
appliances and audio/visual
products. Electronic Devices
semi-conductor equipment and
test and measurement
equipment. Services and
other division is engaged in
general trading and
transportation.</t>
  </si>
  <si>
    <t xml:space="preserve">INTEL COM(DNU)/HITACHI SEISAKUJO(DNU)-STRATEGIC ALLIANCE</t>
  </si>
  <si>
    <t xml:space="preserve">Intel Corp and Hitachi Ltd formed a strategic alliance to provide research
and development services of data storage devices and flash memory globally.
The partners were expected to develop a Serial Attached SCSI (SAS) and
Fibre Channel (FC) enterprise-class solid-state drives (SSDs) for servers,
workstations and storage systems.</t>
  </si>
  <si>
    <t xml:space="preserve">458140
433578</t>
  </si>
  <si>
    <t xml:space="preserve">ConjuChem Biotechnologies Inc
Novozymes A/S</t>
  </si>
  <si>
    <t xml:space="preserve">Biotech co
Mnfr,wholesale enzyme products</t>
  </si>
  <si>
    <t xml:space="preserve">ConjuChem Biotechnologies
Inc, located in Montreal,
Quebec, is a biotechnology
company, which focuses in
the development of medicines
from therapeutic peptides
based on its bioconjugation
platform technologies with
an initial focus on
diabetes. It was founded in
1997.
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t>
  </si>
  <si>
    <t xml:space="preserve">Canada
Denmark</t>
  </si>
  <si>
    <t xml:space="preserve">CONJUCHEM BIOTECHNOLOGIES INC/NOVOZYMES A/S-STRATEGIC ALLIANCE</t>
  </si>
  <si>
    <t xml:space="preserve">ConjuChem Biotechnologies Inc and Novozymes A/S formed a strategic alliance
to provide research and development services of industrial enzymes
globally.</t>
  </si>
  <si>
    <t xml:space="preserve">207347
67026F</t>
  </si>
  <si>
    <t xml:space="preserve">Dynavax Technologies Corp
GlaxoSmithKline PLC</t>
  </si>
  <si>
    <t xml:space="preserve">Mnfr,whl pharm prod
Pharmaceutical Preparation Manufacturing</t>
  </si>
  <si>
    <t xml:space="preserve">Dynavax Technologies Corp,
located in Emeryville,
California, manufactures,
develops and wholesales
pharmaceutical products to
treat and prevent allergies,
infectious diseases, cancer
and chronic inflammatory
diseases using proprietary
approaches that alter immune
system responses. The
Company was founded in 1996.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</si>
  <si>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DYNAVAX TECHNOLOGIES CORP/GLAXOSMITHKLINE PLC(WAS 377327)- STRATEGIC
ALLIANCE</t>
  </si>
  <si>
    <t xml:space="preserve">GlaxoSmithKline PLC (GP) and Dynavax Technologies Corp (DT) formed a
strategic alliance to provide research, development and commercialization
services of novel inhibitors of endosomal Toll-like Receptors (TLRs) for
the treatment of immuno-inflammatory diseases. TLRs are key receptors of
the innate immune system that can induce strong inflammatory responses
worldwide. The alliance will include the worldwide development of TLR8
inhibitor for the treatment of multiple autoimmune and inflammatory
diseases, which entitles DT to receive an additional USD 3 mil milestone
payment from GP. DT was estimated to receive USD 200 mil in payment under
the alliance.</t>
  </si>
  <si>
    <t xml:space="preserve">DT was estimated to receive USD 200 mil in payment under the alliance.</t>
  </si>
  <si>
    <t xml:space="preserve">268158
37733W</t>
  </si>
  <si>
    <t xml:space="preserve">Archemix Corp
GlaxoSmithKline PLC</t>
  </si>
  <si>
    <t xml:space="preserve">Mnfr aptamer therapeutics
Pharmaceutical Preparation Manufacturing</t>
  </si>
  <si>
    <t xml:space="preserve">Archemix Corp, located in
Cambridge, Massachusetts,
manufactures aptamer-based
therapeutics for the
prevention and treatment of
chronic and acute diseases
through the use of proprietary
technologies such as selected
RNA and DNA scaffolds as
mimics or substitutes for
antibody-like binding domains.
The company was founded in
2001.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</si>
  <si>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ARCHEMIX CORP/GLAXO HOLDINGS PLC-STRATEGIC ALLIANCE</t>
  </si>
  <si>
    <t xml:space="preserve">Archemix Corp and GlaxoSmithKline PLC formed a strategic alliance to
provide research and development services of aptamer therapeutics to treat
inflammatory diseases, such as rheumatoid arthritis and inflammatory bowel
disease globally.</t>
  </si>
  <si>
    <t xml:space="preserve">03949Q
37733W</t>
  </si>
  <si>
    <t xml:space="preserve">Merial Ltd
Imugene Ltd</t>
  </si>
  <si>
    <t xml:space="preserve">Mnfr animal vaccines
Biological Product (Except Diagnostic) Manufacturing</t>
  </si>
  <si>
    <t xml:space="preserve">Merial Ltd is a manufacturer
of animal health products,
headquartered in Duluth,
Georgia. The company
manufactures pharmaceutical
products and vaccines for
livestock, pets and other
wildlife. The company was
founded in 1997.
Imugene Ltd, located in
Sydney, Australia, is a
biotechnology company
engaged in the research and
development of human
epidermal growth factor
receptor 2 positive (HER2
+ve), and gastric and breast
cancer vaccines. The Company
is also engaged in the
research, development and
commercialization of health
technologies. HER-Vaxx is a
cancer immunotherapy
designed to treat tumors
that over-express the
HER-2/neu receptor, such as
gastric, breast, ovarian,
lung and pancreatic cancers.
HER-Vaxx has completed a
Phase I clinical trial with
over 10 HER-2 positive
patients with metastatic
breast cancer. It was shown
in pre-clinical studies and
in one Phase 1 study to
stimulate a potent
polyclonal antibody response
to HER-2/neu. HER-Vaxx has
stimulated the production of
HER-2 antibodies in
early-stage cancer patients
enrolled in the initial
clinical trial. The Company
is also developing
mimotope-based
immunotherapies against
validated and oncology
targets.</t>
  </si>
  <si>
    <t xml:space="preserve">Merck &amp; Co Inc
Imugene Ltd</t>
  </si>
  <si>
    <t xml:space="preserve">MERIAL LTD/IMUGENE LTD-STRATEGIC ALLIANCE</t>
  </si>
  <si>
    <t xml:space="preserve">Merial Ltd, a joint venture between Merck &amp; Co Inc and Merieux
International SA, and Imugene Ltd, formed a strategic alliance to provide
research and development services of vaccine candidates in animal health
globally. The alliance was also expected to develop novel animal health
products for pigs and poultry.</t>
  </si>
  <si>
    <t xml:space="preserve">58953J
45286J</t>
  </si>
  <si>
    <t xml:space="preserve">Ube Industries Ltd
Boeing Co</t>
  </si>
  <si>
    <t xml:space="preserve">Mnfr,whl plastic chemicals
Manufacture jetliners,aircraft</t>
  </si>
  <si>
    <t xml:space="preserve">Ube Industries Ltd, located
in Minato-Ku Tokyo, Japan,
is a manufacturer of
plastics materials. The
Company was founded in 1897.
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t>
  </si>
  <si>
    <t xml:space="preserve">2821
3721</t>
  </si>
  <si>
    <t xml:space="preserve">UBE INDUSTRIES LTD/BOEING CO-STRATEGIC ALLIANCE</t>
  </si>
  <si>
    <t xml:space="preserve">Ube Industries Ltd and Boeing Co (BC) formed a strategic alliance to
provide research and development services on innovative aircraft materials
to be used in BC's commercial airliners.</t>
  </si>
  <si>
    <t xml:space="preserve">903460
097023</t>
  </si>
  <si>
    <t xml:space="preserve">Synta Pharmaceuticals Corp
Roche Holdings AG</t>
  </si>
  <si>
    <t xml:space="preserve">Biopharma co
Manufactures, wholesales pharmaceuticals and medical instruments</t>
  </si>
  <si>
    <t xml:space="preserve">Synta Pharmaceuticals Corp,
located at Lexington,
Massachusetts, is a
biopharmaceutical company
focused on discovering,
developing, and
commercializing small molecule
drugs to extend and enhance
the lives of patients with
severe medical conditions,
including cancer and chronic
inflammatory diseases. The
company was founded in 2001.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</si>
  <si>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SYNTA PHARMACEUTICALS CORP/HOFFMANN-LA ROCHE(DNU)-STRATEGIC ALLIANCE</t>
  </si>
  <si>
    <t xml:space="preserve">Synta Pharmaceuticals Corp and Roche Holding AG formed a strategic alliance
to provide research and development services focused small-molecule drugs
targeting a novel family of ion channels that are critical to immune cell
function.</t>
  </si>
  <si>
    <t xml:space="preserve">87162T
77119M</t>
  </si>
  <si>
    <t xml:space="preserve">Biotica Technology Ltd
GlaxoSmithKline PLC</t>
  </si>
  <si>
    <t xml:space="preserve">Biotica Technology Ltd,
located in the United Kingdom,
is a biotechnology company
focused on the discovery of
novel polyketide
pharmaceuticals. Founded in
1996.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</si>
  <si>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BIOTICA TECHNOLOGY LTD/GLAXOSMITHKLINE PLC- STRATEGIC ALLIANCE</t>
  </si>
  <si>
    <t xml:space="preserve">Biotica Technology Ltd and GlaxoSmithKline PLC formed a 3-year strategic
alliance to provide research and development services in the United
Kingdom. The alliance was expected to discover, develop and commercialise
novel erythromycin-based macrolides in  inflammatory diseases.</t>
  </si>
  <si>
    <t xml:space="preserve">90968E
37733W</t>
  </si>
  <si>
    <t xml:space="preserve">Wyeth Pharmaceuticals Inc
Santaris Pharma A/S</t>
  </si>
  <si>
    <t xml:space="preserve">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
Santaris Pharma A/S, located
in Horsholm, Denmark, is a
biotechnology company focused
on developing designer drugs
for targeted therapy. It
manufactures oligonucleotide
drugs based on its
proprietary, 3rd generation
RNA analogue, Locked Nucleic
Acid (LNA). The company was
founded in 2003.</t>
  </si>
  <si>
    <t xml:space="preserve">Wyeth
Santaris Pharma A/S</t>
  </si>
  <si>
    <t xml:space="preserve">WYETH PHARMACEUTICALS INC/SANTARIS PHARMA A/S-STRATEGIC ALLIANCE</t>
  </si>
  <si>
    <t xml:space="preserve">Wyeth Pharmaceuticals Inc, a unit of Wyeth, and Santaris Pharma AS (SP)
formed a strategic alliance to provide RNA-based medicine development and
marketing services using SP's proprietary Locked Nucleic Acid drug
platform. SP was expected to receive an upfront payment of $7 mil US (5.235
mil euros) as well as milestone payments of up to $83 mil US (62.067 mil
euros).</t>
  </si>
  <si>
    <t xml:space="preserve">Santaris Pharma AS was expected to receive an upfront payment of $7 mil US
(5.235 mil euros) as well as milestone payments of up to $83 mil US (62.067
mil euros).</t>
  </si>
  <si>
    <t xml:space="preserve">98292L
80284V</t>
  </si>
  <si>
    <t xml:space="preserve">MediaTek Inc
China Telecommunication Tech</t>
  </si>
  <si>
    <t xml:space="preserve">Mnfr,whl chipsets
Pvd research,dvlp svcs</t>
  </si>
  <si>
    <t xml:space="preserve">MediaTek Inc is a
manufacturer of
semiconductors and related
device. The Company was
founded in May 1997 and is
located in New Taipei City,
Taiwan. MediaTek Inc. is a
Taiwanese fabless
semiconductor company that
provides chips for wireless
communications,
High-definition television,
handheld mobile devices like
smartphones and tablet
computers, navigation
systems, consumer multimedia
products and Digital
subscriber line services as
well as optical disc drives.
China Telecommunication
Technology Labs provides
research and development
services. The company is
headquartered in China.</t>
  </si>
  <si>
    <t xml:space="preserve">Taiwan
China</t>
  </si>
  <si>
    <t xml:space="preserve">MEDIATEK INC/CHINA TELECOM TECH LAB-STRATEGIC ALLIANCE</t>
  </si>
  <si>
    <t xml:space="preserve">MediaTek Inc and China Telecommunication Technology Labs, formed a
strategic alliance to provide research and development services of mobile
phones globally. The partners were expected to explore new product
innovation, and testing of new applications or technologies.</t>
  </si>
  <si>
    <t xml:space="preserve">Y5945U
16851F</t>
  </si>
  <si>
    <t xml:space="preserve">IntelGenx Technologies Corp
Circ Pharma Ltd</t>
  </si>
  <si>
    <t xml:space="preserve">IntelGenx Technologies Corp,
located in Ville St-Laurent,
Quebec is a biotechnology
company focused on improving
existing medications by
incorporating its proprietary,
advanced controlled-release
technologies. The company was
founded in 1999.
Circ Pharma Ltd, located in
Dublin, Ireland, manufactures
and develops pharmaceutical
products in the area of
cardiovascular disease as well
as for pain and neurology
applications. Founded in 2006.</t>
  </si>
  <si>
    <t xml:space="preserve">INTELGENX CORP/CIRC PHARMA-STRATEGIC ALLIANCE</t>
  </si>
  <si>
    <t xml:space="preserve">IntelGenx Technologies Corp (IT) and Circ Pharma Ltd formed a strategic
alliance to manufacture, develop and market a novel drug product for the
treatment of hyperlipidemia.</t>
  </si>
  <si>
    <t xml:space="preserve">45822R
17086M</t>
  </si>
  <si>
    <t xml:space="preserve">Mitsubishi Heavy Industries
NIBE Industrier AB</t>
  </si>
  <si>
    <t xml:space="preserve">Mnfr,whl ships,power engine
Heating Equipment (Except Warm Air Furnaces) Manufacturing</t>
  </si>
  <si>
    <t xml:space="preserve">Mitsubishi Heavy Industries
Ltd, located in Tokyo,
Japan, manufactures and
wholesales ships, power
engine and other
construction machinery. The
Marine Vessel and Ocean
segment offers passenger
ships, gas ships, car
ferries and others. The
Power Engine segment offers
boilers, turbines,
windmills, diesel engines
and pumps. The Machinery and
Steel Structure segment
offers exhaust fume
treatment equipment, waste
treatment and traffic
systems, cranes, bridges,
chimney pipes and printing
machinery. The Aviation and
Space segment offers space
equipment, aircrafts and
torpedoes. The General
Machinery and Special
Vehicle segment offers
forklifts, construction
machinery and agricultural
machinery. The Others
segment offers
air-conditioning equipment,
real estate sales and
printing services, among
others. The company was
founded in 1884.
NIBE Industrier AB is a
manufacturer of heating
equipment. Its products
include components and
systems for electric heating
applications and heating
products, geothermal heat
pumps, water and air heat
pumps, exhaust heat pumps,
water heaters and domestic
boilers and wood-burning
stoves. The Company was
founded in 1989 and is
located in Markyard, Sweden.</t>
  </si>
  <si>
    <t xml:space="preserve">3731
3433</t>
  </si>
  <si>
    <t xml:space="preserve">MITSUBISHI HEAVY INDUSTRIES LTD/NIBE INDUSTRIER AB-STRATEGIC ALLIANCE</t>
  </si>
  <si>
    <t xml:space="preserve">Mitsubishi Heavy Industries Ltd and NIBE Industrier AB formed a strategic
alliance to manufacture and develop energy-saving, high-performance
inverter products for the air-to-water heat pump market in Europe.</t>
  </si>
  <si>
    <t xml:space="preserve">606793
64516A</t>
  </si>
  <si>
    <t xml:space="preserve">Skinvisible Inc
Cambrex Corp</t>
  </si>
  <si>
    <t xml:space="preserve">Mnfr,whl skincare prod
Manufactures pharmaceutical products</t>
  </si>
  <si>
    <t xml:space="preserve">Skinvisible Inc is a
manufacturer of toilet
preparations. The Company
was founded in 1998 and is
located in Las Vegas,
Nevada.
Cambrex Corp, located in
East Rutherford, New Jersey,
manufactures pharmaceutical
products. It provides
services for the development
and commercialization of new
and generic therapeutics. It
also offers drug substance,
drug product and analytical
services. It provides
customers with an end-to-end
partnership for the
research, development and
manufacture of small
molecule therapeutics. It
has six manufacturing
facilities with two
reportable segments,
including Active
Pharmaceutical Ingredients
and Finished Dosage Form.
Its subsidiaries includes
Cambrex Charles City, Inc.,
Cambrex Karlskoga AB and
Cambrex Profarmaco Milano
Srl. It also operates in
North America and Europe.
The Company was founded in
December 1981.</t>
  </si>
  <si>
    <t xml:space="preserve">NV
NJ</t>
  </si>
  <si>
    <t xml:space="preserve">SKINVISIBLE INC/CAMBREX CORP-STRATEGIC ALLIANCE</t>
  </si>
  <si>
    <t xml:space="preserve">Skinvisible Inc and Cambrex Corp formed a strategic alliance to provide
research and development services of acne formulations in the United
States. The alliance was expected to produces a high-grade benzoyl peroxide
API made under cGMP and which has a Drug Master File (DMF).</t>
  </si>
  <si>
    <t xml:space="preserve">830703
132011</t>
  </si>
  <si>
    <t xml:space="preserve">Shenzhen Neptunus Interlong
GlaxoSmithKline Pte Ltd</t>
  </si>
  <si>
    <t xml:space="preserve">Shenzhen Neptunus Interlong
Bio-technique Co Ltd, located
in China, manufactures,
develops, and wholesales
biological products such as
biochemistry raw materials,
reagents and products like
biochemical drugs,
bioengineering products,
Chinese medicines, health care
products, and other products
called anti-HB iRNA series,
anti-cancer iRNA, anti
allergy, fungus, asthma
medicine in the form of
injection, capsules and
tablets like Thrombin,
Neptunus, Antike and
Amoxicillin capsules. The
company was founded in 1999.
GlaxoSmithKline Pte Ltd is a
manufacturer of
pharmaceutical preparation.
It manufactures, wholesales
and develops pharmaceutical
products. The Company is
located in Singapore.</t>
  </si>
  <si>
    <t xml:space="preserve">SHENZHEN NEPTUNUS INTERLONG/GLAXOSMITHKLINE PLC- JOINT VENTURE</t>
  </si>
  <si>
    <t xml:space="preserve">Shenzhen Neptunus Interlong Bio-technique Co Ltd (SN), a unit of Shenzhen
Neptunus Bioengineering Co Ltd, and GlaxoSmithKline Pte Ltd (GP), a unit of
GlaxoSmithKline PLC, planned to form a 10-year joint venture named Shenzhen
GSK-Neptunus Biologicals Ltd (SG) to manufacture, develop and wholesale
human influenza vaccines, rabies vaccines,  and potentially other human
vaccines and/or related products in China. SG was to have a total
investment of USD 99.9 mil.</t>
  </si>
  <si>
    <t xml:space="preserve">Shenzhen GSK-Neptunus Biologicals Ltd was to have a total investment of USD
99.9 mil.</t>
  </si>
  <si>
    <t xml:space="preserve">64207R
37744E</t>
  </si>
  <si>
    <t xml:space="preserve">Turbine Truck Engines Inc
Aerospace Mach &amp; Electric</t>
  </si>
  <si>
    <t xml:space="preserve">Mnfr,whl truck engine
Mnfr electromechanical equip</t>
  </si>
  <si>
    <t xml:space="preserve">Turbine Truck Engines Inc,
headquartered in Deland,
Florida, is a manufacturer
and wholesaler of
turbine-based truck engines.
It's products and brands
include the Detonation Cycle
Gas Turbine engine {DCGT}.
The company was founded in
2000.
Aerospace Machinery &amp; Electric
Equipment Co Ltd, located in
Beijing, China, manufactures
electromechanical equipment
and related products. The
company was founded in 2002.</t>
  </si>
  <si>
    <t xml:space="preserve">3694
3824</t>
  </si>
  <si>
    <t xml:space="preserve">TURBINE TRUCK ENGINES INC /AEROSPACE MACHINERY &amp; ELECTRIC- STRATEGIC
ALLIANCE</t>
  </si>
  <si>
    <t xml:space="preserve">Turbine Truck Engines Inc and Aerospace Machinery &amp; Electric Equipment Co
Ltd formed a strategic alliance to manufacture and develop Detonation Cycle
Gas Turbine Engines in China.</t>
  </si>
  <si>
    <t xml:space="preserve">89989X
98761E</t>
  </si>
  <si>
    <t xml:space="preserve">23andMe Inc
mondoBIOTECH Holding SA</t>
  </si>
  <si>
    <t xml:space="preserve">Research and Development in Biotechnology
Biotechnology company</t>
  </si>
  <si>
    <t xml:space="preserve">23andMe Inc, located in
Mountain View, California,
is a consumer genetics and
research company. It helps
individuals understand their
own genetic information
using deoxyribonucleic acid
(DNA) analysis technologies.
The Company was founded in
April 2006.
mondoBIOTECH Holding SA,
headquartered in
Switzerland, is a
biotechnology company.</t>
  </si>
  <si>
    <t xml:space="preserve">23ANDME INC /MONDOBIOTECH AG-STRATEGIC ALLIANCE</t>
  </si>
  <si>
    <t xml:space="preserve">23andMe Inc and Mondobiotech AG formed a strategic alliance to provide
research services on rare diseases in Switzerland. The partners
collaborated to facilitate research of the genetic bases of rare and
potentially fatal diseases, such as Pulmonary Arterial Hypertension,
Sarcoidosis, and Pulmonary Fibrosis, the genetics of which are poorly
understood.</t>
  </si>
  <si>
    <t xml:space="preserve">90145K
60930A</t>
  </si>
  <si>
    <t xml:space="preserve">Ca Inc
Healthscreen Solutions Inc</t>
  </si>
  <si>
    <t xml:space="preserve">Develops info tech mgmt software
Dvlp electn med software</t>
  </si>
  <si>
    <t xml:space="preserve">CA Inc, doing business as CA
Technologies, located in New
York, New York, develops
information technology
management software and
solutions. Its products are
focused on six solution
areas: enterprise
management, security,
storage, e-business
transformation and
integration, portal and
knowledge management, and
predictive analysis and
visualization. The Company
also provides training
services. It has other
offices in US and EMEA. The
Company was founded in 1976.
Healthscreen Solutions Inc,
located in Toronto, Ontario,
Canada, develops electronic
medical record software that
supports digitalization and
network connectivity for
community specialists and
family physicians.</t>
  </si>
  <si>
    <t xml:space="preserve">CA INC(WAS 204912)/HEALTHSCREEN SOLUTIONS INC-STRATEGIC ALLIANCE</t>
  </si>
  <si>
    <t xml:space="preserve">CA Inc and Healthscreen Solutions Inc formed a strategic alliance to
provide research and development services of chronic disease management
programs globally.</t>
  </si>
  <si>
    <t xml:space="preserve">12673P
422261</t>
  </si>
  <si>
    <t xml:space="preserve">Essilor International SA
Nikon Corp</t>
  </si>
  <si>
    <t xml:space="preserve">Manufacture, wholesale ophthalmic products
Mnfr,ret photo equip</t>
  </si>
  <si>
    <t xml:space="preserve">Essilor International SA,
located in
Charenton-Le-Pont, France,
manufactures and wholesales
ophthalmic products. It also
provides various optical
instruments primarily the
machines used to edge
finished lenses and diagnose
visual disorders. It offers
its products under various
brand names, including
Varilux progressive lenses,
Crizal multiple-coating
lenses, Airwear
polycarbonate ophthalmic
lenses, Transitions variable
tint lenses, and Nikon
high-technology lenses, as
well as Definity lenses. The
Company was founded in 1972.
Nikon Corp, headquartered in
Tokyo, Japan, is engaged in
the manufacture and retail
of photo equipments. The
company operates in four
business segments. The
precision apparatus segment
offers semiconductor
exposure apparatus and
liquid crystal (LC) exposure
apparatus. The image segment
provides digital single-lens
reflex (SLR) cameras,
compact digital cameras and
interchangeable lens.
Instruments segment offers
microscopes, measuring
machines and semiconductor
inspection equipment. Other
segment provides LC
photomask substrates and
telescopes. As of March 31,
2011, the company has 87
subsidiaries and 11
associated companies. It was
founded in 1917.</t>
  </si>
  <si>
    <t xml:space="preserve">3851
3861</t>
  </si>
  <si>
    <t xml:space="preserve">ESSILOR INTERNATIONAL SA/NIKON CORP-JOINT VENTURE</t>
  </si>
  <si>
    <t xml:space="preserve">Essilor International SA and Nikon Corp planned to form a joint venture
named Nikon &amp; Essilor International Joint Research Center Co Ltd (NE) to
provide research and development services of optics and ophthalmic
materials in Japan. The partners were to each hold a 50% interest in NE.
NE's qperations were to start mid-March, 2009.</t>
  </si>
  <si>
    <t xml:space="preserve">297284
654111</t>
  </si>
  <si>
    <t xml:space="preserve">Michelin
Valeo SA</t>
  </si>
  <si>
    <t xml:space="preserve">Tire Manufacturing (Except Retreading)
Manufacture, wholesale automobile parts</t>
  </si>
  <si>
    <t xml:space="preserve">Compagnie Generale des
Etablissements Michelin SCA
is a manufacturer and
wholesaler of tires. It
offers tires and tubes for
various types of vehicles,
such as cars, vans, trucks,
buses, farm machinery,
earthmovers, mining and
handling equipment,
tramways, metros, aircraft,
motorcycles, scooters and
bicycles. The Company also
provides digital services,
maps and guides to help
trips and travels. The
Company is present in 170
countries and operates 68
production facilities in 17
countries. It also offers
travel assistance products
and services, through its
digital and printed maps and
guides. The Company produces
a number of lifestyle
products, such as car and
bike accessories, work,
sport and leisure gear and
collectibles. The Company
was founded in 1889 and is
located in Clermont-Ferrand,
France.
Valeo SA, located in Paris,
France, manufactures and
wholesale automobile parts,
components, integrated
systemsmodules for cars and
trucks. The products of the
Company include lighting,
wipers, security,
electronics and connective
systems, switches, motors &amp;
actuators, engine
management, compressors,
transmission, climate
control and engine cooling
equipment. The Company is
also a holding Company. The
Company was founded in 1923.</t>
  </si>
  <si>
    <t xml:space="preserve">3011
3714</t>
  </si>
  <si>
    <t xml:space="preserve">MICHELIN GROUP(DNU)/VALEO SA- STRATEGIC ALLIANCE</t>
  </si>
  <si>
    <t xml:space="preserve">Cie Generale des Etablissements Michelin SA and Valeo SA formed a strategic
alliance to manufacture and develop electric cars in France.</t>
  </si>
  <si>
    <t xml:space="preserve">594100
919134</t>
  </si>
  <si>
    <t xml:space="preserve">NeuroSearch A/S
Eli Lilly &amp; Co</t>
  </si>
  <si>
    <t xml:space="preserve">Manufactures pharmaceuticals
Manufactures,wholesales pharmaceuticals</t>
  </si>
  <si>
    <t xml:space="preserve">NeuroSearch A/S, located in
Ballerup, Denmark,
manufactures pharmaceuticals
products primarily within
the field of diseases of the
central nervous system;
invent, develop and market
drugs. The Group focuses on
research and development of
drugs, primarily targeting
diseases related to the
central nervous system. The
products of the Group are
sold mainly to the
pharmaceutical industry and
later on to patients
suffering from diseases that
are highly disabling such as
ADHD, anxiety disorders,
cancer, COPD, depression,
epilepsy, pain and
Parkinson's disease. The
Group's research has also
led to research and
development projects related
to other diseases such as
obesity, cancer, urinary
incontinence and certain
heart diseases.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</si>
  <si>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NEURORESEARCH/ELI LILLY &amp; CO-STRATEGIC ALLIANCE</t>
  </si>
  <si>
    <t xml:space="preserve">Eli Lilly &amp; Co and NeuroSearch A/S formed a strategic alliance to povide
research and development services for central nervous system disorders in
Denmark.</t>
  </si>
  <si>
    <t xml:space="preserve">64130V
532457</t>
  </si>
  <si>
    <t xml:space="preserve">Nikon Corp
Essilor International SA</t>
  </si>
  <si>
    <t xml:space="preserve">Mnfr,ret photo equip
Manufacture, wholesale ophthalmic products</t>
  </si>
  <si>
    <t xml:space="preserve">Nikon Corp, headquartered in
Tokyo, Japan, is engaged in
the manufacture and retail
of photo equipments. The
company operates in four
business segments. The
precision apparatus segment
offers semiconductor
exposure apparatus and
liquid crystal (LC) exposure
apparatus. The image segment
provides digital single-lens
reflex (SLR) cameras,
compact digital cameras and
interchangeable lens.
Instruments segment offers
microscopes, measuring
machines and semiconductor
inspection equipment. Other
segment provides LC
photomask substrates and
telescopes. As of March 31,
2011, the company has 87
subsidiaries and 11
associated companies. It was
founded in 1917.
Essilor International SA,
located in
Charenton-Le-Pont, France,
manufactures and wholesales
ophthalmic products. It also
provides various optical
instruments primarily the
machines used to edge
finished lenses and diagnose
visual disorders. It offers
its products under various
brand names, including
Varilux progressive lenses,
Crizal multiple-coating
lenses, Airwear
polycarbonate ophthalmic
lenses, Transitions variable
tint lenses, and Nikon
high-technology lenses, as
well as Definity lenses. The
Company was founded in 1972.</t>
  </si>
  <si>
    <t xml:space="preserve">3861
3851</t>
  </si>
  <si>
    <t xml:space="preserve">NIKON CORP/ESSILOR INTERNATIONAL SA-JOINT VENTURE</t>
  </si>
  <si>
    <t xml:space="preserve">Nikon Corp and Essilor International SA planned to form a joint venture
named Nikon &amp; Essilor International Joint Research Center Co Ltd (NE) to
provide research and development services of optics and ophthalmic
materials in Japan. The partners were to each hold a 50% interest in NE.</t>
  </si>
  <si>
    <t xml:space="preserve">654111
297284</t>
  </si>
  <si>
    <t xml:space="preserve">Immtech Pharmaceuticals Inc
Beijing Pharmaceutical Co Ltd</t>
  </si>
  <si>
    <t xml:space="preserve">Mnfr,dvlp pharm
Pharmaceutical Preparation Manufacturing</t>
  </si>
  <si>
    <t xml:space="preserve">Immtech Pharmaceuticals Inc,
located in New York, New York,
manufactures and develops
pharmaceuticals for the
treatment of a range of
infectious diseases including
hepatitis C (HCV), fungal
diseases and multi-drug
resistant strains of bacterial
infections. Founded in 1984.
Beijing Pharmaceutical Co
Ltd is a manufacturer and
wholesaler of pharmaceutical
preparation. The Company was
founded in April 1979 and is
located in Beijing, China.</t>
  </si>
  <si>
    <t xml:space="preserve">Immtech Pharmaceuticals Inc
China Resources National Corp</t>
  </si>
  <si>
    <t xml:space="preserve">2834
2299</t>
  </si>
  <si>
    <t xml:space="preserve">IMMTECH PHARMACEUTICALS INC(WAS 452519)/BEIJING PHARMACEUTICAL GROUP CO
LTD-STRATEGIC ALLIANCE</t>
  </si>
  <si>
    <t xml:space="preserve">Immtech Pharmaceuticals Inc (IP) and Chinese state-owned Beijing
Pharmaceutical Group Co Ltd formed a strategic alliance to provide drug
development services from IP's extensive proprietary library of compounds.</t>
  </si>
  <si>
    <t xml:space="preserve">45460V
07726T</t>
  </si>
  <si>
    <t xml:space="preserve">Global Science &amp; Tech Inc
Biometric Services Intl LLC</t>
  </si>
  <si>
    <t xml:space="preserve">Pvd info tech svcs
Pvd research,dvlp svcs</t>
  </si>
  <si>
    <t xml:space="preserve">Global Science &amp; Technology
Inc is a provider of
information technology
services, headquartered in
Greenbelt, Maryland. The
company offers their services
in the fields of science,
engineering, Information
Technology (IT), and technical
support to worldwide
government, industry, and
academic clients.
Biometric Services
International LLC provides
biometric research and
development services. The
company is headquartered in
West Virginia.</t>
  </si>
  <si>
    <t xml:space="preserve">7376
8731</t>
  </si>
  <si>
    <t xml:space="preserve">MD
WV</t>
  </si>
  <si>
    <t xml:space="preserve">GLOBAL SCIENCE &amp; TECHNOLOGY INC/BIOMETRIC SERVICES INTERNATIONAL-JOINT
VENTURE</t>
  </si>
  <si>
    <t xml:space="preserve">West Virginia</t>
  </si>
  <si>
    <t xml:space="preserve">Biometric Services International LLC and Global Science &amp; Technology Inc
planned to form a joint venture named IdM Global Alliance LLC to provide
biometrics testing and research services in the United States.</t>
  </si>
  <si>
    <t xml:space="preserve">37915X
09219N</t>
  </si>
  <si>
    <t xml:space="preserve">Sanofi-Aventis SA
AEterna Zentaris Inc</t>
  </si>
  <si>
    <t xml:space="preserve">Manufacture pharmaceuticals
Pvd drug dvlp svcs</t>
  </si>
  <si>
    <t xml:space="preserve">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
AEterna Zentaris Inc is a
manufacturer of biological
products. The Company was
founded in September 1990
and is located in Quebec,
Canada.</t>
  </si>
  <si>
    <t xml:space="preserve">SANOFI-AVENTIS SA/AETERNA ZENTARIS INC-STRATEGIC ALLIANCE</t>
  </si>
  <si>
    <t xml:space="preserve">Sanofi-Aventis SA (SA) and ?terna Zentaris Inc (AZ) formed a strategic
alliance to manufacture, develop and market cetrorelix in benign prostatic
hyperplasia  in the United States. Cetrorelix, a luteinizing
hormone-releasing hormone (LHRH) antagonist, is currently in a Phase 3
program in BPH, a non-cancerous enlargement of the prostate. Under the
terms of the agreement, SA was expected to make an initial $30 mil US
upfront payment to AZ, which was also entitled to receive up to $135 mil in
additional payments upon achieving certain pre-established regulatory and
commercial milestones.</t>
  </si>
  <si>
    <t xml:space="preserve">Under the terms of the agreement, sanofi-aventis will make an initial $30
million upfront payment to ?terna Zentaris which will also be entitled to
receive up to $135 million in additional payments upon achieving certain
pre-established regulatory and commercial milestones.</t>
  </si>
  <si>
    <t xml:space="preserve">80105N
007975</t>
  </si>
  <si>
    <t xml:space="preserve">A Schulman Inc
nanoScience Engineering Corp</t>
  </si>
  <si>
    <t xml:space="preserve">Mnfr,whl engineered plastic compounds
Mnfr nano-scale fillers</t>
  </si>
  <si>
    <t xml:space="preserve">A Schulman Inc, located in
Fairlawn, Ohio, manufactures
and wholesales engineered
plastic compounds, resins
and flame retardant
chemicals. It provides
plastic resins, compounds,
color concentrates and
additives that enhance the
performance and appearance
of the manufactured
products. The Company was
founded in 1928.
nanoScience Engineering Corp,
located in West Bloomfield,
Michigan, manufactures and
develops nano-scale fillers
for enhancing physical
properties of nanocomposites.
Founded in 2004.</t>
  </si>
  <si>
    <t xml:space="preserve">OH
MI</t>
  </si>
  <si>
    <t xml:space="preserve">A SCHULMAN INC/NANOSCIENCE ENGINEERING CORP-STRATEGIC ALLIANCE</t>
  </si>
  <si>
    <t xml:space="preserve">A Schulman Inc and nanoScience Engineering Corp formed a strategic alliance
to manufacture and develop nano-technoology enhanced polymer products in
the United States.</t>
  </si>
  <si>
    <t xml:space="preserve">808194
62772A</t>
  </si>
  <si>
    <t xml:space="preserve">PolyOne Corp
Zyvex Performance Materials</t>
  </si>
  <si>
    <t xml:space="preserve">Manufacture,wholesale polymer products
Mnfr carbon nanotube</t>
  </si>
  <si>
    <t xml:space="preserve">PolyOne Corp, headquartered
in Avon Lake, Ohio,
manufactures and wholesales
specialized polymer
products. It specializes in
colorants and additive
concentrates used in
plastics manufacturing
processes, injection
molding, extrusion, sheet,
film, rotational molding and
blow. It has operations
primarily in the United
States, Europe, Canada,
Asia, and Mexico and
operates through its four
segments namely Vinyl
Business, International
Color, Engineered Materials
and PolyOne Distribution.
The Company was founded in
1885.
Zyvex Performance Materials is
a manufacturer of carbon
nanotube-enhanced
applications, headquartered in
the United States. Its
products include Epovex and
Arovex.</t>
  </si>
  <si>
    <t xml:space="preserve">POLYONE CORP/ZYVEX PERFORMANCE-STRATEGIC ALLIANCE</t>
  </si>
  <si>
    <t xml:space="preserve">PolyOne Corp and Zyvex Performance Materials planned to form a strategic
alliance to provide carbon nanotube-filled polymer materials services for
structural and electrically conductive engineering thermoplastics.</t>
  </si>
  <si>
    <t xml:space="preserve">73179P
99198C</t>
  </si>
  <si>
    <t xml:space="preserve">PharmaGap Inc
MD Biosciences GmbH</t>
  </si>
  <si>
    <t xml:space="preserve">Mnfr cancer treatment
Pvd research,dvlp svcs</t>
  </si>
  <si>
    <t xml:space="preserve">PharmaGap Inc, located in
Ottawa, Ontario, Canada, is a
biotechnology company focuses
on developing novel peptide
therapeutics for the treatment
of cancer. Its leading drug
candidate, GAP-107B8,
selectively targets Protein
Kinase C which a validated
target for treating certain
types of cancer. The company
was founded in 1997.
MD Biosciences GmbH, located
in Zurich, Switzerland, is a
preclinical contract research
organization (CRO) and drug
development company focused in
Inflammatory and Neurology
Diseases. Its novel
technologies encompass in vivo
and in vitro mechanism of
action platforms, in vitro
compound profiling, efficacy
and proof-of-concept, as well
as multiple end-point readouts
including biomarker/gene
expression analysis, imaging
capabilities and
histopathology. These
technologies are currently
being applied across the
pharmaceutical, medical device
and animal health and
nutrition sectors.</t>
  </si>
  <si>
    <t xml:space="preserve">PHARMAGAP INC(WAS 812906)/MD BIOSCIENCE-STRATEGIC ALLIANCE</t>
  </si>
  <si>
    <t xml:space="preserve">PharmaGap Inc and MD Biosciences GmbH formed a strategic alliance to
provide research and development services. The alliance was expected to
develop novel compounds for therapeutic usage in inflammatory and
neurological applications, including potentially arthritis and multiple
sclerosis. Terms were not disclosed.</t>
  </si>
  <si>
    <t xml:space="preserve">71715A
55676H</t>
  </si>
  <si>
    <t xml:space="preserve">Karolinska Development AB
Biovitrum AB</t>
  </si>
  <si>
    <t xml:space="preserve">Provides research services
Mnfr,dvlp,whl pharm</t>
  </si>
  <si>
    <t xml:space="preserve">Karolinska Development AB,
located in Solna, Sweden,
provides commercial physical
research services. The
company was founded in 2006.
Biovitrum AB, headquartered
in Solna, Sweden,
manufactures, develops and
wholesales pharmaceuticals
and new protein based drugs.
It develops pharmaceutical
products for common diseases
and conditions that affect
smaller patient populations.
The company also develops
drugs for the treatment of
obesity, diabetes,
inflammation, blood diseases
and a number of well defined
niche indications. It
markets a range of
pharmaceuticals primarily in
the Nordic countries and has
presence in North America,
Europe, Australia and New
Zealand. The company was
founded in 2001.</t>
  </si>
  <si>
    <t xml:space="preserve">BIOVITRUM AB/KAROLINSKA DEVELOPMENT AB-JOINT VENTURE</t>
  </si>
  <si>
    <t xml:space="preserve">Karolinska Development AB (KD) and Biovitrum AB (BA) planned to form a
joint venture (JV) to provide research and development services of
pharmaceutical project FLT3 against leukemia in Sweden. KD was to hold an
80.1% interest in the Jv, while BA would hold a 19.9% stake. The FLT3 also
called tyrosine kinas, was important for the normal development of blood
cells and the immune system.</t>
  </si>
  <si>
    <t xml:space="preserve">80.10
19.90</t>
  </si>
  <si>
    <t xml:space="preserve">48093R
09101L</t>
  </si>
  <si>
    <t xml:space="preserve">Shanghai Aerospace Automobile
Tianjin Huanou Semi-Conductor</t>
  </si>
  <si>
    <t xml:space="preserve">Mnfr,whl energy prod,auto part
Semiconductor and Related Device Manufacturing</t>
  </si>
  <si>
    <t xml:space="preserve">Shanghai Aerospace
Automobile Electromechanical
Co Ltd, located in Shanghai,
China, manufactures energy
products and automobile
parts. The Group's
principal activities are the
manufacture and sale of
automobile's power and
energy resources,
air-conditioners, sensors,
electric machines, automatic
antenna and other automobile
parts, machinery processing
and equipment, electronic
electric appliances,
communications equipment and
household appliances. Other
activities include import
and export activities, sale
of compound materials and
high-pressure vessels and
research and development of
satellites and satellite
applications, carrier rocket
applications and other civil
aeronautics related
products. Major products of
the Group include
automobile's power
resources, air-conditioners,
blower fans, automatic
antennae, sensors, clutches,
hydraulic pumps and other
key automobile accessories.
Products of the Group are
available in the People's
Republic of China. The
company was founded in 1998.
Tianjin Huanou
Semi-Conductor Material
Technology Co Ltd is a
manufacturer and wholesaler
of semiconductors and
related device. The Company
was founded in August 2000
and is located in Tianjin,
China.</t>
  </si>
  <si>
    <t xml:space="preserve">China Aerospace Science &amp;
Tianjin Zhonghuan</t>
  </si>
  <si>
    <t xml:space="preserve">3721
3674</t>
  </si>
  <si>
    <t xml:space="preserve">SHANGHAI AEROSPACE/TIANJIN HUANOU-JOINT VENTURE</t>
  </si>
  <si>
    <t xml:space="preserve">Shanghai Aerospace Automobile Electromechanical Co Ltd (SA), a unit of
Chinese state-owned China Aerospace Science &amp; Technology Corp{CASC}'s
majority-owned Shanghai Aviation Industrial Corp subsidiary, and Tianjin
Huanou Semi-Conductor Material Technology Co Ltd (TH), a unit of Tianjin
Zhonghuan Semicon Co Ltd, planned to form a joint venture (JV) to provide
research and development services of solar power silicon rods and chips, as
well as semiconductor materials and matching products in China. SA was to
hold an 80% interest in the JV, while TH would hold a 20% stake.</t>
  </si>
  <si>
    <t xml:space="preserve">00812J
88723Z</t>
  </si>
  <si>
    <t xml:space="preserve">Avestha Gengraine Tech Pvt Ltd
Uxmal SA</t>
  </si>
  <si>
    <t xml:space="preserve">Avestha Gengraine Technologies
Pvt Ltd, headquartered in
Bangalore, India, is a
biotechnology company,
focusing on the convergence
between food, pharmaceuticals
and clinical genomics leading
to preventive personalized
medicine. The group provides
innovative solutions for
global challenges in
agriculture &amp; health problems
in the areas of degenerative
conditions, metabolic
disorders and infectious
diseases. The company was
founded in 1998.
Uxmal SA is a biotechnology
company that provides research
and development of bioactives
ingredients, headquartered in
Chile.</t>
  </si>
  <si>
    <t xml:space="preserve">India
Chile</t>
  </si>
  <si>
    <t xml:space="preserve">AVESTHA GENGRAINE TECHNOLOGIES PVT LTD/UXMAL SA-JOINT VENTURE</t>
  </si>
  <si>
    <t xml:space="preserve">Avesthagen Latam SpA, based in
Chile, provides research and
development services of
bioactive, biosimilars and
biopharmaceuticals products.
Founded in 2009.</t>
  </si>
  <si>
    <t xml:space="preserve">Avestha Gengraine Technologies Pvt Ltd (AG) and Uxmal SA (US) formed a
joint venture named Avesthagen Latam SpA (AL) to provide research and
development services of bioactive, biosimilars and biopharmaceuticals
products in Chile. AG held a 75% interest in AL, while US held a 25%
stake.</t>
  </si>
  <si>
    <t xml:space="preserve">06262E</t>
  </si>
  <si>
    <t xml:space="preserve">05382Y
91957Y</t>
  </si>
  <si>
    <t xml:space="preserve">Elite Pharmaceuticals Inc
Epic Pharma LLC</t>
  </si>
  <si>
    <t xml:space="preserve">Elite Pharmaceuticals Inc,
located in Northvale, New
Jersey, manufactures
prescription pharmaceuticals
intended for final
consumption, including biotech
products and antibiotics. It
specializes in the development
of oral controlled release
products, such as delayed,
sustained, targeted and
pulsatile release tables,
pellets, capsules, granules
and powders, focused on the
therapeutic areas of pain
management, allergy,
cardiovascular and infection.
The company was incorporated
in 1984.
Epic Pharma LLC, headquartered
in Laurelton, New York,
manufactures and wholesales
generic prescription
pharmaceuticals in various
forms, including powders,
tablets, capsules and time
release products.</t>
  </si>
  <si>
    <t xml:space="preserve">ELITE PHARMACEUTICALS INC(USE&gt;10/24/97)/EPIC PHARMA LLC-STRATEGIC ALLIANCE</t>
  </si>
  <si>
    <t xml:space="preserve">Elite Pharmaceuticals Inc and Epic Pharma LLC formed a strategic alliance
to provide research and development services of generic drug products in
the United States.</t>
  </si>
  <si>
    <t xml:space="preserve">28659T
29716W</t>
  </si>
  <si>
    <t xml:space="preserve">Syngene International Ltd
Bristol-Myers Squibb Co</t>
  </si>
  <si>
    <t xml:space="preserve">Syngene International Ltd,
located in Bangalore, India
is a biotechnology company
involved in discovery and
development of drug for
pharmaceutical,
biotechnology, chemical and
agrochemical industries and
capabilities in medicinal
chemistry, biology, in vivo
pharmacology, toxicology,
custom synthesis, process
Research and Development,
and formulation development
for small and large
molecules. The company was
founded in 1994.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</si>
  <si>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Biocon Ltd
Bristol-Myers Squibb Co</t>
  </si>
  <si>
    <t xml:space="preserve">SYNGENE INTERNATIONAL LTD/BRISTOL-MYERS SQUIBB CO-STRATEGIC ALLIANCE</t>
  </si>
  <si>
    <t xml:space="preserve">Syngene International Ltd and Bristol-Myers Squibb Co extended their
strategic alliance in India to conduct research on drugs.</t>
  </si>
  <si>
    <t xml:space="preserve">90872Q
110122</t>
  </si>
  <si>
    <t xml:space="preserve">Nano Terra Inc
Exide Technologies</t>
  </si>
  <si>
    <t xml:space="preserve">Pvd research,dvlp svcs
Mnfr,whl lead acid batteries</t>
  </si>
  <si>
    <t xml:space="preserve">Nano Terra Inc, located in
Brighton, Massachusetts,
provides research and
development services. It
offers smart materials and
surfaces; flexible electronics
such as displays and
electronic packaging; fuel
cells, batteries and solar
power devices; sensors;
industrial products and
processes; and a wide range of
consumer goods. The company
was founded in 2005.
Exide Technologies, located
in Milton, Georgia,
manufactures and wholesales
lead acid batteries,
accessories, and automotive
batteries. It also offers a
range of stored electrical
energy products and services
for the industrial and
transportation industries.
The company was founded in
1888.</t>
  </si>
  <si>
    <t xml:space="preserve">8731
3691</t>
  </si>
  <si>
    <t xml:space="preserve">MA
GA</t>
  </si>
  <si>
    <t xml:space="preserve">NANO TERRA INC/EXIDE TECHNOLOGIES-STRATEGIC ALLIANCE</t>
  </si>
  <si>
    <t xml:space="preserve">Nano Terra Inc and Exide Technologies formed a strategic alliance to
provide research and development services of stored electrical-energy
solutions for motive power, network power and transportation applications
in the United States.</t>
  </si>
  <si>
    <t xml:space="preserve">67208A
302051</t>
  </si>
  <si>
    <t xml:space="preserve">Scripps Research Institute
Gangwon Province</t>
  </si>
  <si>
    <t xml:space="preserve">Biotechnology company
City government</t>
  </si>
  <si>
    <t xml:space="preserve">Scripps Research Institute,
located in La Jolla,
California, is a
biotechnology company
focused on basic biomedical
science. It is recognized
for its research in
immunology, molecular and
cellular biology, chemistry,
neurosciences, autoimmune
diseases, cardiovascular
diseases, virology, and
synthetic vaccine
development. The company was
founded in 1924.
Gangwon Province a city
government of South Korea.</t>
  </si>
  <si>
    <t xml:space="preserve">2836
999E</t>
  </si>
  <si>
    <t xml:space="preserve">Scripps Research Institute
Republic Of Korea</t>
  </si>
  <si>
    <t xml:space="preserve">SCRIPPS RESEARCH INSTITUTE/GANGWON PROVINCE-JOINT VENTURE</t>
  </si>
  <si>
    <t xml:space="preserve">Scripps Research Institute and the Korean state-owned Gangwon Province,
planned to form a joint venture named Scripps Korea Antibody Institute to
provide research and development services of molecules for viral infections
in South Korea.</t>
  </si>
  <si>
    <t xml:space="preserve">81106Q
36532X</t>
  </si>
  <si>
    <t xml:space="preserve">MVI
Inovio Biomedical Corp</t>
  </si>
  <si>
    <t xml:space="preserve">Mnfr malaria vaccines
Mnfr DNA vaccines</t>
  </si>
  <si>
    <t xml:space="preserve">PATH Malaria Vaccine
Initiative is a pharmaceutical
manufacturing firm,
headquartered in Washington,
District of Columbia. The
company is focused on the
discovery and development of
vaccines for malaria. It was
founded in 1999.
Inovio Biomedical Corp,
headquartered in San Diego,
California, manufactures
DNA-based immunotherapies and
electroporation-based DNA
vaccine. The company was
founded in 1983.</t>
  </si>
  <si>
    <t xml:space="preserve">DC
CA</t>
  </si>
  <si>
    <t xml:space="preserve">PATH
Inovio Biomedical Corp</t>
  </si>
  <si>
    <t xml:space="preserve">8399
2836</t>
  </si>
  <si>
    <t xml:space="preserve">PATH MALARIA VACCINE INITIATIVE/INOVIO PHARMACEUTICALS INC-STRATEGIC
ALLIANCE</t>
  </si>
  <si>
    <t xml:space="preserve">PATH Malaria Vaccine Initiative (MVI) and Inovio Pharmaceuticals, Inc
(Inovio) formed a strategic alliance to evaluate in a preclinical
feasibility study of Inovios SynCon(TM) DNA vaccine development platform.
The alliance will focus on design and test DNA vaccine candidates using
target antigens from Plasmodium species and deliver them intradermally
using the CELLECTRA(R) electroporation device.</t>
  </si>
  <si>
    <t xml:space="preserve">1A6056
45773H</t>
  </si>
  <si>
    <t xml:space="preserve">General Electric Co
Intel Corp</t>
  </si>
  <si>
    <t xml:space="preserve">Pvd gas &amp; electric services
Manufacture,wholesale semiconductors</t>
  </si>
  <si>
    <t xml:space="preserve">General Electric Co provides
gas and electric services,
based in Tokyo.
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t>
  </si>
  <si>
    <t xml:space="preserve">4931
3674</t>
  </si>
  <si>
    <t xml:space="preserve">3612
3674</t>
  </si>
  <si>
    <t xml:space="preserve">GENERAL ELECTRIC CO/INTEL COM(DNU)-STRATEGIC ALLIANCE</t>
  </si>
  <si>
    <t xml:space="preserve">Intel Corp and General Electric Co formed a strategic alliance to provide
research and development services of home health care medical equipment
globally. The alliance was also expected ot offer home health and
independent living technologies to include fall prevention, medication
compliance, sleep apnea, cardiovascular disease, diabetes and personal
wellness monitoring.</t>
  </si>
  <si>
    <t xml:space="preserve">36876T
458140</t>
  </si>
  <si>
    <t xml:space="preserve">Cetero Research Inc
Cardiocore Lab Inc</t>
  </si>
  <si>
    <t xml:space="preserve">Pvd biotechnology research svc
Pvd scientific consulting svcs</t>
  </si>
  <si>
    <t xml:space="preserve">Cetero Research Inc, located
in Cary, North Carolina,
provides biotechnology
research services for
pharmaceutical industry. The
company was founded in 2006.
Cardiocore Lab Inc, located in
Bethesda, Maryland, provides
scientific consulting,
provision, and data management
services. It offers
centralized services that
include electrocardiography
(ECG), Holter monitoring,
ambulatory blood pressure
monitoring (ABPM),
echocardiography (ECHO),
multigated acquisition scan
(MUGA), protocol development,
expert reporting and
statistical analysis for
oncology. It operates in
Washington, DC, South San
Francisco, CA, and London, UK
support sponsors and sites in
Eastern and Western Europe,
Russia and Asia-Pacific, North
and South America, Africa and
the Middle East. The company
was founded in 1968.</t>
  </si>
  <si>
    <t xml:space="preserve">2836
8748</t>
  </si>
  <si>
    <t xml:space="preserve">NC
MD</t>
  </si>
  <si>
    <t xml:space="preserve">CETERO RESEARCH/CARDIOCORE-STRATEGIC ALLIANCE</t>
  </si>
  <si>
    <t xml:space="preserve">Cetero Research, a unit of BA Research International, and Cardiocore Inc,
formed a strategic alliance to provide research and development services of
cardiac safety studies globally.</t>
  </si>
  <si>
    <t xml:space="preserve">15735L
14201F</t>
  </si>
  <si>
    <t xml:space="preserve">Sigma-Tau Pharmaceuticals Inc
Danisco A/S</t>
  </si>
  <si>
    <t xml:space="preserve">Biopharm co
Mnfr ingredients,sweeteners</t>
  </si>
  <si>
    <t xml:space="preserve">Sigma-Tau Pharmaceuticals Inc,
located in Gaithersburg,
Maryland, is a
biopharmaceutical company
dedicated to developing and
providing therapies to
patients who suffer from rare
diseases. The company was
founded in 1980.
Danisco AS, located in
Copenhagen, Denmark,
manufactures ingredients and
sweeteners. Its product
range includes feed
ingredients, sweeteners and
sugar including emulsifiers,
stabilizers, flavorings,
antioxidants, enzymes and
technical enzymes, probiotic
cultures such as
acidophilus, bifidobacteria
and casei and flavors for
coffee and snack products.
The company was founded in
1989.</t>
  </si>
  <si>
    <t xml:space="preserve">2834
2099</t>
  </si>
  <si>
    <t xml:space="preserve">Sigma-Tau SpA
Danisco A/S</t>
  </si>
  <si>
    <t xml:space="preserve">Italy
Denmark</t>
  </si>
  <si>
    <t xml:space="preserve">SIGMA-TAU PHARMACEUTICALS INC/DANISCO BIOACTIVES-STRATEGIC ALLIANCE</t>
  </si>
  <si>
    <t xml:space="preserve">Sigma-Tau Pharmaceuticals Inc, a unit of Sigma-Tau International SA, and
Danisco A/S, formed a strategic alliance to provide research and
development services of new biologic drug candidate, which may help to
prevent a deadly disease called necrotizing enterocolitis in the United
States.</t>
  </si>
  <si>
    <t xml:space="preserve">82696J
23627M</t>
  </si>
  <si>
    <t xml:space="preserve">Cadila Pharmaceuticals Ltd
Novavax Inc</t>
  </si>
  <si>
    <t xml:space="preserve">Cadila Pharmaceuticals Ltd,
headquartered in Ahmedabad,
India, manufactures
pharmaceuticals both for
human and veterinary use
such as cardiovascular
drugs, gastrointestinal
drugs, analgesics,
antibiotics, vaccines,
anti-diabetic, vitamins and
haemostatics. Some of its
brands are Amdepin, Lancus,
New Panazox, Symbiotik,
Imuvac and Piozulin. It was
founded in 1951.
Novavax Inc, located in
Rockville, Maryland, is a
biotechnology company
focused in the research,
development, marketing and
distribution of potent
vaccines to protect against
H5N1 pandemic influenza,
seasonal flu and other viral
diseases, including HIV,
SARS, influenza and
E-selection tolerogen for
the prevention of stroke.
The company's trademark
products were Nestabs(R),
NovaNatal(R) and
NovaStart(R), a line of
prescription prenatal
vitamins, Gynodiol(R)
(estradiol tablets, USP), an
oral form of estrogen
therapy, AVC(TM) Cream
(sulphanilamide vaginal
cream) for vaginal
infections and Analpram
HC(R), a prescription
corticosteroid and
antipruritic product for
hemorrhoids. The company was
founded in 1987.</t>
  </si>
  <si>
    <t xml:space="preserve">NOVAVAX INC/CADILA PHARMACEUTICALS LTD-JOINT VENTURE</t>
  </si>
  <si>
    <t xml:space="preserve">Cadila Pharmaceuticals Ltd (CP) and Novavax Inc (NI) planned to form a
joint venture (JV) to provide research and development services of seasonal
influenza virus-like-particle (VLP)-based vaccine candidate and therapeutic
vaccine candidates against cancer as well as its adjuvants, biogeneric and
biological diagnostic products in India. CP was to hold an 80% interest in
the JV, while NI would hold a 20% stake.</t>
  </si>
  <si>
    <t xml:space="preserve">12741X
670002</t>
  </si>
  <si>
    <t xml:space="preserve">Mitsui Chemicals Inc
China Petro &amp; Chem Corp</t>
  </si>
  <si>
    <t xml:space="preserve">Manufacture,whl chemicals
All Other Miscellaneous Chemical Product and Preparation Manufacturing</t>
  </si>
  <si>
    <t xml:space="preserve">Mitsui Chemicals Inc,
headquartered in Tokyo,
Japan, is a mainly engaged
in the manufacture and sale
of chemicals. The company
has offices in Nagoya, Osaka
and Fukuoka which are also
in Japan. The petrochemical
segment produces and
distributes ethylene,
propylene, polyethylene and
polypropylene. The basic and
distributes phenol,
polyethylene terephthalate
(PET) resin and others. The
urethane segment produces
and distributes polyurethane
materials and coating
materials. The functional
resin segment produces and
distributes elastomers,
functional compounds and
functional polymers. The
processed products segment
produces and distributes
non-woven fabric, synthetic
resin films. The functional
chemical segment produces
and distributes fine
chemicals, healthcare
materials, agricultural
chemicals, fertilizers and
others. The others segment
chemical products ethylene
vinyl acetate copolymers and
ethylene copolymers,
fluorine resin and others.
The company was founded,
October 01, 1997.
China Petroleum &amp; Chemical
Corp located in Beijing,
China is a manufacturer of
chemical products. The
Company was founded in
February 2000.</t>
  </si>
  <si>
    <t xml:space="preserve">2819
2899</t>
  </si>
  <si>
    <t xml:space="preserve">Mitsui Chemicals Inc
China Petrochemical Corp</t>
  </si>
  <si>
    <t xml:space="preserve">2819
1311</t>
  </si>
  <si>
    <t xml:space="preserve">MITSUI CHEMICALS INC/CHINA PETROLEUM &amp; CHEMICAL CORP{SINOPEC CORP}-
STRATEGIC ALLIANCE</t>
  </si>
  <si>
    <t xml:space="preserve">Mitsui Chemicals Inc and China Petroleum &amp; Chemical Corp (Sinopec) signed a
Memorandum of Understanding {MoU} to form a strategic alliance to provide
feasibility studies for strengthening collaboration in phenols,
petrochemical derivatives, and EPT (ethylene, propylene,
ethylene-propylene-diene terpolymer).</t>
  </si>
  <si>
    <t xml:space="preserve">J4466L
Y15010</t>
  </si>
  <si>
    <t xml:space="preserve">Ensemble Discovery Corp
Bristol-Myers Squibb Co</t>
  </si>
  <si>
    <t xml:space="preserve">Biotech co
Manufactures pharmaceuticals and medical products</t>
  </si>
  <si>
    <t xml:space="preserve">Ensemble Discovery Corp is a
biotechnology company
headquartered in
Massachusetts. It provide
novel therapies for cancer,
inflammation and
cardiovascular disease.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</si>
  <si>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ENSEMBLE DISCOVERY/BMS(DNU)-STRATEGIC ALLIANCE</t>
  </si>
  <si>
    <t xml:space="preserve">Ensemble Discovery Corp and Bristol-Myers Squibb Co formed a strategic
alliance to provide research and development services in drug candidates of
a novel class against a number of high-value pharmaceutical targets in the
United States.</t>
  </si>
  <si>
    <t xml:space="preserve">29719E
110122</t>
  </si>
  <si>
    <t xml:space="preserve">Natco Pharma Ltd
Dr Reddy's Laboratories Ltd</t>
  </si>
  <si>
    <t xml:space="preserve">Manufacture pharmaceuticals
Manufactures and wholesales prescription pharmaceutical</t>
  </si>
  <si>
    <t xml:space="preserve">Natco Pharma Ltd, located in
Hyderabad, India, is a
manufacturer of
pharmaceuticals. It is
primarily engaged in
manufacturing of active
pharmaceuticals ingredients
and finished dosage
formulations. It operates in
three segments: bulk
chemicals, finished dosage
formulations and others. Its
products include citalopram,
sumatriptan succinate and
sertraline. It launched
brands for lung cancer,
osteoporosis and swine flu.
The Company has pharmacy
retail stores in the United
States. The Company was
founded in 1991.
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t>
  </si>
  <si>
    <t xml:space="preserve">NATCO PHARMA LTD/DR REDDYS LABORATORIES LTD-STRATEGIC ALLIANCE</t>
  </si>
  <si>
    <t xml:space="preserve">Natco Pharma Ltd and Dr Reddys Laboratories Ltd formed a strategic alliance
to provide research and development services of generic oncology drug in
India. The alliance was a strategic growth opportunity both for the
partners to leverage their medical production services and to further
expand their market coverage in the region.</t>
  </si>
  <si>
    <t xml:space="preserve">63227C
256135</t>
  </si>
  <si>
    <t xml:space="preserve">UBS AG
Noble Group Ltd</t>
  </si>
  <si>
    <t xml:space="preserve">Provide investment banking services
Pvd invest bk svcs</t>
  </si>
  <si>
    <t xml:space="preserve">UBS AG, located in Zurich,
Switzerland, provides
investment banking services
specializing in
privatizations, international
equity and debt finance,
international mergers and
acquisitions, global research
and global risk management. It
also serves as a holding
company and provides private,
personal, and corporate
banking services, including
investment management and
financial advisory services.
The Company operates through
its four divisions, namely
Global Wealth Management &amp;
Business Banking, Global Asset
Management, Investment Banking
and Corporate Center. Global
Wealth Management &amp; Business
Banking focuses on consumer
banking products, lending for
Swiss corporations, portfolio
management and trust services
for private banking clients.
Global Asset Management
consists of all investment
management businesses such as
mutual funds, global asset
management and institutional
asset management. Investment
Banking includes equities,
fixed income, rates and
currencies. Corporate Center
focuses on co-ordination of
segments, risk management,
financial reports, marketing
and communication. The Company
was founded in 1852.
Noble Group Ltd, located in
Edinburgh, UK, provides
investment banking services to
fast growth companies,
institutions, and investment
vehicles. It also acts as an
adviser, sponsor and broker to
more than 40 companies. The
company was founded in 1980.</t>
  </si>
  <si>
    <t xml:space="preserve">6000
6211</t>
  </si>
  <si>
    <t xml:space="preserve">UBS Group AG
Noble Group Ltd</t>
  </si>
  <si>
    <t xml:space="preserve">UBS(DNU)/NOBLE GROUP LTD- STRATEGIC ALLIANCE</t>
  </si>
  <si>
    <t xml:space="preserve">UBS AG and Noble Group Ltd formed a strategic alliance to provide research
services of Indian mid and small capital sectors.</t>
  </si>
  <si>
    <t xml:space="preserve">90261R
39885N</t>
  </si>
  <si>
    <t xml:space="preserve">Shanghai Chempartner Co Ltd
Sanwa Kagaku Kenkyusho Co Ltd</t>
  </si>
  <si>
    <t xml:space="preserve">Pvd research,dvlp svcs
Mnfr pharm</t>
  </si>
  <si>
    <t xml:space="preserve">Shanghai ChemPartner Co Ltd,
headquartered in Shanghai,
China, is a contract
research and development
services provider. Its main
focus is within the
pharmaceutical, biotech,
agrochemical, and chemical
industries. The company was
founded in 2003.
Sanwa Kagaku Kenkyusho Co
Ltd is a provider of
pharmaceutical products
manufacturing, development
and wholesale. The company
was founded in December 1953
and is located in Nagoya-Shi
Aichi, Japan.</t>
  </si>
  <si>
    <t xml:space="preserve">China
Japan</t>
  </si>
  <si>
    <t xml:space="preserve">Shanghai Chempartner Co Ltd
Suzuken Co Ltd</t>
  </si>
  <si>
    <t xml:space="preserve">SHANGHAI CHEMPARTNER CO LTD/SANWA KAGAKU KENKYUSHO CO LTD-STRATEGIC
ALLIANCE</t>
  </si>
  <si>
    <t xml:space="preserve">Shanghai ChemPartner Co Ltd and Sanwa Kagaku Kenkyusho Co Ltd, a unit of
Suzuken Co Ltd, formed a strategic alliance to provide diabetes research
services.</t>
  </si>
  <si>
    <t xml:space="preserve">82157P
80306F</t>
  </si>
  <si>
    <t xml:space="preserve">Galapagos NV
Merck &amp; Co Inc</t>
  </si>
  <si>
    <t xml:space="preserve">Biopharmaceutical company
Mnfr,whl pharmaceutical prod</t>
  </si>
  <si>
    <t xml:space="preserve">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
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t>
  </si>
  <si>
    <t xml:space="preserve">GALAPAGOS NV /MERCK &amp; CO INC- STRATEGIC ALLIANCE</t>
  </si>
  <si>
    <t xml:space="preserve">Galapagos NV and Merck &amp; Co Inc terminated its strategic alliance to
provide research and development services for new therapies in inflammatory
diseases.</t>
  </si>
  <si>
    <t xml:space="preserve">36315X
589331</t>
  </si>
  <si>
    <t xml:space="preserve">Schlumberger Ltd
Global Resource Corp</t>
  </si>
  <si>
    <t xml:space="preserve">Software Publishers
Dvlp oil,gas microwave tech</t>
  </si>
  <si>
    <t xml:space="preserve">Schlumberger Ltd, located in
Houston, Texas, provides
software development and
information management
services to the oil and gas
exploration and production
industry. The Company offers
technology products and
services for seismic
acquisition and processing,
formation evaluation, well
testing, directional drilling
to well cementing and
stimulation, artificial lift
and well completions and
consulting. The Company
operates in more than 85
countries and employing
approximately 100,000 people
who represent over 140
nationalities. The Company was
founded in 1956.
Global Resource Corp, based in
Mount Laurel, New Jersey,
develops and manufactures
microwave technology and
machinery for processing
applications for such
materials as shale deposits
and tar sands, in addition to
waste tires, heavy oil, coal,
municipal solids wastes (MSW),
drill cuttings and muds. The
company was founded in 2000.</t>
  </si>
  <si>
    <t xml:space="preserve">7372
3559</t>
  </si>
  <si>
    <t xml:space="preserve">TX
NJ</t>
  </si>
  <si>
    <t xml:space="preserve">GLOBAL RESOURCE CORP(WAS 00758U)/SCHLUMBERGER LTD- JOINT VENTURE</t>
  </si>
  <si>
    <t xml:space="preserve">Schlumberger Ltd and Global Resource Corp agreed to form a joint venture
aiming to create commercial applications/products and to develop as well
the use of heavy oil.  Under the agreement, the JV will undergo 3 phases
wherein Phase 1 includes research and development for reducing costs of
production or increasing the quality of heavy oil; Phase 2 includes
deriving one or more prototypes or products based on findings; and Phase 3
which provides commercialization and sale of products/applications from
heavy oil processing.  Schlumberger Ltd will hold 60% of the JV while
Global Resource Corp will hold the remaining 40%. Schlumberger will provide
its oilfield services while Global Resource Corp will provide its
technology and processes for high energy efficiency.</t>
  </si>
  <si>
    <t xml:space="preserve">806857
37903N</t>
  </si>
  <si>
    <t xml:space="preserve">Institut Pasteur de Lille
Merieux International SA</t>
  </si>
  <si>
    <t xml:space="preserve">Pvd biological research svcs
Mnfr pharm;hldg co</t>
  </si>
  <si>
    <t xml:space="preserve">Institut Pasteur de Lille,
based in Lille, France,
provides noncommercial
biological and medical
research, education and public
health services. The company
was founded in 1894.
Merieux International SA,
located Marcy L'Etoile,
France, is a pharmaceuticals
manufacturer and a holding
company.</t>
  </si>
  <si>
    <t xml:space="preserve">Institut Pasteur de Lille
Sanofi-Aventis SA</t>
  </si>
  <si>
    <t xml:space="preserve">INSTITUT PASTEUR DE LILLE/MERIEUX ALLIANCE GROUP- STRATEGIC ALLIANCE</t>
  </si>
  <si>
    <t xml:space="preserve">Institut Pasteur and Merieux International SA, a unit of Sanofi Aventis SA,
formed a strategic alliance to provide research and development services
with focus on clinical diagnostics and theranostics, food safety and
microbiological control, nutrition, health and environment, and
immunotheraphy in France.</t>
  </si>
  <si>
    <t xml:space="preserve">45725X
58985C</t>
  </si>
  <si>
    <t xml:space="preserve">Oxford BioTherapeutics Ltd
GlaxoSmithKline PLC</t>
  </si>
  <si>
    <t xml:space="preserve">Oxford BioTherapeutics Ltd is
a pharmaceutical manufacturing
firm, headquartered in Oxford,
UK. The Company develops novel
antibody therapeutics using
its unique OGAP (Oxford Genome
Anatomy Project) platform for
the treatment of cancer.
Founded in 2004.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</si>
  <si>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OXFORD BIOTHERAPEUTICS/GLAXOSMITHKLINE PLC-STRATEGIC ALLIANCE</t>
  </si>
  <si>
    <t xml:space="preserve">Oxford BioTherapeutics Ltd and GlaxoSmithKline PLC formed a strategic
alliance to provide research and development services of novel, therapeutic
antibodies for the treatment of pimary, metastatic and recurring forms of
cancer in the United Kingdom.</t>
  </si>
  <si>
    <t xml:space="preserve">69142P
37733W</t>
  </si>
  <si>
    <t xml:space="preserve">Lonza Group Ltd
Morphotek Inc</t>
  </si>
  <si>
    <t xml:space="preserve">Lonza Group Ltd, located in
Basel, Switzerland, is a
biopharmaceutical company
that manufactures and
develops active ingredients,
peptides, amino acids and
other chemical and biotech
ingredients for the
nutrition, hygiene,
preservation, agro and
personal care markets. The
Company was founded in 1897.
Morphotek Inc, located in
Exton, Pennsylvania, is a
biotechnology firm that
researches and develops
therapeutic monoclonal
antibodies for the treatment
of cancer, inflammatory and
infectious diseases through
the use of its Human
Morphodoma and Libradoma human
antibody technologies. Founded
in 2000.</t>
  </si>
  <si>
    <t xml:space="preserve">Lonza Group Ltd
Eisai Co Ltd</t>
  </si>
  <si>
    <t xml:space="preserve">LONZA GROUP LTD/MORPHOTEK INC-STRATEGIC ALLIANCE</t>
  </si>
  <si>
    <t xml:space="preserve">Lonza Group Ltd and Morphotek Inc, a unit of Eisai Co Ltd's Eisai Inc
subsidiary, formed a strategic alliance to provide research and development
services of a subset of antibodies in MI's therapeutic antibody pipeline.
The partners were to focus on the lead compound farletuzumab for ovarian
cancer.</t>
  </si>
  <si>
    <t xml:space="preserve">54338V
61776J</t>
  </si>
  <si>
    <t xml:space="preserve">Beactica AB
Cubist Pharmaceuticals Inc</t>
  </si>
  <si>
    <t xml:space="preserve">Pvd research,dvlp svcs
Biopharmaceutical company</t>
  </si>
  <si>
    <t xml:space="preserve">Beactica AB is a provider of
biotechnology research and
development services. The
Company was founded in 2006
and is located in Uppsala,
Sweden.
Cubist Pharmaceuticals Inc,
headquartered in Lexington,
Massachusetts, is a
biopharmaceutical company
focused on research,
development and
commercialization of
pharmaceutical products that
address unmet medical needs
and anti-infective therapies
for the acute care
environment. Its main product
is CUBICIN which is the first
IV antibiotic from a class of
anti-infectives called
lipopeptides. The company was
founded in 1992.</t>
  </si>
  <si>
    <t xml:space="preserve">BEACTICA AB/CUBIST PHARMACEUTICALS INC- STRATEGIC ALLIANCE</t>
  </si>
  <si>
    <t xml:space="preserve">Beactica AB (BA) and Cubist Pharmaceuticals Inc formed a strategic alliance
to provide drug research services using BA's Sprint surface plasmon
resonance (SPR)-integrated drug discovery platform to target
multi-component proteins from pathogenic bacteria of interest to Cubist.
Financial terms of the agreement were not disclosed.</t>
  </si>
  <si>
    <t xml:space="preserve">07571Z
229678</t>
  </si>
  <si>
    <t xml:space="preserve">NERI
ProMedica Clinical Research</t>
  </si>
  <si>
    <t xml:space="preserve">Pvd research,dvlp svcs
Pvd clinical research svcs</t>
  </si>
  <si>
    <t xml:space="preserve">New England Research
Institutes Inc {NERI} provides
research and development
services to pharmaceutical,
biotechnology, biomaterial and
medical device companies. The
company is headquartered in
Watertown, MA.
ProMedica Clinical Research
Center Inc, located in
Brighton, MA, provides
clinical research services.</t>
  </si>
  <si>
    <t xml:space="preserve">NEW ENGLAND RESEARCH/PROMEDICA CLINICAL RESEARCH CENTER INC- STRATEGIC
ALLIANCE</t>
  </si>
  <si>
    <t xml:space="preserve">New England Research Institutes Inc {NERI} and ProMedica Clinical Research
Center Inc formed a strategic alliance to provide clinical research
solutions services for Phase I-IV studies in a variety of therapeutic areas
for pharmaceutical, medical device, biomaterial and biotechnology clients
in the United States.</t>
  </si>
  <si>
    <t xml:space="preserve">64420N
74253H</t>
  </si>
  <si>
    <t xml:space="preserve">Hubei Huagong Gaoli Electn
STADA Arzneimittel AG</t>
  </si>
  <si>
    <t xml:space="preserve">Mnfr heating materials
Pharmaceutical Preparation Manufacturing</t>
  </si>
  <si>
    <t xml:space="preserve">Hubei Huagong Gaoli Electronic
Co Ltd, located in Wuhan City,
manufactures nano-composite
ceramic heating materials. The
company was founded in 1998.
STADA Arzneimittel AG,
located in Bad Vilbel,
Germany, manufactures
pharmaceutical products. It
develops and wholesales
products with off-patent
active pharmaceutical
ingredients. The Company's
primary business segments
are Generics and Branded
Products. Generics is
comprised of low-priced and
active-ingredient products.
Branded Products focuses on
multisource products that
are accessible without
active ingredient research.
Its brands are Grippostad,
APO-Go, Ladival, Mobilat,
Hoggar and Magnetrans. The
Company has production
facilities in Germany,
England, Russia, Serbia,
Bosnia-Herzegovina,
Montenegro, Vietnam, China,
Austria and Argentina. Its
sales companies in Germany
include: ALIUD PHARMA GmbH,
cell pharm, STADA GmbH,
STADApharm GmbH, STADAvita
GmbH and Hemopharm GmbH. The
Company was founded in March
1895.</t>
  </si>
  <si>
    <t xml:space="preserve">3823
2834</t>
  </si>
  <si>
    <t xml:space="preserve">China
Germany</t>
  </si>
  <si>
    <t xml:space="preserve">HG Tech Co Ltd
STADA Arzneimittel AG</t>
  </si>
  <si>
    <t xml:space="preserve">3699
2834</t>
  </si>
  <si>
    <t xml:space="preserve">HUBEI BEIKE MEDICINE CO/STADA ARZNEIMITTEL AG- STRATEGIC ALLIANCE</t>
  </si>
  <si>
    <t xml:space="preserve">Hubei Beike Medicine Co and STADA Arzneimittel AG formed a strategic
alliance to provide research and development services on children medicine
as well as to wholesale and market Stada's Children febrifuge in China.</t>
  </si>
  <si>
    <t xml:space="preserve">Research &amp; Development Services
Retail &amp; Wholesale Services
Marketing Services</t>
  </si>
  <si>
    <t xml:space="preserve">44310K
85234B</t>
  </si>
  <si>
    <t xml:space="preserve">Mobileye NV
Visteon Corp</t>
  </si>
  <si>
    <t xml:space="preserve">Mnfr,dvlp vision system
Mnfr,whl automotive systems</t>
  </si>
  <si>
    <t xml:space="preserve">Mobileye NV, located in
Jerusalem, Israel,
manufactures and develops
software and related
technologies for camera-based
Advanced Driver Assistance
Systems or vision systems for
the automotive industry, like
camera-based driver assistance
systems. The Company has
operations in Israel, the US,
Cyprus, China, Germany and
Japan. It was founded in 1999.
Visteon Corp, located in Van
Buren Township, Michigan,
manufactures and wholesales
automotive systems, modules
and components to vehicle
manufacturers and the
automotive aftermarket
worldwide. It was founded in
1997.</t>
  </si>
  <si>
    <t xml:space="preserve">7372
3714</t>
  </si>
  <si>
    <t xml:space="preserve">MOBILEYE NV/VISTEON CORP- STRATEGIC ALLIANCE</t>
  </si>
  <si>
    <t xml:space="preserve">Mobileye NV and Visteon Corp formed a strategic alliance to provide
advanced lighting control development services. The partners were to
develop advanced lighting strategies enabled by camera processing abilities
that include vehicle detection, oncoming and preceding light source
analysis and range estimations.</t>
  </si>
  <si>
    <t xml:space="preserve">N51488
92839U</t>
  </si>
  <si>
    <t xml:space="preserve">SHENZHEN NEPTUNUS INTERLONG BIO-TECHNIQUE CO LTD/GSK PTE LTD-SHENZHEN
GSK-NEPTUNUS BIOLOGICALS CO LTD JOINT VENTURE</t>
  </si>
  <si>
    <t xml:space="preserve">Shenzhen GSK-Neptunus
Biologicals Co Ltd, located in
China, is a manufacturer and
wholesaler of influenza
vaccines. It was founded in
2009.</t>
  </si>
  <si>
    <t xml:space="preserve">Shenzhen Neptunus Interlong Bio-technique Co Ltd (Shenzhen Neptunus) and
GlaxoSmithKline Pte Ltd, subsidiary of GlaxoSmithKline PLC (GSK) formed a
joint venture named Shenzhen GSK-Neptunus Biologicals Co Ltd to manufacture
and develop influenza vaccines for China, Hong Kong, and Macau.  The
vaccines include vaccines for seasonal, pre-pandemic and pandemic
influenza.   Shenzhen Neptunus contributed cash and assets valued at GBP31
mil (USD50.57 mil) for a 60% stake in the JV while GSK contributed GBP21
mil (USD34.26 mil) worth of cash and assets for a 40% share.  GSK will
provide its proprietary adjuvant system to optimize production of vaccines
by increasing vaccine doses; while Shenzhen Neptunus will provide its
manufacturing and R&amp;D expertise. The JV has a registered capital of
USD78.33 mil.  The transaction had been subjected to the approval of the
Shenzhen Administration Bureau for Industry and Commerce and has obtained
the Enterprise Legal Person Business License.</t>
  </si>
  <si>
    <t xml:space="preserve">83774N</t>
  </si>
  <si>
    <t xml:space="preserve">ULVAC Technologies Inc
Shenzhen Hivac Vacuum Photo-</t>
  </si>
  <si>
    <t xml:space="preserve">Mnfr,whl vacuum tech
Mnfr film coatings</t>
  </si>
  <si>
    <t xml:space="preserve">ULVAC Technologies AG, located
in Methuen, MA, manufactures
and sells production systems,
instrumentation, pumps and
vacuum components used in the
semiconductor, flat panel
display, disk/magnetic media,
and industrial manufacturing
markets.
Shenzhen Hivac Vacuum
Photo-Electronics Co Ltd,
located in China, manufactures
vacuum film coatings.</t>
  </si>
  <si>
    <t xml:space="preserve">3589
2851</t>
  </si>
  <si>
    <t xml:space="preserve">ULVAC TECHNOLOGIES INC/SHENZHEN HIVAC VACUUM PHOTO-ELECTRONICS- STRATEGIC
ALLIANCE</t>
  </si>
  <si>
    <t xml:space="preserve">ULVAC Technologies Inc and Shenzhen Hivac Vacuum Photo-Electronics Co Ltd
formed a strategic alliance to manufacture and develop vacuum film coating
equipment for the flat panel displaysolar energy and mobile terminals
industry. The first phase investment had a cost of CNY 120 mil (USD 17.556
mil).</t>
  </si>
  <si>
    <t xml:space="preserve">The first phase investment had a cost of CNY 120 mil (USD 17.556 mil).</t>
  </si>
  <si>
    <t xml:space="preserve">90707V
04725R</t>
  </si>
  <si>
    <t xml:space="preserve">LSIS Co Ltd
Infineon Technologies AG</t>
  </si>
  <si>
    <t xml:space="preserve">Mnfr electrical equip
Manufactures,wholesales semiconductors</t>
  </si>
  <si>
    <t xml:space="preserve">LS Industrial Systems Co
Ltd, located in Anyang,
South Korea, is a company
engaged in the manufacture
and sale of electric power
and automation equipment.
The Company operates its
business through three
segments: electric power,
automation and metal
segments. Its electric power
segment produces low- and
high-voltage equipment,
measuring equipment,
electronic meters and
switchgears and others. Its
automation segment produces
programmable logic
controller (PLC) products,
inverters, automation
systems, railroad systems,
transportation systems,
radio frequency
identification (RFID)
systems and others. Its
metal segment produces
copper tube, stainless steel
pipe products and others.
The Company was founded in
1974.
Infineon Technologies AG,
located in Neubiberg,
Germany, manufactures and
wholesales semiconductors
and related device. It has 4
business segments namely,
Automotive (ATV), Industrial
Power Control (IPC), Power
Management &amp; Multimarket
(PMM) and Digital Security
Solutions(DSS). Through its
ATV segment, it develops
products and solutions for
conventional drivetrains
such as insulated-gate
bipolar transistors (IGBT);
specializes in radar sensors
and microcontrollers being
used for self-driving cars;
develops LIDAR solutions for
radar systems automation;
automated controls for
steering and braking; and
host controllers for
functional safety and data
security for central
computing platforms. Through
its IPC segment, it develops
IGBT-based power
semiconductors, power
semiconductor modules,
Intelligent Power Modules
integrating controllers,
drivers, and switches. Thru
its PMM segment, it
specializes in power
semiconductors for energy
management and wireless
infrastructures for mobile
devices. Moreover, with its
DSS segment, it delivers
digital security solutions
through embedded security
applications. The Company
was founded in April 1999.</t>
  </si>
  <si>
    <t xml:space="preserve">LS INDUSTRIAL SYSTEMS CO LTD/INFINEON TECHNOLOGIES AG- JOINT VENTURE</t>
  </si>
  <si>
    <t xml:space="preserve">LS Power Semitech Co Ltd,
located in Cheonan, South
Korea, manufactures, develops
and markets molded power
modules for white good
applications. Founded in 2009.</t>
  </si>
  <si>
    <t xml:space="preserve">LS Industrial Systems Co Ltd (LI) and Infineon Technologies AG (IT) formed
a joint venture named LS Power Semitech Co Ltd (LP) to manufacture, develop
and market molded power modules for white good applications in South Korea.
LI held a 54% interest in LP while IT held a 46% stake.</t>
  </si>
  <si>
    <t xml:space="preserve">54.00
46.00</t>
  </si>
  <si>
    <t xml:space="preserve">42039K</t>
  </si>
  <si>
    <t xml:space="preserve">50442K
45662N</t>
  </si>
  <si>
    <t xml:space="preserve">Bio-Bridge Science Inc
JR Scientific Inc
Undisclosed JV Partner</t>
  </si>
  <si>
    <t xml:space="preserve">Biotech co
Biotechnology company
Investment company</t>
  </si>
  <si>
    <t xml:space="preserve">Bio Bridge Science Inc.,
headquartered in Oak Brook,
Illinois, is a biotechnology
company that is engaged in the
commercial development of
vaccines for the prevention
and treatment of human
infectious diseases. Founded
in 2002, the company has a
Wholly Foreign Owned
Enterprise in China and a
representative office in
Osaka, Japan.
JR Scientific Inc is a
biotechnology company
headquartered in Woodland,
California, The company
provides premium-quality cell
culture media, sera, FBS
replacements, serum-free media
and reagents.
Investment company</t>
  </si>
  <si>
    <t xml:space="preserve">2836
2836
6799</t>
  </si>
  <si>
    <t xml:space="preserve">IL
CA
FF</t>
  </si>
  <si>
    <t xml:space="preserve">BIO-BRIDGE SCIENCE INC /JR SCIENTIFIC INC /UNDISCLOSED JOINT VENTURE
PARTNER- JOINT VENTURE</t>
  </si>
  <si>
    <t xml:space="preserve">Bio-Bridge Science Inc, JR Scientific Inc, and undisclosed joint venture
partners planned to form a joint venture to provide cell culture medium
services.</t>
  </si>
  <si>
    <t xml:space="preserve">51.00
15.00
34.00</t>
  </si>
  <si>
    <t xml:space="preserve">Bio-Ridge Sciences Inc will invest CNY 5.1 mil (USD 0.746) for a 51%
interest.</t>
  </si>
  <si>
    <t xml:space="preserve">09055Y
82843W
904JVP</t>
  </si>
  <si>
    <t xml:space="preserve">Boehringer Ingelheim GmbH
Vitae Pharmaceuticals Inc</t>
  </si>
  <si>
    <t xml:space="preserve">Pharmaceutical Preparation Manufacturing
Mnfr pharm,drugs</t>
  </si>
  <si>
    <t xml:space="preserve">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Vitae Pharmaceuticals Inc,
located in Fort Washington,
Pennsylvania, is a clinical
stage biotechnology company.
The Company is focused on
discovering and developing
small molecule drugs for
diseases. The Companys product
candidates include VTP-34072,
VTP-37948, VTP-4374, VTP-38443
and VTP-38543. VTP-34072 is
being developed for type II
diabetes. VTP-34072 is
designed to inhibit 11b
hydroxysteroid dehydrogenase
type II, or 11b HSD1, the
enzyme responsible for
production of cortisol in
tissues where active glucose
metabolism takes place,
including the liver and
adipose, or fat, tissue.
VTP-37948 is being developed
for treatment of Alzheimer's.
Alzheimer's is characterized
by the accumulation of
extracellular protein deposits
in the brain that are called
amyloid plaques. It was
founded 2001.</t>
  </si>
  <si>
    <t xml:space="preserve">CH Boehringer Sohn AG &amp; Co KG
Vitae Pharmaceuticals Inc</t>
  </si>
  <si>
    <t xml:space="preserve">BOEHRINGER INGELHEIM GMBH/VITAE PHARMACEUTICALS INC- STRATEGIC ALLIANCE</t>
  </si>
  <si>
    <t xml:space="preserve">Boehringer Ingelheim GmbH (BI) and Vitae Pharmaceuticals Inc (VP) formed a
strategic alliance to provide research and development services on
Alzheimer's drugs. BI was to pay VP with USD 42 mil in research funding as
well as USD 200 mil in pre-commercial milestone payments.</t>
  </si>
  <si>
    <t xml:space="preserve">Boehringer Ingelheim was to pay Vitae Pharmaceuticals with USD 42 mil in
research funding as well as USD 200 mil in pre-commercial milestone
payments.</t>
  </si>
  <si>
    <t xml:space="preserve">09710W
92847N</t>
  </si>
  <si>
    <t xml:space="preserve">MMRC
Proteolix Inc</t>
  </si>
  <si>
    <t xml:space="preserve">Pvd r&amp;d, clinical trial svcs
Mnfr pharm prod</t>
  </si>
  <si>
    <t xml:space="preserve">MMRC, based in Norwalk,
Connecticut, is non profit
organization that provides
research and development
services of novel,
cutting-edge treatments for
patients afflicted by multiple
myeloma. It also has its own
MMRC Tissue Bank for the
purpose of drug development.
In addition, the MMRC also
conducts pre-clinical
validation studies to identify
the necessary novel compounds
and combination therapies, and
conducts genomics studies to
increase the knowledge on the
biology of the multiple
myeloma. The company was
founded in 2004.
Proteolix Inc, based in South
San Francisco, California,
manufactures pharmaceutical
products for certain cancers
and immunological conditions.
Its products target protein
degradation in cells by using
proteasome. It has produced
its novel proteasome,
carfilzomib (PR-171), which is
used to treat multiple
myeloma, lymphoma and certain
solid tumor malignancies. It
is also engaged in the
development of other
proteasome inhibitors. The
company was founded in 2003.</t>
  </si>
  <si>
    <t xml:space="preserve">PROTEOLIX INC/MULTIPLE MYELOMA RESEARCH CONSORTIUM- STRATEGIC ALLIANCE</t>
  </si>
  <si>
    <t xml:space="preserve">MMRC and Proteolix Inc formed a strategic alliance to provide fast and
advanced clinical trials through the MMRC's clinical trials network for the
development of pharmaceutical products.</t>
  </si>
  <si>
    <t xml:space="preserve">62568N
74853E</t>
  </si>
  <si>
    <t xml:space="preserve">Barwa Real Estate Co QSC
Qatari Diar Real Estate Invest</t>
  </si>
  <si>
    <t xml:space="preserve">RE dvlp,mgmt firm
RE development,investment firm</t>
  </si>
  <si>
    <t xml:space="preserve">Barwa Real Estate Co QSC,
located in Doha, Qatar, is a
real estate development firm.
It manages and operates
projects and real estate
portfolios both locally and
internationally. It is also
engaged in investment holding
and has interests in real
estate &amp; project development,
property &amp; facility
management, construction
material production,
environmental activities &amp;
health, banking &amp; finance,
hotels &amp; resorts, technology &amp;
utility, knowledge &amp;
communications and
agriculture. It operates in
Qatar, Gulf Council
Cooperation, Arabic and
European countries. The
company was founded on
November 15, 2005.
Qatari Diar Real Estate
Investment Co, located in
Doha, Qatar, provides real
estate development and
investment services. The
Company's properties
include Lusail and the Doha
Convention Centre, located
in Al-Qutaifya, Chiva Som.
It invests in the countries
of Qatar, United Kingdom,
Italy, Oman, Morocco, Egypt,
Syria, Sudan and Seychelles.
It was founded in 2005.</t>
  </si>
  <si>
    <t xml:space="preserve">6552
6552</t>
  </si>
  <si>
    <t xml:space="preserve">Qatar
Qatar</t>
  </si>
  <si>
    <t xml:space="preserve">Barwa Real Estate Co QSC
State of Qatar</t>
  </si>
  <si>
    <t xml:space="preserve">6552
999A</t>
  </si>
  <si>
    <t xml:space="preserve">BARWA REAL ESTATE CO QSC /QATARI DIAR REAL ESTATE INVESTMENT CO QSC -BARWA
&amp; QATARI DIAR RESEARCH INSTITUTE JOINT VENTURE</t>
  </si>
  <si>
    <t xml:space="preserve">Barwa &amp; Qatari Diar Research
Institute, based at Qatar,
provides research and
development services
specializing in urban
construction.</t>
  </si>
  <si>
    <t xml:space="preserve">Qatar</t>
  </si>
  <si>
    <t xml:space="preserve">Barwa Real Estate Co and Qatari Diar Real Estate Investment Co planned to
form a joint venture named Barwa and Qatari Diar Research Institute to
research and develop new data for urban construction.  The institute will
focus on building designs and materials research.  The transaction had been
subjected to approval by Qatar Science &amp; Technology Park (QSTP).</t>
  </si>
  <si>
    <t xml:space="preserve">06969P</t>
  </si>
  <si>
    <t xml:space="preserve">06970C
75269P</t>
  </si>
  <si>
    <t xml:space="preserve">Abu Dhabi Airports Co PJSC
Georgia Institute of</t>
  </si>
  <si>
    <t xml:space="preserve">op airport
Pvd educ svcs</t>
  </si>
  <si>
    <t xml:space="preserve">Abu Dhabi Airports Co PJSC,
located in Abu Dhabi, United
Arab Emirates, provides
airport and terminals
services. The company owns and
operates airport facilities
and infrastructure as well as
provides the Emirate's
airports with technical and
management services to
appropriate international
standards of efficiency. It
also establishes and run free
zones. Founded in 2006.
Georgia Institute of
Technology, headquartered in
Atlanta, Georgia, provides
educational services mainly on
science and technology. It has
almost 20,000 undergraduate
and graduate students enrolled
in Colleges of Architecture,
Engineering, Sciences,
Computing, Management, and the
Ivan Allen College of Liberal
Arts. The school was founded
in 1885.</t>
  </si>
  <si>
    <t xml:space="preserve">4581
8221</t>
  </si>
  <si>
    <t xml:space="preserve">Utd Arab Em
United States</t>
  </si>
  <si>
    <t xml:space="preserve">ABU DHABI AIRPORTS CO{ADAC} /GEORGIA INSTITUTE OF TECHNOLOGY- STRATEGIC
ALLIANCE</t>
  </si>
  <si>
    <t xml:space="preserve">Abu Dhabi Airports co and Georgia Institute of Technology formed a
strategic allliance to established a Civil Aviation and System of Systems
Education and Reasearch Facility in UAE.</t>
  </si>
  <si>
    <t xml:space="preserve">48468F
37322T</t>
  </si>
  <si>
    <t xml:space="preserve">Pacific Cascade Minerals Inc
Biofuel Partnership Ltd</t>
  </si>
  <si>
    <t xml:space="preserve">Molybdenum mining company
Mnfr biodiesel</t>
  </si>
  <si>
    <t xml:space="preserve">Pacific Cascade Minerals Inc,
located in Gibson, British
Columbia, is a molybdenum
mining company. It is focused
on three British Columbia
based Molybdenum properties:
the Crack, Brewster Lake and
Mo prospects. The company was
founded in 2006.
The Biofuel Partnership Ltd,
located in Queensland,
Australia, manufactures
biodiesel. Its
biodiesel-processing unit is
called the BioCube.</t>
  </si>
  <si>
    <t xml:space="preserve">1061
2899</t>
  </si>
  <si>
    <t xml:space="preserve">AUSTRALIA PACIFIC CASCADE MINERALS INC/THE BIOFUEL PARTNERSHIP LTD- JOINT
VENTURE</t>
  </si>
  <si>
    <t xml:space="preserve">The Biofuel Partnership
International, located in
Australia, wholesales and
develops BioCubes. The BioCube
is a machine that extracts
biodiesel from oil-bearing
fruit such as coconut,
jatropha, and rapeseed.</t>
  </si>
  <si>
    <t xml:space="preserve">Pacific Cascade Minerals Inc and The BioFuel Partnership Ltd signed a
letter of intent {LoI} to form a joint venture named Biofuel Partnership
International (BPI) to develop, market, and wholesale the BioFuel's BioCube
technology.  Under the terms of the LOI, BFP shall provide BioFuel JV
assembled BioCubes at their cost plus a commission payable to BFP of 15%.
Meanwhile, Pacific Cascade will contribute  USD5 mil. The transaction is
subject to approval by the TSX Venture Exchange and shareholders.</t>
  </si>
  <si>
    <t xml:space="preserve">05096Z</t>
  </si>
  <si>
    <t xml:space="preserve">69405U
06289F</t>
  </si>
  <si>
    <t xml:space="preserve">Mylan Inc
Biocon Ltd</t>
  </si>
  <si>
    <t xml:space="preserve">Manufacture,wholesale pharmaceuticals
Biological Product (Except Diagnostic) Manufacturing</t>
  </si>
  <si>
    <t xml:space="preserve">Mylan Inc, located in
Canonsburg, Pennsylvania,
manufactures and wholesales
generic pharmaceuticals,
branded generics and active
pharmaceutical ingredients.
The firm has commercial
presence in 150 countries in
North America; Europe, the
Middle East and Africa; and
Asia Pacific. The company's
brand portfolio includes
Amnesteen, Avita, Biobrane,
Clozapine, Digitek, Proderm,
and Maxzide. The company was
founded in 1961.
Biocon Ltd is a manufacturer
of biological products. The
Company focused on
biopharmaceuticals, contract
research, clinical research
and enzymes. It offers
active pharmaceutical
ingredients, including
anti-diabetic,
anti-inflammatory,
cardiovascular,
anti-obesity, hemostatic,
hepatoprotective, and
gastro-intestinal agents, as
well as anti-oxidants,
digestive-aid enzymes,
immunosuppressants, and
neutraceuticals. The Company
was founded on 29th November
1978 and is located in
Bangalore, India.</t>
  </si>
  <si>
    <t xml:space="preserve">MYLAN INC/BIOCON LTD- STRATEGIC ALLIANCE</t>
  </si>
  <si>
    <t xml:space="preserve">Mylan inc and Biocon ltd planned to form a stategic alliance to secure a
leading position in the emerging generic biologics industry.</t>
  </si>
  <si>
    <t xml:space="preserve">628530
Y0905C</t>
  </si>
  <si>
    <t xml:space="preserve">Micro Imaging Technology Inc
OPH Ltd</t>
  </si>
  <si>
    <t xml:space="preserve">Dvlp microbial sys
Pvd consulting svcs</t>
  </si>
  <si>
    <t xml:space="preserve">Develop microbial detection
and identification system with
applications in the
pharmaceutical, food
processing, health and
drinking water industries
OPH Ltd, located in Hong Kong,
provides consulting services.
Its subsidiaries are GMC Group
Limited management consulting
firm, GlobalFinancialWire.com
corporate communications
service, and UltraFuture
public relations service.</t>
  </si>
  <si>
    <t xml:space="preserve">6794
8748</t>
  </si>
  <si>
    <t xml:space="preserve">MICRO IMAGING TECHNOLOGY INC(WAS 286133)/OPH LTD - STRATEGIC ALLIANCE</t>
  </si>
  <si>
    <t xml:space="preserve">Micro Imaging Technology inc and OPH ltd signed letter of intent to form a
strategic alliance to develop this market for the Micro Imaging Technology
(MIT) 1000 Rapid Microbial Identification System and select other strategic
partners to expand the company?s business in Asia.</t>
  </si>
  <si>
    <t xml:space="preserve">59484E
68451F</t>
  </si>
  <si>
    <t xml:space="preserve">Microfluidics Intl Corp
Particle Sciences Inc</t>
  </si>
  <si>
    <t xml:space="preserve">Mnfr microfluidizer instr
Pvd drug dvlp svcs</t>
  </si>
  <si>
    <t xml:space="preserve">Microfluidics International
Corp, located in Newton,
Massachusetts, manufactures
microfluidizer instruments
used for uniform particles
size reduction , robust cell
disruption and bottom-up
nanoparticle creation. It is
used by pharmaceutical,
biotechnology, chemical,
cosmetic food and energy
companies. The company was
founded on 1984.
Particle Sciences Inc, located
at Bethlehem, Pennsylvania,
provides drug development
services and support to the
pharmaceutical or
biotechnology industry. Using
nanotechnology approaches, the
Company manufactures,
formulates, and delivers its
drug development output. Its
other services include
clinical testing, drug/device
combination products, use of
physical characterization
methodologies, and in vitro
release testing. The Company
was founded in 1991.</t>
  </si>
  <si>
    <t xml:space="preserve">MFIC CORP (NOW 595074)/PARTICLE SCIENCES INC- STRATEGIC ALLIANCE</t>
  </si>
  <si>
    <t xml:space="preserve">Microfluidics of MFIC Corp and Particle Sciences Inc (PSI) announced to
form a strategic alliance to provide research and development services in
the United States.  It aims to assist biopharmaceutical companies by
sharing its formulation and nanotechnology to develop, analyze and
commercialize Active Pharmaceutical Ingredients (APIs).  Under terms of the
agreement, PSI has installed an M-110EH-30 Basic BioPharma Microfluidizer
processor for nanoemulsions, nanosuspensions, cell disruption and
nanoencapsulation in pilot and production volumes.  The Microfluidizer
processor is a product of Microfluidics.</t>
  </si>
  <si>
    <t xml:space="preserve">595074
70204N</t>
  </si>
  <si>
    <t xml:space="preserve">Wyeth Pharmaceuticals Inc
Catalyst Biosciences Inc</t>
  </si>
  <si>
    <t xml:space="preserve">Mnfr pharm prod
Manufacture pharmaceuticals</t>
  </si>
  <si>
    <t xml:space="preserve">Wyeth Pharmaceuticals Inc,
based in Collegeville,
manufactures pharmaceuticals
products in the areas of
women's health care,
infectious disease,
gastrointestinal health,
central nervous system,
inflammation, transplantation,
hemophilia, oncology,
vaccines, and nutritional
products. The group has global
operations consisting of 37
manufacturing facilities in 17
countries and markets products
in over 60 nations.
Catalyst Biosciences Inc,
located in San Francisco,
California, manufactures
protease drugs for the
treatment of a broad range of
diseases, specifically on
hemostasis and inflammation.
The drug also helps in the
treatment of hemophilia and
other bleeding disorders. It
has engineered a human
protease, Alterases, to treat
major diseases. It is also
researching and developing
protease therapeutics.</t>
  </si>
  <si>
    <t xml:space="preserve">Wyeth
Catalyst Biosciences Inc</t>
  </si>
  <si>
    <t xml:space="preserve">WYETH PHARMACEUTICALS INC/CATALYST BIOSCIENCES- STRATEGIC ALLIANCE</t>
  </si>
  <si>
    <t xml:space="preserve">UNITED STATES-Wyeth and Catalyst Biosciences announced to form a strategic
alliance to provide research &amp; development services for the treatment of
hemophilia and other bleeding disorders.  Under terms of the agreement,
Wyeth will support the discovery, research, and preclinical development and
Catalyst will offer its research &amp; development services in drug discovery.</t>
  </si>
  <si>
    <t xml:space="preserve">98292L
15409E</t>
  </si>
  <si>
    <t xml:space="preserve">GE Healthcare
Geron Corp</t>
  </si>
  <si>
    <t xml:space="preserve">Manufacture diagnostic imaging equipment
Research and Development in Biotechnology</t>
  </si>
  <si>
    <t xml:space="preserve">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
Geron Corp, located in
Foster City, California, is
a provider of biotechnology
research and development
services. The Company was
founded in November 1990.</t>
  </si>
  <si>
    <t xml:space="preserve">WI
CA</t>
  </si>
  <si>
    <t xml:space="preserve">General Electric Co
Geron Corp</t>
  </si>
  <si>
    <t xml:space="preserve">3612
8731</t>
  </si>
  <si>
    <t xml:space="preserve">GE HEALTHCARE LTD(WAS 36963Y)/GERON CORP- STRATEGIC ALLIANCE</t>
  </si>
  <si>
    <t xml:space="preserve">GE Healthcare and Geron announced to form a strategic alliance to develop
and commercialize cellular assay products extracted from human embryonic
stem cells(hESCs) for drug discovery, development and toxicity screening.
Under terms of the agreement, intellectual property rights from the JV wil
be shared, with rights for the development of the drug discovery to be
given to GE Healthcare.</t>
  </si>
  <si>
    <t xml:space="preserve">36069Q
374163</t>
  </si>
  <si>
    <t xml:space="preserve">Maxygen Inc
Astellas Pharma Inc</t>
  </si>
  <si>
    <t xml:space="preserve">Maxygen Inc, headquartered in
Redwood City, California, is a
biotechnology company focused
on the development of superior
versions of validated major
protein pharmaceuticals.
Maxygen's lead product
candidates address substantial
market opportunities in
cancer, hemostatis and
rheumatoid arthritis. The
company was founded in 1997.
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t>
  </si>
  <si>
    <t xml:space="preserve">MAXYGEN INC/ASTELLAS PHARMA INC(WAS 98490Q)- JOINT VENTURE</t>
  </si>
  <si>
    <t xml:space="preserve">Perseid Therapeutics LLC,
located in Redwood City,
California, is a biotechnology
company focused on the
discovery, research and
development of protein
pharmaceutical programs such
as MAXY-4. The company was
founded in 2009.</t>
  </si>
  <si>
    <t xml:space="preserve">Maxygen Inc and Astellas Pharma Inc planned to form a joint venture named
Perseid Therapeutics LLC for the discovery, research and development of
multiple protein pharmaceutical programs, including its MAXY-4 program and
other early stage programs. Under terms of the agreement, Maxygen will
contribute substantially all of its programs and technology assets in
protein pharmaceuticals, including its existing MAXY-4 collaboration with
Astellas. Maxygen Inc was to hold a 83% interest in the JV while Astellas
Pharma Inc was to hold the remaining 17% stake.</t>
  </si>
  <si>
    <t xml:space="preserve">83.00
17.00</t>
  </si>
  <si>
    <t xml:space="preserve">71523T</t>
  </si>
  <si>
    <t xml:space="preserve">577776
J03393</t>
  </si>
  <si>
    <t xml:space="preserve">Maxygen inc and Astellas Pharma inc planned to form a joint venture to
develop protein pharmaceuticals worldwide.</t>
  </si>
  <si>
    <t xml:space="preserve">CCR Technologies Ltd
Undisclosed JV Partner</t>
  </si>
  <si>
    <t xml:space="preserve">Pvd purification svcs
Investment company</t>
  </si>
  <si>
    <t xml:space="preserve">CCR Technologies Ltd, located
in Calgary, Alberta, provides
purification and reclamation
of amines and glycols used in
the refining, gas processing,
and petrochemicals industries.
It owns and operates a fleet
of four mobile vacuum
distillation processing units
that can be transported to a
customer's refinery or gas
plant, to provide on-site
purification of chemicals. The
company was founded in 1993.
Investment company</t>
  </si>
  <si>
    <t xml:space="preserve">7389
6799</t>
  </si>
  <si>
    <t xml:space="preserve">CCR TECHNOLOGIES LTD/UNDISCLOSED JOINT VENTURE PARTNER- JOINT VENTURE</t>
  </si>
  <si>
    <t xml:space="preserve">CCR Technologies Ltd and Undisclosed Joint Venture Partner planned to form
a joint venture to expand the services and capital projects utilizing the
CCR's proprietary and patented technologies for the reclamation of amines
and glycols in the Middle East and North Africa.</t>
  </si>
  <si>
    <t xml:space="preserve">125001
904JVP</t>
  </si>
  <si>
    <t xml:space="preserve">Seambiotic USA
NASA Glenn Research Center</t>
  </si>
  <si>
    <t xml:space="preserve">Mnfr biofuel, food additives
Pvd aircraft engine dvlp svcs</t>
  </si>
  <si>
    <t xml:space="preserve">Seambiotic USA, based at New
York, manufactures biological
products like growing and
processing micro marine algae.
The company is also engaged in
biofuel and food additives.
NASA Glenn Research Center,
based at , provides aircraft
engine technology development
services for commercial and
military applications. It was
founded in 1941</t>
  </si>
  <si>
    <t xml:space="preserve">2836
9661</t>
  </si>
  <si>
    <t xml:space="preserve">NY
OH</t>
  </si>
  <si>
    <t xml:space="preserve">Seambiotic Ltd
Natl Aeronautics Space Admin</t>
  </si>
  <si>
    <t xml:space="preserve">SEAMBIOTIC USA/NASA GLENN RESEARCH CENTER- STRATEGIC ALLIANCE</t>
  </si>
  <si>
    <t xml:space="preserve">Washington
Foreign</t>
  </si>
  <si>
    <t xml:space="preserve">Seambiotic USA and NASA Glenn Research Center formed a strategic alliance
to provide R&amp;D for microalgae growth processes to utilize it as an aviation
biofuel.  Seambiotic USA will contribute its biological process modeling
while NASA will provide its expertise in large scale computational modeling
to develop biomass process cost reduction.</t>
  </si>
  <si>
    <t xml:space="preserve">81151X
63247Y</t>
  </si>
  <si>
    <t xml:space="preserve">QPS
DCB</t>
  </si>
  <si>
    <t xml:space="preserve">Own,op clinical research labs
Pvd biotech R&amp;D svcs</t>
  </si>
  <si>
    <t xml:space="preserve">Quest Pharmaceutical Services
LLC, located in Newark,
Delaware, owns and operates
clinical research
laboratories. It is a provider
of Drug Metabolism and
Pharmacokinetics (DMPK)
contract services,
bioanalysis, and clinical
research to pharmaceutical and
biotechnology clients. The
company was founded in 1995.
The Development Center for
Biotechnology (DCB), located
at Xizhi City, Taipei provides
research and development
services for the biotechnology
and pharmaceutical industries.
Its expertise include
environmental biotechnology,
herbal medicines,
pharmaceutical, and biologics.
It currently has therapeutic
solutions for diabetes,
cancer, and infections
diseases. It also provides
bioconsulting services;
facilitates foreign
biotechnology companies and
academic institutions to seek
commercial and research
collaborative and partnering
opportunities. It was founded
in 1984.</t>
  </si>
  <si>
    <t xml:space="preserve">8071
8748</t>
  </si>
  <si>
    <t xml:space="preserve">QUEST PHARMACEUTICAL SVCS LLC/DEVELOPMENT CENTER FOR BIOTECH- STRATEGIC
ALLIANCE</t>
  </si>
  <si>
    <t xml:space="preserve">Quest Pharmaceutical Services (QPS) and the Development Center for
Biotechnology (DCB) planned to form a strategic alliance for the purpose of
providing biopharmaceutical companies access to a research and development
center for preclinical and clinical services.  QPS will help provide
testing services for domestic and pharmaceutical companies while DCB can
provide access to enhanced service offerings worldwide.</t>
  </si>
  <si>
    <t xml:space="preserve">73882N
25160W</t>
  </si>
  <si>
    <t xml:space="preserve">PV-Lab
BrightView Systems</t>
  </si>
  <si>
    <t xml:space="preserve">Mnfr thin-film silicon
Mnfr photovoltaic solar cells</t>
  </si>
  <si>
    <t xml:space="preserve">PV-Lab, based in Neuchatel,
Switzerland, manufactures
thin-film silicon for the use
as an active layer for the
bottom cell in tandem and
multi-junction solar cells.
The lab mainly aims to develop
technologies for photovoltaic
applications, research on PV
and thin-film fabrication
processes, and innovation in
the field of thin-film
electronics. The company was
founded in 1984.
BrightView, based in ,
manufactures photovoltaic
solar cells. The company
explores and develops the use
of solar-based energy as well
as photovoltaic solar energy.</t>
  </si>
  <si>
    <t xml:space="preserve">Switzerland
Israel</t>
  </si>
  <si>
    <t xml:space="preserve">THIN-FILM PHOTOVOLTAICS LABORATORY/BRIGHTVIEW SYSTEMS- STRATEGIC ALLIANCE</t>
  </si>
  <si>
    <t xml:space="preserve">The Thin-Film Photovoltaics Laboratory at the Neuchatel Institute of
Microengineering and BrightView Systems are planning to form a strategic
alliance to produce and develop thin-film solar cells.  PV-Lab will be
providing its technology in the fabrication process while BrightView will
help lower production costs.</t>
  </si>
  <si>
    <t xml:space="preserve">89754K
10925X</t>
  </si>
  <si>
    <t xml:space="preserve">HST Global Inc
Dalham LLC</t>
  </si>
  <si>
    <t xml:space="preserve">Biotech co
Pvd health svcs</t>
  </si>
  <si>
    <t xml:space="preserve">HST Global Inc, based in
Hampton, Virginia, is a
biotechnology company that
acquires and develops
innovative products for the
treatment of cancer.
Dalham LLC, located in
Virginia, provides health
services.</t>
  </si>
  <si>
    <t xml:space="preserve">HST GLOBAL INC(WAS 62941J) /DALHAM LLC- JOINT VENTURE</t>
  </si>
  <si>
    <t xml:space="preserve">HST Global and Dalham LLC agreed to form a joint venture to endorse and
launch a nutritional product called Focus-Up.  It aims to develop
nutritional products for patients with immune and degenerative disorders.</t>
  </si>
  <si>
    <t xml:space="preserve">40306T
23787V</t>
  </si>
  <si>
    <t xml:space="preserve">Sirius Genomics
AP-HP</t>
  </si>
  <si>
    <t xml:space="preserve">Pvd diagnostic test svcs
Provide public health svcs</t>
  </si>
  <si>
    <t xml:space="preserve">Sirius Genomics, located at
Vancouver, British Columbia,
provides DNA-based diagnostic
(Dx) and pharmacogenetic (PGx)
tests for critical care. It
specializes on the development
of Dx and PGx tests for
sepsis, a systemic blood
infection. Its research states
include: discovery,
intellectual property,
verification and validation.
The company was founded in
2001.
Assistance Publique Hopitaux
de Paris{AP-HP}, headquartered
in Paris, France , provides
public health services. The
company provides healthcare,
teaching, medical research,
prevention, health education,
and urgent medical assistance.
It operates 37 hospitals. The
company was founded in 1883.</t>
  </si>
  <si>
    <t xml:space="preserve">8731
9431</t>
  </si>
  <si>
    <t xml:space="preserve">Canada
France</t>
  </si>
  <si>
    <t xml:space="preserve">SIRIUS GENOMICS/ASSISTANCE PUBLIQUE HOPITAUX DE PARIS- STRATEGIC ALLIANCE</t>
  </si>
  <si>
    <t xml:space="preserve">Assistance Publique-Hopitaux de Paris and Sirius Genomics planned to form a
strategic alliance to provide research and development services regarding
genomic correlations for severe sepsis patients.  Under the terms of the
agreement, Sirius will contribute its pharmacogenetic services and work
with the hospital system's Clinical Research and Development Department in
a genomic program.</t>
  </si>
  <si>
    <t xml:space="preserve">82278F
04542F</t>
  </si>
  <si>
    <t xml:space="preserve">Exide Technologies
Savannah River National
University of Idaho</t>
  </si>
  <si>
    <t xml:space="preserve">Mnfr,whl lead acid batteries
Pvd research,dvlp svcs
Own,op college,univ</t>
  </si>
  <si>
    <t xml:space="preserve">Exide Technologies, located
in Milton, Georgia,
manufactures and wholesales
lead acid batteries,
accessories, and automotive
batteries. It also offers a
range of stored electrical
energy products and services
for the industrial and
transportation industries.
The company was founded in
1888.
Savannah River National
Laboratory, located in Aiken,
South Carolina, provides
applied research and
development services.
University of Idaho, located
in Moscow, Idaho, owns and
operates college university.</t>
  </si>
  <si>
    <t xml:space="preserve">3691
8731
8221</t>
  </si>
  <si>
    <t xml:space="preserve">GA
SC
ID</t>
  </si>
  <si>
    <t xml:space="preserve">EXIDE TECHNOLOGIES/SAVANNAH RIVER NATIONAL LABORATORY/UNIVERSITY OF IDAHO-
STRATEGIC ALLIANCE</t>
  </si>
  <si>
    <t xml:space="preserve">Exide Technologies, Savannah River National Laboratory and the University
of Idaho formed a strategic alliance to develop and commercialize
improvements on lead-acid battery technology.</t>
  </si>
  <si>
    <t xml:space="preserve">302051
80502V
914318</t>
  </si>
  <si>
    <t xml:space="preserve">Abbott Labs
GlaxoSmithKline PLC</t>
  </si>
  <si>
    <t xml:space="preserve">Mnfr,whl pharm,med equip
Pharmaceutical Preparation Manufacturing</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</si>
  <si>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</si>
  <si>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ABBOTT LABORATORIES/GLAXOSMITHKLINE PLC- STRATEGIC ALLIANCE</t>
  </si>
  <si>
    <t xml:space="preserve">Abbott Laboratories Inc and GlaxoSmithKline PLC formed a strategic alliance
to develop an automated molecular diagnostic test, based on polymerase
chain reaction technology and diagnostic tests to identify DNA sequences
that will determine which patients are more or less likely will benefit
from a specific therapy.</t>
  </si>
  <si>
    <t xml:space="preserve">002824
37733W</t>
  </si>
  <si>
    <t xml:space="preserve">Rexahn Pharmaceuticals Inc
Korea Research Inst of Chem</t>
  </si>
  <si>
    <t xml:space="preserve">Mnfr diagnostic pharmaceutical
Pvd research,dvlp svcs</t>
  </si>
  <si>
    <t xml:space="preserve">Rexahn Pharmaceuticals Inc,
located in Rockville,
Maryland, is a clinical
stage biopharmaceutical
company dedicated to the
discovery, development and
commercialization of
innovative treatments for
cancer, central nervous
system disorders and other
unmet medical needs.
Korea Research Institute of
Chemical Technology, located
in Daejon, South Korea,
provides research and
development services.</t>
  </si>
  <si>
    <t xml:space="preserve">REXAHN PHARMACEUTICALS INC/KOREA RESEARCH INSTITUTE OF CHEMICAL TECH-
STRATEGIC ALLIANCE</t>
  </si>
  <si>
    <t xml:space="preserve">Rexahn Pharmaceuticals Inc and Korea Research Institute of Chemical
Technology formed a strategic alliance for the development of a synthetic
process for Quinoxalines compounds.</t>
  </si>
  <si>
    <t xml:space="preserve">761640
50064I</t>
  </si>
  <si>
    <t xml:space="preserve">Shanghai Chempartner Co Ltd
Agios Pharmaceuticals Inc</t>
  </si>
  <si>
    <t xml:space="preserve">Shanghai ChemPartner Co Ltd,
headquartered in Shanghai,
China, is a contract
research and development
services provider. Its main
focus is within the
pharmaceutical, biotech,
agrochemical, and chemical
industries. The company was
founded in 2003.
Agios Pharmaceuticals Inc,
located in Cambridge,
Massachusetts, is a
biopharmaceutical
manufacturing firm dedicated
to drug discovery based on
cancer metabolism. It develops
a diverse pipeline of cancer
metabolism drug candidates,
building on the company's
intellectual property and drug
discovery platform. Its novel
drugs will be targeted
therapies directed at
modulating key metabolic
pathways such as glycolysis,
fatty acid metabolism, and
autophagy. It was incorporated
under the laws of the State of
Delaware in August 2007.</t>
  </si>
  <si>
    <t xml:space="preserve">SHANGHAI CHEMPARTNER CO LTD/AGIOS- STRATEGIC ALLIANCE</t>
  </si>
  <si>
    <t xml:space="preserve">Greece</t>
  </si>
  <si>
    <t xml:space="preserve">Shanghai Chempartner Co Ltd and Agios Pharmaceuticals planned to form a
strategic alliance to expand the integrated drug discovery research.</t>
  </si>
  <si>
    <t xml:space="preserve">82157P
00847X</t>
  </si>
  <si>
    <t xml:space="preserve">FEI Co
Sematech Inc</t>
  </si>
  <si>
    <t xml:space="preserve">Mnfr particle beam systems
Pvd research,dvlp svcs</t>
  </si>
  <si>
    <t xml:space="preserve">FEI Co, headquartered in
Hillsboro, Oregon,
manufactures charged particle
beam systems, transmission
electron microscopes, scanning
electron microscopes, focused
ion beam systems and products
that incorporate an electron
beam and an ion beam into a
single system. The company was
founded in 1971.
Sematech Inc, located in
Austin, Texas, provides
research and development
services for the improvement
of semiconductor manufacturing
technology. The company was
founded in 1987.</t>
  </si>
  <si>
    <t xml:space="preserve">OR
NY</t>
  </si>
  <si>
    <t xml:space="preserve">FEI COMPANY/SEMATECH INC- STRATEGIC ALLIANCE</t>
  </si>
  <si>
    <t xml:space="preserve">FEI Co and SEMATECH Inc planned to form a strategic alliance to expand the
current joint efforts for the development of technologies to enable
improved process control and yield in United States.</t>
  </si>
  <si>
    <t xml:space="preserve">30241L
81685I</t>
  </si>
  <si>
    <t xml:space="preserve">Axcelis Technologies Inc
Kingstone Semiconductor Co Ltd</t>
  </si>
  <si>
    <t xml:space="preserve">Mnfr ion implantation equip
Semiconductor and Related Device Manufacturing</t>
  </si>
  <si>
    <t xml:space="preserve">Axcelis Technologies Inc,
located in Beverly,
Massachusetts, manufactures
ion implantation equipment
used in the fabrication of
semi-conductors. The Company
was founded in 1995.
Kingstone Semiconductor Co
Ltd is a manufacturer of
semiconductors and related
device. The Company was
founded in April 2009 and is
located in Shanghai, China.</t>
  </si>
  <si>
    <t xml:space="preserve">Axcelis Technologies Inc
Silicon Jade Ltd</t>
  </si>
  <si>
    <t xml:space="preserve">AXCELIS TECHNOLOGIES INC/KINGSTONE SEMICONDUCTOR CO LTD- STRATEGIC
ALLIANCE</t>
  </si>
  <si>
    <t xml:space="preserve">Axcelis Technologies Inc and Kingstone Semiconductor Co Ltd, formed a
strategic alliance to jointly develop advanced ion implantation equipment
and technology.</t>
  </si>
  <si>
    <t xml:space="preserve">Research &amp; Development Services
Electrical &amp; Electronic Services</t>
  </si>
  <si>
    <t xml:space="preserve">054540
49671V</t>
  </si>
  <si>
    <t xml:space="preserve">Finesse Solutions LLC
Biogen Idec Inc</t>
  </si>
  <si>
    <t xml:space="preserve">Biotechnology co
Biotechnology company</t>
  </si>
  <si>
    <t xml:space="preserve">Finesse Solutions LLC, located
in San Jose, California, is a
biotechnology company. It
develops and manufactures
measurement and control
solutions for life sciences
process applications. The
Company was founded in 2005.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</si>
  <si>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FINESSE SOLUTIONS LLC/BIOGEN IDEC INC(WAS 449370)- STRATEGIC ALLIANCE</t>
  </si>
  <si>
    <t xml:space="preserve">Finesse Solutions LLC and Biogen Idec Inc planned to form a strategic
alliance to develop technologies for single-use bioprocessing in United
States.</t>
  </si>
  <si>
    <t xml:space="preserve">31898L
09062X</t>
  </si>
  <si>
    <t xml:space="preserve">Institute for OneWorld Health
Novartis AG
Novartis Insts For Biomed</t>
  </si>
  <si>
    <t xml:space="preserve">Mnfr, distn pharm prods
Pharmaceutical Preparation Manufacturing
Pvd research,dvlp svcs</t>
  </si>
  <si>
    <t xml:space="preserve">The Institute for OneWorld
Health, located in San
Francisco, California,
manufactures and distributes
affordable new pharmaceutical
products for infectious
diseases in developing
countries. It is a 501(c)(3)
nonprofit pharmaceutical
company. Its drug, Paromomycin
was granted the status of
orphan drug by FDA and EMEA.
An orphan drug is a
pharmaceutical agent that is
used to a treat rare disease
called orphan disease.
Currently, it aims to develop
drugs for the treatment of
leishmaniasis, malaria,
diarrheal disease, and
soil-transmitted
helminthiasis. The company was
founded in 2000.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
Novartis Institutes for
Biomedical Research, located
in Cambridge, Massachusetts,
provides the pharmaceutical
research and development
services for Novartis. It
divides its functions into
researching the nature of
diseases, discovery
sciences, and clinical
sciences. It has research
locations in Shanghai,
Basel, Horsham, Cambridge,
East Hanover, and
Emeryville.</t>
  </si>
  <si>
    <t xml:space="preserve">2834
2834
8731</t>
  </si>
  <si>
    <t xml:space="preserve">United States
Switzerland
United States</t>
  </si>
  <si>
    <t xml:space="preserve">CA
FF
MA</t>
  </si>
  <si>
    <t xml:space="preserve">Institute for OneWorld Health
Novartis AG
Novartis AG</t>
  </si>
  <si>
    <t xml:space="preserve">United States
Switzerland
Switzerland</t>
  </si>
  <si>
    <t xml:space="preserve">INSTITUTE FOR ONEWORLD HEALTH/NOVARTIS AG- STRATEGIC ALLIANCE</t>
  </si>
  <si>
    <t xml:space="preserve">Institute for OneWorld  Health, Novartis AG, and subsidiary Novartis
Institutes for Biomedical Research announced that it has signed an
agreement to form a strategic alliance to provide research and development
services for a novel therapy for secretory diarrhea.  The alliance will
take a duration of three years during which the companies will discover
drugs to treat the disease via inhibition of the Cystic Fibrosis
Transmembrane conductance Regulator (CFTR) chloride channel. Secretory
diarrhea is one of the leading causes of death in young children in poor
countries.  The disease is caused through contact with bacteria like E.coli
and cholera.</t>
  </si>
  <si>
    <t xml:space="preserve">47165W
66987V
67169K</t>
  </si>
  <si>
    <t xml:space="preserve">Thomson Reuters PLC
Sagient Research Systems Inc</t>
  </si>
  <si>
    <t xml:space="preserve">Pvd integrated solutions svcs
Research and Development in The Social Sciences and Humanities</t>
  </si>
  <si>
    <t xml:space="preserve">Thomson Reuters PLC, located
in London, UK, provides
integrated information
solutions to business &amp;
professional customers
worldwide. The Group operates
in two divisions: The Markets
division consists of Thomson
Financial &amp; Reuters and
includes Sales &amp; Trading,
Enterprise, Investment &amp;
Advisory and Media. Major
brands include Kondor, RMDS,
Datascope, PORTIA, Omgeo,
Lipper, First Call, Reuters
Knowledge, DataStream &amp;
Thomson One. The Professional
division consists of Thomson
Legal, Thomson Tax &amp;
Accounting, Thomson Scientific
and Thomson Healthcare. Major
brands include Westlaw,
Aranzadi, BAR/BRI, Carswell,
Thomson CompuMark, Thomson
Elite, FindLaw, LIVEDGAR,
Sweet &amp; Maxwel, Checkpoint,
Creative Solutions, RIA,
Derwent World Patents Index,
MicroPatent, Thomson Pharma,
Web of Science, ISI Web of
Knowledge, Medstat,
Micromedex, PDR and Solucient.
The company was formed in
April 2008 as a result of the
combination of Thomson Corp
and Reuters Group PLC.
Sagient Research Systems Inc,
located in San Diego,
California, provides online
market data and research
services. It serves the
financial services and
institutional investment
communities. It was founded in
1999.</t>
  </si>
  <si>
    <t xml:space="preserve">Woodbridge Co Ltd
Sagient Research Systems Inc</t>
  </si>
  <si>
    <t xml:space="preserve">THOMSON REUTERS PLC(WAS 76132M) /SAGIENT RESEARCH SYSTEMS INC- STRATEGIC
ALLIANCE</t>
  </si>
  <si>
    <t xml:space="preserve">Thomson Reuters PLC and Sagient Research Systems Inc planned to form a
strategic alliance to provide research services.</t>
  </si>
  <si>
    <t xml:space="preserve">G8847Z
786699</t>
  </si>
  <si>
    <t xml:space="preserve">Dow AgroSciences LLC
NemGenix</t>
  </si>
  <si>
    <t xml:space="preserve">Mnfr crop protection products
Mnfr parasite-resistant crops</t>
  </si>
  <si>
    <t xml:space="preserve">Dow AgroSciences LLC, located
in Indianapolis, Indiana,
manufactures crop protection
products. It offers
insecticides including
herbicides, insecticides,
fumigants and fungicides. It
also provides agronomic seed
development services to offer
seeds for corn, sunflowers,
canola, cotton, soybeans and
alfalfa. The Company was
founded in 1989.
NemGenix, headquartered in
Perth, Western Australia,
manufactures or develops new
parasite-resistant crops such
as wheat, barley, and
sugarcane. These transgenic
plants are modified to be
resistant against nematodes.
NemGenix activities are funded
by venture capital and
government aid. It uses
molecular strategies such as
genomics, proteomics,
metabolomics and
bioinformatics. It also
employs the RNA interface
(RNAi) technology that helps
in developing and modifying
plant traits for better plant
properties.</t>
  </si>
  <si>
    <t xml:space="preserve">The Dow Chemical Co
NemGenix</t>
  </si>
  <si>
    <t xml:space="preserve">DOW AGROSCIENCES LLC(WAS 26055Y)/NEMGENIX- STRATEGIC ALLIANCE</t>
  </si>
  <si>
    <t xml:space="preserve">Dow AgroSciences and NemGenix have established a strategic alliance to
develop novel technologies for the production of nematode-resistant crops.
Under the alliance, a number of full-time researchers at NemGenix's
facilities in Perth, Australia will be supported.  NemGenix has already
started providing crop protection solutions by using its technology in the
production of transgenic plants.</t>
  </si>
  <si>
    <t xml:space="preserve">42867Y
63248X</t>
  </si>
  <si>
    <t xml:space="preserve">Cognizant Technology Solutions
Invensys PLC</t>
  </si>
  <si>
    <t xml:space="preserve">Pvd info tech,consulting svcs
Mnfr control,automation sys</t>
  </si>
  <si>
    <t xml:space="preserve">Cognizant Technology
Solutions, based in Chennai,
India, provides information
technology, consulting and
business process outsourcing
(BPO) services to clients in
the banking &amp; financial
services, healthcare,
information, media &amp;
entertainment, insurance,
life sciences, manufacturing
&amp; logistics, retail &amp;
hospitality, technology and
communication industries.
Rabobank, Aetna Inc, CNH,
Kimberly-Clark Corp, Nokia,
AC Nielsen, Autodesk and SAP
Lab are some of the
company's customers which
it services through its
local and regional centers
in about 35 sites. The
company was founded in 1994.
Invensys PLC, located in
London, United Kingdom,
manufactures control and
automation systems. The
Group's principal activities
are carried out through its
Process Systems, Controls,
Rail Group, APV and Euro therm
divisions. Process Systems
designs, manufactures,
installs, tests and
commissions software and
computer-based hardware for
the automation and regulation
of plant operations. Controls
division provides components,
systems and services used in
all appliances, heating,
air-conditioning or cooling,
refrigeration and safety
products across a range of
industries and commercial
markets. Rail Group designs,
manufactures, supplies,
installs, test and commissions
safety-related rail signaling
and control systems and other
rail signaling products. APV
business provides process
equipment, automation
solutions, project management
and services. Euro therm
provides control, data and
measurement instrumentation
solutions and services to
manage specific parameters of
the manufacturing process such
as temperature and pressure.
The group was founded in 1819.</t>
  </si>
  <si>
    <t xml:space="preserve">7371
3823</t>
  </si>
  <si>
    <t xml:space="preserve">Dun &amp; Bradstreet Corp
Invensys PLC</t>
  </si>
  <si>
    <t xml:space="preserve">8732
3823</t>
  </si>
  <si>
    <t xml:space="preserve">COGNIZANT TECHNOLOGY SOLUTIONS/INVENSYS PLC- STRATEGIC ALLIANCE</t>
  </si>
  <si>
    <t xml:space="preserve">Cognizant and Invensys Operations Management {IOM} has signed a five-year,
multi-million dollar contract to form a strategic alliance to improve and
maintain Invensys? suite of products as well as to provide operational
efficiency, scalability, consistency and cost-effectiveness of the R&amp;D
processes.  Under the terms of the agreement, offers will be given to 400
IOM professionals from the R&amp;D center in Hyderabad to join Cognizant in
order provide the development of manufacturing engineering, enterprise
manufacturing intelligence, advanced applications, operations management,
measurement and instrumentation, safety and critical control, supervisory
control and data acquisition, and distributed control systems.  Invensys
will be providing technology systems, software solutions and consulting
services to process and manufacturing industries.</t>
  </si>
  <si>
    <t xml:space="preserve">19245A
461204</t>
  </si>
  <si>
    <t xml:space="preserve">GlaxoSmithKline PLC
Concert Pharmaceuticals Inc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</si>
  <si>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Concert Pharmaceuticals Inc,
headquartered in Lexington,
Massachusetts, manufactures,
develops and markets medicinal
products to health care
sector. It also provides
medical research and
development services. The
company was founded in 2006.</t>
  </si>
  <si>
    <t xml:space="preserve">GLAXOSMITHKLINE PLC/CONCERT PHARMACEUTICALS- STRATEGIC ALLIANCE</t>
  </si>
  <si>
    <t xml:space="preserve">Glaxosmithkline PLC and Concert Pharmaceuticals formed a strategic alliance
to develop and commercialise deuterium-containing medicines.</t>
  </si>
  <si>
    <t xml:space="preserve">37733W
206022</t>
  </si>
  <si>
    <t xml:space="preserve">eB2Bcom
COMSOFT GmbH</t>
  </si>
  <si>
    <t xml:space="preserve">Pvd info, commun tech svcs
Develop software</t>
  </si>
  <si>
    <t xml:space="preserve">eB2Bcom, headquartered in
Melbourne, Victoria, provides
information and communication
technology services (ICT) such
as Identity &amp; Access
Management, IT &amp; Data
Security, eMobility solutions
for Windows Mobile 5/6 and
specialist solutions for the
Defense, Police, Homeland
Security &amp; Intelligence
sectors. it is also the
developer of ViewDS high speed
identity and messaging
repository. It has served in
Australia, Singapore, New
Zealand, Fiji, China, and Hong
Kong. The company was founded
in 1996.
COMSOFT GmbH is a software
publisher. The Company was
founded in 1979 and is located
in Karlsruhe, Germany.</t>
  </si>
  <si>
    <t xml:space="preserve">7379
7372</t>
  </si>
  <si>
    <t xml:space="preserve">Australia
Germany</t>
  </si>
  <si>
    <t xml:space="preserve">EB2BCOM/COMSOFT GMBH - STRATEGIC ALLIANCE</t>
  </si>
  <si>
    <t xml:space="preserve">eB2Bcom and COMSOFT have formed a strategic partnership to promote the
global implementation of eB2Bcom `s ATN directory and COMSOFT?s
Aeronautical Message Handling System (AMHS) solutions for the aviation
sector.   The features of the ViewDS technology will be used as a component
for COMSOFT?s AIDA-NG product which is the leading AMHS product.</t>
  </si>
  <si>
    <t xml:space="preserve">27124W
20634Q</t>
  </si>
  <si>
    <t xml:space="preserve">Wuhan Iron &amp; Steel Group Corp
Centrex Metals Ltd</t>
  </si>
  <si>
    <t xml:space="preserve">Mnfr,whl iron,steel products
Iron ore mining</t>
  </si>
  <si>
    <t xml:space="preserve">Wuhan Iron &amp; Steel Group
Corp, based in Wuhan City,
China, manufactures and
wholesales iron and steel
products. It also
manufactures milling
products such as heavy
section mill, plate making
mill, cold rolling mill, hot
rolling mill, no.2 hot
rolling mill, silicon steel
mill, and bar mill. The
company was founded in 1954.
Centrex Metals Ltd, located in
Adelaide, Southern Australia,
is an iron ore mining company.
The primary objective of
Centrex Metals Ltd is to
develop profitable iron ore
mining and exporting
operations on Eyre Peninsula,
South Australia. The company
was founded in March 23, 2001.</t>
  </si>
  <si>
    <t xml:space="preserve">3462
1011</t>
  </si>
  <si>
    <t xml:space="preserve">WUHAN IRON AND STEEL GROUP CO LTD(DNU)/CENTREX METALS LTD- JOINT VENTURE</t>
  </si>
  <si>
    <t xml:space="preserve">WISCO and Centrex Metals Ltd have formed a joint venture to explore
magnetite deposits in South Australia.  WISCO will hold 60% stake in the JV
project for investments of AUD186 mil (USD152.04 mil) while the remaining
40% will be held by Centrex Metals Ltd.  WISCO will initially invest AUD75
mil (USD61.31 mil) for exploration and feasibility studies costs.  The
magnetite project will be producing 5 million tonnes per year. The
agreement had been subjected to approval from Australia's Foreign
Investment Review Board and China's National Development Reform
Commission.</t>
  </si>
  <si>
    <t xml:space="preserve">Research &amp; Development Services
Exploration Services</t>
  </si>
  <si>
    <t xml:space="preserve">98264A
15632P</t>
  </si>
  <si>
    <t xml:space="preserve">Cobra Electronics Corp
Promiles Software Dvlp Corp
TruckDown Info Intl Inc</t>
  </si>
  <si>
    <t xml:space="preserve">Mnfr,whl commun,electn equip
Dvlp desktop
Pvd database vendors svcs</t>
  </si>
  <si>
    <t xml:space="preserve">Cobra Electronics Corp,
located in Chicago, Illinois,
is a manufacturer and
wholesaler of two-way mobile
communications and mobile
navigation products, including
Citizen Band radios, radar
detectors and two-way radios,
under the Cobra brand name.
The company was founded in
1961.
ProMiles Software
Development Corp, located in
Bridge City, Texas, develops
various types of desktop and
Web applications.
TruckDown Info International
Inc, located in Canada,
provides a database of vendors
that give service on highway
fleets.</t>
  </si>
  <si>
    <t xml:space="preserve">3663
7372
7375</t>
  </si>
  <si>
    <t xml:space="preserve">United States
United States
Canada</t>
  </si>
  <si>
    <t xml:space="preserve">IL
TX
FF</t>
  </si>
  <si>
    <t xml:space="preserve">COBRA ELECTRONICS CORP/PROMILES SOFTWARE DEVELOPMENT CORP- STRATEGIC
ALLIANCE</t>
  </si>
  <si>
    <t xml:space="preserve">Cobra Electronics Corp, ProMiles Software Development Corp and TruckDown
Info International Inc planned to form a strategic alliance for the
development of a new navigation system specifically for the professional
driver.</t>
  </si>
  <si>
    <t xml:space="preserve">Research &amp; Development Services
Automotive Services</t>
  </si>
  <si>
    <t xml:space="preserve">191042
75780F
5F5794</t>
  </si>
  <si>
    <t xml:space="preserve">MPA
Screen Digest Ltd</t>
  </si>
  <si>
    <t xml:space="preserve">Pvd info svcs
Pvd market research svcs</t>
  </si>
  <si>
    <t xml:space="preserve">Media Partners Asia Ltd,
headquartered in Hong Kong,
provides information services
for the media, communications,
and entertainment industries.
It also serves clients related
to advertising, broadcasting,
broadband, cable and satellite
TV, filmed entertainment,
mobile, online, and outdoor
activities. In addition, it
also provides research and
consulting services.
Screen Digest Ltd, located in
London, provides market
research and industry analysis
services focused on global
audiovisual media markets. The
group covers television,
broadband, mobile, home
entertainment, cinema and
gaming sector analysis.</t>
  </si>
  <si>
    <t xml:space="preserve">Hong Kong
United Kingdom</t>
  </si>
  <si>
    <t xml:space="preserve">MEDIA PARTNERS ASIA /SCREEN DIGEST LTD- STRATEGIC ALLIANCE</t>
  </si>
  <si>
    <t xml:space="preserve">Media Partners Asia (MPA) and Screen Digest plans to form a strategic
alliance to provide research and consulting services for international
clients.  Under the alliance, both companies will provide an extensive
range of consulting services to clients in Europe, North America and Asia
Pacific.  Combining Screen Digest?s online intelligence services with Media
Partners Asia?s research publications, they will produce research reports
to world clients.</t>
  </si>
  <si>
    <t xml:space="preserve">58670V
81094K</t>
  </si>
  <si>
    <t xml:space="preserve">DARA Biosciences Inc
ASC</t>
  </si>
  <si>
    <t xml:space="preserve">Mnfr pharm prod
Pvd research, dvlp svcs</t>
  </si>
  <si>
    <t xml:space="preserve">DARA Biosciences Inc, located
in Raleigh, North Carolina, is
a pharmaceutical company; it
is primarily focused on the
manufacture and
commercialization of oncology
treatment and oncology
supportive care pharmaceutical
products. It also provides
viral research and development
services for methods to
decrease the risk of viral
infection in blood sources.
The company specializes in
metabolic diseases,
dermatology, and nervous
system disorders. It develops
a family of dipeptidyl
peptidase (DPP) inhibitors for
oncology and type 2 diabetes.
Its lead candidate drug is
Talabostat, which would treat
anemia, as well as rejuvenate
the production of proteins
that help fight malignant
tumors. The company was
founded in 1993.
America Stem Cell Inc, located
in Carlsbad, California,
provides R&amp;D services for
exploring the therapeutic
potential of stem cells. It
also has an office in Helotes,
Texas. It has developed two
technology platforms, ASC-101
and ASC-201, for applying stem
cells to target organs. The
company has also worked with
institutions like University
of Texas M.D. Anderson Cancer
Center, the Oklahoma Medical
Research Foundation, and
VidaCord Technologia
Biomedica. The company was
founded in 2005.</t>
  </si>
  <si>
    <t xml:space="preserve">DARA BIOSCIENCES INC/AMERICA STEM CELL- STRATEGIC ALLIANCE</t>
  </si>
  <si>
    <t xml:space="preserve">DARA BioSciences Inc and America Stem Cell planned to form a strategic
alliance to increase their scope of stem cell research.  The alliance aims
to build on the observations and findings of preclinical studies that show
dipeptidyl peptidase-4 (DPP4) inhibitors can improve the efficiency of
hematopoietic stem cell (HSC) transplants and for patients needing
transplants.  Hematopoietic stem cells (HSCs) are stem cells that have
regenerative capabilities and HSC transplants are used as a therapeutic
approach for many malignant and non-malignant hematological or
blood-related disorders.  ASC will expand on the observations with
preclinical studies using potent and selective DPPIV inhibitors obtained
from DARA BioSciences.</t>
  </si>
  <si>
    <t xml:space="preserve">23703P
02367L</t>
  </si>
  <si>
    <t xml:space="preserve">Alnylam Pharmaceuticals Inc
Tekmira Pharmaceuticals Corp</t>
  </si>
  <si>
    <t xml:space="preserve">Manufacture biological products
Mnfr biological prods</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</si>
  <si>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Tekmira Pharmaceuticals
Corp, headquartered in
Burnaby, Canada manufactures
biological products
specifically "small
interfering RNAs" or
siRNA-based therapeutics to
bind disease-causing
proteins in the human
genome. It focuses on
working to exploit the
potential of RNAi mechanism
to treat disease. The
company is involved in
research for the further
development of its product,
the RNAi.</t>
  </si>
  <si>
    <t xml:space="preserve">ALNYLAM PHARMACEUTICALS INC/TEKMIRA PHARMACEUTICAL CORP(DNU)- STRATEGIC
ALLIANCE</t>
  </si>
  <si>
    <t xml:space="preserve">Alnylam Pharmaceuticals Inc and Tekmira Pharmaceuticals Corp agreed to form
a two-year strategic alliance to research and discover novel cationic
lipids and lipid nanoparticles for the systemic delivery of RNAi
therapeutics.  RNAi is a natural process of gene silencing that disrupts
the activity of some cells within organisms. Through RNAi, therapeutics or
medicines can be developed to prevent diseases.  Under terms of the
alliance, Alnylam will receive exclusive rights to all new inventions and
rights to sublicense any resulting intellectual property to Alnylam's
current and future partners; whereas, Tekmira will receive rights to use
new inventions for its own RNAi therapeutic programs licensed under Alnylam
intellectual property through its InterfeRx(TM) program.  The alliance will
be formed through the financial support of Alnylam, expertise and resources
of the University of British Columbia (UBC) and a company called AlCana
Technologies, and Tekmira's SNALP (stable nucleic acid-lipid particles)
technology deliver RNAi drugs to disease sites.</t>
  </si>
  <si>
    <t xml:space="preserve">02043Q
87911B</t>
  </si>
  <si>
    <t xml:space="preserve">Bio-Matrix Scientific Gr Inc
Therinject LLC</t>
  </si>
  <si>
    <t xml:space="preserve">Biotech research,dvlp co
Biotech research co</t>
  </si>
  <si>
    <t xml:space="preserve">Bio-Matrix Scientific Group
Inc, headquartered in San
Diego, California, is a
biotechnology research and
technology company focused
on adult stem cell
processing and cryogenic
storage. The company was
founded in 2005.
Therinject LLC, located in
California, is a biotechnology
research company engaged in
the development of cancer
treatments utilizing
immuno-therapeutic approaches.</t>
  </si>
  <si>
    <t xml:space="preserve">BIO-MATRIX SCIENTIFIC GROUP INC(WAS 876506)/THERINJECT LLC- STRATEGIC
ALLIANCE</t>
  </si>
  <si>
    <t xml:space="preserve">Bio-Matrix Scientific Group Inc and Therinject LLC signed letter of intent
to form a strategic alliance for the development of a new
immuno-therapeutic cancer vaccine. Bio-Matrix Scientific Group and
Therinject intend to focus on the veterinary market, looking to treat
animals with tumors while gathering data in support of human clinical
trials.</t>
  </si>
  <si>
    <t xml:space="preserve">09065C
89745K</t>
  </si>
  <si>
    <t xml:space="preserve">ETA
American Transmission Co LLC
Exelon Corp
NorthWestern Corp
Midamerican Energy Co</t>
  </si>
  <si>
    <t xml:space="preserve">Investment company
Pvd electric transmission svcs
Provides electric and gas utility services
Pvd electric,natural gas svcs
Pvd natl gas distribution svcs</t>
  </si>
  <si>
    <t xml:space="preserve">Electric Transmission America
LLC, located in Columbus,
Ohio, provides investment
services in high-voltage
transmission projects with
45-kilovolt or higher in North
America. The company was to
also build, operate and own
electric transmission assets
locally. The company was
founded in 2007.
American Transmission Co LLC,
located in Waukesha,
Wisconsin, provides electric
power transmission services
for Wisconsin, Michigan,
Minnesota, and Illinois areas.
The company was founded in
2001.
Exelon Corp, located in
Chicago, Illinois, provides
electric and gas utility
services in the Illinois,
Pennsylvania and
Philadelphia areas. The
Company is engaged in the
generation, transmission,
distribution, and sale of
electricity to residential,
commercial, industrial, and
wholesale customers in
northern Illinois. It is
also a holding company. The
Company was founded in 1887.
NorthWestern Corp, doing
business as NorthWestern
Energy, located in Sioux
Falls, South Dakota,
provides electric and
natural gas transmission
services in Montana, South
Dakota and Nebraska. The
Company's operations
consist of regulated
electric and natural gas
distribution, transmission,
energy supply and
non-regulated electric
operations. It also provides
electric transmission and
generation opportunities.
The Company was founded in
1909.
MidAmerican Energy Co,
headquartered in Des Moines,
Iowa, provides natural gas
distribution services. It is
engaged in business of
generating, transmitting,
distributing and selling
electricity at retail in
Council Bluffs, Des Moines,
Fort Dodge, Iowa City, Sioux
City and Waterloo, Iowa,
Quad Cities and a number of
adjacent communities areas.
Additionally, they transport
natural gas through their
distribution system for a
number of end-use customers
who have independently
secured their supply of
natural gas. In addition to
retail sales and natural gas
transportation, they sell
electric energy and natural
gas to other utilities,
marketers and
municipalities. These sales
are referred to as wholesale
sales.</t>
  </si>
  <si>
    <t xml:space="preserve">6799
4931
4931
4931
4911</t>
  </si>
  <si>
    <t xml:space="preserve">United States
United States
United States
United States
United States</t>
  </si>
  <si>
    <t xml:space="preserve">OH
WI
IL
SD
IA</t>
  </si>
  <si>
    <t xml:space="preserve">American Electric Power Co Inc
American Transmission Co LLC
Exelon Corp
NorthWestern Corp
Berkshire Hathaway Inc</t>
  </si>
  <si>
    <t xml:space="preserve">4911
4931
4931
4931
6331</t>
  </si>
  <si>
    <t xml:space="preserve">ELECTRIC TRANSMISSION AMERICA/AMERICAN ELECTRIC POWER/EXELON
CORP/NORTHWESTERN/MIDAMERICAN ENERGY COMPANY- STRATEGIC ALLIANCE</t>
  </si>
  <si>
    <t xml:space="preserve">Electric Transmission America (ETA), American Transmission Co, Exelon Corp,
NorthWestern Energy and MidAmerican Energy Co planned to form a strategic
alliance to fund a comprehensive study named Strategic Midwest Area
Transmission Study, on the transmission of renewable energy from the Upper
Midwest to consumers in markets to the Eastern United States.  It also
includes assessment on the benefits and costs of building a 765kV voltage
network for the development of renewable energy resources.  The study will
concentrate on alternatives for connecting wind and other renewable energy
in Illinois, Indiana, Iowa, Minnesota, North Dakota, Ohio, South Dakota and
Wisconsin.</t>
  </si>
  <si>
    <t xml:space="preserve">28513J
03028Y
30161N
668074
595620</t>
  </si>
  <si>
    <t xml:space="preserve">CleanTech Biofuels Inc
GeoSynFuels LLC</t>
  </si>
  <si>
    <t xml:space="preserve">Mnfr ethanol,fuel
Mnfr biofuel,ethanol</t>
  </si>
  <si>
    <t xml:space="preserve">CleanTech Biofuels Inc,
located in St. Louis,
Missouri, manufactures ethanol
and other combustible fuels
using municipal solid waste
and other waste. The Company
has licenses to the Eley
technology that converts
municipal solid waste into
cellulosic material while
segregating and eliminating
any inorganic materials in the
solid waste; and the Brelsford
technology that employs an
acid hydrolysis process to
convert cellulosic material
into fermentable sugars, which
can then be fermented into
ethanol. It was founded in
2004.
GeoSynFuels LLC, located in
Golden, Colorado, is a
manufacturer of biofuels and
ethanol. It uses biotechnology
processes to produce biofuels
and renewable energy from
renewable feedstocks.</t>
  </si>
  <si>
    <t xml:space="preserve">MO
CO</t>
  </si>
  <si>
    <t xml:space="preserve">CLEANTECH BIOFUELS INC /GEOSYNFUELS LLC- STRATEGIC ALLIANCE</t>
  </si>
  <si>
    <t xml:space="preserve">Missouri</t>
  </si>
  <si>
    <t xml:space="preserve">CleanTech Biofuels Inc and GeoSynFuels LLC agreed to form a strategic
alliance to provide research on the measurement of ethanol yields from
CleanTech's biomass using GeoSynFuels' proprietary enzymatic hydrolysis
process.  CleanTech will initially provide 10 kilograms (22 pounds) of
biomass feedstock derived from MSW from the city of Chicago to use in
GeoSynFuels' biofuel process.</t>
  </si>
  <si>
    <t xml:space="preserve">18450W
37394K</t>
  </si>
  <si>
    <t xml:space="preserve">MEDRAD Inc
University of South Florida
H Lee Moffitt Cancer Center</t>
  </si>
  <si>
    <t xml:space="preserve">Mnfr,whl med devices
Own,op college,univ
Specialty (Except Psychiatric and Substance Abuse) Hospitals</t>
  </si>
  <si>
    <t xml:space="preserve">MEDRAD Inc, headquartered in
Warrendale, Pennsylvania,
manufactures medical
instruments and devices for
diagnostic imaging
applications. Their products
include a line of vascular
injection systems, magnetic
resonance surface coils and
patient care products and
equipment. The company was
founded in 1964.
University of South Florida,
located in Tampa, Florida, own
and operate college and
university.
H Lee Moffitt Cancer Center
&amp; Research Institute Inc,
located in Tampa, Florida,
owns and operates
comprehensive cancer centers
engaged in research,
clinical trials, prevention
and cancer control. The
Company was founded in 1983.</t>
  </si>
  <si>
    <t xml:space="preserve">3841
8221
8069</t>
  </si>
  <si>
    <t xml:space="preserve">PA
FL
FL</t>
  </si>
  <si>
    <t xml:space="preserve">Bayer AG
University of South Florida
H Lee Moffitt Cancer Center</t>
  </si>
  <si>
    <t xml:space="preserve">Germany
United States
United States</t>
  </si>
  <si>
    <t xml:space="preserve">2899
8221
8069</t>
  </si>
  <si>
    <t xml:space="preserve">MEDRAD INC/UNIVERSITY OF SOUTH FLORIDA/MOFFITT CANCER CENTER- STRATEGIC
ALLIANCE</t>
  </si>
  <si>
    <t xml:space="preserve">Medrad Inc, University of South Florida and H Lee Moffitt Cancer Center &amp;
Research Institute planned to form a strategic alliance to study the impact
of automated Fluoro-deoxy-glucose {FDG)} administration on the workflow for
Positron Emission Tomography (PET) imaging procedures.</t>
  </si>
  <si>
    <t xml:space="preserve">584950
91516E
52795F</t>
  </si>
  <si>
    <t xml:space="preserve">Millennial Net Inc
MITEI</t>
  </si>
  <si>
    <t xml:space="preserve">Dvlp networking software
Pvd research,dvlp svcs</t>
  </si>
  <si>
    <t xml:space="preserve">Millennial Net Inc,
headquartered in Chelmsford,
Massachusetts, develop
wireless sensor networking
software, systems, and
services that enable original
equipment manufacturers and
systems integrators to
implement wireless sensor
networks. The company was
founded in 2000.
Massachusetts Institute of
Technology Energy Initiative
{MITEI}, located in Cambridge,
Massachusetts, provides
research and development
services. It includes
research, education, campus
energy management and outreach
activities, and an
interdisciplinary approach
that covers all areas of
energy supply and demand,
security, and environmental
impact. The company was
founded in 2006.</t>
  </si>
  <si>
    <t xml:space="preserve">PHC Holding GmbH
Massachusetts Inst Of Tech</t>
  </si>
  <si>
    <t xml:space="preserve">7373
8221</t>
  </si>
  <si>
    <t xml:space="preserve">MILLENNIAL NET INC/MIT ENERGY INITIATIVE - STRATEGIC ALLIANCE</t>
  </si>
  <si>
    <t xml:space="preserve">Millennial Net Inc and Massachusetts Institute of Technology Energy
Initiative {MITEI} planned to form a strategic alliance to promote basic
and applied research into technology to transform the global energy
system.</t>
  </si>
  <si>
    <t xml:space="preserve">60049N
57571X</t>
  </si>
  <si>
    <t xml:space="preserve">Clear Skies Solar Inc
Cavallo Energy Corp</t>
  </si>
  <si>
    <t xml:space="preserve">Pvd renewable energy svcs
Oil,gas mining</t>
  </si>
  <si>
    <t xml:space="preserve">Clear Skies Solar Inc,
headquartered in Mineola, New
York, provides renewable
energy solutions services to
the commercial, industrial,
and agricultural industries in
the US. It operates through
its wholly-owned Clear Skies
Group Inc subsidiary. The
company was incorporated in
2003.
Cavallo Energy Corp, located
in Houston, Texas, provides
oil and gas mining services.
It develops and manages power
generation plants and electric
transmission lines. It also
distributes natural gas and
oil.</t>
  </si>
  <si>
    <t xml:space="preserve">499A
1311</t>
  </si>
  <si>
    <t xml:space="preserve">NY
TX</t>
  </si>
  <si>
    <t xml:space="preserve">Clear Skies Solar Inc
Rocky Mountain Energy Corp</t>
  </si>
  <si>
    <t xml:space="preserve">CLEAR SKIES SOLAR INC(NEW,USE&gt;25/JAN/2008)/CAVALLO ENERGY- STRATEGIC
ALLIANCE</t>
  </si>
  <si>
    <t xml:space="preserve">Clear Skies Solar Inc and Cavallo Energy planned to form a strategic
alliance to develop a 34-acre solar PV facility in the in the Cantil
section of California's Mojave Desert.  The project will be a minimum 6 MW
wherein 3 MW will start in the fourth quarter of 2009, and development of
the second stage of the project to begin by the second quarter of 2010.
Clear Skies will be the lead contractor and Cavallo will lead engineering
and development of the project with expertise in high voltage utility scale
power generation.  The project is valued at USD 20 mil.</t>
  </si>
  <si>
    <t xml:space="preserve">Research &amp; Development Services
Electric Utility Services</t>
  </si>
  <si>
    <t xml:space="preserve">184681
14953V</t>
  </si>
  <si>
    <t xml:space="preserve">KEPCO
NPCIL</t>
  </si>
  <si>
    <t xml:space="preserve">Electric utility company
Electric utility company</t>
  </si>
  <si>
    <t xml:space="preserve">Korea Electric Power
Corp{KEPCO}, headquartered in
Seoul, South Korea, provides
electric power transmission
and distribution services. The
company also has an office in
United Arab Emirates, China,
Philippines, Japan, USA,
Indonesia and others. It is
also engaged in nuclear and
hydroelectric power generation
subsidiary. It operates only
in Korea only and is divided
in three segments:
transmission and distribution,
power generation and all
other. The company was founded
in 1898 as Hansung Electric
Co.
Nuclear Power Corp of India
Ltd {NPCIL}, located in
Mumbai, India, is an electric
utility company. The company
was founded in 1987.</t>
  </si>
  <si>
    <t xml:space="preserve">South Korea
India</t>
  </si>
  <si>
    <t xml:space="preserve">KEPCO
India</t>
  </si>
  <si>
    <t xml:space="preserve">4911
999A</t>
  </si>
  <si>
    <t xml:space="preserve">KOREA ELECTRIC POWER CORP{KEPCO}/NUCLEAR POWER CORP OF INDIA LTD{NPCIL} -
STRATEGIC ALLIANCE</t>
  </si>
  <si>
    <t xml:space="preserve">Korea Electric Power Corp {KEPCO} and Nuclear Power Corp of India Ltd
{NPCIL} planned to form a strategic alliance to cooperate in the nuclear
power sector. Under terms of the agreement, the partnership will conduct a
feasibility study on the construction of Korea-designed nuclear power
stations in India.</t>
  </si>
  <si>
    <t xml:space="preserve">500631
67037T</t>
  </si>
  <si>
    <t xml:space="preserve">National Rest Assoc
Loyalty 360</t>
  </si>
  <si>
    <t xml:space="preserve">Rest assoc
Pvd clearinghouse svcs</t>
  </si>
  <si>
    <t xml:space="preserve">National Restaurant
Association, headquartered in
Washington, D.C., is a
restaurant association. It
currently has 380,000 member
restaurant establishments, and
945,000 restaurant and
foodservices outlets. The
company has also worked with
the National Restaurant
Association Educational
Foundation in promoting the
restaurant industry.
Loyalty 360, headquartered in
Cincinnati, Ohio, provides
clearinghouse services.</t>
  </si>
  <si>
    <t xml:space="preserve">8611
6099</t>
  </si>
  <si>
    <t xml:space="preserve">DC
OH</t>
  </si>
  <si>
    <t xml:space="preserve">NATIONAL RESTAURANT ASSOCIATION/LOYALTY 360- STRATEGIC ALLIANCE</t>
  </si>
  <si>
    <t xml:space="preserve">National Restaurant Association and Loyalty 360 planned to form a strategic
alliance to conduct operator and consumer research that will analyze
loyalty marketing programs in the restaurant industry.  The research will
present consumer perceptions and attitudes towards existing loyalty
programs.  The concluded research will be used by the National Restaurant
Association to provide its restaurant members practices and guidance for
strengthening engagement and member rewards programs.</t>
  </si>
  <si>
    <t xml:space="preserve">63741W
54906Z</t>
  </si>
  <si>
    <t xml:space="preserve">Nissan Diesel Motor Co Ltd
Mitsubishi Fuso Truck &amp; Bus</t>
  </si>
  <si>
    <t xml:space="preserve">Mnfr diesel trucks,buses
Mnfr,whl,ret trucks,buses</t>
  </si>
  <si>
    <t xml:space="preserve">Nissan Diesel Motor Co Ltd,
located in Ageo-Shi,
Saitama, manufactures light,
medium and heavy-duty
trucks, including buses, bus
chassis, special-purpose
vehicles, and cogeneration
systems. The company was
founded in 1935.
Mitsubishi Fuso Truck &amp; Bus
Corp manufactures commercial
vehicles. It offers light,
medium, and heavy-duty trucks
and buses, and vans, as well
as industrial engines. The
company also provides
heavy-duty tractors in
Indonesia; after sales
services and parts. It offers
its products through
distributors in Europe, the
Russian Federation, Asia, the
Middle East, Africa, Latin
America, the Oceania, North
America, and internationally.
The Company was founded in
January 2003 and is located in
Kawasaki-Shi, Japan.</t>
  </si>
  <si>
    <t xml:space="preserve">3713
3711</t>
  </si>
  <si>
    <t xml:space="preserve">Volvo AB
Daimler Ag</t>
  </si>
  <si>
    <t xml:space="preserve">Sweden
Germany</t>
  </si>
  <si>
    <t xml:space="preserve">NISSAN DIESEL MOTOR CO LTD/MITSUBISHI FUSO TRUCK &amp; BUS CORP- JOINT VENTURE</t>
  </si>
  <si>
    <t xml:space="preserve">Nissan Diesel Motor Co and Mitsubishi Fuso Truck and Bus Corp signed a
Letter of Intent {LoI} to form a joint venture to combine their R&amp;D,
production and sales operations in bus manufacturing. Nissan Diesel Motor?s
bus production at its plant in Saitama prefecture near Tokyo will merge
with Mitsubishi Fuso bus production plant in Toyama Prefecture, central
Japan.</t>
  </si>
  <si>
    <t xml:space="preserve">65473R
60734L</t>
  </si>
  <si>
    <t xml:space="preserve">Neoprobe Corp
Laureate Pharma Inc</t>
  </si>
  <si>
    <t xml:space="preserve">Mnfr biomedical prod
Mnfr biopharm</t>
  </si>
  <si>
    <t xml:space="preserve">Neoprobe Corp, located in
Dublin, Ohio, manufactures
biomedical products that meet
the critical interoperative,
diagnostic and therapeutics
treatment needs such as gamma
detection devices, blood flow
measurement and
investigational initiatives.
The company operates in the US
and Europe. The company was
founded in 1984.
Laureate Pharma Inc is a
manufacturer of
biopharmaceuticals,
headquartered in Princeton,
New Jersey. The company offers
bioprocessing services that
accelerate new products from
development through
production. Laureate provides
a wide range of specialized
services from process design
and development to full-scale
cGMP production, purification,
aseptic filling, testing,
validation, analytical
services, and regulatory
support. Laureate is focused
on two active segments of the
biopharmaceutical industry:
monoclonal antibodies and
recombinant protein products.</t>
  </si>
  <si>
    <t xml:space="preserve">OH
NJ</t>
  </si>
  <si>
    <t xml:space="preserve">Neoprobe Corp
Saints Capital</t>
  </si>
  <si>
    <t xml:space="preserve">NEOPROBE CORP/LAUREATE PHARMA INC- STRATEGIC ALLIANCE</t>
  </si>
  <si>
    <t xml:space="preserve">Neoprobe Corp and Laureate Pharma Inc agreed to form a strategic alliance
to provide biopharmaceutical development and manufacturing services.  Under
the agreement, Laureate Pharma will aid in the development of Neoprobe's
murine monoclonal antibody CC49 called RIGScan(R) CR, a tumor-specific
targeting agent for use in the treatment of colorectal cancer.  Laureate
Pharma will use its biopharmaceutical manufacturing expertise to make
Neoprobe's biomedical technologies available to the clinic.</t>
  </si>
  <si>
    <t xml:space="preserve">640518
51901F</t>
  </si>
  <si>
    <t xml:space="preserve">Meda AB
Cipla Ltd</t>
  </si>
  <si>
    <t xml:space="preserve">Manufacture,wholesale pharmaceutical products
Manufacture,wholesale pharmaceutical products</t>
  </si>
  <si>
    <t xml:space="preserve">Meda AB, located in Solna,
Sweden, manufactures and
wholesales pharmaceutical
products. The Company's
product categories include:
Branded Generics, which are
non-patented prescription
pharmaceuticals with brand
names, Specialty Products,
which are original
prescription pharmaceuticals
and specialty products, OTC,
which are over-the-counter
products, and other Sales,
such as revenue from
med-tech products and income
not related to products.
Medas therapy areas are
respiratory, dermatology,
cardiology, pain and
inflammation, and central
nervous system (CNS). Sales
and marketing activities are
carried out through agents
in countries where Meda has
no representation. In
October 2013, the Company
acquired Acton
Pharmaceuticals Inc and its
product, Aerospan.
Cipla Ltd is a holding
company. The Company is a
pharmaceutical company. The
Company's strategic business
units include Active
Pharmaceutical Ingredients
(APIs), Respiratory and
Cipla Global Access. The
Company's geographical
segments include India, USA,
South Africa and Rest of the
World. The Company
manufactures metered dose
inhalers, dry powder
inhalers, nasal sprays,
nebulizers and a range of
inhaled accessory devices.
Cipla Global Access is a
tender-based institutional
business that concentrates
on approximately four
therapy areas: human
immunodeficiency
virus/acquired immuno
deficiency syndrome
(HIV/AIDS), malaria, multi
drug-resistant tuberculosis
and reproductive health. The
Company offers its products
for the therapeutic areas,
including cardiovascular,
children's health,
dermatology and cosmetology,
diabetes, HIV/AIDS,
infectious diseases and
critical care, malaria,
neurosciences, oncology,
ophthalmology, osteoporosis,
respiratory, urology and
women's health. The Company
was founded in 1935 and is
located in Mumbai, India.</t>
  </si>
  <si>
    <t xml:space="preserve">Sweden
India</t>
  </si>
  <si>
    <t xml:space="preserve">MEDA AB/CIPLA LTD-STRATEGIC ALLIANCE</t>
  </si>
  <si>
    <t xml:space="preserve">Meda AB (Meda) and Cipla Ltd (Cipla) expanded their strategic alliance to
include development rights to Dymista. On September 2009, Meda and Cipla
formed a strategic alliance to develop a combination of Azelastine and
Fluticasone in Europe, Japan, Brazil, South Korea and Australia. The
product is a combination of an antihistamine and corticosteroid in a nasal
formulation. Meda will pay Cipla USD 5 mil upon regulatory approval in the
first market and up to USD 10 mil as milestone payments.</t>
  </si>
  <si>
    <t xml:space="preserve">Meda will pay Cipla USD 5 mil upon regulatory approval in the first market
and up to USD 10 mil as milestone payments.</t>
  </si>
  <si>
    <t xml:space="preserve">58390T
17260K</t>
  </si>
  <si>
    <t xml:space="preserve">Shell China Holdings BV
Shenhua Group Corp Ltd</t>
  </si>
  <si>
    <t xml:space="preserve">Oil,gas expl,prodn co
Coal mining company</t>
  </si>
  <si>
    <t xml:space="preserve">Shell China Holdings BV,
located in Beijing, China, is
an oil and gas exploration and
production company.
Shenhua Group Corp Ltd is a
bituminous coal mine
operator. The Company was
founded in October 1995 and
is located in Beijing,
China.</t>
  </si>
  <si>
    <t xml:space="preserve">1311
1221</t>
  </si>
  <si>
    <t xml:space="preserve">Royal Dutch Shell PLC
Shenhua Group Corp Ltd</t>
  </si>
  <si>
    <t xml:space="preserve">Netherlands
China</t>
  </si>
  <si>
    <t xml:space="preserve">2911
1221</t>
  </si>
  <si>
    <t xml:space="preserve">SHELL(CHINA)LTD/SHENHUA COAL TO LIQUID AND CHEMICAL CO- STRATEGIC ALLIANCE</t>
  </si>
  <si>
    <t xml:space="preserve">Shell China Holdings BV and Shenhua Group Corp Ltd planned to form a
strategic alliance to conduct a joint research and development on clean
coal technology.</t>
  </si>
  <si>
    <t xml:space="preserve">82257P
82304M</t>
  </si>
  <si>
    <t xml:space="preserve">Baosteel Group Corp
TBEA Co Ltd</t>
  </si>
  <si>
    <t xml:space="preserve">Mnfr,whl steel products
Power, Distribution, and Specialty Transformer Manufacturing</t>
  </si>
  <si>
    <t xml:space="preserve">Baosteel Group Corp, located
in Shanghai, China,
manufactures and wholesales
of steel products such as
automotive steel, oil and
gas exploration and
transportation steel,
stainless steel, household
appliance steel,
transportation vehicle
steel, electrical steel,
boiler and pressure vessel
steel, food and beverage
packaging steel, metal
product steel, special steel
and high grade construction
steel. The company was
founded in December 1, 1978.
TBEA Co Ltd is a
manufacturer and wholesaler
of power, distribution, and
specialty transformers. Its
products include electric
power transformers,
reactors, mutual sensors,
composite type substations
and switch boxes, among
others; wires and cables,
including power cables,
plastic insulated control
cables, magnet wires and
specialty cables, among
others, as well as solar
silicon chips and solar
photovoltaic systems, among
others. It also involves in
contract construction of
power transmission and
transformation projects and
photovoltaic projects, as
well as the manufacture of
new materials, such as
aluminum foils.The Company
was founded in February 1993
and is located in Changji,
China.</t>
  </si>
  <si>
    <t xml:space="preserve">3325
3612</t>
  </si>
  <si>
    <t xml:space="preserve">SHANGHAI BAOSTEEL GROUP CORP/XINJIANG TEBIAN DIANGONG CO LTD(DNU)-
STRATEGIC ALLIANCE</t>
  </si>
  <si>
    <t xml:space="preserve">Shanghai Baosteel Group Corp and Tebian Electric Apparatus Stock Co Ltd
(TBEA) agreed to form a strategic alliance to research and develop the
application of grain-oriented silicon steel products.  Baosteel will offer
its expertise in silicon steel manufacturing, while TBEA will offer its
research and development expertise.</t>
  </si>
  <si>
    <t xml:space="preserve">06688E
97219E</t>
  </si>
  <si>
    <t xml:space="preserve">Merck &amp; Co Inc
Wellcome Trust Ltd</t>
  </si>
  <si>
    <t xml:space="preserve">Mnfr,whl pharmaceutical prod
Provide charitable foundation services</t>
  </si>
  <si>
    <t xml:space="preserve">Merck &amp; Co Inc, located in
Whitehouse Station, New
Jersey, manufactures and
wholesales pharmaceutical
products. It offers vaccines
and medicines for the
treatment of high blood
pressure, elevated
cholesterol levels,
osteoporosis, asthma, benign
prostatic hyperplasia,
arthritis, migraine,
glaucoma, emesis, infectious
diseases (antibacterial,
antifungal, and antiviral
agents), and vaccines to
prevent childhood diseases
and hepatitis A and B. The
products are sold and
distributed to drug
wholesalers and retailers,
hospitals, clinics,
government agencies and
health care providers such
as health maintenance
organizations and other
institutions. The company''s
branded products portfolio
includes Arcoxia, Ccancidas,
Comvax, Cosopt, Cozaar,
Crixivan, Emend, Fosamax,
Hyzaar, Invanz, Maxalt,
Pedvaxhib, Primaxin,
Propecia, Proscar,
Recombivax hb, Singulair,
Timoptic-xe , Trusopt, Vioxx
and Zocor. The group has
operations in the US,
Europe, Middle East, Africa
and Japan. The company was
founded in 1891.
Wellcome Trust Ltd, located in
London, the United Kingdom,
provides charitable trust
foundation services
specialized in offering
biomedical research funding
services. The Company was
founded in 1936.</t>
  </si>
  <si>
    <t xml:space="preserve">MERCK &amp; CO INC/WELLCOME TRUST LTD- JOINT VENTURE</t>
  </si>
  <si>
    <t xml:space="preserve">MSD Wellcome Trust Hilleman
Laboratories, headquartered in
India, provides research and
development services in the
development of vaccines for
low-income countries.</t>
  </si>
  <si>
    <t xml:space="preserve">Merck &amp; Co Inc and Wellcome Trust Ltd formed a joint venture named MSD
Wellcome Trust Hilleman Laboratories to develop inexpensive vaccines to
avert diseases that affect low-income countries.  The JV partners will have
equal share on funding and decision making rights.  They will invest a
combined contribution of USD 130 mil over the next seven years.  The JV
will provide non-profit R&amp;D services as well as develop new vaccines for
less privileged countries.  The JV will also work with vaccine
manufacturers to guarantee quality and affordable vaccines.</t>
  </si>
  <si>
    <t xml:space="preserve">55691Q</t>
  </si>
  <si>
    <t xml:space="preserve">589331
94947E</t>
  </si>
  <si>
    <t xml:space="preserve">Theraclone Sciences Inc
Zenyaku Kogyo Co Ltd</t>
  </si>
  <si>
    <t xml:space="preserve">Biotech co
Pharm co</t>
  </si>
  <si>
    <t xml:space="preserve">Theraclone Sciences Inc,
located in Seattle,
Washington, is a biotechnology
company that engages in the
discovery and development of
human therapeutic antibody
drugs for the treatment of
inflammation, infectious
disease, and cancer. The
company was founded in 2005.
Zenyaku Kogyo Co Ltd, located
in Tokyo, Japan, is a
pharmaceutical company.</t>
  </si>
  <si>
    <t xml:space="preserve">THERACLONE SCIENCES INC/ZENYAKU KOGYO CO LTD- STRATEGIC ALLIANCE</t>
  </si>
  <si>
    <t xml:space="preserve">Theraclone Sciences Inc and Zenyaku Kogyo Co Ltd planned to form a
strategic alliance to discover broadly protective monoclonal antibodies for
the treatment of pandemic influenza and severe seasonal influenza.</t>
  </si>
  <si>
    <t xml:space="preserve">89938M
98943R</t>
  </si>
  <si>
    <t xml:space="preserve">BioChemics Inc
Unilever PLC</t>
  </si>
  <si>
    <t xml:space="preserve">Mnfr pharm prod
All Other Miscellaneous Food Manufacturing</t>
  </si>
  <si>
    <t xml:space="preserve">BioChemics Inc, located in
Danvers, Massachusetts,
manufactures pharmaceutical
products. The company develops
and markets topical and
transdermal drug delivery
systems for prescription
drugs.
Unilever PLC is a consumer
goods (FMCG) company. The
Company's segments include
Personal Care, which
primarily includes sales of
skin care and hair care
products, deodorants and
oral care products; Foods,
which primarily includes
sales of soups, bouillons,
sauces, snacks, mayonnaise,
salad dressings and
margarines; Home Care, which
primarily includes sales of
home care products, such as
powders, liquids and
capsules, soap bars and a
range of cleaning products,
and Refreshment, which
primarily includes sales of
ice cream and tea-based
beverages. The Company's
geographical segments
include Asia/AMET/RUB, The
Americas and Europe. Its
brands include Axe, Dirt is
Good (Omo), Dove,
Hellmann's, Knorr, Lipton,
Lux, Magnum, Rexona, Sunsilk
and Surf. The Company
operates in more than 100
countries, selling its
products in more than 190
countries. The Company
operates approximately 310
factories in over 70
countries. The Company also
operates as a holding
company. The Company was
founded in 1871 and is
located in London, the
United Kingdom.</t>
  </si>
  <si>
    <t xml:space="preserve">BIOCHEMICS/UNILEVER PLC- STRATEGIC ALLIANCE</t>
  </si>
  <si>
    <t xml:space="preserve">BioChemics Inc and Unilever PLC planned to form a strategic alliance to
collaborate a research to utilize BioChemics? proprietary topical delivery
technology for the delivery of Unilever?s compounds.</t>
  </si>
  <si>
    <t xml:space="preserve">03367K
904767</t>
  </si>
  <si>
    <t xml:space="preserve">Areva SA
NAC Kazatomprom JSC</t>
  </si>
  <si>
    <t xml:space="preserve">Provide electric utility services
Uranium mining company</t>
  </si>
  <si>
    <t xml:space="preserve">Areva SA, located in
Courbevoie, France, provides
electric utility services
via nuclear power plants
operations. Its principal
activity is to provide
solutions for carbon
dioxide-free power
generation and electricity
distribution. The Company's
business consists of uranium
ore exploration, mining,
conversion and enrichment.
It undertakes nuclear fuel
design and fabrication,
nuclear reactor design and
construction, as well as
treatment and recycling of
fuel, following its use in
nuclear power plants. It
also provides transmission
and distribution of medium
and high voltage electricity
and connectors. The Company
is also engaged in operating
wind electric power
generation facilities. The
group operates in Europe,
Asia/Pacific, Americas,
Africa and Middle East. It
was founded in 2001.
NAC Kazatomprom JSC, based
in Astana, Kazakhstan, is a
uranium, beryllium and
tantalum mining company. The
Company manufactures
beryllium ingots and master
alloy, tantalum and niobium
containing products. It is
also a holding company. The
Company was founded in 1997.</t>
  </si>
  <si>
    <t xml:space="preserve">4911
1094</t>
  </si>
  <si>
    <t xml:space="preserve">France
Kazakhstan</t>
  </si>
  <si>
    <t xml:space="preserve">999A
999A</t>
  </si>
  <si>
    <t xml:space="preserve">AREVA SA(WAS 12513I)/KAZATOMPROM OJSC- JOINT VENTURE</t>
  </si>
  <si>
    <t xml:space="preserve">Ifastar, located in Paris,
France, provides feasibility
study services to assess the
Asian nuclear fuel market and
the possibility of selling
integrated fuel packages to
power utilities.</t>
  </si>
  <si>
    <t xml:space="preserve">Rumor</t>
  </si>
  <si>
    <t xml:space="preserve">Areva SA and KazAtomProm OJSC planned to form a joint venture named Ifastar
to perform a feasibility study consisting of the assessment of the Asian
market in view of selling integrated fuel packages to electric utilities
operating in Asia. Areva SA was to hold a 51% interest in the JV while
KazAtomProm OJSC was to hold the remaining 49% stake.</t>
  </si>
  <si>
    <t xml:space="preserve">47176T</t>
  </si>
  <si>
    <t xml:space="preserve">04012G
48670E</t>
  </si>
  <si>
    <t xml:space="preserve">Gladstone Pacific Nickel Ltd
TCC</t>
  </si>
  <si>
    <t xml:space="preserve">Nickel,cobalt mining co
Pvd engineering svcs</t>
  </si>
  <si>
    <t xml:space="preserve">Gladstone Pacific Nickel Ltd,
located in Brisbane,
Queensland, is a nickel and
cobalt mining company treating
abundant high grade nickel
laterite ores from New
Caledonia and other south-west
Pacific islands, underpinned
by beneficiated ores from its
own Marlborough deposits.
China Tianchen Engineering
Corp, headquartered in
Beijing, China provide
engineering, procurement, and
construction services. It is
also involved in supervising
projects in petrochemical,
fine chemical, organic &amp;
inorganic chemical, coal
chemical, pharmaceutical and
light &amp; textile industries.
Some of its clients include
include Exxon Mobil, Sinopec,
Shell, Dow, DuPont, GE,
Procter &amp; Gamble, and
Mitsubishi Heavy Industries.
The company was founded in
1953.</t>
  </si>
  <si>
    <t xml:space="preserve">1061
8711</t>
  </si>
  <si>
    <t xml:space="preserve">GLADSTONE PACIFIC NICKEL LTD/CHINA TIANCHEN ENGINEERING CORP - STRATEGIC
ALLIANCE</t>
  </si>
  <si>
    <t xml:space="preserve">Gladstone Pacific Nickel Ltd (GNPL) and China Tianchen Engineering Corp
(TCC) signed a Memorandum of Understanding {MOU} to form a strategic
alliance for the development of a heap leach project at Marlborough (MHLP)
consisting of nickel and cobalt ore resources.  Metal produced from heap
leaching will be used as a feed for GNPL?s high pressure acid plant in
Gladstone, Queensland.  TCC shall provide the engineering, procurement, and
construction services for the key construction of MHLP and send its
technical team to perform a Feasibility Study and Engineering Study to a
standard acceptable to Chinese banks and investors.  Also, MHLP nickel
intermediate will be sold to China.  Both companies will cooperate in
funding and finding possible Chinese partners for the MHLP.</t>
  </si>
  <si>
    <t xml:space="preserve">Research &amp; Development Services
Mining Services</t>
  </si>
  <si>
    <t xml:space="preserve">37653N
17404T</t>
  </si>
  <si>
    <t xml:space="preserve">Azopharma Product Development
Pharmanet Development Grp Inc</t>
  </si>
  <si>
    <t xml:space="preserve">Pvd preclinical prod dvlp svcs
Pvd clinical research svcs</t>
  </si>
  <si>
    <t xml:space="preserve">Azopharma Product Development
Group LLC, located in
Hollywood, Florida, provides
preclinical and pharmaceutical
product development services.
PharmaNet Development Group
Inc, located in Princeton, New
Jersey, provides clinical
research and drug development
services for clients in the
pharmaceutical and
biotechnology industries. Its
services include bioanalytical
services, phase I-IIA Clinical
trials, phase IIB-III clinical
trials, phase IV clinical
trials, consulting, quality
assurance, staffing and
therapeutic expertise. It was
founded in 1984.</t>
  </si>
  <si>
    <t xml:space="preserve">Azopharma Product Development
JLL Partners Inc</t>
  </si>
  <si>
    <t xml:space="preserve">AZOPHARMA PRODUCT DEVELOPMENT GROUP LLC/PHARMANET DEVELOPMENT GROUP INC-
STRATEGIC ALLIANCE</t>
  </si>
  <si>
    <t xml:space="preserve">Azopharma Product Development Group LLC and PharmaNet Development Group Inc
planned to form a strategic alliance to avail complementary services,
develop business opportunities and jointly manage projects.</t>
  </si>
  <si>
    <t xml:space="preserve">01494E
717148</t>
  </si>
  <si>
    <t xml:space="preserve">MORPHOSYS AG/DAIICHI SANKYO CO LTD- STRATEGIC ALLIANCE</t>
  </si>
  <si>
    <t xml:space="preserve">MorphoSys AG and Daiichi Sankyo Co Ltd planned to form a strategic alliance
to provide research and development of therapeutic antibodies for
hospital-acquired infections.  The companies will jointly apply HuCAL
Platinum, the most powerful version of MorphoSys? antibody library.
Daiichi Sankyo will fund the development of certain infectious disease
technology at MorphoSys, which will be used to identify the most effective
antibody-based drugs.  Payments included in the JV are license fees and
research and development funding.  Also, MorphoSys will receive royalties
from the sale of drugs produced from the alliance.</t>
  </si>
  <si>
    <t xml:space="preserve">Yissum Research Development
Roche Holding Ltd</t>
  </si>
  <si>
    <t xml:space="preserve">Pvd research,dvlp svcs
Mnfr pharmaceutical products</t>
  </si>
  <si>
    <t xml:space="preserve">Yissum Research Development
Co of the Hebrew University
of Jerusalem is a provider
of research and development
services. The Company is
located in Jerusalem,
Israel.
Manufacture pharmaceutical and
medical products; provide
biological research services;
holding company</t>
  </si>
  <si>
    <t xml:space="preserve">Hebrew Univ of Jerusalem
Roche Holding Ltd</t>
  </si>
  <si>
    <t xml:space="preserve">YISSUM RESEARCH AND DVLP CO OF HEBREW UNIV/ROCHE HOLDING LTD- STRATEGIC
ALLIANCE</t>
  </si>
  <si>
    <t xml:space="preserve">Yissum Research Development Co and Roche Holding AG planned to form a
strategic alliance for a research projects in the fields of stem cells,
biomarkers, and novel molecules for the treatment of metabolic diseases.</t>
  </si>
  <si>
    <t xml:space="preserve">98583R
77120P</t>
  </si>
  <si>
    <t xml:space="preserve">Limagrain SCA
Avestha Gengraine Tech Pvt Ltd</t>
  </si>
  <si>
    <t xml:space="preserve">Soil Preparation, Planting, and Cultivating
Biotech co</t>
  </si>
  <si>
    <t xml:space="preserve">Limagrain SCA is a provider
of crop production services.
The Company was founded in
1942 and is located in
Saint-Beauzire, France.
Avestha Gengraine Technologies
Pvt Ltd, headquartered in
Bangalore, India, is a
biotechnology company,
focusing on the convergence
between food, pharmaceuticals
and clinical genomics leading
to preventive personalized
medicine. The group provides
innovative solutions for
global challenges in
agriculture &amp; health problems
in the areas of degenerative
conditions, metabolic
disorders and infectious
diseases. The company was
founded in 1998.</t>
  </si>
  <si>
    <t xml:space="preserve">AVESTHAGEN LTD/LIMAGRAIN SA-ATASH SEEDS PVT LTD JOINT VENTURE</t>
  </si>
  <si>
    <t xml:space="preserve">Atash Seeds Pvt Ltd,
headquartered in Hyderabad,
India provides seed
production, development, and
marketing services.</t>
  </si>
  <si>
    <t xml:space="preserve">Avestha Gengraine Technologies Pvt Ltd (Avesthagen) and Societe Cooperative
Agricole Limagrain (Limagrain) formed a joint venture named Atash Seeds
Private Ltd to build a strong agri-biotech business model for field crops
in India.  Avesthagen will hold a 49% stake in the JV while Limagrain will
hold 51%.  Avesthagen will provide its technology to develop, produce and
market seeds nationally and internationally for the JV.  Meanwhile,
Limagrain will contribute its research and marketing expertise.  The JV has
an investment of USD 40 mil from Avesthagen.</t>
  </si>
  <si>
    <t xml:space="preserve">04734F</t>
  </si>
  <si>
    <t xml:space="preserve">53250V
05382Y</t>
  </si>
  <si>
    <t xml:space="preserve">Bio-Organic Catalyst Inc
SIF ICAP Mexico SA de CV</t>
  </si>
  <si>
    <t xml:space="preserve">Mnfr BOCs
Pvd brokerage svcs</t>
  </si>
  <si>
    <t xml:space="preserve">Bio-Organic Catalyst Inc,
located in the United States,
manufactures bio-organic
catalyst compositions (BOCs)
for water and wastewater
purification and treatment
applications. The company was
founded in 2004.
SIF ICAP Mexico SA de CV,
located in Mexico, provides
brokerage services to banks,
pension funds, mutual funds,
corporate treasury departments
and government agencies to
perform their daily
transactions in the
fixed-income, OTC derivatives
and the foreign exchange
markets.</t>
  </si>
  <si>
    <t xml:space="preserve">2819
6211</t>
  </si>
  <si>
    <t xml:space="preserve">International Daleco Corp
BMV</t>
  </si>
  <si>
    <t xml:space="preserve">2899
6231</t>
  </si>
  <si>
    <t xml:space="preserve">BIO-ORGANIC CATALYST INC/SIF ICAP MEXICO SA DE CV-ICAP BIO ORGANIC S A DE
RL DE CV JOINT VENTURE</t>
  </si>
  <si>
    <t xml:space="preserve">ICAP Bio Organic, S de RL de
CV, located in Mexico,
provides bio-organic catalyst
compositions (BOCs)
distribution services.</t>
  </si>
  <si>
    <t xml:space="preserve">Bio-Organic Catalyst Inc and SIF ICAP Mexico S.A. de C.V formed a joint
venture named ICAP Bio Organic, S. de R.L. de C.V to distribute the
patented and proprietary bio-organic catalyst compositions (BOCs) within
Central America, Mexico and Caribbean markets.  It will also develop carbon
reduction and renewable energy credit opportunities.</t>
  </si>
  <si>
    <t xml:space="preserve">47270X</t>
  </si>
  <si>
    <t xml:space="preserve">06332N
78240Q</t>
  </si>
  <si>
    <t xml:space="preserve">Intersil Corp
Georgia Institute of</t>
  </si>
  <si>
    <t xml:space="preserve">Mnfr semiconductors
Pvd educ svcs</t>
  </si>
  <si>
    <t xml:space="preserve">Intersil Corp, based in
Milpitas, California
manufactures high performance
analog semiconductors. The
Company's products are
organized into four end market
categories: high-end consumer,
computing, communications and
industrial products. The
products are then sold in the
United States, China, Taiwan,
Japan, Germany, Singapore,
Thailand, Malaysia, and the
United Kingdom. The Company
was founded in 1999.
Georgia Institute of
Technology, headquartered in
Atlanta, Georgia, provides
educational services mainly on
science and technology. It has
almost 20,000 undergraduate
and graduate students enrolled
in Colleges of Architecture,
Engineering, Sciences,
Computing, Management, and the
Ivan Allen College of Liberal
Arts. The school was founded
in 1885.</t>
  </si>
  <si>
    <t xml:space="preserve">INTERSIL CORP/GEORGIA INSTITUTE OF TECHNOLOGY- STRATEGIC ALLIANCE</t>
  </si>
  <si>
    <t xml:space="preserve">Intersil Corp and Georgia Institute of Technology planned to form a
strategic alliance to research and develop advanced power management
semiconductor technologies. The alliance will also open a new 4,300
square-foot ACE Center on Georgia Institute. The new center will also use a
technique developed at a Georgia Tech-founded company known as
collaborative signal processing that removes performance-limiting
impairments such as signal loss, dispersion, skew and noise. At the Georgia
Electronic Design Center (GEDC), both companies will be developing
high-voltage power management circuits.</t>
  </si>
  <si>
    <t xml:space="preserve">46069S
37322T</t>
  </si>
  <si>
    <t xml:space="preserve">Tianyin Pharmaceutical Co Inc
Sichuan Med-Shine Pharm</t>
  </si>
  <si>
    <t xml:space="preserve">Mnfr,whl pharm
Mnfr,whl pharm</t>
  </si>
  <si>
    <t xml:space="preserve">Tianyin Pharmaceutical Co Inc,
located in Chengdu, China,
manufactures and wholesales
modernized traditional Chinese
medicines and other
pharmaceutical products. It
markets a comprehensive
portfolio of 34 products. The
company was founded in 1994.
Sichuan Med-Shine
Pharmaceutical Co Ltd, located
in China, manufactures and
wholesales pharmaceutical. It
was founded in 1998.</t>
  </si>
  <si>
    <t xml:space="preserve">TIANYIN PHARMACEUTICAL CO INC/SICHUAN JIANGCHUAN PHARMACEUTICAL CO LTD-
JOINT VENTURE</t>
  </si>
  <si>
    <t xml:space="preserve">Sichuan Jiangchuan
Pharmaceutical Co Ltd, located
in China, provides research
and development services. The
company also manufactures and
sells active pharmaceutical
ingredients that are used to
produce macrolide antibiotics.</t>
  </si>
  <si>
    <t xml:space="preserve">Tianyin Pharmaceutical Co Inc and Sichuan Mingxin Pharmaceutical Co Ltd
formed a joint venture named Sichuan Jiangchuan Pharmaceutical Co Ltd to
manage research and development activities, and manufactures and sells
active pharmaceutical ingredients that are used to produce macrolide
antibiotics. Tianyin Pharmaceutical Co Inc held a 77% interest in the JV
while Sichuan Mingxin Pharmaceutical Co Ltd held the remaining 23% stake.</t>
  </si>
  <si>
    <t xml:space="preserve">52583K</t>
  </si>
  <si>
    <t xml:space="preserve">88630M
81509F</t>
  </si>
  <si>
    <t xml:space="preserve">Quintiles Transnational Corp
Eisai Co Ltd</t>
  </si>
  <si>
    <t xml:space="preserve">Biopharmaceutical company
Mnfr,whl pharmaceuticals</t>
  </si>
  <si>
    <t xml:space="preserve">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
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December 06,
1941.</t>
  </si>
  <si>
    <t xml:space="preserve">QUINTILES TRANSNATIONAL CORP/EISAI CO LTD- STRATEGIC ALLIANCE</t>
  </si>
  <si>
    <t xml:space="preserve">Quintiles Transnational Corp and Eisai Co Ltd planned to form a strategic
alliance to develop Eisai?s oncology products from its R&amp;D pipeline.
Quintiles? oncology experts will carry out Phase II proof-of-concept
studies for 11 cancer indications to test the efficacy of the oncology
products for treatment.  Quintiles will take part in funding, design and
conduct of the clinical studies.  The products, eribulin (E7389), E7080,
Ontak? (denileukin diftitox), E7820, E6201 and E705 will remain as Eisai?s
property.</t>
  </si>
  <si>
    <t xml:space="preserve">748767
282579</t>
  </si>
  <si>
    <t xml:space="preserve">G24 Innovations Ltd
CNANE
CIAC
NIBC</t>
  </si>
  <si>
    <t xml:space="preserve">Manufacture solar modules
Pvd research,dvlp svcs
Pvd R&amp;D svcs
Pvd research, dvlp svcs</t>
  </si>
  <si>
    <t xml:space="preserve">G24 Innovations Ltd, located
in Cardiff, UK, manufactures
and designs solar modules and
high value products using our
proprietary DYE SENSITISED
THIN FILM (DSTF) technology.
The company was founded in
1999.
China National Academy of
Nanotechnology &amp; Engineering,
located in Tianjin, China,
provides research and
development services in the
fields of Electronics,
Communications, Biology,
Pharmaceutical, Fine chemical
engineering, and
Micromachinery. It possesses
400 sets of nanotechnology
analysis and testing
equipments. The company was
founded in 2006.
Changchun Institute of Applied
Chemistry{CIAC}, headquartered
in Changchun, China, provides
research and development
services for polymer science,
inorganic chemistry,
analytical chemistry, organic
chemistry, and physical
chemistry. The company was
founded in 1948.
Nanotechnology
Industrialization Base of
China, headquartered in
Tianjin, provides research and
development services. The
company was founded in 2000.</t>
  </si>
  <si>
    <t xml:space="preserve">3674
8731
8731
8731</t>
  </si>
  <si>
    <t xml:space="preserve">United Kingdom
China
China
China</t>
  </si>
  <si>
    <t xml:space="preserve">G24 INNOVATIONS LTD /CNANE/CIAC/NANOTECHNOLOGY INDUSTRIALIZATION BASE OF-
STRATEGIC ALLIANCE</t>
  </si>
  <si>
    <t xml:space="preserve">G24 Innovations Ltd (G24i), China National Academy of Nanotechnology &amp;
Engineering (CNANE), Changchun Institute of Applied Chemistry (CIAC), and
Nanotechnology Industrialization Base of China agreed to form a strategic
alliance to industrialize G24i?s Dye-Sensitive Solar Cells for use in
personal electronics, building and construction, and military and defense.</t>
  </si>
  <si>
    <t xml:space="preserve">
</t>
  </si>
  <si>
    <t xml:space="preserve">36511J
16836K
15939L
62761Z</t>
  </si>
  <si>
    <t xml:space="preserve">AstraZeneca PLC
Quintiles Transnational Corp</t>
  </si>
  <si>
    <t xml:space="preserve">Manufactures, wholesales pharmaceutical products
Biopharmaceutical company</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</si>
  <si>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t>
  </si>
  <si>
    <t xml:space="preserve">ASTRAZENECA PLC/QUINTILES TRANSNATIONAL CORP- STRATEGIC ALLIANCE</t>
  </si>
  <si>
    <t xml:space="preserve">AstraZeneca PLC and Quintiles Transnational Corp planned to form a
strategic alliance to deliver AstraZeneca?s clinical pharmacology studies
across multiple therapy areas and around the world. Quintiles will be
solely responsible for all aspects of AstraZeneca's clinical pharmacology,
including overall clinical conduct and medical oversight of all studies
conducted.</t>
  </si>
  <si>
    <t xml:space="preserve">046353
748767</t>
  </si>
  <si>
    <t xml:space="preserve">Cognizant Technology Solutions
Invensys Rail Ltd</t>
  </si>
  <si>
    <t xml:space="preserve">Pvd info tech,consulting svcs
Mnfr rail signalling sys</t>
  </si>
  <si>
    <t xml:space="preserve">Cognizant Technology
Solutions, based in Chennai,
India, provides information
technology, consulting and
business process outsourcing
(BPO) services to clients in
the banking &amp; financial
services, healthcare,
information, media &amp;
entertainment, insurance,
life sciences, manufacturing
&amp; logistics, retail &amp;
hospitality, technology and
communication industries.
Rabobank, Aetna Inc, CNH,
Kimberly-Clark Corp, Nokia,
AC Nielsen, Autodesk and SAP
Lab are some of the
company's customers which
it services through its
local and regional centers
in about 35 sites. The
company was founded in 1994.
Invensys Rail Ltd, located in
Chippenham, UK, manufactures,
wholesales, and installs
safety-related rail signaling
and control systems, as well
as a complete range of rail
signaling products. The
company was founded in 2001.</t>
  </si>
  <si>
    <t xml:space="preserve">7371
3625</t>
  </si>
  <si>
    <t xml:space="preserve">COGNIZANT/INVENSYS RAIL GROUP - STRATEGIC ALLIANCE</t>
  </si>
  <si>
    <t xml:space="preserve">Cognizant Technology Solutions (CS) and Invensys Rail Group (IR) agreed to
form a 5-year strategic alliance to provide support and assist the R&amp;D
needs IR group companies in UK, Australia, Spain, and the US. CS will
enhance IRs products and help it improve its process to attain operational
efficiency and cost-effectiveness of R&amp;D and time-to-market periods. IRs
products include control systems and communications, interlockings and
protection systems, CBTC and driverless solutions, trackside equipments,
maintenance, and project and system engineering and design.</t>
  </si>
  <si>
    <t xml:space="preserve">19245A
46853X</t>
  </si>
  <si>
    <t xml:space="preserve">General Electric Co
Shenhua Group Corp Ltd</t>
  </si>
  <si>
    <t xml:space="preserve">Manufacture,wholesale power generation equipment
Coal mining company</t>
  </si>
  <si>
    <t xml:space="preserve">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
Shenhua Group Corp Ltd is a
bituminous coal mine
operator. The Company was
founded in October 1995 and
is located in Beijing,
China.</t>
  </si>
  <si>
    <t xml:space="preserve">3612
1221</t>
  </si>
  <si>
    <t xml:space="preserve">GENERAL ELECTRIC CO{GE}/SHENHUA GROUP CORP LTD- JOINT VENTURE</t>
  </si>
  <si>
    <t xml:space="preserve">General Electric Co {GE} and Shenhua Group Corp Ltd (SG) formed a 50:50
joint venture to develop clean coal technology and improve cost and
performance of integrated gasification combined cycle plants in China. The
JV was subject to approval from China's Ministry of Commerce.</t>
  </si>
  <si>
    <t xml:space="preserve">369604
82304M</t>
  </si>
  <si>
    <t xml:space="preserve">Spectrum Pharmaceuticals Inc
Handok Pharmaceuticals Co Ltd</t>
  </si>
  <si>
    <t xml:space="preserve">Spectrum Pharmaceuticals
Inc, based in Henderson,
Nevada, is a
biopharmaceutical company.
It is engaged in acquiring,
developing and
commercializing a portfolio
of oncology and other drug
candidates. The Company was
founded in December 1987.
Handok Pharmaceuticals Co Ltd,
headquartered in Seoul, South
Korea, is a company engaged in
the manufacture and marketing
of pharmaceuticals. The
company's products include
Amaryl for diabetes; Tritace
for hypertension, myocardial
infarction, heart failure and
other cardiovascular diseases;
Teveten and Triapin for
essential hypertension; Festal
for dyspepsia; Munobal for
hypertension and stenocardia;
Ketas for disturbance of
cerebral circulation; Lasix
for hypertension and edema,
and remedies for skin. It also
provides over-the-counter
(OTC) pharmaceuticals, as well
as medical devices, diagnostic
reagents and vaccines. The
company was founded in 1954.</t>
  </si>
  <si>
    <t xml:space="preserve">SPECTRUM PHARMACEUTICALS INC/HAN DOK PHARMACEUTICALS LTD- STRATEGIC
ALLIANCE</t>
  </si>
  <si>
    <t xml:space="preserve">Spectrum Pharmaceuticals Inc and HANDOK Pharmaceuticals Co Ltd planned to
form a strategic alliance to develop and commercialize apaziquone in South
Korea. Apaziquone is an antineoplastic agent being investigated for the
treatment of non-muscle invasive bladder cancer by intravesical
instillation. Under terms of agreement, HANDOK will pay Spectrum an upfront
payment and potential milestone payments at USD 19 mil. HANDOK will carry
out the clinical trials and be responsible for expenses in the development
and commercialization of the product. Spectrum will conduct the two Phase
III clinical trials to investigate the safety and efficacy of the product.</t>
  </si>
  <si>
    <t xml:space="preserve">84763A
41140L</t>
  </si>
  <si>
    <t xml:space="preserve">Bayer CropScience AG
GVK Biosciences Pvt Ltd</t>
  </si>
  <si>
    <t xml:space="preserve">Mnfr,whl agricultural chemical
Pvd contract research svcs</t>
  </si>
  <si>
    <t xml:space="preserve">Bayer CropScience AG, located
in Monheim Am Rhein, Germany,
manufactures and wholesales
agricultural chemicals
specializing in crop
protection, non agricultural
pest-control, seeds and plant
biotechnology. It operates
through its four regional crop
protection units and two units
responsible for Environmental
Science and BioScience that
offers a range of products and
extensive service backup for
modern, sustainable
agriculture as well as for
non-agricultural applications.
The company was founded in
2002.
GVK Biosciences Pvt Ltd,
located in Hyderabad, India,
provides contract research
services to a growing global
base of pharmaceutical and
biotechnology companies. Its
main services include
informatics, chemistry,
clinical pharmacology,
process R&amp;D, clinical
research, and biology,
servicing 15 of the top 20
global Big Pharma companies.
The company was founded in
2001.</t>
  </si>
  <si>
    <t xml:space="preserve">Bayer AG
GVK Group Ltd</t>
  </si>
  <si>
    <t xml:space="preserve">2899
1541</t>
  </si>
  <si>
    <t xml:space="preserve">BAYER CROPSCIENCE AG/GVK BIOSCIENCES PVT LTD- STRATEGIC ALLIANCE</t>
  </si>
  <si>
    <t xml:space="preserve">Bayer CropScience AG and GVK Biosciences Pvt Ltd planned to form a
strategic alliance to develop active ingredients for crop protection
products. Under terms of the agreement, Bayer CropScience will integrate
GVK BIO capacities in its Discovery chemistry process. The partners will
advance the search for promising active ingredients for innovative crop
protection products.</t>
  </si>
  <si>
    <t xml:space="preserve">07286L
36068C</t>
  </si>
  <si>
    <t xml:space="preserve">Environmental Clean Tech Ltd
Great Energy Alliance Corp Pty</t>
  </si>
  <si>
    <t xml:space="preserve">Pvd envi solution svcs
Own,op,electric stations</t>
  </si>
  <si>
    <t xml:space="preserve">Environmental Clean
Technologies Ltd is an
environmental solution
services provider,
headquartered in Melbourne,
Victoria, Australia. It is
engaged in the research,
development, and
commercialization of Coldry
process, which is the
dewatering of brown coal and
Matmor process, which is the
production of clean and low
carbon steel. The
subsidiaries of ECT are Asia
Pacific Coal and Steel Pty
Ltd, Enermode Pty Ltd,
Coldry Unit Trust, ECT
Coldry Pty Ltd and
Maddingley Coldry Pty Ltd.
The Company was founded in
1919.
Great Energy Alliance
Corporation Pty Ltd, located
in Traralgon, Victoria in
Australia, owns and operates
electricity generating
stations. These include the
Loy Yang Power coal-fired
electricity generating station
and Loy Yang brown coal open
cut mine. The company operates
within the brown coal mining,
electricity generation, and
electricity distribution
industries in Australia.</t>
  </si>
  <si>
    <t xml:space="preserve">9511
4911</t>
  </si>
  <si>
    <t xml:space="preserve">Rofin Australia Pty Ltd
Great Energy Alliance Corp Pty</t>
  </si>
  <si>
    <t xml:space="preserve">3827
4911</t>
  </si>
  <si>
    <t xml:space="preserve">ENVIRONMENTAL CLEAN TECHNOLOGIES LTD/GREAT ENERGY ALLIANCE CORP- STRATEGIC
ALLIANCE</t>
  </si>
  <si>
    <t xml:space="preserve">Environmental Clean Technologies Ltd and Great Energy Alliance Corp Pty Ltd
planned to form a strategic alliance to participate in the feasibility
study for ESI's first scaled-up Coldry production facility at GEAC's Loy
Yang Power facility. It would provide the supply of brown coal from the Loy
Yang mine for the project to produce high-energy Black Coal Equivalent
pellets for export.</t>
  </si>
  <si>
    <t xml:space="preserve">29577W
39013N</t>
  </si>
  <si>
    <t xml:space="preserve">Sinovac Biotech Ltd
Dalian Jin Gang Group</t>
  </si>
  <si>
    <t xml:space="preserve">Pharmaceutical Preparation Manufacturing
Mnfr vaccines</t>
  </si>
  <si>
    <t xml:space="preserve">Sinovac Biotech Ltd is a
manufacturer of
pharmaceutical preparation.
The Company is a
biopharmaceutical company
that focuses on the
research, development,
manufacture and
commercialization of
vaccines that protect
against human infectious
diseases. Sinovac's
commercialized vaccines
include Healive, Bilive,
Anflu, Panflu and PANFLU.1.
The Company was founded in
March 1999 and is located in
Beijing, China.
Dalian Jin Gang Group,
headquartered in China,
manufactures vaccines.</t>
  </si>
  <si>
    <t xml:space="preserve">SINOVAC BIOTECH LTD/DALIAN JIN GANG GROUP-SINOVAC (DALIAN) VACCINE
TECHNOLOGY CO LTD JOINT VENTURE</t>
  </si>
  <si>
    <t xml:space="preserve">Sinovac (Dalian) Vaccine
Technology Co Ltd,
headquartered in Liaoning,
China, manufacutures,
develops, and wholesales
vaccines for rabies, mumps,
varicella and rubella.</t>
  </si>
  <si>
    <t xml:space="preserve">Sinovac Biotech Ltd and Dalian Jin Gang Group agreed to form a joint
venture named Sinovac (Dalian) Vaccine Technology Co Ltd to provide
research, development, production and commercialization of human-use
vaccines. Sinovac Biotech Ltd is to hold a 30% stake in the JV while Dalian
Jin Gang will hold the remaining 70% stake. Sinovac Biotech will provide an
initial cash of CNY 60 mil (USD 8.8 mil) while Dalian Jin Gang will
contribute assets valued at CNY 140 mil (USD 20.49 mil) including land use
rights, manufacturing facilities, and production lines. Under terms of the
agreement, Sinovac may increase its stake to 55% for a cash contribution of
CNY 50 mil (USD 7.5 mil).</t>
  </si>
  <si>
    <t xml:space="preserve">81503H</t>
  </si>
  <si>
    <t xml:space="preserve">83002V
23097C</t>
  </si>
  <si>
    <t xml:space="preserve">Circadian Technologies Ltd
CSIRO</t>
  </si>
  <si>
    <t xml:space="preserve">Manufacture biologics drugs
Research and Development in The Physical, Engineering and Lifesciences (Except Biotechnology)</t>
  </si>
  <si>
    <t xml:space="preserve">Circadian Technologies Ltd,
headquartered in Toorak,
Victoria, manufactures
biologics drugs for cancer
treatment. It provides
management and funding
services for pharmaceutical
research and development
projects for Australian and
New Zealand universities to
the stage where it seeks
collaborative and/or licensing
arrangements with
international pharmaceutical
companies. It undertakes
programs in neurosciences and
cancer which includes
development of new
technologies with applications
in cancer vaccines and peptide
therapeutics. The company also
invests in Australian
technology.
Commonwealth Scientific &amp;
Industrial Research
Organization is a provides
research and development
services for the
agribusiness, energy and
transport, natural
resources, health,
communication, manufacturing
and mineral resources
industries. The Company was
founded in 1949 and is
located in Canberra,
Australia.</t>
  </si>
  <si>
    <t xml:space="preserve">CIRCADIAN TECHNOLOGIES LTD/COMMONWEALTH SCIENTIFIC &amp; INDUSTRIAL RESEARCH
ORGANIZATION- STRATEGIC ALLIANCE</t>
  </si>
  <si>
    <t xml:space="preserve">Circadian Technologies Ltd (CL) and CSIRO formed a strategic alliance to
provide research and development services for cancer treatment using CLs
VEGF (Vascular Endothelial Growth Factor)-based technology. CL will provide
funding and technology while CSIRO will provide the alliance with access to
its infrastructure and internal expertise.</t>
  </si>
  <si>
    <t xml:space="preserve">17253R
20327N</t>
  </si>
  <si>
    <t xml:space="preserve">Tranzyme Inc
Bristol-Myers Squibb Co</t>
  </si>
  <si>
    <t xml:space="preserve">Manufacture pharmaceuticals
Manufactures pharmaceuticals and medical products</t>
  </si>
  <si>
    <t xml:space="preserve">Tranzyme Inc, located in
Durham, North Carolina,
manufactures
pharmaceuticals. The company
is a clinical-stage
biopharmaceutical company
focused on discovering,
developing and
commercializing novel,
first-in-class small
molecule rapeutics for the
treatment of acute
(hospital-based) and chronic
gastrointestinal, or GI,
motility disorders. The
company was founded in 1998.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</si>
  <si>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TRANZYME PHARMA INC/BRISTOL-MYERS SQUIBB CO-STRATEGIC ALLIANCE</t>
  </si>
  <si>
    <t xml:space="preserve">Tranzyme Pharma Inc (Tranzyme) and Bristol-Myers Squibb Co (Bristol-Myers)
formed a strategic alliance to discover, develop and commercialize novel
macrocyclic compounds. The alliance will aslo see the deployment of
Tranzymes proprietary drug discovery technology, Macrocyclic Template
Chemistry (MATCH(TM)), to identify and develop new drug candidates for
multiple targets in diverse therapeutic areas. Tranzyme is entitled to
receive USD 10 mil upfront payment and USD 3 to USD 6 mil research funding
from Bristol-Myers. Tranzyme is also eligible to receive up to USD 80 mil
development and regulatory milestones and tiered royalties for each
product.</t>
  </si>
  <si>
    <t xml:space="preserve">Tranzyme is entitled to receive USD 10 mil upfront payment and USD 3 to USD
6 mil research funding from Bristol-Myers. Tranzyme is also eligible to
receive up to USD 80 mil development and regulatory milestones and tiered
royalties for each product.</t>
  </si>
  <si>
    <t xml:space="preserve">89413J
110122</t>
  </si>
  <si>
    <t xml:space="preserve">Sygnature Discovery Ltd
Cyprotex PLC</t>
  </si>
  <si>
    <t xml:space="preserve">Research and Development in Biotechnology
Database information provider</t>
  </si>
  <si>
    <t xml:space="preserve">Sygnature Discovery Ltd is a
provider of biotechnology
research and development
services. The Company
integrated drug discovery
services. The Company's
services include Arrays and
libraries, Fragment-based
drug discovery: fragment
library and NMR screening,
Process and scale-up
chemistry, Bioscience (in
vitro biology and screening)
and ADME/Tox in the field of
Medicinal chemistry and
Computational chemistry. The
Company was founded in 2004
and is located in
Nottingham, the United
Kingdom.
Cyprotex PLC, based in United
Kingdom, is a database
information provider. The
Company, through its
subsidiary, is engaged in
providing in vitro and in
silico Absorption,
Distribution, Metabolism,
Excretion,
Toxicity/Pharmacokinetic
(ADMET/PK) information to the
pharmaceutical industry.
Cyprotex combines in vitro
ADME screening (Cloe Screen)
with pharmacokinetics
prediction systems (Cloe
Predict) to offer an
integrated suite of ADME
services to pharmaceutical and
biotechnology companies
worldwide. The Company intends
to launch Cloe product. Its
range of services is offered
under the Cloe
(Cyprotex-Lead-Optimisation-E
ngine) title and includes Cloe
Screen, Cloe Predict and Cloe
Select. Cloe Select provides a
portfolio of bespoke ADME
services, which can be
customized to the individual
clients drug discovery and
development requirements.</t>
  </si>
  <si>
    <t xml:space="preserve">SYGNATURE DISCOVERY LTD/CYPROTEX PLC-STRATEGIC ALLIANCE</t>
  </si>
  <si>
    <t xml:space="preserve">Sygnature Discovery Ltd (SD) and Cyprotex PLC (CP0 formed a strategic
alliance to provide drug discovery services to the pharmaceutical industry.
Under the alliance SD and CP will provide fully-integrated discovery
chemistry/DMPK and ADME/Toxicology services to help their clients' drug
discovery activities.</t>
  </si>
  <si>
    <t xml:space="preserve">86332J
G2611N</t>
  </si>
  <si>
    <t xml:space="preserve">Beijing Jiaoda Microunion Tech
ABB (China) Ltd</t>
  </si>
  <si>
    <t xml:space="preserve">Mnfr,whl railway commun equip
Power, Distribution, and Specialty Transformer Manufacturing</t>
  </si>
  <si>
    <t xml:space="preserve">Beijing Jiaoda Microunion
Technology Co Ltd, located in
Beijing, China, manufactures
and wholesales railway
communication equipments. Its
products include computer
interlocking systems, computer
supervision systems, and
subway ATS systems, applied in
railway, urban mass transit,
and coal and mine fields. It
also provides railway station
computerized interlocking
software, and systems
integration services. The
company was founded in 2000.
ABB (China) Ltd is a
manufacturer of power,
distribution, and specialty
transformers. The Company
was founded in August 1995
and is located in Beijing,
China.</t>
  </si>
  <si>
    <t xml:space="preserve">3669
3612</t>
  </si>
  <si>
    <t xml:space="preserve">Jiaxing Xinrui Jiuding Invest
ABB Ltd</t>
  </si>
  <si>
    <t xml:space="preserve">China
Switzerland</t>
  </si>
  <si>
    <t xml:space="preserve">6799
3613</t>
  </si>
  <si>
    <t xml:space="preserve">BEIJING JIAODA MICROUNION/ABB(CHINA)LTD-ABB MICROUNION JOINT VENTURE</t>
  </si>
  <si>
    <t xml:space="preserve">ABB Microunion Traction
Equipment Ltd is a
manufacturer of motors and
generators. The Company was
founded in July 2010 and is
located in Guangzhou, China.</t>
  </si>
  <si>
    <t xml:space="preserve">Beijing Jiaoda Microunion Technology Co Ltd and ABB (China) Ltd agreed to
form a joint venture named ABB Microunion Traction Equipment Ltd to provide
research and development, design, manufacture, sales, import/export
services for traction motors, converters, auxiliary converters and related
spare parts. The JV will also provide technical and after-sales services in
China. The partners were to each hold a 50% interest in JV. The JV is to
have a registered capital of HKD 46.8 mil (USD 6 mil) wherein each partner
will contribute an equal value of HKD 23.4 mil.</t>
  </si>
  <si>
    <t xml:space="preserve">The JV is to have a registered capital of HKD 46.8 mil (USD 6 mil) wherein
each partner will contribute an equal value of HKD 23.4 mil</t>
  </si>
  <si>
    <t xml:space="preserve">98201W</t>
  </si>
  <si>
    <t xml:space="preserve">07676Q
00640F</t>
  </si>
  <si>
    <t xml:space="preserve">Rib-X Pharmaceuticals Inc
Massachusetts General Hospital</t>
  </si>
  <si>
    <t xml:space="preserve">Mnfr antibiotics
Own,operate hospital</t>
  </si>
  <si>
    <t xml:space="preserve">Rib-X Pharmaceuticals Inc,
headquartered in New Haven,
Connecticut, manufactures
novel classes of
antibiotics. It also
provides small molecule drug
discovery services. The
company was founded in 2000.
Massachusetts General
Hospital, headquartered in
the Boston, Massachusetts,
owns and operates a
hospital. It also provides
research and clinical
trials. It is a teaching
hospital of Harvard Medical
School. The Company was
found in 1811.</t>
  </si>
  <si>
    <t xml:space="preserve">CT
MA</t>
  </si>
  <si>
    <t xml:space="preserve">RIB-X PHARMACEUTICALS INC/MASSACHUSETTS GENERAL HOSPITAL- STRATEGIC
ALLIANCE</t>
  </si>
  <si>
    <t xml:space="preserve">Rib-X Pharmaceuticals (RP) and Massachusetts General Hospital (MG) agreed
to form a strategic alliance to provide research and development services
for RPs novel antibiotic, fluoroquinolone, delafloxacin. The antibiotic,
delafloxacin, will be tested against microorganisms such as
methicillin-resistant Staphylococcus aureus, which is an infection-causing
bacterium. The alliance will provide clinical trials to demonstrate the
effectiveness of the drug.</t>
  </si>
  <si>
    <t xml:space="preserve">76296F
57566A</t>
  </si>
  <si>
    <t xml:space="preserve">Helsinn Healthcare SA
IS Pharma PLC</t>
  </si>
  <si>
    <t xml:space="preserve">Pharmaceutical company
Mnfr,whl pharmaceutical prod</t>
  </si>
  <si>
    <t xml:space="preserve">Helsinn Healthcare SA,
headquartered in Lugano,
Switzerland, is a
pharmaceutical company whose
business model is focused on
licensing of pharmaceutical
compounds for therapeutic
areas such as cancer
supportive care, oncology,
pain and inflammation,
gastrointestinal and niche
areas. Its business strategy
is to in-license early-stage
new chemical entities and
completes their development
from the performance of
pre-clinical/clinical
studies and CMC development
to the attainment of market
approvals in strategic
markets. Its products are
eventually out-licensed to
its worldwide consolidated
network of partners for
distribution. The Company
was founded in 1983.
IS Pharma PLC, located in
Chester, UK, manufactures and
wholesales pharmaceuticals and
healthcare products focused in
the areas of critical care,
neurology and oncology. The
company also provides research
and development services of
commerciasl healthcare
products using novel
technologies, products include
OptiFlo, Volplex and Tendagel.</t>
  </si>
  <si>
    <t xml:space="preserve">HELSINN HEALTHCARE SA/IS PHARMA(DNU)- STRATEGIC ALLIANCE</t>
  </si>
  <si>
    <t xml:space="preserve">Helsinn Healthcare SA and IS Pharma PLC formed a strategic alliance to
focus on products for supportive care of cancer patients.</t>
  </si>
  <si>
    <t xml:space="preserve">42344N
46819P</t>
  </si>
  <si>
    <t xml:space="preserve">UOP LLC
Masdar Institute of Science
Boeing Co
Etihad Airways PJSC</t>
  </si>
  <si>
    <t xml:space="preserve">Mnfr,whl molecular sieves
PVd science educ svcs
Manufacture jetliners,aircraft
Scheduled Passenger Air Transportation</t>
  </si>
  <si>
    <t xml:space="preserve">UOP LLC, located in Des
Plaines, Illinois,
manufactures and sells
molecular sieves and alumina
adsorbents, process
technologies, catalysts and
gasoline production
technologies for the renewable
energy and refining industry,
production equipment for the
manufacture of aromatics,
normal paraffin and linear
alkylbenzene, light olefins
and for gas processing. The
company was founded in 1914.
Masdar Institute of Science
and Technology, located in Abu
Dhabi, UAE, provides science
and engineering educational
services with a focus on
advanced energy and
sustainable technologies. It
is a private, non-profit,
independent, research
driven-institute that offers
Masters and PhD programs,
fellowships, and scholarships
to local and international
students.
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
Etihad Airways PJSC provides
passenger airline services.
The Company has a fleet of
66 aircraft that offers
flights to 55 destinations
in the Middle East, Europe,
North America, Africa, Asia
and Australia. The Company
was founded in July 2003 and
is located in Abu Dhabi, the
United Arab Emirates.</t>
  </si>
  <si>
    <t xml:space="preserve">3823
8222
3721
4512</t>
  </si>
  <si>
    <t xml:space="preserve">United States
Utd Arab Em
United States
Utd Arab Em</t>
  </si>
  <si>
    <t xml:space="preserve">IL
FF
IL
FF</t>
  </si>
  <si>
    <t xml:space="preserve">Honeywell International Inc
Masdar Institute of Science
Boeing Co
Etihad Airways PJSC</t>
  </si>
  <si>
    <t xml:space="preserve">3812
8222
3721
4512</t>
  </si>
  <si>
    <t xml:space="preserve">UOP LLC/MASDAR INSTITUTE OF SCIENCE AND TECHNOLO/BOEING CO/ETIHAD AIRWAYS-
JOINT VENTURE</t>
  </si>
  <si>
    <t xml:space="preserve">UOP LLC (UL), Masdar Institute of Science and Technology (MI), Boeing Co
(BC), and Etihad Airways (EA) agreed to form a joint venture to put up a
research institute named Sustainable Bioenergy Research Project in Abu
Dhabi that will provide research and development services for sustainable
energy solutions. The institute will use integrated saltwater agricultural
systems to support the development and commercialization of biofuel sources
for aviation and co-products. MI will lead the institutes operations.</t>
  </si>
  <si>
    <t xml:space="preserve">25.00
25.00
25.00
25.00</t>
  </si>
  <si>
    <t xml:space="preserve">90317X
57738V
097023
27013T</t>
  </si>
  <si>
    <t xml:space="preserve">GenVec Inc
Novartis AG</t>
  </si>
  <si>
    <t xml:space="preserve">GenVec Inc, located in
Gaithersburg, Maryland, is a
biopharmaceutical company that
develops therapeutic drugs and
vaccines. The company was
founded in 1992.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</si>
  <si>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GENVEC INC/NOVARTIS AG-STRATEGIC ALLIANCE</t>
  </si>
  <si>
    <t xml:space="preserve">GenVec Inc (GI) and Novartis AG (NA) formed a strategic alliance for the
research and development of novel treatments for hearing loss and balance
disorders. NA was granted license to develop and commercialize GI's
preclinical hearing loss and balance disorders program. Under the
agreement, GI may receive USD 213.6 mil in milestone and upfront payments.</t>
  </si>
  <si>
    <t xml:space="preserve">GI may receive USD 213.6 mil in milestone and upfront payments.</t>
  </si>
  <si>
    <t xml:space="preserve">37246C
66987V</t>
  </si>
  <si>
    <t xml:space="preserve">Arla Foods AmbA
Danisco A/S</t>
  </si>
  <si>
    <t xml:space="preserve">Produce,wholesale dairy products
Mnfr ingredients,sweeteners</t>
  </si>
  <si>
    <t xml:space="preserve">Arla Foods AmbA, located in
Viby, Denmark, produces and
wholesales dairy products
including milk, cheese,
butter and preserved milk
products. The firm has
operations in the UK,
Sweden, Germany, Denmark,
Argentina, China, USA,
Brazil and Canada. The
company was founded in 2000.
Danisco AS, located in
Copenhagen, Denmark,
manufactures ingredients and
sweeteners. Its product
range includes feed
ingredients, sweeteners and
sugar including emulsifiers,
stabilizers, flavorings,
antioxidants, enzymes and
technical enzymes, probiotic
cultures such as
acidophilus, bifidobacteria
and casei and flavors for
coffee and snack products.
The company was founded in
1989.</t>
  </si>
  <si>
    <t xml:space="preserve">2026
2099</t>
  </si>
  <si>
    <t xml:space="preserve">ARLA FOODS AMBA/DANISCO A/S - STRATEGIC ALLIANCE</t>
  </si>
  <si>
    <t xml:space="preserve">Arla Foods AmbA and Danisco A/S formed a strategic alliance to provide
research and development to produce oligo-saccharides, an ingredient found
in breast milk to protect infants from infections and diarrhea.</t>
  </si>
  <si>
    <t xml:space="preserve">04133Y
23627M</t>
  </si>
  <si>
    <t xml:space="preserve">Morningside Asia Venture (HK)
Can-Fite Biopharma Ltd</t>
  </si>
  <si>
    <t xml:space="preserve">Invest Co
Mnfr diagnostic pharmaceutical</t>
  </si>
  <si>
    <t xml:space="preserve">Morningside Asia Venture (HK)
Ltd, located in Hong Kong, is
an investment company.
Can-Fite Biopharma Ltd,
located in Petah-Tikva,
Israel, manufactures
diagnostic pharmaceuticals
including in-vitro and invivo
substances, intended for final
consumption. Its products
include dry eye syndrome,
glaucoma, and uveitis. It was
founded in 2001.</t>
  </si>
  <si>
    <t xml:space="preserve">6799
2835</t>
  </si>
  <si>
    <t xml:space="preserve">Hong Kong
Israel</t>
  </si>
  <si>
    <t xml:space="preserve">MORNINGSIDE ASIA VENTURE (HK) LTD/CANFITE BIOPHARMA- JOINT VENTURE</t>
  </si>
  <si>
    <t xml:space="preserve">Can-Fite BioPharma (CB) and Morningside Asia Venture (HK) Ltd (MA) signed a
Memorandum of Understanding {MoU} to form a joint venture wherein CB will
exclusively license the JV to its CF102 drug for development and
commercialization in China, Hong Kong, Macau and Taiwan. The drug targets
inflammatory and tumor cells. MA will provide funding of USD 7.5 mil (HKD
58.22 mil/ILS 27.65 mil) for pre-clinical and clinical development plans
until completion of phase II for the drug. CB will also have access to
clinical and pre-clinical data to be generated by JV and will have the
right to use it for regulatory purposes in other countries.</t>
  </si>
  <si>
    <t xml:space="preserve">Morningside Asia Venture will provide funding of USD 7.5 mil (HKD 58.22
mil/ILS 27.65 mil) for pre-clinical and clinical development plans until
completion of phase II for the drug</t>
  </si>
  <si>
    <t xml:space="preserve">61726N
13471N</t>
  </si>
  <si>
    <t xml:space="preserve">Halozyme Therapeutics Inc
BioAtla LLC</t>
  </si>
  <si>
    <t xml:space="preserve">Biotechnology company
Mnfr protein therapeutics</t>
  </si>
  <si>
    <t xml:space="preserve">Halozyme Therapeutics Inc,
located in San Diego,
California, is a
biotechnology company for
the development and
commercialization of
recombiant human enzymes for
the infertility,
ophthalmology and oncology
communities. The company was
founded in 1998.
BioAtla LLC, headquartered in
San Diego, California,
manufactures protein
therapeutics. It provides
technologies to improve
antibodies, enzymes and other
macromolecules.</t>
  </si>
  <si>
    <t xml:space="preserve">HALOZYME THERAPEUTICS INC/BIOATLA LLC- STRATEGIC ALLIANCE</t>
  </si>
  <si>
    <t xml:space="preserve">Halozyme Therapeutics Inc and BioAtla LLC formed a strategic alliance to
Produce and develop novel CABs (conditionally active biologics) to target
diseases related to oncology, aesthetic dermatology and inflammation.</t>
  </si>
  <si>
    <t xml:space="preserve">40637H
09274J</t>
  </si>
  <si>
    <t xml:space="preserve">Digital China Software Ltd
Octopus China Investments Ltd</t>
  </si>
  <si>
    <t xml:space="preserve">Dvlp software
Investment company</t>
  </si>
  <si>
    <t xml:space="preserve">Digital China Software Ltd is
a software development
company, located in China. It
was founded in 2002.
Octopus China Investments Ltd,
located in China, is an
investment company for
Chinese-related projects.</t>
  </si>
  <si>
    <t xml:space="preserve">7372
6799</t>
  </si>
  <si>
    <t xml:space="preserve">Digital China Holdings Ltd
Octopus Holdings Ltd</t>
  </si>
  <si>
    <t xml:space="preserve">7378
4212</t>
  </si>
  <si>
    <t xml:space="preserve">DIGITAL CHINA SOFTWARE LTD/OCTOPUS CHINA INVESTMENTS LTD- JOINT VENTURE</t>
  </si>
  <si>
    <t xml:space="preserve">Digital China Software Ltd (DC), a unit of Digital China Holdings Ltd, and
Octopus China Investments Ltd (OC), a unit of Octopus Holdings Ltd, agreed
to form a joint venture to provide research and development services for
the service systems of banks, and card issuers, as well as to provide
technical support, contracting and other ancillary services in China. DC
was to hold a 51% stake in the JV while BS was to hold the remaining 49%.
The JV was to have a total investment of USD 17.58 mil (CNY 120 mil)
wherein USD 10.26 mil (CNY 70 mil) is provided as registered capital and
USD 7.32 mil (CNY 50 mil) will come from bank loans or shareholder loans.</t>
  </si>
  <si>
    <t xml:space="preserve">The joint venture was to have a total investment of USD 17.58 mil (CNY 120
mil) wherein USD 10.26 mil (CNY 70 mil) is provided as registered capital
and USD 7.32 mil (CNY 50 mil) will come from bank loans or shareholder
loans</t>
  </si>
  <si>
    <t xml:space="preserve">25352P
67585Y</t>
  </si>
  <si>
    <t xml:space="preserve">ETI Tech Corp Bhd
SIRIM Bhd</t>
  </si>
  <si>
    <t xml:space="preserve">Mnfr storage batteries
Provide technical services</t>
  </si>
  <si>
    <t xml:space="preserve">ETI Tech Corp Bhd, located
in Kulim, Malaysia,
manufacture storage
batteries. It is also an
investment holding company.
The company was founded in
2002.
SIRIM Berhad, located in
Malaysia, provides technical
services for knowledge based
and high technology
industries. It provides
institutional and technical
infrastructure for the
Malaysian government. The
company was founded in 1995.</t>
  </si>
  <si>
    <t xml:space="preserve">3691
8734</t>
  </si>
  <si>
    <t xml:space="preserve">ETI TECH CORP BHD/SIRIM BHD- STRATEGIC ALLIANCE</t>
  </si>
  <si>
    <t xml:space="preserve">ETI Tech Corp Bhd and Sirim Bhd formed a strategic alliance to develop
testing technology and safety approval standards for medium-to-high power
lithium-based batteries for solar and electric vehicles.</t>
  </si>
  <si>
    <t xml:space="preserve">Automotive Services
Research &amp; Development Services</t>
  </si>
  <si>
    <t xml:space="preserve">27045J
85353L</t>
  </si>
  <si>
    <t xml:space="preserve">Metso Oyj
Kemira Oyj</t>
  </si>
  <si>
    <t xml:space="preserve">Mnfr,whl process industry mach
Manufacture,whl chemical products</t>
  </si>
  <si>
    <t xml:space="preserve">Metso Oyj, located in
Helsinki, Finland,
manufactures and wholesales
process industry machinery.
It offers solutions and
serves customers in the pulp
and paper industry, rocks
and minerals processing,
power generation and other
selected industrial sectors.
Its three business areas
are: Metso Paper, Metso
Minerals and Metso
Automation. The Company's
operations are located in
Sweden, France, Germany, UK,
Canada, US, China, India,
and South Africa. It was
founded in 1942.
Kemira Oyj, located in
Helsinki, Finland,
manufactures and wholesales
chemical products. The Company
provides chemical products for
the water-intensive pulp and
paper industry, for municipal
and industrial-based water
treatment, for the oil and
mining industries, and for the
food, feed, pharmaceutical and
chemical industries. It also
offers water quality and
quantity management. The
Company was founded in 1920.
founded in 1920.</t>
  </si>
  <si>
    <t xml:space="preserve">3589
2899</t>
  </si>
  <si>
    <t xml:space="preserve">Finland
Finland</t>
  </si>
  <si>
    <t xml:space="preserve">METSO OYJ/KEMIRA OYJ- STRATEGIC ALLIANCE</t>
  </si>
  <si>
    <t xml:space="preserve">Metso Oyj and Kemira Oyj formed a strategic alliance to provide research
and development services for chemical management of Metso Oyj's pilot paper
machines</t>
  </si>
  <si>
    <t xml:space="preserve">592671
X44073</t>
  </si>
  <si>
    <t xml:space="preserve">AstraZeneca PLC
Cancer Research Technology Ltd</t>
  </si>
  <si>
    <t xml:space="preserve">Manufactures, wholesales pharmaceutical products
Pvd research,dvlp svcs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</si>
  <si>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Provide research and
development services for the
benefit of cancer patients</t>
  </si>
  <si>
    <t xml:space="preserve">AstraZeneca PLC
Cancer Research UK</t>
  </si>
  <si>
    <t xml:space="preserve">ASTRAZENECA PLC/CANCER RESEARCH TECHNOLOGY- STRATEGIC ALLIANCE</t>
  </si>
  <si>
    <t xml:space="preserve">AstraZeneca PLC(Astrazeneca) and Cancer Research Technology (CRT) formed a
strategic alliance to develop new anti-cancer drugs. Under the terms of the
agreement, the alliance will last for 3 years. In March 2013, Astrazeneca
and CRT agreed to extend the alliance for another two years.</t>
  </si>
  <si>
    <t xml:space="preserve">046353
13737V</t>
  </si>
  <si>
    <t xml:space="preserve">3SBio Inc
Jiangsu Ascentage Biomed Dvlp</t>
  </si>
  <si>
    <t xml:space="preserve">Mnfr,dvlp pharm
Manufacture pharmaceuticals</t>
  </si>
  <si>
    <t xml:space="preserve">3SBio Inc, located in
Shenyang, China,
biopharmaceutical company
engaged in
research/development,
manufacture and
marketing/sales of
biopharmaceutical products
in China. The Company
develops recombinant, or
genetically engineered,
protein-based products and
product candidates designed
to address large markets
with significant unmet
medical needs in nephrology,
oncology, supportive cancer
care, inflammation and
infectious disease. Its
principal products are
EPIAO, TPIAO, INTEFEN and
INLEUSIN. Founded in 1993.
Jiangsu Ascentage Biomed
Development Inc is a
manufacturer and wholesaler of
pharmaceutical preparation.
The Company is located in
Taizhou, China.</t>
  </si>
  <si>
    <t xml:space="preserve">3SBIO INC/ASCENTAGE PHARMA GROUP CORP LTD-STRATEGIC ALLIANCE</t>
  </si>
  <si>
    <t xml:space="preserve">3SBio Inc (3SBio) and Ascentage Pharma Group Corp Ltd (Ascentage Pharma)
formed a strategic alliance for the research, development and
commercialization of targeted cancer therapeutics focusing on programmed
cell death, or apoptosis. 3SBio will invest USD 3 mil in Ascentage Pharma
which will be used to fund Ascentage Pharma's research and development
programs. The alliance will integrate Ascentage Pharma's expertise in
structure-based small molecule design, lead optimization and preclinical
development with 3SBio's drug development and commercialization
capabilities. 3SBio will have the exclusive right to develop and
commercialize cancer therapeutics in China that are discovered through
Ascentage Pharma programs, while Ascentage Pharma will retain the rights to
the rest of the world and receive future milestone and royalty payments
from any sales by 3SBio in China.</t>
  </si>
  <si>
    <t xml:space="preserve">3SBio will invest USD 3 mil in Ascentage Pharma</t>
  </si>
  <si>
    <t xml:space="preserve">88575Y
2A5439</t>
  </si>
  <si>
    <t xml:space="preserve">Angang Steel Co Ltd
Gindalbie Metals Ltd</t>
  </si>
  <si>
    <t xml:space="preserve">Mnfr steel,metal prod
Exploration iron ore,minerals</t>
  </si>
  <si>
    <t xml:space="preserve">Angang Steel Co Ltd, located
in Anshan, China, is a steel
and metal products
manufacturer. The company
manufactures hot rolled
sheets, cold rolled sheets,
galvanized steel sheets,
color coating plates,
silicon steel, medium and
thick plates, wire rods, and
seamless steel pipes. Its
customers include
industries, such as
automobile, construction,
ship-building, home
electrical appliances,
railway construction
industries, as well as in
the manufacture of
pipelines. The company was
founded in 1997.
Gindalbie Metals Ltd,
headquartered in Perth,
Western Australia, is
principally engaged in the
exploration of iron ore and
joint venturing with other
mining companies to explore
minerals. It provides iron
ore, gold and base metals
mining services with a
portfolio of magnetite and
hematite production assets.
Its projects include
hematite production from the
Mungada Hematite Project and
from the Karara Magnetite
Project as well as iron ore
resources in the Mid West
region.</t>
  </si>
  <si>
    <t xml:space="preserve">3312
1011</t>
  </si>
  <si>
    <t xml:space="preserve">Anshan Iron &amp; Steel Grp Co
Gindalbie Metals Ltd</t>
  </si>
  <si>
    <t xml:space="preserve">ANGANG STEEL CO LTD/GINDALBIE METALS LTD-JOINT VENTURE</t>
  </si>
  <si>
    <t xml:space="preserve">Angang Steel Co Ltd and Gindalbie Metals Ltd formed a 52:48 joint venture
named Karara mine. The JV was to have a cost of USD 230 million.</t>
  </si>
  <si>
    <t xml:space="preserve">52.00
48.00</t>
  </si>
  <si>
    <t xml:space="preserve">The JV was to have a cost of USD 230 million.</t>
  </si>
  <si>
    <t xml:space="preserve">03467Q
37619F</t>
  </si>
  <si>
    <t xml:space="preserve">Gamma Pharmaceuticals Inc
Evander Holyfield</t>
  </si>
  <si>
    <t xml:space="preserve">Mnfr,whl vitamins
Individual</t>
  </si>
  <si>
    <t xml:space="preserve">Gamma Pharmaceuticals Inc,
based in Nevada, manufactures
and wholesales vitamins,
nutraceuticals, over the
counter pharmaceutical
products, and personal care
products. These are offered in
the Greater China region and
the United States. The company
was founded in 1993.
Individual</t>
  </si>
  <si>
    <t xml:space="preserve">2835
6799</t>
  </si>
  <si>
    <t xml:space="preserve">NV
GA</t>
  </si>
  <si>
    <t xml:space="preserve">GAMMA PHARMACEUTICALS INC/EVANDER HOLYFIELD-JOINT VENTURE</t>
  </si>
  <si>
    <t xml:space="preserve">Holyfield Choice is a
pharmaceutical manufacturing
firm. The company develops and
manufactures an innovative
line of vitamins and
nutritional products.</t>
  </si>
  <si>
    <t xml:space="preserve">Gamma Pharmaceuticals Inc (Gamma) and Evander Holyfield (Holyfield) formed
a joint venture named Holyfield Choice to develop and market vitamins and
nutritional products.</t>
  </si>
  <si>
    <t xml:space="preserve">2A9926</t>
  </si>
  <si>
    <t xml:space="preserve">36467F
2A9923</t>
  </si>
  <si>
    <t xml:space="preserve">Foamix Ltd
Therapeutics Inc</t>
  </si>
  <si>
    <t xml:space="preserve">Mnfr pharm
Pvd drug dvlp svcs</t>
  </si>
  <si>
    <t xml:space="preserve">Foamix Ltd, located in Ness
Ziona, Israel, manufactures
and develops innovative
topical and dermatological
foam drug delivery
formulations.
Therapeutics Inc,
headquartered in San Diego,
California, provides drug
development and manufacturing
services for dermatological
purposes. The company was
founded in 1997.</t>
  </si>
  <si>
    <t xml:space="preserve">FOAMIX LTD/THERAPEUTICS INC- JOINT VENTURE</t>
  </si>
  <si>
    <t xml:space="preserve">Foamix Ltd and Therapeutics Inc planned to form a joint venture to provide
and develop prescription medicated foam formulations to treat common skin
inflammation diseases such as atopic dermatitis and psoriasis.</t>
  </si>
  <si>
    <t xml:space="preserve">34426X
89980Z</t>
  </si>
  <si>
    <t xml:space="preserve">Acrux Ltd
Eli Lilly &amp; Co</t>
  </si>
  <si>
    <t xml:space="preserve">Mnfr,whl pharm
Manufactures,wholesales pharmaceuticals</t>
  </si>
  <si>
    <t xml:space="preserve">Acrux Ltd, located in
Australia, manufactures and
sells pharmaceuticals
administered through
transdermal drug delivery
systems. Its product pipeline
includes treatment of hormonal
deficiencies, central nervous
system disorders,
contraception and
dermatological conditions.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</si>
  <si>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ACRUX LTD/ELI LILLY &amp; CO-STRATEGIC ALLIANCE</t>
  </si>
  <si>
    <t xml:space="preserve">Acrux Ltd and Eli Lilly Co formed a strategic alliance to exclusively
license Lilly to commercialize Acrux's AXIRON-an experimental underarm
testosterone solution. The SA agreement has been terminated mutually by the
parties. Termination of the license in the US is effective immediately and
termination of license outside the US will be effective 90 days thereafter.
Global rights to the product will revert to Acrux.</t>
  </si>
  <si>
    <t xml:space="preserve">Exclusive Licensing Services
Licensing Services
Health &amp; Medical Services
Research &amp; Development Services</t>
  </si>
  <si>
    <t xml:space="preserve">52750P
532457</t>
  </si>
  <si>
    <t xml:space="preserve">GlaxoSmithKline PLC
Isis Pharmaceuticals Inc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</si>
  <si>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</si>
  <si>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ISIS PHARMACEUTICALS INC/ GLAXOSMITHKLINE PLC-STRATEGIC ALLIANCE</t>
  </si>
  <si>
    <t xml:space="preserve">GlaxoSmithKline PLC and Isis Pharmaceuticals Inc terminated their alliance
prior to the expiration date.</t>
  </si>
  <si>
    <t xml:space="preserve">37733W
464330</t>
  </si>
  <si>
    <t xml:space="preserve">Agios Pharmaceuticals Inc
Celgene Corp</t>
  </si>
  <si>
    <t xml:space="preserve">Biopharmaceutical company
Manufacture,wholesale biopharmaceutical products</t>
  </si>
  <si>
    <t xml:space="preserve">Agios Pharmaceuticals Inc,
located in Cambridge,
Massachusetts, is a
biopharmaceutical
manufacturing firm dedicated
to drug discovery based on
cancer metabolism. It develops
a diverse pipeline of cancer
metabolism drug candidates,
building on the company's
intellectual property and drug
discovery platform. Its novel
drugs will be targeted
therapies directed at
modulating key metabolic
pathways such as glycolysis,
fatty acid metabolism, and
autophagy. It was incorporated
under the laws of the State of
Delaware in August 2007.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</si>
  <si>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AGIOS PHARMACEUTICALS INC/CELGENE CORP-STRATEGIC ALLIANCE</t>
  </si>
  <si>
    <t xml:space="preserve">The strategic alliance of Agios Pharmaceuticals Inc and Celgene Corp
expired. To discover, develop, and deliver novel disease-altering therapies
in oncology based on the transformational science of innovative cancer
metabolism research platform.</t>
  </si>
  <si>
    <t xml:space="preserve">Research &amp; Development Services
Health &amp; Medical Services
Services (NEC)</t>
  </si>
  <si>
    <t xml:space="preserve">Under the terms of the agreement, Agios will receive a $130 million upfront
payment, including an equity investment.</t>
  </si>
  <si>
    <t xml:space="preserve">00847X
151020</t>
  </si>
  <si>
    <t xml:space="preserve">IBM Corp
Texas Transp Inst</t>
  </si>
  <si>
    <t xml:space="preserve">Manufacture computer products
Natl govt agcy</t>
  </si>
  <si>
    <t xml:space="preserve">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
Texas Transportation
Institution, located in Texas,
US, a national government
agency.</t>
  </si>
  <si>
    <t xml:space="preserve">3571
999A</t>
  </si>
  <si>
    <t xml:space="preserve">IBM /TEXAS TRANSPORTATION INSTITUTE- STRATEGIC ALLIANCE</t>
  </si>
  <si>
    <t xml:space="preserve">International Business Machines Corp and Texas Transportation Institution
formed a strategic alliance, to explore technologies and innovations that
will help solve transportation problems.</t>
  </si>
  <si>
    <t xml:space="preserve">Research &amp; Development Services
Social Services</t>
  </si>
  <si>
    <t xml:space="preserve">459200
89955H</t>
  </si>
  <si>
    <t xml:space="preserve">Evotec AG
Genentech Inc</t>
  </si>
  <si>
    <t xml:space="preserve">Mnfr small molecule drugs
Manufacture pharmaceuticals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</si>
  <si>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Genentech Inc, located in
South San Francisco,
California, manufactures
pharmaceuticals. It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</si>
  <si>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EVOTEC AG/GENENTECH INC- STRATEGIC ALLIANCE</t>
  </si>
  <si>
    <t xml:space="preserve">Evotec AG (EA) and Genentech Inc (GI) formed a strategic alliance to
discover novel small molecule therapeutics.</t>
  </si>
  <si>
    <t xml:space="preserve">D1646D
368710</t>
  </si>
  <si>
    <t xml:space="preserve">Tune Hotels
Plato Capital Ltd</t>
  </si>
  <si>
    <t xml:space="preserve">Own,operate hotels
Pvd system integration svcs</t>
  </si>
  <si>
    <t xml:space="preserve">Tune Hotels Sdn Bhd is a hotel
operator. The Company was
founded in 2007 and is located
in Petaling Jaya, Malaysia.
Plato Capital Ltd is an
investment holding company.
The Company operates through
three segments, which
include IT operations,
investment activities, and
corporate and others
segments. The Company's IT
operations segment provides
e-commerce services, system
integration related
services, and distribution
and marketing of computer
hardware and software. The
Company's investment
activities segment manages
investments in quoted and
unquoted equity shares and
performs money lending
services. Its corporate and
others segment holds
investment in the related
companies. The Company's
segments in Malaysia are
engaged in IT operations and
investment activities, while
segments classified under
Asia and others are engaged
in investment, corporate and
other activities. The
Company's subsidiaries
include Plato Capital
Investment Fund, Positive
Carry Pte. Ltd, Plato
Private Limited, Plato
Management Sdn Bhd and Plato
Solutions Sdn Bhd. The
Company was founded in
November 1999 and is located
in Kuala Lumpur, Malaysia.</t>
  </si>
  <si>
    <t xml:space="preserve">7011
7371</t>
  </si>
  <si>
    <t xml:space="preserve">Airasia Group Bhd
Plato Capital Ltd</t>
  </si>
  <si>
    <t xml:space="preserve">4512
7371</t>
  </si>
  <si>
    <t xml:space="preserve">TUNE HOTELS COM LTD(DNU)/PLATO CAPITAL LTD- JOINT VENTURE</t>
  </si>
  <si>
    <t xml:space="preserve">Tune Hotels Com Ltd (TH) and Plato Capital Ltd (PC) planned to form a joint
venture to to develop and operate the chain of Tune Hotels in Southeast
Asia, Australia and the UK.</t>
  </si>
  <si>
    <t xml:space="preserve">89978P
72745P</t>
  </si>
  <si>
    <t xml:space="preserve">West Wireless Health Institute
GE Healthcare</t>
  </si>
  <si>
    <t xml:space="preserve">Med research org
Manufacture diagnostic imaging equipment</t>
  </si>
  <si>
    <t xml:space="preserve">West Wireless Health
Institute, headquartered in
San Diego, California, is a
medical research organization
supporting the application of
wireless technologies to
health care. The company was
founded in 2009.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</si>
  <si>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8641
3845</t>
  </si>
  <si>
    <t xml:space="preserve">West Wireless Health Institute
General Electric Co</t>
  </si>
  <si>
    <t xml:space="preserve">8641
3612</t>
  </si>
  <si>
    <t xml:space="preserve">WEST WIRELESS HEALTH INSTITUTE /GE HEALTHCARE LTD- STRATEGIC ALLIANCE</t>
  </si>
  <si>
    <t xml:space="preserve">West Wireless Health Institute and GE Healthcare Ltd planned to form a
strategic alliance to provide wireless health solutions.</t>
  </si>
  <si>
    <t xml:space="preserve">95687R
36069Q</t>
  </si>
  <si>
    <t xml:space="preserve">Quintiles Transnational Corp
Southern California Permanente</t>
  </si>
  <si>
    <t xml:space="preserve">Biopharmaceutical company
Doctors' Organization</t>
  </si>
  <si>
    <t xml:space="preserve">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
Southern California Permanente
Medical Group, located in
California, United States, is
a for-profit organization of
doctors.</t>
  </si>
  <si>
    <t xml:space="preserve">8731
8621</t>
  </si>
  <si>
    <t xml:space="preserve">Quintiles Transnatl Hldg Inc
Kaiser Permanente</t>
  </si>
  <si>
    <t xml:space="preserve">8731
6324</t>
  </si>
  <si>
    <t xml:space="preserve">QUINTILES/SOUTHERN CALIFORNIA PERMANENTE MED- STRATEGIC ALLIANCE</t>
  </si>
  <si>
    <t xml:space="preserve">Quintiles Transnational Corp and Southern California Permanente Medical
Group formed a strategic alliance develop clinical research in order to
produce new and more effective medicines.</t>
  </si>
  <si>
    <t xml:space="preserve">748767
81487V</t>
  </si>
  <si>
    <t xml:space="preserve">China Medical&amp;Bio Science Ltd
Undisclosed JV Partner</t>
  </si>
  <si>
    <t xml:space="preserve">Mnfr,whl pharmaceutical prod
Investment company</t>
  </si>
  <si>
    <t xml:space="preserve">China Medical &amp; Bio Science
Ltd, located in Island East,
Hong Kong, is a manufacturer
and wholesaler of
pharmaceuticals and
biotechnology products being
principally infusion and
injection medicine for use
by domestic animals.
Investment company</t>
  </si>
  <si>
    <t xml:space="preserve">Hong Kong
Unknown</t>
  </si>
  <si>
    <t xml:space="preserve">CHINA MEDICAL AND BIO SCIENCE LTD(DNU0/UNDISCLOSED JOINT VENTURE PARTNER-
JOINT VENTURE</t>
  </si>
  <si>
    <t xml:space="preserve">China Medical &amp; Bio Science Ltd (CM), a unit of Concord Management Ltds
Concord Pharmaceutical Technology (Holdings) Ltd subsidiary, and an
undisclosed joint venture partner agreed to form a joint venture to provide
research and development services and production of feedstock, feed
additives and related products in Hong Kong. The JV was capitalized at USD
2.637 mil (HKD 20.568 mil). The transaction was to be financed through
internally generated funds.</t>
  </si>
  <si>
    <t xml:space="preserve">The JV was capitalized at USD 2.637 mil (HKD 20.568 mil).</t>
  </si>
  <si>
    <t xml:space="preserve">16890T
904JVP</t>
  </si>
  <si>
    <t xml:space="preserve">Novozymes A/S
Ceres Inc</t>
  </si>
  <si>
    <t xml:space="preserve">Mnfr,wholesale enzyme products
Mnfr biofuels</t>
  </si>
  <si>
    <t xml:space="preserve">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
Ceres Inc, located in
California, United States,
manufactures biofuels using
advanced plant breeding and
biotechnology. It develops
dedicated energy crops as
raw materials for a new
generation of biofuels made
from plant stems, stalks and
leaves. The company was
founded in 1997.</t>
  </si>
  <si>
    <t xml:space="preserve">2836
2999</t>
  </si>
  <si>
    <t xml:space="preserve">NOVOZYMES A/S/CERES INC- STRATEGIC ALLIANCE</t>
  </si>
  <si>
    <t xml:space="preserve">Novozymes A/S (NA) and Ceres Inc (CI) formed a strategic alliance to
produce cellulosic biofuel through the development of customized plant
varieties and enzyme cocktails. The alliance will convert biomass to fuel
through the help of enzymes and energy crops to facilitate the conversion.
The commercial switchgrass seed products of CI will undergo biorefining to
determine the best enzyme cocktails. Also CI researchers will develop plant
varieties that can be easily degraded by NAs enzymes. Enzymes will convert
the bioimass from energy crops into sugar which can then be used to produce
biofuel and other bio-products.</t>
  </si>
  <si>
    <t xml:space="preserve">67026F
156773</t>
  </si>
  <si>
    <t xml:space="preserve">Genera Biosys Ltd
Undisclosed JV Partner</t>
  </si>
  <si>
    <t xml:space="preserve">Genera Biosystems Ltd,
located in Scoresby,
Victoria, Australia, is a
biotechnology company. Its
principal activity is
developing a series of
products for human health,
food, and environmental
testing based on its
patented detection
technologies. The Company
was founded on November 1,
2001.
Investment company</t>
  </si>
  <si>
    <t xml:space="preserve">Australia
Unknown</t>
  </si>
  <si>
    <t xml:space="preserve">GENERA BIOSYSTEMS LTD /UNDISCLOSED JOINT VENTURE PARTNER- STRATEGIC
ALLIANCE</t>
  </si>
  <si>
    <t xml:space="preserve">Genera Biosystems Ltd (GB) and an undisclosed partner agreed to form a
strategic alliance to provide research and development for the PapType HPV
detection and genotyping test.</t>
  </si>
  <si>
    <t xml:space="preserve">37141J
904JVP</t>
  </si>
  <si>
    <t xml:space="preserve">Sanofi-Aventis SA
Massachusetts Inst Of Tech</t>
  </si>
  <si>
    <t xml:space="preserve">Manufacture pharmaceuticals
Colleges, Universities, and Professional Schools</t>
  </si>
  <si>
    <t xml:space="preserve">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
Massachusetts Institute Of
Technology is a college
operator. The Company is
located in Cambridge,
Massachusetts.</t>
  </si>
  <si>
    <t xml:space="preserve">SANOFI-AVENTIS GROUP(DNU)/MASSACHUSETTS INSTITUTE OF TECHNOLOGY CE-
STRATEGIC ALLIANCE</t>
  </si>
  <si>
    <t xml:space="preserve">Sanofi-Aventis SA (SA) and Massachusetts Institute of Technology (MIT)
agreed to form a strategic alliance to provide biomedical research and
development services in human health under the Biomedical Innovation
Program (SABIP). The alliance will also provide Biomedical Innovation
Funding Awards to MIT researchers to support research projects. SA will
also be able to develop therapeutic, diagnostic and prognostic applications
based on discoveries made during the alliance.</t>
  </si>
  <si>
    <t xml:space="preserve">80105N
57571T</t>
  </si>
  <si>
    <t xml:space="preserve">Bayer CropScience AG
CTC SA</t>
  </si>
  <si>
    <t xml:space="preserve">Mnfr,whl agricultural chemical
Mnfr bioethanol</t>
  </si>
  <si>
    <t xml:space="preserve">Bayer CropScience AG, located
in Monheim Am Rhein, Germany,
manufactures and wholesales
agricultural chemicals
specializing in crop
protection, non agricultural
pest-control, seeds and plant
biotechnology. It operates
through its four regional crop
protection units and two units
responsible for Environmental
Science and BioScience that
offers a range of products and
extensive service backup for
modern, sustainable
agriculture as well as for
non-agricultural applications.
The company was founded in
2002.
Centro de Tecnologia
Canavieira SA is a
manufacturer of ethyl alcohol.
The Company is located in
Piracicaba Sao Paulo, Brazil.</t>
  </si>
  <si>
    <t xml:space="preserve">2873
2869</t>
  </si>
  <si>
    <t xml:space="preserve">Germany
Brazil</t>
  </si>
  <si>
    <t xml:space="preserve">Bayer AG
CTC SA</t>
  </si>
  <si>
    <t xml:space="preserve">2899
2869</t>
  </si>
  <si>
    <t xml:space="preserve">BAYER CROPSCIENCE AG/CENTER FOR SUGARCANE TECHNOLOGY - STRATEGIC ALLIANCE</t>
  </si>
  <si>
    <t xml:space="preserve">Bayer CropScience AG and Centro de Tecnologia Canavieira SA formed a
strategic alliance, to provide research and development services for
sugarcane varieties to increase ethanol production.</t>
  </si>
  <si>
    <t xml:space="preserve">07286L
15618M</t>
  </si>
  <si>
    <t xml:space="preserve">Orexo AB
Janssen Pharmaceuticals Inc
Janssen Pharmaceutica NV</t>
  </si>
  <si>
    <t xml:space="preserve">Mnfr,wholesale pharmaceuticals
Manufacture pharmaceuticals
Manufacture pharmaceuticals</t>
  </si>
  <si>
    <t xml:space="preserve">Orexo AB, located in
Uppsala, Sweden,
manufactures and wholesales
prescription
pharmaceuticals. The
Company's product portfolio
includes OX 40 for treating
migraine, OX 19 for treating
urinary incontinence, OX 17
for treating gastro
esophageal reflux disease,
Sublinox for treating
temporary insomnia, Rapinyl
for treating cancer pain,
Diabact UBT and HeliProbe
Systems for conducting
breath tests. It operates in
the United States, European
Union and Southeast Asia.
The Company was founded in
1995.
Janssen Pharmaceuticals Inc,
based in Titusville, New
Jersey, manufactures
pharmaceutical products. It
offers women's health and
urology, contraceptive, birth
control and vaginal therapy
products. It also has offices
in Raritan, Somerset County,
New Jersey and Fort
Washington, Pennsylvania. It
was founded in 1993.
Janssen Pharmaceutica NV,
located in Beerse, Belgium,
manufactures prescription
pharmaceuticals intended for
final consumption, including
biotech products and
antibiotics.</t>
  </si>
  <si>
    <t xml:space="preserve">Sweden
United States
Belgium</t>
  </si>
  <si>
    <t xml:space="preserve">FF
NJ
FF</t>
  </si>
  <si>
    <t xml:space="preserve">Orexo AB
J&amp;J
J&amp;J</t>
  </si>
  <si>
    <t xml:space="preserve">Sweden
United States
United States</t>
  </si>
  <si>
    <t xml:space="preserve">OREXO PHARMACEUTICALS(DNU)/ORTHO-MCNEIL-JANSSEN PHARMACEUTICALS INC/JANSEN
PHARMACEUTICA(DNU)- STRATEGIC ALLIANCE</t>
  </si>
  <si>
    <t xml:space="preserve">Orexo Pharmaceuticals Inc (OP), Ortho-Mcneil-Janssen Pharmaceuticals Inc
(OM) and Jansen Pharmaceutical Inc (JP) agreed to form a strategic alliance
to provide research and development services for discovering and developing
innovative small-molecule treatments for asthma, chronic obstructive
pulmonary disease, and other inflammatory diseases.</t>
  </si>
  <si>
    <t xml:space="preserve">68646K
47469X
47088B</t>
  </si>
  <si>
    <t xml:space="preserve">BBG Baugeraete GmbH &amp; Co KG
TMT</t>
  </si>
  <si>
    <t xml:space="preserve">Mnfr constr machinery
Mnfr tapping devices</t>
  </si>
  <si>
    <t xml:space="preserve">BBG Baugeraete GmbH &amp; Co KG,
located in Kapfenberg,
manufactures construction
machineries for the blast
furnace, steel plant and
underground mining industries.
Tapping Measuring
Technology{TMT}, located in
Siegen, Germany, manufactures
tapping devices.</t>
  </si>
  <si>
    <t xml:space="preserve">3531
3829</t>
  </si>
  <si>
    <t xml:space="preserve">Austria
Germany</t>
  </si>
  <si>
    <t xml:space="preserve">HTI High Tech Industries AG
TMT</t>
  </si>
  <si>
    <t xml:space="preserve">3353
3829</t>
  </si>
  <si>
    <t xml:space="preserve">BBG BAUGERAETE GMBH &amp; CO KG/TAPPING MEASURING TECHNOLOGY - JOINT VENTURE</t>
  </si>
  <si>
    <t xml:space="preserve">BBG Baugeraete GmbH &amp; Co KG (BB) and Tapping Measuring Technology {TMT}
formed a joint venture to strengthen the earning of both companies in
providing research and development services.</t>
  </si>
  <si>
    <t xml:space="preserve">06172A
86244A</t>
  </si>
  <si>
    <t xml:space="preserve">Scancell Holdings PLC
ImmuneRegen BioSciences Inc</t>
  </si>
  <si>
    <t xml:space="preserve">Mnfr,dvlp antibodies
Biotechnology co</t>
  </si>
  <si>
    <t xml:space="preserve">Scancell Holdings PLC,
located in Nottingham, the
United Kingdom, manufactures
and develops monoclonal
antibodies for cancer
vaccines. The Company is
principally engaged in the
business of discovery and
development of novel
monoclonal antibodies and
vaccines for the treatment
of cancer. It is used for
the treatment of melanoma.
SCIB1 is a plasmid DNA which
encodes a human antibody
molecule engineered to
express a melanoma antigen
called Tyrosinase-Related
Protein 2 (TRP2) plus two
helper T cell epitopes. The
Company was founded in 1997.
ImmuneRegen BioSciences Inc,
located in Scottsdale,
Arizona, is a biotechnology
company engaged in research
and development utilizing
modified substance P and
applications used in improving
pulmonary and function and
human immune system.</t>
  </si>
  <si>
    <t xml:space="preserve">Scancell Holdings PLC
IR Biosciences Holdings Inc</t>
  </si>
  <si>
    <t xml:space="preserve">SCANCELL HOLDINGS PLC/IMMUNEREGEN BIOSCIENCES INC- STRATEGIC ALLIANCE</t>
  </si>
  <si>
    <t xml:space="preserve">Scancell Holdings PLC and ImmuneRegen BioSciences Inc formed a strategic
alliance to investigate the synergy between ImmuneRegens Homspera and
Scancells ImmunoBody vaccine technologies.</t>
  </si>
  <si>
    <t xml:space="preserve">80582C
45272T</t>
  </si>
  <si>
    <t xml:space="preserve">Societe Generale SA
Japaninvest Group PLC</t>
  </si>
  <si>
    <t xml:space="preserve">Provide banking,investment management services
Pvd eq research info</t>
  </si>
  <si>
    <t xml:space="preserve">Societe Generale SA is a
commercial bank. The Company
was founded in 1864 and is
located in Paris, France. It
is engaged in retail
banking, corporate and
investment banking,
financial services,
insurance, private banking
and asset management. Its
core businesses are managed
through three segments:
French Retail Banking,
International Retail Banking
&amp; Financial Services, and
Global Banking and Investor
Solutions. Its financial
services include insurance,
vehicle leasing and fleet
management, and equipment
and vendor finance. Its
subsidiary Lyxor Asset
Management (Lyxor) offers
investment products and
services providing
institutional clients with a
selection of structured,
index and alternative
investment solutions. Lyxor
provides investors with
investment solutions in
order to diversify their
allocation through the range
of asset classes. The
Company offers a range of
advisory services and
tailored financial solutions
to individual clients, large
corporate and institutional
investors. It operates
through Merrion Fleet.
Japaninvest Group PLC,
headquartered in London,
United Kingdom, with offices
in Japan and US, is a provider
of equity research
information. The company
create and provide equity
research for Japanese public
companies, Japanese
economic/political research
and also provide investment
advisory services. The company
was founded in 2002.</t>
  </si>
  <si>
    <t xml:space="preserve">6000
6282</t>
  </si>
  <si>
    <t xml:space="preserve">SOCIETE GENERALE SA/JAPANINVEST GROUP PLC - JOINT VENTURE</t>
  </si>
  <si>
    <t xml:space="preserve">Societe Generale SA of France and Japaninvest Group PLC (JG) of the UK
formed ajoint venture to provide co-branded Asian equity research services
in Japan. Under the agreement SG will distribute JGs research.</t>
  </si>
  <si>
    <t xml:space="preserve">83364E
47154E</t>
  </si>
  <si>
    <t xml:space="preserve">Sanofi-Aventis SA
Oneness Biotech Co Ltd</t>
  </si>
  <si>
    <t xml:space="preserve">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
Oneness Biotech Co Ltd is a
biotechnology company
headquartered in Taiwan.
It's products include WH-1,
which is a drug for the
treatment of diabetic foot
ulcers. It was established
in 2008.</t>
  </si>
  <si>
    <t xml:space="preserve">France
Taiwan</t>
  </si>
  <si>
    <t xml:space="preserve">SANOFI-AVENTIS SA/ONENESS BIOTECH CO LTD - STRATEGIC ALLIANCE</t>
  </si>
  <si>
    <t xml:space="preserve">Sanofi-Aventis SA (SA) and Oneness Biotech Co Ltd (OB) planned to form a
strategic alliance to develop and markets new traditional Chinese
medicines.</t>
  </si>
  <si>
    <t xml:space="preserve">80105N
68351P</t>
  </si>
  <si>
    <t xml:space="preserve">Bayer Schering Pharma AG
OncoMed Pharmaceuticals Inc</t>
  </si>
  <si>
    <t xml:space="preserve">Mnfr tailored therapy pharm
Biotechnology company</t>
  </si>
  <si>
    <t xml:space="preserve">Manufacture and wholesale
hormonal contraceptives &amp;
preparations, oral
formulation, human monoclonal
antibodies, immune and
therapeutic drugs for
hematological malignancies,
X-ray contrast media and
magnetic resonance imaging for
visual diagnostics, and
special therapeutic products
related to peripheral arterial
occlusive diseases, pulmonary
hypertension, and multiple
sclerosis; provide
pharmaceutical research and
development services
OncoMed Pharmaceuticals Inc,
located in Redwood City,
California, is a
biotechnology company
dedicated to improving
cancer treatment, by
developing monoclonal
antibodies that target the
biologic pathways critical
to tumor initiating cells,
also known as "cancer stem
cells". The company was
founded on 2004.</t>
  </si>
  <si>
    <t xml:space="preserve">Bayer AG
OncoMed Pharmaceuticals Inc</t>
  </si>
  <si>
    <t xml:space="preserve">BAYER SCHERING PHARMA AG(WAS 806585)/ONCOMED PHARMACEUTICALS INC- STRATEGIC
ALLIANCE</t>
  </si>
  <si>
    <t xml:space="preserve">Bayer Schering Pharma AG (BS) and Oncomed Pharmaceuticals Inc (OP) planned
to form a strategic alliace to discover, develop and commercialize novel
anti-cancer stem cell therapeutics targeting the Wnt signaling pathway.</t>
  </si>
  <si>
    <t xml:space="preserve">07290E
68234X</t>
  </si>
  <si>
    <t xml:space="preserve">Dyax Corp
Defiante Farmaceutica SA</t>
  </si>
  <si>
    <t xml:space="preserve">Biotechnology company
Pvd patent purchasing svcs</t>
  </si>
  <si>
    <t xml:space="preserve">Dyax Corp, based in
Burlington, Massachusetts, is
a biotechnology company
focused to identify, develop
and provides commercialized
treatments for angioedemas
that are identified as PKM
angioedemas, including HAE.
The company was founded in
1995.
Defiante Farmaceutica SA,
located in Funchal, Madeira,
provides pharmaceuticals
patent and license purchasing
services. It purchases patents
and marketing and
manufacturing licenses for
pharmaceuticals. The company
was founded in 1999.</t>
  </si>
  <si>
    <t xml:space="preserve">2836
6794</t>
  </si>
  <si>
    <t xml:space="preserve">Dyax Corp
Sigma-Tau SpA</t>
  </si>
  <si>
    <t xml:space="preserve">DYAX CORP/DEFIANTE FARMACEUTICA LDA- STRATEGIC ALLIANCE</t>
  </si>
  <si>
    <t xml:space="preserve">Dyax Corp and Defiante Farmaceutica SA formed a strategic alliance was to
maximize the global reach and commercial potential of KALBITOR and position
it to be the HAE treatment of choice internationally.</t>
  </si>
  <si>
    <t xml:space="preserve">26746E
24475E</t>
  </si>
  <si>
    <t xml:space="preserve">STMicroelectronics NV
Research Inst Of Tsinghua</t>
  </si>
  <si>
    <t xml:space="preserve">Semiconductor and Related Device Manufacturing
Colleges, Universities, and Professional Schools</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</si>
  <si>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Research Institute Of
Tsinghua University In
Shenzhen is a college
operator. The Company was
founded in July 1997 and is
located in Shenzhen, China.</t>
  </si>
  <si>
    <t xml:space="preserve">Switzerland
China</t>
  </si>
  <si>
    <t xml:space="preserve">STMicroelectronics NV
Tsinghua University</t>
  </si>
  <si>
    <t xml:space="preserve">STMICROELECTRONICS NV/RESEARCH INST OF TSINGHUA UNIV- STRATEGIC ALLIANCE</t>
  </si>
  <si>
    <t xml:space="preserve">STMicroelectronics NV (SN) and Research Institute of Tsinghua University in
Shenzhen (RI) agreed to form a strategic alliance to provide research
services in the field of engineering. SN will provide digital multimedia
and advanced analog chips, expert support and advanced design tools as well
as collaborate on engineering projects assigned by SN to RI. SN will also
donate USD 0.146 mil (CNY 1 mil) to RI each year for five years.</t>
  </si>
  <si>
    <t xml:space="preserve">SN will also donate USD 0.146 mil (CNY 1 mil) to RI.</t>
  </si>
  <si>
    <t xml:space="preserve">861012
82314R</t>
  </si>
  <si>
    <t xml:space="preserve">ActiveCare Inc
Vista Therapeutics Inc</t>
  </si>
  <si>
    <t xml:space="preserve">Mnfr,whl medical diagnostics
Mnfr med diagnostic prods</t>
  </si>
  <si>
    <t xml:space="preserve">ActiveCare Inc, headquartered
in Salt Lake City, Utah,
manufactures and wholesales
medical diagnostic stains and
solutions. It manufactures the
PAL (Personal Assistance Link)
handheld device to provide
monitoring services. It was
founded in 1998.
Vista Therapeutics Inc,
located in the United States,
manufactures
nanotechnology-based medical
diagnostic products such as
nanowires, chips, biosensors,
and biomarker detection
products.</t>
  </si>
  <si>
    <t xml:space="preserve">3669
2835</t>
  </si>
  <si>
    <t xml:space="preserve">UT
DE</t>
  </si>
  <si>
    <t xml:space="preserve">ACTIVECARE INC /VISTA THERAPEUTICS INC- STRATEGIC ALLIANCE</t>
  </si>
  <si>
    <t xml:space="preserve">ActiveCare Inc and Vista Therapeutics Inc formed a strategic alliance
Developing Nano Biosensors for the Elderly.</t>
  </si>
  <si>
    <t xml:space="preserve">005057
93328V</t>
  </si>
  <si>
    <t xml:space="preserve">Cypress Bioscience Inc
BiolineRx Ltd</t>
  </si>
  <si>
    <t xml:space="preserve">Cypress Bioscience Inc, based
in San Diego, California, is a
biopharmaceutical company
dedicated to the development
of innovative drugs targeting
large unmet medical needs for
patients suffering from a
variety of disorders of the
central nervous system. Its
currently marketed products
include Savella and the Avise
PGSM and Avise MCVSM
therapeutic monitoring,
diagnostic and prognostic
testing services for
rheumatoid arthritis.
Development-stage assets
include CYP-1020 for cognitive
impairment in schizophrenia,
Staccato nicotine for smoking
cessation, intranasal
carbetocin for autism, and
AVISE-SLESM, a lupus
diagnostic testing service.
The company was founded in
1981.
BiolineRx Ltd, based in
Israel, is a Biotechnology
Company. The Company is
engaged in identifying and
following the critical pathway
to commercialization of
therapeutic compounds.</t>
  </si>
  <si>
    <t xml:space="preserve">CYPRESS BIOSCIENCE INC/BIOLINERX LTD- STRATEGIC ALLIANCE</t>
  </si>
  <si>
    <t xml:space="preserve">Cypress Bioschience Inc (CB) and Bionerx Ltd (BL) agreed to form a
strategic alliance to to develop and market the BioLineRx's novel
antipsychotic, or BL-1020, hereafter, CYP-1020, a treatment for
schizophrenia.</t>
  </si>
  <si>
    <t xml:space="preserve">232674
M2014R</t>
  </si>
  <si>
    <t xml:space="preserve">Dako Denmark A/S
Omnyx LLC</t>
  </si>
  <si>
    <t xml:space="preserve">Mnfr,whl diagnostic pharm prod
Dvlp digital pathology soltns</t>
  </si>
  <si>
    <t xml:space="preserve">Dako Denmark A/S, located in
Glostrup, Denmark,
manufactures cell-based cancer
diagnostics pharmaceutical
products for both clinical
diagnostics and research use
such as antibodies, detection
systems, kits, reagents, and
equipment.
Omnyx LLC, located in
Pittsburgh, Pennsylvania,
develops digital pathology
solutions for the anatomic
pathologist in the hospital
and reference lab. Its
products and solutions
include scanners,
pathologist workstations,
histology workstations, and
Web services integration;
and IDP Foundation. It was
founded in 2008.</t>
  </si>
  <si>
    <t xml:space="preserve">EQT Holdings Cooperatief WA
Conemaugh Health System Inc</t>
  </si>
  <si>
    <t xml:space="preserve">6799
8062</t>
  </si>
  <si>
    <t xml:space="preserve">DAKO DENMARK A/S/OMNYX LLC-STRATEGIC ALLIANCE</t>
  </si>
  <si>
    <t xml:space="preserve">Dako Denmark A/S (Dako) and Omnyx LLC (Omnyx) formed a strategic alliance
to develop clinical algorithms for digital pathology. Dako will utilize its
expertise in staining and image analysis to develop image analysis
algorithms that will be incorporated into the Omnyx digital pathology
platform as part of Omnyxs overall strategy of providing pathologists with
a comprehensive digital work environment. The algorithms developed under
the agreement will be specifically optimized for Dakos breast cancer panel
of immunohistochemical and in-situ hybridization tests.</t>
  </si>
  <si>
    <t xml:space="preserve">23176R
2A9958</t>
  </si>
  <si>
    <t xml:space="preserve">Diamyd Medical AB
Janssen Pharmaceuticals Inc</t>
  </si>
  <si>
    <t xml:space="preserve">Diamyd Medical AB, located
in Stockholm, Sweden,
manufactures
pharmaceuticals. The company
has the following two
divisions: GAD-related
Products and Other Products.
The GAD-related products
comprise of GAD-protein and
Diamyd anti-GAD RIA-kits.
The products are sold to
researchers and
laboratories. The Other
Products division include
agency products consisting
of diagnostic kits for
diabetes and cardiovascular
diseases. The group also
develops, produces and
markets a special filter,
which is used for removing
GAD antibodies. The company
was founded in 1994.
Janssen Pharmaceuticals Inc,
based in Titusville, New
Jersey, manufactures
pharmaceutical products. It
offers women's health and
urology, contraceptive, birth
control and vaginal therapy
products. It also has offices
in Raritan, Somerset County,
New Jersey and Fort
Washington, Pennsylvania. It
was founded in 1993.</t>
  </si>
  <si>
    <t xml:space="preserve">Diamyd Medical AB
J&amp;J</t>
  </si>
  <si>
    <t xml:space="preserve">DIAMYD MEDICAL AB/ORTHO-MCNEIL-JANSSEN PHARM- STRATEGIC ALLIANCE</t>
  </si>
  <si>
    <t xml:space="preserve">Diamyd Medical AB and Janssen Pharmaceuticals Inc terminated their alliance
prior to the expiration date to develop and commercialize DM's
antigen-based therapy</t>
  </si>
  <si>
    <t xml:space="preserve">DM will receive a total of USD 625 mil wherein USD 45 mil (SEK 350.77 mil)
is OM's upfront payment to DM and USD 580 mil (SEK 4.52 bil) is a milestone
payment</t>
  </si>
  <si>
    <t xml:space="preserve">25270E
47469X</t>
  </si>
  <si>
    <t xml:space="preserve">Sanofi-Aventis SA
Regulus Therapeutics Inc</t>
  </si>
  <si>
    <t xml:space="preserve">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
Regulus Therapeutics LLC,
headquartered in the United
States and founded on 2007,
manufactures, discovers,
develops and commercializes
microRNA therapeutics that
intends to address
therapeutic opportunities
that arise from abnormal
expression or mutations in
microRNAs.</t>
  </si>
  <si>
    <t xml:space="preserve">Sanofi-Aventis SA
Alnylam Pharmaceuticals Inc</t>
  </si>
  <si>
    <t xml:space="preserve">SANOFI-AVENTIS SA(WAS 80111K)/REGULUS THERAPEUTICS LLC- STRATEGIC ALLIANCE</t>
  </si>
  <si>
    <t xml:space="preserve">Sanofi-Aventis SA (SA) and Regulus Therapeutic LLC (RT) planned to form a
strategic alliance to discover, develop and commercialize therapies that
target controllers of gene expression and initially will focus on fibrosis.
The SA transaction is valued at USD 750 mil.</t>
  </si>
  <si>
    <t xml:space="preserve">The SA transaction is valued at USD 750 mil.</t>
  </si>
  <si>
    <t xml:space="preserve">80105N
75915K</t>
  </si>
  <si>
    <t xml:space="preserve">Santaris Pharma A/S
miRagen Therapeutics</t>
  </si>
  <si>
    <t xml:space="preserve">Biotechnology company
Mnfr miRNA-based therapeutics</t>
  </si>
  <si>
    <t xml:space="preserve">Santaris Pharma A/S, located
in Horsholm, Denmark, is a
biotechnology company focused
on developing designer drugs
for targeted therapy. It
manufactures oligonucleotide
drugs based on its
proprietary, 3rd generation
RNA analogue, Locked Nucleic
Acid (LNA). The company was
founded in 2003.
miRagen Therapeutics,
headquartered in Boulder,
Colorado, manufactures miRNA
(microRNA)-based therapeutics
for the treatment of
cardiovascular and skeletal
muscle disease. The company
was founded in 2007.</t>
  </si>
  <si>
    <t xml:space="preserve">SANTARIS PHARMA A/S/MIRAGEN THERAPEUTICS- STRATEGIC ALLIANCE</t>
  </si>
  <si>
    <t xml:space="preserve">Santaris Pharma A/S (Santaris) and miRagen Therapeutics (miRagen) formed a
strategic alliance to develop microRNA-targeted medicines for the treatment
of cardiovascular disease. SP will provide its proprietary technology,
Locked Nucleic Acid (LNA) Drug Platform, to assist MT in developing
single-stranded LNA-based products for the treatment of cardiovascular
diseases. Under terms of the alliance, SP has received a minority equity
interest in MT and is eligible to receive milestone payments and royalties.
In January 2013, Santaris and miRagen expanded their alliance under which
miRagen obtains a broad non-exclusive license in the miRNA therapeutics
field for therapeutics research and world-wide exclusive rights to
research, develop and commercialize LNA drugs against up to six additional
microRNA targets.</t>
  </si>
  <si>
    <t xml:space="preserve">80284V
60495M</t>
  </si>
  <si>
    <t xml:space="preserve">Sanofi-Aventis SA
CymaBay Therapeutics Inc</t>
  </si>
  <si>
    <t xml:space="preserve">Manufacture pharmaceuticals
Biological Product (Except Diagnostic) Manufacturing</t>
  </si>
  <si>
    <t xml:space="preserve">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
CymaBay Therapeutics Inc. is
a United States-based
clinical-stage
biopharmaceutical company.
The Company is focused on
the development and
commercialization of new
medicines for important
human diseases. Its pipeline
includes Arhalofenate,
MBX-2982 and MBX-8025.
Arhalofenate is an oral
small molecule being
developed to treat the
approximately 1 million gout
patients that flare three or
more times per year.
MBX-2982 is a treatment for
type 2 diabetes that targets
G protein-coupled receptor
119 (GPR 119), a receptor
that interacts with
bioactive lipids and results
in glucose-dependent insulin
secretion. MBX-8025 is an
investigational product for
treating mixed dyslipidemia,
a group of disorders that
includes elevated LDL
cholesterol and/or
triglycerides, and low
levels of HDL cholesterol.
The company was founded in
1988.</t>
  </si>
  <si>
    <t xml:space="preserve">SANOFI-AVENTIS SA/METABOLEX INC- STRATEGIC ALLIANCE</t>
  </si>
  <si>
    <t xml:space="preserve">Sanofi-Aventis SA (SA) and Metabolex Inc (MI) formed a strategic alliance
wherein to MI licensed SA to research and develop, manufacture and
commercialize the drug MBX-2982 worldwide. The drug modulates the G-protein
coupled receptor 119 (GPR119) to treat Type II Diabetes. The GPR 119 which
is involved in the production of insulin. Under terms of the agreement, MI
will receive an upfront payment as well as development, regulatory, and
specified commercial milestones with a total value of USD 375 mil. MI will
also receive royalties based on worldwide sales.</t>
  </si>
  <si>
    <t xml:space="preserve">Development, regulatory, and specified commercial milestone payments
totalling USD 375 mil to be received by MI</t>
  </si>
  <si>
    <t xml:space="preserve">80105N
7A5155</t>
  </si>
  <si>
    <t xml:space="preserve">AstraZeneca PLC
MRC Technologies Inc</t>
  </si>
  <si>
    <t xml:space="preserve">Manufactures, wholesales pharmaceutical products
Pvd research,technology svcs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</si>
  <si>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MRC Technology Inc, located in
Newbury Park, California,
provide research and
technology services.</t>
  </si>
  <si>
    <t xml:space="preserve">2834
9661</t>
  </si>
  <si>
    <t xml:space="preserve">ASTRAZENECA PLC(WAS 046353)/MRC TECHNOLOGY- STRATEGIC ALLIANCE</t>
  </si>
  <si>
    <t xml:space="preserve">AstraZeneca PLC and MRC Technologies Inc formed a strategic alliance to
share access to their collections of compounds to aid the search for
potential new treatments for serious diseases.</t>
  </si>
  <si>
    <t xml:space="preserve">046353
55347N</t>
  </si>
  <si>
    <t xml:space="preserve">Regulus Therapeutics Inc
Sanofi-Aventis SA</t>
  </si>
  <si>
    <t xml:space="preserve">Regulus Therapeutics LLC,
headquartered in the United
States and founded on 2007,
manufactures, discovers,
develops and commercializes
microRNA therapeutics that
intends to address
therapeutic opportunities
that arise from abnormal
expression or mutations in
microRNAs.
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t>
  </si>
  <si>
    <t xml:space="preserve">Alnylam Pharmaceuticals Inc
Sanofi-Aventis SA</t>
  </si>
  <si>
    <t xml:space="preserve">REGULUS THERAPEUTICS LLC/SANOFI-AVENTIS GROUP(DNU)- STRATEGIC ALLIANCE</t>
  </si>
  <si>
    <t xml:space="preserve">Regulus Therapeutics LLC (RT) and Sanofi-Aventis SA (SA) planned to form a
strategic alliance to discover, develop, and commercialize microRNA
therapeutics.</t>
  </si>
  <si>
    <t xml:space="preserve">75915K
80105N</t>
  </si>
  <si>
    <t xml:space="preserve">Orion Oyj
Selvita SA</t>
  </si>
  <si>
    <t xml:space="preserve">Mnfr,whl pharm
Provide research, development services</t>
  </si>
  <si>
    <t xml:space="preserve">Orion Oyj, located in Espoo,
Finland, manufactures and
wholesales pharmaceutical
products focusing on
proprietary and specialty
products, animal health,
fermion and other biological
disorders concerning central
nervous system,
cardiovascular, urinal and
hormonal diseases. The
Company also provides
medical research services.
Selvita SA, located in
Cracow, Poland, provides
research and development
services for pharmaceutical
industry. The company was
founded in 2007.</t>
  </si>
  <si>
    <t xml:space="preserve">Finland
Poland</t>
  </si>
  <si>
    <t xml:space="preserve">ORION OYJ(WAS 68629X)/SELVITA- STRATEGIC ALLIANCE</t>
  </si>
  <si>
    <t xml:space="preserve">Orion Oyj (OO) and Selvita (SL) planned to form a strategic alliance to
collaborate on the development and commercialisation of Selvita's SEL103.</t>
  </si>
  <si>
    <t xml:space="preserve">68647L
83877R</t>
  </si>
  <si>
    <t xml:space="preserve">Midatech Group Ltd
Immunotope Inc</t>
  </si>
  <si>
    <t xml:space="preserve">Midatech Group Ltd, based in
Oxford, UK, is a manufacturer
of pharmaceuticals. The
company develops
nanoparticle-based proteins
and peptides for therapeutic
delivery utilizing
pharmaceutical films.
Immunotope Inc is a
biotechnology company,
headquartered in Doylestown,
Pennsylvania. The company
develops immunotherapy
products for the treatment and
prevention of cancer and
chronic viral infections.</t>
  </si>
  <si>
    <t xml:space="preserve">Midatech Group Ltd
ImmunoVaccine Inc</t>
  </si>
  <si>
    <t xml:space="preserve">United Kingdom
Canada</t>
  </si>
  <si>
    <t xml:space="preserve">MIDATECH GROUP LTD/IMMUNOTOPE INC-SYNTARA LLC JOINT VENTURE</t>
  </si>
  <si>
    <t xml:space="preserve">Midatech Group Ltd (MG) and Immunotope Inc (II) formed a joint venture to
develop antigen based products for immune therapies to treat chronic viral
infections and certain cancers.</t>
  </si>
  <si>
    <t xml:space="preserve">59575X
46806Z</t>
  </si>
  <si>
    <t xml:space="preserve">Ajinomoto Co Inc
Kellogg Co</t>
  </si>
  <si>
    <t xml:space="preserve">Produce,wholesale food seasonings
Produce,wholesale cereals</t>
  </si>
  <si>
    <t xml:space="preserve">Ajinomoto Co Inc, located in
Tokyo, Japan, produces and
wholesales food seasonings.
The company operates in
Asia; Europe and America
through affiliates and
subsidiaries. The company
operates in six business
segments. The Domestic Food
segment manufactures and
sells seasonings and
processed food, delicatessen
and bakery products, frozen
food and beverages. The
Overseas Food segment offers
seasonings and processed
food, as well as flavor
seasonings for food
processing. The Biotech and
Fine segment offers
amino-acid for feeding
stuffs, medical drugs and
food, sweeteners, medicine
intermediate products and
chemical products. The
Medicine segment offers
pharmaceutical products. The
Affiliated segment provides
fat, oil and coffee. The
Others segment is engaged in
the healthcare, packaging
material, logistics and
other businesses. It was
founded in 1925.
Kellogg Co, located in
Battle Creek, Michigan,
produces and wholesales
cereals, cookies, crackers,
savory snacks, frozen foods,
toaster pastries, cereal
bars, fruit-flavored snacks,
veggie foods, and noodles.
It also marketed under brand
names Kellogg's Keebler,
Cheez-IT, Pringles, Murray,
Austin, Famous Amos, Parati
and RXBAR. It offers cereal,
toaster pastries, health and
wellness bars, and
beverages. Its US snack
products includes cookies,
crackers, cereal bars,
savory snacks and
fruit-flavored snacks. The
Company was founded in
February 1906.</t>
  </si>
  <si>
    <t xml:space="preserve">2087
2043</t>
  </si>
  <si>
    <t xml:space="preserve">AJINOMOTO CO INC/KELLOGG CO- STRATEGIC ALLIANCE</t>
  </si>
  <si>
    <t xml:space="preserve">Ajinomoto Co Inc and Kellogg Co formed a strategic alliance to focus on
developing products that deliver benefits in the areas of weight
management, sugar reduction, and sodium reduction.</t>
  </si>
  <si>
    <t xml:space="preserve">009707
487836</t>
  </si>
  <si>
    <t xml:space="preserve">BASF Coatings Services GmbH
Henkel AG &amp; Co KGaA</t>
  </si>
  <si>
    <t xml:space="preserve">Wholesales automotive coatings
Manufacture,wholesale consumer chemicals</t>
  </si>
  <si>
    <t xml:space="preserve">BASF Coatings Services GmbH,
based in Dortmund, Germany,
wholesales of automotive
coatings. The company was
established in 1998.
Henkel AG &amp; Co KGaA is a
manufacturer of detergents.
The Company is a chemical
and consumer goods company
headquartered in
Dsseldorf.Henkel is
organized into three
business units: Adhesive
Technologies, Beauty Care,
and Laundry &amp; Home Care.
Henkel leads the global
market in the field of
adhesives. Henkel''s Beauty
Care and Laundry &amp; Home Care
consumer businesses also
hold top positions in
numerous markets and
categories. And is known for
brands such as Loctite,
Persil, and Fa amongst
others. Founded in September
1876.</t>
  </si>
  <si>
    <t xml:space="preserve">5198
2844</t>
  </si>
  <si>
    <t xml:space="preserve">BASF SE
Henkel AG &amp; Co KGaA</t>
  </si>
  <si>
    <t xml:space="preserve">2869
2844</t>
  </si>
  <si>
    <t xml:space="preserve">BASF COATINGS SERVICES GMBH/HENKEL AG &amp; CO KGAA - JOINT VENTURE</t>
  </si>
  <si>
    <t xml:space="preserve">BASF Coatings Services GmbH (BC) and Henkel AG &amp; Co KGaA (HA) agreed to
form a joint venture to conduct research and develop corrosion protection
solutions for the automotive sector in Germany. BC and HA were to each own
a 50% interest in the JV. The JV is expected to start operations in the
first months of 2011. The transaction is subject to regulatory approvals.</t>
  </si>
  <si>
    <t xml:space="preserve">06130N
42550Z</t>
  </si>
  <si>
    <t xml:space="preserve">Penn Pharmaceuticals Services
Xcelience LLC</t>
  </si>
  <si>
    <t xml:space="preserve">Mnfr pharmaceuticals
Pvd clinical trial svcs</t>
  </si>
  <si>
    <t xml:space="preserve">Manufacture prescription
pharmaceuticals intended for
final consumption, including
biotech products and
antibiotics
Xcelience LLC, located in
Tampa, Florida, provides
clinical trial services to
pharmaceutical and
biotechnology companies. Its
services include
preformulation, micronization,
analytical services,
formulation development, cGMP
manufacturing, small-scale
commercial manufacturing, and
global clinical supplies
packaging and logistics. The
company was founded in 1997.</t>
  </si>
  <si>
    <t xml:space="preserve">PENN PHARMACEUTICALS LTD(NOW 70757N)/EXCELIENCE LLC(DNU- JOINT VENTURE</t>
  </si>
  <si>
    <t xml:space="preserve">Penn Pharmaceuticals Ltd (PP) and Xcelience LLC (XL) planned to form a
joint venture to provide Capsugels Xcelodose precision powder micro-dosing
system technology on a global basis.</t>
  </si>
  <si>
    <t xml:space="preserve">70757N
98695C</t>
  </si>
  <si>
    <t xml:space="preserve">BlueScope Steel Ltd
Nippon Steel Corp</t>
  </si>
  <si>
    <t xml:space="preserve">Manufacture steel
Manufacture,whl steel products</t>
  </si>
  <si>
    <t xml:space="preserve">BlueScope Steel Ltd, based in
Melbourne, Australia,
manufactures steel with
activities carried out through
6 business segments namely,
Hot Rolled, which manufactures
and distributes slab, hot
rolled coil and plate
products; Coated and Building
products Australia, which
markets products and material
solutions to the Australian
building and construction
industry and supplies to the
Australian automotive sector,
New Zealand Pacific Steel
products; Coated and Building
products Asia, which
manufactures and distributes
metallic coated and painted
steel products; Hot Rolled
Products North America, which
has an interest in a joint
venture involved in steel mill
and in Castrip LLC involved in
export trading activities; and
Coated and Building products
North America which designs
and manufactures
pre-engineered steel building
systems. The Company was
formerly known as BHP Steel.
It was founded in 1885.
Nippon Steel Corp, located
in Tokyo, Japan,
manufactures and wholesales
steel products. It operates
through the following
divisions: Steel &amp;
Fabrication; Engineering;
Urban Development; Chemicals
and Nonferrous Materials;
System Solutions and New
Material. The Steel &amp;
Fabrication segment
manufactures specialty steel
and secondary products.
Engineering activities
include the operation of
plants, industrial
equipment/furnaces and civil
engineering. Urban
Development includes
development of city,
condominiums and real
estate. Chemicals and
Nonferrous Materials include
coal-tar, ammonium sulphate,
coke and fine ceramics.
System Solutions operations
include computer system
related engineering and
consulting. It is also a
holding company. The company
was founded on 1970.</t>
  </si>
  <si>
    <t xml:space="preserve">3315
3312</t>
  </si>
  <si>
    <t xml:space="preserve">BLUESCOPE STEEL LTD(WAS 05544E))/NIPPON STEEL CORP- JOINT VENTURE</t>
  </si>
  <si>
    <t xml:space="preserve">BlueScope Steel Ltd of Australia and Nippon Steel Corp of Japan agreed to
form a joint venture to provide research services to develop
next-generation coated steel products for global building and construction
markets in Australia.</t>
  </si>
  <si>
    <t xml:space="preserve">09625O
654619</t>
  </si>
  <si>
    <t xml:space="preserve">Merck Sharp &amp; Dohme Corp
Sinopharm Holding Co Ltd</t>
  </si>
  <si>
    <t xml:space="preserve">Mnfr,whl pharmaceutical prod
Whl,ret pharm</t>
  </si>
  <si>
    <t xml:space="preserve">Merck Sharp &amp; Dohme Corp,
located in Kenilworth, New
Jersey, is a manufacturer of
pharmaceutical preparation.
It is focused on researching
on hepatitis C, HIV,
diabetes and
immuno-oncology. The Company
was founded in 1891.
Sinopharm Holding Co Ltd is a
pharmaceutical wholesaler and
retailer, headquartered in
China. The company was founded
in 2003.</t>
  </si>
  <si>
    <t xml:space="preserve">2834
5122</t>
  </si>
  <si>
    <t xml:space="preserve">Merck &amp; Co Inc
China Natl Pharm Grp Corp</t>
  </si>
  <si>
    <t xml:space="preserve">MERCK &amp; CO INC/SINOPHARM HOLDING CO LTD - JOINT VENTURE</t>
  </si>
  <si>
    <t xml:space="preserve">Merck &amp; Co Inc (MC) and Sinopharm Holding Co Ltd (SH) planned to fomr a
joint venture to market the US drugmaker's cervical cancer vaccine and
other vaccines in China, as the pharmaceutical industry seeks greater
inroads in Asia.</t>
  </si>
  <si>
    <t xml:space="preserve">U58933
78319J</t>
  </si>
  <si>
    <t xml:space="preserve">CareView Communications Inc
Weigao Grp Co Ltd</t>
  </si>
  <si>
    <t xml:space="preserve">Mnfr dust collection sys
Mnfr med devices</t>
  </si>
  <si>
    <t xml:space="preserve">Ecogate Inc, located in North
Hollywood, California,
manufactures energy saving
dust collection systems for
home shops, commercial and
industrial ventilation.
Weigao Group Co Ltd is a
manufacturer of
navigational, measuring,
electromedical and control
instruments. The Company was
founded in October 1988 and
is located in Weihai, China.</t>
  </si>
  <si>
    <t xml:space="preserve">1731
3845</t>
  </si>
  <si>
    <t xml:space="preserve">CAREVIEW COMMUNICATIONS INC/SHANDONG WEIHAI - JOINT VENTURE</t>
  </si>
  <si>
    <t xml:space="preserve">CareView Communications Inc (CC) and Shandong Weihai (SW) planned to form a
joint venture wherein SW is licensed to manufacture, sell, install and
support the CW system in China.</t>
  </si>
  <si>
    <t xml:space="preserve">141743
81885H</t>
  </si>
  <si>
    <t xml:space="preserve">Proteonomix Inc
Undisclosed JV Partner</t>
  </si>
  <si>
    <t xml:space="preserve">Proteonomix Inc, located in
Mountainside, New Jersey, is a
biotechnology company focused
on developing therapeutics
based upon the use of human
cells and their derivatives
with an initial focus on
diabetes and cardiac diseases.
The company develops cosmetic
products using its
technologies, Secreted Matrix
and Matrix NC-138 that is a
stem cell derived proteins
technology. It also involves
in the operation of retail Web
site, Proteoderm.com to sell
its anti-aging line of skin
care products; develops
therapeutic modalities for the
treatment of cardiovascular
disease; and engages in the
reproductive tissue banking,
including sperm, ova, ovarian
tissue, and testicular tissue.
The company was formed on
January 14, 2005.
Investment company</t>
  </si>
  <si>
    <t xml:space="preserve">PROTEONOMIX INC/UNDISCLOSED JOINT VENTURE PARTNER- JOINT VENTURE</t>
  </si>
  <si>
    <t xml:space="preserve">Proteonomix Inc (PI) of the US agreed to form a joint venture named XGen
Medical LLC to own and operate new stem cell treatment and research
facility in the United Arab Emirates, with an undisclosed joint venture
partner. PI was to hold a 51% interest in the JV while the undisclosed
partner was to hold the remaining 49% stake. The undisclosed JV partner was
to invest USD 5 mil.</t>
  </si>
  <si>
    <t xml:space="preserve">The undisclosed JV partner was to invest USD 5 mil.</t>
  </si>
  <si>
    <t xml:space="preserve">74371C
904JVP</t>
  </si>
  <si>
    <t xml:space="preserve">Cannabis Science Inc
Smokefree Innotec Inc</t>
  </si>
  <si>
    <t xml:space="preserve">Manufacture pharmaceutical
Mnfr,whl electn cigarettes</t>
  </si>
  <si>
    <t xml:space="preserve">Cannabis Science Inc,
located in Irvine,
California, manufactures
pharmaceuticals. It works
with world authorities on
phytocannabinoid science
targeting critical
illnesses, and adheres to
scientific methodologies to
develop, produce, and
commercialize
phytocannabinoid-based
pharmaceutical products. It
is dedicated to the creation
of cannabis-based medicines,
both with and without
psychoactive properties, to
treat disease and the
symptoms of disease, as well
as for general health
maintenance. The Company was
founded in 1995.
Smokefree Innotec Inc, located
in Nashville, Tennessee,
manufactures and wholesales
electronic cigarettes that
offers different aromas. The
electronic cigarette uses a
charger to supply the battery
power of its product. The
company was founded in 1994.</t>
  </si>
  <si>
    <t xml:space="preserve">2834
3679</t>
  </si>
  <si>
    <t xml:space="preserve">CANNABIS SCIENCE(DNU)/SMOKEFREE INNOTEC INC- JOINT VENTURE</t>
  </si>
  <si>
    <t xml:space="preserve">Cannabis Science Inc (CS) and Smokefree Innotec Inc (SI) agreed to form a
joint venture to develop and market several high-tech smoke-free vaporized
medical cannabis pharmaceutical products.</t>
  </si>
  <si>
    <t xml:space="preserve">137648
832673</t>
  </si>
  <si>
    <t xml:space="preserve">Physiomics PLC
Jubilant Biosys Ltd</t>
  </si>
  <si>
    <t xml:space="preserve">Provides research,development services
Biotechnology company</t>
  </si>
  <si>
    <t xml:space="preserve">Physiomics PLC, located in
Oxford, the United Kingdom,
is a provider of research
and development services.
The Company is uses
cutting-edge mathematical
models of cancer, supporting
pharmaceutical decision
making throughout the drug
discovery process.
Jubilant Biosys Ltd, based in
Bangalore, India, provides
drug discovery services that
include pre-clinical, in-vivo
and formulation services such
as proprietary products,
exclusive synthesis, active
pharmaceutical ingredients,
sterile injectables (liquids
and lyophilized) products, and
non-steriles (ointments,
creams and liquids)
pharmaceuticals.. It
specializes in
multi-disciplines including
biology, chemistry, structural
biology, pharmacology,
molecular modeling,
crystallography and
information technology. The
company also develops and
distributes ePathArt,
eMolSign, TAS, Anti Bacterial
Database, Antibody database
and Phosphodiesterase
ChemBiobase web-based
software. It has operations in
USA, Europe and Japan. Founded
in 2001.</t>
  </si>
  <si>
    <t xml:space="preserve">Physiomics PLC
Jubilant Organosys Ltd</t>
  </si>
  <si>
    <t xml:space="preserve">PHYSIOMICS PLC/JUBILANT BIOSYS LTD-STRATEGIC ALLIANCE</t>
  </si>
  <si>
    <t xml:space="preserve">Physiomics PLC (Physiomics) and Jubilant Biosys Ltd (Jubilants) formed a
strategic alliance to provide anti-cancer drug development services. The
alliance combined Physiomics modeling expertise in biological processes to
predict the effects of anti-cancer drugs in living systems; and Jubilants
expertise in oncology preclinical in vitro and in vivo assays.</t>
  </si>
  <si>
    <t xml:space="preserve">71893J
48119C</t>
  </si>
  <si>
    <t xml:space="preserve">Shasun Chemicals &amp; Drugs Ltd
Nanoparticle Biochem Inc</t>
  </si>
  <si>
    <t xml:space="preserve">Mnfr,dvlp pharm ingredients
In-Vitro Diagnostic Substance Manufacturing</t>
  </si>
  <si>
    <t xml:space="preserve">Shasun Chemicals &amp; Drugs Ltd,
located in Chennai, India,
manufactures, develops and
sells active pharmaceutical
ingredients, intermediates and
enteric coating excipients.
Its products include
Ibuprofen, Ranitidine,
Nizatidine, Methoxital,
Isradipine, Gabapentine,
Olanzapine, Quinapril and
Meprobamate. The company was
founed in 1976.
Nanoparticle Biochem Inc,
located in Columbia, Missouri,
is a manufacturer of
nano-based diagnostic and
therapy substances, as well as
nano-based antimicrobials.</t>
  </si>
  <si>
    <t xml:space="preserve">SHASUN PHARMACEUTICALS LTD/NANOPARTICLE BIOCHEM INC-JOINT VENTURE</t>
  </si>
  <si>
    <t xml:space="preserve">Shasun NBI LLC, located in
Columbia, Missouri, is a
manufacturer of nano-based
molecule currently developed
for treatment of prostate
cancer. It was founded in
2010.</t>
  </si>
  <si>
    <t xml:space="preserve">Shasun Pharmaceutical Ltd (Shasun) and Nanoparticle Biochem Inc
(Nanoparticle) formed a joint venture named Shasun NBI LLC . Shasun and
Nanoparticle will each hold a 50% interest in the JV. The JV will handle
the operations on the development in the field of Nanotechnology. In Jan
2014, Shasun may acquire 50% interest in the JV.</t>
  </si>
  <si>
    <t xml:space="preserve">The company will invest 2-3 mil over the next 18 months period.</t>
  </si>
  <si>
    <t xml:space="preserve">8A6193</t>
  </si>
  <si>
    <t xml:space="preserve">Y77038
8A6182</t>
  </si>
  <si>
    <t xml:space="preserve">iBio Inc
GE Healthcare</t>
  </si>
  <si>
    <t xml:space="preserve">Biotech co
Manufacture diagnostic imaging equipment</t>
  </si>
  <si>
    <t xml:space="preserve">iBio Inc is a biotechnology
company headquartered in
Newark, Delaware. The company
uses plants as sources of
novel, high quality
nutritional supplements.
supplements.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</si>
  <si>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DE
WI</t>
  </si>
  <si>
    <t xml:space="preserve">iBio Inc
General Electric Co</t>
  </si>
  <si>
    <t xml:space="preserve">IBIO INC/GE HEALTHCARE-STRATEGIC ALLIANCE</t>
  </si>
  <si>
    <t xml:space="preserve">iBio Inc (IB) and GE Healthcare (GE) formed a strategic alliance under
which IB and GE will jointly develop and market -based technology for
producing vaccines or other protein-based medicines.</t>
  </si>
  <si>
    <t xml:space="preserve">451033
36069Q</t>
  </si>
  <si>
    <t xml:space="preserve">Mitsubishi Corp
Battelle Memorial Institute</t>
  </si>
  <si>
    <t xml:space="preserve">Mnfr,whl auto,chem,steel
Pvd research,dvlp svcs</t>
  </si>
  <si>
    <t xml:space="preserve">Mitsubishi Corp,
headquartered in Tokyo,
Japan, operates in seven
business segments. The New
Industrial Finance segment
involves in the asset
management, buyout
investment, leasing and
financing of real estate and
others. The Energy segment
provides petroleum products,
crude oil, liquefied natural
gas and others. The Metal
segment offers steel
products, iron ore,
non-ferrous metal products
and others. The Machinery
segment provides industrial
machinery, automobiles,
vessels and others. The
Chemical segment provides
petrochemicals, fertilizers,
foodstuff, drugs and others.
The Living Essentials
segment provides
distribution services, and
conducts retail-related
business. The Other segment
involves in the finance,
accounting and others. It
was founded in 1950.
Battelle Memorial Institute,
located in Columbus, Ohio,
provides research and
development services and
manage laboratories for
customers. It also provides
cost-effective science and
technology in the areas of
national security, homeland
defense, energy and
environment, health and life
sciences, and transportation
and space. The company was
founded 1989.</t>
  </si>
  <si>
    <t xml:space="preserve">MITSUBISHI CORP/BATTELLE(DNU)- STRATEGIC ALLIANCE</t>
  </si>
  <si>
    <t xml:space="preserve">Mitsubishi Corp (MC) and Battelle Memorial Institute (BM) formed a
strategic alliance to operate business in the field of new energy and
environmental technology.</t>
  </si>
  <si>
    <t xml:space="preserve">606769
07131F</t>
  </si>
  <si>
    <t xml:space="preserve">Orexigen Therapeutics Inc
Takeda Pharmaceutical Co Ltd</t>
  </si>
  <si>
    <t xml:space="preserve">Orexigen Therapeutics Inc,
located in La Jolla,
California, is a
biopharmaceutical company.
It is focused on the
treatment of obesity. Its
product, Contrave, is
approved in the United
States by the United States
Food and Drug Administration
as an adjunct to a
reduced-calorie diet and
increased physical activity
for chronic weight
management in adults with an
initial body mass index
(BMI) of 30 kilograms per
square meter or greater
(obese) or 27 kilograms per
square meter or greater
(overweight) in the presence
of a weight-related comorbid
condition. Contrave is a
combination of generic drug
components, each of which
has received regulatory
approval for other
indications and has been
commercialized in the United
States and in a range of
member countries of the
European Union. The Company
was founded in September
2002.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</si>
  <si>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OREXIGEN THERAPEUTICS INC/TAKEDA YAKUHIN KOUGYOU(DNU)- STRATEGIC ALLIANCE</t>
  </si>
  <si>
    <t xml:space="preserve">Orexigen Therapeutics Inc and Takeda Pharmaceutical Co Ltd formed a
strategic alliance, to develop and commercialize Contrave (naltrexone
SR/bupropion SR), Orexigens investigational drug for the treatment of
obesity, in the United States, Canada and Mexico.</t>
  </si>
  <si>
    <t xml:space="preserve">686164
874058</t>
  </si>
  <si>
    <t xml:space="preserve">Diaceutics Ltd
London Generic Ltd</t>
  </si>
  <si>
    <t xml:space="preserve">Diaceutics Ltd, locared in US,
provides research and
development services. The
company was founded in 2003.
London Genetics Ltd, located
in London, UK, provides
research and development
services.</t>
  </si>
  <si>
    <t xml:space="preserve">DIACEUTICS/LONDON GENETICS - STRATEGIC ALLIANCE</t>
  </si>
  <si>
    <t xml:space="preserve">Diaceutics Ltd and London Generic Ltd formed a strategic alliance to
provide research and development services.</t>
  </si>
  <si>
    <t xml:space="preserve">25326P
54196P</t>
  </si>
  <si>
    <t xml:space="preserve">DuPont
Koninklijke DSM NV</t>
  </si>
  <si>
    <t xml:space="preserve">Mnfr chemical,electronic prod
All Other Miscellaneous Chemical Product and Preparation Manufacturing</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</si>
  <si>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t>
  </si>
  <si>
    <t xml:space="preserve">E I DU PONT DE NEMOURS &amp; CO(DNU)/ROYAL DSM(DNU)- JOINT VENTURE</t>
  </si>
  <si>
    <t xml:space="preserve">El du Pont de Nemours &amp; Co {DuPont} (DP) and Royal DSM NV (RD) planned to
form a joint venture to develop, manufacture and commercialize advanced
surgical biomedical materials.</t>
  </si>
  <si>
    <t xml:space="preserve">263534
N5017D</t>
  </si>
  <si>
    <t xml:space="preserve">Kilpest India Ltd
Biotools Biotechnological</t>
  </si>
  <si>
    <t xml:space="preserve">Pesticide and Other Agricultural Chemical Manufacturing
Biotechnology company</t>
  </si>
  <si>
    <t xml:space="preserve">Kilpest India Ltd is a
manufacturer of agricultural
chemicals. The Company was
founded in 1972 and is
located in Bhopal, India.
Biotools Biotechnological &amp;
Medical Laboratories SA,
headquartered in Madrid,
Spain, is a biotechnology
company focused on research,
development and manufacture of
recombinant enzymes and other
tools for molecular biology,
as well as the development of
new technologies for molecular
diagnostics and biomedical
research. The company was
founded in 1996.</t>
  </si>
  <si>
    <t xml:space="preserve">India
Spain</t>
  </si>
  <si>
    <t xml:space="preserve">Kilpest India Ltd
Laboratorios Inbisa SA</t>
  </si>
  <si>
    <t xml:space="preserve">2879
2835</t>
  </si>
  <si>
    <t xml:space="preserve">KILPEST INDIA LTD/BIOTOOLS BIOTECHNOLOGICAL &amp; MEDICAL- JOINT VENTURE</t>
  </si>
  <si>
    <t xml:space="preserve">Kilpest India Ltd (KI) and Biotools Biotechnological &amp; Medical Laboratories
SA (BM) planned to form ajoint venture to develop and commercialise
diagnostic kits and research tools optimised for the growing public and
private Indian healthcare.</t>
  </si>
  <si>
    <t xml:space="preserve">49392Y
09038W</t>
  </si>
  <si>
    <t xml:space="preserve">Chengdu Tongde Pharm Co Ltd
Shenzhen Hepalink Pharm Co Ltd</t>
  </si>
  <si>
    <t xml:space="preserve">Mnfr,whl pharm
Manufacture pharmaceuticals</t>
  </si>
  <si>
    <t xml:space="preserve">Chengdu Tongde Pharmaceutical
Co Ltd, located in China,
manufactures and wholesales
pharmaceuticals.
Shenzhen Hepalink
Pharmaceutical Co Ltd is a
manufacturer and wholesaler
of pharmaceutical
preparation. The Company was
founded in April 1998 and is
located in Shenzhen, China.</t>
  </si>
  <si>
    <t xml:space="preserve">Chengdu Tongde Industrial Co
Shenzhen Hepalink Pharm Co Ltd</t>
  </si>
  <si>
    <t xml:space="preserve">CHENGDU TONGDE PHARMACEUTICAL CO LTD/HEPALINK PHARMA - JOINT VENTURE</t>
  </si>
  <si>
    <t xml:space="preserve">Chengdu Tongde Pharmaceutical Co Ltd (CT) and Shenzhen Hepalink
Pharmaceutical Co Ltd (HP) planned to form a joint ventture to expand its
operations in the domestic market to bolster growth.</t>
  </si>
  <si>
    <t xml:space="preserve">13157Z
83839R</t>
  </si>
  <si>
    <t xml:space="preserve">Quintiles Transnational Corp
HUYA Bioscience Intl LLC</t>
  </si>
  <si>
    <t xml:space="preserve">Biopharmaceutical company
Manufacture pharmaceuticals</t>
  </si>
  <si>
    <t xml:space="preserve">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
HUYA Bioscience
International LLC,
headquartered in San Diego,
California, is a
pharmaceutical manufacturing
firm. The company has an
office in Shanghai, China.
The company focuses on
biopharmaceutical
innovations originating from
China. They cooperate with
various Chinese
biopharmaceutical companies
and organization for
research and development of
China-sourced pharmaceutical
products. The company was
founded in 2004.</t>
  </si>
  <si>
    <t xml:space="preserve">Quintiles Transnatl Hldg Inc
HUYA Bioscience Intl LLC</t>
  </si>
  <si>
    <t xml:space="preserve">QUINTILES TRANSNATIONAL CORP/HUYA BIOSCIENCE INTERNATIONAL LLC-STRATEGIC
ALLIANCE</t>
  </si>
  <si>
    <t xml:space="preserve">Quintiles Transnational Corp (Quintiles), a unit of Pharma Services Holding
Inc, and HUYA Bioscience International LLC (HUYA) formed a strategic
alliance to develop a cancer drug in China. The alliance was to develop
HBI-8000, a drug sourced by HUYA in the said country. HBI-8000 has entered
a Phase I clinical trial in US under an Investigational New Drug (IND)
application with the US Food and Drug Administration (FDA). Financial terms
were undisclosed.</t>
  </si>
  <si>
    <t xml:space="preserve">748767
44430R</t>
  </si>
  <si>
    <t xml:space="preserve">OBJ Ltd
Fast Moving Consumer Goods Co</t>
  </si>
  <si>
    <t xml:space="preserve">Manufacture medtech equip
Wholesale consumer goods</t>
  </si>
  <si>
    <t xml:space="preserve">OBJ Ltd provides medical
technology solutions. The
company is headquartered in
Leederville, Australia. It
is engaged in the
development of the
dermaportation drug delivery
technology. Its technologies
include dermaportation and
enhanced transdermal polymer
(ETP) technologies are
active transdermal drug
delivery (TDD) platforms
that use electromagnetic
energy fields to control
molecular movement and skin
permeability without
disrupting the skin barrier.
Fast Moving Consumer Goods
Co, located in Egypt,
wholesales consumer goods.</t>
  </si>
  <si>
    <t xml:space="preserve">3845
5099</t>
  </si>
  <si>
    <t xml:space="preserve">Australia
Egypt</t>
  </si>
  <si>
    <t xml:space="preserve">ONJ LIMITED(DNU)/FAST MOVING CONSUMER GOODS CO- STRATEGIC ALLIANCE</t>
  </si>
  <si>
    <t xml:space="preserve">OBJ Ltd (OL) and Fast Moving Consumer Goods Co (FM) planned to form a
strategic alliance to provide research and development services.</t>
  </si>
  <si>
    <t xml:space="preserve">67440J
89997A</t>
  </si>
  <si>
    <t xml:space="preserve">Healtang Co Ltd
Carbosynth Ltd</t>
  </si>
  <si>
    <t xml:space="preserve">Healtang Co Ltd is a
biotechnology company
headquartered in Jinan, China.
The company is also engaged in
distributing its products.
Some of its products are
Health Tang; Healtang
L-Arabinose; Diabet-Ease and
Show-Thin.
Carbosynth Ltd is a
biotechnology company
headquartered in Berkshire,
United Kingdom. The company
primarily produces
carbohydrates and
nucleosides. Some of the
company's products are
fucopyranoside; X-Gal;
PUGNAc; HOPO; ONPG and
others.The company serves as
distributors of CMS
Chemicals Ltd.</t>
  </si>
  <si>
    <t xml:space="preserve">HEALTANG CO LTD/CARBOSYNTH LTD-JOINT VENTURE</t>
  </si>
  <si>
    <t xml:space="preserve">Healtang CoLtd (Healtang)a nd Caabosynth Ltd (Carbosynth) formed a joint
venture in Jinan, China to manufacture and distribute pharmaceutical
products. The joint venture was to have a primary focus on research and
development; production and distribution of active pharmaceutical
ingredients; and pharmaceutical intermediates and nutritional supplements.
Healtang held 75% in the joint venture. The remaining 25% was held by
Carbosynth. Financial terms were undisclosed.</t>
  </si>
  <si>
    <t xml:space="preserve">2A5450
2A5452</t>
  </si>
  <si>
    <t xml:space="preserve">GLG Life Tech Corp
Global AgriSystem Pvt Ltd</t>
  </si>
  <si>
    <t xml:space="preserve">Manufacture stevia
Pvd consulting svcs</t>
  </si>
  <si>
    <t xml:space="preserve">GLG Life Tech Corp, located in
Richmond, British Columbia,
manufactures high grade
stevia, a zero calorie
sweetener. The Company is also
involved in the seed breeding,
propagation and refining
operations and is leading
provider of high grade stevia.
It is also involved in the
development of nutraceuticals,
dietary and food supplements,
vitamins, minerals, and
personal health care products.
The Company was founded in
June 05, 1998.
Global Agrisystem Pvt Ltd,
located in New Delhi, India,
provides consulting service.
The company is engaged in
providing Agricultural
consulting and sale of Fruits
&amp; Vegetables. The company was
founded in 1998.</t>
  </si>
  <si>
    <t xml:space="preserve">2833
8748</t>
  </si>
  <si>
    <t xml:space="preserve">GLG LIFE TECH CORP /GLOBAL AGRISYSTEM PVT LTD- JOINT VENTURE</t>
  </si>
  <si>
    <t xml:space="preserve">GLG Life Tech Corp (GL) and Global Agrisystem Pvt Ltd (GA) planned to form
a joint venture to market, develop and distribute GLG's portfolio of stevia
extracts.</t>
  </si>
  <si>
    <t xml:space="preserve">361793
38278P</t>
  </si>
  <si>
    <t xml:space="preserve">Koninklijke DSM NV
DuPont</t>
  </si>
  <si>
    <t xml:space="preserve">All Other Miscellaneous Chemical Product and Preparation Manufacturing
Mnfr chemical,electronic prod</t>
  </si>
  <si>
    <t xml:space="preserve">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
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t>
  </si>
  <si>
    <t xml:space="preserve">2899
2821</t>
  </si>
  <si>
    <t xml:space="preserve">ROYAL DSM(DNU)/E I DU PONT DE NEMOURS &amp; CO(DNU)- JOINT VENTURE</t>
  </si>
  <si>
    <t xml:space="preserve">El du Pint de Nemours &amp; Co{DuPont} and Royal DSM NV (RD) planned to form
ajoint venture to develop, manufacture and commercialize advanced surgical
biomedical materials. DuPont and RD were to each hold 50% in the JV.</t>
  </si>
  <si>
    <t xml:space="preserve">N5017D
263534</t>
  </si>
  <si>
    <t xml:space="preserve">Emergent Biosolutions Inc
Temasek Life Sciences Lab Ltd</t>
  </si>
  <si>
    <t xml:space="preserve">Manufactures biopharmaceuticals
Pvd research,development svcs</t>
  </si>
  <si>
    <t xml:space="preserve">Emergent Biosolutions Inc is
a manufacturer of
biopharmaceuticals. The
Company focuses on
immunobiotics which includes
vaccines and immune
globulins, that induce or
assist the body's immune
system to prevent or treat
disease. It also
manufactures and markets
BioThrax, also referred to
as anthrax vaccine. It has
offices across the United
States; Munich, Germany;
Wokingham, the United
Kingdom and Singapore. The
Company was founded in 1998
and is located in
Gaithersburg, Maryland.
Temasek Life Sciences
Laboratory Ltd, located in
Singapore, provides research
and development services in
molecular biology and
genetics utilizing a broad
range of model organisms.
The company was founded in
2002.</t>
  </si>
  <si>
    <t xml:space="preserve">EMERGENT BIO SOLUTIONS INC(DNU)/TEMASEK LIFE SCIENCES(DNU)- JOINT VENTURE</t>
  </si>
  <si>
    <t xml:space="preserve">Emergent BioSolutions Inc (EB) and Temasek Life Sciences Laboratory Ltd
(TL) planned to form a joint venture to develop, manufacture, and
commercialize pandemic influenza vaccines and therapeutics.</t>
  </si>
  <si>
    <t xml:space="preserve">29089Q
88266Z</t>
  </si>
  <si>
    <t xml:space="preserve">Innozen Inc
Cure Pharmaceutical Corp</t>
  </si>
  <si>
    <t xml:space="preserve">Mnfr,market pharm prod
Mnfr pharm</t>
  </si>
  <si>
    <t xml:space="preserve">Innozen Inc, located in
Woodland Hills, California,
manufactures, develops, sells
and markets over-the-counter
health products that treat
common consumer health
problems. Its products include
the Suppress Cough strips
which are cough suppressants
available without a
prescription.
Cure Pharmaceutical Corp is
a manufacturer of
pharmaceutical preparation.
The Company is located in
Oxnard, California. The
company manufactures
over-the-counter drugs (for
cough/cold;allergy,etc);
dietary or nutritional
drugs; and veterinary drugs.</t>
  </si>
  <si>
    <t xml:space="preserve">Supplemental Mnfg,Ingredients
Makkanotti Group Corp</t>
  </si>
  <si>
    <t xml:space="preserve">United States
Cyprus</t>
  </si>
  <si>
    <t xml:space="preserve">2834
2673</t>
  </si>
  <si>
    <t xml:space="preserve">INNOZEN INC/CURE PHARMACEUTICAL INC-JOINT VENTURE</t>
  </si>
  <si>
    <t xml:space="preserve">Innozen Inc (Innozen) and Cure Pharmaceutical Inc (Cure) signed a letter of
intent to form a joint venture to develop and manufacture malaria drug
products and other related healthcare products. The joint venture was to
combine Innozen and Cure's technologies; research and development and other
resources. The transaction is currently under negotiation.</t>
  </si>
  <si>
    <t xml:space="preserve">46305V
2A5683</t>
  </si>
  <si>
    <t xml:space="preserve">Solartech Energy Corp
Sino-American Silicon Products
SingTung Investment Ltd</t>
  </si>
  <si>
    <t xml:space="preserve">Mnfr silicon solar cells
Mnfr,whl silicon wafers
Investment company</t>
  </si>
  <si>
    <t xml:space="preserve">Solartech Energy Corp is a
manufacturer of semiconductors
and related device. The
Company was founded in May
2005 and is located in
Hsinchu, Taiwan.
Sino-American Silicon Products
Inc is an electric power
generation facility operator.
The Company was founded in
January 1981 and is located in
Hsinchu, Taiwan.
SingTung Investment Ltd is an
investment company, located in
Taiwan.</t>
  </si>
  <si>
    <t xml:space="preserve">3674
4911
6799</t>
  </si>
  <si>
    <t xml:space="preserve">Taiwan
Taiwan
Taiwan</t>
  </si>
  <si>
    <t xml:space="preserve">SOLARTECH ENERGY CORP/SINO-AMERICAN SILICON PRODUCTS/SINGTUNG- JOINT
VENTURE</t>
  </si>
  <si>
    <t xml:space="preserve">Solartech Energy Corp (SE), Sino-American Silicon Products Inc (SA) and
SingTung Investment Ltd (ST) signed a Memorandum of Understanding {MOU} to
form a joint venture to accelerate the synergy of vertical integration. SE
and SA were to hold a 45% stake each in the JV while ST was to hold the
remaining 10% stake. The transaction was to have a capital of TWD 2 bil
(USD 65.296 mil).</t>
  </si>
  <si>
    <t xml:space="preserve">Electrical &amp; Electronic Services
Research &amp; Development Services</t>
  </si>
  <si>
    <t xml:space="preserve">45.00
45.00
10.00</t>
  </si>
  <si>
    <t xml:space="preserve">The transaction was to have a capital of TWD 2 bil (USD 65.296 mil).</t>
  </si>
  <si>
    <t xml:space="preserve">83259Y
82973F
83894R</t>
  </si>
  <si>
    <t xml:space="preserve">GlaxoSmithKline PLC
Amicus Therapeutics Inc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</si>
  <si>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Amicus Therapeutics Inc,
located in Cranbury, New
Jersey, manufactures and
develops orally-administered
drugs (pharmalogical
chaperones) to treat several
genetic diseases. It had been
able to generate three product
development program focused on
human genetic diseases caused
by mutations in certain
specific genes. the company
was founded in 2002.</t>
  </si>
  <si>
    <t xml:space="preserve">GLAXOSMITHKLINE PLC/AMICUS THERAPEUTICS INC-STRATEGIC ALLIANCE</t>
  </si>
  <si>
    <t xml:space="preserve">GlaxoSmithKline PLC (GS) and Amicus Therapeutics Inc (AT) formed a
strategic alliance under which GS was granted license from AT for the
development and commercialization of and experimental treatment for Fabry
disease. Under the agreement, GS agreed to pay USD 30 mil to license
Amigal, also known as migalastat HCI, and up to USD 170 mil upon reaching
various developments and commercial milestones. GS will also invest USD 31
mil and acquire a 19.9% stake in AT. As per the agreement signed on October
29, 2010 GS and AT are expanding their alliance to develop a treatment for
Fabry disease and GS buying a larger stake in AT. GS agreed to buy USD 18.6
mil AT common shares increasing its stake to 20%.</t>
  </si>
  <si>
    <t xml:space="preserve">GS agreed to pay USD 30 mil to license Amigal, also known as migalastat
HCI, and up to USD 170 mil upon reaching various developments and
commercial milestones. GS will also invest USD 31 mil and acquire a 19.9%
stake in AT. As per the agreement signed on October 29, 2010 GS and AT are
expanding their alliance to develop a treatment for Fabry disease and GS
buying a larger stake in AT. GS agreed to buy USD 18.6 mil AT common shares
increasing its stake to 20%.</t>
  </si>
  <si>
    <t xml:space="preserve">37733W
03152W</t>
  </si>
  <si>
    <t xml:space="preserve">Solazyme Inc
Roquette Freres SA</t>
  </si>
  <si>
    <t xml:space="preserve">Biotechnology company
All Other Miscellaneous Food Manufacturing</t>
  </si>
  <si>
    <t xml:space="preserve">Solazyme Inc, located in
South San Francisco,
California, is a
biotechnology company
focused on the engineering
of algae for production of
biofuels and health and
wellness materials.
Roquette Freres SA engages
in the production of starch
and starch derivatives. It
transforms renewable
resources corn, wheat,
potatoes, and peas into
ingredients for food and
non-food industries
worldwide. The Company was
founded in 1933 and is
located in Lestrem, France.</t>
  </si>
  <si>
    <t xml:space="preserve">2836
2015</t>
  </si>
  <si>
    <t xml:space="preserve">SOLAZYME INC/ROQUETTE FRERES SA- JOINT VENTURE</t>
  </si>
  <si>
    <t xml:space="preserve">Solazyme Inc (SI) and Roquette Freres SA (RF) planned to form a joint
venture to produce, commercialize and to develop of microalgae-derived food
ingredients. SI and RF were to hold 50% interest each. The transaction was
subject to regulatory approvals and notifications. The joint venture was
terminated in June 2013.</t>
  </si>
  <si>
    <t xml:space="preserve">83415T
77674N</t>
  </si>
  <si>
    <t xml:space="preserve">Eisai Co Ltd
FORMA Therapeutics Inc</t>
  </si>
  <si>
    <t xml:space="preserve">Mnfr,whl pharmaceuticals
Biotechnology company</t>
  </si>
  <si>
    <t xml:space="preserve">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December 06,
1941.
FORMA Therapeutics Inc,
located in Cambridge,
Massachusetts, is a
biotechnology company that
aims at integrating
transformative chemistry and
biology to unlock the best
targets and pathways that
genomics medicine has
revealed. It has additional
research operations in
Connecticut, Singapore and
Beijing. The Company was
founded in 2007.</t>
  </si>
  <si>
    <t xml:space="preserve">EISAI CO LTD/FORMA THERAPEUTICS INC - STRATEGIC ALLIANCE</t>
  </si>
  <si>
    <t xml:space="preserve">Eisai Co Ltd and FORMA Therapeutics Inc formed a strategic alliance was to
provide non-exclusive access to FORMAs Diversity Oriented Synthesis (DOS)
chemistry-generated compound library and cell-based screening platforms to
support the discovery of novel compounds for Eisais pipeline.</t>
  </si>
  <si>
    <t xml:space="preserve">282579
34652L</t>
  </si>
  <si>
    <t xml:space="preserve">Lonza Group Ltd
California Peptide Research</t>
  </si>
  <si>
    <t xml:space="preserve">Lonza Group Ltd, located in
Basel, Switzerland, is a
biopharmaceutical company
that manufactures and
develops active ingredients,
peptides, amino acids and
other chemical and biotech
ingredients for the
nutrition, hygiene,
preservation, agro and
personal care markets. The
Company was founded in 1897.
California Peptide Research
Inc, located in Napa,
California, is a biotechnology
company offering custom
peptide synthesis services.
The company also produces
peptides from microgram to
kilogram quantities, using
either solid or liquid phase
methods. It was founded in
1993.</t>
  </si>
  <si>
    <t xml:space="preserve">LONZA LTD(DNU)/CALIFORNIA PEPTIDE RESEARCH INC - STRATEGIC ALLIANCE</t>
  </si>
  <si>
    <t xml:space="preserve">Lonza Group AG and California Peptide Research Inc formed a strategic
alliance to provide customers a more complete peptide offering from
research through commercial supply.</t>
  </si>
  <si>
    <t xml:space="preserve">54338V
13103A</t>
  </si>
  <si>
    <t xml:space="preserve">Oil Co LUKOIL PJSC
Nalco Holding Co</t>
  </si>
  <si>
    <t xml:space="preserve">Manufacture petroleum products
Provide water treatment svcs</t>
  </si>
  <si>
    <t xml:space="preserve">Oil Co LUKOIL PJSC is a
petroleum refinery operator.
The primary activities of
the Company and its
subsidiaries are oil
exploration, production,
refining, marketing and
distribution. Its segments
include Exploration and
Production,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
The Company was founded in
November 1991 and is located
in Moscow, the Russian
Federation.
Nalco Holding Co,
headquartered in Naperville,
Illinois, provides integrated
water treatment and process
improvement services,
chemicals and equipment
programs for industrial and
institutional applications
through its 3 operating
segments namely: (1)
Industrial and Institutional
Services segment, which offers
utility-side water treatment
applications to prevent
corrosion, contamination and
the buildup of harmful
deposits as well as industrial
process applications; (2)
Energy Services segment, which
provides recovery, production
and process enhancement
programs for natural gas,
petroleum and petrochemical
industries as well as water
treatment services to
refineries and petrochemical
plants; and (3) Paper Services
segment, which offers programs
that are used in principal
steps of the papermaking
process in various grades
paper including graphic
grades, board and packaging
and tissue and towel. The
company was founded in 2004.</t>
  </si>
  <si>
    <t xml:space="preserve">2911
4952</t>
  </si>
  <si>
    <t xml:space="preserve">Russian Fed
United States</t>
  </si>
  <si>
    <t xml:space="preserve">LUKOIL HOLDINGS(DNU)/NALCO HOLDING CO- JOINT VENTURE</t>
  </si>
  <si>
    <t xml:space="preserve">NK LUKOIL (NL) and Nalco Holding Co (NH) planned to form a joint venture to
produce chemical reagents in Siberia. NL was to own 34% stake and NH was to
own 66% interest in the joint venture.</t>
  </si>
  <si>
    <t xml:space="preserve">34.00
66.00</t>
  </si>
  <si>
    <t xml:space="preserve">677862
62985Q</t>
  </si>
  <si>
    <t xml:space="preserve">MonoSol LLC
Midatech Group Ltd</t>
  </si>
  <si>
    <t xml:space="preserve">Mnfr water soluble films
Mnfr pharm</t>
  </si>
  <si>
    <t xml:space="preserve">MonoSol LLC, located in
Merrillville, Indiana,
manufacture water soluble
films products for packaging,
waste source reduction,
composite and sheet good
fabrication. The company was
founded in 1953.
Midatech Group Ltd, based in
Oxford, UK, is a manufacturer
of pharmaceuticals. The
company develops
nanoparticle-based proteins
and peptides for therapeutic
delivery utilizing
pharmaceutical films.</t>
  </si>
  <si>
    <t xml:space="preserve">3081
2834</t>
  </si>
  <si>
    <t xml:space="preserve">Catterton Partners Corp
Midatech Group Ltd</t>
  </si>
  <si>
    <t xml:space="preserve">MONOSOL LLC/MIDATECH GROUP LTD- JOINT VENTURE</t>
  </si>
  <si>
    <t xml:space="preserve">Monosoll LLC (ML), a unit of Catterton Partners and Midatech Group Ltd (MG)
planned to form a joint venture to provide buccally delivered insulin with
an appropriate partner.</t>
  </si>
  <si>
    <t xml:space="preserve">61023E
59575X</t>
  </si>
  <si>
    <t xml:space="preserve">Mesoblast Ltd
Cephalon Inc</t>
  </si>
  <si>
    <t xml:space="preserve">Mesoblast Ltd is a
biotechnology company,
headquartered in Melbourne,
Victoria, Australia. It is
committed to the development
of novel treatment for
orthopaedic conditions,
including commercialization
of unique adult stem cells
to regenerate and repair
bone and cartilage. The
company was founded in 2004.
Cephalon Inc, headquartered in
Frazer, Pennsylvania,
manufactures and wholesales
pharmaceutical products. It is
also engaged in the provision
of research and development
for the biopharmaceutical
sector. The company's
proprietary products include,
NUVIGIL(R) Tablets [C-IV],
TREANDA(R) for Injection,
AMRIX(R), FENTORA(R) [C-II],
TRISENOX(R) injection,
GABITRIL(R) PROVIGIL(R)
Tablets [C-IV] and ACTIQ(R)
[C-II]. The company was
founded in 1987.</t>
  </si>
  <si>
    <t xml:space="preserve">MESOBLAST LTD/CEPHALON INC-STRATEGIC ALLIANCE</t>
  </si>
  <si>
    <t xml:space="preserve">Mesoblast Ltd (Mesoblast) and Cephalon Inc (Cephalon) formed a strategic
alliance to develop and commercialize adult stem cell therapeutics. The
therapeutics is for conditions in the central nervous systems and
cardiovascular systems. Included in these conditions are Parkinson's
disease; Alzheimer's disease; congestive heart failure and acute myocardial
infarction. Cephalon will pay USD 130 mil to Mesoblast for exclusive
commercialization worldwide rights of Mesoblasts adult stem cell technology
platform. Phase 2a clinical trials were to be conducted by Mesoblast. Phase
2a commercial supply of products and expenses were also to be shouldered by
Mesoblast. Phase 2b and 3 clinical trials and subsequent commercialization
of products, will be under the responsibility of Cephalon.</t>
  </si>
  <si>
    <t xml:space="preserve">Cephalon will pay USD 130 mil to Mesoblast for exclusive commercialization
worldwide rights of Mesoblasts adult stem cell technology platform</t>
  </si>
  <si>
    <t xml:space="preserve">Q6005U
156708</t>
  </si>
  <si>
    <t xml:space="preserve">China Chengda Engineering Co
Xinjiang 1st Agricultural
Sichuan Meifeng Chemical Grp
Xinjiang Prodn &amp; Constr Corp</t>
  </si>
  <si>
    <t xml:space="preserve">Pvd constr consulting svcs
Whl pesticides,fertilizer
Mnfr chemicals
Provide utilities services</t>
  </si>
  <si>
    <t xml:space="preserve">China Chengda Engineering Co
Ltd, located in China, is a
provider of construction
consulting services.
Xinjiang 1st Agricultural
Division Supply (Group) Co
Ltd, located in China, is a
wholesaler of pesticides and
fertilizers.
Manufacture chemicals
Xinjiang Production &amp;
Construction Corp Agricultural
Construction 1st Division
Tarim Irrigation District
Water Management Office,
located in China, is a
provider utilities services.</t>
  </si>
  <si>
    <t xml:space="preserve">8712
5191
2899
9631</t>
  </si>
  <si>
    <t xml:space="preserve">China
China
China
China</t>
  </si>
  <si>
    <t xml:space="preserve">China Natl Chem Engineering
Peoples Republic of China
Sichuan Meifeng Chemical Grp
Peoples Republic of China</t>
  </si>
  <si>
    <t xml:space="preserve">8711
999A
2899
999A</t>
  </si>
  <si>
    <t xml:space="preserve">CHINA CHENGDA /XINJIANG 1ST AGRICULTURAL /SICHUAN MEIFENG /XINJIANG
PRODUCTION- JOINT VENTURE</t>
  </si>
  <si>
    <t xml:space="preserve">The asset of Sichuan Meifeng
Chemical Industry Co Ltd,
located in Deyang City. The
asset includes ammonia
synthesis equipment.</t>
  </si>
  <si>
    <t xml:space="preserve">Xinjiang 1st Agricultural Division Supply (Group) Co Ltd (XA), Xinjiang
Production &amp; Construction Corp (XP), China Chengda Engineering Co Ltd (CC)
and Sichuan Meifeng Chemical Industry Co Ltd (SM) planned to form a joint
venture to manufacture chemicals. , SM was to own 26%, XA was to own 49%,
XP was to own 15% and CC was to own 10% of the joint venture company.</t>
  </si>
  <si>
    <t xml:space="preserve">10.00
49.00
26.00
15.00</t>
  </si>
  <si>
    <t xml:space="preserve">83963R</t>
  </si>
  <si>
    <t xml:space="preserve">16819T
99372K
82559F
98056E</t>
  </si>
  <si>
    <t xml:space="preserve">Flour Corp
ZAO Sibur Kholding</t>
  </si>
  <si>
    <t xml:space="preserve">Pvd engineering svcs
Manufacture chemical products</t>
  </si>
  <si>
    <t xml:space="preserve">Flour Corp, located in Irving,
Texas, provides engineering,
procurement, construction,
maintenance, and
project-management services to
global clients in diverse
industries.
OAO "SIBUR Kholding",
located in Saint Petersburg,
Russian Federation,
manufactures petrochemical
products. Its product
portfolio includes
hydrocarbon feedstock,
synthetic rubbers, plastics,
mineral fertilizers and
tires. The company is also a
holding company. The company
was founded in 1995.</t>
  </si>
  <si>
    <t xml:space="preserve">8711
2911</t>
  </si>
  <si>
    <t xml:space="preserve">Flour Corp
NPF Gazfond</t>
  </si>
  <si>
    <t xml:space="preserve">8711
6371</t>
  </si>
  <si>
    <t xml:space="preserve">FLOUR CORP/SIBUR(DNU)- JOINT VENTURE</t>
  </si>
  <si>
    <t xml:space="preserve">Flour Corp (FC) and OAO "SIBUR Kholding" (SK) signed a Memorandum of
Understandinf {MoU} to form a joint venture to develop the company into one
of the leading engineering, procurement and construction management service
firms for the oil and gas markets in Russia.</t>
  </si>
  <si>
    <t xml:space="preserve">34340Q
98349Q</t>
  </si>
  <si>
    <t xml:space="preserve">Watson Laboratories Inc
PregLem SA</t>
  </si>
  <si>
    <t xml:space="preserve">Develop pharmaceutical prod
Mnfr biopharmaceuticals</t>
  </si>
  <si>
    <t xml:space="preserve">Develop pharmaceutical
products
PregLem SA, located in Geneva,
Switzerland, manufactures
biopharmaceuticals. The
company is dedicated to the
development and
commercialization of
innovative drugs for womens
reproductive medicine. The
company was founded in June
2006.</t>
  </si>
  <si>
    <t xml:space="preserve">Watson Pharmaceuticals Inc
Gedeon Richter Plc</t>
  </si>
  <si>
    <t xml:space="preserve">United States
Hungary</t>
  </si>
  <si>
    <t xml:space="preserve">WATSON LABORATORIES INC/PREGLEM SA-STRATEGIC ALLIANCE</t>
  </si>
  <si>
    <t xml:space="preserve">Delaware
Foreign</t>
  </si>
  <si>
    <t xml:space="preserve">Watson Laboratories Inc (Watson Lab), a subsidiary of Watson
Pharmaceuticals Inc (Watson Pharm), and PregLem SA (PregLem), a subsidiary
of Gedeon Richetr PLC, formed a strategic alliance to develop and
distribute Esmya(TM) (ulipristal acetate) in US and Canada. Esmya is used
to treat uterine fibroids (myoma). The alliance aims to initiate the US
Phae 3 clinical studies in 2011. Watson Pharm will pay USD 17 mil to
PregLem as license fee and will also pay royalties based on sales of Esmya
in the said markets. The participants were to collaborate on additional
formulations of Esmya, jointly sharing the development costs.</t>
  </si>
  <si>
    <t xml:space="preserve">Watson Pharm will pay USD 17 mil to PregLem as license fee and will also
pay royalties based on sales of Esmya in the said markets.</t>
  </si>
  <si>
    <t xml:space="preserve">94267Q
76470C</t>
  </si>
  <si>
    <t xml:space="preserve">Amyris Inc
Cosan SA Industria e Comercio</t>
  </si>
  <si>
    <t xml:space="preserve">All Other Basic Organic Chemical Manufacturing
Produce,whl sugar,ethanol</t>
  </si>
  <si>
    <t xml:space="preserve">Amyris Inc, headquartered in
Emeryville, California, is a
biotechnology company. It is
focuses in two major
projects namely the
production of the drug
artemisinin to fight malaria
and production of renewable
biofuels to help reduce
global warming. The Company
was founded in 2003.
Cosan SA Industria e Comercio,
based in Sao Paulo, Brazil,
produces sugar and ethanol for
food industries and wholesale
trade, as well as specialty
ethanol for chemical, beverage
and perfume industries. It
sells refined sugar in the
Brazilian retail market
through its "Da Barra" brand.
The Company conducts the sugar
and ethanol operations through
17 mills, 2 sugar refineries
and 2 port terminals operated
by the Company and its
subsidiaries.</t>
  </si>
  <si>
    <t xml:space="preserve">2869
2062</t>
  </si>
  <si>
    <t xml:space="preserve">Amyris Inc
Cosan Ltd</t>
  </si>
  <si>
    <t xml:space="preserve">AMYRIS INC(WAS 03249V)/COSAN SA(DNU)- JOINT VENTURE</t>
  </si>
  <si>
    <t xml:space="preserve">Amyris Inc (AI) and Cosan SA Industria e Comercio (CI) agreed to form a
joint venture to develop, produce and market renewable base oils.</t>
  </si>
  <si>
    <t xml:space="preserve">03236M
22111Y</t>
  </si>
  <si>
    <t xml:space="preserve">EpiTherapeutics A/S
Abbott Labs</t>
  </si>
  <si>
    <t xml:space="preserve">Biotechnology company
Mnfr,whl pharm,med equip</t>
  </si>
  <si>
    <t xml:space="preserve">EpiTherapeutics A/S, located
in Copenhagen, Denmark, is a
biotechnology company.
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t>
  </si>
  <si>
    <t xml:space="preserve">EPITHERAPEUTICS A/S/ABBOTT LABORATORIES-STRATEGIC ALLIANCE</t>
  </si>
  <si>
    <t xml:space="preserve">EpiTherapeutics A/S (EpiTherapeutics) and Abbott Laboratories (Abbott Lab)
formed a three-year strategic alliance to develop new anti-cancer drugs.
The alliance was touse small molecule inhibitors against selected epigentic
oncology targets. EpiTherapeutics was to receive an upfront payment and
funding for research activities. EpiTherapeutics, also, was to receive
milestone payments, and potential royalties. Both participants were to
conduct research activities. Other financial details were not disclosed.</t>
  </si>
  <si>
    <t xml:space="preserve">2A4671
002824</t>
  </si>
  <si>
    <t xml:space="preserve">RaQualia Pharma Inc
Eli Lilly &amp; Co</t>
  </si>
  <si>
    <t xml:space="preserve">Provide medical research svcs
Manufactures,wholesales pharmaceuticals</t>
  </si>
  <si>
    <t xml:space="preserve">RaQualia Pharma Inc, based
in Aichi, Japan, is a
pharmaceutical laboratory
that provides medical
research service. The
company was founded in 2008.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</si>
  <si>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RAQUALIA PHARMA INC/ELI LILLY &amp; CO-STRATEGIC ALLIANCE</t>
  </si>
  <si>
    <t xml:space="preserve">RaQualia Pharma Inc (RaQualia) and Eli Lilly &amp; Co (Eli) entered into an
additional extension of their strategic alliance. Previously on December
20, 2012, RaQualia and Eli extended their strategic alliance. RaQualia and
Eli formed a strategic alliance on December 21, 2010. The alliance will
focus on discovering and developing pre-clinical compounds for a specific
ion channel target that could lead to new pain treatments. RaQualia will
provide pharmacology, medicinal chemistry, and core expertise in drug
discovery, in addition to expertise in producing high quality development
candidates. Lilly will contribute capabilities in drug development and will
conduct preclinical and clinical development studies. Lilly will have
exclusive, worldwide rights to commercialize products that result from the
collaboration. In addition to an undisclosed upfront payment, RaQualia will
be eligible to receive potential research and development, regulatory and
commercialization milestone payments totaling up to USD 172 mil from the
collaboration, as well as royalties on net sales.</t>
  </si>
  <si>
    <t xml:space="preserve">RaQualia will be eligible to receive potential research and development,
regulatory and commercialization milestone payments totaling up to USD 172
mil</t>
  </si>
  <si>
    <t xml:space="preserve">74812Y
532457</t>
  </si>
  <si>
    <t xml:space="preserve">Merrion Pharmaceuticals PLC
Novo Nordisk Diagnostics Ltd</t>
  </si>
  <si>
    <t xml:space="preserve">Mnfr pharm
Mnfr diagnostic substances</t>
  </si>
  <si>
    <t xml:space="preserve">Merrion Pharmaceuticals PLC,
located in Dublin, Ireland,
manufactures pharmaceuticals.
The company's principal
activities are researching,
developing and selling oral
forms tablets and capsules of
drugs that have poor
absorption and are generally
given by injection. It focused
on developing improved oral
dosage forms of drugs with
poor bioavailability. The
company uses Gastrointestinal
Permeation Enhancement
Technology (GIPET) for its
patented oral drug delivery
technologies. The company
operates in Ireland and the
USA.
Manufacture diagnostic
substances</t>
  </si>
  <si>
    <t xml:space="preserve">Ireland-Rep
United Kingdom</t>
  </si>
  <si>
    <t xml:space="preserve">Merrion Pharmaceuticals PLC
Novo Nordisk Foundation</t>
  </si>
  <si>
    <t xml:space="preserve">Ireland-Rep
Denmark</t>
  </si>
  <si>
    <t xml:space="preserve">MERRION PHARMACEUTICALS LTD (NOW 59050C)/NOVO NORDISK DIAGNOSTICS LTD-
STRATEGIC ALLIANCE</t>
  </si>
  <si>
    <t xml:space="preserve">Merrion Pharmaceuticals Ltd (MP) and Novo Nordisk Diagnostics Ltd (NN)
planned to form a strategic alliance to provide research and development
services.</t>
  </si>
  <si>
    <t xml:space="preserve">59050C
67010H</t>
  </si>
  <si>
    <t xml:space="preserve">Sumitomo Chemical Co Ltd
Hodogaya Chemical Co Ltd</t>
  </si>
  <si>
    <t xml:space="preserve">Mnfr,whl chemicals
Mnfr,whl industrial chem</t>
  </si>
  <si>
    <t xml:space="preserve">Sumitomo Chemical Co Ltd,
headquartered in Tokyo,
Japan, has six business
segments: Basic chemical,
such as the manufacture and
sale of inorganic and
organic chemicals, synthetic
fiber materials, metal
acrylate, alumina products
and others; Petrochemical,
including the provision of
petrochemical, synthetic
resin, rubber products and
others; Information and
electronic chemical,
including the supply of
optical goods, color
filters, semiconductors
processing materials, and
electronic materials and
others; Health and
agriculture-related, such as
the manufacture and sale of
agrochemicals, fertilizers,
agricultural materials,
pesticide, dietary additives
and others; Medical
products, including the
provision of medical
products and radioactive
diagnostic products, and
others, encompassing the
supply of vapor and electric
power, the design of
industrial chemical
facilities, as well as the
transportation and warehouse
businesses. It was founded,
September 22, 1913.
Hodogaya Chemical Co Ltd is
headquartered in Tokyo, Japan,
manufactures and wholesales
organic industrial chemicals.
The Company has three business
segments. The Precision
Chemical segment offers
electronic materials, organic
electroluminescence materials,
agricultural chemical-related
products, special chemical
products, pigment materials
and food additives. The
Functional Resin segment
offers polyurethane materials,
functional polymers and
construction materials. The
Fundamental Chemical segment
offers soda chlorate and other
industrial chemicals. The
Company's other businesses
include the transportation and
management of its products and
materials, as well as the
research and development (R&amp;D)
and consignment businesses.
The company was founded in
1916.</t>
  </si>
  <si>
    <t xml:space="preserve">2819
2869</t>
  </si>
  <si>
    <t xml:space="preserve">SUMITOMO CHEMICAL CO LTD/HODOGAYA CHEMICAL CO LTD- JOINT VENTURE</t>
  </si>
  <si>
    <t xml:space="preserve">Sumitomo Chemical Co Ltd (SC) and Hodogaya Chemical Co Ltd (HC) planned to
form a joint venture to provide research and development services. SC was
to own 20% stake in the joint venture while the remaining 80% interest was
to be held by HC.</t>
  </si>
  <si>
    <t xml:space="preserve">20.00
80.00</t>
  </si>
  <si>
    <t xml:space="preserve">865610
43436Q</t>
  </si>
  <si>
    <t xml:space="preserve">OPKO Health Inc
Bristol-Myers Squibb Co</t>
  </si>
  <si>
    <t xml:space="preserve">Mnfr pharm,diagnostic sys prod
Manufactures pharmaceuticals and medical products</t>
  </si>
  <si>
    <t xml:space="preserve">OPKO Health Inc, located in
Miami, Florida, manufactures
pharmaceuticals, diagnostics
systems products, and
instruments for the
treatment, diagnosis, and
management of ophthalmic
disorders. It is also
engaged in molecular
diagnostic platform
technology for the rapid
identification of molecules
or immunobiomarkers;
Alzheimers test for
Alzheimers diagnostic; and
protein-based influenza
vaccines to provide
multi-season and
multi-strain protection
against various influenza
virus strains. The company,
founded in 2006, is focused
on markets in the US, Chile
and Mexico.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</si>
  <si>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OPKO HEALTH INC/BRISTOL-MYERS SQUIBB CO-STRATEGIC ALLIANCE</t>
  </si>
  <si>
    <t xml:space="preserve">Opko Health Inc (Opko) and Bristol-Myers Squibb Co ( Bristol-Myers)
expanded their alliance to include Opko's technology in areas beyond
Alzheimer's research. Previously in December 2010, Opko and Bristol-Myers
formed a strategic alliance for Opko's novel technology for the diagnosis
of Alzheimer's and for identifying individuals with early stage cognitive
impairment that are likely to progress to Alzheimer's. The alliance will
identify biomarkers that are predictive of drug responses in several
therapeutic areas.</t>
  </si>
  <si>
    <t xml:space="preserve">68375N
110122</t>
  </si>
  <si>
    <t xml:space="preserve">Alstom SA
Promelectronica</t>
  </si>
  <si>
    <t xml:space="preserve">Manufacture,wholesale power generation equipment
Dvlp signaling systems</t>
  </si>
  <si>
    <t xml:space="preserve">Alstom SA, located in
Levallois Perret, France,
manufactures and wholesales
power generation equipment.
Its products and services
include steam turbines, gas
turbines and hydroelectric
turbines for nuclear power
plants, rolling stock
including light rail
transit, metro systems,
suburban and regional
trains, urban transport
solutions covering control
centers, automatic train
protection and operation for
driverless trains featuring
point machines, signaling
equipment and switching
systems. The company was
founded in 1928.
Research &amp; Production Centre
"Promelectronica", located in
Ekaterinburg City, Russia,
develops railway signaling and
telecommunication solutions.
The company's products include
ESSO, MPC-I, SGP-MS, MAPS,
MPB, SUMO and control over
radio channel. It was founded
in April 18, 1992.</t>
  </si>
  <si>
    <t xml:space="preserve">3511
3669</t>
  </si>
  <si>
    <t xml:space="preserve">France
Russian Fed</t>
  </si>
  <si>
    <t xml:space="preserve">ALSTOM SA/RESEARCH &amp; PRODUCTION CENTRE "PROMELECTRONICA"-JOINT VENTURE</t>
  </si>
  <si>
    <t xml:space="preserve">Alstom SA (Alstom) and Research &amp; Production Centre "Promelectronica"
(Promelectronica) agreed to form a joint venture to develop and
commercialize CIS market signaling equipment. The JV will distribute Alstom
and Promelectronicas existing range and would also jointly develop new
products. Alstom will hold 51% interest in the JV with Promelectronica
holding the remaining 41% stake.</t>
  </si>
  <si>
    <t xml:space="preserve">Research &amp; Development Services
Software Development Services
Retail &amp; Wholesale Services</t>
  </si>
  <si>
    <t xml:space="preserve">021244
3A6120</t>
  </si>
  <si>
    <t xml:space="preserve">Radient Pharmaceuticals Corp
Bio-Asia Diagnostics Co Ltd</t>
  </si>
  <si>
    <t xml:space="preserve">Pvd cancer detection services
Mnfr diagnostic equipment</t>
  </si>
  <si>
    <t xml:space="preserve">Radient Pharmaceuticals Corp,
located in Tustin, California,
is a biopharmaceutical company
that is engaged in the
development and manufacture of
pharmaceutical and diagnostic
products for monitoring and
skin care products and
detecting cancer diseases. It
has two subsidiaries, AMDL
Diagnostics Inc and Jade
Pharmaceuticals Inc. The
company was founded in 1988.
Bio-Asia Diagnostics Co Ltd,
located in Kowloon, Hong Kong,
manufactures diagnostic
equipment. The company was
founded in 1996.</t>
  </si>
  <si>
    <t xml:space="preserve">RADIENT PHARMACEUTICAL CORP(DNU)/BIO-ASIA DIAGNOSTICS- JOINT VENTURE</t>
  </si>
  <si>
    <t xml:space="preserve">Radient Pharmaceutical Corp (RP) and Bio-Asia Diagnostics Co Ltd (BA)
planned to form a joint venture wherein RP licensed BA to distribute RP's
Onko-Sure IVD cancer test into the Hong Kong healthcare market.</t>
  </si>
  <si>
    <t xml:space="preserve">750341
09295R</t>
  </si>
  <si>
    <t xml:space="preserve">Santaris Pharma A/S
Pfizer Inc</t>
  </si>
  <si>
    <t xml:space="preserve">Santaris Pharma A/S, located
in Horsholm, Denmark, is a
biotechnology company focused
on developing designer drugs
for targeted therapy. It
manufactures oligonucleotide
drugs based on its
proprietary, 3rd generation
RNA analogue, Locked Nucleic
Acid (LNA). The company was
founded in 2003.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</si>
  <si>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SANTARIS PHARMA(DNU)/PFIZER CORP(DNU)-STRATEGIC ALLIANCE</t>
  </si>
  <si>
    <t xml:space="preserve">Santaris Pharma A/S and Pfizer Inc formed a strategic alliance, was to
develop RNA-targeted drugs.</t>
  </si>
  <si>
    <t xml:space="preserve">80284V
717081</t>
  </si>
  <si>
    <t xml:space="preserve">Akorn Inc
Pfizer Inc</t>
  </si>
  <si>
    <t xml:space="preserve">Pharmaceutical Preparation Manufacturing
Manufacture,wholesale pharmaceuticals</t>
  </si>
  <si>
    <t xml:space="preserve">Akorn Inc, located in Lake
Forest, Illinois,
manufactures and wholesales
branded and multi-source
pharmaceutical products
focused on three major
business segments:
Ophthalmology, Hospitals,
and Contract Manufacturing.
It offers antibiotics,
glaucoma treatments,
diagnostic stains and dyes,
and contact lens
accessories. It has
manufacturing facilities
located in Decatur, Illinois
and Somerset, New Jersey.
The Company was founded in
1971.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</si>
  <si>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IL
NY</t>
  </si>
  <si>
    <t xml:space="preserve">AKORN INC/PFIZER INC- JOINT VENTURE</t>
  </si>
  <si>
    <t xml:space="preserve">Akorn Inc (AI) and Pfizer Inc (PI) planned to form a joint venture to sell
16 Abbreviated New Drug Approvals (ANDAs) and 6 filed ANDAs.</t>
  </si>
  <si>
    <t xml:space="preserve">009728
717081</t>
  </si>
  <si>
    <t xml:space="preserve">Revolution Fibres Ltd
New Zealand Extracts Ltd</t>
  </si>
  <si>
    <t xml:space="preserve">Revolution Fibres Ltd,
Auckland, New Zealand, a
biotecgnology company.
New Zealand Extracts Ltd,
located in Blenheim, New
Zealand, a biotechnology
company.</t>
  </si>
  <si>
    <t xml:space="preserve">REVOLUTION FIBRES /NEW ZEALAND EXTRACTS- JOINT VENTURE</t>
  </si>
  <si>
    <t xml:space="preserve">Revolution Fibres Ltd (RF) and New Zealand Extracts Ltd (NE) planned to
form a joint venture to develop and commercialize functional nanofibres and
fabrics.</t>
  </si>
  <si>
    <t xml:space="preserve">76499Z
65027N</t>
  </si>
  <si>
    <t xml:space="preserve">Qteros Inc
Praj Industries Ltd</t>
  </si>
  <si>
    <t xml:space="preserve">Biotechnology company
Mnfr distillery solutions</t>
  </si>
  <si>
    <t xml:space="preserve">Qteros Inc, located in
Marlborough, Massachusetts, a
biotechnology company.
Praj Industries Ltd, located
in Pune, India, manufactures
distillery and brewery
wastewater treatment and
utilization solutions such as
fermentation systems including
technology packages for
multiple feedstock including
cane-molasses, cane juice and
filtrate, starch based raw
material like corn, wheat,
tapioca, tropical sugar-beet
and etc, and produces
distillery technology. The
Company was founded in 1984.</t>
  </si>
  <si>
    <t xml:space="preserve">2836
3559</t>
  </si>
  <si>
    <t xml:space="preserve">QTEROS INC/PRAJ INDUSTRIES LTD- STRATEGIC ALLIANCE</t>
  </si>
  <si>
    <t xml:space="preserve">Qteros Inc (QI) and Praj Industries Ltd (PI) planned to form a strategic
alliance to accelerate commercialization efforts for industrial-scale
cellulosic ethanol production.</t>
  </si>
  <si>
    <t xml:space="preserve">76454X
73993X</t>
  </si>
  <si>
    <t xml:space="preserve">Ligand Pharmaceuticals Inc
Chiva Pharmaceuticals Inc</t>
  </si>
  <si>
    <t xml:space="preserve">Ligand Pharmaceuticals Inc,
headquartered in San Diego,
California, is a
biopharmaceutical company
that focuses on developing
and acquiring technologies
that help pharmaceutical
companies discover and
develop medicines. It is
involved in the development
and licensing of
biopharmaceutical assets. It
employs research
technologies, such as
nuclear receptor assays,
high throughout computer
screening, formulation
science, liver targeted
pro-drug technologies and
antibody discovery
technologies to assist
companies in their work
toward obtaining
prescription drug approvals.
It had partnerships and
license agreements with over
85 pharmaceutical and
biotechnology companies, and
over 140 various programs
under license with it were
in various stages of
commercialization and
development. It has
contributed research and
technologies for approved
medicines that treat cancer,
osteoporosis, fungal
infections and low blood
platelets, among others. The
Company was founded in 1987.
Chiva Pharmaceuticals Inc is a
pharmaceutical manufacturing
firm, headquartered in
California and with another
location in Hainan, China. The
company engages in the
research, development, and
manufacturing of therapeutic
drugs and offers its products
worldwide. The company was
incorporated in 2010.</t>
  </si>
  <si>
    <t xml:space="preserve">LIGAND PHARMACEUTICALS INC/CHIVA PHARMACEUTICALS INC-STRATEGIC ALLIANCE</t>
  </si>
  <si>
    <t xml:space="preserve">Ligand Pharmaceuticals Inc (LP) and Chiva Pharmaceuticals Inc (CP) formed a
strategic alliance to develop multiple Ligand assets and technology in
China.</t>
  </si>
  <si>
    <t xml:space="preserve">53220K
17487A</t>
  </si>
  <si>
    <t xml:space="preserve">Sinochem Group
Koninklijke DSM NV</t>
  </si>
  <si>
    <t xml:space="preserve">Oil,gas exploration,prod co
All Other Miscellaneous Chemical Product and Preparation Manufacturing</t>
  </si>
  <si>
    <t xml:space="preserve">Sinochem Group, located in
Beijing, China, is an oil
and gas exploration and
production company, also
involved wholesaling
fertilizers, pesticides,
seeds and chemicals. It also
develops and operates
commercial and residential
properties as well as
provide financial services
such as financial leasing,
trust management, securities
investment fund, life
insurance, internal
financial company and
financial futures. The
company was founded, March
10 1950.
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t>
  </si>
  <si>
    <t xml:space="preserve">1311
2899</t>
  </si>
  <si>
    <t xml:space="preserve">China
Netherlands</t>
  </si>
  <si>
    <t xml:space="preserve">SINO CHEM CORP(DNU)/ROYAL DSM(DNU)- JOINT VENTURE</t>
  </si>
  <si>
    <t xml:space="preserve">Sinochem Corp (SC) and Royal DCM NV (RD) agreed to form a joint venture to
establish anti-infectives globally. SC and RD were to each hold a 50%
interest in the joint venture. The value of the transaction is EUR 210 mil
(USD 276.3 mil).</t>
  </si>
  <si>
    <t xml:space="preserve">The value of the transaction is EUR 210 mil (USD 276.3 mil).</t>
  </si>
  <si>
    <t xml:space="preserve">83003M
N5017D</t>
  </si>
  <si>
    <t xml:space="preserve">GlaxoSmithKline PLC
Epizyme Inc</t>
  </si>
  <si>
    <t xml:space="preserve">Pharmaceutical Preparation Manufacturing
Rsch,dev histone methyltransfe</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</si>
  <si>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Epizyme Inc, located in
Cambridge, Massachusetts is
focused on the research and
development of small
molecule histone
methyltransferase (HMT)
inhibitors that is used for
the treatment of cancer and
other diseases based on
epigenetics. The company was
founded in 2007.</t>
  </si>
  <si>
    <t xml:space="preserve">GLAXOSMITHKLINE PLC/EPIZYME INC-STRATEGIC ALLIANCE</t>
  </si>
  <si>
    <t xml:space="preserve">GlaxoSmithKline plc (GP) and EpiZyme, Inc (EI) formed a strategic alliance
for the research an development of small molecule therapeutics targeting
histone methyltransferases (HMTs). Under the agreement, EI will be in
charge of the research and deelopment and GP will be in charge of the
commercialization. EI is eligible to receive up to USD 630 mil in milestone
payments.</t>
  </si>
  <si>
    <t xml:space="preserve">EI is eligible to receive up to USD 630 mil in milestone payments.</t>
  </si>
  <si>
    <t xml:space="preserve">37733W
29428V</t>
  </si>
  <si>
    <t xml:space="preserve">Boehringer Ingelheim Pharma
Eli Lilly &amp; Co</t>
  </si>
  <si>
    <t xml:space="preserve">Mnfr pharmaceuticals
Manufactures,wholesales pharmaceuticals</t>
  </si>
  <si>
    <t xml:space="preserve">Boehringer Ingelheim
Pharmaceuticals Inc, located
in Ridgefield, Connecticut,
is a manufacturer of
pharmaceutical preparation.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</si>
  <si>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CT
IN</t>
  </si>
  <si>
    <t xml:space="preserve">CH Boehringer Sohn AG &amp; Co KG
Eli Lilly &amp; Co</t>
  </si>
  <si>
    <t xml:space="preserve">BOEHRINGER INGELHEIM PHARMACEUTICALS INC/ELI LILLY &amp; CO-STRATEGIC ALLIANCE</t>
  </si>
  <si>
    <t xml:space="preserve">Boehringer Ingelheim Pharmaceuticals Inc (Boehringer), a unit of Boehringer
Ingelheim GmbH'S Boehringer Ingelheim International GmbH) and Eli Lilly &amp;
Co (Eli) formed a strategic alliance to develop four diabetes compounds and
commercialize these compounds worldwide. The alliance includes two of
Boehringer's oral diabetes agents namely linagliptin and BI10773; and Eli's
two basal insulin analogues: LY2605541 and LY2963016. The option to
co-develop and co-commercialize Eli's anti-TGD-beta monoclonal antibody is
also included in the alliance. The development and commercializtion of the
novel basal insulin analog LY2605541 was terminated from the alliance,
January 07, 2013. The alliance will continue its services for Trajenta,
empagliflozin and LY2963016, a new insulin glargine product.</t>
  </si>
  <si>
    <t xml:space="preserve">09689C
532457</t>
  </si>
  <si>
    <t xml:space="preserve">Actavis Group hf
Bioton Sa</t>
  </si>
  <si>
    <t xml:space="preserve">Mnfr generic pharma products
Pharmaceutical Preparation Manufacturing</t>
  </si>
  <si>
    <t xml:space="preserve">Actavis Group hf, based in
Hafnarfjordur, Iceland,
manufactures generic
pharmaceutical products. Its
products include tablets and
capsules, injectables,
infusions, suppositories,
suspensions, creams and
ointments. It also operates in
over 40 countries around the
globe. The company was founded
in 1956.
Bioton SA, located in
Warsaw, Poland, is a
biotechnology and
pharmaceutical company. Its
products portfolio includes
Recombinant human insulin,
Glimepiride, Cephalosporine
antibiotics, Aminoglycoside
antibiotics, Macrolide
antibiotics, Anthracyclines,
and Antimetabolites. It has
offices in Switzerland,
Italy, Ukraine, Russia,
Cyprus, Kazakhstan, India,
South Korea, Singapore and
Australia. The company was
founded in 1989.</t>
  </si>
  <si>
    <t xml:space="preserve">Iceland
Poland</t>
  </si>
  <si>
    <t xml:space="preserve">ACTAVIS GROUP(DNU)/GRUPA BIOTON(DNU)- JOINT VENTURE</t>
  </si>
  <si>
    <t xml:space="preserve">Poland</t>
  </si>
  <si>
    <t xml:space="preserve">Actavis Group HF (AG) and Bioton SA (BS) planned to form a joint venture to
develop and market insulin and analog insulin.</t>
  </si>
  <si>
    <t xml:space="preserve">71740H
09022A</t>
  </si>
  <si>
    <t xml:space="preserve">Merck Serono SA
Domain Therapeutics SA</t>
  </si>
  <si>
    <t xml:space="preserve">Biotech co
Mnfr biopharmaceutical prod</t>
  </si>
  <si>
    <t xml:space="preserve">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
Domain Therapeutics SA,
headquartered in Strasbourg,
France, is a
biopharmaceutical company.
It develops small molecules
targeting G-coupled Protein
Receptors.</t>
  </si>
  <si>
    <t xml:space="preserve">Merck KGaA
Domain Therapeutics SA</t>
  </si>
  <si>
    <t xml:space="preserve">MERCK SERONO SA/DOMAIN THERAPEUTICS SA-STRATEGIC ALLIANCE</t>
  </si>
  <si>
    <t xml:space="preserve">Merck Serono SA and Domain Therapeutics SA formed a strategic alliance, to
develop metabotropic glutamate receptor 4 (mGluR4) Positive Allosteric
Modulator (PAM) drugs.</t>
  </si>
  <si>
    <t xml:space="preserve">Exclusive Licensing Services
Licensing Services
Research &amp; Development Services
Manufacturing Services</t>
  </si>
  <si>
    <t xml:space="preserve">589345
25720V</t>
  </si>
  <si>
    <t xml:space="preserve">Wolters Kluwer Health LLC
Medicom Inc</t>
  </si>
  <si>
    <t xml:space="preserve">Publish medical journals
Pvd drug info svcs</t>
  </si>
  <si>
    <t xml:space="preserve">Wolters Kluwer Health LLC,
located in Ambler,
Pennsylvania, publishes
medical journals, textbooks,
bibliographic, reference,
pharmaceutical databases and
drug information software
solutions, point-of-care
tools, Web-based information
systems, and online
education products for
health care professionals;
online resources for
researches, clinicians,
practitioners, educators,
and students. The company
was founded in 1978.
Medicom Inc, located in
Chengdu, China, provides drugs
information services.</t>
  </si>
  <si>
    <t xml:space="preserve">2721
7373</t>
  </si>
  <si>
    <t xml:space="preserve">Wolters Kluwer NV
Medicom Inc</t>
  </si>
  <si>
    <t xml:space="preserve">2731
7373</t>
  </si>
  <si>
    <t xml:space="preserve">WOLTERS KLUWER HEALTH/MEDICOM- JOINT VENTURE</t>
  </si>
  <si>
    <t xml:space="preserve">Wolters Kluwer Health Inc (WK) and Medicom Inc (MI) formed a joint venture
to provide clinical and drug information for doctors, pharmacists and
hospitals. The JV offer expanded Clinical Decision Support (CDS) and drug
information services.</t>
  </si>
  <si>
    <t xml:space="preserve">97791E
58335X</t>
  </si>
  <si>
    <t xml:space="preserve">Alum Corp Of China
Guangxi Nonferrous Metal Grp</t>
  </si>
  <si>
    <t xml:space="preserve">Mnfr,whl alumina,aluminum prod
Produce rare earth prod</t>
  </si>
  <si>
    <t xml:space="preserve">Aluminum Corp of China,
located in China,
manufactures and wholesales
alumina, primary aluminum
and fabricated aluminum
products. The company also
acts as an investment
management and holding
company. It was founded in
2001.
Guangxi Nonferrous Metal Group
Rare Earth Development Co Ltd,
located in China, produces
rare earth product.</t>
  </si>
  <si>
    <t xml:space="preserve">3334
1099</t>
  </si>
  <si>
    <t xml:space="preserve">ALUMINUM CORP OF CHINA {CHINALCO}/GUANGXI NONFERROUS METAL GROUP RARE-
JOINT VENTURE</t>
  </si>
  <si>
    <t xml:space="preserve">Aluminum Corp of China and Guangxi Nonferrous Metal Group Rare Earth
Development Co Ltd formed a joint venture. Originally, Aluminum Corp of
China{CHINALCO} (AC) and Guangxi Nonferrous Metal Group Rare Earth
Development Co Ltd (GN) planned to form a joint venture to develop rare
earths in China.</t>
  </si>
  <si>
    <t xml:space="preserve">02226L
39867V</t>
  </si>
  <si>
    <t xml:space="preserve">Yabao Pharmaceutical Group Co
Frontage Laboratories Inc</t>
  </si>
  <si>
    <t xml:space="preserve">Mnfr,whl pharmaceuticals
Pvd research,dvlp svcs</t>
  </si>
  <si>
    <t xml:space="preserve">Yabao Pharmaceutical Group
Co Ltd is a manufacturer of
pharmaceutical preparation.
The Company was founded in
January 1999 and is located
in Yuncheng, China.
Frontage Laboratories Inc,
headquartered in Malvern,
Pennsylvania, provides
bioanalytical, pre-clinical
and drug development
services to the
pharmaceutical industry.</t>
  </si>
  <si>
    <t xml:space="preserve">YA BAO PHARMACEUTICAL GROUP CO LTD(DNU)/FRONTAGE LABORATORIES INC- JOINT
VENTURE</t>
  </si>
  <si>
    <t xml:space="preserve">Yabao Pharmaceuticals Group Co Ltd (YP) and Frontage Laboratories Inc (FL)
planned to form a joint venture to develop sustained release technologies.</t>
  </si>
  <si>
    <t xml:space="preserve">99280T
46750P</t>
  </si>
  <si>
    <t xml:space="preserve">Nagarjuna Fertilizers &amp; Chem
Nextstep GmbH
PSC Polysilane Chemicals GmbH
REV Renewable Energy Ventures</t>
  </si>
  <si>
    <t xml:space="preserve">Manufacture,whl fertilizers
Pvd info tech training svcs
Mnfr rubber,plastic products
Electric utility</t>
  </si>
  <si>
    <t xml:space="preserve">Nagarjuna Fertilizers &amp;
Chemicals Ltd, located in
Hyderabad, India, manufactures
and wholesales fertilizers.
The Company was founded in
1985.
Nextstep GmbH, located in
Stuttgart, Germany, provides
information technology
training services.
PSC Polysilane Chemicals GmbH,
located in Germany,
manufacture rubber and plastic
products.
REV Renewable Energy Ventures
Inc, located in Switzerland,
an electric utility.</t>
  </si>
  <si>
    <t xml:space="preserve">2873
8243
3069
4911</t>
  </si>
  <si>
    <t xml:space="preserve">India
Germany
Germany
Switzerland</t>
  </si>
  <si>
    <t xml:space="preserve">NAGARJUNA FERTILISERS &amp; CHEM(DNU)/NEXTSTEP GMBH/PSC POLYSILANCE CHEMICALS
GMBH/REV RENEWABLE ENERGY VENTURES - JOINT VENTURE</t>
  </si>
  <si>
    <t xml:space="preserve">Nagarjuna Fertilizers &amp; Chemicals Ltd (NF) , Nextstep GmbH (NG), PSC
Polysilane Chemicals GmbH (PP) and REV Renewable Energy Ventures ZUG (RR)
planned to form a joint venture to manufacture chemicals for solar energy
and semiconductor applications in Germany.</t>
  </si>
  <si>
    <t xml:space="preserve">62974T
65868M
69725W
76535N</t>
  </si>
  <si>
    <t xml:space="preserve">Boehringer Ingelheim GmbH
Elan Corp PLC</t>
  </si>
  <si>
    <t xml:space="preserve">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Elan Corp PLC, located in
Dublin, Ireland, is a
neuroscience-based
biotechnology company. It
focuses on discovering,
developing, manufacturing and
marketing advanced therapies
in neurology, autoimmune
diseases, and severe pain. It
also manufactures
pharmaceuticals. The company
was founded in 1969.</t>
  </si>
  <si>
    <t xml:space="preserve">Germany
Ireland-Rep</t>
  </si>
  <si>
    <t xml:space="preserve">CH Boehringer Sohn AG &amp; Co KG
Blisfont Ltd</t>
  </si>
  <si>
    <t xml:space="preserve">BOEHRINGER INGELHEIM GMBH/ELAN CORP(DNU)- JOINT VENTURE</t>
  </si>
  <si>
    <t xml:space="preserve">Boehringer Ingelheim GmbH (BI) and Elan Corp PLC (EC) planned to form a
joint venture to perform the technical development, clinical manufacturing
and all related regulatory filing support services for antibodies.</t>
  </si>
  <si>
    <t xml:space="preserve">09710W
284131</t>
  </si>
  <si>
    <t xml:space="preserve">Anacor Pharmaceuticals Inc
Medicis Pharmaceutical Corp</t>
  </si>
  <si>
    <t xml:space="preserve">Biopharma co
Mnfr dermatological prod</t>
  </si>
  <si>
    <t xml:space="preserve">Anacor Pharmaceuticals Inc,
located in Palo Alto,
California, is a
biopharmaceutical company.
It is focused on the
discovery, development, and
manufacturing of novel
small-molecule therapeutics.
Its product portfolio
includes medicines, vaccines
and medical devices and
other internally discovered
topical and systemic
boron-based compounds in
early stages of research and
development.
Medicis Pharmaceutical Corp
manufactures dermatological,
pediatric and podiatric
products. The company is
headquartered in Scottsdale,
Arizona. Its products include
Restylane, Perlane, Dynacin,
Loprox, Plexion, Solodyn,
Triaz, Lidex, Vanos, Ziana,
Buphenyl, Ammonul, and
Esoterica. It was founded in
1988.</t>
  </si>
  <si>
    <t xml:space="preserve">CA
AZ</t>
  </si>
  <si>
    <t xml:space="preserve">ANACOR PHARMACEUTICALS INC/MEDICIS PHARMACEUTICAL- JOINT VENTURE</t>
  </si>
  <si>
    <t xml:space="preserve">Anacor Pharmacueticals Inc (AP) and Medicis Pharmaceutical Corp (MP)
planned to form a joint venture to develop boron-based small molecule
compounds.</t>
  </si>
  <si>
    <t xml:space="preserve">032420
584690</t>
  </si>
  <si>
    <t xml:space="preserve">Samsung Fine Chemicals Co Ltd
MEMC Electronic Materials Inc</t>
  </si>
  <si>
    <t xml:space="preserve">Mnfr chemical products
Mnfr,wholesale silicon wafers</t>
  </si>
  <si>
    <t xml:space="preserve">Samsung Fine Chemicals Co
Ltd, located in Ulsan, South
Korea, manufactures chemical
products. The Company's
product portfolio consists
of general chemicals,
including ammonia, urea,
caustic soda and methanol;
fine chemicals, including
mecellose, propyl
trimethylammonium chloride
(PTAC), epichlorohydrin
(ECH) and others, which are
used in construction,
painting, chemicals and
other industries, as well as
electronic chemical
materials, including barium
tianate powder (BTP) used as
materials of multi-layer
ceramic capacitors (MLCCs),
tetramethylammonium chloride
(TMAC) used as raw materials
of semiconductor
development, toner used for
printers and others. It
distributes its products
within domestic market and
to overseas markets. On
April 23, 2014, it sold its
entire shares of Samsung
Life Insurance co., Ltd. It
was founded in 1964.
MEMC Electronic Materials
Inc, headquartered in St.
Peters, Missouri,
manufactures and wholesales
silicon wafers used to
manufacture semiconductors
that are employed in all
types of microelectronic
applications, including
computer systems,
telecommunications
equipment, automobiles,
consumer electronics
products, industrial
automation and control
systems, and analytical and
defense systems. The company
has design and development
facilities in the US, Europe
and Asia Pacific. The
company was founded in 1959.</t>
  </si>
  <si>
    <t xml:space="preserve">2873
3674</t>
  </si>
  <si>
    <t xml:space="preserve">SAMSUNG FINE CHEMICALS CO LTD/MEMC(DNU)- JOINT VENTURE</t>
  </si>
  <si>
    <t xml:space="preserve">Samsung Fine Chemicals Co Ltd (SF) and MEMC Electronic Materials Inc (ME)
planned to form a joint venture to set up polysilicon business.</t>
  </si>
  <si>
    <t xml:space="preserve">79604H
552715</t>
  </si>
  <si>
    <t xml:space="preserve">Smart Communications Inc
Huawei Technologies Inc</t>
  </si>
  <si>
    <t xml:space="preserve">Pvd wireless telecommun svcs
Telephone Apparatus Manufacturing</t>
  </si>
  <si>
    <t xml:space="preserve">Smart Communications Inc,
headquartered in Makati,
Philippines, is engaged in
providing wireless
telecommunication services
including cellular mobile
services, inter-exchange
carrier services, messaging
and paging services, and local
exchange carrier services. It
was founded in 1991.
Huawei Technologies Inc is
located in Makati, the
Philippines. The Company is a
manufacturer of telephone
apparatuses.</t>
  </si>
  <si>
    <t xml:space="preserve">4812
3661</t>
  </si>
  <si>
    <t xml:space="preserve">Philippines
Philippines</t>
  </si>
  <si>
    <t xml:space="preserve">Philippine Long Distance Tele
Union of Huawei Invest &amp; Hldg</t>
  </si>
  <si>
    <t xml:space="preserve">Philippines
China</t>
  </si>
  <si>
    <t xml:space="preserve">4813
6799</t>
  </si>
  <si>
    <t xml:space="preserve">SMART COMMUNICATIONS INC/HUAWEI TECHNOLOGIES INC-STRATEGIC ALLIANCE</t>
  </si>
  <si>
    <t xml:space="preserve">Philippines</t>
  </si>
  <si>
    <t xml:space="preserve">Smart Communications Inc and Huawei Technologies Inc formed a strategic
alliance to conduct research and development on 5G wireless broadband
technology.</t>
  </si>
  <si>
    <t xml:space="preserve">83173Y
3F2210</t>
  </si>
  <si>
    <t xml:space="preserve">Sharon Bio-Medicine Ltd
Uzpharmsanoat</t>
  </si>
  <si>
    <t xml:space="preserve">Sharon Bio-Medicine Ltd,
located in Navi Mumbai, is a
pharmaceuticals manufacturer
and wholesaler. It
manufactures APIs and key
intermediates which includes
chemical intermediates, bulk
actives and pharmaceutical
formulations, Trimetazidine Di
Hydrochloride Ketoconzole and
Pantaprazole. The company was
founded in 1995.
Uzpharmsanoat, located in
Tashkent, Uzbekistan,
manufactures pharmaceuticals.
The company was founded
in1993.</t>
  </si>
  <si>
    <t xml:space="preserve">India
Uzbekistan</t>
  </si>
  <si>
    <t xml:space="preserve">Sharon Bio-Medicine Ltd
Uzbekistan</t>
  </si>
  <si>
    <t xml:space="preserve">2834
999A</t>
  </si>
  <si>
    <t xml:space="preserve">SHARON BIO-MEDICINE LTD/UZPHARMSANOAT- JOINT VENTURE</t>
  </si>
  <si>
    <t xml:space="preserve">Uzbekistan</t>
  </si>
  <si>
    <t xml:space="preserve">Sharon Bio-Medicine Ltd (SB) and Uzpharmsanoat (UZ) signed a memorandum of
understanding to form a joint venture in Uzbekistan.</t>
  </si>
  <si>
    <t xml:space="preserve">82127L
91987P</t>
  </si>
  <si>
    <t xml:space="preserve">Insulet Corp
GlaxoSmithKline Inc</t>
  </si>
  <si>
    <t xml:space="preserve">Mnfr,whl medical devices
Pvd research,dvlp svcs</t>
  </si>
  <si>
    <t xml:space="preserve">Insulet Corporation, located
in Bedford, Massachusetts,
manufactures and wholesales
medical services for providing
superior treatment options and
lifelong health benefits for
people with diabetes. It
offers OmniPod Insulin
Management System (OmniPod
System), an insulin infusion
system that provides a
pain-free automated cannula
insertion. The company was
founded in August 2000.
Provide research and
development services;
manufacture pharmaceuticals
such as prescription
medicines, and vaccine for the
protection of hepatitis A and
B, measles, mumps and rubella,
meningitis A and C, and
typhoid fever</t>
  </si>
  <si>
    <t xml:space="preserve">INSULET CORP/GLAXOSMITHKLINE INC-STRATEGIC ALLIANCE</t>
  </si>
  <si>
    <t xml:space="preserve">Insulet Corp and GlaxoSmithKline Inc formed a strategic alliance to provide
License Glaxosmithkline Inc to distribute Insulet Corp's OmniPod insulin
management system.</t>
  </si>
  <si>
    <t xml:space="preserve">45784P
37738Z</t>
  </si>
  <si>
    <t xml:space="preserve">Eisai Co Ltd
Sanofi-Aventis SA</t>
  </si>
  <si>
    <t xml:space="preserve">Mnfr,whl pharmaceuticals
Manufacture pharmaceuticals</t>
  </si>
  <si>
    <t xml:space="preserve">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December 06,
1941.
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t>
  </si>
  <si>
    <t xml:space="preserve">EISAI CO LTD/SANOFI-AVENTIS GROUP(DNU)- JOINT VENTURE</t>
  </si>
  <si>
    <t xml:space="preserve">Eisai Co Ltd (EC) and Sanofi-Aventis SA (SA) planned to form a joint
venture to develop and sell vaccines globally.</t>
  </si>
  <si>
    <t xml:space="preserve">282579
80105N</t>
  </si>
  <si>
    <t xml:space="preserve">Farmsintez
ISKCh PAO
Rusnano JSC</t>
  </si>
  <si>
    <t xml:space="preserve">Mnfr pharmaceutical products
Biotechnology company
Other Financial Vehicles</t>
  </si>
  <si>
    <t xml:space="preserve">OAO "Farmsintez",
headquartered in Kuzmovolskiy
Russian Federation,
manufactures pharmaceutical
drugs and ingredients. The
company was founded in 1996.
Institut Stvolovykh Kletok
Cheloveka PAO is a
biotechnology company. It is
engaged in commercialization
and marketing of proprietary
products and services in the
field of regenerative
medicine, medical genetics,
bio-insurance, gene therapy,
biopharmaceutics. The
Company owns family cord
blood stem cell bank as well
as the reproductive cell and
tissue bank. The Institute
also is the main publisher
of the scientific journal
"Cellular Transplantation
and Tissue Engineering". The
Company was founded in 2003
and is located in Moscow,
the Russian Federation.
Rusnano JSC is a private
equity and venture capital
fund. The Company was
founded in 2007 and is
located in Moscow, the
Russian Federation.</t>
  </si>
  <si>
    <t xml:space="preserve">2834
2836
6726</t>
  </si>
  <si>
    <t xml:space="preserve">Russian Fed
Russian Fed
Russian Fed</t>
  </si>
  <si>
    <t xml:space="preserve">EphaG AS
ISKCh PAO
Rusnano JSC</t>
  </si>
  <si>
    <t xml:space="preserve">Estonia
Russian Fed
Russian Fed</t>
  </si>
  <si>
    <t xml:space="preserve">PHARMSINTEZ/HUMAN STEMCELL INSTITUTE OJSC(DNU)/THE RUSSIAN NANOTECHNOLOGY
CORP(DNU)- JOINT VENTURE</t>
  </si>
  <si>
    <t xml:space="preserve">OAO "Farmsintez" (OF), OAO "Institut Stvolovykh Kletok Cheloveka" (OI) and
Gosudarstvennaya Korporatsiya "Rossiyskaya Korporatsiya Nanotekhnologiy"
(GK) planned to form a joint venture to build a pharmaceuticals plant in
Leningrad region.</t>
  </si>
  <si>
    <t xml:space="preserve">33.00
33.00
33.00</t>
  </si>
  <si>
    <t xml:space="preserve">31519F
67281C
78260Z</t>
  </si>
  <si>
    <t xml:space="preserve">Zhejiang Medicine Co Ltd
MediciNova Inc</t>
  </si>
  <si>
    <t xml:space="preserve">Mnfr,whl pharmaceuticals
Biopharmaceutical company</t>
  </si>
  <si>
    <t xml:space="preserve">Zhejiang Medicine Co Ltd
located in Shaoxing, China
is a manufacturer of
pharmaceutical preparation.
The Company was founded in
May 1997.
MediciNova Inc, located in San
Diego, California, is a
biopharmaceutical company,
engaged in acquiring and
developing novel,
small-molecule therapeutics
for the treatment of serious
diseases focused on the United
States market. Through
strategic alliances, primarily
with Japanese pharmaceutical
companies, it holds rights to
a diversified portfolio of
clinical and preclinical
product candidates. The
company was founded in 2000.</t>
  </si>
  <si>
    <t xml:space="preserve">ZHEJIANG MEDICINE CO LTD/MEDICINOVA INC- JOINT VENTURE</t>
  </si>
  <si>
    <t xml:space="preserve">Zhejiang Medicine Co Ltd (ZM) and MediciNova Inc (MN) planned to form a
joint venture to develop and commercialise MediciNova's asthma and chronic
obstructive pulmonary disease (COPD) drug candidate MN-221 for the Chinese
market. The transaction was subject to regulatory approval.</t>
  </si>
  <si>
    <t xml:space="preserve">99037P
58468P</t>
  </si>
  <si>
    <t xml:space="preserve">S&amp;P Pharmaceutical Co Ltd
Undisclosed JV Partner</t>
  </si>
  <si>
    <t xml:space="preserve">Mnfr,whl wire,cable prod
Investment company</t>
  </si>
  <si>
    <t xml:space="preserve">S &amp; P Pharmaceutical Co Ltd,
located in China,
manufactures and wholesales
wire and cable products. It
also manufactures
pharmaceuticals. The company
was founded in 1994.
Investment company</t>
  </si>
  <si>
    <t xml:space="preserve">3357
6799</t>
  </si>
  <si>
    <t xml:space="preserve">Far E Hldg Grp Co Ltd
Undisclosed JV Partner</t>
  </si>
  <si>
    <t xml:space="preserve">S&amp;P PHARMACEUTICAL CO LTD(WAS 86832E)/UNDISCLOSED JOINT VENTURE PARTNER-
JOINT VENTURE</t>
  </si>
  <si>
    <t xml:space="preserve">S&amp;P Pharmaceutical Co Ltd (SP) and an undisclosed joint venture partner
planned to form a joint venture to provide research services for in-vitro
diagnostics for pre-diagnosing organ and stem cell transplant rejections.
SP was to hold a 60% interest in the JV. The JV was to be capitalized CNY
20 mil (USD 3.052 mil).</t>
  </si>
  <si>
    <t xml:space="preserve">The JV was to be capitalized CNY 20 mil (USD 3.052 mil).</t>
  </si>
  <si>
    <t xml:space="preserve">86616Q
904JVP</t>
  </si>
  <si>
    <t xml:space="preserve">Bioton Sa
Actavis Group hf</t>
  </si>
  <si>
    <t xml:space="preserve">Pharmaceutical Preparation Manufacturing
Mnfr generic pharma products</t>
  </si>
  <si>
    <t xml:space="preserve">Bioton SA, located in
Warsaw, Poland, is a
biotechnology and
pharmaceutical company. Its
products portfolio includes
Recombinant human insulin,
Glimepiride, Cephalosporine
antibiotics, Aminoglycoside
antibiotics, Macrolide
antibiotics, Anthracyclines,
and Antimetabolites. It has
offices in Switzerland,
Italy, Ukraine, Russia,
Cyprus, Kazakhstan, India,
South Korea, Singapore and
Australia. The company was
founded in 1989.
Actavis Group hf, based in
Hafnarfjordur, Iceland,
manufactures generic
pharmaceutical products. Its
products include tablets and
capsules, injectables,
infusions, suppositories,
suspensions, creams and
ointments. It also operates in
over 40 countries around the
globe. The company was founded
in 1956.</t>
  </si>
  <si>
    <t xml:space="preserve">Poland
Iceland</t>
  </si>
  <si>
    <t xml:space="preserve">BIOTON SA/ACTAVIS GROUP HF- JOINT VENTURE</t>
  </si>
  <si>
    <t xml:space="preserve">Bioton SA (BS) and Actavis Group HF (AG) planned to form a joint venture
for the development and commercialisation of BS's insulin.</t>
  </si>
  <si>
    <t xml:space="preserve">09022A
71740H</t>
  </si>
  <si>
    <t xml:space="preserve">InterGlobe Technologies
International Air Transport</t>
  </si>
  <si>
    <t xml:space="preserve">Provide IT services
Air transport association</t>
  </si>
  <si>
    <t xml:space="preserve">InterGlobe Technologies Pvt
Ltd is a provider of
professional services. It
provides business process
outsourcing and information
technology services. The
Company is located in
Gurgaon, India.
International Air Transport
Association, located in
Montreal, Canada, is an air
transport association. The
Company offers a range of
products and services that can
support the aviation industry.
It's services include
accreditation &amp; codes travel,
accreditation cargo, financial
services, intelligence &amp;
statistics, consulting,
advertising and many more. It
offers training courses for
air navigation services,
airline management, airline
operations, airport, safety,
security, travel and tourism,
fare and ticketing and many
more. It was founded in 1945.</t>
  </si>
  <si>
    <t xml:space="preserve">7389
8611</t>
  </si>
  <si>
    <t xml:space="preserve">India
Canada</t>
  </si>
  <si>
    <t xml:space="preserve">InterGlobe Aviation Ltd
International Air Transport</t>
  </si>
  <si>
    <t xml:space="preserve">4724
8611</t>
  </si>
  <si>
    <t xml:space="preserve">INTERGLOBE TECHNOLOGIES/INTERNATIONAL AIR TRANSPORT ASSOCIATION- STRATEGIC
ALLIANCE</t>
  </si>
  <si>
    <t xml:space="preserve">InterGlobe Technolgies Pvt Ltd and International Air Transport
Association{IATA} planned to form a strategic alliance to develop products
and services.</t>
  </si>
  <si>
    <t xml:space="preserve">44508W
45886W</t>
  </si>
  <si>
    <t xml:space="preserve">Maersk Olie og Gas A/S
TNO</t>
  </si>
  <si>
    <t xml:space="preserve">Crude Petroleum and Natural Gas Extraction
Pvd research,dvlp svcs</t>
  </si>
  <si>
    <t xml:space="preserve">Maersk Olie og Gas A/S is
engaged in the crude
petroleum and natural gas
services business. It
produces approximately
313,000 barrels of oil
equivalent per day. It has
operations in Denmark, UK,
Norway, Kazakhstan, the US
Gulf of Mexico and in
Algeria. The Company was
founded in 1962 and is
located in Copenhagen,
Denmark.
Nederlandse Organisatie voor
Toegepast
Natuurwetenschappelijk
Onderzoek is a provider of
research and development
services. The Company is
located in Delft, the
Netherlands.</t>
  </si>
  <si>
    <t xml:space="preserve">AP Moller-Maersk A/S
TNO</t>
  </si>
  <si>
    <t xml:space="preserve">4412
8731</t>
  </si>
  <si>
    <t xml:space="preserve">MAERSK OLIE OG GAS/TNO- STRATEGIC ALLIANCE</t>
  </si>
  <si>
    <t xml:space="preserve">Maersk Olie og Gas A/S and Nederlandse Organisatie voor Toegepast
Natuurwetenschappelijk Onderzoek formed a strategic alliance to develop new
technologies for increased oil recovery in Qatar. The strategic alliance
was to have an investment of USD 100 mil.</t>
  </si>
  <si>
    <t xml:space="preserve">The strategic alliance was to have an investment of USD 100 mil.</t>
  </si>
  <si>
    <t xml:space="preserve">55901P
23882L</t>
  </si>
  <si>
    <t xml:space="preserve">Changzhou Huanghai Automotive
Changzhou Micro EV Technology
Changjiang Longcheng Tech Co</t>
  </si>
  <si>
    <t xml:space="preserve">Mnfr,whl motor vehicles
Mnfr,supply electric vehicles
Mnfr,whl motor vehicles</t>
  </si>
  <si>
    <t xml:space="preserve">Changzhou Huanghai Automotive
Co Ltd, located in China,
manufactures and wholesales
motor vehicles.
Changzhou Micro EV Technology
Co Ltd, located in Changzhou,
China, manufactures and
supplies electric scooter,
electric convertible car and
electric golf car.
Changjiang Longcheng
Technology Co Ltd, located in
China, manufactures and
wholesales motor vehicles.</t>
  </si>
  <si>
    <t xml:space="preserve">3711
3751
3711</t>
  </si>
  <si>
    <t xml:space="preserve">Liaoning SG Automotive Grp Co
Changzhou Micro EV Technology
Changjiang Longcheng Tech Co</t>
  </si>
  <si>
    <t xml:space="preserve">CHANGZHOU HUANGHAI AUTOMOTIVE CO LTD/CCHANGZHOU MICRO EV TECHNOLOGY CO
LTD/CHANGJIANG LONGCHENG TECHNOLOGY CO- JOINT VENTURE</t>
  </si>
  <si>
    <t xml:space="preserve">Changzhou Huanghai Automotive Co Ltd (CH), Changzhou Micro EV Technology Co
Ltd (CM) and Changjiang Longcheng Technology Co Ltd (CL) planned to form a
joint venture named Changzhou Huanghai Micro Electric Vehicle Co Ltd to
develop and manufacture new energy vehicles. The JV was to have investment
of CNY 120 mil (USD 18.298 mil).</t>
  </si>
  <si>
    <t xml:space="preserve">The JV was to have investment of CNY 120 mil (USD 18.298 mil).</t>
  </si>
  <si>
    <t xml:space="preserve">15969C
15864R
15970H</t>
  </si>
  <si>
    <t xml:space="preserve">STAAR Surgical Co
Ellex Medical Lasers Ltd</t>
  </si>
  <si>
    <t xml:space="preserve">Mnfr intraocular lenses
Mnfr,whl diagnostic sys</t>
  </si>
  <si>
    <t xml:space="preserve">STAAR Surgical Co is a
manufacturer of ophthalmic
goods. The Company was
founded in 1982 and is
located in Monrovia,
California.
Ellex Medical Lasers Ltd,
located in Adelaide,
Australia, manufactures and
wholesales diagnostic
systems. The lasers and
diagnostic ultrasound
systems used by
ophthalmologists to diagnose
and treat eye disease. The
company was founded in 1985.</t>
  </si>
  <si>
    <t xml:space="preserve">3851
3841</t>
  </si>
  <si>
    <t xml:space="preserve">STAAR SURGICAL CO/ELLEX MEDICAL LASERS LTD- STRATEGIC ALLIANCE</t>
  </si>
  <si>
    <t xml:space="preserve">Staar Surgical Co (SS) and Ellex Medical Lasers Ltd (EM) planned to form a
strategic alliance wherin SS licensed EM to distribute STAAR intraocular
lenses in Australia.</t>
  </si>
  <si>
    <t xml:space="preserve">852312
28839J</t>
  </si>
  <si>
    <t xml:space="preserve">Shandong Lukang Pharm Grp Co
Hualu Holdings Co Ltd</t>
  </si>
  <si>
    <t xml:space="preserve">Mnfr pharm
Miscellaneous Financial Investment Activities</t>
  </si>
  <si>
    <t xml:space="preserve">Manufacture prescription
pharmaceuticals intended for
final consumption, including
biotech products and
antibiotics
Hualu Holdings Co Ltd is a
provider of financial
investment services. The
Company was founded in
January 2005 and is located
in Jinan, China.</t>
  </si>
  <si>
    <t xml:space="preserve">SHANDONG LUKANG PHARMACEUTICAL /HUALU HOLDING GROUP- JOINT VENTURE</t>
  </si>
  <si>
    <t xml:space="preserve">Shandong Lukang Pharmaceutical Co Ltd (SL) and Hualu Holding Group Co Ltd
(HH) planned to form a joint venture to provide pharmaceutical product
documentation Taian and enrich the preparation plate product tree. SL was
to own 51% interest in the joint venture while the remaining 49% was to be
held by HH.</t>
  </si>
  <si>
    <t xml:space="preserve">54981F
41891P</t>
  </si>
  <si>
    <t xml:space="preserve">Inner Mongolia Yili Energy Co
Zhejiang Transfar Co Ltd
Elion Resources Group Co Ltd
China Oceanwide Hldg Grp Co
Dalian Wanda Group Co Ltd
Sichuan Hongda(Group)Co Ltd
Shanghai Juneyao (Group) Ltd</t>
  </si>
  <si>
    <t xml:space="preserve">Mnfr,whl pharm,chemical prod
Mnfr,whl chem
Nursery and Tree Production
Land Subdivision
Own,operate coml ppty,hotels
Mnfr indl mach
Miscellaneous Intermediation</t>
  </si>
  <si>
    <t xml:space="preserve">Inner Mongolia Yili Energy
Co Ltd, headquartered in
Erdos, China, mainly engages
in the manufacturing and
distribution of
pharmaceuticals and
chemicals products. It
operates in domestic and
overseas markets. The
company was founded in 1999.
Zhejiang Transfar Co Ltd,
located in Zhejiang, China,
produces, processes and
sells organic fluorine fine
chemical products. Other
activities include
producing, processing and
selling of surface activity
, oil pharmaceutical and
original assist materials
and operation of related
business import-export. The
company was founded in 2001.
Elion Resources Group Co Ltd
is a nursery production
establishment. It is engaged
in the planting, production,
and sale of herbal
medicines. The Company is
also in the construction
supply distribution
industry. The Company was
founded in February 2002 and
is located in Ordos, China.
China Oceanwide Holdings
Group Co Ltd is a provider
of land subdivision
services. The Company was
founded in Jan 1988 and is
located in Beijing, China.
Dalian Wanda Group Corp Ltd,
located in Beijing, China,
owns and operates commercial
properties, luxury hotels,
and department store chains.
The Company operates 60
five-star hotels under three
hotel brands: Wanda Realm,
Wanda Vista Wanda Reign. It
is active in the fields of
cinemas, film industry
parks, film production, film
technology entertainment,
performing arts, theme
parks, print media and
franchise entertainment.
Company has also 84
department stores. It was
founded in 1988.
Sichuan Hongda (Group) Co Ltd
is an industrial machineries
manufacturer, headquartered in
China. The company was founded
in 1998.
Shanghai Juneyao (Group) Ltd
is an intermediating
company. The Company was
founded in February 2001 and
is located in Shanghai,
China.</t>
  </si>
  <si>
    <t xml:space="preserve">2821
2899
2833
6552
6512
3559
6799</t>
  </si>
  <si>
    <t xml:space="preserve">China
China
China
China
China
China
China</t>
  </si>
  <si>
    <t xml:space="preserve">Elion Resources Group Co Ltd
Zhejiang Transfar Co Ltd
Elion Resources Group Co Ltd
Tonghai Hldg Co Ltd
Dalian Wanda Group Co Ltd
Sichuan Hongda(Group)Co Ltd
Shanghai Juneyao (Group) Ltd</t>
  </si>
  <si>
    <t xml:space="preserve">2833
2899
2833
6282
6512
3559
6799</t>
  </si>
  <si>
    <t xml:space="preserve">INNER MONGOLIA/ZHEJIANG TRANSFAR/ELION RESOURCES/CHINA OCEANWIDE/DALIAN
WANDA/SICHUAN HONGDA/JUNEYAO GROUP- JOINT VENTURE</t>
  </si>
  <si>
    <t xml:space="preserve">Inner Mongolia Yili Energy Co (IM), Zhejiang Transfar Co Ltd (ZT), Elion
Resources Group Co Ltd (ER), China Oceanwide Holdings Group (CO), Dalian
Wanda Group Co Ltd (DW), Sichuan Hongda(Group)Co Ltd (SH) and JuneYao Group
(JY) planned to form a joint venture to provide research and development,
manufacturing, processing, sales, transportation and storage services of
new energy materials and raw materials. IM was to hold a 20% stake in the
JV, ZT, ER, CO, DW and SH were to hold 15% stake each and JY was to hold
the remaining 5% stake. The JV was to have an investment of CNY 300 mil
(USD 45.665 mil). The JV was to be capitalized CNY 1 bil (USD 152.216
mil).</t>
  </si>
  <si>
    <t xml:space="preserve">Services (NEC)
Research &amp; Development Services
Manufacturing Services</t>
  </si>
  <si>
    <t xml:space="preserve">20.00
15.00
15.00
15.00
15.00
15.00
5.00</t>
  </si>
  <si>
    <t xml:space="preserve">The JV was to have an investment of CNY 300 mil (USD 45.665 mil). The JV
was to be capitalized CNY 1 bil (USD 152.216 mil).</t>
  </si>
  <si>
    <t xml:space="preserve">63844P
98863K
28667L
16902N
23549V
43843V
82014A</t>
  </si>
  <si>
    <t xml:space="preserve">MSD Pharm Pvt Ltd India
Wellcome Trust Ltd</t>
  </si>
  <si>
    <t xml:space="preserve">Mnfr pharmaceuticals
Provide charitable foundation services</t>
  </si>
  <si>
    <t xml:space="preserve">MSD Pharmaceuticals, located
in Gurgaon, India,
manufactures pharmaceuticals.
Wellcome Trust Ltd, located in
London, the United Kingdom,
provides charitable trust
foundation services
specialized in offering
biomedical research funding
services. The Company was
founded in 1936.</t>
  </si>
  <si>
    <t xml:space="preserve">MSD PHARMACEUTICALS/WELLCOME TRUST LTD- JOINT VENTURE</t>
  </si>
  <si>
    <t xml:space="preserve">MSD Pharmaceuticals Pvt Ltd India (MP) and Wellcome Trust Ltd (WT) planned
to form a joint venture named MSD Wellcome Trust Hilleman Laboratories to
provide research and development services in India. MP and WT were to hold
a 50% interest each in the JV. The JV was to have an investment of INR
5.864 bil (USD 130 mil).</t>
  </si>
  <si>
    <t xml:space="preserve">The JV was to have an investment of INR 5.864 bil (USD 130 mil).</t>
  </si>
  <si>
    <t xml:space="preserve">55657W
94947E</t>
  </si>
  <si>
    <t xml:space="preserve">TsVT Khimrar
Genzyme Corp</t>
  </si>
  <si>
    <t xml:space="preserve">Pvd phar,biotech research svcs
Biotechnology company</t>
  </si>
  <si>
    <t xml:space="preserve">Tsentr Vysokikh tekhnologi
"KhimRar" located in Khimki,
provides pharmaceutical and
biotechnology research
services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</si>
  <si>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CHEMRAR(DNU)/GENZYME CORP- JOINT VENTURE</t>
  </si>
  <si>
    <t xml:space="preserve">ChemRar Ltd (CR) and Genzyme Corp (GC) planned to formed a joint venture to
develop orphan drugs.</t>
  </si>
  <si>
    <t xml:space="preserve">90995J
372917</t>
  </si>
  <si>
    <t xml:space="preserve">SuperNova Diagnostics Inc
Shenzhen Kang Sheng Bao</t>
  </si>
  <si>
    <t xml:space="preserve">Dvlp diagnostic platform
Mnfr,whl in vitro diagnostics</t>
  </si>
  <si>
    <t xml:space="preserve">SuperNova Diagnostics Inc,
located in Germantown,
Maryland, with offices in
United Kingdom and Hong Kong,
manufactures development-stage
medical and industrial
diagnostics. It also develops
a diagnostic analytical
platform.
Shenzhen Kang Sheng Bao
Bio-Technology Co Ltd, located
in Shenzhen, China,
manufactures and wholesales in
vitro diagnostics kit.</t>
  </si>
  <si>
    <t xml:space="preserve">3841
2835</t>
  </si>
  <si>
    <t xml:space="preserve">SuperNova Diagnostics Inc
Morningside Grp (Hldg)</t>
  </si>
  <si>
    <t xml:space="preserve">SUPERNOVA DIAGNOSTICS INC/SHENZHEN KANG SHENG BAO BIO-TECHNOLOGY- STRATEGIC
ALLIANCE</t>
  </si>
  <si>
    <t xml:space="preserve">SuperNova Diagnostics Inc and Shenzhen Kang Sheng Bao Bio-Technology Co Ltd
signed an agreement to form a strategic alliance to provide research and
development, manufacturing and wholesale services of diagnostic products.</t>
  </si>
  <si>
    <t xml:space="preserve">91069A
81420M</t>
  </si>
  <si>
    <t xml:space="preserve">Dako Denmark A/S
Epitomics Inc</t>
  </si>
  <si>
    <t xml:space="preserve">Mnfr,whl diagnostic pharm prod
Biotechnology company</t>
  </si>
  <si>
    <t xml:space="preserve">Dako Denmark A/S, located in
Glostrup, Denmark,
manufactures cell-based cancer
diagnostics pharmaceutical
products for both clinical
diagnostics and research use
such as antibodies, detection
systems, kits, reagents, and
equipment.
Epitomics Inc, located in
Burlingame, California, is a
biotechnology company. It
develops breakthrough
monoclonal antibody technology
for research and diagnostic
applications through its
RabMab monoclonal antibody
technology.</t>
  </si>
  <si>
    <t xml:space="preserve">EQT Partners AB
Epitomics Inc</t>
  </si>
  <si>
    <t xml:space="preserve">DAKO DENMARK A/S/EPITOMICS INC-STRATEGIC ALLIANCE</t>
  </si>
  <si>
    <t xml:space="preserve">Dako Denmark A/S and Epitomics Inc formed a strategic alliance to provide
on developing and launching state-of-the-art IHC diagnostic monoclonal
antibodies.</t>
  </si>
  <si>
    <t xml:space="preserve">23176R
29211A</t>
  </si>
  <si>
    <t xml:space="preserve">Amyris Inc
US Venture Inc</t>
  </si>
  <si>
    <t xml:space="preserve">All Other Basic Organic Chemical Manufacturing
Pvd petroleum distn svcs</t>
  </si>
  <si>
    <t xml:space="preserve">Amyris Inc, headquartered in
Emeryville, California, is a
biotechnology company. It is
focuses in two major
projects namely the
production of the drug
artemisinin to fight malaria
and production of renewable
biofuels to help reduce
global warming. The Company
was founded in 2003.
US Venture Inc, headquartered
in Appleton, Wisconsin, is a
provider of petroleum and
renewable products
distribution services. The
company was founded in 1951.</t>
  </si>
  <si>
    <t xml:space="preserve">2869
4923</t>
  </si>
  <si>
    <t xml:space="preserve">AMYRIS INC/US VENTURE INC- JOINT VENTURE</t>
  </si>
  <si>
    <t xml:space="preserve">Amyris Inc (AI) and US Venture Inc (UV) planned to form a joint venture for
the production, marketing and distribution of finished lubricants for the
North American market.</t>
  </si>
  <si>
    <t xml:space="preserve">03236M
91980K</t>
  </si>
  <si>
    <t xml:space="preserve">Seattle Genetics Inc
Abbott Labs</t>
  </si>
  <si>
    <t xml:space="preserve">Manufactures biotechnology products
Mnfr,whl pharm,med equip</t>
  </si>
  <si>
    <t xml:space="preserve">Seattle Genetics Inc,
located in Bothell,
Washington, manufactures
biotechnology products. It
is a clinical stage
biotechnology company
focused on the development
and commercialization of
monoclonal antibody-based
therapies for the treatment
of cancer and autoimmune
disease. The Company was
founded on July 15, 1997.
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t>
  </si>
  <si>
    <t xml:space="preserve">WA
IL</t>
  </si>
  <si>
    <t xml:space="preserve">SEATTLE GENETICS INC/ABBOTT LABORATORIES-STRATEGIC ALLIANCE</t>
  </si>
  <si>
    <t xml:space="preserve">Seattle Genetics, Inc (Seattle) and Abbott Laboratories (Abbott) formed a
strategic alliance to develop antibody-drug conjugate technology. Under the
agreement, Abbott is in charge of the research, product development,
manufacturing and commercialization of the products. Seattle will receive
USD 200 mil in milestone payments, as well as royalties on worldwide net
sales. Seattle and Abott expanded their alliance under which Seattle will
receive USD 25 mil for rights to use Seattle's auristatin-based ADC
technology with antibodies to additional oncology targets. Seattle is
entitled to receive up to USD 220 mil potential milestone payments per
additional target .</t>
  </si>
  <si>
    <t xml:space="preserve">Seattle will receive USD 200 mil in milestone payments, as well as
royalties on worldwide net sales. Seattle will receive USD 25 mil for
rights to use Seattle's auristatin-based ADC technology with antibodies to
additional oncology targets. Seattle is entitled to receive up to USD 220
mil potential milestone payments per additional target .</t>
  </si>
  <si>
    <t xml:space="preserve">812578
002824</t>
  </si>
  <si>
    <t xml:space="preserve">Columbia Univ Med Center
Sanofi-Aventis SA</t>
  </si>
  <si>
    <t xml:space="preserve">Own,op college,university
Manufacture pharmaceuticals</t>
  </si>
  <si>
    <t xml:space="preserve">Own and operate college and
university; provide
international leadership in
pre-clinical and clinical
research services
Sanofi-Aventis SA, located
in Paris, France,
manufactures
pharmaceuticals. It develops
products for thrombosis,
cardiovascular, and
metabolic diseases, and
oncology, central nervous
system disorders, internal
medicine and vaccines. The
company''s medicines include
Lovenox/Clexane,
Plavix/Iscover,
Stilnox/Ambien/Ambien
CR/Myslee, Taxotere,
Eloxatin, Lantus,
Aprovel/Avapro/Karvea,
Triatec/Tritace/Delix/Altace,
Allegra/Telfast,
Amaryl/Amarel/Solosa,
Xatral, Actonel, Depakine
and Nasacort. Its vaccines
principally include
influenza, polio/whooping
cough/Hib, adult booster,
travelother endemics and
meningitis/pneumonia
vaccines. The company was
founded in 1970.</t>
  </si>
  <si>
    <t xml:space="preserve">Columbia University
Sanofi-Aventis SA</t>
  </si>
  <si>
    <t xml:space="preserve">COLUMBIA UNIV MED CENTER(DNU)/SANOFI-AVENTIS SA- JOINT VENTURE</t>
  </si>
  <si>
    <t xml:space="preserve">Columbia University Medical Center (CU) and Sanofi-Aventis SA (SA) planned
to form a joint venture to develop innovative diabetes medicines.</t>
  </si>
  <si>
    <t xml:space="preserve">19865M
80105N</t>
  </si>
  <si>
    <t xml:space="preserve">Bausch &amp; Lomb Inc
Technolas Perfect Vision GmbH</t>
  </si>
  <si>
    <t xml:space="preserve">Mnfr opthalmic goods,products
Manufacture ophthalmic product</t>
  </si>
  <si>
    <t xml:space="preserve">Bausch &amp; Lomb Inc, located
in Rochester, New York,
manufactures ophthalmic
goods and products,
pharmaceutical preparations,
optical instrument and
contact lenses, as well as
electric toothbrushes. It
also provides laboratory
animal farm, biotech and
medical research services.
The company was founded in
1853.
Technolas Perfect Vision
GmbH, located in Munich,
Germany, manufactures
ophthalmic products. The
company was founded in 2009.</t>
  </si>
  <si>
    <t xml:space="preserve">3851
3851</t>
  </si>
  <si>
    <t xml:space="preserve">Warburg Pincus LLC
20/10 Perfect Vision AG</t>
  </si>
  <si>
    <t xml:space="preserve">6799
3845</t>
  </si>
  <si>
    <t xml:space="preserve">BAUSCH + LOMB INC/TECHNOLAS PERFECT VISION GMBH - JOINT VENTURE</t>
  </si>
  <si>
    <t xml:space="preserve">Bausch + Lomb Inc (BL) and Technolas Perfect Vision GmbH (TP) planned to
form a joint venture to distribute femtosecond laser.</t>
  </si>
  <si>
    <t xml:space="preserve">071707
88850F</t>
  </si>
  <si>
    <t xml:space="preserve">Agilent Technologies Inc
National Univ of Singapore</t>
  </si>
  <si>
    <t xml:space="preserve">Manufactures life sciences, diagnostics, applied chemical products
Own,op college,university</t>
  </si>
  <si>
    <t xml:space="preserve">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
National University of
located in
Singapore, owns and operates
college and university.</t>
  </si>
  <si>
    <t xml:space="preserve">AGILENT TECHNOLOGIES INC/NATIONAL UNIVERSITY OF SINGAPORE- STRATEGIC
ALLIANCE</t>
  </si>
  <si>
    <t xml:space="preserve">Agilent Technologies Inc and National University of Singapore formed a
strategic alliance to provide research and development services in the
field of analytical lipidomics.</t>
  </si>
  <si>
    <t xml:space="preserve">00846U
63838Q</t>
  </si>
  <si>
    <t xml:space="preserve">The Dow Chemical Co
Befar Group Co Ltd</t>
  </si>
  <si>
    <t xml:space="preserve">Mnfr,wholesale chemicals
Mnfr,whl chemical prod</t>
  </si>
  <si>
    <t xml:space="preserve">The Dow Chemical Co, located
in Midland, Michigan,
manufactures and wholesales
chemicals, plastic
materials, agricultural and
other specialized products
and services through its 6
segments namely, Performance
Plastics which offers
automotive products,
building and construction
products, epoxy resins and
intermediates, polyurethanes
and related systems,
specialty plastics and
elastomers, and technology
licensing and catalyst
products; Performance
Chemicals that offers
designed polymers, latex and
acrylic monomers, and
specialty chemicals;
Agricultural Sciences that
provides pest management,
agricultural, and crop
biotechnology products and
solutions; Basic Plastics
which offers polyethylene,
polypropylene, and
polystyrene resins; Basic
Chemicals which provides
chemicals, such as acids,
alcohols, caustic soda,
chlorine, chloroform, and
other chemicals; and
ethylene oxide/ethylene
glycol chemicals; and
Hydrocarbons and Energy,
which offers procurement of
fuels, natural gas liquids,
and crude oil-based raw
materials. The Company was
founded in 1897.
Befar Group Co Ltd, located in
Binzhou, China, manufactures
and wholesales organic and
inorganic chemical products.
Its main products include
caustic soda, propylene oxide,
triclene, assistant agents,
fly ash bricks and crude salt,
among others. The company was
founded in 1968.</t>
  </si>
  <si>
    <t xml:space="preserve">DOW CHEMICAL CO/BEFAR GROUP CO LTD - JOINT VENTURE</t>
  </si>
  <si>
    <t xml:space="preserve">Dow Chemical Co (DC) and Befar Group Co Ltd (BG) planned to form a joint
venture to produce perchloroethylene. DC and BG were to each hold 50%
interest in the joint venture.</t>
  </si>
  <si>
    <t xml:space="preserve">260543
81648M</t>
  </si>
  <si>
    <t xml:space="preserve">BG Medicine Inc
Boston Scientific Corp</t>
  </si>
  <si>
    <t xml:space="preserve">Biotech co
Surgical and Medical Instrument Manufacturing</t>
  </si>
  <si>
    <t xml:space="preserve">BG Medicine Inc, located in
Waltham, Massachusetts, is a
biotechnology company focused
on the discovery, development
and commercialization of novel
diagnostic tests based on
biomarkers. The company's lead
product candidate is the BGM
Galectin-3 test for heart
failure and it measures
galectin-3 levels in blood
plasma or serum. The company
was founded in 2000.
Boston Scientific Corp,
located in Marlborough,
Massachusetts, manufactures
medical instruments. The
Company develops and
wholesales vascular and
non-vascular minimally
invasive medical devices
used in a broad range of
interventional medical
specialties, including
cardiology,
electrophysiology,
gastroenterology,
neuro-endovascular therapy,
pulmonary medicine,
radiology, urology and
vascular surgery. It has 18
manufacturing facilities.
The Company was founded in
June 1979.</t>
  </si>
  <si>
    <t xml:space="preserve">8071
3841</t>
  </si>
  <si>
    <t xml:space="preserve">BG MEDICINE INC /BOSTON SCIENTIFIC CORP- JOINT VENTURE</t>
  </si>
  <si>
    <t xml:space="preserve">BG Medicine Inc (BG) and Boston Scientific Corp (BS) planned to form a
joint venture to identify other biomarkers that correlate to
cardiac-resynchronization therapy (CRT) treatment response.</t>
  </si>
  <si>
    <t xml:space="preserve">08861T
101137</t>
  </si>
  <si>
    <t xml:space="preserve">SK Telecom Co Ltd
China Mobile Commun Corp</t>
  </si>
  <si>
    <t xml:space="preserve">Pvd cellular telecommun svcs
Pvd telecommun svcs</t>
  </si>
  <si>
    <t xml:space="preserve">SK Telecom Co Ltd,
headquartered in Seoul, South
Korea, provides cellular
telecommunication, wireless
internet, international
roaming, video telephony and
B2B services. The company was
established in 1984.
China Mobile Communications
Corp is a wired
telecommunications carrier.
The Company was founded in
April 2000 and is located in
Beijing, China.</t>
  </si>
  <si>
    <t xml:space="preserve">4812
4813</t>
  </si>
  <si>
    <t xml:space="preserve">South Korea
China</t>
  </si>
  <si>
    <t xml:space="preserve">SK TELECOM CO LTD(WAS 500912)/CHINA MOBILE COMMUNICATIONS CORP- STRATEGIC
ALLIANCE</t>
  </si>
  <si>
    <t xml:space="preserve">SK Telecom Co and China Mobile Communications Corp signed an agreement to
form a strategic alliance to develop mobile and wireless technologies.</t>
  </si>
  <si>
    <t xml:space="preserve">78440P
16921Y</t>
  </si>
  <si>
    <t xml:space="preserve">Phosphagenics Ltd
Undisclosed JV Partner</t>
  </si>
  <si>
    <t xml:space="preserve">Phosphagenics Ltd, located
in Clayton, Victoria, is a
biotechnology company. It
focuses on the discovery of
new cost effective ways to
enhance the bioavailability,
activity, safety and
delivery of proven
pharmaceutical and
nutraceutical products. It
has developed a unique
delivery technology based on
tocopherol phosphate
(Vitamin E phosphate). This
platform technology, known
as TPM is able to deliver
actives and drugs into or
through the skin.
Investment company</t>
  </si>
  <si>
    <t xml:space="preserve">PHOSPHAGENICS LTD (WAS 92619X)/UNDISCLOSED JOINT VENTURE PARTNER- JOINT
VENTURE</t>
  </si>
  <si>
    <t xml:space="preserve">Phosphagenics Ltd (PL) and an undisclosed joint venture partner agreed to
form a joint venture to develop a prescription drug to treat acne.</t>
  </si>
  <si>
    <t xml:space="preserve">71918E
904JVP</t>
  </si>
  <si>
    <t xml:space="preserve">Metal Storm Ltd
Defence Science &amp; Technology
Airtronic USA Inc</t>
  </si>
  <si>
    <t xml:space="preserve">Mnfr,whl weapon systems
Pvd research svcs
Mnfr small arms,ammunition</t>
  </si>
  <si>
    <t xml:space="preserve">Metal Storm Ltd, headquartered
in Sydney, New South Wales,
Australia, is a defense
technology company,
specializes in the research,
design, development and
integration of projectile
launching systems utilizing
its electronically initiated /
stacked projectile technology
for use in the defense,
homeland security, law
enforcement and industrial
markets. Its weapons can
produce semi-automatic or
automatic fire without the
need for an ammunition feed or
ejection system. It has
entered into partnerships with
companies, including Singapore
Technologies Kinetics (STK),
iRobot, Electro Optic Systems
and Defense Technologies Inc.,
where partners provide
capabilities, such as
manufacturing, complementary
technology, or access to
markets in areas where the
company is not active. The
company was founded in 1994.
Defence Science &amp; Technology
Organisation, located in
Canberra, Australia, provides
research services.
Airtronic USA Inc, located in
Elk Grove Village, Illinois,
is a manufacturer of small
arms and ammunition such as
grenade launchers, rocket
propelled grenade launchers,
grenade launcher guns, flex
machine guns, grenade machine
guns, rifles, and magazines
for military and law
enforcement applications
within the US and other
foreign countries. The company
was founded in 1990.</t>
  </si>
  <si>
    <t xml:space="preserve">3764
8733
3484</t>
  </si>
  <si>
    <t xml:space="preserve">Australia
Australia
United States</t>
  </si>
  <si>
    <t xml:space="preserve">FF
FF
IL</t>
  </si>
  <si>
    <t xml:space="preserve">METAL STORM LTD/DEFENCE SCIENCE&amp;TECHNOLOGY ORGANISATION/AIRTRONIC USA INC-
STRATEGIC ALLIANCE</t>
  </si>
  <si>
    <t xml:space="preserve">Metal Storm Ltd, Defence Science Technology Organisation and Airtronic USA
Inc formed a strategic alliance to develop and demonstrate a 40mm Managed
Lethality Grenade Launching System.</t>
  </si>
  <si>
    <t xml:space="preserve">63565C
24462Z
01713C</t>
  </si>
  <si>
    <t xml:space="preserve">Les Laboratoires Servier SAS
SIgN</t>
  </si>
  <si>
    <t xml:space="preserve">Manufacture,wholesale drugs
Pvd research,dvlp svcs</t>
  </si>
  <si>
    <t xml:space="preserve">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
Singapore Immunology Network
(SIgN) provides research and
development services. The
company is headquartered in
Singapore. It is focused on
advancing human immunology
research and participate in
international efforts to
combat major health problems.
It was founded in January
2008.</t>
  </si>
  <si>
    <t xml:space="preserve">SERVIER SA/SINGAPORE IMMUNOLOGY NETWORK {SIGN}-STRATEGIC ALLIANCE</t>
  </si>
  <si>
    <t xml:space="preserve">Servier SA (Servier) and Singapore Immunology Network {SIgN} formed a
three-year strategic alliance aimed at the research and development of
anti-cancer drugs to suppress tumor-initiating cells (TICs) or cancer stem
cells.</t>
  </si>
  <si>
    <t xml:space="preserve">81764A
2A2401</t>
  </si>
  <si>
    <t xml:space="preserve">MorphoSys AG
ContraFect Corp</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</si>
  <si>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ContraFect Corp, located in
New York, New York, a
biotechnology company that
develops therapeutic protein
and antibody products for
life threatening, drug
infectious diseases. The
company's product includes
CF 301, a lysin for the
treatment of Staph aureus
bacteremia and F-404, a
combination of mAbs for the
treatment of
life-threatening seasonal
and pandemic varieties of
influenza. The company was
founded on 2008.</t>
  </si>
  <si>
    <t xml:space="preserve">MORPHOSYS AG/CONTRAFECT CORP-STRATEGIC ALLIANCE</t>
  </si>
  <si>
    <t xml:space="preserve">MorphoSys AG and ContraFect Corp formed a strategic alliance was to develop
therapeutic antibodies for infectious diseases in United States.</t>
  </si>
  <si>
    <t xml:space="preserve">617760
212326</t>
  </si>
  <si>
    <t xml:space="preserve">Intel Corp
Tencent Holdings Ltd</t>
  </si>
  <si>
    <t xml:space="preserve">Manufacture,wholesale semiconductors
Internet Service Provider</t>
  </si>
  <si>
    <t xml:space="preserve">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
Tencent Holdings Ltd located
in Shenzhen, China is an
internet service provider.
The Company was founded in
November 1998.</t>
  </si>
  <si>
    <t xml:space="preserve">3674
7375</t>
  </si>
  <si>
    <t xml:space="preserve">INTEL CORP/TENCENT HOLDINGS LTD- STRATEGIC ALLIANCE</t>
  </si>
  <si>
    <t xml:space="preserve">Intel Corp and Tencent Holdings Ltd formed a strategic alliance to develop
mobile computing products and services</t>
  </si>
  <si>
    <t xml:space="preserve">458140
G87572</t>
  </si>
  <si>
    <t xml:space="preserve">InDyne Inc
Lockheed Martin Corp
URS Corp</t>
  </si>
  <si>
    <t xml:space="preserve">Pvd info tech svcs,comm svcs
Mnfr aerospace sys,prod
Pvd engineering,constr svcs</t>
  </si>
  <si>
    <t xml:space="preserve">InDyne Inc, based in Reston,
Virginia, provides information
technology services. The
company also provides range
and test services for the
government, military and
commercial entities. It is
also engaged in integration of
communication and network
services. The company has also
services for the motion
picture industry. It also
provides security solutions
like site surveys, design and
integration, and others.
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
URS Corp, located in San
Francisco, California,
provides engineering,
construction and technical
services. The company offers
professional planning, design,
environmental, construction,
program and construction
management, operations and
maintenance, management and a
range of specialized technical
services. The company provides
services for transportation,
power, industrial
infrastructure and process,
environmental and nuclear
management, facilities,
water/wastewater, mining, and
defense and security programs.
It operates through three
divisions: URS Division, the
EG&amp;G Division and the
Washington Division. It has
locations across the US and in
40 countries. The company was
founded in 1904.</t>
  </si>
  <si>
    <t xml:space="preserve">7374
3761
8711</t>
  </si>
  <si>
    <t xml:space="preserve">INDYNE INC/LOCKHEED MARTIN CORP/URS CORP-JOINT VENTURE</t>
  </si>
  <si>
    <t xml:space="preserve">Consolidated Range
Enterprise{CoRE}, based in the
United States, provides
aerospace launch range systems
development services.</t>
  </si>
  <si>
    <t xml:space="preserve">InDyne (InDyne), Lockheed Martin Corp (Lockheed) and URS Corp (URS) formed
a joint venture to provide development services of aerospace launch range
systems. The joint venture, Consolidated Range Enterprise {CoRE}, was to
support the launch range SYSTEMs of U.S. Air Force Space Command. The range
systems are for space launch missions and aeronautical testing services at
the Eastern and Western Ranges.</t>
  </si>
  <si>
    <t xml:space="preserve">4A4604</t>
  </si>
  <si>
    <t xml:space="preserve">4A4602
539830
903236</t>
  </si>
  <si>
    <t xml:space="preserve">Thorne Research Inc
Integrative Health Resources</t>
  </si>
  <si>
    <t xml:space="preserve">Manufactures,wholesales dietary supplements
Pvd research,dvlp svcs</t>
  </si>
  <si>
    <t xml:space="preserve">Thorne Research Inc, located
in New York, New York,
manufactures and wholesales
premium hypoallergenic
dietary supplements. Its
products include: aging,
antioxidants/flavonoids,
circulatory support,
cognitive support,
detoxification support,
essential fatty acids,
gastrointestinal support,
immune support and other
health products. The Company
was founded in 1984.
Integrated Health Resources,
located in US, provides
research and development
services.</t>
  </si>
  <si>
    <t xml:space="preserve">ID
DE</t>
  </si>
  <si>
    <t xml:space="preserve">THORNE RESEARCH INC/INTEGRATIVE HEALTH RESOURCES - JOINT VENTURE</t>
  </si>
  <si>
    <t xml:space="preserve">Thorne Research Inc (TR) and Integrative Health Resources (IH) planned to
form a joint venture to offer comprehensive integrative care programs and
services.</t>
  </si>
  <si>
    <t xml:space="preserve">88505Z
81417C</t>
  </si>
  <si>
    <t xml:space="preserve">NEC Corp
Enel SpA</t>
  </si>
  <si>
    <t xml:space="preserve">Computer Systems Design Services
Electric,gas utility</t>
  </si>
  <si>
    <t xml:space="preserve">NEC Corp, located in Tokyo,
Japan, is engaged in
providing information
technology (IT) services and
products. The Information
Technology (IT) Solution
segment provides system
integration, supporting,
outsourcing and cloud
services, servers,
mainframes, super computers,
wireless access devices and
software. Carrier Network
segment provides backbone
network system, network
access and operation support
system, among others. Social
Infrastructure segment
provides broadcasting video
system, control system,
transportation and public
system, fire and disaster
prevention system, and
others. Personal Solution
segment provides smart
phones, cellular phones,
corporate computers, tablet
terminals, mobile and
wireless routers, and
Internet service and display
solution. The others segment
provides smart energy
solution, electronic
components and lighting
fixtures. The company was
founded on 1899.
Enel SpA, located in Rome,
Italy, is an electric and
gas utility Company. It
operates in seven divisions.
The Sales segment focuses on
the sale of electricity and
gas products and services
for end users. The
Generation and Energy
Management is involved in
generation with thermal,
natural gas regasification
and schedulable
hydroelectric power plants.
The Infrastructure and
Networks distributes
electricity and public
lighting. The Iberia and
Latin America operates in
the electricity and gas
markets of Spain, Portugal
and Latin America. The
International segment
supports strategies for the
European and Russian
markets. The Renewable
Energy is active in the
generation of electricity
from renewable resources.
The Engineering and Research
develops the conventional
and nuclear construction of
power plants. The Company
was founded in 1962.</t>
  </si>
  <si>
    <t xml:space="preserve">7373
4911</t>
  </si>
  <si>
    <t xml:space="preserve">Japan
Italy</t>
  </si>
  <si>
    <t xml:space="preserve">NEC CORP/ENEL SPA(WAS 293624)- STRATEGIC ALLIANCE</t>
  </si>
  <si>
    <t xml:space="preserve">NEC Corp and Enel SpA formed a strategic alliance was to develop new
technologies and solutions in the domain of Smart Grids globally.</t>
  </si>
  <si>
    <t xml:space="preserve">629050
29265W</t>
  </si>
  <si>
    <t xml:space="preserve">Icon PLC
ACRONET Corp</t>
  </si>
  <si>
    <t xml:space="preserve">Biotechnology company
Pvd clinical dvlp svcs</t>
  </si>
  <si>
    <t xml:space="preserve">ICON PLC, located in Dublin,
the Ireland-Rep, is a
provider of drug development
solutions and services to
the pharmaceutical,
biotechnology and medical
device industries. The
Company was founded in 1990.
ACRONET Corp, headquartered in
Tokyo prefecture, provides
clinical development
monitoring, data management
and data processing services.
The company was founded in
2003.</t>
  </si>
  <si>
    <t xml:space="preserve">Ireland-Rep
Japan</t>
  </si>
  <si>
    <t xml:space="preserve">Icon PLC
Itochu Corp</t>
  </si>
  <si>
    <t xml:space="preserve">8731
5131</t>
  </si>
  <si>
    <t xml:space="preserve">ICON PLC/ACRONET CORP- STRATEGIC ALLIANCE</t>
  </si>
  <si>
    <t xml:space="preserve">ICON PLC and ACRONET Corp formed a strategic alliance was to offer clinical
development capabilities to manage trials on a regional or global basis
globally.</t>
  </si>
  <si>
    <t xml:space="preserve">45103T
99081L</t>
  </si>
  <si>
    <t xml:space="preserve">Teijin Pharma Ltd
Undisclosed JV Partner</t>
  </si>
  <si>
    <t xml:space="preserve">Mnfr,whl pharm,med devices
Investment company</t>
  </si>
  <si>
    <t xml:space="preserve">Teijin Pharma Ltd, based in
Tokyo, Japan, manufactures and
wholesales prescription
pharmaceuticals intended for
final consumption, including
biotech products and
antibiotics and medical
devices. The company was
founded on April 15, 2002.
Investment company</t>
  </si>
  <si>
    <t xml:space="preserve">Japan
Unknown</t>
  </si>
  <si>
    <t xml:space="preserve">Teijin Ltd
Undisclosed JV Partner</t>
  </si>
  <si>
    <t xml:space="preserve">2299
6799</t>
  </si>
  <si>
    <t xml:space="preserve">TEIJIN PHARMA LTD/UNDISCLOSED JOINT VENTURE PARTNER- JOINT VENTURE</t>
  </si>
  <si>
    <t xml:space="preserve">Teijin Pharma Ltd (TP) and an undisclosed joint venture partner planned to
form a joint venture to develop Hyperuricaemia treatment in emerging
markets.</t>
  </si>
  <si>
    <t xml:space="preserve">88069R
904JVP</t>
  </si>
  <si>
    <t xml:space="preserve">AgriMarine Holdings Inc
Zhoushan Fisheries</t>
  </si>
  <si>
    <t xml:space="preserve">Aquaculture technology co
Research institution</t>
  </si>
  <si>
    <t xml:space="preserve">AgriMarine Holdings Inc,
located in Vancouver, British
Columbia, a development stage
aquaculture technology
company, engages in producing,
commercializing, and licensing
floating solid-wall closed
containment tank systems for
trout, salmon, yellow croaker,
and bluefin tuna fish species
farming. AgriMarine Industries
Inc is the company's 100%
owned operating subsidiary.
The company's subsidiaries
include AgriMarine Industries
Inc., AgriMarine Aquaculture
Technologies (Beijing) Co.
Ltd., AgriMarine Norway AS and
AgriMarine (Asia) Limited. The
company was founded in 2007.
Zhoushan Fisheries Research
Institute, located in China,
is a government-held research
and development institution,
specializing in laboratory
culture of warm water species
with commercial value.</t>
  </si>
  <si>
    <t xml:space="preserve">AGRIMARINE HOLDINGS INC/ZHOUSHAN FISHERIES RESEARCH INSTITUTE- JOINT
VENTURE</t>
  </si>
  <si>
    <t xml:space="preserve">Agrimarine Holdings Inc ( Agrimarine ) and Zhoushan Fisheries Research
Institute (Zhoushan) planned to form a joint venture for the commercial
scale research project for the rearing of Yellow Croaker in a closed
containment system. Each will have a 50% stake in the joint venture.</t>
  </si>
  <si>
    <t xml:space="preserve">00855M
2A5392</t>
  </si>
  <si>
    <t xml:space="preserve">ProtoKinetix Inc
Imaginative Research Associate</t>
  </si>
  <si>
    <t xml:space="preserve">ProtoKinetix Inc, located in
West Vancouver, British
Columbia, is a biotechnology
company. The company has
developed anti-aging
glycopeptides trademarked as
AAGPS.
Imaginative Research Associate
Inc, located in Woburn,
Massachusetts, a biotechnology
company.</t>
  </si>
  <si>
    <t xml:space="preserve">PROTOKINETIX INC/IMAGINATIVE RESEARCH ASSOCIATES INC- JOINT VENTURE</t>
  </si>
  <si>
    <t xml:space="preserve">ProtoKinetix Inc (PK) and Imaginative Research Associates Inc (IR) planned
to form a joint venture to formulate a topical anti-inflammation product
for the skin care market.</t>
  </si>
  <si>
    <t xml:space="preserve">743722
47440N</t>
  </si>
  <si>
    <t xml:space="preserve">SinoCoking Coal and Coke
Henan Province Coal Seam Gas</t>
  </si>
  <si>
    <t xml:space="preserve">Mnfr chem coal and coke
Coal mining</t>
  </si>
  <si>
    <t xml:space="preserve">SinoCoking Coal and Coke
Chemical Industries, Inc.
produces coal and coke
products in the People's
Republic of China. It
primarily offers coke or
carbon fuel produced by
distillation of coal. The
companys metallurgical coke is
primarily used in steel
manufacturing and chemical
coke is used for synthesis gas
production. It also sells
various types of coal
products, including raw coal,
washed coal, medium coal, and
coal slurries. In addition,
the company provides coal tar,
which is a byproduct from its
coke manufacturing process.
SinoCoking Coal and Coke
Chemical Industries is based
in Pindingshan, China.
Henan Provincial Coal Seam Gas
Development &amp; Utilization Co
Ltd is a coal mining company,
headquartered in China. The
company was founded in 2007.</t>
  </si>
  <si>
    <t xml:space="preserve">3312
1221</t>
  </si>
  <si>
    <t xml:space="preserve">SINOCOKING COAL &amp;COKE CHEMICAL INDUSTRIES INC/HENAN PROVINCE COAL SEAM GAS
DEVELOPMENT- JOINT VENTURE</t>
  </si>
  <si>
    <t xml:space="preserve">Henan Hongyuan Coal Seam Gas
Engineering Technology Co Ltd
provides research and
development services.</t>
  </si>
  <si>
    <t xml:space="preserve">Sinocoking Coal and Coke Chemical industries Inc (Sinocoking) and Henan
Province Coal Seam Gas Development and Utilization Co (Henan Coal) formed a
joint venture, Henan Hongyuan Coal Seam Gas engineering Technology Co Ltd
to provide research and development services such as technical consulting
inc coal and coal bed methane extraction, investment and management of coal
and sales of mining facilities.</t>
  </si>
  <si>
    <t xml:space="preserve">2A6315</t>
  </si>
  <si>
    <t xml:space="preserve">829357
42476Z</t>
  </si>
  <si>
    <t xml:space="preserve">GVI Clinical Dvlp Solutions
Guangzhou IRD Medicine Co</t>
  </si>
  <si>
    <t xml:space="preserve">Pvd consultation services
Pvd research,dvlp services</t>
  </si>
  <si>
    <t xml:space="preserve">GVI Clinical Development
Solutions Inc, located in
Winnipeg, Canada, provides
strategic consulting, clinical
trial planning, clinical trial
execution and quality
assurance and training
services.
Guangzhou IRD Medicine Co,
located in China, provides
research and development
services.</t>
  </si>
  <si>
    <t xml:space="preserve">8999
8731</t>
  </si>
  <si>
    <t xml:space="preserve">GVI CLINICAL DEVELOPMENT SOLUTIONS INC/GUANGZHOU IRD MEDICINE CO- JOINT
VENTURE</t>
  </si>
  <si>
    <t xml:space="preserve">GVI Clinical Development Solutions Inc and Guangzhou IRD Medicine Co
planned to form a joint venture named IRD-CDS to clinical development
services and conduct clinical trials in China.</t>
  </si>
  <si>
    <t xml:space="preserve">39864R
39864P</t>
  </si>
  <si>
    <t xml:space="preserve">Shrink Nanotechnologies Inc
Undisclosed JV Partner</t>
  </si>
  <si>
    <t xml:space="preserve">Mnfr semiconductors
Investment company</t>
  </si>
  <si>
    <t xml:space="preserve">Shrink Nanotechnologies Inc is
manufacturer of
semiconductors, headquartered
in Carlsbad, California, US.
The companys subsidiaries are
engaged in the research and
development of technologies,
tools, and platforms, related
in the semiconductor and
bioscience industries. The
company was founded in 2002.
Investment company</t>
  </si>
  <si>
    <t xml:space="preserve">SHRINK NANOTECHNOLOGIES INC/UNDISCLOSED JOINT VENTURE PARTNER- STRATEGIC
ALLIANCE</t>
  </si>
  <si>
    <t xml:space="preserve">Shrink Nanotechnologies Inc and an undisclosed Japanese joint venture
partner signed an agreement to form a strategic alliance to develop and
commercialize the Corning Modular Microfluidic System.</t>
  </si>
  <si>
    <t xml:space="preserve">82554U
904JVP</t>
  </si>
  <si>
    <t xml:space="preserve">GALAPAGOS NV/SMITHKLINE-RIT(DNU)-STRATEGIC ALLIANCE</t>
  </si>
  <si>
    <t xml:space="preserve">Galapagos NV (GN) and GlaxoSmithKline PLC (GP) planned to form a strategic
alliance to research and develop immuno-inflammation.</t>
  </si>
  <si>
    <t xml:space="preserve">Alkane Resources Ltd
Undisclosed JV Partner</t>
  </si>
  <si>
    <t xml:space="preserve">Gold mining
Investment company</t>
  </si>
  <si>
    <t xml:space="preserve">Alkane Resources Ltd is a
gold ore mine operator with
focus in the Central West
Region of New South Wales.
The Company owns the Dubbo
Project which produce the
materials for advanced
technologies such as:
zirconium, rare earths,
hafnium and niobium. The
Company is located in Perth,
Australia.
Investment company</t>
  </si>
  <si>
    <t xml:space="preserve">1041
6799</t>
  </si>
  <si>
    <t xml:space="preserve">ALKANE RESOURCES LTD/UNDISCLOSED JOINT VENTURE PARTNER- JOINT VENTURE</t>
  </si>
  <si>
    <t xml:space="preserve">Alkane Resoureces Ltd and an undisclosed joint venture partner planned to
form a joint venture to produce zirconium oxychloride (ZOC) using a
zirconium chemical intermediate.</t>
  </si>
  <si>
    <t xml:space="preserve">01648N
904JVP</t>
  </si>
  <si>
    <t xml:space="preserve">SINOCHEM GROUP/ROYAL DSM- JOINT VENTURE</t>
  </si>
  <si>
    <t xml:space="preserve">Sinochem Group (SC) and Koninklijke DSM NV (KD) formed a joint venture to
provide research and development services. SC and KD were to each hold a
50% interest in the joint venture.</t>
  </si>
  <si>
    <t xml:space="preserve">AstraZeneca PLC
Amgen Inc</t>
  </si>
  <si>
    <t xml:space="preserve">Manufactures, wholesales pharmaceutical products
Manufacture human therapeutics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</si>
  <si>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</si>
  <si>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ASTRAZENECA PLC/AMGEN INC- JOINT VENTURE</t>
  </si>
  <si>
    <t xml:space="preserve">Astrazeneca PLC (AP) and Amgen Inc (AI) planned to form a joint venture
wherein AI licensed AP to promote new drug denosumab in Japan.</t>
  </si>
  <si>
    <t xml:space="preserve">046353
031162</t>
  </si>
  <si>
    <t xml:space="preserve">Novozymes A/S
Meihua Holdings Group Co Ltd</t>
  </si>
  <si>
    <t xml:space="preserve">Mnfr,wholesale enzyme products
Mnfr biological fermented prod</t>
  </si>
  <si>
    <t xml:space="preserve">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
Meihua Holdings Group Co Ltd,
headquartered in Beijing,
China, manufactures and
wholesales biological
fermented products. The major
products include monosodium
glutamate, starch, amino acid,
and fertilizer. The company
was founded in 1995.</t>
  </si>
  <si>
    <t xml:space="preserve">NOVOZYMES A/S/MEIHUA HOLDINGS GROUP CO LTD(WAS 98294H)- STRATEGIC ALLIANCE</t>
  </si>
  <si>
    <t xml:space="preserve">Novozymes A/S and Meihua Holdings Group Co Ltd formed a strategic alliance
to collaborate on turning cotton stalks and corn stover into food
additives.</t>
  </si>
  <si>
    <t xml:space="preserve">67026F
58699X</t>
  </si>
  <si>
    <t xml:space="preserve">Evotec AG
PsychoGenics Inc</t>
  </si>
  <si>
    <t xml:space="preserve">Mnfr small molecule drugs
Biotech co</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</si>
  <si>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Biotechnology company involved
in preclinical neurobiology
and in the provision of CNS
drug discovery solutions</t>
  </si>
  <si>
    <t xml:space="preserve">EVOTEC AG/PSYCHOGENICS INC-STRATEGIC ALLIANCE</t>
  </si>
  <si>
    <t xml:space="preserve">Evotec AG and PsychoGenics Inc formed a strategic alliance to provide
integrated CNS drug discovery solutions to pharmaceutical and biotech
companies.</t>
  </si>
  <si>
    <t xml:space="preserve">D1646D
73995V</t>
  </si>
  <si>
    <t xml:space="preserve">Suez Environnement SA
General Electric Co</t>
  </si>
  <si>
    <t xml:space="preserve">Provide water, waste management services
Manufacture,wholesale power generation equipment</t>
  </si>
  <si>
    <t xml:space="preserve">Suez Environnement SA,
located in Courbevoie,
France, provides water
utility and waste management
services. It runs its
businesses under two
divisions. Water division,
which is involved in the
catchments, production,
treatment and distribution
of drinking water, the
collection and purification
of domestic and industrial
water, as well as the
biological water treatment.
Waste division, which is
involved in the hazardous
and non-hazardous industrial
and domestic waste
collection, treatment,
recycling and maintenance,
as well as the provision of
urban cleaningon-site and
polluted soil treatment
services. Its operations are
carried out in Europe, North
and South America, Asia,
Middle East, Africa and
Oceania. The Company was
founded in 1997.
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t>
  </si>
  <si>
    <t xml:space="preserve">4941
3612</t>
  </si>
  <si>
    <t xml:space="preserve">SUEZ ENVIRONNEMENT SA /GENERAL ELECTRIC CO{GE}- STRATEGIC ALLIANCE</t>
  </si>
  <si>
    <t xml:space="preserve">Suez Environnement SA and General Electric Co formed a strategic alliance
to co-development of innovative Solutions in the Field of Smart Water to
Address the Growing Needs of Cities All Over the World.</t>
  </si>
  <si>
    <t xml:space="preserve">F4984P
369604</t>
  </si>
  <si>
    <t xml:space="preserve">T Rad Co Ltd
Tata Motors Ltd</t>
  </si>
  <si>
    <t xml:space="preserve">Mnfr,whl heat exchangers
Mnfr,whl motor vehicles, parts</t>
  </si>
  <si>
    <t xml:space="preserve">T Rad Co Ltd, located in
Tokyo, Japan, manufactures
and wholesales heat
exchangers. The Group's
principal activities are to
manufacture and sell heat
exchangers for automobiles,
construction machines, air
conditioners and industrial
machines. The operations are
carried out through the
following divisions:
Radiators and heat
exchangers and others. The
Radiators and heat
exchangers division deals in
radiators for automobiles,
construction machines,
industrial vehicles and
agricultural machines and
heat exchangers for air
conditioners including
evaporator condensers, oil
coolers and inter coolers.
The Other operations include
trucking and insurance
brokerage. The company was
founded in 1936.
Tata Motors Ltd manufactures
and wholesales motor
vehicles and parts. The
Company''s automotive
segment consists of
commercial and passenger
automobile manufacturing as
well as financing of the
vehicles sold by the
company. Other activities
primarily include the
manufacture of construction
equipment and software
operations. It has
operations in the United
Kingdom, South Korea,
Thailand and Spain. The
Company was founded in
September 1945 and is
located in Mumbai, India.</t>
  </si>
  <si>
    <t xml:space="preserve">3585
3711</t>
  </si>
  <si>
    <t xml:space="preserve">Japan
India</t>
  </si>
  <si>
    <t xml:space="preserve">T RAD CO LTD/TATA MOTORS LTD- JOINT VENTURE</t>
  </si>
  <si>
    <t xml:space="preserve">T RAD Co Ltd and Tata Motors Ltd planned to form a joint venture to provide
research and development services for heat exchangers used in automotive
air conditioners.</t>
  </si>
  <si>
    <t xml:space="preserve">87063V
876568</t>
  </si>
  <si>
    <t xml:space="preserve">Zhejiang Hisun Pharm Co Ltd
Sapphire Holdings Pte Ltd</t>
  </si>
  <si>
    <t xml:space="preserve">Mnfr,whl pharmaceuticals
Real estate development firm</t>
  </si>
  <si>
    <t xml:space="preserve">Zhejiang Hisun
Pharmaceutical Co Ltd is a
manufacturer and wholesaler
of pharmaceutical
preparation. The Company was
founded in 1956 and is
located in Taizhou, China.
Real estate development firm</t>
  </si>
  <si>
    <t xml:space="preserve">2834
6552</t>
  </si>
  <si>
    <t xml:space="preserve">Zhejiang Hisun Pharm Co Ltd
DBS Land Ltd</t>
  </si>
  <si>
    <t xml:space="preserve">ZHEJIANG HISUN PHARMACEUTICAL CO LTD/PFIZER INC- JOINT VENTURE</t>
  </si>
  <si>
    <t xml:space="preserve">Hisun-Pfizer Pharmaceuticals
Co Ltd is a pharmaceutical
manufacturing firm,
headquartered in Zhejiang,
China. The company, which
manufactures off-patent
pharmaceutical products, is a
joint venture between Zhejiang
Hisun Pharmaceuticals Co Ltd
and Pfizer Inc. It was founded
in September 12, 2012.</t>
  </si>
  <si>
    <t xml:space="preserve">Zhejiang Hisun Pharmaceutical Co Ltd and Sapphire Holdings Pte Ltd (DBS
Land Ltd) formed a joint venture named Hisun Pfizer Pharmaceuticals Co Ltd
to develop, manufacture and commercialize off-patent pharmaceutical
products in China and global markets. The JV was to have an investment of
USD 295 mil and capital of USD 250 mil . Zhejiang Hisun owned a 51%
interest and Sapphire Holdings Pte Ltd (DBS Land Ltd) owned the remaining
49% stake. The participants contributed pharmaceutical product portfolios
to the joint venture. The transaction was approved by Ministry of Commerce
of China.</t>
  </si>
  <si>
    <t xml:space="preserve">The JV was to have an investment of USD 295 mil and capital of USD 250 mil
.</t>
  </si>
  <si>
    <t xml:space="preserve">40908Y</t>
  </si>
  <si>
    <t xml:space="preserve">Y9891W
80305P</t>
  </si>
  <si>
    <t xml:space="preserve">Cryo-Save Group NV
John Daniel Holdings Ltd</t>
  </si>
  <si>
    <t xml:space="preserve">Own,operate stem cells banks
Investment holding company</t>
  </si>
  <si>
    <t xml:space="preserve">Cryo-Save Group NV owns and
operates cord blood stem
cells banks. The group is
focused on the collection
and storage of adult stem
cells derived from cord
blood, umbilical and adipose
tissue. It has processing
and storage facilities in
Belgium, Germany, Dubai,
India and France. The
Company was founded in 2000
and is located in Zutphen,
the Netherlands.
John Daniel Holdings Ltd,
located in South Africa, is
an investment holding
company, engaged in the
discovery, development, and
commercialization of
regenerative cell and
medicine technologies
primarily in Western Cape
and Gauteng, South Africa
and also in the manufacture
of slow monolithic release
devices for package
preservation of table
grapes.</t>
  </si>
  <si>
    <t xml:space="preserve">8099
6799</t>
  </si>
  <si>
    <t xml:space="preserve">Netherlands
South Africa</t>
  </si>
  <si>
    <t xml:space="preserve">CRYO-SAVE GROUP NV/JOHN DANIEL HOLDINGS LTD- JOINT VENTURE</t>
  </si>
  <si>
    <t xml:space="preserve">Cryo-Save Group NV (CS) and John Daniel Holdings Ltd (JD) planned to form a
joint venture to establish a new stem cell bank in South Africa.</t>
  </si>
  <si>
    <t xml:space="preserve">22903X
47654T</t>
  </si>
  <si>
    <t xml:space="preserve">Shanghai Fosun Pharm(Grp)Co
Lonza Group Ltd</t>
  </si>
  <si>
    <t xml:space="preserve">Shanghai Fosun
Pharmaceutical (Group) Co
Ltd, located in China, is a
manufacturer and wholesaler
of pharmaceutical products.
The company manufactures
prescription pharmaceuticals
intended for final
consumption, including
biotech products and
antibiotics. The company was
founded in 1994.
Lonza Group Ltd, located in
Basel, Switzerland, is a
biopharmaceutical company
that manufactures and
develops active ingredients,
peptides, amino acids and
other chemical and biotech
ingredients for the
nutrition, hygiene,
preservation, agro and
personal care markets. The
Company was founded in 1897.</t>
  </si>
  <si>
    <t xml:space="preserve">SHANGHAI FOSUN PHARMACEUTICAL(GROUP)CO LTD/LONZA GROUP LTD-JOINT VENTURE</t>
  </si>
  <si>
    <t xml:space="preserve">Shanghai Fosun Pharmaceutical(Group)Co Ltd (Shanghai Fosun) and Lonza Group
Ltd (Lonza) planned to form a joint venture in Shanghai, China to own and
operate a pharmaceutical company. The joint venture was to develop
antineoplastic, anti-infection and cardiovascular therapeutic medicines.
Shanghai Fosun and Lonza were to each hold a 50% stake in the joint
venture. The joint venture was to have an initial investment of CNY 100 mil
(USD 15.65 mil).</t>
  </si>
  <si>
    <t xml:space="preserve">The joint venture was to have an initial investment of CNY 100 mil (USD
15.65 mil).</t>
  </si>
  <si>
    <t xml:space="preserve">82073R
54338V</t>
  </si>
  <si>
    <t xml:space="preserve">Merck Sharp &amp; Dohme Corp
Roche Group</t>
  </si>
  <si>
    <t xml:space="preserve">Mnfr,whl pharmaceutical prod
Temporary employment agency</t>
  </si>
  <si>
    <t xml:space="preserve">Merck Sharp &amp; Dohme Corp,
located in Kenilworth, New
Jersey, is a manufacturer of
pharmaceutical preparation.
It is focused on researching
on hepatitis C, HIV,
diabetes and
immuno-oncology. The Company
was founded in 1891.
Provider of temporary
recruitment and employment
services to the hospitality
and lesiure sectors</t>
  </si>
  <si>
    <t xml:space="preserve">2834
7363</t>
  </si>
  <si>
    <t xml:space="preserve">Merck &amp; Co Inc
Kellan Group PLC</t>
  </si>
  <si>
    <t xml:space="preserve">2834
7361</t>
  </si>
  <si>
    <t xml:space="preserve">ROCHE GROUP/MERCK &amp; CO INC-STRATEGIC ALLIANCE</t>
  </si>
  <si>
    <t xml:space="preserve">Merck Sharp Dohme Corp and Roche Group formed a strategic alliance, to
develop diagnostic assays.</t>
  </si>
  <si>
    <t xml:space="preserve">U58933
77122H</t>
  </si>
  <si>
    <t xml:space="preserve">Guodian Nanjing Automation Co
ABB (China) Ltd</t>
  </si>
  <si>
    <t xml:space="preserve">Mnfr,whl power automation prod
Power, Distribution, and Specialty Transformer Manufacturing</t>
  </si>
  <si>
    <t xml:space="preserve">Guodian Nanjing Automation
Co Ltd, headquartered in
Nanjing, China, manufactures
and wholesales power
automation products. The
main products include HV and
LV power transmission and
transformation line
protection, primary power
equipment protection,
substation comprehensive
automation system, network
dispatching automation
system, power distribution
network dispatching
automation system, power
distribution network
automation system,
hydropower and thermal power
plant automation system,
power marketing management
system, customer service
center management system,
substation equipment online
monitoring system. It
distributes its products
mainly in domestic market.
The company was founded in
April 1998.
ABB (China) Ltd is a
manufacturer of power,
distribution, and specialty
transformers. The Company
was founded in August 1995
and is located in Beijing,
China.</t>
  </si>
  <si>
    <t xml:space="preserve">3823
3612</t>
  </si>
  <si>
    <t xml:space="preserve">China Huadian Corp Ltd
ABB Ltd</t>
  </si>
  <si>
    <t xml:space="preserve">4911
3613</t>
  </si>
  <si>
    <t xml:space="preserve">GUODIAN NANJING AUTOMATION CO LTD/ABB(CHINA)LTD-JOINT VENTURE</t>
  </si>
  <si>
    <t xml:space="preserve">Guodian Nanjing Automation Co Ltd (GN) and ABB(China)Ltd (AC), a unit of
ABB Ltd, formed a joint venture to research, develop, design, import and
export grid automation system and equipment in Nanjing City. GN held a 51%
interest in the joint venture while AC held the remaining 49% stake. The
joint venture had an investment CNY 1.75 bil (USD 270.008 mil). The
transaction was subject to regulatory approval.</t>
  </si>
  <si>
    <t xml:space="preserve">The joint venture had an investment CNY 1.75 bil (USD 270.008 mil) .</t>
  </si>
  <si>
    <t xml:space="preserve">40327M
00640F</t>
  </si>
  <si>
    <t xml:space="preserve">Zealand Pharma A/S
Boehringer Ingelheim GmbH</t>
  </si>
  <si>
    <t xml:space="preserve">Mnfr peptide drugs
Pharmaceutical Preparation Manufacturing</t>
  </si>
  <si>
    <t xml:space="preserve">Zealand Pharma A/S,
headquartered in Copenhagen,
Denmark, manufactures
peptide drugs. It provides
discovery and development in
peptide-based drugs that
treat metabolic and
cardiovascular diseases. The
company was founded in 19
October 1998.
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t>
  </si>
  <si>
    <t xml:space="preserve">Zealand Pharma A/S
CH Boehringer Sohn AG &amp; Co KG</t>
  </si>
  <si>
    <t xml:space="preserve">ZEALAND PHARMA A/S/BOEHRINGER INGELHEIM GMBH-STRATEGIC ALLIANCE</t>
  </si>
  <si>
    <t xml:space="preserve">Zealand Pharma A/S and Boehringer Ingelheim GmbH formed a strategic
alliance to develop and commercialize dual-acting glucagon and GLP-1
receptor agonists.</t>
  </si>
  <si>
    <t xml:space="preserve">Research &amp; Development Services
Retail &amp; Wholesale Services
Exclusive Licensing Services
Licensing Services</t>
  </si>
  <si>
    <t xml:space="preserve">99018J
09710W</t>
  </si>
  <si>
    <t xml:space="preserve">Honeywell International Inc
Safran SA</t>
  </si>
  <si>
    <t xml:space="preserve">Search Detection Navigation Guidance Aeronautical and Nautical System and Instrument Manufacturing
Other Aircraft Parts and Auxiliary Equipment Manufacturing</t>
  </si>
  <si>
    <t xml:space="preserve">Honeywell International Inc,
located in Morris Plaines,
New Jersey, manufactures
automation and aerospace
solutions. Its products
include aircraft engines,
environmental control
systems, collision avoidance
radar systems, cockpit data
recorders, space-pointing
devices and control systems
for spacecraft, and
antisubmarine warfare
systems. The Company also
designs, engineers and
manufactures automotive
products such as braking
systems, engine components
and safety restraint
systems, as well as control
technologies for building,
homes and industry. The
Company was founded in 1885.
Safran SA, located in Paris,
France, manufactures and
wholesales aircraft
propulsion units, aircraft
equipment, mobile phones,
digital televisions, cables,
navigation and security
equipment. The Group
operates under four major
segments, Aerospace
propulsion, Defense
Security, Aircraft Equipment
and Communication and
Terminals. Under Aerospace
propulsion, the Group offers
aero engines for civil and
military airplanes. The
Company also offers
propulsion systems,
equipment for launchers,
satellites and space
vehicles. Under Defense
security, it offers security
and defense electronics such
as inertial navigation
systems, Optronics system,
information and command
control system and Biometric
identification systems.
Under Aircraft Equipment, it
offers aircraft engine
nacelles, landing gear,
wheels and carbon brakes and
aircraft wiring. Under
Communication and Terminals,
it offers printing
terminals, residential
terminals, digital TV
set-top boxes and broadband
networks and operates mainly
in Europe. The Company was
founded in 1904.</t>
  </si>
  <si>
    <t xml:space="preserve">3812
3728</t>
  </si>
  <si>
    <t xml:space="preserve">HONEYWELL INTERNATIONAL INC/SAFRAN SA-JOINT VENTURE</t>
  </si>
  <si>
    <t xml:space="preserve">Honeywell International Inc (HI) and Safran Group (SG) signed a memorandum
of understanding to form a joint venture to develop innovative green
taxiing system for aircrafts.</t>
  </si>
  <si>
    <t xml:space="preserve">Research &amp; Development Services
Modernization Services
Transportation (Air) Services</t>
  </si>
  <si>
    <t xml:space="preserve">438516
6E5093</t>
  </si>
  <si>
    <t xml:space="preserve">GenSpera Inc
University of Copenhagen</t>
  </si>
  <si>
    <t xml:space="preserve">GenSpera Inc is a provider of
biotechnology research and
development services. The
company is located in San
Antonio, Texas.
University of Copenhagen is
a college operator. The
Company is located in
Copenhagen, Denmark.</t>
  </si>
  <si>
    <t xml:space="preserve">GENSPERA INC/UNIVERSITY OF COPENHAGEN-STARTEGIC ALLIANCE</t>
  </si>
  <si>
    <t xml:space="preserve">GenSpera Inc (GI) and University of Copenhagen (UC) formed a strategic
alliance to develop a metabolically engineered moss strain under the
"SPOTLight" (Sustainable Production of Thapsigargin using Light) project.
GI obtained license to the moss cell lines needed for the production. The
project is primarily funded by an amount of DKK 18.3 mil (USD 3.543 mil)
grant from The Danish Council for Strategic Research and an additional USD
0.1 mil grant from GI.</t>
  </si>
  <si>
    <t xml:space="preserve">37251Q
91417Q</t>
  </si>
  <si>
    <t xml:space="preserve">UCB SA
Harvard University</t>
  </si>
  <si>
    <t xml:space="preserve">Biopharmaceutical company
Own,operate university</t>
  </si>
  <si>
    <t xml:space="preserve">UCB SA, located in Brussels,
Belgium, is a
biopharmaceutical company
focused on the discovery and
development of innovative
medicines and solutions. It
specializes in two
therapeutic areas: diseases
of the central nervous
system (CNS) and immunology.
In the area of central
nervous system disorders, it
is focused on epilepsy,
diabetic neuropathic pain,
multiple sclerosis,
fibromyalgia, restless legs
syndrome and Parkinsons
disease, and the area of
immunology includes, bone
loss disorders, Crohns
disease, rheumatoid
arthritis and respiratory
disease. It also delivers
molecule solutions to
specialists for use in the
treatment of severe
diseases. Its product
portfolio includes drugs,
such as Neupro, Vimpat,
Cimzia, among others. The
Company was founded on
January 18, 1928.
Harvard University, located
in Cambridge, Massachusetts,
owns and operates a
university. The company was
founded in 1638.</t>
  </si>
  <si>
    <t xml:space="preserve">UNION CHIMIQUE BELGE SA/HARVARD UNIVERSITY-STRATEGIC ALLIANCE</t>
  </si>
  <si>
    <t xml:space="preserve">Union Chimique Belge SA (UC) and Harvard University (HU) agreed to form
astrategic alliance for research and development of new drugs specifically
for the areas of the central nervous syatem and immunology. UC were to
invest USD 6 mil.</t>
  </si>
  <si>
    <t xml:space="preserve">UC were to invest USD 6 mil.</t>
  </si>
  <si>
    <t xml:space="preserve">903480
41748A</t>
  </si>
  <si>
    <t xml:space="preserve">Lifan Ind Grp Co Ltd
Undisclosed JV Partner</t>
  </si>
  <si>
    <t xml:space="preserve">Mnfr,whl motor vehicles,parts
Investment company</t>
  </si>
  <si>
    <t xml:space="preserve">Lifan Industry (Group) Co
Ltd, located in China,
manufactures and wholesales
motor vehicles and parts. It
was founded in 1992.
Investment company</t>
  </si>
  <si>
    <t xml:space="preserve">3711
6799</t>
  </si>
  <si>
    <t xml:space="preserve">Chongqing Huiyang Hldg Co Ltd
Undisclosed JV Partner</t>
  </si>
  <si>
    <t xml:space="preserve">LIFAN INDUSTRY(GROUP)CO LTD/UNDISCLOSED JOINT VENTURE PARTNER-JOINT
VENTURE</t>
  </si>
  <si>
    <t xml:space="preserve">Lifan Industry(Group) Co Ltd and an undisclosed Brazilian carmaker planned
to form a joint venture to build a knock-down plant and an automobile
research and development center in Brazil. The joint venture was to have an
investment of USD 130 mil.</t>
  </si>
  <si>
    <t xml:space="preserve">The joint venture was to have an investment of USD 130 mil.</t>
  </si>
  <si>
    <t xml:space="preserve">53231R
904JVP</t>
  </si>
  <si>
    <t xml:space="preserve">Zhongli Science &amp; Tech Grp Co
Richport Holdings Ltd</t>
  </si>
  <si>
    <t xml:space="preserve">Mnfr,whl special cable
Mnfr cable wires</t>
  </si>
  <si>
    <t xml:space="preserve">Zhongli Science &amp; Technology
Group Co Ltd, located in
China, manufactures and
wholesales special cable. It
provides products and
services for communication
industry, equipment
manufacturing industry,
railroad transportation
industry and new energy
industry. The company was
founded in September 1988.
Richport Holdings Ltd, located
in China, manufactures cable
wires. It is also a holding
company.</t>
  </si>
  <si>
    <t xml:space="preserve">3357
3357</t>
  </si>
  <si>
    <t xml:space="preserve">ZHONGLI SCIENCE AND TECNOLOGY GROUP CO LTD/RICHPORT HOLDINGS LTD-JOINT
VENTURE</t>
  </si>
  <si>
    <t xml:space="preserve">Zhongli Science and Technology Group Co Ltd (ZS) and Richport Holdings Ltd
(RH) planned to form a joint venture named Stargazer Link Technology (Asia)
Pte (SL) to manufacture, develop and sell photovoltaic products and
modules, cable, optical cable, electronics links and communications
equipments in Singapore. ZS was to hold an 80.16% interest in SL while RH
was to hold the remaining 19.84% stake. The joint venture was to be
capitlized USD 9.98 mil.</t>
  </si>
  <si>
    <t xml:space="preserve">The joint venture was to be capitlized USD 9.98 mil.</t>
  </si>
  <si>
    <t xml:space="preserve">98227W
76591V</t>
  </si>
  <si>
    <t xml:space="preserve">SAES Getters SpA
Alfmeier Praezision AG</t>
  </si>
  <si>
    <t xml:space="preserve">Instruments and Related Products Manufacturing For Measuring, Displaying, Controlling Variables
Mnfr motor vehicle parts</t>
  </si>
  <si>
    <t xml:space="preserve">SAES Getters SpA is a
manufacturer of measuring,
displaying and controlling
variables instruments and
related products. It
manufactures electronic
components used to create
and maintain vacuum and
purified gas environments,
in scientific applications,
traditional electronics,
semiconductors, lighting,
telecommunications,
appliances and laboratory
physics experiments. The
Group is organized into two
divisions: the components
business and the equipment
business. The equipment
business comprises in pure
gas technologies, analytical
technologies and facilities
technologies. The Group
operates in Italy, other
European countries, European
Union countries, North
America, Japan, Asian
countries and other parts of
the world. The Company was
founded in 1940 and is
located in Milan, Italy.
Alfmeier Praezision AG
Baugruppen und
Systemloesungen, located in
Treuchtlingen, Germany,
manufactures motor vehicle
parts. The company's products
include automobile seats,
engine systems, and fuel
management systems. The
company was founded in 1960.</t>
  </si>
  <si>
    <t xml:space="preserve">3823
3714</t>
  </si>
  <si>
    <t xml:space="preserve">Italy
Germany</t>
  </si>
  <si>
    <t xml:space="preserve">SGG Holding SpA
Gebhardt Holding GmbH</t>
  </si>
  <si>
    <t xml:space="preserve">6799
3714</t>
  </si>
  <si>
    <t xml:space="preserve">SAES GETTERS SPA/ALFMEIER PRAEZISION AG-JOINT VENTURE</t>
  </si>
  <si>
    <t xml:space="preserve">SAES Getters SpA (SG) and Alfmeier Praezision AG Baugruppen und
Systemloesungen (AP) formed a joint venture named Actuator Solutions GmbH
to develop, produce and distribute actuators using Shape Memory Alloy (SMA)
technology.</t>
  </si>
  <si>
    <t xml:space="preserve">786362
01556K</t>
  </si>
  <si>
    <t xml:space="preserve">Rib-X Pharmaceuticals Inc
Sanofi SA</t>
  </si>
  <si>
    <t xml:space="preserve">Mnfr antibiotics
Manufactures pharmaceuticals products</t>
  </si>
  <si>
    <t xml:space="preserve">Rib-X Pharmaceuticals Inc,
headquartered in New Haven,
Connecticut, manufactures
novel classes of
antibiotics. It also
provides small molecule drug
discovery services. The
company was founded in 2000.
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t>
  </si>
  <si>
    <t xml:space="preserve">RIB-X PHARMACEUTICALS/SANOFI-STRATEGIC ALLIANCE</t>
  </si>
  <si>
    <t xml:space="preserve">Rib-X Pharmaceuticals Inc (RP) and Sanofi (SF) formed a strategic alliance
for research and option for license of antibiotics drugs formulated from
RP's RX-04 program. RP will receive initial payment of USD 10 mil and will
be eligible to receive additional payment for further achievements in the
research.</t>
  </si>
  <si>
    <t xml:space="preserve">RP will receive initial payment of USD 10 mil</t>
  </si>
  <si>
    <t xml:space="preserve">76296F
80105N</t>
  </si>
  <si>
    <t xml:space="preserve">Connectec Japan Corp
ChipMos Technologies Inc</t>
  </si>
  <si>
    <t xml:space="preserve">Mnfr semiconductor package
Pvd semiconductor testing svcs</t>
  </si>
  <si>
    <t xml:space="preserve">Connectec Japan Corp is a
manufacturer of
semiconductors and related
device. The Company was
founded in November 2009 and
is located in Myoko-Shi
Niigata, Japan.
ChipMos Technologies Inc
provides testing services for
a range of semiconductors
including memory
semiconductors, mixed-signal
semiconductors and liquid
crystal display driver
semiconductors. The company is
based in Hsinchu, Taiwan.</t>
  </si>
  <si>
    <t xml:space="preserve">3674
8734</t>
  </si>
  <si>
    <t xml:space="preserve">Connectec Japan Corp
ChipMOS Tech(Bermuda)Ltd</t>
  </si>
  <si>
    <t xml:space="preserve">CONNECTEC JAPAN CORP/CHIPMOS TECHNOLOGIES INC-STRATEGIC ALLIANCE</t>
  </si>
  <si>
    <t xml:space="preserve">CONNECTEC JAPAN Corp and ChipMos Technologies Inc formed a strategic
alliance to jointly develop package and assembly technologies targeting
existing and future market opportunities and better meet its customer
requirements.</t>
  </si>
  <si>
    <t xml:space="preserve">20751F
G2110R</t>
  </si>
  <si>
    <t xml:space="preserve">Sanyo North America Corp
BD BioSciences</t>
  </si>
  <si>
    <t xml:space="preserve">Mnfr electronic products
Mnfr,whl med devices,equipment</t>
  </si>
  <si>
    <t xml:space="preserve">Manufacture consumer
electronics products and small
appliances
BD BioSciences, located in San
Jose, California, manufactures
and wholesales medical devices
and equipment as well as
health care, medical, and
diagnostic products.</t>
  </si>
  <si>
    <t xml:space="preserve">3651
3841</t>
  </si>
  <si>
    <t xml:space="preserve">Panasonic Corp
Becton Dickinson &amp; Co</t>
  </si>
  <si>
    <t xml:space="preserve">SANYO NORTH AMERICA CORP/BD BIOSCIENCES-STRATEGIC ALLIANCE</t>
  </si>
  <si>
    <t xml:space="preserve">SANYO North America Corporation (SN) and BD Biosciences (BB) planned to
form a strategic alliance to promote innovative and high technology life
science research tools for the development of cell culture and cell therapy
studies. The alliance aims to co-market and develop innovative products and
services both existing an untapped market applications. SN and BB will
develop new ways to integrate each others products for the advancement of
cell culture and therapy research.</t>
  </si>
  <si>
    <t xml:space="preserve">80307V
05743R</t>
  </si>
  <si>
    <t xml:space="preserve">Roche Holdings AG
CPRIT</t>
  </si>
  <si>
    <t xml:space="preserve">Manufactures, wholesales pharmaceuticals and medical instruments
Government agency</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</si>
  <si>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The Cancer Prevention &amp;
Research Institute of Texas,
located in Austin, US, is a
government agency. It focuses
on the innovation of research
projects aimed to find cure
for cancer. The agency was
founded in 2007.</t>
  </si>
  <si>
    <t xml:space="preserve">2834
999D</t>
  </si>
  <si>
    <t xml:space="preserve">ROCHE HOLDING AG/CANCER PREVENTION RESEARCH INSTITUTE-STRATEGIC ALLIANCE</t>
  </si>
  <si>
    <t xml:space="preserve">Roche Holding AG and Cancer PreventionResearch Institute of Texas formed a
strategic alliance, to further develop oncology-related research projects
in Texas.</t>
  </si>
  <si>
    <t xml:space="preserve">77119M
13744A</t>
  </si>
  <si>
    <t xml:space="preserve">BGI
Covaris Inc</t>
  </si>
  <si>
    <t xml:space="preserve">Pvd research,development svcs
Mnfr,dvlp instr sys prod</t>
  </si>
  <si>
    <t xml:space="preserve">Beijing Genomics Institute,
headquartered in Shenzhen,
China, provides research and
development services focused
in genomics. The company was
founded in 1999.
Manufacture and develop
instrument systems products
based on biophysical
technology platform for life
sciences</t>
  </si>
  <si>
    <t xml:space="preserve">BEIJING GENOMICS INSTITUTE{BGI}/COVARIS INC-STRATEGIC ALLIANCE</t>
  </si>
  <si>
    <t xml:space="preserve">Beijing Genomics Institute (BGI) and Covaris, Inc (Covaris) formed a
strategic alliance to conduct Next-Generation Sequencing. Under the
alliance, Covaris' Adaptive Focused Acoustics(TM) AFA(TM) DNA shearing
technology will be integrated across many BGI laboratories in China. BGI
will utilize the Covaris LE220 parallel processing, multi-sample platform
to fragment DNA samples for Next-Generation Sequencing.</t>
  </si>
  <si>
    <t xml:space="preserve">07908L
22297N</t>
  </si>
  <si>
    <t xml:space="preserve">Sandoz International GmbH
Nipro Corp</t>
  </si>
  <si>
    <t xml:space="preserve">Pharmaceutical Preparation Manufacturing
Mnfr,whl medical equipment</t>
  </si>
  <si>
    <t xml:space="preserve">Sandoz International GmbH,
located in Holzkirchen,
Germany, manufactures and
wholesales generic
pharmaceutical products. Its
therapeutic areas include
systemic anti-infectives,
hormone therapy,
respiratory, cardiovascular,
central nervous, and
gastrointestinal systems.
The Company was founded in
1886.
Nipro Corp, headquartered in
Osaka, Japan, is engaged in
the manufacture and sale of
medical devices,
pharmaceutical products and
instrument products, such as
vitreous for medical and
thermos bottle uses. The
Company operates in four
business divisions. The
Medical Device division is
engaged in the manufacture
and sale of medical devices,
the development, manufacture
and sale of cell
culturing-related products
and diabetes-relates
products. The Pharmaceutical
division is engaged in the
manufacture and sale of
pharmaceuticals, such as
blood derivatives. The
Material division is engaged
in the manufacture and sale
of vitreous pipes, bottles
and ampoules, among others.
The Others division is
engaged in the sale of
medical device manufacturing
equipment, the leasing of
real estate and the non-life
insurance agency businesses.
It was founded in 1954.</t>
  </si>
  <si>
    <t xml:space="preserve">Novartis AG
Nipro Corp</t>
  </si>
  <si>
    <t xml:space="preserve">SANDOZ INTERNATIONAL GMBH/NIPRO CORP-STRATEGIC ALLIANCE</t>
  </si>
  <si>
    <t xml:space="preserve">Sandoz International GmbH and Nipro Corp formed a strategic alliance to
provide research and development and manufacturing services .</t>
  </si>
  <si>
    <t xml:space="preserve">79999E
65516K</t>
  </si>
  <si>
    <t xml:space="preserve">California Capital Equity LLC
Toumaz Ltd</t>
  </si>
  <si>
    <t xml:space="preserve">Investment company
Mnfr semiconductors</t>
  </si>
  <si>
    <t xml:space="preserve">California Capital Equity,
located in Culver City,
California, is an investment
company.
Toumaz Ltd, located in
Abingdon, UK, manufactures
semiconductors. The company
manufactures advanced RF,
analogue and mixed signal
semiconductors. The company
was founded in 2002.</t>
  </si>
  <si>
    <t xml:space="preserve">CALIFORNIA CAPITAL EQUITY LLC/TOUMAZ LTD-JOINT VENTURE</t>
  </si>
  <si>
    <t xml:space="preserve">California Capital Equity LLC (CC) and Toumaz Ltd (TL) formed a joint
venture named Toumaz US to develop, commercialise and distribute Sensium
Plaster in North America and worldwide. CC were to hold 80% interest in the
JV while TL were to hold the remaining 20% interest. CC will provide
funding worth USD 25 mil over the next two years.</t>
  </si>
  <si>
    <t xml:space="preserve">CC will provide funding worth USD 25 mil over the next two years.</t>
  </si>
  <si>
    <t xml:space="preserve">12261K
91035L</t>
  </si>
  <si>
    <t xml:space="preserve">Micromet Inc
Amgen Inc</t>
  </si>
  <si>
    <t xml:space="preserve">Biopharmaceutical company
Manufacture human therapeutics</t>
  </si>
  <si>
    <t xml:space="preserve">Micromet Inc, headquartered in
Rockville, Maryland, is a
biopharmaceutical company
engaged in the research and
development of novel
antibody-based therapeutics
for the cure of cancer,
inflammation and autoimmune
diseases. It has a research
and development facility
located in Germany. The
company was founded in 1993.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</si>
  <si>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MICROMET INC/AMGEN INC-STRATEGIC ALLIANCE</t>
  </si>
  <si>
    <t xml:space="preserve">Micromet Inc (MI) and Amgen Inc (AI) formed a strategic alliance for the
research and development of BiTE antibodies against three undisclosed solid
tumors. Under terms of agreement, AI will pay EUR 10 mil (USD 14.05 mil)
upon execution of the agreement. MI is entitled to receive payment up to
EUR 342 mil including royalty fees when certain clinical milestones are
achieved.</t>
  </si>
  <si>
    <t xml:space="preserve">59509C
031162</t>
  </si>
  <si>
    <t xml:space="preserve">Vuzix Corp
Fraunhofer IPMS</t>
  </si>
  <si>
    <t xml:space="preserve">Mnfr, whl personal viewers
Pvd research,dvlp svcs</t>
  </si>
  <si>
    <t xml:space="preserve">Vuzix Corp, located in
Rochester, New York, is
engaged in the design,
manufacture, marketing and
sale of devices that are
worn like eyeglasses and
feature built-in video
screens that enable the user
to view video and digital
content, such as movies,
computer data, the Internet
or video games. The company
was founded in 1997.
Fraunhofer Institute for
Photonic Microsystems provides
research and development
services. The company is
headquartered in Dresden. The
companys products and services
include access to know-how,
expertise and modern R&amp;D
infrastructure in the field of
optical sensors and actuators,
integrated circuits, organic
materials and Microsystems.</t>
  </si>
  <si>
    <t xml:space="preserve">3577
8731</t>
  </si>
  <si>
    <t xml:space="preserve">Vuzix Corp
Frauhofer Gesellschaft EV</t>
  </si>
  <si>
    <t xml:space="preserve">3577
6799</t>
  </si>
  <si>
    <t xml:space="preserve">VUZIX CORP/FRAUNHOFER INSTITUTE FOR PHOTONIC MICROSYSTEMS-STRATEGIC
ALLIANCE</t>
  </si>
  <si>
    <t xml:space="preserve">Vuzix Corp and Fraunhofer Institute for Photonic Microsystems {IPMS} formed
a strategic alliance, to produce a key component that integrates both the
display and optics into a monolithic display engine, with a goal of finally
enabling sunglass styled video glasses.</t>
  </si>
  <si>
    <t xml:space="preserve">92921W
35543F</t>
  </si>
  <si>
    <t xml:space="preserve">Mitsubishi Motors (Thailand)
Metropolitan Electricity
PEA ENCOM International Co Ltd</t>
  </si>
  <si>
    <t xml:space="preserve">Mnfr,whl vehicles and parts
Electric utility
Cogeneration plant</t>
  </si>
  <si>
    <t xml:space="preserve">Manufacture and wholesale
motor vehicles and parts
Metropolitan Electricity
Authority, located in Bangkok,
Thailand, is a state-owned
electric utility with the
purpose of providing and
distributing electrical power
supply in areas such as
Bangkok Metropolis, Samut
Prakan, and Nonthaburi
Provinces. The company was
founded in 1958.
PEA ENCOM International Co
Ltd is an alternative energy
sources establishment. The
Company was founded in June
2009 and is located in
Bangkok, Thailand.</t>
  </si>
  <si>
    <t xml:space="preserve">3711
4911
499A</t>
  </si>
  <si>
    <t xml:space="preserve">Thailand
Thailand
Thailand</t>
  </si>
  <si>
    <t xml:space="preserve">Mitsubishi Corp
Metropolitan Electricity
PEA(Thailand)</t>
  </si>
  <si>
    <t xml:space="preserve">Japan
Thailand
Thailand</t>
  </si>
  <si>
    <t xml:space="preserve">2899
4911
4911</t>
  </si>
  <si>
    <t xml:space="preserve">MITSUBISHI MOTORS (THAILAND) CO LTD/METROPOLITAN ELECTRICITY AUTHORITY/PEA
ENCOM INTERNATIONAL CO LOTD-STRATEGIC ALLIANCE</t>
  </si>
  <si>
    <t xml:space="preserve">Mitsubishi Motors (Thailand) Co Ltd (MM), Metropolitan Electricity
Authority (ME) and PEA ENCOM International Co Ltd (PE) planned to form a
strategic alliance to start testing of the i-MiEV new-generation electric
vehicle (EV) in Thailand. Under the terms of agreement, MM, ME and PE will
commence research studies for the EV's market acceptability, marketability
and charging infrastructure.</t>
  </si>
  <si>
    <t xml:space="preserve">55311U
59191F
95286Q</t>
  </si>
  <si>
    <t xml:space="preserve">Canon US Life Sciences Inc
University of Maryland</t>
  </si>
  <si>
    <t xml:space="preserve">Mnfr diagnostic pharmaceutical
Own,op college,university</t>
  </si>
  <si>
    <t xml:space="preserve">Canon U.S. Life Sciences ,
manufacturer of diagnostic
pharmaceuticals, headquartered
in Rockville, Maryland. The
company conducts research and
development on nano-liter DNA
analysis instruments.
University of Maryland is a
college operator. The
Company is located in
College Park, Maryland.</t>
  </si>
  <si>
    <t xml:space="preserve">2835
8221</t>
  </si>
  <si>
    <t xml:space="preserve">MD
MD</t>
  </si>
  <si>
    <t xml:space="preserve">Canon Inc
University of Maryland</t>
  </si>
  <si>
    <t xml:space="preserve">3861
8221</t>
  </si>
  <si>
    <t xml:space="preserve">CANON US LIFE SCIENCES/UNIVERSITY OF MARYLAND-STRATEGIC ALLIANCE</t>
  </si>
  <si>
    <t xml:space="preserve">Canon US Life Sciences Inc (CU) and the University of Maryland (UM) formed
a strategic alliance for the research and development for diagnostic
testing system for infectious illness.</t>
  </si>
  <si>
    <t xml:space="preserve">13801L
91439Q</t>
  </si>
  <si>
    <t xml:space="preserve">Coridon Pty Ltd
Ohio State University</t>
  </si>
  <si>
    <t xml:space="preserve">Coridon Pty Ltd, located in
Buranda, Queensland,
Australia, is a biotechnology
company. It develops DNA
therapies for the prevention
and treatment of viral
infections such as Herpesvirus
and Hepatitis C and
therapeutic vaccines for the
treatment of cancer. It was
founded in 2000.
The Ohio State University,
headquartered in Columbus,
Ohio, is an owner and operator
of university.</t>
  </si>
  <si>
    <t xml:space="preserve">Coridon Pty Ltd
United States of America</t>
  </si>
  <si>
    <t xml:space="preserve">CORIDON PTY LTD/OHIO STATE UNIVERSITY-STRATEGIC ALLIANCE</t>
  </si>
  <si>
    <t xml:space="preserve">Coridon Pty Ltd (CP) and Ohio State University (OS) formed a strategic
alliance to develop a preventive and therapeuric cure for Epstein Barr
Virus (EBV). EBV is the main cause for galndular fever in young adults and
is related other dieseases like Burkitt's lymphoma.</t>
  </si>
  <si>
    <t xml:space="preserve">21786H
67766Q</t>
  </si>
  <si>
    <t xml:space="preserve">HUYA Bioscience Intl LLC
National Health Tech Park</t>
  </si>
  <si>
    <t xml:space="preserve">Manufacture pharmaceuticals
State agency</t>
  </si>
  <si>
    <t xml:space="preserve">HUYA Bioscience
International LLC,
headquartered in San Diego,
California, is a
pharmaceutical manufacturing
firm. The company has an
office in Shanghai, China.
The company focuses on
biopharmaceutical
innovations originating from
China. They cooperate with
various Chinese
biopharmaceutical companies
and organization for
research and development of
China-sourced pharmaceutical
products. The company was
founded in 2004.
National Health Technology
Park is a state government
agency headquartered in
Guangdong, China.</t>
  </si>
  <si>
    <t xml:space="preserve">HUYA Bioscience Intl LLC
Peoples Republic of China</t>
  </si>
  <si>
    <t xml:space="preserve">HUYA BIOSCIENCE INTERNATIONAL/NATIONAL HEALTH TECHNOLOGY PARK-STRATEGIC
ALLIANCE</t>
  </si>
  <si>
    <t xml:space="preserve">HUYA Bioscience International LLC and National Health Technology Park
formed a strategic alliance to provide research and development services.</t>
  </si>
  <si>
    <t xml:space="preserve">44430R
63636R</t>
  </si>
  <si>
    <t xml:space="preserve">Kamada Ltd
Undisclosed SA Partner</t>
  </si>
  <si>
    <t xml:space="preserve">Mnfr biopharmaceuticals
Investment company</t>
  </si>
  <si>
    <t xml:space="preserve">Kamada Ltd, is a
pharmaceutical manufacturing
firm, headquartered in Ness
Ziona, Israel. The
company's brands include
Intravenous AAT and
Aerosolized AAT both for
respiratory deficiencies.
KamRAB and KamRho-D IM for
immunoglobins and Heparin
sodium injection for
critical care, among other
biopharmaceutical products
developed the company's
chromatographic purification
technology. The company was
founded in 1990.
Investment company</t>
  </si>
  <si>
    <t xml:space="preserve">FF
UN</t>
  </si>
  <si>
    <t xml:space="preserve">KAMADA LTD/UNDISCLOSED SA PARTNER-STRATEGIC ALLIANCE</t>
  </si>
  <si>
    <t xml:space="preserve">Kamada Ltd (KL) and an undisclosed international pharmaceuticals
manufacturer planned form a strategic alliance to develop and market KL's
human rabies immune globulin KamRAB in the United States for six years. The
transaction was subject to the US Food and Drug Administration approval.</t>
  </si>
  <si>
    <t xml:space="preserve">M6240T
90438T</t>
  </si>
  <si>
    <t xml:space="preserve">SIPCO
BS Coatings SAS</t>
  </si>
  <si>
    <t xml:space="preserve">Mnfr paints,sealants,adhesives
Mnfr anti corrosion coatings</t>
  </si>
  <si>
    <t xml:space="preserve">Saudi Industrial Paint Co Ltd
is a manufacturer of coatings.
The Company was founded in
1982 and is located in Dammam,
Saudi Arabia.
BS Coatings SAS, headquartered
in Aubevoye, France,
manufactures anti corrosion
coatings.</t>
  </si>
  <si>
    <t xml:space="preserve">2851
2851</t>
  </si>
  <si>
    <t xml:space="preserve">Saudi Arabia
France</t>
  </si>
  <si>
    <t xml:space="preserve">UNIVEST
BSR Group SAS</t>
  </si>
  <si>
    <t xml:space="preserve">2851
2821</t>
  </si>
  <si>
    <t xml:space="preserve">SAUDI INDUSTRIAL PAINT CO LTD/BS COATINGS SAS-JOINT VENTURE</t>
  </si>
  <si>
    <t xml:space="preserve">Saudi Arabia</t>
  </si>
  <si>
    <t xml:space="preserve">Saudi Industrial Paint Company (SI) and BS Coatings SAS (BC) formed a joint
venture to develop and promote SI's brand and product offerings through new
technology.</t>
  </si>
  <si>
    <t xml:space="preserve">80480F
05021K</t>
  </si>
  <si>
    <t xml:space="preserve">Jiangsu Jianghuai Engine Co
Tong Yang Moolsan Co Ltd</t>
  </si>
  <si>
    <t xml:space="preserve">Mnfr,whl diesel engines
Mnfr farm machinery,equipment</t>
  </si>
  <si>
    <t xml:space="preserve">Jiangsu Jianghuai Engine Co
Ltd, located in China,
manufactures and wholesales
diesel engines. Its principal
activities are the manufacture
and wholesale of single and
multiple cylinder diesel and
gasoline internal-combustion
engine. Other activities
include manufacture and
wholesale of generator, water
pump, oil press and
agriculture machineries such
as tractors, farm machines and
tools. The company was founded
in 1997.
Tong Yang Moolsan Co Ltd,
Seoul, Korea, manufacture farm
machinery and equipment,
stainless steel flatware and
cigarette filters. It also
distributes periodicals and
owns and operates a mechanical
design lab, nano sensors lab
and plant biotechnology lab.</t>
  </si>
  <si>
    <t xml:space="preserve">3599
3523</t>
  </si>
  <si>
    <t xml:space="preserve">China
South Korea</t>
  </si>
  <si>
    <t xml:space="preserve">JIANGSU JIANGHUAI ENGINE CO LTD/TONG YANG MOOLSAN CO LTD-JOINT VENTURE</t>
  </si>
  <si>
    <t xml:space="preserve">Jiangsu Jianghuai Engine Co Ltd (JJ) and Tong Yang Moolsan Co Ltd (TY)
planned to form a joint venture to manufacture, sell and develop farm
machinery in Yancheng, Jiangsu province. JJ was to hold a 52.2% interest in
the joint venture while TY was to hold the remaining 47.8% stake. The joint
venture was to have an investment of USD 11.5 mil.</t>
  </si>
  <si>
    <t xml:space="preserve">52.20
47.80</t>
  </si>
  <si>
    <t xml:space="preserve">The joint venture was to have an investment of USD 11.5 mil.</t>
  </si>
  <si>
    <t xml:space="preserve">47747E
91227J</t>
  </si>
  <si>
    <t xml:space="preserve">Oxygen Biotherapeutics Inc
Aurum Biosciences Ltd</t>
  </si>
  <si>
    <t xml:space="preserve">Biotechnology company
Pvd medical/health svcs</t>
  </si>
  <si>
    <t xml:space="preserve">Oxygen Biotherapeutics Inc,
located in Durham, North
Carolina, is engaged in the
business of developing
biotechnology products with a
focus on oxygen delivery to
tissue. It develops Oxycyte, a
systemic perfluorocarbon (PFC)
based oil in water emulsion
oxygen carrier for use in
situations of acute ischemia;
and is in Phase II-b clinical
trial for the treatment of
traumatic brain injury. The
company also offers Dermacyte
line of topical cosmetic
products that promote the
appearance of skin health and
other cosmetic benefits; and
Wundecyte, a wound-healing
gel. The company was founded
in 1967.
Aurum Biosciences Ltd provides
medical and health services.
The company is headquartered
in Glasgow, Scotland, UK.</t>
  </si>
  <si>
    <t xml:space="preserve">OXYGEN BIOTHERAPEUTICS INC/AURUM BIOSCIENCES LTD-STRATEGIC ALLIANCE</t>
  </si>
  <si>
    <t xml:space="preserve">Oxygen Biotherapeutics Inc and Aurum Biosciences Ltd signed a letter of
intent to form an alliance to conduct preclinical research for imaging and
therapeutic intervention of acute ischemic stroke.</t>
  </si>
  <si>
    <t xml:space="preserve">69207P
06458A</t>
  </si>
  <si>
    <t xml:space="preserve">China National Biotec Group
Aeras Global TB Vaccine</t>
  </si>
  <si>
    <t xml:space="preserve">Pvd research dvlp svcs
Pvd vaccine research,dvlp svcs</t>
  </si>
  <si>
    <t xml:space="preserve">China National Biotec Group,
located in China, is a
biotechnology company. The
company provides research
and development services. It
also manufactures and
markets biological products.
Aeras Global TB Vaccine
Foundation, headquartered in
Rockville, Maryland,
provides tuberculosis
vaccine research and
development services. The
Company was founded in 1997.</t>
  </si>
  <si>
    <t xml:space="preserve">China Natl Pharm Grp Corp
Aeras Global TB Vaccine</t>
  </si>
  <si>
    <t xml:space="preserve">CHINA NATIONAL BIOTEC GROUP/AERAS GLOBAL TB VACCINE FOUNDATION-STRATEGIC
ALLIANCE</t>
  </si>
  <si>
    <t xml:space="preserve">China National Biotec Group and Aeras Global TB Vaccine Foundation formed a
strategic alliance was to develop tuberculosis (TB) vaccines in China and
potentially other parts of the world.</t>
  </si>
  <si>
    <t xml:space="preserve">17231M
01069Q</t>
  </si>
  <si>
    <t xml:space="preserve">Lupin Ltd
Medicis Pharmaceutical Corp</t>
  </si>
  <si>
    <t xml:space="preserve">Mnfr,whl pharmaceutical prod
Mnfr dermatological prod</t>
  </si>
  <si>
    <t xml:space="preserve">Lupin Ltd, located in
Mumbai, India, manufactures
and wholesales
pharmaceutical products. It
offers products in various
therapeutic areas, such as
the anti-tuberculosis,
cephalosporins,
cardiovascular, anti-asthma,
anti-infectives, pain
management, diabetes,
pediatrics, gynecology, and
non-steroidal
anti-inflammatory drugs, as
well as ace inhibitors,
statins and prils. Its
anti-TB products include
Ethambutol Hydrochloride,
Pyrazinamide, Rifampicin,
and Rifabutene;
cardiovascular products are
Benazeprila Hydrochloride,
Fosinopril Sodium,
Lisinopril, Quinapril
Hydrochloride, Ramipril,
Lovastatin, and Simvastatin;
and cephalosporins products
include Cefaclor,
Cefadroxil, Cefdinir,
Cefixime, Cefotaxime Sodium,
Cefuroxime Axetil,
Ceftazidime Pentahydrate,
Ceftriaxone Sodium, and
Cephalexin Monohydrate. The
company was founded in 1968.
Medicis Pharmaceutical Corp
manufactures dermatological,
pediatric and podiatric
products. The company is
headquartered in Scottsdale,
Arizona. Its products include
Restylane, Perlane, Dynacin,
Loprox, Plexion, Solodyn,
Triaz, Lidex, Vanos, Ziana,
Buphenyl, Ammonul, and
Esoterica. It was founded in
1988.</t>
  </si>
  <si>
    <t xml:space="preserve">LUPIN LTD/MEDICIS PHARMACEUTICAL CORP-STRATEGIC ALLIANCE</t>
  </si>
  <si>
    <t xml:space="preserve">Lupin Ltd (LL) and Medicis Pharmaceutical Corp (MP) formed a strategic
alliance to develop drugs. The alliance will use LL propriety technologies
in the development of this drugs. LL will receive up to USD 38 mil as
payment, regulatory as well as for additional milestones in the research
and development of the products.</t>
  </si>
  <si>
    <t xml:space="preserve">LL will receive up to USD 38 mil as payment.</t>
  </si>
  <si>
    <t xml:space="preserve">55043Q
584690</t>
  </si>
  <si>
    <t xml:space="preserve">INC Research LLC
Debiopharm International SA</t>
  </si>
  <si>
    <t xml:space="preserve">Pvd contract research svcs
Manufacture biopharmaceuticals</t>
  </si>
  <si>
    <t xml:space="preserve">INC Research LLC is a contract
research services provider,
headquartered in Raleigh,
North Carolina, US. It is
focused on the central nervous
system, oncology and
pediatrics drug development
research for pharmaceutical
and biotechnology companies.
The company was founded in
1988.
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t>
  </si>
  <si>
    <t xml:space="preserve">Avista Capital Holdings LP
Debiopharm International SA</t>
  </si>
  <si>
    <t xml:space="preserve">INC RESEARCH LLC/DEBIOPHARM SA-STRATEGIC ALLIANCE</t>
  </si>
  <si>
    <t xml:space="preserve">INC Research LLC and Debiopharm SA formed a strategic alliance was to
conduct clinical studies in relation to DS's project pipeline. Under the
terms of agreement, IR will perform future clinical studies for DS.</t>
  </si>
  <si>
    <t xml:space="preserve">45008T
24275A</t>
  </si>
  <si>
    <t xml:space="preserve">Bayer AG
Trius Therapeutics Inc</t>
  </si>
  <si>
    <t xml:space="preserve">Manufacture and Wholesale Chemicals &amp; Pharmaceuticals
Biopharmaceutical company</t>
  </si>
  <si>
    <t xml:space="preserve">Bayer AG, located in
Leverkusen, Germany,
manufactures organic
chemicals. The Company was
founded in August 1863.
Trius Therapeutics Inc,
located in San Diego,
California, is a
biopharmaceutical company
focused on the discovery,
development and
commercialization of
innovative antibiotics for
serious, life-threatening
infections. Its products under
development include Torezolid
Phosphate, which has completed
phase 2 clinical trials for
the treatment of serious
gram-positive bacterial
infections, including those
caused by
methicillin-resistant
Staphylococcus aureus. The
company is also developing
antibiotics for gram-negative
infections using its
proprietary discovery platform
under a contract funded by the
National Institutes of Health.
The company was founded in
2004.</t>
  </si>
  <si>
    <t xml:space="preserve">BAYER AG/TRIUS THERAPEUTICS INC-STRATEGIC ALLIANCE</t>
  </si>
  <si>
    <t xml:space="preserve">Bayer AG and Trius Therapeutics Inc formed a strategic alliance to develop
and commercialize Torezolid Phosphate .. The SA was to have a cost of USD
94 million.</t>
  </si>
  <si>
    <t xml:space="preserve">TT is eligible for a USD 94 mil including BA's upfront payment of USD 25
mil as well as future development, regulatory and commercial milestones.</t>
  </si>
  <si>
    <t xml:space="preserve">072730
89685K</t>
  </si>
  <si>
    <t xml:space="preserve">OXIS International Inc
John E Repine</t>
  </si>
  <si>
    <t xml:space="preserve">Pvd research,development svcs
Individual</t>
  </si>
  <si>
    <t xml:space="preserve">Oxis International Inc,
located in Tampa, Florida,,
provides research and
development services in the
field of oxidative
stress/inflammatory reaction,
diseases associated with
damage from free radicals, and
reactive oxygen species. The
Company was founded in 1966.
Individual</t>
  </si>
  <si>
    <t xml:space="preserve">FL
CO</t>
  </si>
  <si>
    <t xml:space="preserve">Raptor Pharmaceutical Corp
John E Repine</t>
  </si>
  <si>
    <t xml:space="preserve">OXIS INTERNATIONAL INC/JOHN E REPINE-JOINT VENTURE</t>
  </si>
  <si>
    <t xml:space="preserve">OXIS International Inc (OI) and John E Repine (JR) formed a joint venture
to conduct research and development for ergothioneine. The said substance
is a possible cure and prevent Acute Lung Injury and Acute Respiratory
Distress Syndrome.</t>
  </si>
  <si>
    <t xml:space="preserve">691829
11767A</t>
  </si>
  <si>
    <t xml:space="preserve">Anoto Group AB
Amicus Wireless Technology Inc
TStudy</t>
  </si>
  <si>
    <t xml:space="preserve">Other Computer Peripheral Equipment Manufacturing
Mnfr semiconductors
Pvd educational services</t>
  </si>
  <si>
    <t xml:space="preserve">Anoto Group AB is a
technology company engaged
in the provision of
solutions for mobile
registration of data and
interactive applications..
The Company was founded in
December 1996 and is located
in Lund, Sweden. Its
technology enables
transmission of handwritten
text and illustrations into
digital format from surfaces
such, as paper, whiteboards,
glass and Liquid Crystal
Display (LCD) screens. The
Companys solutions include:
Anoto Pen Solutions, which
are based on the Companys
pens combined with dot
pattern, tools and form
applications, and can be
used in the Healthcare and
Field Services sectors, and
Anoto Interactive Solutions,
which are based on
customized pen products and
solutions for customers in
the interactive learning and
education area. The Companys
product portfolio includes
the C-Pen equipped with
Optical Character
Recognition (OCR),
interactive whiteboards and
paper applications.
Amicus Wireless Technology Inc
is a semiconductor
manufacturing firm,
headquartered in Sunnyvale,
California and with locations
in South Korea.
TStudy provides online and
offline educational services</t>
  </si>
  <si>
    <t xml:space="preserve">3577
3674
8748</t>
  </si>
  <si>
    <t xml:space="preserve">Sweden
United States
South Korea</t>
  </si>
  <si>
    <t xml:space="preserve">FF
CA
FF</t>
  </si>
  <si>
    <t xml:space="preserve">Anoto Group AB
Solid Technologies Inc
IFinanceGlobal Co Ltd</t>
  </si>
  <si>
    <t xml:space="preserve">Sweden
South Korea
South Korea</t>
  </si>
  <si>
    <t xml:space="preserve">3577
3663
8748</t>
  </si>
  <si>
    <t xml:space="preserve">ANOTO GROUP AB /AMICUS WIRELESS TECHNOLOGY INC/TSTUDY-JOINT VENTURE</t>
  </si>
  <si>
    <t xml:space="preserve">Anoto Group AB (AG), Amicus Wireless Technology Inc (AW) and TStudy (TS)
formed a joint venture named Pen Generations Inc in Seongnam, South Korea.
The JV will develop and manufacture digital pens and other related products
using AG's technology. AG were to hold a 19% interest in the JV with an
option to increase its stake up to 51% in 2014, AW and TS were to each hold
a 40.5 interest in the JV.</t>
  </si>
  <si>
    <t xml:space="preserve">19.00
40.50
40.50</t>
  </si>
  <si>
    <t xml:space="preserve">03615J
03147R
91230J</t>
  </si>
  <si>
    <t xml:space="preserve">Fujifilm Corp
Dr Reddy's Laboratories Ltd</t>
  </si>
  <si>
    <t xml:space="preserve">Mnfr,whl photo film,camera
Manufactures and wholesales prescription pharmaceutical</t>
  </si>
  <si>
    <t xml:space="preserve">Fujifilm Corp, located in
Tokyo, Japan, manufactures
and wholesales color films,
conventional cameras,
digital cameras, lab
equipment, color paper and
chemicals and provides
photofinishing services. The
Company was founded in 2006.
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t>
  </si>
  <si>
    <t xml:space="preserve">3861
2834</t>
  </si>
  <si>
    <t xml:space="preserve">Fujifilm Holdings Corp
Dr Reddy's Laboratories Ltd</t>
  </si>
  <si>
    <t xml:space="preserve">FUJIFILM CORP/DR REDDY'S LABORATORIES LTD-JOINT VENTURE</t>
  </si>
  <si>
    <t xml:space="preserve">FUJIFILM Corp (FUJIFILM) and Dr. Reddy's Laboratories Ltd (Reddy's)
terminated their planned joint venture. Previously in July 2011, FUJIFILM
and Reddy's signed a Memorandum of Understanding (MoU) to form a joint
venture to develop and manufacture generic drugs in Japan.</t>
  </si>
  <si>
    <t xml:space="preserve">35899H
256135</t>
  </si>
  <si>
    <t xml:space="preserve">Biomatrica Inc
US Army Med Research Inst</t>
  </si>
  <si>
    <t xml:space="preserve">Biotechnology company
Pvd biological research svcs</t>
  </si>
  <si>
    <t xml:space="preserve">Biomatrica Inc, located in
San Diego, California, is a
manufacturer of biological
products. Its brands include
SampleMatrix(R) which is a
technology innovation that
helps preserve biological
samples at room temperature.
The company's products
stabilize DNA and RNA with
no sample degradation.
Provide cutting-edge medical
research services for the
warfighter against biological
threats of medical solutions</t>
  </si>
  <si>
    <t xml:space="preserve">Biomatrica Inc
United States of America</t>
  </si>
  <si>
    <t xml:space="preserve">BIOMATRICA INC/US ARMY MEDICAL RESEARCH INSTITUTE OF INFECTIOUS
DISEASES-STRATEGIC ALLIANCE</t>
  </si>
  <si>
    <t xml:space="preserve">Biomatrica Inc (BI) and he US Army Medical Research Institute of Infectious
Diseases (UA) formed a strategic alliance to develop room temperature
solutions to manage clinical and biological samples. The SA agreed to
develop, test, validate and commercialize innovative solutions to stabilize
and preserve clinical and biological samples in room temperature.</t>
  </si>
  <si>
    <t xml:space="preserve">08944E
91157E</t>
  </si>
  <si>
    <t xml:space="preserve">Codexis Inc
Chemtex International Inc</t>
  </si>
  <si>
    <t xml:space="preserve">Manufacture biological products
Pvd constrctn, civil eng svcs</t>
  </si>
  <si>
    <t xml:space="preserve">Codexis Inc, located in
Redwood City, California,
manufactures biological
products. It is engaged in
the conversion of renewable
resources into
transportation fuels,
pharmaceuticals and biobased
chemicals, as well as in
developing new technologies
for air and water treatment.
It develops biocatalyst
panels, custom biocatalysts,
enzymes, pharmaceutical
intermediates, and
metabolites. The company has
facilities in Germany,
Hungary, India and
Singapore. The company was
founded in 2002.
Chemtex International Inc,
located in Wilmington, North
Carolina, provides
engineering, design,
procurement and construction
management services for
industrial facilities. The
company was founded in 1947.</t>
  </si>
  <si>
    <t xml:space="preserve">2869
1542</t>
  </si>
  <si>
    <t xml:space="preserve">Codexis Inc
Mossi &amp; Ghisolfi SpA</t>
  </si>
  <si>
    <t xml:space="preserve">2869
2821</t>
  </si>
  <si>
    <t xml:space="preserve">CODEXIS INC/CHEMTEX INTERNATIONAL INC-STRATEGIC ALLIANCE</t>
  </si>
  <si>
    <t xml:space="preserve">Codexis Inc (CI) and Chemtex International Inc (CH) formed a strategic
alliance for the research and development of sustainable detergent. Under
the terms of agreement, the SA would develop second generation detergent
alcohols from cellulosic biomass. Ch will also provide engineering services
for the design and construction of CI's commercial facilities for the
production of the detergent alcohols.</t>
  </si>
  <si>
    <t xml:space="preserve">192005
16392C</t>
  </si>
  <si>
    <t xml:space="preserve">JCR Pharmaceuticals Co Ltd
Medipal Holdings Corp</t>
  </si>
  <si>
    <t xml:space="preserve">Mnfr,whl pharm
Whl pharmaceutical</t>
  </si>
  <si>
    <t xml:space="preserve">JCR Pharmaceuticals Co Ltd
is headquartered in Hyogo,
Japan. The group's
principal activities are the
manufacture and wholesale of
pharmaceuticals.
Pharmaceutical products
include hormones, digestive
agents, metabolic agents and
circulatory agents. The
group is also manufactures
medical equipment. The
operations are carried out
through the following
divisions: Pharmaceuticals
and hospital-use and lab
equipment. The
pharmaceutical segment is
involved in the manufacture,
purchase, sale, import and
export of pharmaceutical
products, pharmaceutical
materials and pharmaceutical
raw materials. The medical
and research equipment
segment is engaged in the
export of medical and
research equipment. The
company was founded in 1975.
Medipal Holdings Corp,
located in Tokyo, Japan, is
a holding company,
manufactures and wholesales
pharmaceutical products
including prescription
pharmaceuticals,
over-the-counter drugs,
diagnostic reagents, medical
devices, and medical
equipment, clinical supplies
and nursing products. The
operations are carried
through the following
divisions: Prescription
drugs, Medical equipment,
Pharmaceuticals, Reagents
and others. The company was
founded in 1898.</t>
  </si>
  <si>
    <t xml:space="preserve">JCR PHARMACEUTICALS CO LTD/MEDIPAL HOLDINGS CORP-STRATEGIC ALLIANCE</t>
  </si>
  <si>
    <t xml:space="preserve">JCR Pharmaceuticals Co Ltd and Medipal Holdings Corp formed a strategic
alliance was to research and develop a delivery system of specialty drug.</t>
  </si>
  <si>
    <t xml:space="preserve">46611W
58673X</t>
  </si>
  <si>
    <t xml:space="preserve">Cerner Corp
Florida Hospital
Translational Research Inst</t>
  </si>
  <si>
    <t xml:space="preserve">Provide healthcare info tech services
Own,operate nonprofit hospital
Provide research,dvlp svcs</t>
  </si>
  <si>
    <t xml:space="preserve">Cerner Corp, located in
North Kansas City, Missouri,
provides healthcare
information technology
services. It develops,
markets, wholesales and
distributes Internet-based
medical and healthcare
solutions software. The
Company was founded in 1979.
Florida Hospital, located in
Orlando, Florida, owns and
operates nonprofit hospital.
The hospital is an acute care,
nonprofit health organization
that offers services
throughout central Florida. It
provides medicine by giving
each patient the tools to take
charge of their health through
prevention, wellness and
education. The hospital was
founded in 1908.
Translational Research
Institute for Metabolism and
Diabetes is a provider of
research and development
services. The Company is
located in Orlando, Florida.</t>
  </si>
  <si>
    <t xml:space="preserve">7373
8062
8731</t>
  </si>
  <si>
    <t xml:space="preserve">MO
FL
FL</t>
  </si>
  <si>
    <t xml:space="preserve">Cerner Corp
Adventist Health Sys Sunbelt
Translational Research Inst</t>
  </si>
  <si>
    <t xml:space="preserve">CERNER CORP/FLORIDA HOSPITAL-STRATEGIC ALLIANCE</t>
  </si>
  <si>
    <t xml:space="preserve">Cerner Corp, Florida Hospital and Translational Research Institute for
Metabolism and Diabetes formed a strategic alliance to create a streamlined
research system that automates research activities and integrates them into
the clinical care process.</t>
  </si>
  <si>
    <t xml:space="preserve">156782
34073T
2F1736</t>
  </si>
  <si>
    <t xml:space="preserve">BD Diagnostics
Lab21 Ltd</t>
  </si>
  <si>
    <t xml:space="preserve">Mnfr specimen collection instr
Pvd testing,diagnostic svcs</t>
  </si>
  <si>
    <t xml:space="preserve">BD Diagnostics, located in New
Jersey, manufactures specimen
collection instruments for
evacuated blood and
safety-engineered specimen
collection, plated media,
automated blood culturing and
molecular testing and
microorganism identification
and drug susceptibility
systems.
Lab21 Ltd, located in
Cambridge, UK, provides
clinical testing and
diagnostic services to
healthcare providers,
pharmaceutical and
biotechnology companies. It
supports healthcare providers
and the pharmaceutical and
biotechnology industries with
molecular and viral
diagnostics, pharmacogenetic
and patient profiling tests.
The company was founded in
2005.</t>
  </si>
  <si>
    <t xml:space="preserve">3841
8071</t>
  </si>
  <si>
    <t xml:space="preserve">Becton Dickinson &amp; Co
Lab21 Ltd</t>
  </si>
  <si>
    <t xml:space="preserve">BD DIAGNOSTICS/LAB21 LTD-STRATEGIC ALLIANCE</t>
  </si>
  <si>
    <t xml:space="preserve">BD Diagnostics and Lab21 Ltd formed a strategic alliance, to develop
molecular diagnostic assay. This device will be used together with BD
MAX(TM) Molecular Testing System to detect Aspergillus fungus in blood.</t>
  </si>
  <si>
    <t xml:space="preserve">07587Y
50562X</t>
  </si>
  <si>
    <t xml:space="preserve">Merck Sharp &amp; Dohme Corp
Serum Institute Of India Ltd</t>
  </si>
  <si>
    <t xml:space="preserve">Mnfr,whl pharmaceutical prod
Manufacture pharmaceuticals</t>
  </si>
  <si>
    <t xml:space="preserve">Merck Sharp &amp; Dohme Corp,
located in Kenilworth, New
Jersey, is a manufacturer of
pharmaceutical preparation.
It is focused on researching
on hepatitis C, HIV,
diabetes and
immuno-oncology. The Company
was founded in 1891.
Serum Institute of India
Ltd, located in Pune, India,
manufactures prescription
pharmaceuticals intended for
final consumption, including
biotech products and
antibiotics focusing on
vaccines and
immuno-biologicals. The
Company was founded in 1966.</t>
  </si>
  <si>
    <t xml:space="preserve">Merck &amp; Co Inc
Serum Institute Of India Ltd</t>
  </si>
  <si>
    <t xml:space="preserve">MERCK &amp; CO INC/SERUM INSTITUTE OF INDIA LTD-STRATEGIC ALLIANCE</t>
  </si>
  <si>
    <t xml:space="preserve">Merck &amp; Co (MC) and Serum Institute of India Ltd (SI) planned to form a
strategic alliance to develop and commercialize pneumococcal conjugate
vaccine.</t>
  </si>
  <si>
    <t xml:space="preserve">U58933
81698Y</t>
  </si>
  <si>
    <t xml:space="preserve">HUYA Bioscience Intl LLC
SJTU School of Pharmacy</t>
  </si>
  <si>
    <t xml:space="preserve">HUYA Bioscience
International LLC,
headquartered in San Diego,
California, is a
pharmaceutical manufacturing
firm. The company has an
office in Shanghai, China.
The company focuses on
biopharmaceutical
innovations originating from
China. They cooperate with
various Chinese
biopharmaceutical companies
and organization for
research and development of
China-sourced pharmaceutical
products. The company was
founded in 2004.
Shanghai Jiao Tong University
School of Pharmacy is a state
government agency
headquartered in Shanghai
China. It was founded in 2000.</t>
  </si>
  <si>
    <t xml:space="preserve">HUYA BIOSCIENCE INTERNATIONAL/SHANGHAI JIAO TONG UNIVERSITY SCHOOL OF
PHARMACY-STRATEGIC ALLIANCE</t>
  </si>
  <si>
    <t xml:space="preserve">HUYA Bioscience International LLC and Shanghai Jiao Tong University School
of Pharmacy formed a strategic alliance to development of novel drugs to
international standards.</t>
  </si>
  <si>
    <t xml:space="preserve">44430R
84040V</t>
  </si>
  <si>
    <t xml:space="preserve">Array Biopharma Inc
Genentech Inc</t>
  </si>
  <si>
    <t xml:space="preserve">Biopharmaceutical Company
Manufacture pharmaceuticals</t>
  </si>
  <si>
    <t xml:space="preserve">Array Biopharma Inc, located
in Boulder, Colorado, is a
biopharmaceutical company.
It is focused on the
discovery, development and
commercialization of small
molecule drugs to treat
patients afflicted with
cancer and inflammatory
diseases. It markets
BRAFTOVI (encorafenib)
capsules in combination with
MEKTOVI (binimetinib)
tablets for the treatment of
patients with unresectable
or metastatic melanoma with
a BRAFV600E or BRAFV600K
mutation in the United
States. Its lead clinical
programs, encorafenib and
binimetinib, are being
investigated in over 30
clinical trials across a
number of solid tumor
indications, including a
Phase 3 trial in BRAF-mutant
metastatic colorectal
cancer. Its pipeline
includes several additional
programs being advanced by
the Company or current
license-holders, including
the following programs
currently in registration
trials: selumetinib
(partnered with
AstraZeneca), LOXO-292
(partnered with Eli Lilly),
ipatasertib (partnered with
Genentech), tucatinib
(partnered with Seattle
Genetics) and ARRY-797.Its
Vitrakvi (larotrectinib,
partnered with Bayer AG) is
approved in the United
States and Ganovo
(danoprevir, partnered with
Roche) is approved in China.
The Company was founded in
1998.
Genentech Inc, located in
South San Francisco,
California, manufactures
pharmaceuticals. It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</si>
  <si>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Array Biopharma Inc
Roche Holdings AG</t>
  </si>
  <si>
    <t xml:space="preserve">ARRAY BIOPHARMA INC/GENENTECH INC-STRATEGIC ALLIANCE</t>
  </si>
  <si>
    <t xml:space="preserve">Array BioPharma Inc (AB) and Genentech, Inc (GI) formed a strategic
alliance to develop small-molecule Checkpoint kinase 1 (ChK-1) program. As
per the agreement, AB will receive initial payment of USD 28 mil and
eligible to receive milestone and royalty payments of USD 685 mil.</t>
  </si>
  <si>
    <t xml:space="preserve">AB will receive initial payment of USD 28 mil and eligible to receive
milestone and royalty payments of USD 685 mil.</t>
  </si>
  <si>
    <t xml:space="preserve">04269X
368710</t>
  </si>
  <si>
    <t xml:space="preserve">Pfizer Inc
University of CA,San Diego</t>
  </si>
  <si>
    <t xml:space="preserve">Manufacture,wholesale pharmaceuticals
Own,operate university</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</si>
  <si>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University of CaliforniaSan
Diego is a college operator.
The company was founded in
1960 and is located in San
Diego, California.</t>
  </si>
  <si>
    <t xml:space="preserve">PFIZER INC/UNIVERSITY OF CALIFORNIA SAN DIEGO-STRATEGIC ALLIANCE</t>
  </si>
  <si>
    <t xml:space="preserve">Pfizer Inc (PI) and University of California, San Diego (UC) formed a five
year strategic alliance for drug discovery and development. The SA will
focus on areas of neuroscience, cancer, inflammation, metabolism, HIV, pain
and clinical pharmacology. Under the terms of agreement, PI will invest USD
50 mil in the SA. PI will also provide access to its antibody libraries and
technologies.</t>
  </si>
  <si>
    <t xml:space="preserve">PI will invest USD 50 mil in the SA</t>
  </si>
  <si>
    <t xml:space="preserve">717081
91411M</t>
  </si>
  <si>
    <t xml:space="preserve">Unigene Laboratories Inc
GlaxoSmithKline PLC</t>
  </si>
  <si>
    <t xml:space="preserve">Mnfr,whl peptides
Pharmaceutical Preparation Manufacturing</t>
  </si>
  <si>
    <t xml:space="preserve">Unigene Laboratories Inc,
headquartered in Boonton, New
Jersey, manufactures and
wholesales peptides. The
Company was founded in 1980.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</si>
  <si>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UNIGENE LABORATORIES INC/GLAXOSMITHKLINE PLC-STRATEGIC ALLIANCE</t>
  </si>
  <si>
    <t xml:space="preserve">Unigene Laboratories, Inc (UL) and GlaxoSmithKline PLC (GP) formed a
strategic alliance to develop for an oral formulation of a recombinantly
produced investigational parathyroid hormone (PTH) analog used in the
treatment of osteoporosis in postmenopausal women. Under the terms of
agreement, UL will receive USD 2.2 mil payment from GP for certain
development and manufacturing services.</t>
  </si>
  <si>
    <t xml:space="preserve">904753
37733W</t>
  </si>
  <si>
    <t xml:space="preserve">Bristol-Myers Squibb Co
GNS Healthcare Inc</t>
  </si>
  <si>
    <t xml:space="preserve">Manufactures pharmaceuticals and medical products
Pvd biosimulation services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</si>
  <si>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GNS Healthcare Inc, located
in Cambridge, Massachusetts
with other location in
Ithaca, New York, provides
bio-simulation services. The
Company's Reverse
Engineering and Forward
Simulation, REFS(TM), gives
hypothesis free exploration
of the cause and effect
relationship using
healthcare data.</t>
  </si>
  <si>
    <t xml:space="preserve">Bristol-Myers Squibb Co
Via Science Inc</t>
  </si>
  <si>
    <t xml:space="preserve">BRISTOL-MYERS SQUIBB CO/GNS HEALTHCARE INC-STRATEGIC ALLIANCE</t>
  </si>
  <si>
    <t xml:space="preserve">Bristol-Myers Squibb Co (BM) and GNS Healthcare, Inc (GS) formed a
strategic alliance to develop novel disease biology and biomarkers in the
area of immuno-inflammation. Under the terms of agreement, GN will use data
from BM to integrate to its REFS(TM) to generate key molecular mechanisms.</t>
  </si>
  <si>
    <t xml:space="preserve">110122
35792Z</t>
  </si>
  <si>
    <t xml:space="preserve">FutureCeuticals Inc
BioBoron Research Institute</t>
  </si>
  <si>
    <t xml:space="preserve">FutureCeuticals Inc is a
biotechnology company
headquartered in Momence,
Illinois. The companys brands
include Lacticeuticals(TM) and
Nutrim(R) for Digestion,
CoffeeBerry(R) and Vitaline(R)
fro Anrioxidants, VDF Soy
Isoflavones for Bones and
Joints, Nutrim(R) and
SproutGraden(R) for the Heart,
among others.
BioBoron Research Institute is
a biotechnology company
headquartered in Romania.</t>
  </si>
  <si>
    <t xml:space="preserve">United States
Romania</t>
  </si>
  <si>
    <t xml:space="preserve">FUTURECEUTICALS INC/BIOBORON RESEARCH INSTITUTE-STRATEGIC ALLIANCE</t>
  </si>
  <si>
    <t xml:space="preserve">FutureCeuticals Inc and BioBoron Research Institute formed a strategic
alliance to advance the of the alliance is to advance the study and global
commercialization of FruiteX-B Calcium Fructoborate.</t>
  </si>
  <si>
    <t xml:space="preserve">36660H
08943V</t>
  </si>
  <si>
    <t xml:space="preserve">Intercept Pharmaceuticals Inc
Les Laboratoires Servier SAS</t>
  </si>
  <si>
    <t xml:space="preserve">Mnfr therapeutics
Manufacture,wholesale drugs</t>
  </si>
  <si>
    <t xml:space="preserve">Intercept Pharmaceuticals Inc,
located in New York, New York,
manufactures therapeutics to
treat chronic liver diseases.
The company's lead product
candidate is the obeticholic
acid, or OCA. a bile acid
analog and first-in-class
agonist of the farnesoid X
receptor, or FXR, which the
company suspects contains
broad liver-protective
properties. The company was
incorporated in the State of
Delaware on September 4, 2002.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</si>
  <si>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Genextra SpA
Les Laboratoires Servier SAS</t>
  </si>
  <si>
    <t xml:space="preserve">Italy
France</t>
  </si>
  <si>
    <t xml:space="preserve">INTERCEPT PHARMACEUTICALS INC/SERVIER SA-STRATEGIC ALLIANCE</t>
  </si>
  <si>
    <t xml:space="preserve">Intercept Pharmaceuticals, Inc (IP) and Servier SA (SS) formed a strategic
alliance for the discovery and development of TGR5 agonists for the
treatment of type 2 diabetes. Under the terms of agreement, the drug will
be developed worldwide except US and Japan. IP will receive payment of USD
163 mil for research funding, milestone and royalty payments. SS will
handle the global development costs of the drug as well as the regulatory
approval and commercialization.</t>
  </si>
  <si>
    <t xml:space="preserve">45845P
81764A</t>
  </si>
  <si>
    <t xml:space="preserve">Sequenom Inc
LifeCodexx AG</t>
  </si>
  <si>
    <t xml:space="preserve">Mnfr DNA detection equip
Biotechnology company</t>
  </si>
  <si>
    <t xml:space="preserve">Sequenom Inc, headquartered in
San, Diego, California,
manufactures DNA detection and
sequencing equipment. The
company was founded in 1994.
LifeCodexx AG is a
biotechnology company
headquartered in Constance,
Germany. The company's
services include the
development of clinically
validated next generation
molecular diagnostics, with
its main focus on prenatal
diagnostics.</t>
  </si>
  <si>
    <t xml:space="preserve">Sequenom Inc
GATC Biotech AG</t>
  </si>
  <si>
    <t xml:space="preserve">SEQUENOM INC/LIFECODEXX AG-STRATEGIC ALLIANCE</t>
  </si>
  <si>
    <t xml:space="preserve">Sequenom, Inc (SI) and LifeCodexx AG (LA) formed a strategic alliance to
develop a trisomy 21 laboratory developed test and other aneuploidies
testing in Germany, Austria, Switzerland, and Liechtenstein. Under the
trems of agreement, SI gave license to LA for Si's patented product
EP0994963B1 and pending application EP2183693A1.</t>
  </si>
  <si>
    <t xml:space="preserve">817337
53290P</t>
  </si>
  <si>
    <t xml:space="preserve">Collagenna Skin Care Products
Prime Pharmaceuticals Corp</t>
  </si>
  <si>
    <t xml:space="preserve">Mnfr skin care products
Mnfr skin treatment prod</t>
  </si>
  <si>
    <t xml:space="preserve">Collagenna Skin Care Products
Inc, located in Arnprior,
Ontario, is a manufacturer of
skin care products. The
company's products include
foaming cleansers, creams,
gels and serums.
Manufacture natural,
proprietary over the counter
treatments for psoriasis,
eczema and other dry skin
conditions</t>
  </si>
  <si>
    <t xml:space="preserve">Hard To Treat Diseases Inc
Prime Pharmaceuticals Corp</t>
  </si>
  <si>
    <t xml:space="preserve">COLLAGENNA SKIN CARE PRODUCTS INC/PRIME PHARMACEUTICALS CORP-STRATEGIC
ALLIANCE</t>
  </si>
  <si>
    <t xml:space="preserve">Collagenna Skin Care Products (CS) and Prime Pharmaceuticals Corp (PP)
formed a strategic alliance to develop and market Mahonia Products which
has been clinically proven to relieve the symptoms of psoriasis. Under the
agreement, CS will have access to PP's worldwide patents. The transaction
was subjected to regulatory approval.</t>
  </si>
  <si>
    <t xml:space="preserve">19429A
74206T</t>
  </si>
  <si>
    <t xml:space="preserve">Beijing SL Pharm Co Ltd
PnuVax Inc</t>
  </si>
  <si>
    <t xml:space="preserve">Mnfr,whl pharm
Manufacture vaccines</t>
  </si>
  <si>
    <t xml:space="preserve">Beijing SL Pharmaceutical Co
Ltd is a manufacturer of
pharmaceutical preparation.
The Company was founded in
December 1994 and is located
in Beijing, China.
PnuVax Inc, headquartered in
Kingston, Ontario,
manufactures vaccines.</t>
  </si>
  <si>
    <t xml:space="preserve">China
Canada</t>
  </si>
  <si>
    <t xml:space="preserve">BEIJING SL PHARMACEUTICAL CO LTD/PNUVAX INC-JOINT VENTURE</t>
  </si>
  <si>
    <t xml:space="preserve">Beijing SL Pharmaceutical Co Ltd (BP) and PnuVax Inc (PV) planned to form a
joint venture named PnuVax SL Biopharmaceuticals Inc (PB) to manufacture,
sell and research and develop vaccines and antibodies in Ontario, Canada.
BP was to hold an 85% stake in (PB) while PV was to hold the remaining 15%
stake. The transaction was to have a value of CAD 20 mil (USD 20.408 mil).</t>
  </si>
  <si>
    <t xml:space="preserve">85.00
15.00</t>
  </si>
  <si>
    <t xml:space="preserve">The transaction was to have a value of CAD 20 mil (USD 20.408 mil).</t>
  </si>
  <si>
    <t xml:space="preserve">83076H
70033E</t>
  </si>
  <si>
    <t xml:space="preserve">Gansu Duyiwei Biological Pharm
Heracles Intl Invest Co Ltd</t>
  </si>
  <si>
    <t xml:space="preserve">Mnfr,whl pharmaceuticals
Investment company</t>
  </si>
  <si>
    <t xml:space="preserve">Gansu Duyiwei Biological
Pharmaceutical Co Ltd,
located in China,
manufactures and wholesales
pharmaceutical products. The
company was founded,
September 30, 2001.
Heracles International
Investment Co Ltd, based in
Hong Kong, is an investment
company.</t>
  </si>
  <si>
    <t xml:space="preserve">GANSU DUYIWEI BIOLOGICAL PHARMACEUTICAL CO LTD/HERACLES INTERNATIONAL
INVESTMENT CO LTD-JOINT VENTURE</t>
  </si>
  <si>
    <t xml:space="preserve">Gansu Duyiwei Biological Pharmaceutical Co Ltd (Duyiwei Pharmaceutical) and
Heracles International Investment Co Ltd (Heracles International) were
rumored to be planning to form a joint venture in Chengdu, Sichuan, China
to develop biological medicines and small-molecule chemical drugs. The
joint venture was to be named Sichuan Kairuisi Biotech Co Ltd. The joint
venture was to be 60% owned by Duyiwei Pharmaceutical and 40% owned by
Heracles International. Heracles International was to supply critical
information regarding developments in the biological and chemical drugs
industries.</t>
  </si>
  <si>
    <t xml:space="preserve">Y2682E
3A5619</t>
  </si>
  <si>
    <t xml:space="preserve">Fujian Sunnada Commun Co Ltd
Xian Haitian Antenna Tech Co
Ren Yuwen</t>
  </si>
  <si>
    <t xml:space="preserve">Mnfr,whl telecommunications equipment
Mnfr,whl antennas
Individual</t>
  </si>
  <si>
    <t xml:space="preserve">Fujian Sunnada Communication
Co Ltd is a manufacturer and
wholesaler of
telecommunications
equipment. The Company was
founded in October 2004 and
is located in Fuzhou, China.
Xi'an Haitian Antenna
Technologies Co Ltd, located
in Xian, China, manufactures
and wholesales base station
antennas and related
products. The company
provides solutions in
respect of technical
support, system integration
and network optimization to
mobile communication
networks operators and
telecommunication equipment
vendors and system
integrators. The company was
founded in 1999.
Ren Yuwen is an individual
investor located in China.</t>
  </si>
  <si>
    <t xml:space="preserve">3661
3679
6799</t>
  </si>
  <si>
    <t xml:space="preserve">FUJIAN SUNNADA COMMUNICATION CO LTD/XI'AN HAITIAN ANTENNA TECHNOLOGIES CO
LTD/REN YUWEN-JOINT VENTURE</t>
  </si>
  <si>
    <t xml:space="preserve">Fujian Sunnada Communication Co Ltd (FS), Ren Yuwen (RY) and Xi'an Haitian
Antenna Technologies Co Ltd (XH) agreed to form a joint venture named Xian
Sunnada Haitian Antenna Co Ltd (XS) to manufacture and sell
telecommunication equipment and antennas and provide research and
development services. FS was to hold an 80% interest in XS while RY was to
hold a 15% stake and XH was to hold the remaining 5% stake. XS was to
contribute CNY 12.03 mil (USD 1.882 mil) worth of assets while FS was to
contribute CNY 64 mil (USD 10.014 mil) in cash and RY was to contribute CNY
4 mil (USD 0.626 mil) in cash.</t>
  </si>
  <si>
    <t xml:space="preserve">80.00
15.00
5.00</t>
  </si>
  <si>
    <t xml:space="preserve">Xi'an Haitian Antenna Technologies Co Ltd was to contribute CNY 12.03 mil
(USD 1.882 mil) worth of assets while Fujian Sunnada Communication Co Ltd
was to contribute CNY 64 mil (USD 10.014 mil) in cash and Ren Yuwen was to
contribute CNY 4 mil (USD 0.626 mil) in cash.</t>
  </si>
  <si>
    <t xml:space="preserve">35826Q
98365W
76606N</t>
  </si>
  <si>
    <t xml:space="preserve">Oncobiologics Inc
Fox Chase Cancer Center</t>
  </si>
  <si>
    <t xml:space="preserve">Biotechnology company
Research and Development in The Physical, Engineering and Lifesciences (Except Biotechnology)</t>
  </si>
  <si>
    <t xml:space="preserve">Oncobiologics Inc located in
Cranbury, New Jersey, is a
biotechnology company. Its
services include the
development, manufacture and
commercialization of
biosimilar versions of
leading global
biopharmaceuticals.
Fox Chase Cancer Center,
located in Philadelphia,
Pennsylvania, is a provider
of research and development
services. The Company was
founded in 1904.</t>
  </si>
  <si>
    <t xml:space="preserve">ONCOBIOLOGICS INC/FOX CHASE CANCER CENTER-STRATEGIC ALLIANCE</t>
  </si>
  <si>
    <t xml:space="preserve">Oncobiologics Inc and Fox Chase Cancer Center formed a strategic alliance,
to develop antibody cancer platform.</t>
  </si>
  <si>
    <t xml:space="preserve">68235M
35130T</t>
  </si>
  <si>
    <t xml:space="preserve">Samsung Mobile Display Co Ltd
Universal Display Corp</t>
  </si>
  <si>
    <t xml:space="preserve">Mnfr mobile displays
Manufacture diagnostic tests</t>
  </si>
  <si>
    <t xml:space="preserve">Samsung Mobile Display Co Ltd,
located in South Korea,
manufactures active-matrix
organic light-emitting diode
(AM OLED) displays, used in
portable devices such as
mobile phones and small
televisions. The company was
founded in 2008.
Universal Display Corp,
located in Ewing, New
Jersey, specializes in
research, development and
commercialization of organic
light emitting diode, or
OLED, technologies and
materials. The company was
organized under the laws of
the Commonwealth of
Pennsylvania in April 1985.</t>
  </si>
  <si>
    <t xml:space="preserve">3679
2835</t>
  </si>
  <si>
    <t xml:space="preserve">Samsung Electronics Co Ltd
Universal Display Corp</t>
  </si>
  <si>
    <t xml:space="preserve">3663
2835</t>
  </si>
  <si>
    <t xml:space="preserve">SAMSUNG MOBILE DISPLAY CO LTD /UNIVERSAL DISPLAY CORP-STRATEGIC ALLIANCE</t>
  </si>
  <si>
    <t xml:space="preserve">Samsung Mobile Display Co Ltd and Universal Display Corp formed a strategic
alliance for the advanced development of AM OLED (active matrix organic
light-emitting diode) technology.</t>
  </si>
  <si>
    <t xml:space="preserve">79563L
91347P</t>
  </si>
  <si>
    <t xml:space="preserve">The Dow Chemical Co
Lehigh Technologies LLC</t>
  </si>
  <si>
    <t xml:space="preserve">Mnfr,wholesale chemicals
Mnfr,whl rubber powders</t>
  </si>
  <si>
    <t xml:space="preserve">The Dow Chemical Co, located
in Midland, Michigan,
manufactures and wholesales
chemicals, plastic
materials, agricultural and
other specialized products
and services through its 6
segments namely, Performance
Plastics which offers
automotive products,
building and construction
products, epoxy resins and
intermediates, polyurethanes
and related systems,
specialty plastics and
elastomers, and technology
licensing and catalyst
products; Performance
Chemicals that offers
designed polymers, latex and
acrylic monomers, and
specialty chemicals;
Agricultural Sciences that
provides pest management,
agricultural, and crop
biotechnology products and
solutions; Basic Plastics
which offers polyethylene,
polypropylene, and
polystyrene resins; Basic
Chemicals which provides
chemicals, such as acids,
alcohols, caustic soda,
chlorine, chloroform, and
other chemicals; and
ethylene oxide/ethylene
glycol chemicals; and
Hydrocarbons and Energy,
which offers procurement of
fuels, natural gas liquids,
and crude oil-based raw
materials. The Company was
founded in 1897.
Lehigh Technologies LLC,
located in Tucker, Georgia,
manufactures and wholesales
micronized rubber powders.
It turns tire and rubber
materials into powder which
could be used for plastics,
tires, consumer goods,
coatings, and sealants, and
construction materials. It
serves the asphalt,
construction, consumer
goods, industrial, tire, and
plastic industries. The
Company was founded in 2003.</t>
  </si>
  <si>
    <t xml:space="preserve">2821
2869</t>
  </si>
  <si>
    <t xml:space="preserve">MI
GA</t>
  </si>
  <si>
    <t xml:space="preserve">THE DOW CHEMICAL CO/LEHIGH TECHNOLOGIES LLC-STRATEGIC ALLIANCE</t>
  </si>
  <si>
    <t xml:space="preserve">The Dow Chemical Co (DC) and Lehigh Technologies LLC (LT) formed a
strategic alliance to collaborate on the development of rubber tires. Under
the terms of the JV, both companies will integrate each other's proprietary
technologies to modify rubber particles.</t>
  </si>
  <si>
    <t xml:space="preserve">260543
52480V</t>
  </si>
  <si>
    <t xml:space="preserve">University of Akron
Timken Co</t>
  </si>
  <si>
    <t xml:space="preserve">Own,op college,univ
Manufactures and wholesales engineered bearings and power transmission products</t>
  </si>
  <si>
    <t xml:space="preserve">University of Akron, located
in Akron, Ohio, owns and
operates college and
university. It currently has
24,704 students representing
44 U.S. states and 79 foreign
countries. Students at UA can
choose from more than 200
undergraduate majors and areas
of study. UA also has more
than 110 master's and doctoral
programs, a law degree with
four tracks and an accelerated
medical education offered in
partnership with the
Northeastern Ohio Universities
College of Medicine. It was
founded in 1870.
Timken Co, headquartered in
North Canton, Ohio,
manufactures and wholesales
engineered bearings and
power transmission products.
It provides bearings,
transmissions, gearboxes,
belts, chain, couplings and
related products and offers
a spectrum of power system
rebuild and repair services.
It operates through two
segments: Mobile Industries
and Process Industries. Its
Mobile Industries segment
offers a portfolio of
bearings, seals, lubrication
devices and systems, as well
as power transmission
components, engineered
chain, augers, belts and
related products and
maintenance services to
original equipment
manufacturers (OEMs) and end
users of off-highway
equipment for the
agricultural, construction,
mining, outdoor power
equipment and powersports
markets; on-highway
vehicles, including
passenger cars, light trucks
and medium- and heavy-duty
trucks; rail cars, and
locomotives. Its Process
Industries segment supplies
industrial bearings and
assemblies, power
transmission components, and
services to OEMs and end
users. The Company was
founded in 1899.</t>
  </si>
  <si>
    <t xml:space="preserve">8221
3562</t>
  </si>
  <si>
    <t xml:space="preserve">UNIVERSITY OF AKRON/THE TIMKEN CO-STRATEGIC ALLIANCE</t>
  </si>
  <si>
    <t xml:space="preserve">University of Akron and Timken Co formed a strategic alliance to accelerate
technology development.. The SA was to have a cost of USD 5 million.</t>
  </si>
  <si>
    <t xml:space="preserve">The SA was estimated to have an investment of USD 5 mil.</t>
  </si>
  <si>
    <t xml:space="preserve">01063L
887389</t>
  </si>
  <si>
    <t xml:space="preserve">Government of Saskatchewan
Hitachi Ltd</t>
  </si>
  <si>
    <t xml:space="preserve">City government
Mnfr,whl electn equip</t>
  </si>
  <si>
    <t xml:space="preserve">Government of Saskatchewan, a
city government of Canada.
Hitachi Limited is
manufacturing and
distributing electronic
equipment, based in Tokyo.
The Group's principal
activity is to manufacture
electronic and electrical
equipment. The operations
are carried out through the
following divisions: Power
and industrial systems;
Information and Telecom
Systems; Materials; Consumer
Products; Electronic
Devices; Financial Services
and Service/others. Power
and Industrial systems
division manufactures
nuclear, thermal and
hydroelectric power plants
and control equipment.
Information systems division
deals with system
integration, multi-purpose
computer and others.
Electronics division
manufactures computers,
audio/visual equipment and
development of software.
Materials division
manufactures synthetic resin
materials and products.
Consumer Products division
manufactures air
conditioners, household
appliances and audio/visual
products. Electronic Devices
semi-conductor equipment and
test and measurement
equipment. Services and
other division is engaged in
general trading and
transportation.</t>
  </si>
  <si>
    <t xml:space="preserve">999E
3651</t>
  </si>
  <si>
    <t xml:space="preserve">Canada
Hitachi Ltd</t>
  </si>
  <si>
    <t xml:space="preserve">999A
3651</t>
  </si>
  <si>
    <t xml:space="preserve">GOVERNMENT OF SASKATCHEWAN/HITACHI LTD-STRATEGIC ALLIANCE</t>
  </si>
  <si>
    <t xml:space="preserve">Government of Saskatchewan and Hitachi Ltd formed a strategic alliance was
to research and development (R&amp;D) of nuclear medicine technology in
Canada.</t>
  </si>
  <si>
    <t xml:space="preserve">38371P
433578</t>
  </si>
  <si>
    <t xml:space="preserve">Southern California Gas Co
Oberon Fuels Inc</t>
  </si>
  <si>
    <t xml:space="preserve">Pvd natural gas distn svcs
Manufactures renewable dimethyl ether transportation fuel</t>
  </si>
  <si>
    <t xml:space="preserve">Southern California Gas Co,
located in Los Angeles,
California, provides natural
gas distribution services. The
company is a subsidiary of
Sempra Energy Inc. The
company's principal activity
is to distribute and transport
natural gas, covering 20.9
million consumers in over 500
communities throughout Central
and Southern California.
Oberon Fuels Inc, located in
San Diego, California,
manufactures renewable
dimethyl ether
transportation fuel. Its
pilot plant in Brawley,
California, produces
fuel-grade dimethyl ether in
North America, which has
been used by Volvo Trucks,
Mack Trucks, and Ford Motor
Company for vehicle
demonstration. The Company
was founded in 2010.</t>
  </si>
  <si>
    <t xml:space="preserve">4922
2869</t>
  </si>
  <si>
    <t xml:space="preserve">Sempra Energy Inc
Oberon Fuels Inc</t>
  </si>
  <si>
    <t xml:space="preserve">4932
2911</t>
  </si>
  <si>
    <t xml:space="preserve">SOUTHERN CALIFORNIA GAS CO/OBERON FUELS-STRATEGIC ALLIANCE</t>
  </si>
  <si>
    <t xml:space="preserve">Southern California Gas Co (SC) and Oberon Fuels (OF) formed a strategic
alliance to jointly establish a commercial facility in Southern California
for the research and development of Dimethyl Ether (DME) from natural gas
that can be used as an alternative transportation fuel.</t>
  </si>
  <si>
    <t xml:space="preserve">Research &amp; Development Services
Oil and Gas; Petroleum Services
Construction Services</t>
  </si>
  <si>
    <t xml:space="preserve">842434
67453V</t>
  </si>
  <si>
    <t xml:space="preserve">NuGEN Technologies Inc
Advanced Liquid Logic Inc
Broad Institute</t>
  </si>
  <si>
    <t xml:space="preserve">Pvd research,dvlp svcs
Mnfr digital microfliuds equip
Biotechnology company</t>
  </si>
  <si>
    <t xml:space="preserve">NuGEN Technologies Inc is
located in San Carlos,
California. The Company
provides research and
development services on
nucleic acid amplification
and detection technologies.
Advanced Liquid Logic Inc,
located in Morrisville, North
Carolina, manufactures digital
microfluids equipment. The
company was founded in 2004.
Broad Institute is a
manufacturer of biological
products. The Company was
founded in May 2004 and is
located in Cambridge,
Massachusetts.</t>
  </si>
  <si>
    <t xml:space="preserve">8731
3823
2836</t>
  </si>
  <si>
    <t xml:space="preserve">CA
NC
MA</t>
  </si>
  <si>
    <t xml:space="preserve">NuGEN Technologies Inc
Advanced Liquid Logic Inc
Massachusetts Inst Of Tech</t>
  </si>
  <si>
    <t xml:space="preserve">8731
3823
8221</t>
  </si>
  <si>
    <t xml:space="preserve">NUGEN TECHNOLOGIES INC/ADVANCED LIQUID LOGIC INC/BROAD INSTITUTE-STRATEGIC
ALLIANCE</t>
  </si>
  <si>
    <t xml:space="preserve">NuGEN Technologies Inc (NT), Advanced Liquid Logic, Inc (AL) and Broad
Institute (BI) formed a strategic alliance for the research and development
of the digital microfluidic cartridge. Under the agreement, AL will provide
instrumentation, software and digital microfluidic cartridge technology to
NT for commercialization. NT, AL and BI will collaborate on developing new
genomic capabilities and improving current sample preparation processes.</t>
  </si>
  <si>
    <t xml:space="preserve">66929C
01224C
11149Z</t>
  </si>
  <si>
    <t xml:space="preserve">vivoPharm Pty Ltd
MPI Research Inc</t>
  </si>
  <si>
    <t xml:space="preserve">Pvd preclinical services
Pvd preclinical research svcs</t>
  </si>
  <si>
    <t xml:space="preserve">vivoPharm Pty Ltd, located in
Bundoora, Victoria, provide
proprietary preclinical
oncology services. Its
services also include
toxicology testing and
bionalytical analysis.
MPI Research Inc, located in
Mattawa, Michigan, provides
pre-clinical research
services to the
pharmaceutical, biotech,
chemical, and related
industries in advancing
their drug development
programs, from early proof
of concept testing to
regulatory submissions. It
provides testing services in
the field of general
toxicology,
bioanalytical/analytical
sciences,
pharmacology,/neurobehavioral
sciences, surgery, DMPK,
infusion toxicology,
developmental and
reproductive toxicology,
targeted discovery research,
immunology, pathology
services, and molecular
imaging. The Company was
founded in 1995.</t>
  </si>
  <si>
    <t xml:space="preserve">VIVOPHARM PTY LTD/MPI RESEARCH INC-STRATEGIC ALLIANCE</t>
  </si>
  <si>
    <t xml:space="preserve">vivoPharm Pty. Ltd (VP) and MPI Research, Inc (MR) formed a strategic
alliance to conduct research and drug discovery programs. Under the
agreement, VP will integrates its 60 characterized cell lines and specialty
oncology models with MR's molecular imaging program.</t>
  </si>
  <si>
    <t xml:space="preserve">93454L
55562F</t>
  </si>
  <si>
    <t xml:space="preserve">Trimeris Inc
Mitsubishi Tanabe Pharma Corp</t>
  </si>
  <si>
    <t xml:space="preserve">Biopharmaceutical company
Mnfr,wholesale pharmaceuticals</t>
  </si>
  <si>
    <t xml:space="preserve">Trimeris Inc, located Durham,
North Carolina, is a
biopharmaceutical company
engaged in the
commercialization of
therapeutic agents for the
treatment of viral disease.
Its core technology platform
is based on fusion inhibition
disease by preventing viruses
from entering host immune
cells The company's products
are sold through retail and
specialty pharmacies across
the United States and Canada.
Its main product is known as
FUZEON. The company was
founded in 1993.
Founded in 2007. Mitsubishi
Tanabe Pharma Corp, based in
Osaka, Japan, is mainly
engaged in the manufacture
and sale of pharmaceutical
products. The Company
operates in two business
segments. The Medical
Supplies segment is engaged
in the research,
development, manufacture and
sale of ethical
pharmaceutical and
non-prescription drugs. The
Others segment is engaged in
the manufacture, purchase
and sale of chemical
products, as well as the
management of real estate.</t>
  </si>
  <si>
    <t xml:space="preserve">2836
2833</t>
  </si>
  <si>
    <t xml:space="preserve">SYNAGEVA BIOPHARMA CORP/MITSUBISHI TANABE PHARMA CORP-STRATEGIC ALLIANCE</t>
  </si>
  <si>
    <t xml:space="preserve">Synageva BioPharma Corp (SB) and Mitsubishi Tanabe Pharma Corp (MT) formed
a strategic alliance for the research and development of a novel
therapeutic for an undisclosed orphan disease. The SA will use SB's product
development and proprietary protein platform for the development of the
drug. MT were to pay USD 3 mil as well as additional research funds.</t>
  </si>
  <si>
    <t xml:space="preserve">MT were to pay USD 3 mil as well as additional research funds.</t>
  </si>
  <si>
    <t xml:space="preserve">896263
60630N</t>
  </si>
  <si>
    <t xml:space="preserve">Mnfr small molecule drugs
Manufactures, wholesales pharmaceuticals and medical instruments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</si>
  <si>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</si>
  <si>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EVOTEC AG/ROCHE HOLDING AG-STRATEGIC ALLIANCE</t>
  </si>
  <si>
    <t xml:space="preserve">Evotec AG (EA) and Roche Holding AG (RH) formed a strategic alliance for
the research and commercialization of EA's MAO-B inhibitor for patients
with Alzheimer's disease. Under the agreement, RH will pay an initial
payment of USD 10 mil up to USD 820 mil for further development and
commercialization milestone as well as royalty fees.</t>
  </si>
  <si>
    <t xml:space="preserve">RH will pay an initial payment of USD 10 mil up to USD 820 mil for further
development and commercialization milestone as well as royalty fees.</t>
  </si>
  <si>
    <t xml:space="preserve">Allied Moral Holdings Ltd
Intact Medical Corp
BMG Diamond Holdings Ltd</t>
  </si>
  <si>
    <t xml:space="preserve">Mnfr medical equip
Dvp breast lesion excision sys
Investment company</t>
  </si>
  <si>
    <t xml:space="preserve">Allied Moral Holdings Ltd,
located in China, manufactures
medical equipments like x-ray
apparauts.
Intact Medical Corp, located
in Framingham, Massachusetts,
develops breast lesion
excision system. The company
develops innovative minimally
invasive systems for excision
of tissue for diagnostic and
therapeutic application for
certain types of cancer.
BMG Diamond Holdings Ltd is an
investment company,
headquartered in the British
Virgin Islands.</t>
  </si>
  <si>
    <t xml:space="preserve">3844
3841
6799</t>
  </si>
  <si>
    <t xml:space="preserve">China
United States
British Virgin</t>
  </si>
  <si>
    <t xml:space="preserve">FF
MA
FF</t>
  </si>
  <si>
    <t xml:space="preserve">Huiheng Med Inc
Intact Medical Corp
BMG Diamond Holdings Ltd</t>
  </si>
  <si>
    <t xml:space="preserve">5047
3841
6799</t>
  </si>
  <si>
    <t xml:space="preserve">ALLIED MORAL HOLDINGS LTD/INTACT MEDICAL CORP/BMG DIAMOND HOLDINGS
LTD-JOINT VENTURE</t>
  </si>
  <si>
    <t xml:space="preserve">Allied Moral Holdings (AM), Intact Medical Corp (IM) and BMG Diamond
Holdings Ltd (BD) agreed to form a joint venture to develop and manufacture
IM's Breast Lesion Excision System in China.</t>
  </si>
  <si>
    <t xml:space="preserve">01933Y
47491H
05515V</t>
  </si>
  <si>
    <t xml:space="preserve">Clavis Pharma ASA
Skyline Diagnostics BV</t>
  </si>
  <si>
    <t xml:space="preserve">Clavis Pharma ASA, based in
Oslo, Norway, manufactures and
wholesales pharmaceutical
products focused on oncology.
the company's product
portfolio includes
Elacytarabine [pINN*] and
Intravenous CP-4126 are in
Clinical Phase II, Oral
CP-4126 in Phase I, and
CP-4200. It was established on
August 30, 2001.
Skyline Diagnostics BV is a
biotechnology company
headquartered in Rotterdam,
Netherlands. The company's
products include the
AMLprofiler an in vitro
diagnostic test to recognize
Acute Myeloid Leukemia (AML)
subtypes and make
individualized therapy
decisions.</t>
  </si>
  <si>
    <t xml:space="preserve">Norway
Netherlands</t>
  </si>
  <si>
    <t xml:space="preserve">CLAVIS PHARMA ASA/SKYLINE DIAGNOSTICS BV-STRATEGIC ALLIANCE</t>
  </si>
  <si>
    <t xml:space="preserve">Skyline Diagnostics BV (SD) and Clavis Pharma ASA (CP) formed a strategic
alliance to conduct research on gene expression biomarkers on Acute Myeloid
Leukemia (AML) patients. This research will be done to determine patients
that might benefit form CP's AML drug, elacytarabine.</t>
  </si>
  <si>
    <t xml:space="preserve">18301L
84052Y</t>
  </si>
  <si>
    <t xml:space="preserve">3M Co
IBM Corp</t>
  </si>
  <si>
    <t xml:space="preserve">Mnfr,whl surgical,med equip
Manufacture computer products</t>
  </si>
  <si>
    <t xml:space="preserve">3M Co, headquartered in St.
Paul, Minnesota, manufactures
and wholesales surgical and
medical equipment and
apparatus, adhesives, tapes,
tape dispensers, glue sticks,
sponges, picture paper,
sandpaper, reflective sheeting
for highway signs, display
enhancement films, dental
resins, crowns, bridges and
impression materials, drug
delivery systems such as
metered dose inhalation
technologies and transdermal
technologies, scrapbooks,
batting and golf gloves,
insect repellent,
stethoscopes, infant diapers,
adult incontinence and
feminine hygiene products, and
branded prescription drugs
related to dermatology,
women's health, sexual health,
cardiology and respiratory
medicine. It is also a holding
company. The company was
founded in 1902.
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t>
  </si>
  <si>
    <t xml:space="preserve">3841
3571</t>
  </si>
  <si>
    <t xml:space="preserve">MN
NY</t>
  </si>
  <si>
    <t xml:space="preserve">3M CO/INTERNATIONAL BUSINESS MACHINES CORP{IBM}-STRATEGIC ALLIANCE</t>
  </si>
  <si>
    <t xml:space="preserve">3M Co (3C) and International Business Machines Corp (IB) planned to form a
strategic alliance to develop the first adhesive that can be used to
package semiconductors into stacked silicon towers. This development would
lead to a higher level of integration in the information technology market,
this would create a much faster microprocessor.</t>
  </si>
  <si>
    <t xml:space="preserve">88579Y
459200</t>
  </si>
  <si>
    <t xml:space="preserve">Debiopharm International SA
Ascenta Therapeutics Inc</t>
  </si>
  <si>
    <t xml:space="preserve">Manufacture biopharmaceuticals
Biotechnology company</t>
  </si>
  <si>
    <t xml:space="preserve">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
Ascenta Therapeutics Inc is a
biotechnology company
dedicated for the discovery
and treatment of cancer
headquartered in Malvern,
Pennsylvania. The companys
brands include AT-101:
pan-Bcl-2 Inhibitor, AT-406:
IAP Antagonist and HDM2
Inhibitor.</t>
  </si>
  <si>
    <t xml:space="preserve">DEBIOPHARM SA/ASCENTA THERAPEUTICS INC-STRATEGIC ALLIANCE</t>
  </si>
  <si>
    <t xml:space="preserve">Debiopharm SA (DS) and Ascenta Therapeutics, Inc (AT) formed a strategic
alliance for the worldwide development and commercialization of DS's
AT-406, also called Debio 1143. AT was granted license by DS for the
molecule inhibitors development and distribution.</t>
  </si>
  <si>
    <t xml:space="preserve">24275A
91264L</t>
  </si>
  <si>
    <t xml:space="preserve">HUYA Bioscience Intl LLC
ZJCMU Life Sciences College</t>
  </si>
  <si>
    <t xml:space="preserve">Manufacture pharmaceuticals
Own,op college,university</t>
  </si>
  <si>
    <t xml:space="preserve">HUYA Bioscience
International LLC,
headquartered in San Diego,
California, is a
pharmaceutical manufacturing
firm. The company has an
office in Shanghai, China.
The company focuses on
biopharmaceutical
innovations originating from
China. They cooperate with
various Chinese
biopharmaceutical companies
and organization for
research and development of
China-sourced pharmaceutical
products. The company was
founded in 2004.
Zhejiang Chinese Medical
University Life Science
College owns and operates a
college. The college is
headquartered in Hangzhou,
China. The College of Life
Sciences in=s under the
Zhejiang Chinese Medical
University. The college was
established in April 2000.</t>
  </si>
  <si>
    <t xml:space="preserve">HUYA Bioscience Intl LLC
Zhejiang Chinese Medical Univ</t>
  </si>
  <si>
    <t xml:space="preserve">HUYA BIOSCIENCE INTERNATIONAL/ZHEJIANG CHINESE MEDICAL UNIVERSITY LIFE
SCIENCES COLLEGE-STRATEGIC ALLIANCE</t>
  </si>
  <si>
    <t xml:space="preserve">HUYA Bioscience International LLC and Zhejiang Chinese Medical University
Life Sciences College formed a strategic alliance for the global
development China's novel Traditional Chinese Medicines.</t>
  </si>
  <si>
    <t xml:space="preserve">44430R
53292M</t>
  </si>
  <si>
    <t xml:space="preserve">Pfizer Animal Health
Jilin Guoyuan Anml Hlth Co Ltd</t>
  </si>
  <si>
    <t xml:space="preserve">Mnfr animal pharmaceuticals
Mnfr,whl animal health prod</t>
  </si>
  <si>
    <t xml:space="preserve">Pfizer Animal Health,
headquartered in New York,
New York, manufactures
animal pharmaceutical
products and antibiotics.
Its brands product include
Draxxin, Excede,
Naxcel/Excenel,
RespiSure/Stellamune,
Dectomax, Rimadyl,
Revolution/Stronghold,
Clavamox/Synulox,
BoviShield, Lutalyse,
Slentrol, Cerenia, Convenia,
Improvac/Vivax, West Nile
and Innovator. The company
was founded in 1849.
Jilin Guoyuan Animal Health Co
Ltd, located in Jilin,
manufactrues and wholesales
animal health products. It was
founded in 2009.</t>
  </si>
  <si>
    <t xml:space="preserve">Pfizer Inc
Jilin Guoyuan Anml Hlth Co Ltd</t>
  </si>
  <si>
    <t xml:space="preserve">PFIZER ANIMAL HEALTH/JILIN GUOYUAN ANIMAL HEALTH CO LTD-JOINT VENTURE</t>
  </si>
  <si>
    <t xml:space="preserve">Pfizer Animal Health (PA) and Jilin Guoyuan Animal Health Co, Ltd (JG)
planned to form a joint venture to develop, manufacture and distribute
animal health vaccines in China. The new JV named Jilin Pfizer Guoyuan
Animal Health Co Ltd will first focus on the development of swine health
vaccines. The transaction was subject to regulatory approval.</t>
  </si>
  <si>
    <t xml:space="preserve">71698E
09310P</t>
  </si>
  <si>
    <t xml:space="preserve">SIM-Drive Corp
Dassault Systemes SA</t>
  </si>
  <si>
    <t xml:space="preserve">Mnfr electric vehicles
Provides info technology services</t>
  </si>
  <si>
    <t xml:space="preserve">SIM-Drive Corp, located in
Chiyoda-Ku, Tokyo,
manufactures electric vehicles
and related parts. Its other
services include research and
development, consultation,
educational services, and
production support for
electric vehicles. The company
was founded in 2009.
Dassault Systemes SA,
located in
Velizy-Villacoublay, France,
provides information
technology services. It
offers Product Lifecycle
management (PLM) and 3D
solutions. The Group
operates under two major
segments, Process Centric
and Design Centric. Under
Process centric, the Group
optimizes the process of
development of client
products in the chain of
production. The Group
designs, develops and
markets PLM application
software to support
industrial process. Under
Design centric, the Group
offers solutions to provide
a 3D vision of the entire
lifecycle of products from
conception to maintenance.
The Group also offers
consulting and after sales
services. The Company was
founded in 1981.</t>
  </si>
  <si>
    <t xml:space="preserve">3714
7376</t>
  </si>
  <si>
    <t xml:space="preserve">Keio University
Dassault Systemes SA</t>
  </si>
  <si>
    <t xml:space="preserve">8221
7376</t>
  </si>
  <si>
    <t xml:space="preserve">SIM-DRIVE CORP/DASSAULT SYSTEMES SA-STRATEGIC ALLIANCE</t>
  </si>
  <si>
    <t xml:space="preserve">SIM-Drive Corp, a joint venture among Keio University, Benesse Corp,
Gulliver International Co Ltd, Nano-Optonics Energy Inc and Marubeni Corp,
and Dassault Systemes SA planned to form a strategic alliance to develop
electric vehicles.</t>
  </si>
  <si>
    <t xml:space="preserve">78940M
237545</t>
  </si>
  <si>
    <t xml:space="preserve">Universal Biosensors Pty Ltd
Siemens Healthcare Diagnostics</t>
  </si>
  <si>
    <t xml:space="preserve">Biotechnology company
Pvd med diagnostic svcs</t>
  </si>
  <si>
    <t xml:space="preserve">Universal Biosensors is a
biotechnology company, located
in Australia.
Siemens Healthcare Diagnostics
Inc, located in Tarrytown, New
York, provides medical
diagnostic services. It also
offers products and services
for diagnosing medical
conditions and monitoring
patient therapy. Its services
include integrated chemistry,
immunoassay, routine
chemistry, automation,
hematology, homeostasis,
microbiology, diabetes,
urinalysis, blood gas
monitoring and molecular
testing. It has direct
operations in France, Germany,
Italy, Japan, Korea, the
Netherlands, Poland, Spain,
the UK, and the US. The
company was founded in 2007.</t>
  </si>
  <si>
    <t xml:space="preserve">Universal Biosensors Inc
Siemens AG</t>
  </si>
  <si>
    <t xml:space="preserve">2835
3663</t>
  </si>
  <si>
    <t xml:space="preserve">UNIVERSAL BIOSENSORS PTY LTD/SIEMENS HEALTHCARE DIAGNOSTICS INC-STRATEGIC
ALLIANCE</t>
  </si>
  <si>
    <t xml:space="preserve">Universal Biosensors Pty Ltd (UB) and Siemens Healthcare Diagnostics Inc
(SH) formed a strategic alliance to develop and market point-of-care
products. Under the agreement, UB will develop test strips and reader
products utilizing UB's PT/INR test which will then be supplied to SH. UB
is entitled to receive technology fess worth USD 3 mil.</t>
  </si>
  <si>
    <t xml:space="preserve">UB is entitled to receive technology fess worth USD 3 mil.</t>
  </si>
  <si>
    <t xml:space="preserve">91548M
82802Y</t>
  </si>
  <si>
    <t xml:space="preserve">Silence Therapeutics PLC
InteRNA Technologies BV</t>
  </si>
  <si>
    <t xml:space="preserve">Silence Therapeutics PLC,
located in London, UK is a
biotechnology company. The
company is engaged in the
research and development of
pharmaceutical products
focusing on the development
of its ribonucleic acid
interference (RNAi)
technology, which is moving
from the pre-clinical into
clinical development phase.
The company was founded in
1992.
InteRNA Technologies BV
provides medical research and
development services. The
company is headquartered in
Nijmegen, Netherlands. The
company develops cancer
therapies based on microRNA
(miRNA). The company performs
extensive Research and
Development that focuses on
the functional roles of
microRNA for further
development of miRNA-based
therapeutics for cancer.</t>
  </si>
  <si>
    <t xml:space="preserve">SILENCE THERAPEUTICS PLC/INTERNA TECHNOLOGIES BV-STRATEGIC ALLIANCE</t>
  </si>
  <si>
    <t xml:space="preserve">Silence Therapeutics plc (ST) and InteRNA Technologies BV (IT) formed a
strategic alliance for the research and development of microRNA
therapeutics for the treatment of cancer. Under the terms of agreement, IT
will combine its miRNA sequences with ST's AtuPLEX(TM) to develop the
therapeutic drugs.</t>
  </si>
  <si>
    <t xml:space="preserve">82409N
44415M</t>
  </si>
  <si>
    <t xml:space="preserve">Seattle Genetics Inc
Oxford BioTherapeutics Ltd</t>
  </si>
  <si>
    <t xml:space="preserve">Manufactures biotechnology products
Mnfr pharm</t>
  </si>
  <si>
    <t xml:space="preserve">Seattle Genetics Inc,
located in Bothell,
Washington, manufactures
biotechnology products. It
is a clinical stage
biotechnology company
focused on the development
and commercialization of
monoclonal antibody-based
therapies for the treatment
of cancer and autoimmune
disease. The Company was
founded on July 15, 1997.
Oxford BioTherapeutics Ltd is
a pharmaceutical manufacturing
firm, headquartered in Oxford,
UK. The Company develops novel
antibody therapeutics using
its unique OGAP (Oxford Genome
Anatomy Project) platform for
the treatment of cancer.
Founded in 2004.</t>
  </si>
  <si>
    <t xml:space="preserve">SEATTLE GENETICS INC/OXFORD BIOTHERAPEUTICS LTD-STRATEGIC ALLIANCE</t>
  </si>
  <si>
    <t xml:space="preserve">Seattle Genetics, Inc (SG) and Oxford BioTherapeutics (OB) formed a
strategic alliance to develop antibody-drug conjugates (ADCs) for cancer.
Under the terms of the alliance, OB will first develop panels of monoclonal
antibodies against novel tumor-specific antigens that can be idenetified by
using OB's Oxford Genome Anatomy Project (OGAP(R)). After which, SG will
take charge for the screening of the antibodies for activity using SG's ADC
technology.</t>
  </si>
  <si>
    <t xml:space="preserve">812578
69142P</t>
  </si>
  <si>
    <t xml:space="preserve">Merck Sharp &amp; Dohme Corp
BGI</t>
  </si>
  <si>
    <t xml:space="preserve">Mnfr,whl pharmaceutical prod
Pvd research,development svcs</t>
  </si>
  <si>
    <t xml:space="preserve">Merck Sharp &amp; Dohme Corp,
located in Kenilworth, New
Jersey, is a manufacturer of
pharmaceutical preparation.
It is focused on researching
on hepatitis C, HIV,
diabetes and
immuno-oncology. The Company
was founded in 1891.
Beijing Genomics Institute,
headquartered in Shenzhen,
China, provides research and
development services focused
in genomics. The company was
founded in 1999.</t>
  </si>
  <si>
    <t xml:space="preserve">Merck &amp; Co Inc
BGI</t>
  </si>
  <si>
    <t xml:space="preserve">MERCK &amp; CO INC/BEIJING GENOMICS INSTITUTE-STRATEGIC ALLIANCE</t>
  </si>
  <si>
    <t xml:space="preserve">Merck &amp; Co Inc and Beijing Genomics institute formed a strategic alliance
to identify and characterize biomarkers with an emphasis on drug discovery,
drug development and diagnostics applications.</t>
  </si>
  <si>
    <t xml:space="preserve">U58933
07908L</t>
  </si>
  <si>
    <t xml:space="preserve">Rusnano JSC
Celtic Pharmaceutical Holdings</t>
  </si>
  <si>
    <t xml:space="preserve">Other Financial Vehicles
Private equity fund</t>
  </si>
  <si>
    <t xml:space="preserve">Rusnano JSC is a private
equity and venture capital
fund. The Company was
founded in 2007 and is
located in Moscow, the
Russian Federation.
Celtic Pharmaceutical Holdings
LP, is a private equity fund
company with portfolio of
interest in the pharmaceutical
industries, which seeks to
acquire direct ownership or
controlling stakes in novel,
differentiated and
commercially attractive
pharmaceutical products in the
late stages of clinical and
regulatory development.</t>
  </si>
  <si>
    <t xml:space="preserve">6726
6799</t>
  </si>
  <si>
    <t xml:space="preserve">Russian Fed
Bermuda</t>
  </si>
  <si>
    <t xml:space="preserve">OAO "ROSNANO"/CELTIC PHARMACEUTICAL HOLDINGS LP-JOINT VENTURE</t>
  </si>
  <si>
    <t xml:space="preserve">Russian Fed
United Kingdom</t>
  </si>
  <si>
    <t xml:space="preserve">Celtic Pharmaceutical Holdings LP (CP) and Russian Corporation of
Nanotechnologies (RC) planned to form a joint venture named Pro Bono Bio to
provide research and development services. The JV company will develop
drugs for the treatment of hemophilia as well as novel antibiotics for the
treatment of serious infections such as C.difficile, MRSA and Tuberculosis.
RC invested EUR 300 mil (USD 476 mil). RC were to hold 40% interest in the
JV while CP were to hold the majority stake of 60% interest.</t>
  </si>
  <si>
    <t xml:space="preserve">40.00
60.00</t>
  </si>
  <si>
    <t xml:space="preserve">RC invested EUR 300 mil (USD 476 mil).</t>
  </si>
  <si>
    <t xml:space="preserve">78260Z
15167P</t>
  </si>
  <si>
    <t xml:space="preserve">Shanghai Fosun Pharmaceutical (Group) Co Ltd (SF) and Lonza Group Ltd (LG)
agreed to form a joint venture to manufacture generics. The JV will develop
oncology, anti-infectives and cardiovascular generics. LG will be in charge
of the development and production of active pharmaceutical ingredient while
FS will develop complete formulations as well as market and distribute the
drug in China. FS and LG were to each hold 50% interest in the JV. The JV
was to have an investment of CNY100 mil (USD15.6 mil).</t>
  </si>
  <si>
    <t xml:space="preserve">The JV was to have an investment of CNY100 mil (USD15.6 mil).</t>
  </si>
  <si>
    <t xml:space="preserve">GE Healthcare
Veran Medical Technologies Inc</t>
  </si>
  <si>
    <t xml:space="preserve">Manufacture diagnostic imaging equipment
Mnfr medical,surgical equip</t>
  </si>
  <si>
    <t xml:space="preserve">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
Veran Medical Technologies
Inc, located in St. Louis,
Missouri, is a manufacturer
of surgical appliance and
supplies.</t>
  </si>
  <si>
    <t xml:space="preserve">WI
MO</t>
  </si>
  <si>
    <t xml:space="preserve">General Electric Co
Veran Medical Technologies Inc</t>
  </si>
  <si>
    <t xml:space="preserve">3612
3841</t>
  </si>
  <si>
    <t xml:space="preserve">GE HEALTHCARE/VERAN MEDICAL TECHNOLOGIES INC-STRATEGIC ALLIANCE</t>
  </si>
  <si>
    <t xml:space="preserve">GE Healthcare, a unit of General Electric Co, and Veran Medical
Technologies Inc formed a strategic alliance to advance and co-develop
navigation technologies for interventional procedures.</t>
  </si>
  <si>
    <t xml:space="preserve">36069Q
92453L</t>
  </si>
  <si>
    <t xml:space="preserve">Corporation ROSATOM
Siemens AG</t>
  </si>
  <si>
    <t xml:space="preserve">Research and Development in The Physical, Engineering and Lifesciences (Except Biotechnology)
Manufactures and wholesales telecommunications equipment</t>
  </si>
  <si>
    <t xml:space="preserve">The State Atomic Energy
Corporation ROSATOM, located
in Moscow, Russian
Federation, provides
physical research services.
It is involved in
fundamental and applied
research and development of
nuclear physics, high-energy
physics, plasma physics,
solid state physics and
nuclear weapons and
disarmament. It also acts as
a holding company of
entities involved in the
operation and construction
of nuclear power plants and
uranium production. The
Company was founded in 2004.
Siemens AG manufactures and
wholesales
telecommunications
equipment. The Company
operates through nine
segments: Power and Gas;
Wind Power and Renewables;
Energy Management; Building
Technologies; Mobility;
Digital Factory; Process
Industries and Drives;
Healthineers, and Financial
Services. Its product groups
include automation, building
technologies, drive
technology, healthcare,
mobility, energy, financing,
consumer products and
services. Its services
include industry services,
energy services, healthcare
services, rail and road
solutions services,
logistics and airport
solutions services, home
appliances services, and
building technologies
services. Its
market-specific solutions
are focused on markets, such
as aerospace, automotive,
data centers, fiber
industry, food and beverage,
and machinery and plant
construction. The Company
was founded in October 1847
and is located in Munich,
Germany.</t>
  </si>
  <si>
    <t xml:space="preserve">8731
3663</t>
  </si>
  <si>
    <t xml:space="preserve">GOSUDARSTVENNAYA KORPORATSIYA PO ATOMNOY ENERGII "ROSATOM"/SIEMENS AG-
JOINT VENTURE</t>
  </si>
  <si>
    <t xml:space="preserve">Rosatom State Nuclear Energy Corp (RS) and Siemens AG (SA) was rumored to
be planning to form a joint venture to develop nuclear medicine in Russia.</t>
  </si>
  <si>
    <t xml:space="preserve">31316A
826197</t>
  </si>
  <si>
    <t xml:space="preserve">AECC Aero-Engine Controls Co
HeFei University of Technology</t>
  </si>
  <si>
    <t xml:space="preserve">Research and Development in The Physical, Engineering and Lifesciences (Except Biotechnology)
Pvd educational services</t>
  </si>
  <si>
    <t xml:space="preserve">AECC Aero-Engine Control Ltd
is a provider of research
and development services.
The Company was founded in
June 1997 and is located in
Wuxi, China.
HeFei University of
Technology, located in Hefei,
China, provides educational
services.</t>
  </si>
  <si>
    <t xml:space="preserve">3724
8221</t>
  </si>
  <si>
    <t xml:space="preserve">AVIC AERO-ENGINE CONTROLS CO LTD/HEFEI UNIVERSITY OF TECHNOLOGY-STRATEGIC
ALLIANCE</t>
  </si>
  <si>
    <t xml:space="preserve">AVIC Aero-Engine Controls Co Ltd and HeFei University of Technology signed
an agreement to form a strategic alliance to reasearch and develop
renewable energy control systems and auto power control systems.</t>
  </si>
  <si>
    <t xml:space="preserve">06337J
16810E</t>
  </si>
  <si>
    <t xml:space="preserve">Trojan Battery Co
Palladium Energy Inc</t>
  </si>
  <si>
    <t xml:space="preserve">Mnfr deep-cycle batteries
Mnfr battery packs</t>
  </si>
  <si>
    <t xml:space="preserve">Trojan Battery Co
manufactures deep-cycle
batteries. The company is
headquartered in Santa Fe
Springs, California and
operates other locations in
the Asia Pacific, Latin
America, Europe and Middle
East. Some of the company's
products include AC
Series(TM), Deep-Cycle AGM,
Deep-Cycle Gem(TM),
Hydrolink(TM) Watering
System, Industrial Line,
Plus Series(TM), among
others. Its products
provider power for a wide
variety of motive and
stationary applications that
require deep-cycle battery
performance. The Company was
founded in 1925.
Palladium Energy, located in
Woodridge, Illinois,
manufactures battery packs. It
offers custom lithium-based
battery packs, chargers and
electrromechanical supplies.
It has other locations in
South America, Taiwan and
China. The company was founded
in 1973.</t>
  </si>
  <si>
    <t xml:space="preserve">Trojan Battery Co
Marlin Equity Partners LLC</t>
  </si>
  <si>
    <t xml:space="preserve">3692
6799</t>
  </si>
  <si>
    <t xml:space="preserve">TROJAN BATTERY CO/PALLADIUM ENERGY-STRATEGIC ALLIANCE</t>
  </si>
  <si>
    <t xml:space="preserve">Trojan Battery Co and Palladium Energy Inc formed a strategic alliance to
develop lithium-based battery packs. Under the terms of agreement, the
alliance will address the renewable energy, golf and recreational vehicles
markets and more.</t>
  </si>
  <si>
    <t xml:space="preserve">91278W
69167Y</t>
  </si>
  <si>
    <t xml:space="preserve">Quantum Materials Corp
Nanoaxis LLC</t>
  </si>
  <si>
    <t xml:space="preserve">Mineral expl co
Nanotechnology company</t>
  </si>
  <si>
    <t xml:space="preserve">Hague Corp, headquartered in
Winnipeg , Manitoba, is a
mineral exploration company.
It owns Get property, located
in Esmeralda County, Nevada.
NanoAxis LLC, headquartered in
Buffalo, New York is a
nanotechnology company.
NanoAxis uses nano-material to
develop nanomedicine
applications. The company's
products and services include
AxiCad(TM) Quantum Dots.
AxiCad(TM) QDs cater the
demand of customers from The
Life Sciences Industry, Solar
Technologies, LED Lighting and
Advanced Materials.</t>
  </si>
  <si>
    <t xml:space="preserve">1081
8731</t>
  </si>
  <si>
    <t xml:space="preserve">QUANTUM MATERIALS CORP/NANOAXIS LLC-STRATEGIC ALLIANCE</t>
  </si>
  <si>
    <t xml:space="preserve">Quantum Materials Corp and Nanoaxis LLC formed a strategic alliance, to
Quantum Materials Corporation will develop specialized quantum dots for
Nanoaxis to functionalize with their proprietary biomedical nanomaterials
for a multiplexing drug delivery platform for drug/gene therapy and
diagnostic medical devices technologies.</t>
  </si>
  <si>
    <t xml:space="preserve">74766A
67391N</t>
  </si>
  <si>
    <t xml:space="preserve">Sanofi Pasteur SA
UCSD School of Medicine</t>
  </si>
  <si>
    <t xml:space="preserve">Mnfr,dvlp vaccines
Biotechnology company</t>
  </si>
  <si>
    <t xml:space="preserve">Sanofi Pasteur SA, located in
Lyon Cedex, France,
manufactures and develops
human vaccines. Its range of
vaccines include TheraCys,
Adacel, Daptacel, TriHIBit,
Tripedia, ActHIB and Fluzone.
UC San Diego School of
Medicine is a biotechnology
company headquartered in San
Diego, California. The
companys services include
BioMedical Education for
Students, Research and Patient
Care services.</t>
  </si>
  <si>
    <t xml:space="preserve">Sanofi SA
University of CA,San Diego</t>
  </si>
  <si>
    <t xml:space="preserve">SANOFI PASTEUR SA/UC SAN DIEGO SCHOOL OF MEDICINE-STRATEGIC ALLIANCE</t>
  </si>
  <si>
    <t xml:space="preserve">Sanofi Pasteur SA (SP) and UC San Diego School of Medicine (UC) formed a
strategic alliance for the research and development of acne vaccines. Under
the agreement, Dr. Chun-Ming Huang and his associates will collaborate with
UC for the development of the vaccine.</t>
  </si>
  <si>
    <t xml:space="preserve">80096R
85969P</t>
  </si>
  <si>
    <t xml:space="preserve">Warnex PRO-DNA Services Inc
NRC-IRAP</t>
  </si>
  <si>
    <t xml:space="preserve">Pvd DNA identification svcs
Pvd technical, bus advisory</t>
  </si>
  <si>
    <t xml:space="preserve">Molecular World Inc, located
in Thunder Bay, Ontario, is a
laboratory that provides human
DNA identification services,
including forensic DNA
testing. It offers services in
four DNA technologies for
human identification:
autosomal nuclear, mini-STR,
Y-STR and mitochondrial DNA.
National Research Council of
Canada Industrial Research
Assistance Program, located
in Ontario, Canada, provides
technical and business
advisory services. The
company's services include
Technical and Business
Advisory Services, Financial
Assistance, Networking and
Linkage Services and Youth
Employment Program.</t>
  </si>
  <si>
    <t xml:space="preserve">Warnex Inc
Canada</t>
  </si>
  <si>
    <t xml:space="preserve">8071
999A</t>
  </si>
  <si>
    <t xml:space="preserve">WARNEX PRO-DNA SERVICES INC/NATIONAL RESEARCH COUNCIL OF CANADA INDUSTRIAL
RESEARCH ASSISTANCE PROGRAM-STRATEGIC ALLIANCE</t>
  </si>
  <si>
    <t xml:space="preserve">Warnex PRO-DNA Services Inc (WP) and National Research Council of Canada
Industrial Research Assistance Program (NI) formed a staregis alliance for
the research and development of a pre-screening method for forensic
mitochondrial DNA testing. Under the agreement, NI will provide technical
and business advisory services to WP as well as a funding worth CAD0.0492
mil ( USD 0.048 mil).</t>
  </si>
  <si>
    <t xml:space="preserve">MI will provide funding worth CAD0.0492 mil ( USD 0.048 mil)</t>
  </si>
  <si>
    <t xml:space="preserve">60853L
63790J</t>
  </si>
  <si>
    <t xml:space="preserve">Bristol-Myers Squibb Co
Ambrx Inc</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</si>
  <si>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Ambrx Inc, located in La
Jolla, California, is a
biotechnology company
specializing in the
development of genetically
engineered protein
therapeutics branded as
BioSuperior, a protein-based
drugs for the treatment of
diabetes, cancer,
cardiovascular, renal,
gastrointestinal,
rheumatologic and neurological
diseases. the company was
founded in 2003.</t>
  </si>
  <si>
    <t xml:space="preserve">BRISTOL-MYERS SQUIBB CO/AMBRX INC-STRATEGIC ALLIANCE</t>
  </si>
  <si>
    <t xml:space="preserve">Bristol-Myers Squibb Co and Ambrx Inc formed a strategic alliance, to
provide exclusive research and devlopment services.</t>
  </si>
  <si>
    <t xml:space="preserve">110122
02347V</t>
  </si>
  <si>
    <t xml:space="preserve">HB Fuller Co
Graco Inc</t>
  </si>
  <si>
    <t xml:space="preserve">Adhesive Manufacturing
Mnfr fluid handling equipment</t>
  </si>
  <si>
    <t xml:space="preserve">HB Fuller Co, located in
Saint Paul, Minnesota,
manufactures and wholesales
adhesives, sealants, paints
and other specialty chemical
products. It has sales
operations in 32 countries
in North America, Europe,
Latin America and the Asia
Pacific region. Its products
include Advantra Encore,
Full-Care, Clarity,
Liquamelt, Flextra, Clean
Melt, Advantra, LiquiLoc,
Rakoll, and Rapidex. The
Company was founded in 1887.
Graco Inc, located in
Minneapolis, Minnesota,
designs, manufactures and
wholesales fluid handling
equipments and systems. Its
business is classified into
industrial, contractor, and
lubrication. It has
operations in North &amp; South
America, Europe,
Middle-East, Africa, Russia,
and Asia Pacific. The
Company was founded in 1926.</t>
  </si>
  <si>
    <t xml:space="preserve">2891
3561</t>
  </si>
  <si>
    <t xml:space="preserve">HB FULLER CO/GRACO INC-STRATEGIC ALLIANCE</t>
  </si>
  <si>
    <t xml:space="preserve">HB Fuller Co (HB) and Graco Inc (GI) formed a strategic alliance to develop
adhesive and equipment systems using HB's Liquamelt adhesive technology.
The equipment system will pump, process and dispense innovative Liquamelt
adhesive.</t>
  </si>
  <si>
    <t xml:space="preserve">359694
384109</t>
  </si>
  <si>
    <t xml:space="preserve">Kaibida International Ltd
Beijing Broadcast Co</t>
  </si>
  <si>
    <t xml:space="preserve">Mnfr communication devices
Pvd broadcasting services</t>
  </si>
  <si>
    <t xml:space="preserve">Kaibida International Ltd is
an original equipment
manufacturer of communication
devices in China.
Beijing Broadcast Co provides
broadcasting services in
China.</t>
  </si>
  <si>
    <t xml:space="preserve">3661
4832</t>
  </si>
  <si>
    <t xml:space="preserve">CTX Virtual Technologies Inc
Beijing Broadcast Co</t>
  </si>
  <si>
    <t xml:space="preserve">4812
4832</t>
  </si>
  <si>
    <t xml:space="preserve">KAIBIDA INTERNATIONAL LTD/BEIJING BROADCAST CO-STRATEGIC ALLIANCE</t>
  </si>
  <si>
    <t xml:space="preserve">Kaibida International Ltd (KI) and Beijing Broadcast Co (BB) planned to
form a strategic alliance to develop and market telematics products in
China.</t>
  </si>
  <si>
    <t xml:space="preserve">48029C
07649N</t>
  </si>
  <si>
    <t xml:space="preserve">Cleveland Biolabs Inc
Rusnano JSC</t>
  </si>
  <si>
    <t xml:space="preserve">Biotechnology company
Other Financial Vehicles</t>
  </si>
  <si>
    <t xml:space="preserve">Cleveland Biolabs Inc,
located in Cleveland, Ohio,
is a biotechnology company
engaged in the manufacture
and development of new drugs
for protection of normal
tissues from exposure to
radiation and other
stresses, such as toxic
chemicals and for cancer
treatment. The Company was
founded in 2003.
Rusnano JSC is a private
equity and venture capital
fund. The Company was
founded in 2007 and is
located in Moscow, the
Russian Federation.</t>
  </si>
  <si>
    <t xml:space="preserve">2836
6726</t>
  </si>
  <si>
    <t xml:space="preserve">CLEVELAND BIOLABS INC/OAO "ROSNANO"-JOINT VENTURE</t>
  </si>
  <si>
    <t xml:space="preserve">Cleveland BioLabs Inc (CB) and OAO "ROSNANO" (OR) planned to form a joint
venture to develop preclinical drug candidates. Under the agreement, OR
will provide funding worth USD 26 mil in a span of 4 years to CB's
subsidiary Panacela Labs, Inc (PL). In addition, CB will also invest USD 3
mil. CB were to hold 55% interest in PL while OR were to hold 45% stake.</t>
  </si>
  <si>
    <t xml:space="preserve">OR will provide funding worth USD 26 mil in a span of 4 years to CB's
subsidiary Panacela Labs, Inc (PL). In addition, CB will also invest USD 3
mil.</t>
  </si>
  <si>
    <t xml:space="preserve">185860
78260Z</t>
  </si>
  <si>
    <t xml:space="preserve">Laboratorios Farmaceuticos
Grupo Ferrer Internacional SA</t>
  </si>
  <si>
    <t xml:space="preserve">Laboratorios Farmaceuticos
ROVI SA, located in Madrid,
Spain, is engaged in the
pharmaceutical industry. The
Company's main activities
include the development and
commercialization,
nationwide and abroad, of
medicines and drugs. Its
products are structured into
three fields: Diagnostic,
which offers contrast
mediums for use in magnetic
resonance, ultrasound and
X-ray diagnostics;
Prescription, which
distributes medicines under
such brands as Hibor,
Osseor, Hepadren,
Pneumovax-23, Glufan,
Corlentor, Exxiv, Calcio y
Vitamina D3 Rovi and
Absorcol, among others; and
Over The Counter (OTC),
which comprises the
Perspirex, Enerzona,
Dentimelo and ColdPack
brands. The Company owns
such fully consolidated
subsidiaries as Gineladius
SL, Frosst Iberica SA, Rovi
Contract Manufacturing SL
and Bertex Pharma GmbH,
among others. The Company
was founded in December
1946.
Grupo Ferrer Internacional
SA, located in Barcelona,
Spain, is a manufacturer and
wholesaler of pharmaceutical
products divided into
therapeutic areas:
cardiovascular, central
nervous system, oncology,
dermatology,
gastrointestinal,
analgesics, bone metabolism
and antibiotics. The Company
has offices in Europe, South
America, Middle East, Asia
and Africa. It was founded
in 1959.</t>
  </si>
  <si>
    <t xml:space="preserve">Spain
Spain</t>
  </si>
  <si>
    <t xml:space="preserve">Norbel Inversiones SL
Grupo Ferrer Internacional SA</t>
  </si>
  <si>
    <t xml:space="preserve">6289
2834</t>
  </si>
  <si>
    <t xml:space="preserve">LABORATORIOS FARMACEUTICOS ROVI SA{ROVI}/GRUPO FERRER INTERNATIONAL
SA-JOINT VENTURE</t>
  </si>
  <si>
    <t xml:space="preserve">Laboratorios Farmaceuticos ROVI SA (LF) and Grupo Ferrer Internacional SA
(GF) agreed to form a joint venture named Alentia Biotech SL to develop flu
vaccines in Spain. The JV was to have an investment of EUR 92 mil (USD
123.8 mil).</t>
  </si>
  <si>
    <t xml:space="preserve">The JV was to have an investment of EUR 92 mil (USD 123.8 mil).</t>
  </si>
  <si>
    <t xml:space="preserve">50561P
31528X</t>
  </si>
  <si>
    <t xml:space="preserve">WiTricity Corp
IHI Corp
Mitsubishi Motors Corp</t>
  </si>
  <si>
    <t xml:space="preserve">Provide wireless elec svcs
Mnfr,whl heavy ind mach
Mnfr,whl automobiles</t>
  </si>
  <si>
    <t xml:space="preserve">WiTricity Corp, located in
Watertown, Massachusetts, is
a provider of wireless
electricity services. The
Company was founded in 2007.
IHI Corp, headquartered in
Tokyo, Japan, is engaged in
the manufacture and
wholesale of heavy
industrial machinery. The
Resources and Energy
division provides service
for boilers, gas turbines,
nuclear power equipment. The
Ship and Offshore division
provides service for
tankers, container ships and
bulk carriers. The Social
Infrastructure division
bridges, floodgates and
construction materials, and
engages in real estate
business. The Logistics and
Industrial Equipment
division provides services
for loading and unloading
equipment and logistic
systems. The Rotating and
Mass Production Machinery
for vehicle superchargers
and compressors. The
Aerospace division provides
service for aviation engines
and space
development-related
equipment. The Others for
agricultural and industrial
equipment. It was founded on
December 05, 1853.
Mitsubishi Motors Corp,
headquartered in Tokyo,
Japan, is an automobile
manufacturer. The company,
along with its subsidiaries
and associated companies, is
engaged in the development,
production and sale of
general and small-sized
passenger vehicles,
mini-vehicles, sport utility
vehicles (SUVs), vans,
trucks and automobile parts,
as well as the checking and
maintenance of new vehicles.
In addition, the company is
also engaged in the
financing business including
automobile sales financing
and leasing. It was founded
in 1970.</t>
  </si>
  <si>
    <t xml:space="preserve">4911
3511
3711</t>
  </si>
  <si>
    <t xml:space="preserve">United States
Japan
Japan</t>
  </si>
  <si>
    <t xml:space="preserve">MA
FF
FF</t>
  </si>
  <si>
    <t xml:space="preserve">WITRICITY CORP/IHI CORP{IHI}/MITSUBISHI MOTORS CORP-STRATEGIC ALLIANCE</t>
  </si>
  <si>
    <t xml:space="preserve">WiTricity Corp (WC), IHI Corp (IC) and Mitsubishi Motors Corp (MC) agreed
to form a strategic alliance for the research and development of electric
vehicle wireless charging system. Under the agreement, the alliance will
develop easily deployable wireless charging system that is compatible with
electric grids.</t>
  </si>
  <si>
    <t xml:space="preserve">97742X
J2398N
J44131</t>
  </si>
  <si>
    <t xml:space="preserve">Meiji Seika Pharma Co Ltd
Dong-A Pharmaceutical Co Ltd</t>
  </si>
  <si>
    <t xml:space="preserve">Mnfr,whl pharmaceuticals
Mnfr pharmaceuticals</t>
  </si>
  <si>
    <t xml:space="preserve">Meiji Seika Pharma Co Ltd,
headquartered in Tokyo, Japan,
manufactures and wholesales
ethical pharmaceuticals,
agricultural chemicals and
veterinary drugs. The company
was founded in 1916.
Dong-A Pharmaceutical Co Ltd,
located in Seoul, South Korea,
manufactures prescription
pharmaceuticals intended for
final consumption, including
biotech products and
antibiotics. The company was
founded in 1949.</t>
  </si>
  <si>
    <t xml:space="preserve">Meiji Holdings Co Ltd
Dong-A Pharmaceutical Co Ltd</t>
  </si>
  <si>
    <t xml:space="preserve">2026
2834</t>
  </si>
  <si>
    <t xml:space="preserve">MEIJI SEIKA PHARMA CO LTD/DONG-A PHARMACEUTICAL CO LTD-JOINT VENTURE</t>
  </si>
  <si>
    <t xml:space="preserve">Meiji Seika Pharma Co Ltd, a unit of Meiji Holdings Co Ltd, and Dong-A
Pharmaceutical Co Ltd agreed to form a joint venture to research, develop,
manufacture and sell biosimilars in Seoul, South Korea. The joint venture
plans to build a cGMP-compliant biopharmaceutical plant in Songdo region of
the Incheon Free Economic Zone.</t>
  </si>
  <si>
    <t xml:space="preserve">Health &amp; Medical Services
Research &amp; Development Services
Retail &amp; Wholesale Services</t>
  </si>
  <si>
    <t xml:space="preserve">58707X
25776R</t>
  </si>
  <si>
    <t xml:space="preserve">BN IMMUNOTHERAPEUTICS INC/NATIONAL CANCER INSTITUTE-STRATEGIC ALLIANCE</t>
  </si>
  <si>
    <t xml:space="preserve">BN ImmunoTherapeutics Inc and National Cancer Institute formed a strategic
alliance to provide research and development services. Under the agreement,
BN will develop vaccine for different types of cancer and a new platform
technology.</t>
  </si>
  <si>
    <t xml:space="preserve">Crocus Technology SA
IBM Corp</t>
  </si>
  <si>
    <t xml:space="preserve">Semiconductor and Related Device Manufacturing
Manufacture computer products</t>
  </si>
  <si>
    <t xml:space="preserve">Crocus Technology SA is a
manufacturer of semiconductors
and related device. The
Company was founded in 2006
and is located in Grenoble,
France.
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t>
  </si>
  <si>
    <t xml:space="preserve">CROCUS TECHNOLOGY SA/INTERNATIONAL BUSINESS MACHINES CORP{IBM}-STRATEGIC
ALLIANCE</t>
  </si>
  <si>
    <t xml:space="preserve">Crocus Technology SA (CT) and International Business Machines Corp (IB)
planned to forma strategic alliance to develop semiconductor technology. CT
and IB underwent patent license agreement which will give the two companies
mutual access to patents that will be used for the integration and of
magnetic technology with semiconductor products. Under the agreement, CT
and IB will develop semiconductor technology that combines CT's thermally
assisted next generation Magnetic-Logic-Unit(TM) (MLU) technology and IB's
magneto-resistive random access memory (MRAM) technology and processing
capabilities.</t>
  </si>
  <si>
    <t xml:space="preserve">22706V
459200</t>
  </si>
  <si>
    <t xml:space="preserve">Infineon Technologies AG
Bombardier Transportation Inc</t>
  </si>
  <si>
    <t xml:space="preserve">Manufactures,wholesales semiconductors
Mnfr railroad equip</t>
  </si>
  <si>
    <t xml:space="preserve">Infineon Technologies AG,
located in Neubiberg,
Germany, manufactures and
wholesales semiconductors
and related device. It has 4
business segments namely,
Automotive (ATV), Industrial
Power Control (IPC), Power
Management &amp; Multimarket
(PMM) and Digital Security
Solutions(DSS). Through its
ATV segment, it develops
products and solutions for
conventional drivetrains
such as insulated-gate
bipolar transistors (IGBT);
specializes in radar sensors
and microcontrollers being
used for self-driving cars;
develops LIDAR solutions for
radar systems automation;
automated controls for
steering and braking; and
host controllers for
functional safety and data
security for central
computing platforms. Through
its IPC segment, it develops
IGBT-based power
semiconductors, power
semiconductor modules,
Intelligent Power Modules
integrating controllers,
drivers, and switches. Thru
its PMM segment, it
specializes in power
semiconductors for energy
management and wireless
infrastructures for mobile
devices. Moreover, with its
DSS segment, it delivers
digital security solutions
through embedded security
applications. The Company
was founded in April 1999.
Bombardier Transportation
Inc, located in Quebec,
Canada, manufactures
railroad equipment, rail
vehicles, total transit
systems and propulsion and
controls. It also provides
vehicle refurbishment and
fleet maintenance services.</t>
  </si>
  <si>
    <t xml:space="preserve">Germany
Canada</t>
  </si>
  <si>
    <t xml:space="preserve">Infineon Technologies AG
Bombardier Inc</t>
  </si>
  <si>
    <t xml:space="preserve">INFINEON TECHNOLOGIES AG/BOMBARDIER TRANSPORTATION INC-STRATEGIC ALLIANCE</t>
  </si>
  <si>
    <t xml:space="preserve">Infineon Technologies AG (IT) and Bombardier Transportation Inc (BT) formed
a strategic alliance to supply BT with It's semiconductor products.
Furthermore, the alliance plans to develop railway drive electronics.</t>
  </si>
  <si>
    <t xml:space="preserve">Supply Services
Research &amp; Development Services</t>
  </si>
  <si>
    <t xml:space="preserve">45662N
09780V</t>
  </si>
  <si>
    <t xml:space="preserve">Flexpoint Sensor Systems Inc
Victor SrL</t>
  </si>
  <si>
    <t xml:space="preserve">Mnfr sensing tech prod
Mnfr automotive accessories</t>
  </si>
  <si>
    <t xml:space="preserve">Manufacture thin film sensing
technology which measures
mechanical movement, air flow,
water flow, or even vibration
for many industries, including
automotive, medical,
industrial controls, and
consumer products
Victor SrL, located in Verona
Italy, manufactures automotive
accessories like Steering
Wheels, Shift Knobs and
Decorative accessories.</t>
  </si>
  <si>
    <t xml:space="preserve">FLEXPOINT SENSOR SYSTEMS INC/VICTOR SRL-STRATEGIC ALLIANCE</t>
  </si>
  <si>
    <t xml:space="preserve">Flexpoint Sensor Systems Inc and Victor SrL formed a strategic alliance to
develop and market products that has FS's Bend Sensor(R) technology in the
auto, marine and truck industry in Europe.</t>
  </si>
  <si>
    <t xml:space="preserve">33938W
93506W</t>
  </si>
  <si>
    <t xml:space="preserve">Seoul National Univ Hospital
SK Telecom Co Ltd</t>
  </si>
  <si>
    <t xml:space="preserve">Own,operate hospitals
Pvd cellular telecommun svcs</t>
  </si>
  <si>
    <t xml:space="preserve">Seoul National University
Hospital is a hospital
operator. The Company was
founded in 1978 and is
located in Seoul, South
Korea.
SK Telecom Co Ltd,
headquartered in Seoul, South
Korea, provides cellular
telecommunication, wireless
internet, international
roaming, video telephony and
B2B services. The company was
established in 1984.</t>
  </si>
  <si>
    <t xml:space="preserve">8062
4812</t>
  </si>
  <si>
    <t xml:space="preserve">SEOUL NATIONAL UNIVERSITY HOSPITAL/SK TELECOM CO LTD-JOINT VENTURE</t>
  </si>
  <si>
    <t xml:space="preserve">Seoul National University Hospital (SN) and SK Telecom Co Ltd (SK) planned
to form a joint venture to research and develop future healthcare
convergence technology and services. SN was to hold a 50.5% interest in the
joint venture while SK was to hold the remaining 49.5% stake.</t>
  </si>
  <si>
    <t xml:space="preserve">50.50
49.50</t>
  </si>
  <si>
    <t xml:space="preserve">84178M
78440P</t>
  </si>
  <si>
    <t xml:space="preserve">SemBioSys Genetics Inc
Tianjin Tasly Pharm Co Ltd
Tasly Pharmaceuticals Inc</t>
  </si>
  <si>
    <t xml:space="preserve">Biotech co
Mnfr,whl pharm
Mnfr,hsl phar,a</t>
  </si>
  <si>
    <t xml:space="preserve">SemBioSys Genetics Inc,
located in Calgary, Alberta,
is a biotechnology company
that is engaged in the
manufacturing of proteins and
oils in plant seeds.
Tianjin Tasly Pharmaceutical
Co Ltd manufactures and
wholesales pharmaceuticals,
headquartered in China. The
products include herbal
medicine, chemical medicine,
health product, pharmaceutical
substances, herbal extract,
tea series, cosmetic series,
daily hygiene product series
and medical equipment. The
company was founded in 1994.
Tasly Pharmaceutical Inc
manufactures and wholesales
pharmaceuticals, headquartered
in Rockville, Maryland.</t>
  </si>
  <si>
    <t xml:space="preserve">Canada
China
United States</t>
  </si>
  <si>
    <t xml:space="preserve">FF
FF
MD</t>
  </si>
  <si>
    <t xml:space="preserve">SemBioSys Genetics Inc
Tianjin Tasly Pharm Co Ltd
Tianjin Tasly Pharm Co Ltd</t>
  </si>
  <si>
    <t xml:space="preserve">Canada
China
China</t>
  </si>
  <si>
    <t xml:space="preserve">SEMBIOSYS GENETICS INC/TIANJIN TASLY PHARMACEUTICAL CO LTD/TASLY
PHARMACEUTICALS INC-JOINT VENTURE</t>
  </si>
  <si>
    <t xml:space="preserve">SemBioSys Genetics Inc (SG), Tianjin Tasly Pharmaceutical Co Ltd (TT) and
Tasly Pharmaceuticals Inc (TP) formed a joint venture named Tasly-SemBioSys
Bio-Pharmaceutical, Technology Co Ltd to develop and commercialize
pharmaceutical, functional foods and nutraceutical products. Products
developed under this JV will utilize Tasly and SemBioSys' plant-based
technology and expertise.</t>
  </si>
  <si>
    <t xml:space="preserve">81661X
88664R
92015C</t>
  </si>
  <si>
    <t xml:space="preserve">MX Group SpA
Natcore Technology Inc</t>
  </si>
  <si>
    <t xml:space="preserve">Mnfr photovoltaic modules
Mnfr semiconductors</t>
  </si>
  <si>
    <t xml:space="preserve">MX Group SpA, located in
Villasanta, Italy produce high
quality photovoltaic modules.
The company's products and
services include Photovoltaic
Modules, Photovoltaic
Shelters, Solar Inverters,
Photovoltaic Easy Kits,
Mounting Structures,
Monitoring and Configurator.
Natcore Technology Inc, based
in Red Bank, New Jersey,
manufactures semiconductor and
fiberoptics including silicon
solar focusing on producing
alternative solar energy. The
company was incorporated in
British Columbia on August 9,
2007.</t>
  </si>
  <si>
    <t xml:space="preserve">MX GROUP SPA/NATCORE TECHNOLOGY INC-STRATEGIC ALLIANCE</t>
  </si>
  <si>
    <t xml:space="preserve">MX Group SpA and Natcore Technology Inc planned to form a joint venture to
Develop New Technologies For Consortium of Italian Solar Panel Producers.</t>
  </si>
  <si>
    <t xml:space="preserve">65921A
63228P</t>
  </si>
  <si>
    <t xml:space="preserve">Pratt &amp; Whitney Co
Rolls-Royce Holdings PLC</t>
  </si>
  <si>
    <t xml:space="preserve">Manufacture,wholesale aircraft engines
Mnfr,whl turbines,power systems; holding company</t>
  </si>
  <si>
    <t xml:space="preserve">Pratt &amp; Whitney Co, located
in East Harford,
Connecticut, manufactures
and wholesales aircraft
engines. It also offers
space propulsion systems and
industrial gas turbines. The
Company was founded in Jan
1925.
Rolls-Royce Holdings PLC,
located in London, UK,
manufactures and wholesales
turbines, power systems for
civil aerospace, defense
aerospace, marine and energy
markets. It also acts as a
holding company. The Company
was founded in 1904.</t>
  </si>
  <si>
    <t xml:space="preserve">3724
3511</t>
  </si>
  <si>
    <t xml:space="preserve">United Technologies Corp
Rolls-Royce Holdings PLC</t>
  </si>
  <si>
    <t xml:space="preserve">PRATT &amp; WHITNEY CO/ROLLS-ROYCE HOLDINGS PLC-JOINT VENTURE</t>
  </si>
  <si>
    <t xml:space="preserve">Pratt &amp; Whitney Co (PW) and Rolls-Royce Holdings PLC (RR) terminated their
plans to form a joint venture. Previously in December 2011, PW and RR
agreed to form a joint venture to develop new engines for the next
generation aircraft that would be based on high bypass ratio geared
turbofan(TM) technology. PW and RR were to each hold 50% interest in the
JV.</t>
  </si>
  <si>
    <t xml:space="preserve">73986Q
775781</t>
  </si>
  <si>
    <t xml:space="preserve">Applied Energetics Inc
Laser Light Technologies Inc</t>
  </si>
  <si>
    <t xml:space="preserve">Mnfr directed energy weapons
Pvd laser micromachining svcs</t>
  </si>
  <si>
    <t xml:space="preserve">Manufacture directed energy
weapons, which in the
non-lethal mode can direct
electrical discharges, through
the atmosphere, to disable
vehicles, such as cars, trucks
or boats, without harming the
vehicle occupants
Laser Light Technologies Inc,
located in Hermann, Missouri,
provides high technology
micromachining services and
research and development. The
company's services include
Laser Drilling, Laser Cutting,
Coating Removal,
Marking/Engraving and 3D
Machining. Laser Light
Technologies Inc was founded
in 1985.</t>
  </si>
  <si>
    <t xml:space="preserve">3699
3674</t>
  </si>
  <si>
    <t xml:space="preserve">AZ
MO</t>
  </si>
  <si>
    <t xml:space="preserve">APPLIED ENERGETICS INC/LASER LIGHT TECHNOLOGIES INC-STRATEGIC ALLIANCE</t>
  </si>
  <si>
    <t xml:space="preserve">Applied Energetics Inc (AE) and Laser Light Technologies Inc (LL) formed a
strategic alliance to develop ultrashort pulse lasers and processes for the
laser micromachining. Under the agreement, AE will provide LL with the
ultrashort pulse laser while LL will provide expertise on micromachining
materials.</t>
  </si>
  <si>
    <t xml:space="preserve">03715E
51851X</t>
  </si>
  <si>
    <t xml:space="preserve">Immunobiology Ltd
LIBP</t>
  </si>
  <si>
    <t xml:space="preserve">Research,dvlp vaccines
Biotechnology company</t>
  </si>
  <si>
    <t xml:space="preserve">Immunobiology Ltd,
headquartered in Cambridge,
UK, provides research and
development services of
vaccines for infectious
diseases.
Lanzhou Institute of
Biological Products{LIBP} is
a biotechnology company
headquartered in Lanzhou,
China. It is engaged in the
research and development,
manufacture and marketing of
biological products. The
company was founded in 1934.</t>
  </si>
  <si>
    <t xml:space="preserve">United Kingdom
China</t>
  </si>
  <si>
    <t xml:space="preserve">IMMUNOBIOLOGY LTD/LANZHOU INSTITUTE OF BIOLOGICAL PRODUCTS-STRATEGIC
ALLIANCE</t>
  </si>
  <si>
    <t xml:space="preserve">Immunobiology Ltd and Lanzhou Institute of Biological Products{LIBP} formed
a strategic alliance, to research and develop T-Biovax vaccine for
Tuberculosis.</t>
  </si>
  <si>
    <t xml:space="preserve">45127V
51672J</t>
  </si>
  <si>
    <t xml:space="preserve">Eisai Inc
Johns Hopkins University</t>
  </si>
  <si>
    <t xml:space="preserve">Mnfr,dvlp,whl pharm
Own,op college,university</t>
  </si>
  <si>
    <t xml:space="preserve">Eisai Inc, located in
Woodcliff Lake, New Jersey,
manufactures, develops and
sells pharmaceuticals for
the treatment of
Alzheimer's disease and
gastrointestinal disorders.
Its products include
Aricept, Aciphex, Zonegran
and Fragmin. The Company was
founded in 1981.
Johns Hopkins University,
located in Baltimore,
Maryland, owns and operates a
college/university. Founded in
1876.</t>
  </si>
  <si>
    <t xml:space="preserve">Eisai Co Ltd
Johns Hopkins University</t>
  </si>
  <si>
    <t xml:space="preserve">EISAI INC/JOHNS HOPKINS UNIVERSITY-STRATEGIC ALLIANCE</t>
  </si>
  <si>
    <t xml:space="preserve">Eisai Inc. and Johns Hopkins University renegotiated their strategic
alliance agreement to collaborate on drug discovery research to offer
patients innovative drug treatments that result from open innovation. Under
the new agreement John Hopkins University has licensed Eisai Inc. it's
intellectual property for further research, development and
commercialization of a product based on the researched compounds.
Originally in October of 2017, Eisai Inc. and Johns Hopkins University
formed a strategic alliance.</t>
  </si>
  <si>
    <t xml:space="preserve">Licensing Services
Exclusive Licensing Services
Research &amp; Development Services
Supply Services
Health &amp; Medical Services</t>
  </si>
  <si>
    <t xml:space="preserve">28262Y
47810P</t>
  </si>
  <si>
    <t xml:space="preserve">Metabolon Inc
Shanghai Jiao Tong University</t>
  </si>
  <si>
    <t xml:space="preserve">Research and Development in Biotechnology
Own,op college,univ</t>
  </si>
  <si>
    <t xml:space="preserve">Metabolon Inc, located in
Morrisville, North Carolina,
provides biochemical
profiling services. Its
services include
metabolomics-driven
biocehmical profiling,
pharmacuetical and
biotechnology research,
diagnostics and various
metabolomic-related consumer
products. The Company was
founded in 2000.
Shanghai Jiao Tong University
located in China, is an owner
and operator of college and
university.</t>
  </si>
  <si>
    <t xml:space="preserve">METABOLON INC/SHANGHAI JIAO TONG UNIVERSITY-JOINT VENTURE</t>
  </si>
  <si>
    <t xml:space="preserve">SJTU-Metabolon Joint
Metabolomics Laboratory.
headquartered in Shanghai,
China, owns and operates a
biochemical profiling
laboratory.</t>
  </si>
  <si>
    <t xml:space="preserve">Metabolon Inc and Shanghai Jiao Tong University formed a joint venture
named SJTU-Metabolon Joint Metabolomics Laboratory to own and operate a
biochemical profiling laboratory in Shanghai, China.</t>
  </si>
  <si>
    <t xml:space="preserve">06502K</t>
  </si>
  <si>
    <t xml:space="preserve">59223M
81961T</t>
  </si>
  <si>
    <t xml:space="preserve">Meritor WABCO Vehicle Control
TK Holdings Inc</t>
  </si>
  <si>
    <t xml:space="preserve">Mnfr brake systems
Motor Vehicle Supplies and New Parts Merchant Wholesalers</t>
  </si>
  <si>
    <t xml:space="preserve">Meritor WABCO Vehicle Control
Systems, located in Troy,
Michigan, is a manufacturer of
engine parts.
TK Holdings Inc, located in
Auburn Hills, Michigan is a
motor vehicle supplies and
parts wholesaler. The Company
was founded in 1989.</t>
  </si>
  <si>
    <t xml:space="preserve">3714
5013</t>
  </si>
  <si>
    <t xml:space="preserve">Meritor Inc
TKJ</t>
  </si>
  <si>
    <t xml:space="preserve">MERITOR WABCO VEHICLE CONTROL SYSTEMS/TK HOLDINGS INC-STRATEGIC ALLIANCE</t>
  </si>
  <si>
    <t xml:space="preserve">Meritor WABCO Vehicle Control Systems (MW) and TK Holdings, Inc (TK) signed
letter of intent to form strategic alliance for the development of safety
systems products for commercial vehicles in the US. Under the agreement, MW
will distribute TK's Truck Interface Module (TIM) and Fleet Management
Portal.</t>
  </si>
  <si>
    <t xml:space="preserve">59001Y
87212N</t>
  </si>
  <si>
    <t xml:space="preserve">Thorne Research Inc
Indena SPA</t>
  </si>
  <si>
    <t xml:space="preserve">Manufactures,wholesales dietary supplements
Pharmaceutical Preparation Manufacturing</t>
  </si>
  <si>
    <t xml:space="preserve">Thorne Research Inc, located
in New York, New York,
manufactures and wholesales
premium hypoallergenic
dietary supplements. Its
products include: aging,
antioxidants/flavonoids,
circulatory support,
cognitive support,
detoxification support,
essential fatty acids,
gastrointestinal support,
immune support and other
health products. The Company
was founded in 1984.
Indena SPA ispecializes in
identification, development
and production of active
principles derived from
plants, for use in the
pharmaceutical, health-food
and personal care
industries. The Company was
founded in December 1980 and
is located in Milano, Italy.</t>
  </si>
  <si>
    <t xml:space="preserve">THORNE RESEARCH INC/INDENA SPA-STRATEGIC ALLIANCE</t>
  </si>
  <si>
    <t xml:space="preserve">Thorne Research Inc and Indena SpA formed a strategic alliance to develop
clinically validated botanical ingredients for dietary supplements,.</t>
  </si>
  <si>
    <t xml:space="preserve">88505Z
45338V</t>
  </si>
  <si>
    <t xml:space="preserve">Air Products &amp; Chemicals Inc
Huazhong University of Science</t>
  </si>
  <si>
    <t xml:space="preserve">Manufacture,whl gases,chemical
Own,op college,university</t>
  </si>
  <si>
    <t xml:space="preserve">Air Products &amp; Chemicals
Inc, located in Allentown,
Pennsylvania, manufactures
and wholesales gases and
chemicals for industrial
uses. It offers products
such as atmospheric gases,
hydrogen, helium, specialty
gases, polymer emulsions,
polyvinyl alcohol, specialty
additives, polyurethane
intermediates, alkyl amines,
and industrial organic
chemicals. Its products also
include machineries and
equipment for gas supply and
applications, liquid
automation, and electronic
gas welding. It also owns
and operates cogeneration
plants and provides fuel gas
desulphurization, landfill
gas recovery,
waste-to-energy conversion
and other energy systems
services. It also provides
chemical engineering and
plant construction
contracting services. It has
offices located in the UK,
Singapore, Netherlands,
China, and Hong Kong. The
Company was founded in 1940.
Huazhong University of Science
&amp; Technology, located in
China, owns and operates
college and university. The
university was founded in
2000.</t>
  </si>
  <si>
    <t xml:space="preserve">2813
8221</t>
  </si>
  <si>
    <t xml:space="preserve">AIR PRODUCTS &amp; CHEMICALS INC/HUAZHONG UNIVERSITY OF
SCIENCE&amp;TECHNOLOGY-STRATEGIC ALLIANCE</t>
  </si>
  <si>
    <t xml:space="preserve">Air Products Chemicals Inc and Huazhong University of Science Technology
formed a strategic alliance to provide research and development services.</t>
  </si>
  <si>
    <t xml:space="preserve">009158
44330K</t>
  </si>
  <si>
    <t xml:space="preserve">miRagen Therapeutics
Les Laboratoires Servier SAS</t>
  </si>
  <si>
    <t xml:space="preserve">Mnfr miRNA-based therapeutics
Manufacture,wholesale drugs</t>
  </si>
  <si>
    <t xml:space="preserve">miRagen Therapeutics,
headquartered in Boulder,
Colorado, manufactures miRNA
(microRNA)-based therapeutics
for the treatment of
cardiovascular and skeletal
muscle disease. The company
was founded in 2007.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</si>
  <si>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MIRAGEN THERAPEUTICS/SERVIER SA-STRATEGIC ALLIANCE</t>
  </si>
  <si>
    <t xml:space="preserve">miRagen Therapeutics (MT) and Servier SA9 SS0 formed a strategic alliance
for the reserch and development of three drugs candiadtes for
cardiovascular disease including MT's miR-208 (MGN-9103) and miR-15/195
(MGN-1374). MT is entitled to receive USD 45 mil as upfront, research
support, near-term milestone and royalty payments. As well as regulatory
and commercial milestones of approximately USD 352 mil on product sales
outside the US and Japan.</t>
  </si>
  <si>
    <t xml:space="preserve">MT is entitled to receive USD 45 mil as upfront, research support,
near-term milestone and royalty payments. As well as regulatory and
commercial milestones of approximately USD 352 mil on product sales outside
the US and Japan.</t>
  </si>
  <si>
    <t xml:space="preserve">60495M
81764A</t>
  </si>
  <si>
    <t xml:space="preserve">Zhejiang Hisun Pharm Co Ltd
He Wei</t>
  </si>
  <si>
    <t xml:space="preserve">Mnfr,whl pharmaceuticals
Individual</t>
  </si>
  <si>
    <t xml:space="preserve">Zhejiang Hisun
Pharmaceutical Co Ltd is a
manufacturer and wholesaler
of pharmaceutical
preparation. The Company was
founded in 1956 and is
located in Taizhou, China.
Individual</t>
  </si>
  <si>
    <t xml:space="preserve">ZHEJIANG HISUN PHARMACEUTICAL CO LTD/HE WEI-JOINT VENTURE</t>
  </si>
  <si>
    <t xml:space="preserve">Zhejiang Hisun Pharmaceutical Ltd (Zhejiang Hisun) and He Wei(H Wei)
planned to form a joint venture to manufacture injections; to provide
research and development services of new medicines in China. The joint
venture was to be known as DTRM BIOPHARMA Co Ltd. Zhejiang Hisun was to
hold 73.4% of the joint venture for CNY 73.4 mil (USD 11.504 mil). H Wei
was to hold the remaining 26.6%. Zhejiang expects to build two(2) injection
production lines with an annual capacity of 15 million injections. The
construction was to be done within 18 months.</t>
  </si>
  <si>
    <t xml:space="preserve">73.40
26.60</t>
  </si>
  <si>
    <t xml:space="preserve">Zhejiang Hisun was to hold 73.4% of the joint venture for CNY 73.4 mil (USD
11.504 mil).</t>
  </si>
  <si>
    <t xml:space="preserve">Y9891W
98451N</t>
  </si>
  <si>
    <t xml:space="preserve">TUEV Sued AG
LION E-Mobility AG</t>
  </si>
  <si>
    <t xml:space="preserve">Provide testing services
Other Motor Vehicle Electrical and Electronic Equipment Manufacturing</t>
  </si>
  <si>
    <t xml:space="preserve">TUEV Sued AG, located in
Munich, Germany, provides
testing services. The
Company operates in the
industry, mobility and
people business segments.
Its range of services
embraces consultancy,
inspection, tests and expert
reports as well as
certification and training.
The Company was founded in
1866.
LION E-Mobility AG, located in
Zug, Switzerland,
manufactures, designs battery
systems for the electric
automobile industry.</t>
  </si>
  <si>
    <t xml:space="preserve">8734
3694</t>
  </si>
  <si>
    <t xml:space="preserve">TUEV SUED AG/LION E-MOBILITY AG-JOINT VENTURE</t>
  </si>
  <si>
    <t xml:space="preserve">TUEV Sued AG and LION E-Mobility AG formed a joint venture named TUEV SUED
Battery Testing GmbH.</t>
  </si>
  <si>
    <t xml:space="preserve">89906E
8A4987</t>
  </si>
  <si>
    <t xml:space="preserve">Applied Composites Aktiebolag
Korean Air Lines Co Ltd</t>
  </si>
  <si>
    <t xml:space="preserve">Mnfr composite prod
Pvd air transp svcs</t>
  </si>
  <si>
    <t xml:space="preserve">Applied Composites Aktiebolag
AB, located in Linkoeping,
manufactures composite
products for the industrial
and military sector. The
companys services include
product development, design,
testing, qualification,
production and maintenance
catering to the Nordic
countries. The company was
founded in 1988.
Korean Air Lines Co Ltd,
located in Seoul, South
Korea. is a Korea-based
company engaged in the
passenger airline
transportation business. Its
principal activities consist
of the provision of domestic
and international airline
services; the production of
aircrafts; the provision of
military aircraft
maintenance and upgrade
services, and the
development of satellites
and unmanned aerial
vehicles. It is also
provides in-flight meals and
commodities for third
parties, as well as cargo
transportation business. In
addition, it operates hotels
and provides limousine
services. Through its
subsidiaries, it provides
information technology (IT)
services, travel services,
properties leasing, sale of
limestone, air auxiliary
transport services,
securities investment and
others. On August 6, 2014,
the Comapny and two related
parties'' stake in the
Hanjin Shipping Holdings
Co., Ltd decreased to 0%. It
was founded in 1969..</t>
  </si>
  <si>
    <t xml:space="preserve">3724
4512</t>
  </si>
  <si>
    <t xml:space="preserve">Sweden
South Korea</t>
  </si>
  <si>
    <t xml:space="preserve">Volvo AB
Korean Air Lines Co Ltd</t>
  </si>
  <si>
    <t xml:space="preserve">3711
4512</t>
  </si>
  <si>
    <t xml:space="preserve">APPLIED COMPOSITES AKTIEBOLAG AB/KOREAN AIR LINES CO LTD-STRATEGIC
ALLIANCE</t>
  </si>
  <si>
    <t xml:space="preserve">Applied Composites Aktiebolag AB, a unit of AB Volvo's Volvo Aero AB signed
an agreement to form a strategic alliance to develop radomes, wing
structures and other composite components.</t>
  </si>
  <si>
    <t xml:space="preserve">03909T
50063M</t>
  </si>
  <si>
    <t xml:space="preserve">Ipsen SA
Syntaxin Ltd</t>
  </si>
  <si>
    <t xml:space="preserve">Ipsen SA, located in Paris,
France, is a manufacturer of
pharmaceutical preparation.
It manufactures prescription
pharmaceuticals used in
therapeutic areas in
Oncology, endocrinology and
neuromuscular disorders. Its
products include Decapeptyl,
Somatuline, NutropinAq,
Testim and Dysport. It also
offers products on primary
care which includes the
areas of gastroenterology,
cardiovascular and cognitive
disorders. The Company was
founded in 1929.
Syntaxin Ltd, located in UK,
is a biotechnology company
focused on discovering
treatment for therapeutic
diseases.</t>
  </si>
  <si>
    <t xml:space="preserve">Mayroy SA
Syntaxin Ltd</t>
  </si>
  <si>
    <t xml:space="preserve">Luxembourg
United Kingdom</t>
  </si>
  <si>
    <t xml:space="preserve">IPSEN SA/SYNTAXIN LTD-STRATEGIC ALLIANCE</t>
  </si>
  <si>
    <t xml:space="preserve">Ipsen SA (IS) and Syntaxin Ltd (SL) formed a strategic alliance for the
research and development of botulinum toxins. Under the agreement, SL is
entitled to receive research milestone payment up to USD 9 mil as well as
technology access fee and full time employee support in the first three
years of the alliance. Furthermore, SL will receive additional license
fees, development and regulatory milestones that amounts to USD 90 mil
inclusive of royalties on net sales. IS on the other hand, will be in
charged of the worldwide development and commercialization of the toxins.</t>
  </si>
  <si>
    <t xml:space="preserve">SL is entitled to receive research milestone payment up to USD 9 mil in the
first three years of the alliance. Furthermore, SL will receive additional
license fees, development and regulatory milestones that amounts to USD 90
mil inclusive of royalties on net sales.</t>
  </si>
  <si>
    <t xml:space="preserve">44837P
87715R</t>
  </si>
  <si>
    <t xml:space="preserve">Proton Holdings Berhad
Hawtai Motor Group Co Ltd</t>
  </si>
  <si>
    <t xml:space="preserve">Manufacture,whl motor vehicles
Mnfr motor vehicles</t>
  </si>
  <si>
    <t xml:space="preserve">Proton Holdings Berhad,
located in Selagor Darul
Ehsan, Malaysia,
manufacturer and wholesaler
of motor vehicles. It is
also engaged in
manufacturing and
wholesaling of automotive
parts and supplies. The
company was founded on May
07, 1983.
Hawtai Motor Group Co Ltd is a
manufacturer and wholesaler of
automobiles. The Company was
founded in May 2008 and is
located in Beijing, China.</t>
  </si>
  <si>
    <t xml:space="preserve">PROTON HOLDINGS BHD/HAWTAI MOTOR GROUP CO LTD-STRATEGIC ALLIANCE</t>
  </si>
  <si>
    <t xml:space="preserve">Proton Holdings Bhd and Hawtai Motor Group Ltd signed a Memorandum of
Understanding to develop new car models in China.</t>
  </si>
  <si>
    <t xml:space="preserve">69601R
42058C</t>
  </si>
  <si>
    <t xml:space="preserve">Silence Therapeutics PLC
Mirna Therapeutics Inc</t>
  </si>
  <si>
    <t xml:space="preserve">Silence Therapeutics PLC,
located in London, UK is a
biotechnology company. The
company is engaged in the
research and development of
pharmaceutical products
focusing on the development
of its ribonucleic acid
interference (RNAi)
technology, which is moving
from the pre-clinical into
clinical development phase.
The company was founded in
1992.
Mirna Therapeutics Inc is a
biopharmaceutical company
developing microRNA-based
oncology therapeutics.
microRNAs are naturally
occurring, short ribonucleic
acid, or RNA, molecules, or
oligonucleotides, tht ply a
critical role in regulating
key biological pathways. The
company was founded in 2007
and is located in Austin,
Texas.</t>
  </si>
  <si>
    <t xml:space="preserve">SILENCE THERAPEUTICS PLC/MIRNA THERAPEUTICS INC-STRATEGIC ALLIANCE</t>
  </si>
  <si>
    <t xml:space="preserve">Silence Therapeutics PLC (ST) and Mirna Therapeutics Inc (MT) formed a
strategic alliance to develop candidate drugs. Under the agreement, MT will
provide ST with miRNA sequences which ST will integrate with AtuPLEX and
DBTC delivery systems for the development of the drugs.</t>
  </si>
  <si>
    <t xml:space="preserve">82409N
60470J</t>
  </si>
  <si>
    <t xml:space="preserve">GlaxoSmithKline PLC
The University of Edinburgh</t>
  </si>
  <si>
    <t xml:space="preserve">Pharmaceutical Preparation Manufacturing
Own,op univ</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</si>
  <si>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The University of Edinburgh,
located in Edinburgh, UK,
owns and operates a
university. The company was
founded in 1582.</t>
  </si>
  <si>
    <t xml:space="preserve">GLAXOSMITHKLINE PLC/THE UNIVERSITY OF EDINBURGH-STRATEGIC ALLIANCE</t>
  </si>
  <si>
    <t xml:space="preserve">GlaxoSmithKline PLC and The University of Edinburgh formed a strategic
alliance to develop pancreatitis drugs.</t>
  </si>
  <si>
    <t xml:space="preserve">37733W
28060F</t>
  </si>
  <si>
    <t xml:space="preserve">Foundation Medicine Inc
Johnson &amp; Johnson Pharm</t>
  </si>
  <si>
    <t xml:space="preserve">Own,op cancer diagnostics co
Pvd pharm research svcs</t>
  </si>
  <si>
    <t xml:space="preserve">Foundation Medicine Inc,
located in Cambridge,
Massachusetts, own and
operates cancer diagnostics
company. The company
developed a next-generation
sequencing platform to
determine the best possible
way to treat cancer based on
each patient's unique
cancer-associated qualities
as well as publicly
available scientific and
medical information. The
company was founded in
November 2009.
Provide pharmaceutical
research services</t>
  </si>
  <si>
    <t xml:space="preserve">Foundation Medicine Inc
J&amp;J</t>
  </si>
  <si>
    <t xml:space="preserve">FOUNDATION MEDICINE INC/JOHNSON &amp; JOHNSON PHARMACEUTICAL RESEARCH &amp;
DEVELOPMENT LLC-STRATEGIC ALLIANCE</t>
  </si>
  <si>
    <t xml:space="preserve">Foundation Medicine Inc and Johnson Johnson Pharmaceutical Research
Development LLC formed a strategic alliance to development of JJs oncology
clinical programs utilizing FMs comprehensive clinical cancer genomic
test.</t>
  </si>
  <si>
    <t xml:space="preserve">350465
47821C</t>
  </si>
  <si>
    <t xml:space="preserve">Life Technologies Corp
GlaxoSmithKline Biologicals SA</t>
  </si>
  <si>
    <t xml:space="preserve">Biotechnology company
Mnfr vaccines</t>
  </si>
  <si>
    <t xml:space="preserve">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
GlaxoSmithKline Biologicals
SA, located in Rixensart,
Belgium, manufactures vaccines
and provides vaccines
development research services.
The company was founded in
1945.</t>
  </si>
  <si>
    <t xml:space="preserve">Life Technologies Corp
GlaxoSmithKline PLC</t>
  </si>
  <si>
    <t xml:space="preserve">LIFE TECHNOLOGIES CORP/GLAXOSMITHKLINE BIOLOGICALS SA-STRATEGIC ALLIANCE</t>
  </si>
  <si>
    <t xml:space="preserve">Life Technologies Corp and GlaxoSmithKline Biologicals SA formed a
strategic alliance to develop a diagnostic substance for candidate cancer
immunotherapy. Under the agreement, LT will develop candidate cancer
immunotherapy to utilized in GB's MAGE-A3 cancer immunotherapy candidate.</t>
  </si>
  <si>
    <t xml:space="preserve">53217V
37730R</t>
  </si>
  <si>
    <t xml:space="preserve">SwitchGear Genomics Inc
New England BioLabs Inc</t>
  </si>
  <si>
    <t xml:space="preserve">SwitchGear Genomics Inc
provides research and
development services. The
company is headquartered in
Menlo Park, California.
SwitchGear develops innovative
products related to the
research and development in
the human genome field. The
company's services include
Pathway Screening, Sequence
Variant Assay and miRNA Target
Validation. Its products
include 3UTR controls,
LightSwitch miRNA Mimics and
Inhibitors, Synthetic miRNA
targets, FuGENE HD
Transfection Reagent,
LightSwitch Luciferase Assay
Kits, LightSwitch Dual Assay
System and LightSwitch
Transfection Optimization Kit.
The company was founded in
2006.
New England BioLabs Inc,
located in Ipswich,
Massachusetts, is a
biotechnology company. The
company was founded in 1970.</t>
  </si>
  <si>
    <t xml:space="preserve">SWITCHGEAR GENOMICS INC/NEW ENGLAND BIOLABS INC-STRATEGIC ALLIANCE</t>
  </si>
  <si>
    <t xml:space="preserve">SwitchGear Genomics Inc (SG) and New England Biolabs, Inc (NE) formed a
strategic alliance to develop a dual reporter assay system. This system
will integrate SG's LightSwitch(TM) Luciferase Assay System and NE's
BioLux(R) Cypridina Luciferase Assay technology that will enable studies
using cell lines.</t>
  </si>
  <si>
    <t xml:space="preserve">91605F
64385T</t>
  </si>
  <si>
    <t xml:space="preserve">China Electric Power Equipment
Alstom SA</t>
  </si>
  <si>
    <t xml:space="preserve">Mnfr electric power equipment
Manufacture,wholesale power generation equipment</t>
  </si>
  <si>
    <t xml:space="preserve">China Electric Power Equipment
&amp; Technology Co Ltd, located
in China, manufactures
electric power equipment and
technology.
Alstom SA, located in
Levallois Perret, France,
manufactures and wholesales
power generation equipment.
Its products and services
include steam turbines, gas
turbines and hydroelectric
turbines for nuclear power
plants, rolling stock
including light rail
transit, metro systems,
suburban and regional
trains, urban transport
solutions covering control
centers, automatic train
protection and operation for
driverless trains featuring
point machines, signaling
equipment and switching
systems. The company was
founded in 1928.</t>
  </si>
  <si>
    <t xml:space="preserve">3559
3511</t>
  </si>
  <si>
    <t xml:space="preserve">State Grid Corp Of China
Alstom SA</t>
  </si>
  <si>
    <t xml:space="preserve">4911
3511</t>
  </si>
  <si>
    <t xml:space="preserve">CHINA ELECTRIC POWER EQUIPMENT &amp; TECHNOLOGY CO LTD/ALSTOM SA-STRATEGIC
ALLIANCE</t>
  </si>
  <si>
    <t xml:space="preserve">China Electric Power Equipment &amp; Technology Co Ltd and Alstom SA signed an
agreement to form a strategic alliance to develop and manufacture 1100 kV
and 800 kV converter transformer technology.</t>
  </si>
  <si>
    <t xml:space="preserve">16808L
021244</t>
  </si>
  <si>
    <t xml:space="preserve">Immune Design Corp
Sanofi SA</t>
  </si>
  <si>
    <t xml:space="preserve">Immunotherapy company
Manufactures pharmaceuticals products</t>
  </si>
  <si>
    <t xml:space="preserve">Immune Design Corp,
headquartered in Seattle,
Washington, is an
immunotherapy company with
next-generation in vivo
approaches designed to
enable the body's immune
system to fight disease. It
has engineered its
technologies to activate the
immune system's natural
ability to create
tumor-specific cytotoxic T
cells, or CTLs, to fight
cancer. It is developing
multiple product candidates
from its two discovery
platforms, DCVex and GLAAS,
which believe to have the
potential to treat a broad
patient population. Its
product candidates, LV305,
CMB305 and G100, utilize
multiple immuno-oncology
approaches. The company was
founded in 2008.
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t>
  </si>
  <si>
    <t xml:space="preserve">IMMUNE DESIGN CORP/SANOFI-STRATEGIC ALLIANCE</t>
  </si>
  <si>
    <t xml:space="preserve">Immune Design Corp (ID) and Sanofi SA (SS) formed a strategic alliance to
provide research services. Under the agreement, SS will be given access to
ID's GLA technology, for the evaluation of the biological and immunological
properties of this TLR-4 agonist in vitro and in allergy disease models.
From this evaluation SS will have an option to choose drug candidates for
further development.</t>
  </si>
  <si>
    <t xml:space="preserve">45252L
80105N</t>
  </si>
  <si>
    <t xml:space="preserve">Oxford BioMedica PLC
Mayo Clinic</t>
  </si>
  <si>
    <t xml:space="preserve">Manufacture pharmaceutical products
Provides medical care and research services</t>
  </si>
  <si>
    <t xml:space="preserve">Oxford BioMedica PLC is a
manufacturer of
pharmaceutical preparation.
The Company was founded in
1995 and is located in
Oxford, the United Kingdom.
Mayo Foundation for Medical
Education &amp; Research,
located in Rochester,
Minnesota, provides medical
care and research services.
The Company has offices in
Florida, and Arizona. The
Company's services include
solution-oriented products
and services designed to
improve people's health
like for population health
management (health risk
assessment, behavior change
programs and self-care
tools), consumer health
education books and
newsletters), health
benefits administration
(third-party administration,
health savings accounts and
pharmacy benefit
management), pharmacy
services, and medical
supplies. The Company was
founded in 1836.</t>
  </si>
  <si>
    <t xml:space="preserve">OXFORD BIOMEDICA PLC/MAYO CLINIC-STRATEGIC ALLIANCE</t>
  </si>
  <si>
    <t xml:space="preserve">Oxford BioMedica plc (OB) and Mayo Clinic (MC) formed a strategic alliance
for the research and development of gene therapy for the treatment of
chronic glaucoma. Under the alliance, OB and MC will use OB's
LentiVector(R) gene delivery technology and a PGF-2&lt;ALPHA&gt; receptor gene
for the pre-clinical development of the drug.</t>
  </si>
  <si>
    <t xml:space="preserve">69140J
57847P</t>
  </si>
  <si>
    <t xml:space="preserve">NanoSmart Pharmaceuticals Inc
Children's Hospital Los</t>
  </si>
  <si>
    <t xml:space="preserve">Biotechnology company
Own,op specialty hospital</t>
  </si>
  <si>
    <t xml:space="preserve">NanoSmart Pharmaceuticals
Inc is a biotechnology
company headquartered in
Laguna Hills, California.
The Company develops next
generation immunoliposomal
drugs, these are drugs that
are focused on the treatment
of tumor and cancer.
Own and operate specialty
hospital focusing on children'
s health care</t>
  </si>
  <si>
    <t xml:space="preserve">2836
8069</t>
  </si>
  <si>
    <t xml:space="preserve">NANOSMART PHARMACEUTICALS INC/CHILDREN'S HOSPITAL LOS ANGELES-STRATEGIC
ALLIANCE</t>
  </si>
  <si>
    <t xml:space="preserve">NanoSmart Pharmaceuticals Inc (NP) and Children's Hospital Los Angeles (CH)
formed a strategic alliance for the development of NP's novel drug-delive</t>
  </si>
  <si>
    <t xml:space="preserve">63338Z
16875Z</t>
  </si>
  <si>
    <t xml:space="preserve">Roche Diabetes Care
Dexcom Inc</t>
  </si>
  <si>
    <t xml:space="preserve">Dvlp glucose monitoring system
Manufacture medical device</t>
  </si>
  <si>
    <t xml:space="preserve">Roche Diabetes Care develops
glucose monitoring systems and
diabetes management systems
and services. The company's
brands include the ACCU-CHEK
portfolio which is composed of
innovative products, services
and comprehensive solutions
for convenient, efficient and
effective diabetes management
as well as blood glucose
meters, infusion pumps,
lancing and data management
systems.
Dexcom Inc, located in San
Diego, California, is a
medical device company
focused on the design and
development of continuous
glucose monitoring systems
for people with diabetes. It
offers FDA approved
Short-Term Continuous
Glucose Monitoring System
(STS), which includes a
disposable sensor that can
be inserted by a patient and
used continuously for up to
three days, a transmitter,
and a small cell phone-sized
receiver. The Company was
founded in 1999.</t>
  </si>
  <si>
    <t xml:space="preserve">Roche Holdings AG
Dexcom Inc</t>
  </si>
  <si>
    <t xml:space="preserve">ROCHE DIABETES CARE/DEXCOM INC-STRATEGIC ALLIANCE</t>
  </si>
  <si>
    <t xml:space="preserve">Roche Diabetes Care (RD) and DexCom Inc (DI) formed a strategic alliance
for the research and development of medical monitoring systems. Under the
alliance, RD will integrate its Accu-Chek insulin delivery systems with
DI's Seven Plus Continuous Glucose Monitoring (CGM) system that will enable
users to see their blood glucose data and insulin information. Furthermore,
RD will sell DI's Seven Plus Continuous Glucose Monitoring (CGM) system to
healthcare providers in the US.</t>
  </si>
  <si>
    <t xml:space="preserve">77114Q
252131</t>
  </si>
  <si>
    <t xml:space="preserve">Procter &amp; Gamble Co
Teva Pharm Inds Ltd</t>
  </si>
  <si>
    <t xml:space="preserve">Manufactures and wholesales beauty care products
Pharmaceutical Preparation Manufacturing</t>
  </si>
  <si>
    <t xml:space="preserve">Procter &amp; Gamble Co,
headquartered in Cincinnati,
Ohio, manufactures and
wholesales beauty care
products. It also
distributes and markets
cosmetics, deodorants,
feminine care, fragrances,
hair care and colorants and
skin products, oral care,
pharmaceuticals, household
cleaning items like fabric,
dish, air and commercial
cares products, diapers,
baby wipes, bath tissue,
kitchen towels and facial
tissue, blades and razors,
batteries and small
appliances, and produce
coffee, pet health food, and
potato chips snack and
beverages. It also acts as a
holding company. The Company
was founded in 1837.
Teva Pharmaceutical
Industries Ltd is a
manufacturer of
pharmaceutical preparation.
The Company was founded in
1901 and is located in
Petach Tikva, Israel.</t>
  </si>
  <si>
    <t xml:space="preserve">2841
2834</t>
  </si>
  <si>
    <t xml:space="preserve">PROCTER &amp; GAMBLE CO/TEVA PHARMACEUTICAL INDUSTRY LTD(DNU)- JOINT VENTURE</t>
  </si>
  <si>
    <t xml:space="preserve">Procter Gamble Co and Teva Pharmaceutical Industries Ltd planned to form a
51:49 joint venture named PGT Healthcare to market and develop
over-the-counter drugs.</t>
  </si>
  <si>
    <t xml:space="preserve">742718
881624</t>
  </si>
  <si>
    <t xml:space="preserve">Celgene Corp
Versant Venture Mgmt LLC
Quanticel Pharmaceuticals Inc</t>
  </si>
  <si>
    <t xml:space="preserve">Manufacture,wholesale biopharmaceutical products
Financial Sponsor
Mnfr biopharmaceutical products</t>
  </si>
  <si>
    <t xml:space="preserve">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
Versant Ventures Management
LLC, located in Menlo Park,
California, is a venture
capital firm specializing in
early-stage investments in
medical devices,
biotechnology and
pharmaceuticals, healthcare
services, and healthcare
information technology. The
Company was founded in 1999.
Quanticel Pharmaceuticals Inc,
located in San Francisco
California, manufactures
biopharmaceutical products for
the treatment of cancer and
other life-threatening
diseases. The company was
founded in 2009.</t>
  </si>
  <si>
    <t xml:space="preserve">2834
6799
2836</t>
  </si>
  <si>
    <t xml:space="preserve">NJ
CA
CA</t>
  </si>
  <si>
    <t xml:space="preserve">CELGENE CORP/VERSANT VENTURE MANAGEMENT LLC/QUANTICEL
PHARMACEUTICALS-STRATEGIC ALLIANCE</t>
  </si>
  <si>
    <t xml:space="preserve">Celgene Corp (CC), Versant Venture Management LLC (VV) and Quanticel
Pharmaceuticals (QP) formed a strategic alliance for the research and
development of cancer drugs. Under the agreement, CC will provide funding
of USD 45 mil for the development of the drugs with an option to extend the
agreement.</t>
  </si>
  <si>
    <t xml:space="preserve">CC will provide funding of USD 45 mil for the development of the drugs</t>
  </si>
  <si>
    <t xml:space="preserve">151020
92578H
76852Y</t>
  </si>
  <si>
    <t xml:space="preserve">American Media Inc
Windmill Health Products</t>
  </si>
  <si>
    <t xml:space="preserve">Publish tabloid newspapers
Mnfr,whlsle nutritional prods</t>
  </si>
  <si>
    <t xml:space="preserve">American Media Inc, located
in Boca Raton, Florida,
publishes tabloid
newspapers, health and
fitness magazines. The
company also provides online
advertising.
Windmill Health Products is a
nutritional products
manufacturing and distribution
firm, headquartered in West
Caldwell New Jersey. The
companys brands include
QuickTrim(TM), Go Kids Lazy
Town(TM), Sensa(TM),
Enzyte(TM), Garden Greens(TM)
and Rejuvicare(TM). Windmill's
distribution network covers
3,500 independent pharmacies
as well as club, food, drug,
mass market, health food and
others.</t>
  </si>
  <si>
    <t xml:space="preserve">2711
2834</t>
  </si>
  <si>
    <t xml:space="preserve">AMERICAN MEDIA INC/WINDMILL HEALTH PRODUCTS-STRATEGIC ALLIANCE</t>
  </si>
  <si>
    <t xml:space="preserve">American Media, Inc (AM) and Windmill Health Products (WH) formed a
strategic alliance to develop and market health and nutrition products in
the US. Under the agreement, AM and WH will develop products under AM's
magazine brands like Shape and Men's Fitness multivitamins, a line of
post-natal care products for Fit Pregnancy and sports nutrition products
under the Flex and Muscle &amp; Fitness brands worldwide.</t>
  </si>
  <si>
    <t xml:space="preserve">02744L
97342W</t>
  </si>
  <si>
    <t xml:space="preserve">Nestle SA
Fugeia NV</t>
  </si>
  <si>
    <t xml:space="preserve">Produce, wholesale general food products
Dvlp nutrition technologies</t>
  </si>
  <si>
    <t xml:space="preserve">Nestle SA, located in Vevey,
Switzerland, produces and
wholesales chocolate drinks,
cereals, baby foods, soups,
sauces and heat-and-serve
dishes, chocolate and
confectionery, frozen foods
and ice cream, and
refrigerated foods such as
yogurts, cheeses and cold
meats. The Company was
founded in 1860.
FUGEIA, located in Dilbeek,
Belgium, develops proprietary
health products and
technologies focused on the
digestive system. The
company's brands include dairy
and non-dairy beverages,
ready-to-eat cereals, cookies
and biscuits, bread and
pastry, as well as dietary
supplements and therapeutics.
The company was founded in
February 2008.</t>
  </si>
  <si>
    <t xml:space="preserve">2095
8731</t>
  </si>
  <si>
    <t xml:space="preserve">NESTLE SA/FUGEIA-STRATEGIC ALLIANCE</t>
  </si>
  <si>
    <t xml:space="preserve">FUGEIA (FU) and Nestle SA (NS) formed a strategic alliance for the
development of food products with Brana Vita([) (TM]). Brana Vita([) (TM])
is rich in arabinoxylan oligosaccharides or AXOS which functions as
prebiotics and are strong antioxidant.</t>
  </si>
  <si>
    <t xml:space="preserve">641069
35786Y</t>
  </si>
  <si>
    <t xml:space="preserve">Childrens Hospital Boston
Pfizer Inc</t>
  </si>
  <si>
    <t xml:space="preserve">Own,op pediatric hospital
Manufacture,wholesale pharmaceuticals</t>
  </si>
  <si>
    <t xml:space="preserve">Children's Hospital Boston
is a hospital operator. The
Company is located in
Boston, Massachusetts.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</si>
  <si>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Harvard University
Pfizer Inc</t>
  </si>
  <si>
    <t xml:space="preserve">CHILDREN'S HOSPITAL BOSTON/PFIZER INC-STRATEGIC ALLIANCE</t>
  </si>
  <si>
    <t xml:space="preserve">Children's Hospital Boston (CH) and Pfizer Inc (PI) formed a strategic
alliance for the reseaarch and development of potential drug therapies for
the treatment of Duchenne muscular dystrophy (DMD).</t>
  </si>
  <si>
    <t xml:space="preserve">16870Z
717081</t>
  </si>
  <si>
    <t xml:space="preserve">Toyota Motor Corp
Intel Corp</t>
  </si>
  <si>
    <t xml:space="preserve">Mnfr passenger motor vehicles
Manufacture,wholesale semiconductors</t>
  </si>
  <si>
    <t xml:space="preserve">Toyota Motor Corp,
headquartered in Aichi, Japan,
is a manufacturer and seller
of automobiles and a provider
of financial services. The
Group operates through three
segments: Automotive,
Financial Services and others.
Automotive segment designs,
manufactures, assembles and
sells passenger cars,
recreational and sport-utility
vehicles, minivans and trucks
and related parts and
accessories. Financial
services segment provides
financing to dealers and their
customers for the purchase or
lease of Toyota vehicles.
Other services segment
provides intelligent transport
systems, information
technology-based systems
encompassing car multimedia
systems, on-board intelligent
systems, advanced
transportation systems and
transportation infrastructure
and logistics systems. The
Group markets vehicles in more
than 170 countries. The
company was founded in 1937.
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t>
  </si>
  <si>
    <t xml:space="preserve">3711
3674</t>
  </si>
  <si>
    <t xml:space="preserve">TOYOTA MOTOR CORP/INTEL CORP-STRATEGIC ALLIANCE</t>
  </si>
  <si>
    <t xml:space="preserve">Toyota Motor Corp and Intel Corp formed a strategic alliance, to enable new
usage models for mobile device connectivity in the car.</t>
  </si>
  <si>
    <t xml:space="preserve">Research &amp; Development Services
Computer Programming Services</t>
  </si>
  <si>
    <t xml:space="preserve">892331
458140</t>
  </si>
  <si>
    <t xml:space="preserve">Raytheon Co
Bharat Electronics Ltd</t>
  </si>
  <si>
    <t xml:space="preserve">Mnfr radar,electn equip
Manufacturer electronic components</t>
  </si>
  <si>
    <t xml:space="preserve">Raytheon Co, located in
Waltham, Massachusetts,
manufactures radar
equipment, electronics,
aircraft and aircraft
engines, and home
appliances; provide
geophysical surveillance
services in the areas of
defense and commercial
electronics, engineering and
construction, and business
and special mission
aircraft.It operates in five
business segments:
Integrated Defense Systrems;
Intelligence, Information
and Services; Missile
systems; Space and Airborne
Systems and Forcepoint. The
Company was founded in 1922.
Bharat Electronics Ltd is a
manufacturer of electronic
components and accessories,
military communications
equipment, simulators,
radar; and develops military
software. The Company was
founded in 1954 and is
located in Bangalore, India.</t>
  </si>
  <si>
    <t xml:space="preserve">3812
3675</t>
  </si>
  <si>
    <t xml:space="preserve">RAYTHEON CO/BHARAT ELECTRONICS LTD-JOINT VENTURE</t>
  </si>
  <si>
    <t xml:space="preserve">Raytheon Co and Bharat Electronics Ltd planned to form a joint venture to
develop defense products.</t>
  </si>
  <si>
    <t xml:space="preserve">755111
08860A</t>
  </si>
  <si>
    <t xml:space="preserve">H Lundbeck A/S
Otsuka Holdings Co Ltd</t>
  </si>
  <si>
    <t xml:space="preserve">Manufactures and wholesales pharmaceutical products
Mnfr,whl pharmaceuticals</t>
  </si>
  <si>
    <t xml:space="preserve">H Lundbeck A/S, located in
Valby, Denmark, manufactures
and wholesales
pharmaceutical products. It
is engaged in the research,
development, manufacturing
and marketing of
pharmaceuticals for the
treatment of brain disorders
such as Alzheimer's
disease, Bipolar disorder,
depression, epilepsy,
Huntington's disease,
Parkinson's disease and
schizophrenia. Its product
portfolio includes: Cipralex
for the treatment of
depression and anxiety
disorders, Ebixa for the
treatment of Alzheimer's
disease, Azilect for the
treatment of Parkinson's
disease, Xenazine for the
treatment of Huntington's
disease and Sabril for the
treatment of epilepsy, among
others. It also operates
through a number of
subsidiaries, such as
Lundbeck SAS, Lundbeck GmbH,
SIA Lundbeck Latvia and
Lundbeck LLC. The Company
was founded on August 14,
2015.
Otsuka Holdings Co Ltd,
located in Tokyo, Japan,
manufactures and wholesales
pharmaceuticals. It is
engaged in four business
segments. The
Medical-related segment is
engaged in the sale of
ethical drugs, the
manufacture, sale and export
of curative medicines, as
well as the research and
development of infusions.
The Nutraceuticals-related
segment is engaged in the
manufacture, purchase and
sale of
nutraceuticals-related
products, such as functional
foods and dietary
supplements. The
Consumer-related segment is
engaged in the manufacture
and sale of consumer
products and mineral water.
The Others segment is
engaged in the manufacture
and sale of chemical
products, the manufacture,
sale and import of measuring
equipment, the manufacture
of packaging products, the
manufacture of synthetic
resin molding products, as
well as the storage and
handling of its products.
The company was founded in
1964.</t>
  </si>
  <si>
    <t xml:space="preserve">Lundbeckfonden
Otsuka Holdings Co Ltd</t>
  </si>
  <si>
    <t xml:space="preserve">H LUNDBECK A/S/OTSUKA HOLDINGS CO LTD-STRATEGIC ALLIANCE</t>
  </si>
  <si>
    <t xml:space="preserve">H Lundbeck A/S (HL) and Otsuka Holdings Co Ltd (OH) formed a strategic
alliance for the development and commercialization of up to five innovative
psychiatric and neuroscience products worldwide. Under the agreement, HL
will make an upfront payment of DKK 1.10 nil (USD 201.15 mil) to OH. OH is
entitled to receive up to DKK 7.6 bil (USD 1.404 bil) total payments
including development and milestone payments. On March 2013, the agreement
was expanded to include the development of the Lu AE58054, a selective 5HT6
receptor antagonist, for the treatment of Alzheimer's disease. Under the
expanded agreement, Lundbeck will receive an initial payment of USD 15 mil
for the co-development and co-commercialization of Lu AE58054 in the U.S.,
Canada, East Asia including Japan, major European countries and Nordic
countries.</t>
  </si>
  <si>
    <t xml:space="preserve">OH is entitled to receive up to DKK 7.6 bil (USD 1.404 bil) total payments
including development and milestone payments.</t>
  </si>
  <si>
    <t xml:space="preserve">4F8715
68918R</t>
  </si>
  <si>
    <t xml:space="preserve">Boeing Co
Hawaii BioEnergy LLC</t>
  </si>
  <si>
    <t xml:space="preserve">Manufacture jetliners,aircraft
Pvd rsch,dvlp of bioenergy prd</t>
  </si>
  <si>
    <t xml:space="preserve">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
Hawaii BioEnergy provides
research and development
services of local renewable
bioenergy projects. The
company is headquartered in
Honolulu, Hawaii. The company
is focused on intensive
rese4arch for processing
technologies for a variety of
energy crops including but not
limited to sugarcane, woody
biomass, and algae.</t>
  </si>
  <si>
    <t xml:space="preserve">IL
HI</t>
  </si>
  <si>
    <t xml:space="preserve">BOEING CO/HAWAI'I BIOENERGY LLC-STRATEGIC ALLIANCE</t>
  </si>
  <si>
    <t xml:space="preserve">Boeing Co (BC) and Hawai'i BioEnergy LLC (HB) planned to form a strategic
alliance for the identify alternative renewable energy sources for that can
be used to create aviation fuels. The alliance is looking at sorghum and
eucalyptus as potential sources of jet fuels.</t>
  </si>
  <si>
    <t xml:space="preserve">097023
42002J</t>
  </si>
  <si>
    <t xml:space="preserve">Bruker Corp
Lawrence Berkeley National</t>
  </si>
  <si>
    <t xml:space="preserve">Manufacture,wholesale scientific instruments
Pvd scientific research svcs</t>
  </si>
  <si>
    <t xml:space="preserve">Bruker Corp, located in
Billerica, Massachusetts,
manufactures and wholesales
scientific instruments for
chemical analysis, life
science and pharmaceutical,
biotechnology and molecular
diagnostics research. It has
offices in Africa, Asia,
Pacific, Australia and New
Zealand, Europe, North
America and South America.
The Company was founded in
1991.
Lawrence Berkeley National
Laboratory, located in
California, provides
scientific research services.
Founded in 1931.</t>
  </si>
  <si>
    <t xml:space="preserve">BRUKER CORP/LAWRENCE BERKELEY NATIONAL LABORATORY-STRATEGIC ALLIANCE</t>
  </si>
  <si>
    <t xml:space="preserve">Bruker Corp (BC) and Lawrence Berkeley National Laboratory (LB) formed a
strategicalliance to develop new structural biology methods and tools to
integrate Small-Angle X-ray Scattering (SAXS) with Nuclear Magnetic
Resonance.</t>
  </si>
  <si>
    <t xml:space="preserve">116794
51961Q</t>
  </si>
  <si>
    <t xml:space="preserve">Resorbable Orthopedic Products
BioStructures LLC</t>
  </si>
  <si>
    <t xml:space="preserve">Pvd orthopedic services
Dvlp orthopedic surgical apps</t>
  </si>
  <si>
    <t xml:space="preserve">Resorbable Orthopedic
Products, LLC provides
orthopedic services.
BioStructures LLC, located in
Newport Beach California
develops innovative
bioresorbable implants for
orthopedic surgical
applications. The company's
brands include of OsteoMatrix
Mineralized Collagen Scaffold,
OsteoMatrix Synthetic Bone
Graft Composite and Interface
BioActive Bone Graft which are
used for bone regeneration and
remodeling.</t>
  </si>
  <si>
    <t xml:space="preserve">3842
3842</t>
  </si>
  <si>
    <t xml:space="preserve">Wound Management Tech Inc
BioStructures LLC</t>
  </si>
  <si>
    <t xml:space="preserve">RESORBABLE ORTHOPEDIC PRODUCTS LLC/BIOSTRUCTURES LLC-STRATEGIC ALLIANCE</t>
  </si>
  <si>
    <t xml:space="preserve">Resorbable Orthopedic Products LLC (RO) and BioStructures LLC (BS) formed a
strategic alliance for the development of bone remodeling products. Under
the agreement, the products will be based on RO's patented technology. BS
paid RO an initial USD100, 000 licensing fee.</t>
  </si>
  <si>
    <t xml:space="preserve">BS paid RO an initial USD100, 000 licensing fee.</t>
  </si>
  <si>
    <t xml:space="preserve">73649V
09393X</t>
  </si>
  <si>
    <t xml:space="preserve">Leica Microsystems GmbH
Max Planck Society
German Cancer Research Center</t>
  </si>
  <si>
    <t xml:space="preserve">Manufacture microscopes,optical instruments
Non-profit research org
Pvd cancer research services</t>
  </si>
  <si>
    <t xml:space="preserve">Leica Microsystems AG, located
in Wetzlar, Germany,
manufactures microscopes and
optical instruments for the
health care, research, and
semiconductor industries. The
company focuses on microscopy,
confocal laser scanning
microscopy, imaging systems,
specimen preparation and
medical equipment. It also
offers system solutions in the
areas of Life Science
including biotechnology and
medicine, as well as the
science of raw materials and
industrial quality assurance.
The company was founded
in1990.
Max Planck Society is a
non-profit research
organization.
Provide cancer research
services</t>
  </si>
  <si>
    <t xml:space="preserve">3826
8731
8731</t>
  </si>
  <si>
    <t xml:space="preserve">Germany
Germany
Germany</t>
  </si>
  <si>
    <t xml:space="preserve">Danaher Corp
Max Planck Society
German Cancer Research Center</t>
  </si>
  <si>
    <t xml:space="preserve">3823
8731
8731</t>
  </si>
  <si>
    <t xml:space="preserve">LEICA MICROSYSTEMS AG/MAX PLANCK SOCIETY/GERMAN CANCER RESEARCH
CENTER--STRATEGIC ALLIANCE</t>
  </si>
  <si>
    <t xml:space="preserve">Leica Microsystems GmbH (LM), Max Planck Society (MP) and German Cancer
Research Center (GC) formed a strategic alliance for the development of the
next generation of super-resolution STED (Stimulated Emission Depletion)
microscopy. Under the alliance LM was given license to develop the gated
STED into a commercial product and release it in the market. Gated STED FCS
is used in observing molecule movements in the membrane of living cells.</t>
  </si>
  <si>
    <t xml:space="preserve">52530P
57772Y
37387T</t>
  </si>
  <si>
    <t xml:space="preserve">Curevac AG
Sanofi Pasteur SA
IN Cell Art</t>
  </si>
  <si>
    <t xml:space="preserve">Biotechnology company
Mnfr,dvlp vaccines
Biotechnology company</t>
  </si>
  <si>
    <t xml:space="preserve">Curevac AG is a manufacturer
of biological products. The
Company was founded in 2000
and is located in Tuebingen,
Germany.The companys
brands include RNActive(R)
for the delivery of modified
and complexed mRNA molecules
for a broad range of
therapeutic applications and
RNAdjuvant(R) for the use of
RNA as an immune stimulant.
Sanofi Pasteur SA, located in
Lyon Cedex, France,
manufactures and develops
human vaccines. Its range of
vaccines include TheraCys,
Adacel, Daptacel, TriHIBit,
Tripedia, ActHIB and Fluzone.
IN Cell Art is a biotechnology
company headquartered in
France and focused on
preclinical and pharmaceutical
development of formulation
technologies for
macromolecular drugs. The
companys brands include
ICAFectin(TM)441 transfection
reagent and ICAFECTIN(TM)442
siRNA transfection reagent.
The company was founded in
2005.</t>
  </si>
  <si>
    <t xml:space="preserve">2836
2836
2836</t>
  </si>
  <si>
    <t xml:space="preserve">Germany
France
France</t>
  </si>
  <si>
    <t xml:space="preserve">dievini Hopp BioTech holding
Sanofi SA
IN Cell Art</t>
  </si>
  <si>
    <t xml:space="preserve">6799
2834
2836</t>
  </si>
  <si>
    <t xml:space="preserve">CUREVAC GMBH/SANOFI PASTEUR SA/IN CELL ART-STRATEGIC ALLIANCE</t>
  </si>
  <si>
    <t xml:space="preserve">CureVac GmbH (CG), Sanofi Pasteur SA (SP) and In Cell Art (IC) formed a
strategic alliance for the research and development of several vaccine
candidates in a number of relevant disease models. Under the agreement, the
alliance will further advance aspects of CG's RNActive(R) technology
platform. The alliance has a total funding of USD 33.1 mil.</t>
  </si>
  <si>
    <t xml:space="preserve">The alliance has a total funding of USD 33.1 mil.</t>
  </si>
  <si>
    <t xml:space="preserve">24094C
80096R
47623A</t>
  </si>
  <si>
    <t xml:space="preserve">Almirall Prodesfarma SA
BioFocus DPI PLC</t>
  </si>
  <si>
    <t xml:space="preserve">Almirall Prodesfarma SA,
headquartered in Barcelona,
Spain, manufactures
pharmaceuticals products
including almotripan,
ebastine, aceclofenac,
almagate, cinitapride,
clebopride and piketoprofen.
They operate in Belgium,
France, Germany, Italy,
Mexico, Portugal and Spain.
The company was founded on
1989.
1989.
BioFocus DPI PLC, located in
Essex, United Kingdom,
manufactures pharmaceuticals.
The company offers
biologically-focused discovery
platform with three
differentiators- target
discovery, compound libraries
and predictive drug discovery
tools.</t>
  </si>
  <si>
    <t xml:space="preserve">Spain
United Kingdom</t>
  </si>
  <si>
    <t xml:space="preserve">Almirall Prodesfarma SA
Galapagos NV</t>
  </si>
  <si>
    <t xml:space="preserve">Spain
Belgium</t>
  </si>
  <si>
    <t xml:space="preserve">ALMIRALL PRODESFARMA SA/BIOFOCUS DPI PLC-JOINT VENTURE</t>
  </si>
  <si>
    <t xml:space="preserve">Almirall Prodesfarma SA (AP) and BioFocus DPI PLC (BD) formed a strategic
alliance for the research and development of pharmaceutical compounds for
the treatment of respiratory and inflammatory diseases. The value of this
transaction in EUR 7.5 mil (USD 10.151 mil)</t>
  </si>
  <si>
    <t xml:space="preserve">The value of this transaction in EUR 7.5 mil (USD 10.151 mil)</t>
  </si>
  <si>
    <t xml:space="preserve">00394A
08987H</t>
  </si>
  <si>
    <t xml:space="preserve">Sanofi Pasteur SA
Curevac AG</t>
  </si>
  <si>
    <t xml:space="preserve">Sanofi Pasteur SA, located in
Lyon Cedex, France,
manufactures and develops
human vaccines. Its range of
vaccines include TheraCys,
Adacel, Daptacel, TriHIBit,
Tripedia, ActHIB and Fluzone.
Curevac AG is a manufacturer
of biological products. The
Company was founded in 2000
and is located in Tuebingen,
Germany.The companys
brands include RNActive(R)
for the delivery of modified
and complexed mRNA molecules
for a broad range of
therapeutic applications and
RNAdjuvant(R) for the use of
RNA as an immune stimulant.</t>
  </si>
  <si>
    <t xml:space="preserve">France
Germany</t>
  </si>
  <si>
    <t xml:space="preserve">Sanofi SA
dievini Hopp BioTech holding</t>
  </si>
  <si>
    <t xml:space="preserve">SANOFI PASTEUR SA/CUREVAC GMBH-STRATEGIC ALLIANCE</t>
  </si>
  <si>
    <t xml:space="preserve">CureVac GmbH (CG) and Sanofi Pasteur SA (SP) formed a strtaegic alliance
for further development of CG's RNActive(R) technology platform. Under the
agreement, CG and SP will apply the sadi platform to develop vaccines
against several infectious diseases. Furthermore, CG and SP also signed a
licensing agreement for several pre-defined pathogens. CG is entitled to
receive upfornt payment for each pathogen from SP research funding and
payments for achieving several clinical, regulatory and commercial
milestones that could be worth EUR 101.5 mil (USD 137.384 mil) for CureVac
in upfront and milestone payments in addition to tiered royalties on sales
of RNActive(R) vaccines if Sanofi Pasteur develops a prophylactic or a
therapeutic vaccine against such pathogen and up to EUR 150.5 mil (USD
203.708mil) if Sanofi Pasteur develops both a prophylactic and a
therapeutic vaccine.</t>
  </si>
  <si>
    <t xml:space="preserve">CG is entitled to receive upfornt payment for each pathogen from SP
research funding and payments for achieving several clinical, regulatory
and commercial milestones that could be worth EUR 101.5 mil (USD 137.384
mil) for CureVac in upfront and milestone payments in addition to tiered
royalties on sales of RNActive(R) vaccines if Sanofi Pasteur develops a
prophylactic or a therapeutic vaccine against such pathogen and up to EUR
150.5 mil (USD 203.708mil) if Sanofi Pasteur develops both a prophylactic
and a therapeutic vaccine.</t>
  </si>
  <si>
    <t xml:space="preserve">80096R
24094C</t>
  </si>
  <si>
    <t xml:space="preserve">Inner Mongolia Dongyuan Grp
Beijing Originwater Tech Co</t>
  </si>
  <si>
    <t xml:space="preserve">Investment company
Hazardous Waste Treatment and Disposal</t>
  </si>
  <si>
    <t xml:space="preserve">Inner Mongolia Dongyuan
Yulongwang Industrial Group
Ltd is an investment company,
located in China.
Beijing Originwater
Technology Co Ltd is a
provider of hazardous waste
treatment and disposal
services. The Company was
founded in July 2001 and is
located in Beijing, China.</t>
  </si>
  <si>
    <t xml:space="preserve">6799
4953</t>
  </si>
  <si>
    <t xml:space="preserve">INNER MONGOLIA DONGYUAN YULONGWANG INDUSTRIAL GROUP LTD/BEIJING ORIGINWATER
TECHNOLOGY CO LTD-JOINT VENTURE</t>
  </si>
  <si>
    <t xml:space="preserve">Inner Mongolia Dongyuan Yulongwang Industrial Group Ltd (Dongyuan) and
Beijing Originwater Technology Co Ltd (Originwater) plan to form a joint
venture to provide membrane technology research and development services in
China. The joint venture to be named Inner Mongolia Dongyuan Water
Technology Development Ltd, will be 51% owned by Dongyuan and 49% owned by
Originwater. The registered capital of the joint venture will be CNY 100
mil (USD 15.76 mil). The expected average net profits of CNY 99.31 mil (USD
15.65 mil). from revenue of CNY 626 mil (USD 98.67 mil) within the next
five(5) years. Originwater will provide an extra financing of CNY 49 mil
(USD 7.72 mil).</t>
  </si>
  <si>
    <t xml:space="preserve">The registered capital of the joint venture will be CNY 100 mil (USD 15.76
mil). The expected average net profits of CNY 99.31 mil (USD 15.65 mil).
from revenue of CNY 626 mil (USD 98.67 mil) within the next five(5) years.
Originwater will provide an extra financing of CNY 49 mil (USD 7.72 mil).</t>
  </si>
  <si>
    <t xml:space="preserve">0A2251
Y0772Q</t>
  </si>
  <si>
    <t xml:space="preserve">Kyowa Hakko Kirin Co Ltd
Fujifilm Corp</t>
  </si>
  <si>
    <t xml:space="preserve">Mnfr,whl medical prod
Mnfr,whl photo film,camera</t>
  </si>
  <si>
    <t xml:space="preserve">Kyowa Hakko Kirin Co Ltd,
based in Tokyo, Japan, is
mainly engaged in
manufacture and wholesale of
medical product. The medical
product segment is engaged
in the manufacture, sale and
sales promotion of ethical
drug and reagent for
clinical test, the
development of candidate
substances for new drugs, as
well as the research and
development of technologies
for antibody drug creation,
among others. The
biochemical segment
manufactures and sells
medical and industrial
materials, mainly amino and
nucleic acids, and
healthcare products. This
segment also designs and
constructs facilities. The
others segment is involved
in the logistics,
contracting, retail and
wholesale, and insurance
agency businesses, as well
as the manufacture and sale
of industrial alcohol. The
company is a holding
company. The company was
founded in 1949.
Fujifilm Corp, located in
Tokyo, Japan, manufactures
and wholesales color films,
conventional cameras,
digital cameras, lab
equipment, color paper and
chemicals and provides
photofinishing services. The
Company was founded in 2006.</t>
  </si>
  <si>
    <t xml:space="preserve">2833
3861</t>
  </si>
  <si>
    <t xml:space="preserve">Kirin Holdings Co Ltd
Fujifilm Holdings Corp</t>
  </si>
  <si>
    <t xml:space="preserve">2082
3861</t>
  </si>
  <si>
    <t xml:space="preserve">KYOWA HAKKO KIRIN CO/FUJIFILM CORP-JOINT VENTURE</t>
  </si>
  <si>
    <t xml:space="preserve">Fujifilm Kyowa Kirin Biologics
Co Ltd, headquartered in
Tokyo, Japan, manufactures and
wholesales biosimilars. The
company also conducts research
and development its products.
It was founded, March 27,
2012.</t>
  </si>
  <si>
    <t xml:space="preserve">Kyowa Hakko Kirin Co (KH) and Fujifilm Corp (FC) formed a 50:50 joint
venture to develop and manufacture generic versions of drugs in Japan. The
JV, under the name of Fujifilm Kyowa Kirin Biologics Co Ltd, will develop
biosimilars and is capitalized at JPY 100 mil (USD 1.2 mil).</t>
  </si>
  <si>
    <t xml:space="preserve">The joint venture is capitalized at JPY 100 mil (USD 1.2 mil).</t>
  </si>
  <si>
    <t xml:space="preserve">2A2402</t>
  </si>
  <si>
    <t xml:space="preserve">J38296
35899H</t>
  </si>
  <si>
    <t xml:space="preserve">Soitec SA
Reflexite Energy Solution</t>
  </si>
  <si>
    <t xml:space="preserve">Semiconductor and Related Device Manufacturing
Mnfr, dist optics components</t>
  </si>
  <si>
    <t xml:space="preserve">Soitec SA is a manufacturer
of semiconductors and
related devices. The Company
was founded in 1992 and is
located in Bernin, France.
Reflexite Energy Solution,
headquartered in Rochester,
New York with other locations
in Germany and China,
manufactures and distributes
microstructured optics
components for the lighting,
solar power, instrumentation
and display industries. The
companys services include
Optical Product Development,
Microstructure Generation,
Micro Replication (Tooling),
Cleanroom Manufacturing and
Precision Converting. Products
include optics and lenses that
enhance architectural
lighting, solar concentrator
lenses, optical light
enhancing films, and a variety
of custom designed optical
components that improve the
performance and efficiency of
systems and devices.</t>
  </si>
  <si>
    <t xml:space="preserve">Soitec SA
ORAFOL Europe GmbH</t>
  </si>
  <si>
    <t xml:space="preserve">3674
2821</t>
  </si>
  <si>
    <t xml:space="preserve">SILICON ON INSULATOR TECHNOLOGIES SA/REFLEXITE ENERGY SOLUTION-JOINT
VENTURE</t>
  </si>
  <si>
    <t xml:space="preserve">Silicon On Insulator Technologies SA (SO) and Reflexite Energy Solution
(RE) formed a joint venture named Reflexite Soitec Optical Technology LLC
in San Diego, California. The new JV company will manufacture
silicone-on-glass (SOG) Fresnel lens plates used in SO's concentrator
photovoltaic modules and develop technology to increase efficiency and
lower costs of SOG lens plates.</t>
  </si>
  <si>
    <t xml:space="preserve">83410V
76862Q</t>
  </si>
  <si>
    <t xml:space="preserve">CytoDyn Veterinary Medicine
Scripps Research Institute</t>
  </si>
  <si>
    <t xml:space="preserve">Dvp antibodies fr anml disease
Biotechnology company</t>
  </si>
  <si>
    <t xml:space="preserve">CytoDyn Veterinary Medicine
LLC, is a research and
development company for the
treatment of feline
immunodeficiency virus in cats
as well as other infectious
diseases of animals.
Scripps Research Institute,
located in La Jolla,
California, is a
biotechnology company
focused on basic biomedical
science. It is recognized
for its research in
immunology, molecular and
cellular biology, chemistry,
neurosciences, autoimmune
diseases, cardiovascular
diseases, virology, and
synthetic vaccine
development. The company was
founded in 1924.</t>
  </si>
  <si>
    <t xml:space="preserve">0742
2836</t>
  </si>
  <si>
    <t xml:space="preserve">CytoDyn Inc
Scripps Research Institute</t>
  </si>
  <si>
    <t xml:space="preserve">CYTODYN VETERINARY MEDICINE LLC/SCRIPPS RESEARCH INSTITUTE-STRATEGIC
ALLIANCE</t>
  </si>
  <si>
    <t xml:space="preserve">CytoDyn Veterinary Medicine LLC (CV) and Scripps Research Institute (SR)
formed a strategic alliance for the further development of CV's CytoFeline
and its application for possible treatment of feline immunodeficiency virus
in cats.</t>
  </si>
  <si>
    <t xml:space="preserve">24094F
81106Q</t>
  </si>
  <si>
    <t xml:space="preserve">Poniard Pharmaceuticals Inc
Undisclosed JV Partner</t>
  </si>
  <si>
    <t xml:space="preserve">Biopharmaceutical company
Investment company</t>
  </si>
  <si>
    <t xml:space="preserve">Poniard Pharmaceuticals Inc,
located in San Francisco,
California, is a
biopharmaceutical company
focused on the discovery,
development and
commercialization of oncology
products. Its main product is
picoplatin, a new generation
platinum chemotherapy agent
with the potential to become a
platform product addressing
multiple indications,
combinations and formulations.
The company was founded in
1984.
Investment company</t>
  </si>
  <si>
    <t xml:space="preserve">PONIARD PHARMACEUTICALS INC/UNDISCLOSED PARTNER-STRATEGIC ALLIANCE</t>
  </si>
  <si>
    <t xml:space="preserve">Poniard Pharmaceuticals, Inc (PP) and an undisclosed partner formed a
strategic alliance for the worldwide development of PP's focal adhesion
kinase (FAK) technology including a preclinical candidate that is a
selective small molecule inhibitor of FAK. Under the agreement, PP granted
license to its partner for development and commercialization of any
FAK-related products by paying a USD 250,000 cash payments as well as
milestone and royalty payments.</t>
  </si>
  <si>
    <t xml:space="preserve">PP granted license to its partner for development and commercialization of
any FAK-related products by paying a USD 250,000 cash payments as well as
milestone and royalty payments.</t>
  </si>
  <si>
    <t xml:space="preserve">732449
904JVP</t>
  </si>
  <si>
    <t xml:space="preserve">Shire PLC
Shionogi &amp; Co Ltd</t>
  </si>
  <si>
    <t xml:space="preserve">Manufacture,wholesale pharmaceutical production
Mnfr,whl pharmaceuticals</t>
  </si>
  <si>
    <t xml:space="preserve">Shire PLC, located in
Dublin, the Republic of
Ireland, manufactures and
wholesales pharmaceutical
products. The Company
focuses on the central
nervous system,
gastrointestinal and human
genetic therapies. Its
brands include Adderall XR,
Dynepo, Equetro, Forsenol,
Adderall, Carbatrol,
Pentasa, Colazide, Agrylin,
Xagrid, Fosrenol,
Proamatine, Epivir,
Combivir, Trizivir, Vaniqa,
Xagrid, Zeffix, Calcichew,
Solaraze, Reminyl/Reminyl
XL, Lodine, Replagal,
Daytrana, Elaprase and
Mesavance. The Group
operates in the UK, the US,
the Netherlands, France,
Germany, Italy, Spain,
Ireland, Canada, Cayman
Islands and Sweden. The
Company distributes its
products in Australia,
Denmark, Finland, Hong Kong,
Israel, Malaysia, Norway,
Philippines, Singapore,
South Africa, South Korea
and Thailand. It was founded
in 1986.
Shionogi &amp; Co Ltd,
headquartered in Osaka,
Japan, is a pharmaceutical
company.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It was founded in
1878.</t>
  </si>
  <si>
    <t xml:space="preserve">SHIRE PLC/SHIONOGI &amp; CO LTD-STRATEGIC ALLIANCE</t>
  </si>
  <si>
    <t xml:space="preserve">Shire plc (SP) and Shionogi &amp; Co Ltd (SC) formed a strategic alliance to
develop and commercialize SP's Attention Deficit Hyperactivity Disorder
medicines in Japan.</t>
  </si>
  <si>
    <t xml:space="preserve">82481R
82466Q</t>
  </si>
  <si>
    <t xml:space="preserve">ImmunoGen Inc
Eli Lilly &amp; Co</t>
  </si>
  <si>
    <t xml:space="preserve">Pharmaceuticals company
Manufactures,wholesales pharmaceuticals</t>
  </si>
  <si>
    <t xml:space="preserve">ImmunoGen Inc, headquartered
in Waltham, Massachusetts,
is a pharmaceuticals company
targeting anticancer
therapeutics. The company
develops cancer-cell killing
agents attached to
antibodies for targeted
delivery to tumor cells. The
company was incorporated in
Massachusetts in March 1981.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</si>
  <si>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IMMUNOGEN INC/ELI LILLY &amp; CO-STRATEGIC ALLIANCE</t>
  </si>
  <si>
    <t xml:space="preserve">ImmunoGen Inc (II) and Eli Lilly &amp; Co (EL) formed a strategic alliance for
the development of antibody-drug conjugate (ADC) anticancer therapeutics.
Under the agreement, EL will pay USD 20 mil for exclusive license for II's
maytansinoid Targeted Antibody Payload (TAP) technology that will be
integrated with EL's monoclonal antibodies to develop novel antibody-drug
conjugate (ADC) anticancer therapeutics. II is entitled to receive up to
USD 200 mil milestone and royalty payments for the products developed under
this alliance.</t>
  </si>
  <si>
    <t xml:space="preserve">II is entitled to receive up to USD 200 mil milestone and royalty payments
for the products developed under this alliance.</t>
  </si>
  <si>
    <t xml:space="preserve">45253H
532457</t>
  </si>
  <si>
    <t xml:space="preserve">Academician M F Reshetnev ISS
Thales Alenia Space SAS</t>
  </si>
  <si>
    <t xml:space="preserve">Dvlp,mnfr spcecrft,satelt sys
Manufactures satellite systems</t>
  </si>
  <si>
    <t xml:space="preserve">Academician M F Reshetnev
Information Satellite
Systems JSC develops and
manufactures spacecraft and
satellite systems. The
Company's services
activities include design
and manufacture of
spacecraft, satellite
systems and subsystems,
television broadcasting,
data-relaying, geodesy,
navigation, traffic control
and distress monitoring and
deployment of ground control
segments. The Company was
founded in 1959 and is
located in Zheleznogorsk,
the Russian Federation.
Thales Alenia Space SAS is a
manufacturer of wireless
communications equipment. The
Company was founded in 1968
and is located in Cannes,
France.</t>
  </si>
  <si>
    <t xml:space="preserve">4841
3663</t>
  </si>
  <si>
    <t xml:space="preserve">Academician M F Reshetnev ISS
Thales SA</t>
  </si>
  <si>
    <t xml:space="preserve">4841
3769</t>
  </si>
  <si>
    <t xml:space="preserve">JSC "ACADEMICIAN MF RESHETNEV "INFORMATION SATELLITE SYSTEMS CO/THALES
ALENIA SPACE SAS-JOINT VENTURE</t>
  </si>
  <si>
    <t xml:space="preserve">JSC "ISS" (JI) and Thales Alenia Space SAS (TA) signed a memorandum of
understanding to form a joint venture for satellite payload assembly
services. The new JV will also develop a new platform for high-powered
satellites.</t>
  </si>
  <si>
    <t xml:space="preserve">89930R
88385N</t>
  </si>
  <si>
    <t xml:space="preserve">GeckoSystems International
ZMP Inc</t>
  </si>
  <si>
    <t xml:space="preserve">Pvd mobile service robots sol
Custom Computer Programming Services</t>
  </si>
  <si>
    <t xml:space="preserve">GeckoSystems International
Corp, headquartered in
Conyers, Georgia, provides
mobile service robots
solutions specializing in
safety, security and service.
Its products include GeckoNav,
GeckoChat, CareBot and
GeckoTrak. It was founded in
1997.
ZMP Inc, located in Tokyo,
Japan, develops robot
technology solutions. It
operates autonomous
navigation robot technology
business. Its division
include automatic operation
platform and sensor system
provides car robotics
platform and sensor system;
actual vehicle experiment
travelling services provide
vehicle travelling
experiment, and controller
area network information and
cameras and laser sensors
information collection
services; customization and
incubation provides
customized system to
automobile industry; and
CarriRo provides robot
CarriRo for logistics
supporting. The Company was
founded in 2001.</t>
  </si>
  <si>
    <t xml:space="preserve">7372
7371</t>
  </si>
  <si>
    <t xml:space="preserve">GECKOSYSTEMS INTERNATIONAL CORP/ZMP INC-STRATEGIC ALLIANCE</t>
  </si>
  <si>
    <t xml:space="preserve">GeckoSystems International Corp (GI) and ZMP Inc (ZI) signed a memorandum
of understanding to form a strategic alliacnce for the developemtn and
marketing of robotic technologies and related products in the US and Japan.
The alliance will develop Mobile Service Robot, Collision Free car and
Collision Free Wheelchair.</t>
  </si>
  <si>
    <t xml:space="preserve">36840U
98013J</t>
  </si>
  <si>
    <t xml:space="preserve">GeckoSystems International
Undisclosed JV Partner</t>
  </si>
  <si>
    <t xml:space="preserve">Pvd mobile service robots sol
Investment company</t>
  </si>
  <si>
    <t xml:space="preserve">GeckoSystems International
Corp, headquartered in
Conyers, Georgia, provides
mobile service robots
solutions specializing in
safety, security and service.
Its products include GeckoNav,
GeckoChat, CareBot and
GeckoTrak. It was founded in
1997.
Investment company</t>
  </si>
  <si>
    <t xml:space="preserve">GECKOSYSTEMS INTERNATIONAL CORP/UNDISCLOSED JOINT VENTURE PARTNER-JOINT
VENTURE</t>
  </si>
  <si>
    <t xml:space="preserve">GeckoSystems International Corp (GI) and a UK defense manufacturer planned
to form a joint venture for the research and development and application of
GI's proprietary AI automatic GeckoNav(TM) in the defense industry.</t>
  </si>
  <si>
    <t xml:space="preserve">36840U
904JVP</t>
  </si>
  <si>
    <t xml:space="preserve">AuthentiDate Holding Corp
EncounterCare Solutions Inc
Undisclosed JV Partner</t>
  </si>
  <si>
    <t xml:space="preserve">Develop workflow mgmt software
Pvd online med svcs
Investment company</t>
  </si>
  <si>
    <t xml:space="preserve">AuthentiDate Holding Corp,
Located, in Berkeley Heights,
New Jersey, develops secure
workflow management software
which enables healthcare
organizations and other
enterprises to employ
rules-based electronic forms,
intelligent routing and
transaction management,
electronic signing, content
authentication, identity
credentialing and
verification. Its products are
marketed under Inscrybe
Healthcare and ExpressMD
Solutions software names. The
company was founded in 1985.
EncounterCare Solutions Inc,
located in Palm Beach Gardens,
Florida, provides online
medical diagnostics services
and custom software solutions.
Investment company</t>
  </si>
  <si>
    <t xml:space="preserve">7372
7372
6799</t>
  </si>
  <si>
    <t xml:space="preserve">NJ
FL
FF</t>
  </si>
  <si>
    <t xml:space="preserve">AuthentiDate Holding Corp
CyberCare Inc
Undisclosed JV Partner</t>
  </si>
  <si>
    <t xml:space="preserve">7372
8071
6799</t>
  </si>
  <si>
    <t xml:space="preserve">AUTHENTIDATE HOLDING CORP(WAS 091747)/ENCOUNTERCARE SOLUTIONS INC(WAS
05482Q)/UNDISCLOSED PARTNER-STRATEGIC ALLIANCE</t>
  </si>
  <si>
    <t xml:space="preserve">Authentidate Holding Corp (AH), EncounterCare Solutions Inc (EC) and an
affiliated company granted AH license for the development and
commercialization of Electronic House Call remote patient monitoring device
and related software and to develop improvements and other products based
on such intellectual property.</t>
  </si>
  <si>
    <t xml:space="preserve">052666
278744
904JVP</t>
  </si>
  <si>
    <t xml:space="preserve">University of Cambridge
Elan Corp PLC</t>
  </si>
  <si>
    <t xml:space="preserve">Own,operate college,university
Biotechnology company</t>
  </si>
  <si>
    <t xml:space="preserve">University of Cambridge is a
college operator. The
Company is located in
Cambridge, the United
Kingdom.
Elan Corp PLC, located in
Dublin, Ireland, is a
neuroscience-based
biotechnology company. It
focuses on discovering,
developing, manufacturing and
marketing advanced therapies
in neurology, autoimmune
diseases, and severe pain. It
also manufactures
pharmaceuticals. The company
was founded in 1969.</t>
  </si>
  <si>
    <t xml:space="preserve">United Kingdom Of Great
Blisfont Ltd</t>
  </si>
  <si>
    <t xml:space="preserve">999A
6799</t>
  </si>
  <si>
    <t xml:space="preserve">UNIVERSITY OF CAMBRIDGE/ELAN CORP PLC-JOINT VENTURE</t>
  </si>
  <si>
    <t xml:space="preserve">University of Cambridge (UC) and Elan Corporation Plc (EC) agreed to form a
joint venture named The Cambridge-Elan Centre for Research Innovation and
Drug Discovery at the University of Cambridge, England. The JV will be
focused on research on behavior of proteins associated with
neurodegenerative disorders and development of treatments for disorders
like Alzheimer's and Parkinson's. EC were to invest USD 10 mil for the
development of innovative therapies for Alzheimers and Parkinsons disease.</t>
  </si>
  <si>
    <t xml:space="preserve">EC were to invest USD 10 mil for the development of innovative therapies
for Alzheimers and Parkinsons disease.</t>
  </si>
  <si>
    <t xml:space="preserve">85943Z
284131</t>
  </si>
  <si>
    <t xml:space="preserve">PTC Therapeutics Inc
Roche Holding Ltd
SMA Foundation</t>
  </si>
  <si>
    <t xml:space="preserve">Biopharmaceutical co
Mnfr pharmaceutical products
Pvd pharmaceutical svcs</t>
  </si>
  <si>
    <t xml:space="preserve">PTC Therapeutics Inc,
headquartered in South
Plainfield, New Jersey, is a
biopharmaceutical company
focused on the discovery,
development and
commercialization of orally
administered, proprietary
small-molecule drugs that
target post-transcriptional
control processes. The
company's clinical and
preclinical products, which
include the PTC124 and
PTC299, address multiple
indications, including
genetic disorders, oncology,
and infectious diseases. The
company was founded in 1998.
Manufacture pharmaceutical and
medical products; provide
biological research services;
holding company
SMA Foundation, located in New
York City, New York, provides
pharmaceutical services.</t>
  </si>
  <si>
    <t xml:space="preserve">NJ
FF
NY</t>
  </si>
  <si>
    <t xml:space="preserve">SMA FOUNDATION/PTC THERAPEUTICS INC/ROCHE HOLDING LTD-STRATEGIC ALLIANCE</t>
  </si>
  <si>
    <t xml:space="preserve">PTC Therapeutics Inc, Roche Holding Ltd and SMA Foundation formed a
strategic alliance to advance treatment for Spinal Muscular Atrophy.</t>
  </si>
  <si>
    <t xml:space="preserve">69366J
77120P
84218R</t>
  </si>
  <si>
    <t xml:space="preserve">Novadaq Technologies Inc
Kinetic Concepts Inc</t>
  </si>
  <si>
    <t xml:space="preserve">Mnfr,whl fluorescence imaging
Mnfr,whl medical products</t>
  </si>
  <si>
    <t xml:space="preserve">Novadaq Technologies Inc,
headquartered in Mississauga,
Ontario, manufactures and
wholesales real-time
fluorescence imaging
technology products for use in
the operating room. The
companys key markets include:
cardiac, plastic and
reconstructive, upper and
lower gastrointestinal, and
general surgeries. It was
founded in 2000.
Kinetic Concepts Inc, located
in San Antonio, Texas,
manufactures and wholesales
therapeutic hospital beds and
medical equipment for the
wound care, regenerative
medicine and therapeutic
support system markets. The
company's products are used by
healthcare providers including
acute care hospitals,
long-term care and skilled
nursing facilities, home
health agencies and wound care
clinics. Its other key markets
are in Germany, Austria, the
United Kingdom, Canada,
France, the Netherlands,
Switzerland, Australia, Italy,
Denmark, Sweden, Ireland,
Belgium, Spain Singapore and
South Africa. The company was
founded in 1976.</t>
  </si>
  <si>
    <t xml:space="preserve">Novadaq Technologies Inc
Chiron Holdings Inc</t>
  </si>
  <si>
    <t xml:space="preserve">3845
6726</t>
  </si>
  <si>
    <t xml:space="preserve">NOVADAQ TECHNOLOGIES INC/KINETIC CONCEPTS INC-STRATEGIC ALLIANCE</t>
  </si>
  <si>
    <t xml:space="preserve">Novadaq Technologies Inc (Novadaq) and Kinetic Concepts Inc (Kinetic)
terminated their strategic alliance. Previously on November 2011, Novadaq
and Kinetic formed a strategic alliance to develop and market Novadaqs
LUNA(TM) fluorescence imaging system. Novadaq is entitled to receive USD 3
mil in upfront and milestone payments.</t>
  </si>
  <si>
    <t xml:space="preserve">Novadaq is entitled to receive USD 3 mil in upfront and milestone
payments.</t>
  </si>
  <si>
    <t xml:space="preserve">66987G
49460W</t>
  </si>
  <si>
    <t xml:space="preserve">Curis Inc
Leukemia &amp; Lymphoma Society</t>
  </si>
  <si>
    <t xml:space="preserve">Biotechnology Company
Pvd research,dvlp, health svcs</t>
  </si>
  <si>
    <t xml:space="preserve">Curis Inc, located in
Cambridge, Massachusetts, is
a biotechnology company,
specializing in the research
and development of new
medicines primarily for
cancer. The company was
founded in 2000.
The Leukemia &amp; Lymphoma
Society provides research and
development services. The
company is headquartered in
White Plains, New York. The
company's service include
Research for academic research
for the diagnosis and
treatment of blood cancers,
Patient Services; provide
disease and treatment guide
for leukemia, lymphoma,
myeloma, myelodysplastic
syndromes and
myeloproliferative syndromes.</t>
  </si>
  <si>
    <t xml:space="preserve">CURIS INC/THE LEUKEMIA &amp; LYMPHOMA SOCIETY-STRATEGIC ALLIANCE</t>
  </si>
  <si>
    <t xml:space="preserve">Curis Inc (CI) and The Leukemia &amp; Lymphoma Society (LL) formed a strategic
alliance for the development of CI's oral small molecule dual Pi3K and HDAC
inhibitor CUDC-907 for patients with B-cell lymphoma and multiple myeloma.
Under the alliance, LL will provide up to USD 4 mil funding for the
development of CUDC-907.</t>
  </si>
  <si>
    <t xml:space="preserve">LL will provide up to USD 4 mil funding for the development of CUDC-907.</t>
  </si>
  <si>
    <t xml:space="preserve">231269
52219H</t>
  </si>
  <si>
    <t xml:space="preserve">Bristol-Myers Squibb Co
Tibotec Pharmaceuticals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</si>
  <si>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Tibotec Pharmaceuticals L is a
biotechnology company
headquartered in Ireland. The
company conducts
pharmaceutical research and
development for the treatment
of HIV/AIDS and drugs for
other infectious diseases. The
companys brands include TMC114
(darunavir), TMC125
(etravirine), TMC278,
(rilpivirine), TMC120,
(dapivirine), TMC207
(bedaquiline), VX950
(telaprevir) and TMC435 a
protease inhibitor (PI).</t>
  </si>
  <si>
    <t xml:space="preserve">Bristol-Myers Squibb Co
J&amp;J</t>
  </si>
  <si>
    <t xml:space="preserve">BRISTOL-MYERS SQUIBB CO/TIBOTEC PHARMACEUTICALS-STRATEGIC ALLIANCE</t>
  </si>
  <si>
    <t xml:space="preserve">Bristol-Myers Squibb Co (BM) and Tibotec Pharmaceuticals (TP) formed a
strategic alliance for the clinical development and evaluation of
daclatasvir (BMS-790052). Under the alliance, BM and PT will evaluate the
drug for the treatment of patients with HCV genotype 1 using three
regimens.</t>
  </si>
  <si>
    <t xml:space="preserve">110122
85943N</t>
  </si>
  <si>
    <t xml:space="preserve">Biosign Technologies Inc
EasyMed Services Inc</t>
  </si>
  <si>
    <t xml:space="preserve">Mnfr,whl medical monitoring equip
Pvd med,health tech svcs</t>
  </si>
  <si>
    <t xml:space="preserve">Biosign Technologies Inc,
located in Toronto. Ontario,
manufactures and wholesales
medical monitoring equipment.
It also offers automated,
software enabled health
information solutions
including the Pulsewave(R)
Health Monitor and
Healthanywhere(TM) Patient
monitoring/ self-management
platform. It has satellite
offices in New York, NY;
Heidelberg Germany and Dubai,
UAE. The company was founded
in 2006.
EasyMed Services Inc, located
in Vancouver, British
Columbia, is a global medical
information technology company
delivering an end-to-end
patient care solution through
mobile phone/PDA and server
technologies offering
specialized services and
applications for healthcare,
insurance and pharmaceutical
industries. Its products
include Easy SmartCare,
International Medical
Passport, Automated
CRO/Clinical Trial software,
Disease Management software
(in National Programs), and
Lifescience-Portal
(comprehensive company/drug
database). The company was
founded in 2005.</t>
  </si>
  <si>
    <t xml:space="preserve">3845
7375</t>
  </si>
  <si>
    <t xml:space="preserve">BIOSIGN TECHNOLOGIES INC/EASYMED SERVICES INC-STRATEGIC ALLIANCE</t>
  </si>
  <si>
    <t xml:space="preserve">Biosign Technologies Inc and EasyMed Services Inc formed a strategic
alliance, to allow the resale and distribution of each other's respective
products as well as a Development and License Agreement for the creation of
a joint product offering.</t>
  </si>
  <si>
    <t xml:space="preserve">Research &amp; Development Services
Retail &amp; Wholesale Services
Licensing Services</t>
  </si>
  <si>
    <t xml:space="preserve">09070P
277869</t>
  </si>
  <si>
    <t xml:space="preserve">Biospace Lab
ImaBio Group</t>
  </si>
  <si>
    <t xml:space="preserve">Own,op biological labs
Own,op biological labs</t>
  </si>
  <si>
    <t xml:space="preserve">Biospace Lab, located in
Paris, France, owns and
operates biological labs.
ImaBio Group , located in
Strasbourg, France, owns and
operates biological labs.</t>
  </si>
  <si>
    <t xml:space="preserve">8071
8071</t>
  </si>
  <si>
    <t xml:space="preserve">BIOSPACE LAB/IMABIO GROUP-STRATEGIC ALLIANCE</t>
  </si>
  <si>
    <t xml:space="preserve">Biospace Lab and ImaBio Group formed a strategic alliance to Develop a
Unique X-Ray.</t>
  </si>
  <si>
    <t xml:space="preserve">09398C
09398E</t>
  </si>
  <si>
    <t xml:space="preserve">Samsung BioLogics Co Ltd
Biogen Idec Inc</t>
  </si>
  <si>
    <t xml:space="preserve">Mnfr biological products
Biotechnology company</t>
  </si>
  <si>
    <t xml:space="preserve">Samsung BioLogics Co Ltd,
located in Seoul, South Korea,
manufactures biological
products. Its services include
process development and
optimization; cGMP production
and manufacturing scale-up;
quality assurance/quality
control; and regulatory
compliance functions. The
company also provides services
in the areas of research,
development, stability
testing, bulk manufacturing,
and regulatory assistance. It
was founded in April 2011.
2011.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</si>
  <si>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SAMSUNG BIOLOGICS CO LTD/BIOGEN IDEC INC-JOINT VENTURE</t>
  </si>
  <si>
    <t xml:space="preserve">Samsung Biologics Co Ltd (SB) and Biogen Idec Inc (BI) agreed to form a
joint venture named Samsung Bioepis Co Ltd to develop, manufacture and
market biosimilars. under the JV agreement, SB will contribute USD 255 mil
and BI will contribute USD 45 mil to the JV. SB were to hold 85% interest
in the JV while BI were to hold 15% stake. BI acquired biosimilar
development equipments of SB.</t>
  </si>
  <si>
    <t xml:space="preserve">SB will contribute USD 255 mil and BI will contribute USD 45 mil to the JV</t>
  </si>
  <si>
    <t xml:space="preserve">79684M
09062X</t>
  </si>
  <si>
    <t xml:space="preserve">Hoffmann-La Roche Inc
Swiss Federal Inst of Tech
University of Zurich
University Hospital Zurich</t>
  </si>
  <si>
    <t xml:space="preserve">Mnfr pharmaceuticals
Own,op college,university
Own,op college,university
Own,op university</t>
  </si>
  <si>
    <t xml:space="preserve">Hoffman-La Roche Inc is a
pharmaceuticals manufacturer,
headquartered in Nutley, New
Jersey, US. Its operations
includes research and
development centers that
conduct leading-edge work in
advancing disease detection
and treatment The company was
founded in 1905.
Swiss Federal Institute of
Technology, owns and operates
a college/university. The
college/university is
headquartered in Lausanne,
Switzerland. The university's
offerings include
Architecture, Civil and
Environmental, Computer and
Communication Sciences, Basic
Sciences, Engineering Sciences
and Techniques, Life Sciences,
The College of Humanities,
College of Management .
Founded in 1853.
University of Zurich is a
college operator. The
Company is located in
Zurich, Switzerland.
University Hospital Zurich,
located in Zurich,
Switzerland, owns and operates
a university.</t>
  </si>
  <si>
    <t xml:space="preserve">2834
8221
8221
8221</t>
  </si>
  <si>
    <t xml:space="preserve">United States
Switzerland
Switzerland
Switzerland</t>
  </si>
  <si>
    <t xml:space="preserve">NJ
FF
FF
FF</t>
  </si>
  <si>
    <t xml:space="preserve">Roche Holdings AG
Swiss Federal Inst of Tech
University of Zurich
University Hospital Zurich</t>
  </si>
  <si>
    <t xml:space="preserve">Switzerland
Switzerland
Switzerland
Switzerland</t>
  </si>
  <si>
    <t xml:space="preserve">HOFFMANN-LA ROCHE INC/SWISS FEDERAL INSTITUTE OF TECHNOLOGY/UNIVERSITY OF
ZURICH/UNIVERSITY HOSPITAL ZURICH-JOINT VENTURE</t>
  </si>
  <si>
    <t xml:space="preserve">Hoffmann-La Roche Inc (La Roche), Swiss Federal Institute of Technology
(ETH Zurich), University of Zurich (UZH) and the University Hospital Zurich
(USZ) formed a joint venture to provide academic translational research in
Zurich, Switzerland. The JV will focus on the areas of pathology,
dermatology, and inflammation, and potentially other diseases.</t>
  </si>
  <si>
    <t xml:space="preserve">43454M
86996W
90560Y
91637X</t>
  </si>
  <si>
    <t xml:space="preserve">Wuhan Iron &amp; Steel Group Corp
HG Tech Co Ltd</t>
  </si>
  <si>
    <t xml:space="preserve">Mnfr,whl iron,steel products
Mnfr,whl laser equip</t>
  </si>
  <si>
    <t xml:space="preserve">Wuhan Iron &amp; Steel Group
Corp, based in Wuhan City,
China, manufactures and
wholesales iron and steel
products. It also
manufactures milling
products such as heavy
section mill, plate making
mill, cold rolling mill, hot
rolling mill, no.2 hot
rolling mill, silicon steel
mill, and bar mill. The
company was founded in 1954.
HG Tech Co Ltd located in
Wuhan, China is a
manufacturer of electrical
equipment. The Company was
founded in July 1999.</t>
  </si>
  <si>
    <t xml:space="preserve">3462
3699</t>
  </si>
  <si>
    <t xml:space="preserve">WUHAN IRON &amp; STEEL GROUP CORP/HUAGONG TECH CO LTD -JOINT VENTURE</t>
  </si>
  <si>
    <t xml:space="preserve">Wuhan Iron &amp; Steel Group Corp (WI) and Huagong Tech Co Ltd (HT) planned to
form a joint venture named WISCO HuaGong Laser Equipment Co Ltd (WH) to
provide research, development, manufucaturing and selling services of laser
equipment. WI was to hold a 51% interest in WH while HT was to hold the
remaining 49% stake. The joint venture was to be capitalized CNY 80 mil
(USD 12.570 mil).</t>
  </si>
  <si>
    <t xml:space="preserve">The joint venture was to be capitalized CNY 80 mil (USD 12.570 mil).</t>
  </si>
  <si>
    <t xml:space="preserve">98264A
44340L</t>
  </si>
  <si>
    <t xml:space="preserve">Baoji Titanium Industry Co Ltd
Shanxi Taigang Stainless Steel</t>
  </si>
  <si>
    <t xml:space="preserve">Mnfr,whl titanium
Rolled Steel Shape Manufacturing</t>
  </si>
  <si>
    <t xml:space="preserve">Baoji Titanium Industry Co
Ltd is a manufacturer and
wholesaler of titanium. The
Company was founded in July
1999 and is located in
Baoji, China.
Shanxi Taigang Stainless
Steel Co Ltd is a
manufacturer and wholesaler
of rolled steel shapes. Its
main products include
stainless steel products,
common steel products and
common billets, among
others. Through its
subsidiaries, it is also
involved in the production
and distribution of steel
materials, billets, steel
ingot, pig iron products and
steel products, the rolling
and pressing of stainless
steel and other metal
products, as well as the
distribution of steel
products. The Company was
founded in June 1998 and is
located in Taiyuan, China.</t>
  </si>
  <si>
    <t xml:space="preserve">3356
3312</t>
  </si>
  <si>
    <t xml:space="preserve">Shaanxi Non-ferrous Metals
Taiyuan Iron &amp; Steel (Grp) Co</t>
  </si>
  <si>
    <t xml:space="preserve">1061
3312</t>
  </si>
  <si>
    <t xml:space="preserve">BAOJI TITANIUM INDUSTRY CO LTD/SHANXI TAIGANG STAINLESS STEEL CO LTD-JOINT
VENTURE</t>
  </si>
  <si>
    <t xml:space="preserve">Baoji Titanium Industry Co Ltd (BT), a unit of Shaanxi Non-ferrous Metals
Holding Group Co Ltd's Baoti Group Co Ltd subsidiary, and Shanxi Taigang
Stainless Steel Co Ltd (ST), a unit of Taiyuan Iron &amp; Steel(Group)Co Ltd,
planned to form a joint venture to develop new metals. BT was to hold a 51%
interest in the joint venture while ST was to hold the remaining 49% stake.
The joint venture was to be capitalized CNY 200 mil (USD 31.438 mil).</t>
  </si>
  <si>
    <t xml:space="preserve">The joint venture was to be capitalized CNY 200 mil (USD 31.438 mil).</t>
  </si>
  <si>
    <t xml:space="preserve">06883Y
81905E</t>
  </si>
  <si>
    <t xml:space="preserve">BASF SE
Unifying Concepts in Catalysis</t>
  </si>
  <si>
    <t xml:space="preserve">All Other Basic Inorganic Chemical Manufacturing
Pvd research,dvlp svcs</t>
  </si>
  <si>
    <t xml:space="preserve">BASF SE is a manufacturer
and wholesaler of inorganic
chemicals. The Company's
portfolio is organized into
six segments: Chemicals,
Materials, Industrial
Solutions, Surface
Technologies, Nutrition &amp;
Care and Agricultural
Solutions. BASF generated
sales of around 63 billion
in 2018. The BASF Group
comprises subsidiaries and
joint ventures in more than
80 countries and operates
six integrated production
sites and 390 other
production sites in Europe,
Asia, Australia, the
Americas and Africa. It also
acts as a holding company.
The Company was founded in
April 1865 and is located in
Ludwigshafen, Germany.
Unifying Concepts in Catalysis
provides research and
development services. The
company is headquartered in
Berlin, Germany. The company
is focused on research in the
field of catalysis as well as
research on energy supply,
natural gas and bio-hydrogen
and development of new agents.</t>
  </si>
  <si>
    <t xml:space="preserve">BASF SE/UNIFYING CONCEPTS IN CATALYSIS-JOINT VENTURE</t>
  </si>
  <si>
    <t xml:space="preserve">Unifying Concepts in Catalysis (UC) and BASF SE (BS) agreed to form a joint
venure named UniCat-BASF Joint Lab to provide research and developmetn
services. Under the agreement, the new JV will focus on the development of
new catalytic processes for raw material change. The Jv was to have an
invstment of EUR 13 mil (USD 17.349 mil).</t>
  </si>
  <si>
    <t xml:space="preserve">The Jv was to have an invstment of EUR 13 mil (USD 17.349 mil).</t>
  </si>
  <si>
    <t xml:space="preserve">055262
91649P</t>
  </si>
  <si>
    <t xml:space="preserve">Janssen Biotech Inc
Pharmacyclics Inc</t>
  </si>
  <si>
    <t xml:space="preserve">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
Pharmacyclics Inc, located in
Sunnyvale, California, is a
biopharmaceutical company
engaged in developing and
commercializing small-molecule
drugs for the treatment of
cancer and immune mediated
diseases. The Company designs,
develops and commercializes
therapies intended to improve
quality of life, increase
duration of life and resolve
unmet medical healthcare needs
of the patients. It also
identifies and controls
product candidates based on
scientific development and
administrational expertise. On
November 13, 2013, the United
States Food and Drug
Administration approved
IMBRUVICATM under accelerated
approval as a monotherapy for
the treatment of patients with
mantle cell lymphoma (MCL). On
November 13, 2013, the Company
launched, developed, and
commercialized its first
product, IMBRUVICATM in the
United States. In addition to
IMBRUVICATM, the Company has
three other product candidates
in clinical development and
other preclinical molecules in
lead optimization. The company
was founded in 1991.</t>
  </si>
  <si>
    <t xml:space="preserve">J&amp;J
Pharmacyclics Inc</t>
  </si>
  <si>
    <t xml:space="preserve">JANSSEN BIOTECH INC/PHARMACYCLICS INC-STRATEGIC ALLIANCE</t>
  </si>
  <si>
    <t xml:space="preserve">Janssen Biotech Inc (JB) and Pharmacyclics Inc (PI) formed a strategic
alliance to develop and market PCI-32765, an anti-cancer compound. JB made
an upfront payment worth USD 150 mil and will make additional payments
based on the achievement of certain development and regulatory milestones.</t>
  </si>
  <si>
    <t xml:space="preserve">JB made an upfront payment worth USD 150 mil and will make additional
payments based on the achievement of certain development and regulatory
milestones.</t>
  </si>
  <si>
    <t xml:space="preserve">44300K
716933</t>
  </si>
  <si>
    <t xml:space="preserve">Maersk Olie og Gas A/S
Siemens AG</t>
  </si>
  <si>
    <t xml:space="preserve">Crude Petroleum and Natural Gas Extraction
Manufactures and wholesales telecommunications equipment</t>
  </si>
  <si>
    <t xml:space="preserve">Maersk Olie og Gas A/S is
engaged in the crude
petroleum and natural gas
services business. It
produces approximately
313,000 barrels of oil
equivalent per day. It has
operations in Denmark, UK,
Norway, Kazakhstan, the US
Gulf of Mexico and in
Algeria. The Company was
founded in 1962 and is
located in Copenhagen,
Denmark.
Siemens AG manufactures and
wholesales
telecommunications
equipment. The Company
operates through nine
segments: Power and Gas;
Wind Power and Renewables;
Energy Management; Building
Technologies; Mobility;
Digital Factory; Process
Industries and Drives;
Healthineers, and Financial
Services. Its product groups
include automation, building
technologies, drive
technology, healthcare,
mobility, energy, financing,
consumer products and
services. Its services
include industry services,
energy services, healthcare
services, rail and road
solutions services,
logistics and airport
solutions services, home
appliances services, and
building technologies
services. Its
market-specific solutions
are focused on markets, such
as aerospace, automotive,
data centers, fiber
industry, food and beverage,
and machinery and plant
construction. The Company
was founded in October 1847
and is located in Munich,
Germany.</t>
  </si>
  <si>
    <t xml:space="preserve">1311
3663</t>
  </si>
  <si>
    <t xml:space="preserve">AP Moller og Hustru Chastine
Siemens AG</t>
  </si>
  <si>
    <t xml:space="preserve">8399
3663</t>
  </si>
  <si>
    <t xml:space="preserve">MAERSK OLIE OG GAS A/S/SIEMENS AG-STRATEGIC ALLIANCE</t>
  </si>
  <si>
    <t xml:space="preserve">Maersk Olie og Gas A/S (MO) and Siemens AG (SA) planned to form a strategic
alliance to develop and build oxyfuel turbines for MO's TriGen clean power
generation technology. Under the alliance, SA will fund and further develop
the turbine sin the next 5 years.</t>
  </si>
  <si>
    <t xml:space="preserve">Research &amp; Development Services
Construction Services</t>
  </si>
  <si>
    <t xml:space="preserve">55901P
826197</t>
  </si>
  <si>
    <t xml:space="preserve">Ezose Sciences Inc
Merck Sharp &amp; Dohme Corp</t>
  </si>
  <si>
    <t xml:space="preserve">Dvlp disease biomarkers
Mnfr,whl pharmaceutical prod</t>
  </si>
  <si>
    <t xml:space="preserve">Ezose Sciences Inc, located in
Pine Brook, New Jersey,
discover &amp; develop new disease
biomarkers and therapeutic
targets. It analyzes the
glycans present on
glycoproteins, antibodies and
other sample types. The
company's brand include
GlycanMap(R) a unique
high-throughput glycan
analysis platform;
BlotGlyco(R) provides highly
selective and high-throughput
purification of
oligosaccharide; SweetBlot(R)
and Quantitative MALDI-MS. The
company was founded in 2009.
Merck Sharp &amp; Dohme Corp,
located in Kenilworth, New
Jersey, is a manufacturer of
pharmaceutical preparation.
It is focused on researching
on hepatitis C, HIV,
diabetes and
immuno-oncology. The Company
was founded in 1891.</t>
  </si>
  <si>
    <t xml:space="preserve">Shionogi &amp; Co Ltd
Merck &amp; Co Inc</t>
  </si>
  <si>
    <t xml:space="preserve">EZOSE SCIENCES INC/MERCK &amp; CO INC-STRATEGIC ALLIANCE</t>
  </si>
  <si>
    <t xml:space="preserve">Ezose Sciences Inc (ES) and Merck &amp; Co Inc (MC) formed a strategic alliance
to provide research and development services on biomarkers in the area of
diabetes. The alliance will utilize ES's GlycanMap to identify changes in
glycan patterns on post-translationally modified proteins from humans.</t>
  </si>
  <si>
    <t xml:space="preserve">27190W
U58933</t>
  </si>
  <si>
    <t xml:space="preserve">EnWave Corp
Merck Sharp &amp; Dohme Corp</t>
  </si>
  <si>
    <t xml:space="preserve">Research and Development in The Physical, Engineering and Lifesciences (Except Biotechnology)
Mnfr,whl pharmaceutical prod</t>
  </si>
  <si>
    <t xml:space="preserve">EnWave Corp is a provider of
research and development
services. The Company was
founded in July 1999 and is
located in Delta, Canada.
Merck Sharp &amp; Dohme Corp,
located in Kenilworth, New
Jersey, is a manufacturer of
pharmaceutical preparation.
It is focused on researching
on hepatitis C, HIV,
diabetes and
immuno-oncology. The Company
was founded in 1891.</t>
  </si>
  <si>
    <t xml:space="preserve">EnWave Corp
Merck &amp; Co Inc</t>
  </si>
  <si>
    <t xml:space="preserve">ENWAVE CORP/MERCK SHARP &amp; DOHME CORP-STRATEGIC ALLIANCE</t>
  </si>
  <si>
    <t xml:space="preserve">EnWave Corp (EC) and Merck Sharp &amp; Dohme Corp (MS) formed a strategic
alliance to provide research and licensing services. Under the agreement,
MS will conduct a feasibility study of the Radiant Energy Vacuum Technology
using EC's multi-vial pilot-scale equipment. EC grated license to MS to use
the EC's patents and technology for the evaluation.</t>
  </si>
  <si>
    <t xml:space="preserve">29410K
U58933</t>
  </si>
  <si>
    <t xml:space="preserve">ZyGEM Corp Ltd
Morpho SA</t>
  </si>
  <si>
    <t xml:space="preserve">Biotech co
Provide identification system services</t>
  </si>
  <si>
    <t xml:space="preserve">ZyGEM Corp Ltd, located in
Hamilton, New Zealand, is a
biotechnology company
identifying enzymes extracted
from extremophiles - a rare
microorganisms from extreme
environments -and using for a
wide range of application. The
company was founded in 1980.
Morpho SA, located in Paris,
France, provides biometric
identification system
services. The company is a
player in multibiometric
technologies, smartcards,
secure transactions and ID
management solutions. It
offers products and
solutions for local
protection, as well as
nation-wide security
systems, already delivered
to more than 60 different
countries.</t>
  </si>
  <si>
    <t xml:space="preserve">2836
7382</t>
  </si>
  <si>
    <t xml:space="preserve">New Zealand
France</t>
  </si>
  <si>
    <t xml:space="preserve">ZyGEM Corp Ltd
Safran SA</t>
  </si>
  <si>
    <t xml:space="preserve">2836
3728</t>
  </si>
  <si>
    <t xml:space="preserve">ZYGEM CORP LTD/MORPHO-STRATEGIC ALLIANCE</t>
  </si>
  <si>
    <t xml:space="preserve">ZyGEM Corp Ltd and Morpho SA formed a strategic alliance, to market
advanced forensic products to police forces worldwide.</t>
  </si>
  <si>
    <t xml:space="preserve">99172N
61726Z</t>
  </si>
  <si>
    <t xml:space="preserve">Southern Research Institute
BioLeap LLC</t>
  </si>
  <si>
    <t xml:space="preserve">Pvd research,development svcs
Biotechnology company</t>
  </si>
  <si>
    <t xml:space="preserve">Southern Research Institute,
located in Birmingham,
Alabama, provide research and
development services with
innovative leadership in major
scientific discoveries in drug
discovery and development,
engineering, aerospace,
materials, chemical and
biological defense, and
environment and energy
research.
BioLeap LLC is a biotechnology
company headquartered in
Pennsylvania.</t>
  </si>
  <si>
    <t xml:space="preserve">AL
NJ</t>
  </si>
  <si>
    <t xml:space="preserve">SOUTHERN RESEARCH INSTITUTE/BIOLEAP LLC-STRATEGIC ALLIANCE</t>
  </si>
  <si>
    <t xml:space="preserve">Southern Research Institute (SR) and BioLeap LLC (BL) formed a strategic
alliance for the research and dvelopment of new disease therapeutics that
utilizes BL's computational fragment-based molecular design technology.</t>
  </si>
  <si>
    <t xml:space="preserve">84377P
09235E</t>
  </si>
  <si>
    <t xml:space="preserve">ZBB Energy Corp
Anhui Meineng</t>
  </si>
  <si>
    <t xml:space="preserve">Pvd power management svcs
Instrument Manufacturing For Measuring and Testing Electricity and Electrical Signals</t>
  </si>
  <si>
    <t xml:space="preserve">ZBB Energy Corp, located in
Menomonee Falls, Wisconsin,
provides power management
services. It also manufactures
and markets distributed power
management platforms, which
integrate all types of
renewable and conventional
power sources with storage
technology. ZBB is deploying
its modular power platforms
both off-grid, and in the
distribution portion of the
grid-operating near the loads
and distributed renewable
energy systems. Its ZESS POWR
platforms are components for
expansion of grid with
renewable energy. They enable
customers to configure a power
system. ZBB is focused on
serving the military,
commercial building, electric
vehicle (EV) charging and
off-grid telecom market
segments. It was founded in
1988.
Anhui Meineng Store Energy
System Co Ltd, located in
China, provides energy storage
systems and solutions.</t>
  </si>
  <si>
    <t xml:space="preserve">4911
3825</t>
  </si>
  <si>
    <t xml:space="preserve">ZBB Energy Corp
ZBB Energy Corp</t>
  </si>
  <si>
    <t xml:space="preserve">ZBB ENERGY CORP/ANHUI MEINENG STORE ENERGY SYSTEM CO LTD -JOINT VENTURE</t>
  </si>
  <si>
    <t xml:space="preserve">ZBB Energy Corp (ZE) and Anhui Meineng Store Energy System Co Ltd(Meineng)
agreed to form a joint venture to develop low cost, high energy density
grid scale flow battery stacks and systems. Meineng)were to invest USD
800,000 for the first phase of the development and were to purchase USD
700,000 E common shares.</t>
  </si>
  <si>
    <t xml:space="preserve">Meineng were to invest USD 800,000 for the first phase of the development</t>
  </si>
  <si>
    <t xml:space="preserve">98876R
4C3726</t>
  </si>
  <si>
    <t xml:space="preserve">Camurus AB
Novartis AG</t>
  </si>
  <si>
    <t xml:space="preserve">Camurus AB is a
biotechnology company
headquartered in Lund,
Sweden. It focuses on
innovative design,
development, and
documentation of lipid-based
FluidCrystal (R) drug
delivery systems. Its
pipeline of drug product
candidates, both in-house
and in cooperation with
selected pharmaceutical and
biotech partners, covers
therapeutic areas cancer,
pain, infection, CNS, and
metabolic disease. The
company was founded in 1991.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</si>
  <si>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Sweden
Switzerland</t>
  </si>
  <si>
    <t xml:space="preserve">Sandberg Development AB
Novartis AG</t>
  </si>
  <si>
    <t xml:space="preserve">CAMURUS AB/NOVARTIS AG-STRATEGIC ALLIANCE</t>
  </si>
  <si>
    <t xml:space="preserve">Camurus AB (CA) and Novartis AG (NA) formed a strategic alliance for the
development and manufacture of CA's CAM2029. Under the alliance, CA granted
license to NA to its FluidCrystal Injection depot technology for the
development, manufacture and commercialization of CAM2029. CA is entitled
to receive a non-refundable option fee of USD 10 mil up to USD 700 mil
subject to achievement of predefined development, regulatory and commercial
milestones for the various products.</t>
  </si>
  <si>
    <t xml:space="preserve">Licensing Services
Research &amp; Development Services
Management Services</t>
  </si>
  <si>
    <t xml:space="preserve">CA is entitled to receive a non-refundable option fee of USD 10 mil up to
USD 700 mil subject to achievement of predefined development, regulatory
and commercial milestones for the various products.</t>
  </si>
  <si>
    <t xml:space="preserve">13476R
66987V</t>
  </si>
  <si>
    <t xml:space="preserve">Angel Biotechnology Holdings
TransGenRx Inc</t>
  </si>
  <si>
    <t xml:space="preserve">Biotechnology co
Mnfr pharm</t>
  </si>
  <si>
    <t xml:space="preserve">Angel Biotechnology Holdings
PLC, located in Edinburgh, UK,
is a biotechnology company.
The company specializes in the
provision of advanced
biological products such as
autologous and allogeneic cell
therapy products, stem cells,
cellular vaccines, specific
purified natural and
recombinant proteins, virus
and bacteriophage. The company
was founded in the year 2005.
TransGenRx Inc is a
pharmaceutical manufacturing
firm, headquartered in Baton
Rouge, Louisiana. The company
products and services include
Hollow Fiber Perfusion
Bioreactor technology which
can manufacture new molecular
entity and bio-similar
biotechnology medicines/drugs
of various complexities based
on transgenic technology. It
also provides custom
development and production
services. The company was
founded in 2002.</t>
  </si>
  <si>
    <t xml:space="preserve">FF
LA</t>
  </si>
  <si>
    <t xml:space="preserve">ANGEL BIOTECHNOLOGY HOLDINGS PLC/TRANSGENRX INC-STRATEGIC ALLIANCE</t>
  </si>
  <si>
    <t xml:space="preserve">Angel Biotechnology Holdings PLC (AB) and TransGenRx Inc (TI) planned to
form strategic alliance to develop and manufacture a recombinant protein
product. The development of the products will be worth more than GBP 800,
000 (USD 1.243 mil)</t>
  </si>
  <si>
    <t xml:space="preserve">The development of the products will be worth more than GBP 800, 000 (USD
1.243 mil)</t>
  </si>
  <si>
    <t xml:space="preserve">G04459
93548F</t>
  </si>
  <si>
    <t xml:space="preserve">Mebiopharm Co Ltd
Nawaloka Holdings (Pvt) Ltd</t>
  </si>
  <si>
    <t xml:space="preserve">Mnfr,whl pharmaceuticals
Investment holding company</t>
  </si>
  <si>
    <t xml:space="preserve">Mebiopharm Co Ltd,
headquartered in Kanagawa,
Japan, manufactures and
wholesales pharmaceuticals.
The company was founded in
2002.
Nawaloka Holdings (Pvt) Ltd
operates as a holding company.
The Company has diversified
businesses in to many sectors
including Health Care,
Construction, Manufacturing,
Trading, Lubricants and
Aviation. The Company is
located in Colombo, Sri Lanka.</t>
  </si>
  <si>
    <t xml:space="preserve">Japan
Sri Lanka</t>
  </si>
  <si>
    <t xml:space="preserve">MEBIOPHARM CO LTD/NAWALOKA HOLDINGS-JOINT VENTURE</t>
  </si>
  <si>
    <t xml:space="preserve">Sri Lanka</t>
  </si>
  <si>
    <t xml:space="preserve">Mebiopharm Co Ltd (MC) and Nawaloka Holdings (NH) planned to form a joint
venture named N&amp;M Ltd (NM) to own and operate a site management
organization business in Colombo. MC and NH were to each hold a 50%
interest in NM. The joint venture was to be capitalized LKR 20 mil (USD
0.176 mil).</t>
  </si>
  <si>
    <t xml:space="preserve">The joint venture was to be capitalized LKR 20 mil (USD 0.176 mil).</t>
  </si>
  <si>
    <t xml:space="preserve">58357N
63967J</t>
  </si>
  <si>
    <t xml:space="preserve">Amgen Inc
Watson Pharmaceuticals Inc</t>
  </si>
  <si>
    <t xml:space="preserve">Manufacture human therapeutics
Mnfr,whl generic pharm prod</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</si>
  <si>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Watson Pharmaceuticals Inc,
located in Parsippany, New
Jersey, manufactures and
wholesales generic and
specialty brand pharmaceutical
products focused on urology,
gynecology and nephrology.
Currently, the company has 150
generic pharmaceutical product
families and 27 brand
pharmaceutical product
families, as well as
distributed approximately
8,000 stock-keeping units. It
was founded in 1983.</t>
  </si>
  <si>
    <t xml:space="preserve">AMGEN INC/WATSON PHARMACEUTICALS INC-STRATEGIC ALLIANCE</t>
  </si>
  <si>
    <t xml:space="preserve">Amgen Inc and Watson Pharmaceuticals Inc formed a strategic alliance to
Develop and Commercialize Oncology Biosimilars.</t>
  </si>
  <si>
    <t xml:space="preserve">031162
942683</t>
  </si>
  <si>
    <t xml:space="preserve">Beijing SL Pharm Co Ltd
Lin Chai</t>
  </si>
  <si>
    <t xml:space="preserve">Mnfr,whl pharm
Individual</t>
  </si>
  <si>
    <t xml:space="preserve">Beijing SL Pharmaceutical Co
Ltd is a manufacturer of
pharmaceutical preparation.
The Company was founded in
December 1994 and is located
in Beijing, China.
Lin Chai is an investor.</t>
  </si>
  <si>
    <t xml:space="preserve">BEIJING SL PHARMACEUTICAL CO LTD/LIN CHAI-JOINT VENTURE</t>
  </si>
  <si>
    <t xml:space="preserve">Lin Chai (LC) and Beijing SL Pharmaceutical Co Ltd (BP) planned to form a
joint venture named Diapin Therapeutics LLC to research and develop drugs
for the prevention or cure of diabetes mellitus in Delawara, USA. LC was to
hold a 78.95% interest while BP was to hold the remaining 21.05% stake. The
transaction was to have a value of USD 7.5 mil.</t>
  </si>
  <si>
    <t xml:space="preserve">78.90
21.10</t>
  </si>
  <si>
    <t xml:space="preserve">The transaction was to have a value of USD 7.5 mil.</t>
  </si>
  <si>
    <t xml:space="preserve">83076H
49653A</t>
  </si>
  <si>
    <t xml:space="preserve">ProteoTech Inc
GlaxoSmithKline(China)R&amp;D Co</t>
  </si>
  <si>
    <t xml:space="preserve">Pvd drug development services
Pvd pharm research services</t>
  </si>
  <si>
    <t xml:space="preserve">ProteoTech Inc, headquartered
in Kirkland, Washington,
provides drug development
services.
GlaxoSmithKline(China)R&amp;D Co
Ltd, headquartered in
Shanghai, China, provides
pharmaceutical research
services.</t>
  </si>
  <si>
    <t xml:space="preserve">ProteoTech Inc
GlaxoSmithKline PLC</t>
  </si>
  <si>
    <t xml:space="preserve">PROTEOTECH INC/GLAXOSMITHKLINE(CHINA)R&amp;D CO LTD-STRATEGIC ALLIANCE</t>
  </si>
  <si>
    <t xml:space="preserve">ProteoTech Inc and GlaxoSmithKline(China)RD Co Ltd formed a strategic
alliance, to collaborate on ProteoTechs small molecule technology platform
against misfolded proteins to specifically advance work on its
alpha-synuclein therapeutic program for the treatment of Parkinsons disease
and other synucleinopathies.</t>
  </si>
  <si>
    <t xml:space="preserve">76877F
37747J</t>
  </si>
  <si>
    <t xml:space="preserve">Nobel Automotive Group
Fuzhou Rocket Entrprs Co Ltd</t>
  </si>
  <si>
    <t xml:space="preserve">Mnfr motor vehicles,parts
Mnfr motor vehicles,parts</t>
  </si>
  <si>
    <t xml:space="preserve">Nobel Automotive is a motor
vehicles and parts
manufacturer, headquartered in
Poissy, France and with
locations in China, England,
France, India, Korea, Mexico,
Romania, Russia, Slovakia,
Spain, Turkey and the United
States. The company
specializes in the design and
production of fluid transfer
products. It was founded in
July 2007.
Fuzhou Rocket Enterprises Co
Ltd is a motor vehicles and
parts manufacturer,
headquartered in China.</t>
  </si>
  <si>
    <t xml:space="preserve">Orhan Holding AS
Fuzhou Rocket Entrprs Co Ltd</t>
  </si>
  <si>
    <t xml:space="preserve">Turkey
China</t>
  </si>
  <si>
    <t xml:space="preserve">NOBEL AUTOMOTIVE GROUP/FUZHOU ROCKET ENTERPRISES CO LTD-JOINT VENTURE</t>
  </si>
  <si>
    <t xml:space="preserve">Nobel Automotive Group (NA) and Fuzhou Rocket Enterprises Co Ltd (FR)
agreed to form a joint venture named Nobel Rocket Co Ltd to develop,
manufacture and sell automotive fluid transfer systems in Asia. The
transaction was subject to regulatory approval.</t>
  </si>
  <si>
    <t xml:space="preserve">65928T
35783Z</t>
  </si>
  <si>
    <t xml:space="preserve">Arecor Ltd
Eli Lilly &amp; Co</t>
  </si>
  <si>
    <t xml:space="preserve">Dvlps stabilization technology
Manufactures,wholesales pharmaceuticals</t>
  </si>
  <si>
    <t xml:space="preserve">Arecor Ltd, located in
Sharnbrook, United Kingdom
develops stabilization
technology solutions for
pharmaceutical and biotech
companies developing
recombinant proteins and
vaccines for application in
drugs, medical devices, or
diagnostics. The company's
brands include Arestat(TM)
which allows stability of
various molecules, such as
proteins or other biologics to
be controlled to prevent loss
of activity, loss of native
structure or aggregation
through the process of
degradation. Arestat(TM) is
made up of three different
aspects of stabilization:
Arestat-T which is used for
stabilization of biologics
during storage at
refrigerated, ambient or
elevated temperatures.
Arestat-C used for proteins,
particularly antibodies, at
high concentrations and
Arestat-R used for the
stabilization of biologics
exposed to ionizing radiation.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</si>
  <si>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Insense Ltd
Eli Lilly &amp; Co</t>
  </si>
  <si>
    <t xml:space="preserve">ARECOR LTD/ELI LILLY &amp; CO-STRATEGIC ALLIANCE</t>
  </si>
  <si>
    <t xml:space="preserve">Arecor Ltd (AL) and Eli Lilly &amp; Co (EL) formed a strategic alliance for the
development of therapeutic proteins. Under the agreement, Al and EL will
assess the possible integration of AL's therapeutic proteins to EL's
biological-based drugs. AL and EL will also collaborate in the further
development of EL's existing therapeutic proteins in several therapeutic
areas.</t>
  </si>
  <si>
    <t xml:space="preserve">1A6169
532457</t>
  </si>
  <si>
    <t xml:space="preserve">QRxPharma Ltd
Watson Pharmaceuticals Inc</t>
  </si>
  <si>
    <t xml:space="preserve">Manufacture pharmaceuticals
Mnfr,whl generic pharm prod</t>
  </si>
  <si>
    <t xml:space="preserve">QRxPharma Ltd, headquartered
in North Sydney, Australia,
manufactures pharmaceutical
products. The company
manufactures products used for
Pain Management: Moxduo IR,
Moxduo IV, and Moxduo CR.
Neurologic Diseases: Lead
Compound (Dystonia) and Lead
Compound (Parkinsons).
Venomics: Haemepatch and
Textilinin. The company was
founded in 2002.
Watson Pharmaceuticals Inc,
located in Parsippany, New
Jersey, manufactures and
wholesales generic and
specialty brand pharmaceutical
products focused on urology,
gynecology and nephrology.
Currently, the company has 150
generic pharmaceutical product
families and 27 brand
pharmaceutical product
families, as well as
distributed approximately
8,000 stock-keeping units. It
was founded in 1983.</t>
  </si>
  <si>
    <t xml:space="preserve">QRXPHARMA LTD/ACTAVIS INC-STRATEGIC ALLIANCE</t>
  </si>
  <si>
    <t xml:space="preserve">QRxPharma Ltd (QL) and Actavis Inc (AI) signed letter of intent to form
strategic alliance for the commercialization and development of QL's MoxDuo
IR in the United States. Under the agreement, AI paid USD 6 mil to QL as an
upfront payment. Furthermore, QL is entitled to receive 10% to 30% of the
net sales thresholds of the drug as royalty fees and a 50% royalty on USD
150 mil cumulative sales.</t>
  </si>
  <si>
    <t xml:space="preserve">AI paid USD 6 mil to QL as an upfornt payment. Furthermore, QL is entitled
to receive 10% to 30% of the net sales thresholds of the drug as royalty
fees and a 50% royalty on USD 150 mil cumulative sales.</t>
  </si>
  <si>
    <t xml:space="preserve">75341E
942683</t>
  </si>
  <si>
    <t xml:space="preserve">Cardium Therapeutics Inc
SourceOne Global Partners</t>
  </si>
  <si>
    <t xml:space="preserve">Biotechnology company
Mnfr pharm ingredients</t>
  </si>
  <si>
    <t xml:space="preserve">Cardium Therapeutics Inc,
based in San Diego,
California, is a biotechnology
company focused on the
acquisition and strategic
development of new and
innovative biomedical product
opportunities and businesses
that have the potential to
address signification unmet
medical needs and definable
pathways to commercialization.
The company's Cardium
Biologics subsidiary has three
growth factor-based drug
candidates aimed at treating
ischemic heart disease (such
as angina), and restoring
heart functioning after a
heart attack. Lead candidate
Generx works by stimulating
the growth of new blood
vessels (called angiogenesis)
in angina patients. Cardium
Therapeutics' Innercool
Therapies subsidiary makes the
Celsius Control, CoolBlue and
Rapid Blue systems which help
warm or cool patients with
catheters or wraps.
Temperature modulation is used
both to reduce fevers and to
reduce cell damage during
surgery. The company was
founded in 2003.
SourceOne Global Partners is a
supplier of innovative,
science-based, branded
ingredients and proprietary
formulas to the nutritional
supplement, functional food &amp;
beverage, cosmetic, and animal
nutrition markets. It's brands
include AlivEL 100(TM), Cardio
E(R), Cholesstrinol(TM)
Formulas, CoQsource(R),
D-Sorb(TM), OmegaChoice(R),
OPC-source(R), PMF-source(TM)
&amp; Citrus Limonoids,
SterolSource(R), VESIsorb(R)
Delivery System, Chondroitin,
Green Tea &amp; EC/GC, Natural
Carotenoids, Olive Leaf
Extract, Proprietary Formulas,
Resveratrol and Tocotrienols &amp;
Tocopherols.</t>
  </si>
  <si>
    <t xml:space="preserve">CARDIUM THERAPEUTICS INC/SOURCEONE GLOBAL PARTNERS-STRATEGIC ALLIANCE</t>
  </si>
  <si>
    <t xml:space="preserve">Cardium Therapeutics Inc (CT) and SourceOne Global Partners (SO) formed a
strategic alliance to develop nutritional supplements. Under the agreement,
the alliance will also develop pharmaceuticals and medical foods utilizing
SO's branded ingredients that include specialized formulations of EPA/DHA
Omega-3 oils, Citrus Polymethoxylated Flavonoids, Ubiquinol-QH,
TocoSource(R) Palm Tocotrienols, and VESIsorb(R). Furthermore, T was
granted license to commercialize SO's products as nutraceuticals,
pharmaceuticals and/or medical foods.</t>
  </si>
  <si>
    <t xml:space="preserve">141916
83298T</t>
  </si>
  <si>
    <t xml:space="preserve">Provenance Biopharma Corp
Allopexx Enterprises LLC</t>
  </si>
  <si>
    <t xml:space="preserve">Provenance Biopharmaceuticals
Corp is a biotechnology
company headquartered in
Waltham, Massachusetts. The
company is focused on the
development of novel
immunotherapeutic for the
treatment of cancer and other
life threatening diseases.
Allopexx Enterprises LLC is
a provider of research and
development services. The
Company is located in
Concord, Massachusetts.</t>
  </si>
  <si>
    <t xml:space="preserve">PROVENANCE BIOPHARMACEUTICALS CORP/ALLOPEXX ENTERPRISES-JOINT VENTURE</t>
  </si>
  <si>
    <t xml:space="preserve">Provenance Biopharmaceuticals Corp (PB) and Allopexx Enterprises (AE)
formed a joint venture named Alopexx Oncology LLC for the development of
PB's DI-Leu16-IL2 for the treatment of cancer.</t>
  </si>
  <si>
    <t xml:space="preserve">76879Y
01983P</t>
  </si>
  <si>
    <t xml:space="preserve">Karo Bio AB
Pfizer Inc</t>
  </si>
  <si>
    <t xml:space="preserve">Provide medical research svcs
Manufacture,wholesale pharmaceuticals</t>
  </si>
  <si>
    <t xml:space="preserve">Karo Bio AB, located in
Huddinge, Sweden, provides
medical research services.
It specializes in clinical
testing of pharmaceuticals.
The company was founded in
1987.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</si>
  <si>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KARO BIO AB/PFIZER INC-STRATEGIC ALLIANCE</t>
  </si>
  <si>
    <t xml:space="preserve">Karo Bio AB (KB) and Pfizer Inc (PI) formed a strategic alliance for the
research and development of KB's small molecule RORgamma modulators. Under
the agreement, KB is entitled to receive up to USD 217 mil in upfront and
milestone payments as well as potential royalty fees. PI will shoulder the
research costs and have the right to market any developed products from the
alliance.</t>
  </si>
  <si>
    <t xml:space="preserve">KB is entitled to receive up to USD 217 mil in upfront and milestone
payments as well as potential royalty fees.</t>
  </si>
  <si>
    <t xml:space="preserve">48576M
717081</t>
  </si>
  <si>
    <t xml:space="preserve">Collplant Ltd
Pfizer Inc</t>
  </si>
  <si>
    <t xml:space="preserve">Mnfr medical devices
Manufacture,wholesale pharmaceuticals</t>
  </si>
  <si>
    <t xml:space="preserve">CollPlant Ltd, located in
Ness-Ziona, Israel,
manufactures medical
devices. Its products
include VergenixRCR,
VergenixTRA, VergenixACL,
VergenixTP, VergenixWD,
VergenixTRA, VergenixFG,
VergenixDMR, VergenixAR,
VergenixSF, VergenixBVF and
VergenixPBR. The Company is
developing a substantial
range of biomaterials-based
products applicable in
multiple medical markets,
including orthopedics, wound
management, cardiology and
general surgery. The Company
was founded in 2004.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</si>
  <si>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COLLPLANT LTD/PFIZER INC-STRATEGIC ALLIANCE</t>
  </si>
  <si>
    <t xml:space="preserve">CollPlant Ltd (CL) and Pfizer Inc (PI) formed a strategic alliance for thre
research and development of an orthopedic product for the repair of
compound fractures. Under the agreement, CL is entitled to receive USD 1.9
mil. The collboration will combine PI's proteins and CL's rhCollagen human
recombinant collagen product.</t>
  </si>
  <si>
    <t xml:space="preserve">CL is entitled to receive USD 1.9 mil</t>
  </si>
  <si>
    <t xml:space="preserve">19516L
717081</t>
  </si>
  <si>
    <t xml:space="preserve">Biotec Services Intl Ltd
AwenID Ltd</t>
  </si>
  <si>
    <t xml:space="preserve">Pvd pharmaceutical services
Pvd research services</t>
  </si>
  <si>
    <t xml:space="preserve">Biotec Services International
Ltd, headquartered in
Bridgend, United Kingdom, is a
provider of pharmaceutical
services. The company services
include import of supplies
into the European Union;
qualified person certification
and consultancy; labeling and
assembly; pharmaceutical
storage; international
distribution; and returns and
reconciliation. It was founded
in 1997.
AwenID Ltd, headquartered in
Swansea, is a provider of
research led, customized
electronic, automated data
capture and tracking
technology based solution. The
company offers designing,
developing and integrating
several identification,
automation and tracking
technologies including
Biometrics, RFID, AutoID, GPS,
GPRS, 3G and wireless
technologies. It was founded
in 2010.</t>
  </si>
  <si>
    <t xml:space="preserve">2834
7389</t>
  </si>
  <si>
    <t xml:space="preserve">BIOTEC SERVICES INTERNATIONAL LTD/AWENID LTD-JOINT VENTURE</t>
  </si>
  <si>
    <t xml:space="preserve">TrakCel, headquartered in
Bridgend, United Kingdom, is a
provider of biotechnology. It
serves as a comprehensive
solution that covers all
aspects of patient
registration, sample
collection, logistics,
manufacturing, quality
control. It was founded in
2012.</t>
  </si>
  <si>
    <t xml:space="preserve">Biotec Services International Ltd (Biotec) and AwenID Ltd (AwenID) formed a
joint venture named TrakCel Ltd (JV) to develop technology that will
increase efficiency and reduce the risk of stem cell therapies. Trakcel
develops tracking technology for the full lifecycle of stem cell-based
therapies, to make sure that the patients will receive the correct
treatment at the right time and location. Trakcel has been supported by the
Welsh Government Research, Innovation and Development Grant.</t>
  </si>
  <si>
    <t xml:space="preserve">6A1335</t>
  </si>
  <si>
    <t xml:space="preserve">6A1332
6A1325</t>
  </si>
  <si>
    <t xml:space="preserve">Isis Pharmaceuticals Inc
Biogen Idec Inc</t>
  </si>
  <si>
    <t xml:space="preserve">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</si>
  <si>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ISIS PHARMACEUTICALS INC/BIOGEN IDEC-STRATEGIC ALLIANCE</t>
  </si>
  <si>
    <t xml:space="preserve">Isis Pharmaceuticals Inc (IP) and Biogen Idec Inc (BI) formed a strategic
alliance for the development and commercialization of IP's spinal muscular
atrophy treatment. IP is entitled to receive USD 29 mil as an upfront
payment and up to USD 45 mil milestone payment before licensing. An
additional USD 225 mil will be paid to IP as license fee and regulatory
milestone payments.</t>
  </si>
  <si>
    <t xml:space="preserve">IP is entitled to receive USD 29 mil as an upfront payment and up to USD 45
mil milestone payment before licensing. An additional USD 225 mil will be
paid to IP as license fee and regulatory milestone payments.</t>
  </si>
  <si>
    <t xml:space="preserve">464330
09062X</t>
  </si>
  <si>
    <t xml:space="preserve">Les Laboratoires Servier SAS
Bioinvent International AB</t>
  </si>
  <si>
    <t xml:space="preserve">Manufacture,wholesale drugs
Biotechnology company</t>
  </si>
  <si>
    <t xml:space="preserve">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
Bioinvent International AB,
headquartered in Lund,
Sweden, is a biotechnology
company, involved in the
isolation and development of
human antibodies through its
proprietary human antibody
library n-CoDeR, as well as
the out-licensing of the
same library. The Group also
establishes collaborative
research, development and
manufacturing partnerships
with pharmaceutical
companies and is developing
antibody-based drugs against
AIDS, atherosclerosis,
cancer and diseases of the
joints. The company was
founded in 1995.</t>
  </si>
  <si>
    <t xml:space="preserve">France
Sweden</t>
  </si>
  <si>
    <t xml:space="preserve">SERVIER SA/BIOINVENT INTERNATIONAL AB-STRATEGIC ALLIANCE</t>
  </si>
  <si>
    <t xml:space="preserve">Servier SA (SS) and BioInvent International AB (BI) formed a strategic
alliance for the development of an antibody against a target structure in
tumor cell metabolism. BI is entitled to receive more than EUR 11 mil (USD
14.235 mil) licensing fee, research support and potential milestone
payments. Under the agreement, BI will be in charge of the selection of
antibodies from the SS's antibody library n-CoDeR and in turn SS will have
access to BI's clinical expertise in the optimization of an antibody
candidate for further clinical development.</t>
  </si>
  <si>
    <t xml:space="preserve">BI is entitled to receive more than EUR 11 mil (USD 14.235 mil) licensing
fee, research support and potential milestone payments.</t>
  </si>
  <si>
    <t xml:space="preserve">81764A
09059S</t>
  </si>
  <si>
    <t xml:space="preserve">Belkin International Inc
Evo Inc</t>
  </si>
  <si>
    <t xml:space="preserve">Mnfr networking devices
Dvlp monitoring applications</t>
  </si>
  <si>
    <t xml:space="preserve">Belkin International Inc,
headquartered in Playa
Vista, California,
manufactures networking
devices and accessories for
mobile devices such as iPod,
iPhone, laptops, netbooks
and energy conservation
products. The Company was
founded in 1983.
Evo Inc, develops baby
monitoring applications. The
companys brands include Evoz,
an application that allows its
user to monitor the baby's
sleep anywhere on the globe.
The application's services
include crying alerts,
monitoring, data collection,
curated content, and referrals
to parenting specialists and
sleep experts. The company was
founded in 2010.</t>
  </si>
  <si>
    <t xml:space="preserve">3643
7372</t>
  </si>
  <si>
    <t xml:space="preserve">CA
DE</t>
  </si>
  <si>
    <t xml:space="preserve">BELKIN INTERNATIONAL INC/EVO INC-STRATEGIC ALLIANCE</t>
  </si>
  <si>
    <t xml:space="preserve">Belkin International Inc (BI) and Evo Inc (EI) planned to form a strategic
alliance to develop and create products that will utilize smartphones as
baby monitor equipments. The collaboration will use EI's Evoz baby
monitoring app and service to develop products that allows users to hear
their babies using smartphones anywhere in the globe.</t>
  </si>
  <si>
    <t xml:space="preserve">07884E
30678N</t>
  </si>
  <si>
    <t xml:space="preserve">DuPont
NexSteppe Inc</t>
  </si>
  <si>
    <t xml:space="preserve">EI du Pont de Nemours &amp; Co
{DuPont}, headquartered in
Wilmington, Delaware,
manufactures chemical and
electronic products
including fluoropolymers,
polymer adhesives, vinyl and
laminate flooring, safety
glass interlayers,
sandblasting materials,
lighting lamps, cleaning
solvents, disinfectants,
lubricants, monomers,
inoculants, insecticides,
fungicides, optical and
thermal color filters,
printed circuit boards,
semiconductor fabrication
and packaging materials,
electrical products such as
varnishes, wire enamels,
aramid papers and films,
air/gas/liquid filtration
membranes, fuel cells,
paints and coatings, fire
extinguishers, printing and
proofing equipment,
microbial characterization
system, and limited
combustible cabling
materials; provide
commercial and industrial
wastewater treatment
facility services; own and
operate alfalfa, canola,
corn, sorghum, soybean, and
wheat seed hybrid farms. It
also acts as an investment
holding company. It was
founded in 1802.
NexSteppe Inc, headquartered
in South San Francisco,
California, is a biotechnology
company focused on feedstock
solutions for the biofuels,
biopower and biobased products
industries. It develops Malibu
sweet sorghum and Palo Alto
high biomass sorghum to
produce feedstocks tailored
for these biobased industries.
The company was founded in
2010.</t>
  </si>
  <si>
    <t xml:space="preserve">EI DU PONT DE NEMOURS &amp; CO{DUPONT}/NEXSTEPPE INC-STRATEGIC ALLIANCE</t>
  </si>
  <si>
    <t xml:space="preserve">EI DuPont de Nemours &amp; Co (ED) and NexSteppe Inc (NI) formed a strategic
alliance to develop advanced feedstocks for biofuels, biopower and biobased
products. The alliance will develop sweet sorghum and high biomass sorghum
hybrids to create additional feedstock options for biofuels. Under the
agreement, ED's Pioneer Hi-Bred business will provide knowledge, resources
and advanced technologies for the development of the hybrid crops.</t>
  </si>
  <si>
    <t xml:space="preserve">263534
65929W</t>
  </si>
  <si>
    <t xml:space="preserve">ZyGEM Corp Ltd
US Army Med Research Inst</t>
  </si>
  <si>
    <t xml:space="preserve">Biotech co
Pvd biological research svcs</t>
  </si>
  <si>
    <t xml:space="preserve">ZyGEM Corp Ltd, located in
Hamilton, New Zealand, is a
biotechnology company
identifying enzymes extracted
from extremophiles - a rare
microorganisms from extreme
environments -and using for a
wide range of application. The
company was founded in 1980.
Provide cutting-edge medical
research services for the
warfighter against biological
threats of medical solutions</t>
  </si>
  <si>
    <t xml:space="preserve">ZyGEM Corp Ltd
United States of America</t>
  </si>
  <si>
    <t xml:space="preserve">ZYGEM CORP LTD/US ARMY MEDICAL RESEARCH INSTITUTE OF INFECTIOUS
DISEASES-STRATEGIC ALLIANCE</t>
  </si>
  <si>
    <t xml:space="preserve">ZyGEM Corp Ltd and US Army Medical Research Institute of Infectious
Diseases formed a strategic alliance to develop processing solutions for
biothreat agents. Under the agreement, ZC and US will develop, test and
validate solutions for the rapid and efficient extraction of DNA and other
nucleic acids for the detection of biothreat agents and other pathogens.</t>
  </si>
  <si>
    <t xml:space="preserve">99172N
91157E</t>
  </si>
  <si>
    <t xml:space="preserve">AEterna Zentaris Inc
Ventana Medical Systems Inc</t>
  </si>
  <si>
    <t xml:space="preserve">Pvd drug dvlp svcs
Mnfr,whl surgical,med equip</t>
  </si>
  <si>
    <t xml:space="preserve">AEterna Zentaris Inc is a
manufacturer of biological
products. The Company was
founded in September 1990
and is located in Quebec,
Canada.
Ventana Medical Systems Inc,
located in Tucson, Arizona,
manufactures and wholesale
proprietary instrument/reagent
systems, surgical and medical
equipment that automate tissue
preparation and slide
staining. The company was
founded in 1985.</t>
  </si>
  <si>
    <t xml:space="preserve">AEterna Zentaris Inc
Roche Holdings AG</t>
  </si>
  <si>
    <t xml:space="preserve">AETERNA ZENTARIS INC/VENTANA MEDICAL SYSTEMS INC-STRATEGIC ALLIANCE</t>
  </si>
  <si>
    <t xml:space="preserve">Aeterna Zentaris Inc (AZ) and Ventana Medical Systems Inc (VM) formed a
strategic alliance to develop companion diagnostic for AZ's AEZS-108
compound. This is for the immunohistochemical determination of luteinizing
hormone-releasing hormone receptor expression that can be used for the
treatment of endometrial, ovarian, breast, bladder, prostate and pancreatic
tumors.</t>
  </si>
  <si>
    <t xml:space="preserve">007975
92276H</t>
  </si>
  <si>
    <t xml:space="preserve">Da An Gene Co Ltd
Life Technologies Corp</t>
  </si>
  <si>
    <t xml:space="preserve">Da An Gene Co Ltd, located in
China, owns and operates
college and university.
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t>
  </si>
  <si>
    <t xml:space="preserve">Sun Yat Sen Univ of Med
Life Technologies Corp</t>
  </si>
  <si>
    <t xml:space="preserve">LIFE TECHNOLOGIES CORP/DA AN GENE CO LTD-JOINT VENTURE</t>
  </si>
  <si>
    <t xml:space="preserve">Da An Gene Co Ltd and Life Technologies Corp planned to form a joint
venture to provide research and development services, in China.</t>
  </si>
  <si>
    <t xml:space="preserve">23052V
53217V</t>
  </si>
  <si>
    <t xml:space="preserve">KalVista Pharmaceuticals Ltd
JDRF</t>
  </si>
  <si>
    <t xml:space="preserve">KalVista Pharmaceuticals Ltd,
located in Porton Down, United
Kingdom, manufactures
pharmaceuticals.
Juvenile Diabetes Research
Foundation Ltd{JDRF}, located
in London, UK, manufactures
pharmaceuticals. The company
is a non-profit organization
dedicated to the cure of type
1 diabetes.</t>
  </si>
  <si>
    <t xml:space="preserve">JDRF/KALVISTA PHARMACEUTICALS LTD-STRATEGIC ALLIANCE</t>
  </si>
  <si>
    <t xml:space="preserve">KalVista Pharmaceuticals Ltd and Juvenile Diabetes Research Foundation
Ltd{JDRF} formed a strategic alliance to provide medical research and
developments services, in the UK.</t>
  </si>
  <si>
    <t xml:space="preserve">49009C
49009E</t>
  </si>
  <si>
    <t xml:space="preserve">Qiagen NV
Max Planck Inst for Infxn Bio</t>
  </si>
  <si>
    <t xml:space="preserve">Biotechnology company
Non-profit research org</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</si>
  <si>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Max Planck Institute for
Infection Biology, is a
research organization focused
on the field of Immunology,
Molecular Biology, Cellular
Biology, Parasitology, Vector
Biology, Lymphocyte
Development and Molecular
Immunology. The company is
located in Berlin, Germany.</t>
  </si>
  <si>
    <t xml:space="preserve">Qiagen NV
Max Planck Society</t>
  </si>
  <si>
    <t xml:space="preserve">QIAGEN NV/MAX PLANCK INSTITUTE FOR INFECTION BIOLOGY-STRATEGIC ALLIANCE</t>
  </si>
  <si>
    <t xml:space="preserve">Qiagen NV and Max Planck Institute for Infection Biology formed a strategic
alliance to Develop Assay for Active TB Risk in Individuals With Latent
Infection.</t>
  </si>
  <si>
    <t xml:space="preserve">N72482
57610M</t>
  </si>
  <si>
    <t xml:space="preserve">LEO Pharma A/S
Virobay Inc</t>
  </si>
  <si>
    <t xml:space="preserve">Leo Pharma A/S, located in
Ballerup, Denmark,
manufactures pharmaceuticals
intended for final
consumption, including
biotech products and
antibiotics. The Company
offers drugs for the
treatment of psoriasis,
atopic dermatitis, eczema,
and acne; anti-coagulation,
bone turnover/nephrology,
and antithrombin
deficiencies; inflammation;
thromboembolic disorders;
and infectious diseases. It
was founded in 1908.
Virobay Inc, headquartered in
Menlo Park, California, is a
pharmaceutical biotechnology
company. The company is
focused on the anti-viral drug
discovery and development of
protease inhibitors for the
treatment of autoimmune
diseases, neuropathic pain,
liver diseases and cancer. The
company's products include
VBY-129, VBY-891, VBY-036 for
the treatment of Autoimmune
Diseases; VBY-891, VBY-036,
VBY-285 for the treatment of
Neuropathic Pain; VBY-376 for
Liver Fibrosis and VBY-825 for
Oncology. The company was
founded in 2006.</t>
  </si>
  <si>
    <t xml:space="preserve">Leo Fondet
Virobay Inc</t>
  </si>
  <si>
    <t xml:space="preserve">LEO PHARMA A/S/VIROBAY INC-STRATEGIC ALLIANCE</t>
  </si>
  <si>
    <t xml:space="preserve">LEO Pharma A/S (LP) and Virobay Inc (VI) formed a strategic alliance for
the development of an oral tablet for the treatment of psoriasis. LP was
granted license for the development of the tablet where VI was entitled to
receive USD 7 mil as an upfront payment and USD 300 mil milestone tiered
royalties.</t>
  </si>
  <si>
    <t xml:space="preserve">VI was entitled to receive USD 7 mil as an upfront payment and USD 300 mil
milestone tiered royalties.</t>
  </si>
  <si>
    <t xml:space="preserve">52668Z
93524Q</t>
  </si>
  <si>
    <t xml:space="preserve">UCSF
Sanofi SA</t>
  </si>
  <si>
    <t xml:space="preserve">Own,op college,university
Manufactures pharmaceuticals products</t>
  </si>
  <si>
    <t xml:space="preserve">University of California San
Francisco, owns and operates a
college/university. The
college/university is
headquartered in san
Francisco, California.
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t>
  </si>
  <si>
    <t xml:space="preserve">UNIVERSITY OF CALIFORNIA SAN FRANCISCO/SANOFI-STRATEGIC ALLIANCE</t>
  </si>
  <si>
    <t xml:space="preserve">University of California, San Francisco (UC) and Sanofi (SN) formed a
strategic alliance to develop potential drug candidates that can lead to
actual therapies for both type 1 and type 2 diabetes. The alliance was to
have a capital of USD 3.1 mil.</t>
  </si>
  <si>
    <t xml:space="preserve">The alliance was to have a capital of USD 3.1 mil.</t>
  </si>
  <si>
    <t xml:space="preserve">91411Q
80105N</t>
  </si>
  <si>
    <t xml:space="preserve">FORMA Therapeutics Inc
Janssen Biotech Inc</t>
  </si>
  <si>
    <t xml:space="preserve">FORMA Therapeutics Inc,
located in Cambridge,
Massachusetts, is a
biotechnology company that
aims at integrating
transformative chemistry and
biology to unlock the best
targets and pathways that
genomics medicine has
revealed. It has additional
research operations in
Connecticut, Singapore and
Beijing. The Company was
founded in 2007.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</si>
  <si>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FORMA Therapeutics Inc
J&amp;J</t>
  </si>
  <si>
    <t xml:space="preserve">FORMA THERAPEUTICS INC/JANSSEN BIOTECH INC-STRATEGIC ALLIANCE</t>
  </si>
  <si>
    <t xml:space="preserve">FORMA Therapeutics Inc (FT) and Janssen Biotech Inc (JB) formed a strategic
alliance for the discovery, development and commercialization of novel drug
candidates for the treatment of tumor metabolism. Under the agreement, FT
will discover and develop new small molecule drugs against a panel of tumor
metabolism targets. FT was entitled to receive USD 700 mil for the drug's
development, regulatory and commercialization milestones.</t>
  </si>
  <si>
    <t xml:space="preserve">FT was entitled to receive USD 700 mil for the drug's development,
regulatory and commercialization milestones.</t>
  </si>
  <si>
    <t xml:space="preserve">34652L
44300K</t>
  </si>
  <si>
    <t xml:space="preserve">Biosino Bio-Technology &amp; Scien
Cangzhou Enji
Tianjin Enji</t>
  </si>
  <si>
    <t xml:space="preserve">Biotech co
Prod,whl beverage products
Pvd research,consulting svcs</t>
  </si>
  <si>
    <t xml:space="preserve">Biosino Bio-Technology &amp;
Science Inc is a biotechnology
company located in China. The
company was founded in 1988.
Cangzhou Enji, located in
China, produces and wholesales
beverage products.
Tianjin Enji, located in
China, provides biological
science and technology
research, development and
consulting services.</t>
  </si>
  <si>
    <t xml:space="preserve">2836
2086
8731</t>
  </si>
  <si>
    <t xml:space="preserve">BIOSINO BIO-TECHNOLOGY &amp; SCIENCE INC/CANGZHOU ENJI/TIANJIN ENJI-JOINT
VENTURE</t>
  </si>
  <si>
    <t xml:space="preserve">Biosino Bio-Technology &amp; Science Inc (BB), Cangzhou Enji (CE) and Tianjin
Enji (TE) agreed to form a joint venture named Zhongsheng
Enji(Tianjin)Medical Food Co Ltd (ZE) to produce, sell and research and
develop medical, healthcare, organic and clinical food products. BB was to
hold a 48% stake in ZE while CE was to hold a 40% stake and TE was to hold
the remaining 12% stake. The joint venture was to be capitalized CNY 50 mil
(USD 7.919 mil).</t>
  </si>
  <si>
    <t xml:space="preserve">48.00
40.00
12.00</t>
  </si>
  <si>
    <t xml:space="preserve">The joint venture was to be capitalized CNY 50 mil (USD 7.919 mil).</t>
  </si>
  <si>
    <t xml:space="preserve">09010W
13761H
91658T</t>
  </si>
  <si>
    <t xml:space="preserve">Ventana Medical Systems Inc
Pfizer Inc
Cell Signaling Technology Inc</t>
  </si>
  <si>
    <t xml:space="preserve">Mnfr,whl surgical,med equip
Manufacture,wholesale pharmaceuticals
Pvd research,dvlp svcs</t>
  </si>
  <si>
    <t xml:space="preserve">Ventana Medical Systems Inc,
located in Tucson, Arizona,
manufactures and wholesale
proprietary instrument/reagent
systems, surgical and medical
equipment that automate tissue
preparation and slide
staining. The company was
founded in 1985.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Cell Signaling Technology Inc,
located in Danvers,
Massachusetts, provides
research and development
services of phospho-specific
antobodies for kinase and
pathway activation
measurement. The company was
founded in 1999.</t>
  </si>
  <si>
    <t xml:space="preserve">3841
2834
8731</t>
  </si>
  <si>
    <t xml:space="preserve">AZ
NY
MA</t>
  </si>
  <si>
    <t xml:space="preserve">Roche Holdings AG
Pfizer Inc
Cell Signaling Technology Inc</t>
  </si>
  <si>
    <t xml:space="preserve">Switzerland
United States
United States</t>
  </si>
  <si>
    <t xml:space="preserve">VENTANA MEDICAL SYSTEMS INC/PFIZER INC/CELL SIGNALING TECHNOLOGY
INC-STRATEGIC ALLIANCE</t>
  </si>
  <si>
    <t xml:space="preserve">Ventana Medical Systems Inc (VM), Pfizer Inc (PI) and Cell Signaling
Technology (CS) formed a strategic alliance to develop an
immunohistochemistry (IHC) companion diagnostic test for ALK gene
rearrangements. The test will identify non-small cell lung cancer (NSCLC)
patients with anaplastic lymphoma receptor tyrosinekinase (ALK) gene
rearrangements. The development of the drug will be based on CS's D5F3
antibody and VM's OptiView DAB detection.</t>
  </si>
  <si>
    <t xml:space="preserve">92276H
717081
15158P</t>
  </si>
  <si>
    <t xml:space="preserve">ZELTIQ Aesthetics Inc
Massachusetts General Hospital</t>
  </si>
  <si>
    <t xml:space="preserve">Mnfr medical technology prod
Own,operate hospital</t>
  </si>
  <si>
    <t xml:space="preserve">ZELTIQ Aesthetics Inc, located
in Pleasanton, California,
manufactures medical
technology products. It is
focused on developing and
commercializing products
utilizing our proprietary
controlled-cooling technology
platform. Through
CoolSculpting System, it
selectively reduces fat bulges
that may not respond to diet
or exercise. The Company was
founded in 2005.
Massachusetts General
Hospital, headquartered in
the Boston, Massachusetts,
owns and operates a
hospital. It also provides
research and clinical
trials. It is a teaching
hospital of Harvard Medical
School. The Company was
found in 1811.</t>
  </si>
  <si>
    <t xml:space="preserve">ZELTIQ AESTHETICS INC/MASSACHUSETTS GENERAL HOSPITAL-STRATEGIC ALLIANCE</t>
  </si>
  <si>
    <t xml:space="preserve">ZELTIQ Aesthetics Inc (ZA) and Massachusetts General Hospital (MG) signed
letter of intent to form a strategic alliance to develop products and
therapies for the aesthetic dermatology and body shaping markets.</t>
  </si>
  <si>
    <t xml:space="preserve">98933Q
57566A</t>
  </si>
  <si>
    <t xml:space="preserve">Shenzhen Refond Optoelectns
NVC Lighting Holding Ltd</t>
  </si>
  <si>
    <t xml:space="preserve">Semiconductor and Related Device Manufacturing
Mnfr,whl lighting fixtures</t>
  </si>
  <si>
    <t xml:space="preserve">Shenzhen Refond
Optoelectronics Co Ltd is a
manufacturer and wholesaler
of semiconductors and
related device. The company
was founded in January 2000
and is located in Shenzhen,
China.
NVC Lighting Holding Ltd,
located in Huizhou China, is a
manufacturer and wholesaler of
lighting products. Its
subsidiaries include Hong Kong
TYU Technology Co., Ltd. (Hong
Kong TYU) and Zhejiang
Jiangshan Sunny Electron Co.,
Ltd. (Sunny). In February
2009, the Company acquired
Shanghai Arcata Electronics
Co., Ltd. (Shanghai Arcata),
which is a producer of
electronic ballasts in Shang.
It was founded on March 2010.</t>
  </si>
  <si>
    <t xml:space="preserve">3674
3645</t>
  </si>
  <si>
    <t xml:space="preserve">SHENZHEN REFOND OPTOELECTRONICS CO LTD/NVC LIGHTING HOLDING LTD-JOINT
VENTURE</t>
  </si>
  <si>
    <t xml:space="preserve">Shenzhen Refond Optoelectronics Co Ltd (SR) and NVC Lighting Holding Ltd
(NL) agreed to form a joint venture to manurfacture, research and develop
LED packaging products in China. The joint venture was to be capitalized
CNY 50 mil (USD 7.918 mil).</t>
  </si>
  <si>
    <t xml:space="preserve">The joint venture was to be capitalized CNY 50 mil (USD 7.918 mil).</t>
  </si>
  <si>
    <t xml:space="preserve">Y7745R
G6700A</t>
  </si>
  <si>
    <t xml:space="preserve">Amerigen Pharmaceuticals Ltd
Shanghai Fosun Omni Pharm Co</t>
  </si>
  <si>
    <t xml:space="preserve">Amerigen Pharmaceuticals
Ltd, located in Lyndhurst,
New Jersey, manufactures
biological products. It has
locations in China. The
Company was founded in 2007.
Shanghai Fosun Omni
Pharmaceutical Co Ltd,
headquartered in Shanghai,
China, is a biotechnology
company. The Company's brands
include Nasal Spray, Dry
Powder and HFA Aerosol, Oral
Sustained Release Tablets,
Capsules, Anti-Malaria drugs
and therapies for other
neglected diseases. It also
offers services such as
Research and development and
manufacturing for Omni NDA and
ANDA submissions and CRO
formulation and manufacturing
of branded and generic drugs
in China. It was founded in
2005.</t>
  </si>
  <si>
    <t xml:space="preserve">AMERIGEN PHARMACEUTICALS LTD/SHANGHAI FOSUN OMNI PHARMACEUTICAL CO
LTD-STRATEGIC ALLIANCE</t>
  </si>
  <si>
    <t xml:space="preserve">Amerigen Pharmaceuticals Ltd (AP) and Fosun Omni Pharmaceutical Co Ltd (FO)
formed a strategic alliance to develop generic oral controlled release
products. Under the agreement, FO will develop the products that will be
commercialized by AP in the United States.</t>
  </si>
  <si>
    <t xml:space="preserve">03054H
84224Y</t>
  </si>
  <si>
    <t xml:space="preserve">Amerigen Pharmaceuticals Ltd
VIWA Pharmaceutical Co Ltd</t>
  </si>
  <si>
    <t xml:space="preserve">Amerigen Pharmaceuticals
Ltd, located in Lyndhurst,
New Jersey, manufactures
biological products. It has
locations in China. The
Company was founded in 2007.
VIWA Pharmaceutical Co Ltd is
a pharmaceutical manufacturing
firm.</t>
  </si>
  <si>
    <t xml:space="preserve">AMERIGEN PHARMACEUTICALS LTD/VIWA PHARMACEUTICAL CO LTD-STRATEGIC ALLIANCE</t>
  </si>
  <si>
    <t xml:space="preserve">Amerigen Pharmaceuticals Ltd and VIWA Pharmaceutical Co Ltd planned to form
a joint venture to Develop And Register A Range Of Branded Generic
Medicines For Sale In China.</t>
  </si>
  <si>
    <t xml:space="preserve">Research &amp; Development Services
Supply Services</t>
  </si>
  <si>
    <t xml:space="preserve">03054H
93524W</t>
  </si>
  <si>
    <t xml:space="preserve">NovAliX SAS
Teijin Pharma Ltd</t>
  </si>
  <si>
    <t xml:space="preserve">Pvd pharm research svcs
Mnfr,whl pharm,med devices</t>
  </si>
  <si>
    <t xml:space="preserve">NovAliX SAS, based in
Illkirch, France, provides
pharmaceutical research
services. The company's
services include small
molecules discovery and
development programs building
on proprietary technologies
and the multidisciplinary
expertise of its scientific
team.
Teijin Pharma Ltd, based in
Tokyo, Japan, manufactures and
wholesales prescription
pharmaceuticals intended for
final consumption, including
biotech products and
antibiotics and medical
devices. The company was
founded on April 15, 2002.</t>
  </si>
  <si>
    <t xml:space="preserve">NovAliX SAS
Teijin Ltd</t>
  </si>
  <si>
    <t xml:space="preserve">NOVALIX SAS/TEIJIN PHARMA LTD-STRATEGIC ALLIANCE</t>
  </si>
  <si>
    <t xml:space="preserve">NovAliX SAS and Teijin Pharma Ltd formed a strategic alliance to develop
novel drug candidates.</t>
  </si>
  <si>
    <t xml:space="preserve">67334Z
88069R</t>
  </si>
  <si>
    <t xml:space="preserve">Turbine Truck Engines Inc
Energy Technology Svcs Co Ltd</t>
  </si>
  <si>
    <t xml:space="preserve">Mnfr,whl truck engine
Mnfr hydrogen energy sys</t>
  </si>
  <si>
    <t xml:space="preserve">Turbine Truck Engines Inc,
headquartered in Deland,
Florida, is a manufacturer
and wholesaler of
turbine-based truck engines.
It's products and brands
include the Detonation Cycle
Gas Turbine engine {DCGT}.
The company was founded in
2000.
Energy Technology Services Co
Ltd, located in Taipei,
Taiwan, manufactures hydrogen
energy systems.</t>
  </si>
  <si>
    <t xml:space="preserve">3694
3511</t>
  </si>
  <si>
    <t xml:space="preserve">TURBINE TRUCK ENGINES INC/ENERGY TECHNOLOGY SERVICES CO LTD-JOINT VENTURE</t>
  </si>
  <si>
    <t xml:space="preserve">Turbine Truck Engines Inc (TT) and Energy Technology Services Co Ltd (ET)
agreed to form a joint venture named Global Hydrogen Energy Co Ltd to
develop and market hydrogen energy systems.</t>
  </si>
  <si>
    <t xml:space="preserve">89989X
30680F</t>
  </si>
  <si>
    <t xml:space="preserve">Ariel Pharmaceuticals Inc
US Army Med Research Inst</t>
  </si>
  <si>
    <t xml:space="preserve">Whl pharmaceuticals
Pvd biological research svcs</t>
  </si>
  <si>
    <t xml:space="preserve">Ariel Pharmaceuticals Inc,
located in Broomfield,
Colorado, wholesales
pharmaceuticals.
Provide cutting-edge medical
research services for the
warfighter against biological
threats of medical solutions</t>
  </si>
  <si>
    <t xml:space="preserve">5122
8731</t>
  </si>
  <si>
    <t xml:space="preserve">CO
MD</t>
  </si>
  <si>
    <t xml:space="preserve">Ariel Pharmaceuticals Inc
United States of America</t>
  </si>
  <si>
    <t xml:space="preserve">5122
999A</t>
  </si>
  <si>
    <t xml:space="preserve">US ARMY MEDICAL RESEARCH INSTITUTE OF INFECTIOUS DISEASES/ARIEL
PHARMACEUTICALS INC-STRATEGIC ALLIANCE</t>
  </si>
  <si>
    <t xml:space="preserve">Ariel Pharmaceuticals Inc and US Army Medical Research Institute of
Infectious Diseases formed a strategic alliance to provide pharmaceutical
research and development services in the USA.</t>
  </si>
  <si>
    <t xml:space="preserve">03622N
91157E</t>
  </si>
  <si>
    <t xml:space="preserve">GnuBIO Inc
Montreal Heart Institute</t>
  </si>
  <si>
    <t xml:space="preserve">GnuBIO Inc is a biotechnology
company headquartered in
Cambridge, Massachusetts. The
company develops sequencing
technology for molecular
diagnostic and applied
research markets. It provides
systems for DNA sequencing,
including target
selection/enrichment, DNA
amplification, DNA sequencing
and analysis. It was founded
in 2009.
Montreal Heart Institute,
located in Qubec, Canada
provides medical/health
services providing the best
care; promoting cardiology
research; training
undergraduate and graduate
students, interns and
researchers in cardiovascular
medicine and surgery, and
related disciplines;
developing new technologies;
contributing to the prevention
of cardiovascular disease and
providing rehabilitation
conditions that best meet
patients? needs.</t>
  </si>
  <si>
    <t xml:space="preserve">GNUBIO INC/MONTREAL HEART INSTITUTE-STRATEGIC ALLIANCE</t>
  </si>
  <si>
    <t xml:space="preserve">GnuBIO Inc (GI) and Montreal Heart Institute (MH) formed a strategic
alliance to develop a genetic sudden cardiac death screening panel. The
alliance will use GI's scalable desktop DNA sequencing system to validate a
proprietary set of clinically relevant Sudden cardiac death (SCD) genes
which can be used to assess the risk of SCD in susceptible patients.</t>
  </si>
  <si>
    <t xml:space="preserve">38418P
61486E</t>
  </si>
  <si>
    <t xml:space="preserve">Crown Bioscience Inc
Jiangsu Hengrui Medicine Co</t>
  </si>
  <si>
    <t xml:space="preserve">Biotechnology company
Mnfr,whl pharmaceutical</t>
  </si>
  <si>
    <t xml:space="preserve">Crown Bioscience Inc, located
in Santa Clara, California, is
a biotechnology company that
provides integrated services
in oncology. Its team of
scientists is highly skilled
in molecular biology,
biochemistry, cell biology,
veterinarian science,
pharmacology, bioanalytics,
and histopathology. It
currently offers services in
Protein Expression, Cancer
pharmacology Antibody
generation and assay
development and Translational
research.
California.
Jiangsu Hengrui Medicine Co
Ltd, located in China,
manufactures and wholesales
prescription pharmaceuticals
intended for final
consumption, including biotech
products and antibiotics. Some
of the company's products are
etoposide, letrozole,
sevoflurane, ioversol and many
others. The company was
founded in 1970.</t>
  </si>
  <si>
    <t xml:space="preserve">Crown Bioscience International
Jiangsu Hengrui Medicine Co</t>
  </si>
  <si>
    <t xml:space="preserve">CROWN BIOSCIENCE INC/JIANGSU HENGRUI MEDICINE CO LTD-STRATEGIC ALLIANCE</t>
  </si>
  <si>
    <t xml:space="preserve">Crown Bioscience Inc and Jiangsu Hengrui Medicine Co Ltd formed a strategic
alliance to develop and commercialize a novel healing monoclonal antibody.</t>
  </si>
  <si>
    <t xml:space="preserve">22831W
Y4446S</t>
  </si>
  <si>
    <t xml:space="preserve">Affymetrix Inc
BGI</t>
  </si>
  <si>
    <t xml:space="preserve">Mnfr,whl medical equipment
Pvd research,development svcs</t>
  </si>
  <si>
    <t xml:space="preserve">Affymetrix Inc, located in
Santa Clara, California,
manufactures and wholesales
electromedical and
electrotherapeutic
apparatus, microarrays,
reagents and assays. The
company offers GeneChip
system consisting of
expression monitoring
arrays, DNA analysis arrays,
DNA analysis products. It
was incorporated in Delaware
in 1992.
Beijing Genomics Institute,
headquartered in Shenzhen,
China, provides research and
development services focused
in genomics. The company was
founded in 1999.</t>
  </si>
  <si>
    <t xml:space="preserve">AFFYMETRIX INC/BEIJING GENOMICS INSTITUTE-STRATEGIC ALLIANCE</t>
  </si>
  <si>
    <t xml:space="preserve">Affymetrix Inc and Beijing Genomics Institute {BGI} formed a strategic
alliance, to develop and commercialize a portfolio of plant, crop and
livestock microarrays for genotyping analysis, spanning applications such
as marker assisted trait selection, parentage, quality control and
traceability.</t>
  </si>
  <si>
    <t xml:space="preserve">00826T
07908L</t>
  </si>
  <si>
    <t xml:space="preserve">Sao Martinho SA
Case IH</t>
  </si>
  <si>
    <t xml:space="preserve">Produce and wholesale sugar and ethanol
Mnf,whsl agri equipments</t>
  </si>
  <si>
    <t xml:space="preserve">Sao Martinho SA, located in
Pradopolis, Brazil, produces
and wholesales sugar,
ethanol and other sugar cane
products. The Company is
also involved in the
cogeneration of electricity
and cattle breeding, as well
as the provision of
agricultural products. The
Company produces hydrous
ethanol, anhydrous ethanol,
industrial ethanol,
ribonucleic acid, fuel oil,
yeast, sugar and sugarcane
biogases, used to generate
steam and electricity.
Through its subsidiary
Omtek, the Company produces
ribonucleic acid (RNA)
sodium salt, which is used
in the pharmaceutical and
food industries as a raw
material and flavor
enhancer. The Company
operates through a numerous
subsidiaries, including Vale
do Mogi Empreendimentos
Imobiliarios SA, SMA
Industria Quimica SA, Usina
Santa Luiza SA, Sao Martinho
Energia SA and Santa Cruz
SA, among others. It was
founded in 1938.
Case IH, located in Racine,
Wisconsin, manufactures and
wholesales agricultural
machineries and equipments.
The company' products include
Tractors, Planting and
Seeding, Application
Equipment, Harvesting,
Tillage, Hay and Forage, UTV,
Skid Steers, Attachments and
Precision Farming.</t>
  </si>
  <si>
    <t xml:space="preserve">2062
3523</t>
  </si>
  <si>
    <t xml:space="preserve">Brazil
United States</t>
  </si>
  <si>
    <t xml:space="preserve">LJN Participacoes SA
Fiat SpA</t>
  </si>
  <si>
    <t xml:space="preserve">Brazil
Italy</t>
  </si>
  <si>
    <t xml:space="preserve">SAO MARTINHO SA/CASE IH-STRATEGIC ALLIANCE</t>
  </si>
  <si>
    <t xml:space="preserve">Sao Martinho SA and Case IH formed a strategic alliance to develop sugar
cane harvesting equipments.</t>
  </si>
  <si>
    <t xml:space="preserve">80337J
14794Q</t>
  </si>
  <si>
    <t xml:space="preserve">Constellation Pharm Inc
Genentech Inc</t>
  </si>
  <si>
    <t xml:space="preserve">Research and Development in Biotechnology
Manufacture pharmaceuticals</t>
  </si>
  <si>
    <t xml:space="preserve">Constellation
Pharmaceuticals Inc, located
in Cambridge, Massachusetts,
is a provider of
biotechnology research and
development services. The
Company was founded in April
30, 2008.
Genentech Inc, located in
South San Francisco,
California, manufactures
pharmaceuticals. It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</si>
  <si>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Constellation Pharm Inc
Roche Holdings AG</t>
  </si>
  <si>
    <t xml:space="preserve">CONSTELLATION PHARMACEUTICALS INC/GENENTECH INC-STRATEGIC ALLIANCE</t>
  </si>
  <si>
    <t xml:space="preserve">Constellation Pharmaceuticals, Inc (CP) and Genentech, Inc (GI) formed a
strategic alliance for the discoverery and development of innovative
treatments for cancer and other serious diseases based on the science of
epigenetic and chromatin biology. Under the agreement, CP will receive
funding worth USD 95 mil as well as development and commercialization
milestone payments and royalties from GI.</t>
  </si>
  <si>
    <t xml:space="preserve">CP will receive funding worth USD 95 mil as well as development and
commercialization milestone payments and royalties from GI.</t>
  </si>
  <si>
    <t xml:space="preserve">21002V
368710</t>
  </si>
  <si>
    <t xml:space="preserve">Ventana Medical Systems Inc
Bayer AG</t>
  </si>
  <si>
    <t xml:space="preserve">Mnfr,whl surgical,med equip
Manufacture and Wholesale Chemicals &amp; Pharmaceuticals</t>
  </si>
  <si>
    <t xml:space="preserve">Ventana Medical Systems Inc,
located in Tucson, Arizona,
manufactures and wholesale
proprietary instrument/reagent
systems, surgical and medical
equipment that automate tissue
preparation and slide
staining. The company was
founded in 1985.
Bayer AG, located in
Leverkusen, Germany,
manufactures organic
chemicals. The Company was
founded in August 1863.</t>
  </si>
  <si>
    <t xml:space="preserve">3841
2899</t>
  </si>
  <si>
    <t xml:space="preserve">Roche Holdings AG
Bayer AG</t>
  </si>
  <si>
    <t xml:space="preserve">VENTANA MEDICAL SYSTEMS INC/BAYER AG-STRATEGIC ALLIANCE</t>
  </si>
  <si>
    <t xml:space="preserve">Ventana Medical Systems Inc (VM) and Bayer AG (BA) formed a strategic
alliance to develop molecular companion diagnostic test. The diagnostic
test will identify patients most likely to benefit from a novel Bayer
antibody-drug conjugate (ADC). Under the agreement, VM will initially
develop, manufacture and commercialize a companion diagnostic test for one
of Bayer's ADCs.</t>
  </si>
  <si>
    <t xml:space="preserve">92276H
072730</t>
  </si>
  <si>
    <t xml:space="preserve">Penford Corp
Novomer Inc</t>
  </si>
  <si>
    <t xml:space="preserve">Produce specialty ingredients
Mnfr chemicals</t>
  </si>
  <si>
    <t xml:space="preserve">Penford Corp, headquartered in
Centennial, Colorado,
develops, produces, and
wholesales specialty
natural-based ingredient
systems for industrial and
food applications. Its
products and services include
producing fuel grade ethanol
and wholesale of specialty
starches to the paper,
packaging and other industries
under its industrial
ingredients business segment.
It also includes developing
and manufacturing of specialty
starches and dextrins for the
food manufacturing and food
services industries under its
food ingredients business
segment. It has operations
across the US and global
strategic alliances with
companies in Thailand, Sweden
and Czech Republic. The
company was founded in 1894.
Novomer Inc is a chemical
manufacturing firm, located in
Waltham, Massachusetts. The
Company manufactures green
plastics, industrial
chemicals, and polymers for
industrial markets. It
develops NB-180 thermoplastic
polymer binder, which utilizes
carbon dioxide feed stocks to
produce materials for
applications in electronics,
brazing, and ceramics
industries, as well as for the
assembly of micro and
nano-scale devices. The
Company was founded in 2004.</t>
  </si>
  <si>
    <t xml:space="preserve">2087
2899</t>
  </si>
  <si>
    <t xml:space="preserve">CO
MA</t>
  </si>
  <si>
    <t xml:space="preserve">PENFORD CORP/NOVOMER INC-STRATEGIC ALLIANCE</t>
  </si>
  <si>
    <t xml:space="preserve">Penford Corp and Novomer Inc formed a strategic alliance to develop new
polymer composites using starches. Under the agreement, PC and NI will
develop and commercialize Starch-Polypropylene Carbonate polymer
composites.</t>
  </si>
  <si>
    <t xml:space="preserve">707051
67514C</t>
  </si>
  <si>
    <t xml:space="preserve">Harvard University
Brigham &amp; Womens Hospital
Evotec AG</t>
  </si>
  <si>
    <t xml:space="preserve">Own,operate university
Own,op hospital
Mnfr small molecule drugs</t>
  </si>
  <si>
    <t xml:space="preserve">Harvard University, located
in Cambridge, Massachusetts,
owns and operates a
university. The company was
founded in 1638.
Brigham &amp; Women's Hospital,
located in Boston,
Massachusetts, owns and
operates a hospital with
basic, clinical and
translational research on
human diseases, involving
more than 860
physician-investigators and
renowned biomedical
scientists.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t>
  </si>
  <si>
    <t xml:space="preserve">8221
8062
2834</t>
  </si>
  <si>
    <t xml:space="preserve">MA
MA
FF</t>
  </si>
  <si>
    <t xml:space="preserve">HARVARD UNIVERSITY/BRIGHAM &amp;WOMEN'S HOSPITAL/EVOTEC AG-STRATEGIC ALLIANCE</t>
  </si>
  <si>
    <t xml:space="preserve">Harvard University (HU), Brigham and Women's Hospital (BW) and Evotec AG
(EA) to formed a strategic alliance for the research and development of
biomarkers and treatments for kidney disease. The alliance, called
"CureNephron" will focus on the development novel therapeutic targets and
biomarkers for a more acute diagnosis, monitoring and treatment of chronic
and acute kidney disease.</t>
  </si>
  <si>
    <t xml:space="preserve">41748A
10916M
D1646D</t>
  </si>
  <si>
    <t xml:space="preserve">Life Technologies Corp
Da An Gene Co Ltd of Sun</t>
  </si>
  <si>
    <t xml:space="preserve">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
Da An Gene Co Ltd of Sun
Yat-Sen University is a
biotechnology company,
headquartered in China. The
company was engaged in
researching, developing,
selling and production of
biomedicine as well as gene
diagnostic technologies and
related products. The company
was founded in 1993.</t>
  </si>
  <si>
    <t xml:space="preserve">LIFE TECHNOLOGIES CORP/DA AN GENE CO LTD OF SUN YAT-SEN UNIVERSITY-JOINT
VENTURE</t>
  </si>
  <si>
    <t xml:space="preserve">Life Technologies DaAn
Diagnostics, based in
Guangzhou, China, is a
biotechnology company. The
company provides research,
development and
commercialization of molecular
diagnostic assays. The company
contributes to early diagnosis
of oncology(cancer),
infectious diseases and
genetic diseases.</t>
  </si>
  <si>
    <t xml:space="preserve">Life Technologies Corp (Life Technologies) and Da An Gene Co Ltd of Sun
Yat-Sen University (Da An Gene) formed a joint venture named Life
Technologies DaAn Diagnostics to provide diagnostic assay research and
development services. The joint venture will focus on the early molecular
detection of oncology (cancer), infectious diseases and genetic diseases.
The joint venture will utilize Life Technologies' 3500Dx Capillary
Electrophoresis instrument and the Big Dye(R) Cycle Sequencing
technologies. Financial terms of the transaction were undisclosed.</t>
  </si>
  <si>
    <t xml:space="preserve">3A1271</t>
  </si>
  <si>
    <t xml:space="preserve">53217V
24020M</t>
  </si>
  <si>
    <t xml:space="preserve">NaturalNano Inc
Sparta Armor</t>
  </si>
  <si>
    <t xml:space="preserve">Pvd research,dvlp svcs
Dvlp ballistic,blast shielding</t>
  </si>
  <si>
    <t xml:space="preserve">NaturalNano Inc, headquartered
in Rochester, New York,
provides research and
development services focused
in the area of nanotechnology,
specifically on naturally
occurring nanoscale materials.
It was founded in 2004.
Sparta Armor, develops
ballistic and blast shielding
products including individual
body armor advancements. The
company's products include
Nanotechnology Body Armor
System, Nanotechnology
transparent armor systems for
new and existing glass,
Nanotechnology ballistic and
blast mitigation polymers and
panels and Petrochemical
infrastructure hardening and
corrosion resistant materials.</t>
  </si>
  <si>
    <t xml:space="preserve">8731
3444</t>
  </si>
  <si>
    <t xml:space="preserve">NY
DE</t>
  </si>
  <si>
    <t xml:space="preserve">NATURALNANO INC/SPARTA ARMOR-STRATEGIC ALLIANCE</t>
  </si>
  <si>
    <t xml:space="preserve">NaturalNano, Inc (NI) and Sparta Armor (SA) formed a strategic alliance to
develop improved vehicle and body armor products. NI and SA will utilize
NI's Halloysite Natural Tubes to develop the products which will then be
sold exclusively by SA.</t>
  </si>
  <si>
    <t xml:space="preserve">63901A
84810F</t>
  </si>
  <si>
    <t xml:space="preserve">GE Global Research
A*STAR</t>
  </si>
  <si>
    <t xml:space="preserve">Pvd research,dvlp svcs
Pvd scientific research svcs</t>
  </si>
  <si>
    <t xml:space="preserve">GE Global Research,
headquartered in Niskayuna,
New York, provides research
and development services.
Agency for Science,Technology
&amp; Research, located in
Singapore, Singapore, provides
scientific and technological
research services.</t>
  </si>
  <si>
    <t xml:space="preserve">General Electric Co
Singapore</t>
  </si>
  <si>
    <t xml:space="preserve">GE GLOBAL RESEARCH/AGENCY FOR SCIENCE,TECHNOLOGY &amp; RESEARCH-STRATEGIC
ALLIANCE</t>
  </si>
  <si>
    <t xml:space="preserve">GE Global Research and Agency for Science,Technology Research{A*STAR}
formed a strategic alliance, to develop medical imaging technologies and
diagnostics.</t>
  </si>
  <si>
    <t xml:space="preserve">36301X
98562F</t>
  </si>
  <si>
    <t xml:space="preserve">AtCor Medical Pty Ltd
SunTech Medical Inc</t>
  </si>
  <si>
    <t xml:space="preserve">Manufacture medical products
Mnfr monitoring products</t>
  </si>
  <si>
    <t xml:space="preserve">AtCor Medical Pty Ltd,
headquartered in West Ryde,
Australia, manufactures
medical products for the early
detection of cardiovascular
risk and management of
cardiovascular disease.
SunTech Medical Inc, located
in Morrisville, North
California, manufactures
non-invasive blood pressure
monitoring products for
clinical applications. Its
products include blood
pressure devices and cuffs.
The Company was founded in
1980.</t>
  </si>
  <si>
    <t xml:space="preserve">Atcor Medical Holdings Ltd
AG BD LLC</t>
  </si>
  <si>
    <t xml:space="preserve">ATCOR MEDICAL PTY LTD/SUNTECH MEDICAL INC-STRATEGIC ALLIANCE</t>
  </si>
  <si>
    <t xml:space="preserve">AtCor Medical Pty Ltd, a unit of Atcor Medical Holdings Ltd, and SunTech
Medical Inc, a unit of SunTech Medical Group Ltd, formed a strategic
alliance to develop and deliver blood pressure monitoring products and
solutions.</t>
  </si>
  <si>
    <t xml:space="preserve">04804H
86893A</t>
  </si>
  <si>
    <t xml:space="preserve">University of Missouri
Appistry Inc</t>
  </si>
  <si>
    <t xml:space="preserve">Own,operate university
Investment company</t>
  </si>
  <si>
    <t xml:space="preserve">University of Missouri,
located in Columbia, Missouri,
owns and operates university.
It offers 280 degree programs
that include 75 online
degrees. The company was
founded in 1839.
Appistry Inc, located in Saint
Louis, Missouri, is a
scientific software company
that focuses on genomics data
and health outcomes. It
products and services are
GenomePilot, GenomeNavigator,
and WorkflowServices. The
Company was founded in 2001.</t>
  </si>
  <si>
    <t xml:space="preserve">8221
7371</t>
  </si>
  <si>
    <t xml:space="preserve">MO
MO</t>
  </si>
  <si>
    <t xml:space="preserve">UNIVERSITY OF MISSOURI/APPISTRY INC-STRATEGIC ALLIANCE</t>
  </si>
  <si>
    <t xml:space="preserve">University of Missouri and Appistry Inc formed a strategic alliance to
provide research and development services. Under the agreement, MU will
deploy the AyrrisBIO to accelerate next generation sequencing and
bioinformatics capabilities. The initial project would be centered on plant
and animal genomics.</t>
  </si>
  <si>
    <t xml:space="preserve">914480
04152Z</t>
  </si>
  <si>
    <t xml:space="preserve">BioNeutral Group Inc
Barnabas Health</t>
  </si>
  <si>
    <t xml:space="preserve">Biotech co
Own,operate hospitals</t>
  </si>
  <si>
    <t xml:space="preserve">BioNeutral Group Inc, located
in Newark, New Jersey, is a
biotechnology company focused
on combinational
chemistry-based technology,
which can neutralize harmful
environmental contaminants,
toxins and dangerous
micro-organisms, including
bacteria, viruses and even
spores. Its include
BioNeutralizers and
ChemoNeutralizers. The company
was founded in 2003.
Barnabas Health, owns and
operates a hospital(s). The
company is headquartered in
West Orange, New Jersey. The
companys services include burn
treatment, cardiac surgery
services for adults, heart
transplant, lung transplant,
robotic surgery services,
primary stroke, kidney
transplant, neurology and
neurosurgery services,
assistive reproductive
technology program, cancer
services for adults and
children and geriatric
services.</t>
  </si>
  <si>
    <t xml:space="preserve">BIONEUTRAL GROUP INC/BARNABAS HEALTH-STRATEGIC ALLIANCE</t>
  </si>
  <si>
    <t xml:space="preserve">BioNeutral Group Inc (BG) and Barnabas Health (BH) planned to form a
strategic alliance for the research and development protocols that will be
used for the testing and trial of Ygiene 206. Ygiene 206 is a detergent
cleaner, 90-second disinfectant and 20-minute sterilant. The alliance will
also test new formulations for the rapid cleaning and sterilization of
surgical instruments, scopes, fabric and skin.</t>
  </si>
  <si>
    <t xml:space="preserve">090621
06624F</t>
  </si>
  <si>
    <t xml:space="preserve">Zogenix Inc
Battelle Memorial Institute</t>
  </si>
  <si>
    <t xml:space="preserve">Zogenix Inc, located in
Emeryville, California,
manufactures
pharmaceuticals. It is a
pharmaceutical company
commercializing and
developing products for the
treatment of central nervous
system disorders and pain.
The Company was founded on
May 11, 2006.
Battelle Memorial Institute,
located in Columbus, Ohio,
provides research and
development services and
manage laboratories for
customers. It also provides
cost-effective science and
technology in the areas of
national security, homeland
defense, energy and
environment, health and life
sciences, and transportation
and space. The company was
founded 1989.</t>
  </si>
  <si>
    <t xml:space="preserve">ZOGENIX INC/BATTELLE MEMORIAL INSTITUTE-STRATEGIC ALLIANCE</t>
  </si>
  <si>
    <t xml:space="preserve">Zogenix Inc (ZI) and Battelle Memorial Institute (BM) signed letter of
intent to form a strategic alliance for the development and
commercialization of ZI's DosePro drug delivery technology. Under the
agreement, the alliance will use ZI's DosePro(R) needle-free drug delivery
technology for new commercial out-licensing opportunities. DosePro(R) will
also be introduced pharmaceutical and biotechnology firms to develop and
commercialize innovative drug delivery products for development pipelines
and for life cycle management of marketed prescription drugs and
biologics.</t>
  </si>
  <si>
    <t xml:space="preserve">98978L
07131F</t>
  </si>
  <si>
    <t xml:space="preserve">Almirall SA
BioFocus DPI PLC</t>
  </si>
  <si>
    <t xml:space="preserve">Mnfr pharmaceutical products
Manufacture pharmaceuticals</t>
  </si>
  <si>
    <t xml:space="preserve">Almirall SA, located in
Barcelona, Spain is a
company principally engaged
in the pharmaceuticals
manufacture. The Company
focuses on development and
marketing of drugs applied
in various therapeutic
areas, such as nervous
system, gastrointestinal,
dermatological, respiratory
system, antiinfectives, as
well as antineoplastic and
immunomodulating agents. The
Company's activities are
divided into four business
segments: Own network, which
focuses on the
commercialization of
pharmaceuticals through own
brand names; Licenses, which
sells product rights to
third parties; Research and
development (R&amp;D), which is
responsible for the creation
of drug candidates, as well
as Dermatology, which
includes sale of
dermatological medicines in
the United States. The
Company operates through
numerous subsidiaries in
Europe, the Americas,
Africa, Asia and Australia.
The Company was founded in
1943.
BioFocus DPI PLC, located in
Essex, United Kingdom,
manufactures pharmaceuticals.
The company offers
biologically-focused discovery
platform with three
differentiators- target
discovery, compound libraries
and predictive drug discovery
tools.</t>
  </si>
  <si>
    <t xml:space="preserve">Grupo Corporativo Landon SL
Galapagos NV</t>
  </si>
  <si>
    <t xml:space="preserve">6531
2836</t>
  </si>
  <si>
    <t xml:space="preserve">ALMIRALL PRODESFARMA SA/BIOFOCUS DPI PLC-STRATEGIC ALLIANCE</t>
  </si>
  <si>
    <t xml:space="preserve">Almirall Prodesfarma SA (Almirall) and BioFocus DPI PLC (BioFocus) formed a
strategic alliance to deliver drug development candidates directed to a key
respiratory target of interest to Almirall SA. Under the terms of the
collaboration, BioFocus will apply its integrated drug discovery
capabilities whilst Almirall will bring in respiratory specific knowhow to
the joint experimental effort.</t>
  </si>
  <si>
    <t xml:space="preserve">E0459K
08987H</t>
  </si>
  <si>
    <t xml:space="preserve">Roche Holdings AG
Technoclone GmbH</t>
  </si>
  <si>
    <t xml:space="preserve">Manufactures, wholesales pharmaceuticals and medical instruments
Mnfr hemostasis dgnstc pdcts</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</si>
  <si>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Technoclone GmbH, located in
Vienna, Austria, develops
hemostasis diagnostic
products. The company's
research and development id
centered on monoclonal
antibodies against components
of the coagulation and the
fibrinolytic systems in the
field of thrombosis and
cardiovascular diseases. Some
of its products include
Ceveron(R) alpha, Ceveron(R)
MFU 500, TECHNOZYM(R) Protein
C ELISA Kit and TECHNOCHROM(R)
Protein C. The company was
founded in 1987.</t>
  </si>
  <si>
    <t xml:space="preserve">ROCHE HOLDING AG/TECHNOCLONE GMBH-STRATEGIC ALLIANCE</t>
  </si>
  <si>
    <t xml:space="preserve">Foreign
Delaware</t>
  </si>
  <si>
    <t xml:space="preserve">Roche Holding AG (RH) and Technoclone GmbH (TG) formed a strategic alliance
to develop a complete range of coagulation assays. Under the alliance,
developed products will be marketed in Canada and the US under RH's
cobas(R) brand. In addtion, RH will also market TG's Research Use Only
products that address the needs of specialists and researchers in the
hemostasis research community.</t>
  </si>
  <si>
    <t xml:space="preserve">77119M
92015F</t>
  </si>
  <si>
    <t xml:space="preserve">Global Geophysical Svcs Inc
PanGeo Subsea Inc</t>
  </si>
  <si>
    <t xml:space="preserve">Pvd geographical mapping svcs
Pvd acoustic imaging svcs</t>
  </si>
  <si>
    <t xml:space="preserve">Global Geophysical Services
Inc, located in Missouri City,
Texas, is a provider of
seismic mapping services to
companies belonging in the oil
and gas industry. It provides
seismic data acquisition,
micro-seismic monitoring,
seismic data processing and
interpretation services. It
has offices in Colorado, US,
Algeria, Argentina, India,
Oman, Peru, Colombia and
Mexico. The company was
founded in 2003.
PanGeo Subsea Inc, located in
St Johns, Canada, provides 3D
and 4D subsea acoustic imaging
services. The company' brands
include Acoustic Corer, a
seabed deployed unit with dual
subsurface scanning sonar
heads; and Sub-Bottom Imager.
It caters to clients in the
oil and gas, offshore
renewable energy, defense and
security, marine civil
engineering,
telecommunications, and power
industries. The company was
founded in 2006.</t>
  </si>
  <si>
    <t xml:space="preserve">1382
7389</t>
  </si>
  <si>
    <t xml:space="preserve">GLOBAL GEOPHYSICAL SERVICES INC/PANGEO SUBSEA INC-STRTEGIC ALLIANCE</t>
  </si>
  <si>
    <t xml:space="preserve">PanGeo Subsea Inc (PS) and Global Geophysical Services Inc (GG) formed a
strategic alliance for the development and commercialization of PS's
Acoustic Zoom(R) product line.</t>
  </si>
  <si>
    <t xml:space="preserve">37946S
70092K</t>
  </si>
  <si>
    <t xml:space="preserve">Shire PLC
Sangamo BioSciences Inc</t>
  </si>
  <si>
    <t xml:space="preserve">Manufacture,wholesale pharmaceutical production
Biopharmaceutical company</t>
  </si>
  <si>
    <t xml:space="preserve">Shire PLC, located in
Dublin, the Republic of
Ireland, manufactures and
wholesales pharmaceutical
products. The Company
focuses on the central
nervous system,
gastrointestinal and human
genetic therapies. Its
brands include Adderall XR,
Dynepo, Equetro, Forsenol,
Adderall, Carbatrol,
Pentasa, Colazide, Agrylin,
Xagrid, Fosrenol,
Proamatine, Epivir,
Combivir, Trizivir, Vaniqa,
Xagrid, Zeffix, Calcichew,
Solaraze, Reminyl/Reminyl
XL, Lodine, Replagal,
Daytrana, Elaprase and
Mesavance. The Group
operates in the UK, the US,
the Netherlands, France,
Germany, Italy, Spain,
Ireland, Canada, Cayman
Islands and Sweden. The
Company distributes its
products in Australia,
Denmark, Finland, Hong Kong,
Israel, Malaysia, Norway,
Philippines, Singapore,
South Africa, South Korea
and Thailand. It was founded
in 1986.
Sangamo BioSciences Inc,
located in Richmond,
California, is a
biopharmaceutical company
that provides research and
development of novel
DNA-binding proteins for
therapeutic gene regulation
and modification. The
Company's core competencies
enable the engineering of a
class of DNA-binding
proteins, known as zinc
finger DNA-binding proteins
which are being developed
and evaluated for safety and
clinical effects in patients
with diabetic neuropathy and
peripheral artery disease.
Its other therapeutic
development programs focus
on cancer and HIV/AIDS,
neuropathic pain, nerve
regeneration, Parkinson's
disease, and monogenic
diseases. The company was
founded in 1995.</t>
  </si>
  <si>
    <t xml:space="preserve">SHIRE PLC/SANGAMO BIOSCIENCES INC-STRATEGIC ALLIANCE</t>
  </si>
  <si>
    <t xml:space="preserve">Shire PLC (SP) and Sangamo BioSciences, Inc (SB) formed a strategic
alliance to develop therapeutics for hemophilia and other monogenic
diseases. Under the agreement, the development of the products would be
based on SB's zinc finger DNA-binding protein (ZFP) technology. SB is
entitled to receive USD 13 mil upfront followed by research, regulatory,
development and commercial milestone payments, and royalty payments. SP was
granted worldwide license to ZFP Therapeutics(R) that will be used to
investigate curative therapies for hemophilia A and B.</t>
  </si>
  <si>
    <t xml:space="preserve">SB is entitled to receive USD 13 mil upfront followed by research,
regulatory, development and commercial milestone payments, and royalty
payments.</t>
  </si>
  <si>
    <t xml:space="preserve">82481R
800677</t>
  </si>
  <si>
    <t xml:space="preserve">Tandem Diabetes Care Inc
Dexcom Inc</t>
  </si>
  <si>
    <t xml:space="preserve">Dvlp diabetes mgt products
Manufacture medical device</t>
  </si>
  <si>
    <t xml:space="preserve">Tandem Diabetes Care Inc,
located in San Diego,
California, designs and
develops products for the
management of diabetes. The
company's products include
t:slim, an insulin delivery
system and t:connect, a
Web-based application. It
was founded in 2006.
Dexcom Inc, located in San
Diego, California, is a
medical device company
focused on the design and
development of continuous
glucose monitoring systems
for people with diabetes. It
offers FDA approved
Short-Term Continuous
Glucose Monitoring System
(STS), which includes a
disposable sensor that can
be inserted by a patient and
used continuously for up to
three days, a transmitter,
and a small cell phone-sized
receiver. The Company was
founded in 1999.</t>
  </si>
  <si>
    <t xml:space="preserve">TANDEM DIABETES CARE INC/DEXCOM INC-STRATEGIC ALLIANCE</t>
  </si>
  <si>
    <t xml:space="preserve">Tandem Diabetes Care Inc (TD) and DexCom Inc (DI) formed a strategic
alliance for the development and commercialization of TD's t:slim Insulin
Delivery System. Under the agreement, TD will integrate its t:slim Insulin
Delivery System with DI's continuous glucose monitoring (CGM) technology.
DI was entitled to receive USD 3 mil as license fee.</t>
  </si>
  <si>
    <t xml:space="preserve">DI was entitled to receive USD 3 mil as license fee.</t>
  </si>
  <si>
    <t xml:space="preserve">875372
252131</t>
  </si>
  <si>
    <t xml:space="preserve">PAREXEL International Corp
ASAN Medical Center</t>
  </si>
  <si>
    <t xml:space="preserve">Pvd biopharmaceutical svcs
Own,op hospital</t>
  </si>
  <si>
    <t xml:space="preserve">PAREXEL International Corp,
located in Waltham,
Massachusetts, provides
biopharmaceutical services,
including social sciences
research and development
services. It offers
expertise-based clinical
research, consulting, medical
communications and technology
solutions and services
worldwide pharmaceutical,
biotechnology and medical
device industries. It
currently has offices in 86
locations in 51 countries
across the world and employs
approximately 19,600
employees. The Company was
founded in 1982.
ASAN Medical Center, owns and
operates a hospital(s). The
company is headquartered in
Seoul, South Korea. The
companys services include
medical and research and
development. It is an
innovative cancer
research-centered hospital.
The company was founded in
June 23, 1989.</t>
  </si>
  <si>
    <t xml:space="preserve">8731
8062</t>
  </si>
  <si>
    <t xml:space="preserve">PAREXEL INTERNATIONAL CORP/ASAN MEDICAL CENTER-STRATEGIC ALLIANCE</t>
  </si>
  <si>
    <t xml:space="preserve">PAREXEL International Corp (PI) and ASAN Medical Center (AM) formed a
strategic alliance to provide clinical research and development services.
The alliance offers clinical trial sponsors based regionally and
internationally with access to high quality clinical trial services
throughout Asia, with a focus on early phase development</t>
  </si>
  <si>
    <t xml:space="preserve">699462
04804M</t>
  </si>
  <si>
    <t xml:space="preserve">Swisslog Holding AG
John Bean Technologies Corp</t>
  </si>
  <si>
    <t xml:space="preserve">Pvd integrated logistics svcs
Manufacture food processing technologies</t>
  </si>
  <si>
    <t xml:space="preserve">Swisslog Holding AG, located
in Buchs, Switzerland,
provides integrated logistics
solutions for warehouses,
distribution centres and
hospitals. Its activities are
divided into two business
segments. The Warehouse and
Distribution Solutions (WDS)
segment delivers
industry-specific solutions
for automated, semi-automated
and manual warehouses and
distribution centres, and
provides consulting services,
software solutions, logistic
equipment, general
contracting, implementation
and lifetime support. The
Healthcare Solutions (HCS)
segment offers logistics
automations for the movement
and processing of materials
and medications within and
throughout healthcare
facilities, and its scope of
service ranges from
consulting, design and
manufacturing, among others.
HCS is comprised of Automated
Materials Transport Systems
(AMTS), which provides
automated transport of basic
commodities, medications and
specimens, and Automated Drug
Management Systems that
optimizes hospital pharmacy
processes. The company was
founded in 1898.
John Bean Technologies Corp,
headquartered in Chicago,
Illinois, manufactures food
processing and air
transportation technologies
through its JBT FoodTech and
JBT AeroTech segments. Its
JBT FoodTech segment offers
freezer solutions for the
freezing and chilling of
meat, seafood, poultry,
ready-to-eat meals, fruit,
vegetable and bakery
products; protein-processing
solutions that portion, coat
and cook poultry, meat,
seafood, vegetable and
bakery products;
shelf-stable sterilization
solutions for fruits,
vegetables, soups, sauces,
dairy and pet food products,
as well as ready-to-eat
meals in a wide variety of
modern packages; and fruit
processing solutions that
extract, concentrate and
aseptically process citrus,
tomato and other fruit. The
JBT AeroTech segment offers
ground-support equipment for
cargo loading, aircraft
deicing and aircraft towing;
gate equipment for passenger
boarding, on the ground
aircraft power and cooling;
airport services for
maintenance of airport
equipment, systems and
facilities; and military
equipment for cargo loading,
aircraft towing and
on-the-ground aircraft
cooling. The Company was
founded in 1880.</t>
  </si>
  <si>
    <t xml:space="preserve">4731
3556</t>
  </si>
  <si>
    <t xml:space="preserve">SWISSLOG HOLDING AG/JOHN BEAN TECHNOLOGIES CORP-STRATEGIC ALLIANCE</t>
  </si>
  <si>
    <t xml:space="preserve">Swisslog Holding AG (SH) and John Bean Technologies Corp (JB) formed a
strategic alliance to develop and manufacture Automated Guided Vehicles
(AGVs) for hospitals.</t>
  </si>
  <si>
    <t xml:space="preserve">87100V
477839</t>
  </si>
  <si>
    <t xml:space="preserve">China Mobile Research
Anite PLC</t>
  </si>
  <si>
    <t xml:space="preserve">Pvd telecommun svcs
Pvd info tech consulting svcs</t>
  </si>
  <si>
    <t xml:space="preserve">China Mobile Research
Institute, located in China,
provides telecommunication
services.
Anite PLC, located in
Berkshire, the UK, provides
information technology
solutions, software, systems
integration and related
services. The company also
provides software services for
the public sector, wireless
business and travel
operations. The company was
founded in 1973.</t>
  </si>
  <si>
    <t xml:space="preserve">4813
7372</t>
  </si>
  <si>
    <t xml:space="preserve">CHINA MOBILE RESEARCH INSTITUTE/ANITE PLC-STRATEGIC ALLIANCE</t>
  </si>
  <si>
    <t xml:space="preserve">China Mobile Research Institute and Anite PLC formed a strategic alliance
to provide telecommunications services and collaborate on research in order
to facilitate the global roll out of TD-LTE technology, in China.</t>
  </si>
  <si>
    <t xml:space="preserve">Telecommunications Services
Research &amp; Development Services</t>
  </si>
  <si>
    <t xml:space="preserve">17487Y
03501Y</t>
  </si>
  <si>
    <t xml:space="preserve">Threshold Pharmaceuticals Inc
Merck KGaA</t>
  </si>
  <si>
    <t xml:space="preserve">Manufactures biological products
Manufactures and wholesales pharmaceuticals, specialty chemicals, and cosmetic pigments</t>
  </si>
  <si>
    <t xml:space="preserve">Threshold Pharmaceuticals Inc,
located in Redwood City,
California, manufactures
biological products. It
focused on the discovery and
development of therapeutics
based on Tumor Hypoxia, a
powerful scientific platform
that offers broad potential to
treat most solid tumors. The
Company was founded in October
2001.
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</si>
  <si>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THRESHOLD PHARMACEUTICALS INC/MERCK KGAA-STRATEGIC ALLIANCE</t>
  </si>
  <si>
    <t xml:space="preserve">Threshold Pharmaceuticals Inc (TP) and Merck KGaA (MK) formed a strategic
alliance for the development and commercialization of TP's small molecule
hypoxia-targeted drug, TH-302. Under the agreement, TP is entitled to
receive USD 25 mil upfront payment and up to USD 35 mil in additional
development milestones.</t>
  </si>
  <si>
    <t xml:space="preserve">TP is entitled to receive USD 25 mil upfront payment and up to USD 35 mil
in additional development milestones.</t>
  </si>
  <si>
    <t xml:space="preserve">885807
589339</t>
  </si>
  <si>
    <t xml:space="preserve">National Cancer Inst
Delcath Systems Inc</t>
  </si>
  <si>
    <t xml:space="preserve">Pvd med research svcs
Mnfr,whl pharmaceuticals</t>
  </si>
  <si>
    <t xml:space="preserve">National Cancer Institute,
located in Bethesda,
Maryland, provides medical
research services.
Delcath Systems Inc, located
in New York, New York, is a
specialty pharmaceutical and
medical device company
focused on oncology. The
company is a
development-stage company
that has developed a device
designed to administer high
dose chemotherapy and other
therapeutic agents to
diseased organs or regions
of the body. The company
focused its efforts on the
development of a single
product, the Delcath PHP
System, for the treatment of
tumors of the liver. It was
incorporated in Delaware on
August 5, 1998.</t>
  </si>
  <si>
    <t xml:space="preserve">MD
NY</t>
  </si>
  <si>
    <t xml:space="preserve">National Institutes of Health
Delcath Systems Inc</t>
  </si>
  <si>
    <t xml:space="preserve">DELCATH SYSTEMS INC/NATIONAL CANCER INSTITUTE-STRATEGIC ALLIANCE</t>
  </si>
  <si>
    <t xml:space="preserve">Delcath Systems Inc and National Cancer Institute formed a strategic
alliance to provide research and development services, in the USA.</t>
  </si>
  <si>
    <t xml:space="preserve">63306A
24661P</t>
  </si>
  <si>
    <t xml:space="preserve">IDEX ASA
Seeking Partner</t>
  </si>
  <si>
    <t xml:space="preserve">Mnfr biometric tech products
Investment firm</t>
  </si>
  <si>
    <t xml:space="preserve">IDEX ASA, located in
Fornebu, Norway,
manufactures and wholesales
biometric technology
products. It is a technology
provider specializing in the
development of fingerprint
recognition, authentication
and verification technology.
It offers a high-tech
solution combining biometric
identification with
navigation capabilities;
navigation and pointing for
simple menu handling and
micro-joystick functionality
for advanced game
applications. The Company
was founded in 1996.
Investment firm</t>
  </si>
  <si>
    <t xml:space="preserve">FF
</t>
  </si>
  <si>
    <t xml:space="preserve">IDEX ASA/SEEKING PARTNER-STRATEGIC ALLIANCE</t>
  </si>
  <si>
    <t xml:space="preserve">Seeking to form</t>
  </si>
  <si>
    <t xml:space="preserve">Idex ASA (IA) was seekig partner to form a stratgeic alliance to develop
its fingerprint recognition technology Smartfinger.</t>
  </si>
  <si>
    <t xml:space="preserve">45127A
81575N</t>
  </si>
  <si>
    <t xml:space="preserve">Strategic Diagnostics Inc
BD Diagnostics</t>
  </si>
  <si>
    <t xml:space="preserve">Biotechnology company
Mnfr specimen collection instr</t>
  </si>
  <si>
    <t xml:space="preserve">Strategic Diagnostics Inc,
located in Newark, Delaware,
is a biotechnology company.
It develops, manufactures
and markets immunoassay and
bioluminescence-based test
kits for detection. It has
offices in Newark, Delaware;
and Hampshire, UK. The
company was founded in 1990.
BD Diagnostics, located in New
Jersey, manufactures specimen
collection instruments for
evacuated blood and
safety-engineered specimen
collection, plated media,
automated blood culturing and
molecular testing and
microorganism identification
and drug susceptibility
systems.</t>
  </si>
  <si>
    <t xml:space="preserve">DE
MD</t>
  </si>
  <si>
    <t xml:space="preserve">Strategic Diagnostics Inc
Becton Dickinson &amp; Co</t>
  </si>
  <si>
    <t xml:space="preserve">STRATEGIC DIAGNOSTICS INC/BD DIAGNOSTICS-STRATEGIC ALLIANCE</t>
  </si>
  <si>
    <t xml:space="preserve">Strategic Diagnostics Inc (SD) and BD Diagnostics (BD) formed a strategic
alliance to develop microbiology detection solution. Under the agreement,
the solution will deliver accurate detection of microorganisms. SD is
entitled to receive USD 1.5 mil upfront payment and an additional USD 2.5
mil in milestone payments and royalties on product sales</t>
  </si>
  <si>
    <t xml:space="preserve">862700
07587Y</t>
  </si>
  <si>
    <t xml:space="preserve">Siemens Healthcare Diagnostics
ViiV Healthcare Ltd</t>
  </si>
  <si>
    <t xml:space="preserve">Pvd med diagnostic svcs
Manufacture HIV medicines</t>
  </si>
  <si>
    <t xml:space="preserve">Siemens Healthcare Diagnostics
Inc, located in Tarrytown, New
York, provides medical
diagnostic services. It also
offers products and services
for diagnosing medical
conditions and monitoring
patient therapy. Its services
include integrated chemistry,
immunoassay, routine
chemistry, automation,
hematology, homeostasis,
microbiology, diabetes,
urinalysis, blood gas
monitoring and molecular
testing. It has direct
operations in France, Germany,
Italy, Japan, Korea, the
Netherlands, Poland, Spain,
the UK, and the US. The
company was founded in 2007.
ViiV Healthcare Ltd,
headquartered in Brentford,
UK, manufactures and provides
research and development
services of HIV medicines. The
company was founded in 2009.</t>
  </si>
  <si>
    <t xml:space="preserve">Siemens AG
GlaxoSmithKline PLC</t>
  </si>
  <si>
    <t xml:space="preserve">Germany
United Kingdom</t>
  </si>
  <si>
    <t xml:space="preserve">3663
2834</t>
  </si>
  <si>
    <t xml:space="preserve">SIEMENS HEALTHCARE DIAGNOSTICS INC/VIIV HEALTHCARE GROUP OF COS-STRATEGIC
ALLIANCE</t>
  </si>
  <si>
    <t xml:space="preserve">Siemens Healthcare Diagnostics Inc (SH) and ViiV Healthcare Group of Cos
(VH) planned to form a strategic alliance for the clinical testing and
commercialization of VH's co-receptor antagonist for the treatment of
CCR5-tropic HIV.</t>
  </si>
  <si>
    <t xml:space="preserve">82802Y
92145W</t>
  </si>
  <si>
    <t xml:space="preserve">Siemens Healthcare Diagnostics
Tocagen Inc</t>
  </si>
  <si>
    <t xml:space="preserve">Pvd med diagnostic svcs
Biotechnology company</t>
  </si>
  <si>
    <t xml:space="preserve">Siemens Healthcare Diagnostics
Inc, located in Tarrytown, New
York, provides medical
diagnostic services. It also
offers products and services
for diagnosing medical
conditions and monitoring
patient therapy. Its services
include integrated chemistry,
immunoassay, routine
chemistry, automation,
hematology, homeostasis,
microbiology, diabetes,
urinalysis, blood gas
monitoring and molecular
testing. It has direct
operations in France, Germany,
Italy, Japan, Korea, the
Netherlands, Poland, Spain,
the UK, and the US. The
company was founded in 2007.
Tocagen Inc, is a
biotechnology company
headquartered in San Diego,
California. The companys
brands include Toca 511, a
key novel component that
allows selective targeting
of cancer cells; Toca FC a
novel extended-release
tablet and Oral 5-FC. It was
founded in 2007.</t>
  </si>
  <si>
    <t xml:space="preserve">Siemens AG
Tocagen Inc</t>
  </si>
  <si>
    <t xml:space="preserve">3663
2836</t>
  </si>
  <si>
    <t xml:space="preserve">SIEMENS HEALTHCARE DIAGNOSTICS INC/TOCAGEN INC-STRATEGIC ALLIANCE</t>
  </si>
  <si>
    <t xml:space="preserve">Siemens Healthcare Diagnostics Inc (SH) and Tocagen Inc (TI) planned to
form a strategic alliance to run clinical tests on TI's unique viral gene
therapy Toca 511 &amp; Toca FC for the treatment of primary brain cancer. The
alliance will also commercialize diagnostic tests for therapy monitoring.</t>
  </si>
  <si>
    <t xml:space="preserve">82802Y
92060W</t>
  </si>
  <si>
    <t xml:space="preserve">Brooks Life Science Systems
Scripps Research Institute</t>
  </si>
  <si>
    <t xml:space="preserve">Biological Product (Except Diagnostic) Manufacturing
Biotechnology company</t>
  </si>
  <si>
    <t xml:space="preserve">Brooks Life Science Systems
is a manufacturer of
biological products. The
Company is located in
Chelmsford, Massachusetts.
Scripps Research Institute,
located in La Jolla,
California, is a
biotechnology company
focused on basic biomedical
science. It is recognized
for its research in
immunology, molecular and
cellular biology, chemistry,
neurosciences, autoimmune
diseases, cardiovascular
diseases, virology, and
synthetic vaccine
development. The company was
founded in 1924.</t>
  </si>
  <si>
    <t xml:space="preserve">Brooks Automation Inc
Scripps Research Institute</t>
  </si>
  <si>
    <t xml:space="preserve">BROOKS LIFE SCIENCE SYSTEMS/SCRIPPS RESEARCH INSTITUTE-STRATEGIC ALLIANCE</t>
  </si>
  <si>
    <t xml:space="preserve">Brooks Life Science Systems and Scripps Research Institute formed a
strategic alliance, to develop, manufacture and commercialize microplate
imaging system.</t>
  </si>
  <si>
    <t xml:space="preserve">11477R
81106Q</t>
  </si>
  <si>
    <t xml:space="preserve">Majestic Market Research Suppo
Sarang Panchal</t>
  </si>
  <si>
    <t xml:space="preserve">Pvd market research svcs
Individual</t>
  </si>
  <si>
    <t xml:space="preserve">Majestic Market Research
Support Services Ltd is a
provider of social sciences
research and development
services. The Company was
founded in November 2003 and
is located in Mumbai, India.
Individual</t>
  </si>
  <si>
    <t xml:space="preserve">MAJESTIC MARKET RESEARCH SUPPORT SERVICES LTD/SARANG PANCHAL-JOINT VENTURE</t>
  </si>
  <si>
    <t xml:space="preserve">Majestic Market Research Support Services Ltd and Sarang Panchal planned to
form a joint venture to provide market research services, in India.</t>
  </si>
  <si>
    <t xml:space="preserve">56015R
80505Q</t>
  </si>
  <si>
    <t xml:space="preserve">Quanterix Corp
Beth Israel Medical Center
Forsyth Institute</t>
  </si>
  <si>
    <t xml:space="preserve">Pvd medical research svcs
Own,operate medical hospital
Non-profit research org</t>
  </si>
  <si>
    <t xml:space="preserve">Quanterix Corporation is a
United States-based company,
which is a developer of
tools in high definition
diagnostics. The Company
offers single molecule array
(Simoa) platform, whcich
uses single molecule
measurements to access
proteins. Simoa focuses on
research and clinical
testing applications. The
Company focuses on research
and diagnostics for brain
injuries, heart disease,
cancer and other diseases
with its technology. The
Company offers Simoa HD-1
analyzer, which creates high
density arrays of
approximately 40 femtoliter
microwells. Its Simoa HD-1
analyzer is an automated
immunoassay platform with
multiplexing and custom
assay capability. The
Company offers Simoa
consumables, which include
Simoa Discs,Cuvettes, Simoa
Sealing Oil, Simoa Buffers
and Disposable Tips. It
offers a range of complete
assay kits, including
multiplex panels, covering a
range of therapeutic
areas.Its services include
Simoa Accelerator Lab and
custom assay development
services. The Company was
founded in 2007 and is
located in Cambridge,
Massachusetts.
Beth Israel Medical Center,
located in New York, New York,
owns and operates medical
hospital. The company serves
as the Manhattan Campus for
the Albert Einstein College of
Medicine. The company offers
diagnosis and treatment for
HIV/AIDS, anesthesiology,
breast and lung cancer,
morbidly obese, bereavement,
strokes, work-related injuries
and illnesses, cardiology,
womens musculoskeletal health,
chemical dependency,
craniofacial and cleft palate,
epilepsy, diabetes, heritage
initiative, hernia repair,
hospice, and incontinence. The
company was 1890.
Non-profit research
organization focused on oral,
craniofacial and related
biomedical science</t>
  </si>
  <si>
    <t xml:space="preserve">3826
8062
8641</t>
  </si>
  <si>
    <t xml:space="preserve">MA
NY
MA</t>
  </si>
  <si>
    <t xml:space="preserve">Quanterix Corp
Continuum Health Partners Inc
Forsyth Institute</t>
  </si>
  <si>
    <t xml:space="preserve">3826
8099
8641</t>
  </si>
  <si>
    <t xml:space="preserve">QUANTERIX CORP/BETH ISRAEL MEDICAL CENTER/FORSYTH INSTITUTE-JOINT VENTURE</t>
  </si>
  <si>
    <t xml:space="preserve">Quanterix Corp, Beth Israel Medical Center and Forsyth Institute formed a
strategic alliance, apply its cutting-edge technology towards the
development of an improved test to aid in the diagnosis of active
tuberculosis (TB).</t>
  </si>
  <si>
    <t xml:space="preserve">74766Q
08661Q
34665N</t>
  </si>
  <si>
    <t xml:space="preserve">Vernalis PLC
Tris Pharma Inc</t>
  </si>
  <si>
    <t xml:space="preserve">Pharma manufacturer
Mnfr pharm</t>
  </si>
  <si>
    <t xml:space="preserve">Vernalis PLC is a
manufacturer of
pharmaceutical preparation.
The Company is a commercial
stage pharmaceutical company
with three marketed
products; Tuzistra XR in the
US prescription cough cold
market, Moxatag, a
once-a-day formulation of
the antibiotic amoxicillin,
also for the US prescription
market, and frovatriptan an
acute treatment for
migraine. The Company also
has four further
prescription cough cold
products under development
with Tris and a broad
pipeline of research and NCE
development programmes. The
Company is located in
Winnersh, the United
Kingdom.
Tris Pharma Inc is a
pharmaceutical manufacturing
firm, headquartered in
Monmouth Junction, New
Jersey. The Company's
brands include LiquiXR,
Lipisol, eXsol, maxsol,
ODTXR, and NoBuse. It was
founded in 2000.</t>
  </si>
  <si>
    <t xml:space="preserve">VERNALIS PLC/TRIS PHARMA INC-STRATEGIC ALLIANCE</t>
  </si>
  <si>
    <t xml:space="preserve">Vernalis PLC (VP) and Tris Pharma Inc (TP) formed a strategic alliance to
develop up to six novel pharmaceutical formulation on existing cough and
cold products in the US.</t>
  </si>
  <si>
    <t xml:space="preserve">92430N
92063K</t>
  </si>
  <si>
    <t xml:space="preserve">The Conference Board Inc
FactSet Research Systems Inc</t>
  </si>
  <si>
    <t xml:space="preserve">Pvd economic,bus research svcs
Provide financial information services</t>
  </si>
  <si>
    <t xml:space="preserve">The Conference Board Inc,
located in New York, New York,
provides economic and business
research services. The company
was founded in 1916.
FactSet Research Systems
Inc, headquartered in
Norwalk, Connecticut,
provides financial and
economic online information
services to the global
investment community. It
offers fundamental financial
data on various companies,
analytical applications, and
client services to the
portfolio managers, research
and performance analysts,
risk managers, marketing
professionals, sell-side
equity research
professionals, investment
bankers, and fixed income
professionals. The Company
was founded in 1978.</t>
  </si>
  <si>
    <t xml:space="preserve">8733
7375</t>
  </si>
  <si>
    <t xml:space="preserve">FACTSET RESEARCH SYSTEMS INC/THE CONFERENCE BOARD-STRATEGIC ALLIANCE</t>
  </si>
  <si>
    <t xml:space="preserve">FactSet Research Systems Inc and The Conference Board planned to form a
strategic alliance to provide research and developments services, in the
USA.</t>
  </si>
  <si>
    <t xml:space="preserve">20717R
303075</t>
  </si>
  <si>
    <t xml:space="preserve">Arla Foods AmbA
University of Copenhagen</t>
  </si>
  <si>
    <t xml:space="preserve">Produce,wholesale dairy products
Own,op college,university</t>
  </si>
  <si>
    <t xml:space="preserve">Arla Foods AmbA, located in
Viby, Denmark, produces and
wholesales dairy products
including milk, cheese,
butter and preserved milk
products. The firm has
operations in the UK,
Sweden, Germany, Denmark,
Argentina, China, USA,
Brazil and Canada. The
company was founded in 2000.
University of Copenhagen is
a college operator. The
Company is located in
Copenhagen, Denmark.</t>
  </si>
  <si>
    <t xml:space="preserve">2026
8221</t>
  </si>
  <si>
    <t xml:space="preserve">ARLA FOODS AMBA/UNIVERSITY OF COPENHAGEN-STRATEGIC ALLIANCE</t>
  </si>
  <si>
    <t xml:space="preserve">Arla Foods amba (AF) and the University of Copenhagen (UC) formed a
strategic alliance to develop natural alternatives to fat-reduced butter
products.</t>
  </si>
  <si>
    <t xml:space="preserve">04133Y
91417Q</t>
  </si>
  <si>
    <t xml:space="preserve">NatureWorks LLC
BioAmber Inc</t>
  </si>
  <si>
    <t xml:space="preserve">Mnfr polymers
Mnfr organic chemicals</t>
  </si>
  <si>
    <t xml:space="preserve">NatureWorks LLC, located in
Minnetonka, Minnesota,
manufactures commercially
available polymers, marketed
under the NatureWorks polymer
and Ingeo fibers brand names.
BioAmber Inc, located in
Plymouth, Minnesota,
manufactures organic chemicals
and biodegradable plastics.
The company's products are
used as a substitute and
additive for lubricant oils
and coatings. The company also
has offices in Canada and
France, and was founded in
2008.</t>
  </si>
  <si>
    <t xml:space="preserve">Cargill Inc
BioAmber Inc</t>
  </si>
  <si>
    <t xml:space="preserve">2075
2869</t>
  </si>
  <si>
    <t xml:space="preserve">NATUREWORKS LLC/BIOAMBER INC-JOINT VENTURE</t>
  </si>
  <si>
    <t xml:space="preserve">NatureWorks LLC (NL) and BioAmber Inc (BI) planned to form a joint venture
named AmberWorks to provide commercialization services. The JV will
develop, manufacture and commercialize a new family of compounded Ingeo
resin grades, and is immediately offering samples of developmental grades
aimed at thermoforming and injection-molding processes.</t>
  </si>
  <si>
    <t xml:space="preserve">Research &amp; Development Services
Manufacturing Services
Services (NEC)</t>
  </si>
  <si>
    <t xml:space="preserve">63923L
09072Q</t>
  </si>
  <si>
    <t xml:space="preserve">Smith Electric Vehicles Corp
Wanxiang Group Corp</t>
  </si>
  <si>
    <t xml:space="preserve">Mnfr electric vehicles,parts
All Other Motor Vehicle Parts Manufacturing</t>
  </si>
  <si>
    <t xml:space="preserve">Smith Electric Vehicles Corp,
located in Kansas, Missouri,
manufactures electric motor
vehicles and its parts. The
company's products include
battery powered, zero emission
urban taxi, and parts. It was
founded on 2009.
Wanxiang Group Corp is a
manufacturer and wholesaler
of motor vehicle parts. The
Company was founded in July
1969 and is located in
Hangzhou, China.</t>
  </si>
  <si>
    <t xml:space="preserve">SMITH ELECTRIC VEHICLES CORP/WANXIANG GROUP CORP-JOINT VENTURE</t>
  </si>
  <si>
    <t xml:space="preserve">Smith Electric Vehicles Corp (SE) and Wanxiang Group Corp (WG) signed
letter of intent to form a joint venture to develop, manufacture and
commercialize electric commercial vehicles in China. Under the agreement,
the JV was to have a USD 75 mil investment. The transaction was subject to
regulatory approval.</t>
  </si>
  <si>
    <t xml:space="preserve">the JV was to have a USD 75 mil investment</t>
  </si>
  <si>
    <t xml:space="preserve">81344E
97818K</t>
  </si>
  <si>
    <t xml:space="preserve">Jubilant Biosys Ltd
Mnemosyne Pharmaceuticals Inc</t>
  </si>
  <si>
    <t xml:space="preserve">Jubilant Biosys Ltd, based in
Bangalore, India, provides
drug discovery services that
include pre-clinical, in-vivo
and formulation services such
as proprietary products,
exclusive synthesis, active
pharmaceutical ingredients,
sterile injectables (liquids
and lyophilized) products, and
non-steriles (ointments,
creams and liquids)
pharmaceuticals.. It
specializes in
multi-disciplines including
biology, chemistry, structural
biology, pharmacology,
molecular modeling,
crystallography and
information technology. The
company also develops and
distributes ePathArt,
eMolSign, TAS, Anti Bacterial
Database, Antibody database
and Phosphodiesterase
ChemBiobase web-based
software. It has operations in
USA, Europe and Japan. Founded
in 2001.
Mnemosyne Pharmaceuticals
Inc is a biotechnology
company headquartered in
Providence, Rhode Island.
The companys brands include
Subunit-selective NMDA
Receptor Modulators; offers
therapies for a range of
neuropsychiatric conditions;
NR2B modulators improve
cognitive dysfunction for
schizophrenia and Alzheimers
disease; NR2A modulators
improve recovery of function
after stroke and traumatic
brain injury, and NR2D
modulators reduce
impulsivity in ADHD. It was
founded in 2010.</t>
  </si>
  <si>
    <t xml:space="preserve">FF
RI</t>
  </si>
  <si>
    <t xml:space="preserve">Jubilant Life Sciences Ltd
Access Industries Inc</t>
  </si>
  <si>
    <t xml:space="preserve">JUBILANT BIOSYS LTD/MNEMOSYNE PHARMACEUTICALS INC-STRATEGIC ALLIANCE</t>
  </si>
  <si>
    <t xml:space="preserve">Jubilant Biosys Ltd (JB) and Mnemosyne Pharmaceutical Inc (MP) formed a
strategic alliance for the research and development of drug candidates for
treating neuropsychiatric diseases like schizophrenia and Alzheimer's
disease.</t>
  </si>
  <si>
    <t xml:space="preserve">48119C
60979P</t>
  </si>
  <si>
    <t xml:space="preserve">Hunan Boyun New Materials Co
Changsha Xinhang Wheel
Honeywell (China) Co Ltd</t>
  </si>
  <si>
    <t xml:space="preserve">Mnfr,whl powder metallurgy
Mnfr,whl brakes for airplanes
Investment holding company</t>
  </si>
  <si>
    <t xml:space="preserve">Hunan Boyun New Materials Co
Ltd is a manufacturer of
powder metallurgy parts. The
Company was founded in
August 1994 and is located
in Changsha, China.
Changsha Xinhang Machine
Wheels Brakes Co Ltd, located
in China, is a manufacturer
and wholesaler of air plane
brakes and parts. It was
founded in 2004.
Honeywell (China) Co Ltd is an
investment holding company,
headquartered in Beijing,
China. The company was founded
in 1996.</t>
  </si>
  <si>
    <t xml:space="preserve">3499
3728
6799</t>
  </si>
  <si>
    <t xml:space="preserve">Hunan Boyun New Materials Co
Cntrl S Univ Asset Op Co Ltd
Honeywell International Inc</t>
  </si>
  <si>
    <t xml:space="preserve">China
China
United States</t>
  </si>
  <si>
    <t xml:space="preserve">3499
6799
3812</t>
  </si>
  <si>
    <t xml:space="preserve">HUNAN BOYUN NEW MATERIALS CO LTD/CHANGSHA XINHANG MACHINE WHEELS BRAKES CO
LTD/HONEYWELL (CHINA) CO LTD-JOINT VENTURE</t>
  </si>
  <si>
    <t xml:space="preserve">Hunan Boyun New Materials Co Ltd (HB), Changsha Xinhang Machine Wheels
Brakes Co Ltd (CX) and Honeywell (China) Co Ltd (HC) agreed to form a joint
venture for the design research and development, test, manufacturing and
distribution of wheel-braking system in Hunan Province, China.</t>
  </si>
  <si>
    <t xml:space="preserve">44598M
15938C
43914Z</t>
  </si>
  <si>
    <t xml:space="preserve">Pfizer Luxembourg Sarl
Hisun Pharm Hangzhou Co Ltd
Zhejiang Hisun Pharm Co Ltd</t>
  </si>
  <si>
    <t xml:space="preserve">Investment company
Mnfr pharm
Mnfr,whl pharmaceuticals</t>
  </si>
  <si>
    <t xml:space="preserve">Pfizer Luxembourg Sarl,
located in Luxembourg, is an
investment firm.
Hisun Pharmaceutical
(Hangzhou) Co Ltd is a
manufacturer of
pharmaceutical preparation.
The Company was founded in
August 2005 and is located
in Hangzhou, China.
Zhejiang Hisun
Pharmaceutical Co Ltd is a
manufacturer and wholesaler
of pharmaceutical
preparation. The Company was
founded in 1956 and is
located in Taizhou, China.</t>
  </si>
  <si>
    <t xml:space="preserve">6799
2834
2834</t>
  </si>
  <si>
    <t xml:space="preserve">Luxembourg
China
China</t>
  </si>
  <si>
    <t xml:space="preserve">Pfizer Inc
Zhejiang Hisun Pharm Co Ltd
Zhejiang Hisun Pharm Co Ltd</t>
  </si>
  <si>
    <t xml:space="preserve">PFIZER LUXEMBOURG SARL/HISUN PHARMACEUTICAL (HANGZHOU) CO/ZHEJIANG HISUN
PHARMACEUTICAL CO-JOINT VENTURE</t>
  </si>
  <si>
    <t xml:space="preserve">Pfizer Luxembourg Sarl (PL), Hisun Pharmaceutical (Hangzhou) Co (HP), and
Zhejiang Hisun Pharmaceutical Co Ltd (ZH) agreed to form a joint venture to
engage in the development, production, and sales of pharmaceuticals in the
Zhejiang province of China. PL is to hold a 49% stake in the JV, HP 46%,
and ZH 5%. The JV will have a registered capital of USD 250 mil and the
companies will invest USD 295 mil.</t>
  </si>
  <si>
    <t xml:space="preserve">49.00
46.00
5.00</t>
  </si>
  <si>
    <t xml:space="preserve">The JV will have a registered capital of USD 250 mil and the companies will
invest USD 295 mil.</t>
  </si>
  <si>
    <t xml:space="preserve">71786X
39825A
Y9891W</t>
  </si>
  <si>
    <t xml:space="preserve">HaloSource Inc
Servicios de Ingenieria</t>
  </si>
  <si>
    <t xml:space="preserve">Mnfr cleaning solutions
Whl wedge,extrusion welders</t>
  </si>
  <si>
    <t xml:space="preserve">HaloSource Inc, located in
Bothell, Washington,
manufactures cleaning
solutions and treatments for
drinking water, recreational
water, and environmental
water. It also offers
anti-microbial solution for
chlorine-based bleach to treat
textiles and other surfaces.
It has offices in India and in
China and production
facilities in Raymond,
Washington; Bangalore, India;
Pakistan, and Shanghai, China.
The Company was founded in
2002.
Servicios de Ingenieria
Geosintetica SA, located in
Escazu, Costa Rica, wholesales
wedge and extrusion welders.
It is the distributor of
DEMTECH branded industrial
equipment and machinery.</t>
  </si>
  <si>
    <t xml:space="preserve">2836
5085</t>
  </si>
  <si>
    <t xml:space="preserve">United States
Croatia</t>
  </si>
  <si>
    <t xml:space="preserve">HALOSOURCE INC/SERVICIOS DE INGENIERIA GEOSINTETICA SA-STRATEGIC ALLIANCE</t>
  </si>
  <si>
    <t xml:space="preserve">HaloSource Inc {HaloSource} and Servicios de Ingenieria Geosintetica SA
{SIGSA} formed a strategic alliance to develop and deploy the eco-friendly
HaloKlear Dual Polymer System, or DPS, water treatment technology in dry
form for use in SIGSA's Latin American industrial water-treatment markets.</t>
  </si>
  <si>
    <t xml:space="preserve">40638H
30549C</t>
  </si>
  <si>
    <t xml:space="preserve">FuelCell Energy Inc
IKTS</t>
  </si>
  <si>
    <t xml:space="preserve">Mnfr,whl fuel cell power plant
Pvd research,development svcs</t>
  </si>
  <si>
    <t xml:space="preserve">FuelCell Energy Inc, located
in Danbury, Connecticut,
manufactures, is a integrated
fuel cell company, that
designs, manufactures, sells,
installs, operates and service
ultra-clean, stationary fuel
cell power plants for
distributed baseload power
generation, for commercial,
industrial, government and
utility customers. Its Direct
FuelCell (DFC) power plants
use a range of available fuels
to produce electricity
electrochemically, without
combustion -in a process that
is quiet and produces
virtually no pollutants. The
company also owns and operates
a manufacturing plant located
in Torrington, Connecticut. It
was founded in Connecticut in
1969 and reincorporated in
Delaware in 1999.
Fraunhofer Institut fuer
Keramische Technologien und
Systeme, located in Dresden,
Germany, provides research and
development services. Its
services include integrated
materials and process
development for ceramics and
hard metals, development and
supply of raw materials,
testing mechanical,
electrical, tribological
temperature and
characterization of corrosion
behavior under realistic
application conditions.</t>
  </si>
  <si>
    <t xml:space="preserve">3629
8731</t>
  </si>
  <si>
    <t xml:space="preserve">FUELCELL ENERGY INC/FRAUNHOFER INSTITUT FUER KERAMISCHE TECHNOLOGIEN UND
SYTEME-JOINT VENTURE</t>
  </si>
  <si>
    <t xml:space="preserve">Fuelcell Energy Inc {Fuelcell} and Fraunhofer Institut fuer Keramische
Technologien und Systeme {IKTS} formed a joint venture to develop the
market in Europe for Direct FuelCell(R) (DFC(R)) stationary power plants in
Germany. Additionally, IKTS will contribute certain assets and their
expertise in fuel cells and materials science to the joint venture. Under
terms of the agreement, Fuelcell was to hold a 50% interest in the joint
venture, while IKTS was to hold the remaining 50% stake.</t>
  </si>
  <si>
    <t xml:space="preserve">35952H
35542J</t>
  </si>
  <si>
    <t xml:space="preserve">Hitachi Ltd
Silver Spring Networks Inc</t>
  </si>
  <si>
    <t xml:space="preserve">Mnfr,whl electn equip
Pvd smart grid solutions svcs</t>
  </si>
  <si>
    <t xml:space="preserve">Hitachi Limited is
manufacturing and
distributing electronic
equipment, based in Tokyo.
The Group's principal
activity is to manufacture
electronic and electrical
equipment. The operations
are carried out through the
following divisions: Power
and industrial systems;
Information and Telecom
Systems; Materials; Consumer
Products; Electronic
Devices; Financial Services
and Service/others. Power
and Industrial systems
division manufactures
nuclear, thermal and
hydroelectric power plants
and control equipment.
Information systems division
deals with system
integration, multi-purpose
computer and others.
Electronics division
manufactures computers,
audio/visual equipment and
development of software.
Materials division
manufactures synthetic resin
materials and products.
Consumer Products division
manufactures air
conditioners, household
appliances and audio/visual
products. Electronic Devices
semi-conductor equipment and
test and measurement
equipment. Services and
other division is engaged in
general trading and
transportation.
Silver Spring Networks Inc,
headquartered in Redwood
City, California, provides
Smart Grid solutions that
enable utilities to be more
operationally efficient and
reliable as well as adding
customer value. Its services
are used by major utilities
around the globe including
Baltimore Gas &amp; Electric,
CitiPower &amp; Powercor,
Florida Power &amp; Light,
Jemena Electricity Networks
Ltd, Pacific Gas &amp; Electric,
and Pepco Holdings Inc,
among others. The company
was founded in 2002.</t>
  </si>
  <si>
    <t xml:space="preserve">3651
7373</t>
  </si>
  <si>
    <t xml:space="preserve">HITACHI LTD/SILVER SPRING NETWORKS INC-STRATEGIC ALLIANCE AM</t>
  </si>
  <si>
    <t xml:space="preserve">Hitachi, Ltd (HL) and Silver Spring Networks, Inc (SS) formed a strategic
alliance to provide computer integrated solutions to power utilities and
power users in the global smart grid sector. In addition, the alliance will
research and develop new products and solutions for the smart grid sector.
Under the agreement, HL will acquire convertible bonds to be issued by SS.</t>
  </si>
  <si>
    <t xml:space="preserve">433578
82817Q</t>
  </si>
  <si>
    <t xml:space="preserve">Molex Inc
TE Connectivity Ltd</t>
  </si>
  <si>
    <t xml:space="preserve">Mnfr electronic components
Manufactures and wholesales engineered electronic components</t>
  </si>
  <si>
    <t xml:space="preserve">Molex Inc, headquartered in
Lisle, Illinois,
manufactures electronic
components that include
connectors, sockets, edge
cards, cable assemblies,
antennas, fiber optic,
printed circuit, industrial
and lighting products. It
has 41manufacturing
locations in 15 countries
and its products are used by
a original equipment
manufacturers (OEMs).The
company was founded in 1938.
TE Connectivity Ltd, located
in Schaffhausen,
Switzerland, manufactures
and wholesales engineered
electronic components. Its
products include connectors
and interconnect systems,
relays, switches, circuit
protection devices, touch
screens, sensors, wires and
cable. Its products are used
primarily in the automotive,
computer, consumer
electronics, communication
equipment, appliances,
aerospace and defense,
industrial machinery and
instrumentation markets. The
Company was founded in 2007.</t>
  </si>
  <si>
    <t xml:space="preserve">3678
3679</t>
  </si>
  <si>
    <t xml:space="preserve">MOLEX INC/TE CONNECTIVITY LTD-STRATEGIC ALLIANCE</t>
  </si>
  <si>
    <t xml:space="preserve">Molex, Inc (MI) and TE Connectivity Ltd (TE) formed a strategic alliance to
develop electrically and mechanically interchangeable products. Under the
agreement, TE was given the right to manufacture, market and sell
high-speed interconnect solutions including the z-Quad Small Form factor
Pluggable Plus (zQSFP+) and the Small Form-Factor Pluggable Plus (zSFP+),
among others. On the other hand, MI was given the right to manufacture,
market and sell TE's Quadra High-Speed I/O Connector.</t>
  </si>
  <si>
    <t xml:space="preserve">Manufacturing Services
Marketing Services
Research &amp; Development Services</t>
  </si>
  <si>
    <t xml:space="preserve">608554
91627J</t>
  </si>
  <si>
    <t xml:space="preserve">Mead Johnson Nutrition Co
SanCor Coop Unidas Ltda</t>
  </si>
  <si>
    <t xml:space="preserve">Produce,whl nutrition products
Produce,whl milk,dairy prod</t>
  </si>
  <si>
    <t xml:space="preserve">Mead Johnson Nutrition Co,
located in Evansville,
Indiana, produces and
wholesales infant formula,
children's nutrition and other
nutritional products. The
Company's portfolio of brands
include the Enfa family. Its
products are routine and
specialty infant formulas,
children's milk and milk
modifiers, dietary supplements
for pregnant and breastfeeding
mothers, pediatric vitamins,
and products for pediatric
metabolic disorders. The
Company was founded in 1905.
SanCor Cooperativas Unidas
Ltda is a producer and
wholesaler of milk and other
dairy products including
yogurt and ice cream. The
Company was founded in 1938
and is located in Sunchales,
Argentina.</t>
  </si>
  <si>
    <t xml:space="preserve">2023
2026</t>
  </si>
  <si>
    <t xml:space="preserve">United States
Argentina</t>
  </si>
  <si>
    <t xml:space="preserve">MEAD JOHNSON NUTRITION CO/SANCOR COOPERATIVAS UNIDAS LTDA-JOINT VENTURE</t>
  </si>
  <si>
    <t xml:space="preserve">Argentina</t>
  </si>
  <si>
    <t xml:space="preserve">Mead Johnson Nutrition Co (MJ) and SanCor Cooperativas Unidas Ltda (SC)
planned to form a joint venture to develop dairy nutrition technology and
provide science-based infant formulas and growing-up milks for babies and
children. The products will be sold exclusively under the SanCor Bebe
brand. MJ were to hold 80% interest in the JV while SC were to hold the
remaining 20% stake.</t>
  </si>
  <si>
    <t xml:space="preserve">582839
79969G</t>
  </si>
  <si>
    <t xml:space="preserve">GlaxoSmithKline PLC
Angiochem Inc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</si>
  <si>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Angiochem Inc is a
biotechnology company
headquartered in Montreal,
Canada. The companys brands
include GRN1005, ANG1007, GRN
Collaboration which are used
for Treating primary brain
cancers; ANG2002 and ANG 2010
used for managing moderate to
severe pain from cancer;
ANG2004, used for the
treatment of Type 2 Diabetes
and Obesity and ANG2008 that
is used for the treatment of
Parkinson's Disease. The
company was founded in 2003.</t>
  </si>
  <si>
    <t xml:space="preserve">GLAXOSMITHKLINE PLC/ANGIOCHEM INC-STRATEGIC ALLIANCE</t>
  </si>
  <si>
    <t xml:space="preserve">GlaxoSmithKline PLC (GS) and Angiochem Inc (AI) formed a strategic alliance
for the research and development of treatments for lysosomal storage
diseases. Under the alliance, AI will create new compounds (EPiC-enzymes)
which are intended to penetrate the blood-brain barrier and restore enzyme
function in the central nervous system. AI will create and develop an
enzyme replacement therapy for a specific lysomoal storage disease and GS
will have the right to assume responsibility for the development and
commercialisation of the resulting drug candidate. AI is entitled to
receive up to USD 300 mil in upfront, research funding and other fees as
well as royalties on future sales of EPiC-enzymes developed under the
alliance.</t>
  </si>
  <si>
    <t xml:space="preserve">AI is entitled to receive up to USD 300 mil in upfront, research funding
and other fees as well as royalties on future sales of EPiC-enzymes
developed under the alliance.</t>
  </si>
  <si>
    <t xml:space="preserve">37733W
03571N</t>
  </si>
  <si>
    <t xml:space="preserve">arGEN-X BV
Shire PLC</t>
  </si>
  <si>
    <t xml:space="preserve">Biotechnology company
Manufacture,wholesale pharmaceutical production</t>
  </si>
  <si>
    <t xml:space="preserve">arGEN-X BV is a
biotechnology company
headquartered in Rotterdam,
the Netherlands and with
locations in Belgium. The
companys brands include
SIMPLE Antibody(TM)
discovery platform generates
antibody leads against
various disease targets;
ARGX-109; ARGX-110 and
ARGX-111. The company was
founded in 2008.
Shire PLC, located in
Dublin, the Republic of
Ireland, manufactures and
wholesales pharmaceutical
products. The Company
focuses on the central
nervous system,
gastrointestinal and human
genetic therapies. Its
brands include Adderall XR,
Dynepo, Equetro, Forsenol,
Adderall, Carbatrol,
Pentasa, Colazide, Agrylin,
Xagrid, Fosrenol,
Proamatine, Epivir,
Combivir, Trizivir, Vaniqa,
Xagrid, Zeffix, Calcichew,
Solaraze, Reminyl/Reminyl
XL, Lodine, Replagal,
Daytrana, Elaprase and
Mesavance. The Group
operates in the UK, the US,
the Netherlands, France,
Germany, Italy, Spain,
Ireland, Canada, Cayman
Islands and Sweden. The
Company distributes its
products in Australia,
Denmark, Finland, Hong Kong,
Israel, Malaysia, Norway,
Philippines, Singapore,
South Africa, South Korea
and Thailand. It was founded
in 1986.</t>
  </si>
  <si>
    <t xml:space="preserve">Netherlands
Ireland-Rep</t>
  </si>
  <si>
    <t xml:space="preserve">ARGEN-X BV/SHIRE PLC-STRATEGIC ALLIANCE</t>
  </si>
  <si>
    <t xml:space="preserve">arGEN-X BV (Argen) and Shire PLC (Shire) formed a strategic alliance to
develop novel therapeutic antibody products. Argen is entitled to receive
upfront technology access fee, research funding and preclinical success
payments. Shire will pay fees, milestones and royalties on product sales.
The alliance was expanded on July 24, 2013. It now incuded an additional
discovery program for a new therapeutic opportunity.</t>
  </si>
  <si>
    <t xml:space="preserve">04156N
82481R</t>
  </si>
  <si>
    <t xml:space="preserve">Abbott Labs
Galapagos NV</t>
  </si>
  <si>
    <t xml:space="preserve">Mnfr,whl pharm,med equip
Biopharmaceutical company</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</si>
  <si>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t>
  </si>
  <si>
    <t xml:space="preserve">ABBOTT LABORATORIES/GALAPAGOS NV-STRATEGIC ALLIANCE</t>
  </si>
  <si>
    <t xml:space="preserve">Abbott Laboratories (AL) and Galapagos NV (GN) formed a strategic alliance
for the development and commercialization of JAK1 inhibitor for the
treatment of rheumatoid arthritis (RA) and other autoimmune diseases. Under
the agreement, GN was entitled to receive USD 150 mil upfront payment for
the right to develop and commercialize the product. AL will license the
program for a one-time fee of USD 200 mil if the studies meet certain
pre-agreed criteria. GN is entitled to receive additional milestone
payments, up to USD 1 bil as well as -digit royalties on net sales upon
commercialization.</t>
  </si>
  <si>
    <t xml:space="preserve">GN was entitled to receive USD 150 mil upfront payment for the right to
develop and commercialize the product. AL will license the program for a
one-time fee of USD 200 mil if the studies meet certain pre-agreed
criteria. GN is entitled to receive additional milestone payments, up to
USD 1 bil as well as -digit royalties on net sales upon commercialization.</t>
  </si>
  <si>
    <t xml:space="preserve">002824
36315X</t>
  </si>
  <si>
    <t xml:space="preserve">Arcadia Biosciences Inc
Bioceres SA</t>
  </si>
  <si>
    <t xml:space="preserve">Mnfr,dvlp farming biotech sys
Biological Product (Except Diagnostic) Manufacturing</t>
  </si>
  <si>
    <t xml:space="preserve">Arcadia Biosciences Inc,
located in Davis,
California, is involved with
agricultural biotechnology
that uses advanced
screening, breeding and
biotechnology techniques to
create value for consumers,
processors and farmers. Its
products include Arcadia
bioessence solution which
uses Arcadia's Nitrogen Use
Efficiency (NUE) technology
which produces plants with
yields that are equivalent
to plants with conventional
varieties but which uses
sigificantly less nitrogen
fertilizer. It was founded
in 2002.
Bioceres SA is a
manufacturer of biological
products. The Company was
founded in December 2001 and
is located in Santa Fe,
Argentina.</t>
  </si>
  <si>
    <t xml:space="preserve">Moral Compass Corp
Bioceres SA</t>
  </si>
  <si>
    <t xml:space="preserve">ARCADIA BIOSCIENCES INC/BIOCERES-JOINT VENTURE</t>
  </si>
  <si>
    <t xml:space="preserve">Verdeca are manufacturers of
biological products. The
companies are located in
Davis, California.</t>
  </si>
  <si>
    <t xml:space="preserve">Arcadia Biosciences Inc (AB) and Bioceres (BC) formed a joint venture named
Verdeca to develop and deregulate soybean varieties with next generation
agricultural technologies. AB and BC each holds 50% interest in the JV.</t>
  </si>
  <si>
    <t xml:space="preserve">6E4099</t>
  </si>
  <si>
    <t xml:space="preserve">039014
08937Q</t>
  </si>
  <si>
    <t xml:space="preserve">Sany Heavy Industry Co Ltd
Palfinger Asia Pacific Pte Ltd</t>
  </si>
  <si>
    <t xml:space="preserve">Mnfr,whl constr mach,equip
Mnf,whsl cranes</t>
  </si>
  <si>
    <t xml:space="preserve">Sany Heavy Industry Co Ltd,
locatd in China,
manufactures construction
machinery and equipment. The
Group''s principal
activities are manufacturing
of construction engineering
machineries, heavy lifting
machineries, parking
warehouse, common equipment,
mechanical and electrical
equipment, metal products
and electronic products. The
company was founded in 1994.
PALFINGER Asia Pacific Pte Ltd
manufactures and wholesale
cranes.</t>
  </si>
  <si>
    <t xml:space="preserve">3531
3537</t>
  </si>
  <si>
    <t xml:space="preserve">Sany Group Co Ltd
Palfinger AG</t>
  </si>
  <si>
    <t xml:space="preserve">China
Austria</t>
  </si>
  <si>
    <t xml:space="preserve">3569
3536</t>
  </si>
  <si>
    <t xml:space="preserve">SANY HEAVY INDUSTRY CO LTD/PALFINGER ASIA PACIFIC PTE LTD-JOINT VENTURE</t>
  </si>
  <si>
    <t xml:space="preserve">Sany Heavy Industry Co Ltd (SH) and Palfinger Asia Pacific Pte Ltd, a unit
of Palfinger AG, agreed to form a joint venture named Sanyo Palfinger SPV
Equipment Ltd to develop and manufacture truck-mounted knuckle boom cranes
and telescopic cranes in China. The JV was to have a registered capital of
CNY 300 mil (USD 47.627 mil). Chinese authorities granted approval to the
joint venture.</t>
  </si>
  <si>
    <t xml:space="preserve">The JV was to have a registered capital of CNY 300 mil (USD 47.627 mil).</t>
  </si>
  <si>
    <t xml:space="preserve">80310F
70096K</t>
  </si>
  <si>
    <t xml:space="preserve">TJAB
Antisense Therapeutics Ltd</t>
  </si>
  <si>
    <t xml:space="preserve">Pvd biotech,medicine research
Manufacture pharmaceuticals</t>
  </si>
  <si>
    <t xml:space="preserve">Tianjin International Joint
Acaddemy of Biotechnology &amp;
Medicine {TJAB}, headquartered
in China, provide
biotechnology and medicine
related research services. The
company partners with
pharmaceuticals, hospitals,
universities &amp; other research
institutions to conduct
research on its platforms. The
platforms it holds are drug
discovery, pharmaceutical
analysis &amp; testing,
pharmaceutical intelligence;
and biopharmaceutical pilot
plant. The company was founded
in June 2009.
Antisense Therapeutics Ltd,
located in Toorak, Victoria,
manufactures pharmaceuticals
for diseases such as
multiple sclerosis,
acromegaly and vision
disorders, asthma, and
prostate cancer.</t>
  </si>
  <si>
    <t xml:space="preserve">TIANJIN INTERNATIONAL JOINT ACADEMY OF BIOTECHNOLOGY &amp;
MEDICINE{TJAB}/ANTISENSE THERAPEUTICS LTD-JOINT VENTURE</t>
  </si>
  <si>
    <t xml:space="preserve">Tianjin International Joint Academy of Biotechnology &amp; Medicine (TJ) and
Antisense Therapeutics Ltd (AT) agreed to form a 51:49 joint venture in
Hong Kong to develop and commercialize a therapeutic drug, ATL1102. TJ will
provide the funding for the joint venture; AT will contribute research &amp;
development, commercialization and access &amp; licenses to the patents &amp;
patent applications of ATL1102. The joint venture is expected to be
completed by September 2012.</t>
  </si>
  <si>
    <t xml:space="preserve">93636J
03176E</t>
  </si>
  <si>
    <t xml:space="preserve">Cooper Tire &amp; Rubber Co
Yulex Corp</t>
  </si>
  <si>
    <t xml:space="preserve">Mnfr,wholesale tires,tubes
Mnfr natural rubber products</t>
  </si>
  <si>
    <t xml:space="preserve">Cooper Tire &amp; Rubber Co,
located in Findlay, Ohio,
manufactures and wholesales
tires, tubes, precure and
moldcure tread rubber,
bonding gum, cement, repair
materials and equipment for
the tire retreading
industry. Its tire products
include tires and inner
tubes for passenger cars,
trucks, and motorcycles.
Rubber products include
retread rubber and related
equipment for the retread
industry. The company''s
customer base is made up of
independent dealers,
wholesale and retail
distributors to automotive
original equipment
manufacturers. The company
sells products such as hose
assemblies, sealing systems
and exterior trim products.
The Company was founded in
1914.
Yulex Corp, located in
Chandler, Arizona,
manufactures natural rubber
products. It develops and
commercializes guayule-based
natural rubber emulsions for a
range of markets and
applications. It has developed
a portfolio of biobased
elastomer products derived
from the U.S. grown guayule
plant. The company was founded
in 1997.</t>
  </si>
  <si>
    <t xml:space="preserve">3011
3069</t>
  </si>
  <si>
    <t xml:space="preserve">OH
AZ</t>
  </si>
  <si>
    <t xml:space="preserve">Cooper Tire &amp; Rubber Co
Argonaut Private Equity</t>
  </si>
  <si>
    <t xml:space="preserve">3011
6799</t>
  </si>
  <si>
    <t xml:space="preserve">COOPER TIRE &amp; RUBBER CO/YULEX CORP-STRATEGIC ALLIANCE</t>
  </si>
  <si>
    <t xml:space="preserve">Cooper Tire &amp; Rubber Co (CT) and Yulex Corp (YC) formed a strategic
alliance for the development of guayule polymers and resins for tire
applications.</t>
  </si>
  <si>
    <t xml:space="preserve">216831
99483R</t>
  </si>
  <si>
    <t xml:space="preserve">COMAC
Boeing Co</t>
  </si>
  <si>
    <t xml:space="preserve">Mnfr aircraft
Manufacture jetliners,aircraft</t>
  </si>
  <si>
    <t xml:space="preserve">Commercial Aircraft
Corporation of China {COMAC},
headquartered in China,
manufactures, designs, and
builds aircrafts. The company
was founded in 2008.
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t>
  </si>
  <si>
    <t xml:space="preserve">3721
3721</t>
  </si>
  <si>
    <t xml:space="preserve">COMMERCIAL AIRCRAFT CORP OF CHINA{COMAC}/BOEING CO-JOINT VENTURE</t>
  </si>
  <si>
    <t xml:space="preserve">Commercial Aircraft Corp of China (CA) and Boeing (BO) agreed to form a
joint venture under the name of Boeing-COMAC Aviation Energy Conservation
and Emissions Reductions Technology Center to support research projects to
increase commercial aviation's fuel efficiency and reduce greenhouse-gas
emissions in China.</t>
  </si>
  <si>
    <t xml:space="preserve">20110W
097023</t>
  </si>
  <si>
    <t xml:space="preserve">GlaxoSmithKline PLC
Daiichi Sankyo Co Ltd</t>
  </si>
  <si>
    <t xml:space="preserve">Pharmaceutical Preparation Manufacturing
Mnfr,whl pharmaceuticals</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</si>
  <si>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Daiichi Sankyo Co Ltd,
headquartered in Tokyo,
Japan, is engaged in the
manufacture and sale of
pharmaceuticals. The Company
has two business segments.
The Daiichi Sankyo Group
segment is involved in the
research, development,
pharmaceuticals, as well as
the provision of
intermediates and basic
materials for pharmaceutical
producing, in Japan, the
United States, Europe, China
and Brazil markets. The
Ranbaxy Group segment is
engaged in the research,
development, manufacture and
sale of pharmaceuticals in
overseas markets through
Ranbaxy group companies. As
of March 31, 2012, it has
107 subsidiaries and three
associated companies.The
company was founded on
September 28, 2005.</t>
  </si>
  <si>
    <t xml:space="preserve">GLAXOSMITHKLINE PLC/DAIICHI SANKYO CO LTD-JOINT VENTURE</t>
  </si>
  <si>
    <t xml:space="preserve">GlaxoSmithKline PLC (GP) and Daiichi Sankyo Co Ltd (DS) agreed to form a
joint venture to develop and commercialize vaccines in Japan. Under the
agreement, the JV will have the development and commercialization rights
for already preventative vaccines of GP and DS which includes Human
Papillomavirus (HPV) vaccine, Rotavirus vaccine, Seasonal flu vaccine,
Mumps vaccine, Diphtheria Pertussis (DTP) vaccine, and Measles Rubella (MR)
vaccine. The JV was to have an investment of JPY 100 mil (USD 1.222 mil).
GP and DS were to each hold 50% interest in the JV.</t>
  </si>
  <si>
    <t xml:space="preserve">The JV was to have an investment of JPY 100 mil (USD 1.222 mil).</t>
  </si>
  <si>
    <t xml:space="preserve">37733W
J11257</t>
  </si>
  <si>
    <t xml:space="preserve">Advanced Tech Invest Co Llc
Undisclosed JV Partner</t>
  </si>
  <si>
    <t xml:space="preserve">Sovereign Wealth Fund
Investment company</t>
  </si>
  <si>
    <t xml:space="preserve">Advanced Technology
Investment Co LLC, is a
sovereign wealth fund
headquartered in Abu Dhabi,
United Arab Emirates. The
Company is focused on making
significant investments in
the advanced technology
sector, both locally and
internationally. Its mandate
is to generate returns that
deliver long-term benefits
to the Emirate of Abu Dhabi.
The Company was founded in
2008.
Investment company</t>
  </si>
  <si>
    <t xml:space="preserve">6722
6799</t>
  </si>
  <si>
    <t xml:space="preserve">Utd Arab Em
Unknown</t>
  </si>
  <si>
    <t xml:space="preserve">United Arab Emirates
Undisclosed JV Partner</t>
  </si>
  <si>
    <t xml:space="preserve">ADVANCED TECHNOLOGY INVESTMENT CO LLC/UNDISCLOSED JOINT VENTURE
PARTNER-JOINT VENTURE</t>
  </si>
  <si>
    <t xml:space="preserve">Advanced Technology Investment Co LLC (AD) and an undisclosed joint venture
partner (UN) planned to form a joint venture (JV) to provide semiconductor
research services.</t>
  </si>
  <si>
    <t xml:space="preserve">01336R
904JVP</t>
  </si>
  <si>
    <t xml:space="preserve">Tata Power Co Ltd
Exxaro Resources Ltd</t>
  </si>
  <si>
    <t xml:space="preserve">Electric utility company
Iron ore,coal mining company</t>
  </si>
  <si>
    <t xml:space="preserve">Tata Power Co Ltd, located
in Mumbai, India, is an
electric utility company.
The company is engaged in
the generation,
transmission, and
distribution of electricity
in the states of
Maharashtra, Jharkhand and
Karnataka. It offers
services to central and
western railways, Mumbai
port, refineries, textile
mills, fertilizer factories,
BARC, municipal corporation
water pumping plants, and
other continuous processes
industries. The company was
founded in 1919.
Exxaro Resources Ltd,
located in Pretoria, South
Africa, is an iron ore and
coal mining company with
operations in South Africa,
Namibia, Australia, and the
People's Republic of China.
It has coal mines in the
provinces of Limpopo and
Mpumalanga, which
collectively produce
thermal, metallurgical, and
coking coal. The Company was
founded in 2006.</t>
  </si>
  <si>
    <t xml:space="preserve">4911
1011</t>
  </si>
  <si>
    <t xml:space="preserve">Tata Power Co Ltd
Main Street 333 (Pty) Ltd</t>
  </si>
  <si>
    <t xml:space="preserve">4911
6799</t>
  </si>
  <si>
    <t xml:space="preserve">TATA POWER CO/EXXARO RESOURCES-JOINT VENTURE</t>
  </si>
  <si>
    <t xml:space="preserve">Cennergi(Pty)Ltd is an
alternative energy sources
establishment. The Company
is located in Centurion,
South Africa.</t>
  </si>
  <si>
    <t xml:space="preserve">Tata Power Co (TP) and Exxaro Resources Ltd (ER) formed a joint venture to
own and operate electricity generation projects in South Africa under the
name Cennergi Ltd.</t>
  </si>
  <si>
    <t xml:space="preserve">Electric Utility Services
Research &amp; Development Services</t>
  </si>
  <si>
    <t xml:space="preserve">4A9410</t>
  </si>
  <si>
    <t xml:space="preserve">87656F
30231D</t>
  </si>
  <si>
    <t xml:space="preserve">Medicago Inc
Mitsubishi Tanabe Pharma Corp</t>
  </si>
  <si>
    <t xml:space="preserve">Medicago Inc, headquartered in
Quebec, Quebec, is a
biotechnology company focused
on developing Virus-Like
Particle (VLP) vaccines to
protect against H5N1 pandemic
influenza. The company was
founded in 1997.
Mitsubishi Tanabe Pharma
December 15, 1933. Corp,
headquarted in Osaka, Japan,
manufactures and wholesales
pharmaceutical products
centered in ethical drugs.
It operates in two business
segments. The Medical
Supplies segment is engaged
in the research,
development, manufacture and
sale of ethical
pharmaceutical and
non-prescription drugs. The
Others segment is engaged in
the manufacture, purchase
and sale of chemical
products, as well as the
management of real estate.
The company was founded in</t>
  </si>
  <si>
    <t xml:space="preserve">Medicago Inc
Mitsubishi Chemical Holdings</t>
  </si>
  <si>
    <t xml:space="preserve">MEDICAGO INC/MITSUBISHI TANABE PHARMA CORP-STRATEGIC ALLIANCE</t>
  </si>
  <si>
    <t xml:space="preserve">Medicago Inc (MI) and Mitsubishi Tanabe Pharma Corp (MT) formed a strategic
alliance for the development and commercialization of least three new
vaccines. Under the agreement, the alliance will develop a Rotavirus Like
Particle (RLP) vaccine target and MT will have the option to license the
RLP vaccine target and assume global development, regulatory and
commercialization responsibilities. MI is entitled to receive up to CAD 33
mil (USD 32.963 mil) upfront and milestone payments as well as royalties.</t>
  </si>
  <si>
    <t xml:space="preserve">MI is entitled to receive up to CAD 33 mil (USD 32.963 mil) upfront and
milestone payments as well as royalties</t>
  </si>
  <si>
    <t xml:space="preserve">58450N
60630N</t>
  </si>
  <si>
    <t xml:space="preserve">Abbott Labs
Merck Sharp &amp; Dohme Corp</t>
  </si>
  <si>
    <t xml:space="preserve">Mnfr,whl pharm,med equip
Mnfr,whl pharmaceutical prod</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</si>
  <si>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Merck Sharp &amp; Dohme Corp,
located in Kenilworth, New
Jersey, is a manufacturer of
pharmaceutical preparation.
It is focused on researching
on hepatitis C, HIV,
diabetes and
immuno-oncology. The Company
was founded in 1891.</t>
  </si>
  <si>
    <t xml:space="preserve">Abbott Labs
Merck &amp; Co Inc</t>
  </si>
  <si>
    <t xml:space="preserve">ABBOTT LABORATORIES/MERCK &amp; CO INC-STRATEGIC ALLIANCE</t>
  </si>
  <si>
    <t xml:space="preserve">Abbott Laboratories (AL) and Merck &amp; Co (MC) formed a strategic alliance to
develop a fluorescence in situ hybridization-based companion diagnostic
test for investigational cancer therapy. Under the agreement, AL will use
its proprietary FISH technology to develop a test to identify deletions of
the TP53 gene in cancer patients</t>
  </si>
  <si>
    <t xml:space="preserve">002824
U58933</t>
  </si>
  <si>
    <t xml:space="preserve">Rusnano JSC
Domain Associates LLC</t>
  </si>
  <si>
    <t xml:space="preserve">Other Financial Vehicles
Venture capital firm</t>
  </si>
  <si>
    <t xml:space="preserve">Rusnano JSC is a private
equity and venture capital
fund. The Company was
founded in 2007 and is
located in Moscow, the
Russian Federation.
Domain Associates LLC, located
in Princeton, New Jersey, is a
first venture capital firm.
The company focuses on life
sciences and with $2.4 billion
of capital under management.
It has second location in San
Diego, California. The
Company's three major
investment segments are
pharmaceuticals, specialty
pharmaceuticals, and medical
devices, while additional
areas of interest include
biomaterials,
bioinstrumentation, and
diagnostics. The Company was
founded in 1985.</t>
  </si>
  <si>
    <t xml:space="preserve">OAO "ROSNANO"/DOMAIN ASSOCIATES LLC-JOINT VENTURE</t>
  </si>
  <si>
    <t xml:space="preserve">NovaMedica is a pharmaceutical
manufacturing firm,
headquartered in Moscow,
Russia. The company is focused
on the development, marketing,
operation and
commercialization of highly
innovative next-generation
products. It will also be
involved in joint investment
in advanced medical
technologies.</t>
  </si>
  <si>
    <t xml:space="preserve">OAO "ROSNANO" (OR) and Domain Associates LLC (DA) formed a joint venture
named NovaMedica (JV) to provide investment services to US-based healthcare
technology companies. The alliance will invest up to USD 760 mil in about
20 emerging life sciences technology companies. Target companies will
include groups developing innovative products in the fields of
pharmaceuticals, biotechnology, medical devices and other areas of life
sciences.</t>
  </si>
  <si>
    <t xml:space="preserve">Investment Services
Research &amp; Development Services
Manufacturing Services</t>
  </si>
  <si>
    <t xml:space="preserve">The alliance will invest up to USD 760 mil in about 20 emerging life
sciences technology companies.</t>
  </si>
  <si>
    <t xml:space="preserve">6A7712</t>
  </si>
  <si>
    <t xml:space="preserve">78260Z
25702K</t>
  </si>
  <si>
    <t xml:space="preserve">Mersana Therapeutics Inc
Endo Pharmaceuticals Holdings</t>
  </si>
  <si>
    <t xml:space="preserve">Biotechnology company
Mnfr,whl pharmaceuticals</t>
  </si>
  <si>
    <t xml:space="preserve">Mersana Therapeutics Inc is
a biotechnology company
headquartered in Cambridge,
Massachusetts. The company
is a clinical-stage oncology
company that engages in
engineering novel drug
conjugates. Its brands
icnlude Fleximer(R), an
antibody-drug conjugate;
XMT-1001, a novel
camptothecin analog
conjugate for the treatment
of cancer and XMT-1107, a
novel anti-angiogenic
of tumors. The company was
founded in 2002.
Endo Pharmaceuticals Holdings
Inc, based in Chadds Ford,
Pennsylvania, manufactures and
wholesales pharmaceuticals.
The company is engaged in the
research, development, sale
and marketing of branded and
generic prescription
pharmaceuticals used primarily
to treat and manage pain. The
company's products includes
established brand names such
as Lidoderm (lidocaine patch
5%), Percocet (oxycodone and
acetaminophen tablets USP)
CII, and Frova (frovatriptan
succinate) tablets, as well as
newer products Opana ER
(oxymorphone HCl) CII
extended-release tablets,
Opana (oxymorphone HCl) CII
immediate-release tablets and
Synera (lidocaine 70mg and
tetracaine 70mg), a topical
anesthetic patch. The company
was founded in 1997.</t>
  </si>
  <si>
    <t xml:space="preserve">MERSANA THERAPEUTICS INC/ENDO PHARMACEUTICALS HOLDINGS INC-STRATEGIC
ALLIANCE</t>
  </si>
  <si>
    <t xml:space="preserve">Mersana Therapeutics Inc (MT) and Endo Pharmaceuticals Holdings inc (EP)
formed a strategic alliance to develop new potential cancer therapies. The
alliance will use MT's Fleximer technology for the development of
antibody-drug conjugates candidates against a single cancer target. MT is
entitled to receive more than USD 270 mil in progress-dependent milestones
as well as royalties.</t>
  </si>
  <si>
    <t xml:space="preserve">MT is entitled to receive more than USD 270 mil in progress-dependent
milestones as well as royalties.</t>
  </si>
  <si>
    <t xml:space="preserve">59064Y
U2918P</t>
  </si>
  <si>
    <t xml:space="preserve">Texas Instruments Inc
iRobot Corp</t>
  </si>
  <si>
    <t xml:space="preserve">Manufacturer,wholesale semiconductors
Mnfr and design robots</t>
  </si>
  <si>
    <t xml:space="preserve">Texas Instruments Inc,
located in Dallas, Texas,
manufactures and wholesales
semiconductor integrated
circuits, digital signal
processors, mixed-signal and
analog circuits,
microprocessors,
applications processors,
memories, and digital
circuits, semiconductor
discrete devices,
semiconductor subassemblies,
and electrical and
electronic control devices,
defense electronics,
communications equipment,
computer and digital
products such as electronic
calculators, software
productivity tools, mobile
computing products and other
electronic systems, and
scientific instruments. The
company was founded in 1938.
iRobot Corp, based in
Bedford, Massachusetts,
manufactures and designs
robots. Its products include
the Roomba FloorVac and
Scooba, the first robots to
clean floors; the PackBot,
which performs battlefield
reconnaissance and bomb
disposal for the US Army, as
well as a limited number of
the R-Gator, another
unmanned ground vehicle
model. The Company was
founded in 1990.</t>
  </si>
  <si>
    <t xml:space="preserve">TEXAS INSTRUMENTS INC/IROBOT CORP-STRATEGIC ALLIANCE</t>
  </si>
  <si>
    <t xml:space="preserve">Texas Instruments Inc (TI) and iRobot Corp (IR) formed a strategic alliance
to develop robotic technologies. The alliance will utilize TI's smart
multicore OMAP(TM) platform.</t>
  </si>
  <si>
    <t xml:space="preserve">882508
462726</t>
  </si>
  <si>
    <t xml:space="preserve">Al-Hadaf Cultural Center
Handalah Cultural Center
Beitillu Sport Club
Al Wehda Sport Club
Baladna Cultural Center
MCRC
Tanwer Cultural Center
Creative Girls Society
Bayt Dajan Cultural Center
Qaryout Sport Club</t>
  </si>
  <si>
    <t xml:space="preserve">Non-government agency
Non-government agency
Sport club
Sport club
Non-government agency
Non-government agency
Non-government agency
Non-government agency
Non-government agency
Sport club</t>
  </si>
  <si>
    <t xml:space="preserve">Al-Hadaf Cultural Center,
located in Ramallah,
Palestine, is a
non-governmental and cultural
organization. The company is
focused on heritage, culture
and Folklore. It was founded
in 2007.
Handalah Cultural Center,
located in Ramallah,
Palestine, is a
non-governmental and cultural
organization. The company is
focused on improving civic
engagement in local
communities, Strengthen
partnerships and networking
among Palestinian civil
society groups, through
dialogue and cooperation,
Increasing investments by
local groups in neglected
rural ares such as Saffa,
Enhance role of women and
youth in community development
activities and Foster creative
talents of children, from art
to literary. It was founded in
1999.
Beitillu Sport Club, located
in Ramallah, Palestine, is a
sport club.
Al Wehda Sport Club, located
in Ramallah, Palestine, is a
sport club.
Baladna Cultural Center ,
located in Ramallah,
Palestine, is a
non-governmental and cultural
center.
Multipurpose Community
Resource Center, located in
Ramallah, Palestine, is a
non-governmental center. Its
services include social and
community development
services.
Tanwer Cultural Center,
located in Nablus, Palestine,
is a non-governmental and
cultural center. It was
founded in 2005.
Creative Girls Society,
located in Nablus, Palestine,
is a non-governmental and
social organization. Its
services include charity and
social services, youth
development and cultural
services. It was founded in
2006.
Bayt Dajan Cultural Center,
located in Nablus, Palestine,
is a non-governmental and
cultural organization.
Qaryout Sport Club, located in
Nablus, Palestine, is a sport
club. It was founded in 1993.</t>
  </si>
  <si>
    <t xml:space="preserve">999G
999G
7941
7941
999G
999G
999G
999G
999G
7941</t>
  </si>
  <si>
    <t xml:space="preserve">Palestine
Palestine
Palestine
Palestine
Palestine
Palestine
Palestine
Palestine
Palestine
Palestine</t>
  </si>
  <si>
    <t xml:space="preserve">FF
FF
FF
FF
FF
FF
FF
FF
FF
FF</t>
  </si>
  <si>
    <t xml:space="preserve">AL-HADAF CULTURAL CENTER/HANDALAH CULTURAL CENTER/BEITILLU SPORT CLUB/AL
WEHDA SPORT CLUB/MCRC/TANWER CULTURAL/QARYOUT-ST</t>
  </si>
  <si>
    <t xml:space="preserve">Palestine</t>
  </si>
  <si>
    <t xml:space="preserve">Al-Hadaf Cultural Center (AL), Handalah Cultural Center (HA), Beitillu
Sport Club (BE), Al Wehda Sport Club (AW), Baladna Cultural Center (BA),
Multipurpose Community Resource Center (MU), Tanwer Cultural Center (TA),
Qaryout Sport Club (QA), Creative Girls Society (CR) and Bayt Dajan
Cultural Center (BT) signed an agreement to form a strategic alliance (ST)
to provide social, culture, development, education and research services in
Palestine.</t>
  </si>
  <si>
    <t xml:space="preserve">Social Services
Educational Services
Research &amp; Development Services</t>
  </si>
  <si>
    <t xml:space="preserve">
</t>
  </si>
  <si>
    <t xml:space="preserve">01961N
41096H
07924N
96942X
05338P
62517X
92080P
22628M
07319P
76904N</t>
  </si>
  <si>
    <t xml:space="preserve">Vodafone Global Enterprise
Boston Scientific Corp</t>
  </si>
  <si>
    <t xml:space="preserve">Pvd telecommunications svcs
Surgical and Medical Instrument Manufacturing</t>
  </si>
  <si>
    <t xml:space="preserve">Vodafone Global Enterprise,
located in Berkshire, UK,
provides telecommunications
services which manages the
communications needs of its
largest multinational
customers. It operates across
five regions: Northern Europe;
Central Europe; Southern
Europe; the Americas; Asia
Pacific and Africa, with teams
based in 21 countries across
the globe.
Boston Scientific Corp,
located in Marlborough,
Massachusetts, manufactures
medical instruments. The
Company develops and
wholesales vascular and
non-vascular minimally
invasive medical devices
used in a broad range of
interventional medical
specialties, including
cardiology,
electrophysiology,
gastroenterology,
neuro-endovascular therapy,
pulmonary medicine,
radiology, urology and
vascular surgery. It has 18
manufacturing facilities.
The Company was founded in
June 1979.</t>
  </si>
  <si>
    <t xml:space="preserve">4812
3841</t>
  </si>
  <si>
    <t xml:space="preserve">Vodafone Group PLC
Boston Scientific Corp</t>
  </si>
  <si>
    <t xml:space="preserve">4899
3841</t>
  </si>
  <si>
    <t xml:space="preserve">VODAFONE GROUP PLC/BOSTON SCIENTIFIC CORP-STRATEGIC ALLIANCE</t>
  </si>
  <si>
    <t xml:space="preserve">Vodafone Global Enterprise (VG) and Boston Scientific Corp (BS) agreed to
form a strategic alliance to develop a mobile health monitoring system.
Remote healthcare monitoring systems will allow patients to use mobile
devices to send health information to their doctor.</t>
  </si>
  <si>
    <t xml:space="preserve">92482C
101137</t>
  </si>
  <si>
    <t xml:space="preserve">Intl Tin Research Institute
Ultromex Ltd</t>
  </si>
  <si>
    <t xml:space="preserve">Pvd research,marketing svcs
Investment company</t>
  </si>
  <si>
    <t xml:space="preserve">Provide research and marketing
services for the tin industry
Ultromex Ltd, located in the
UK is an investment company.</t>
  </si>
  <si>
    <t xml:space="preserve">Nigeria
United Kingdom</t>
  </si>
  <si>
    <t xml:space="preserve">ULTROMEX/INTERNATIONAL TIN RESEARCH INSTITUTE-JOINT VENTURE</t>
  </si>
  <si>
    <t xml:space="preserve">Nigeria</t>
  </si>
  <si>
    <t xml:space="preserve">International Tin Research Institute and Ultromex formed a joint venture
called Itrimex to provide research and development services, in Nigeria.</t>
  </si>
  <si>
    <t xml:space="preserve">46050X
92083R</t>
  </si>
  <si>
    <t xml:space="preserve">Archean Group
Clean Coal Technologies Inc</t>
  </si>
  <si>
    <t xml:space="preserve">Prodn,distn ores &amp; minerals
Pvd coal transformation svcs</t>
  </si>
  <si>
    <t xml:space="preserve">Archean Group, located in
Chennai, India, is a
producer and distributor of
ores and minerals. The
company produces coal,
common salt, industrial
Chemicals, shipping, ship
building and alternate
energy resources.
Clean Coal Technologies Inc,
located in Coral Springs,
California, provides coal
transformation services reduce
local pollution that targets
utility plants and
manufacturing firms that burn
coal.</t>
  </si>
  <si>
    <t xml:space="preserve">1011
7389</t>
  </si>
  <si>
    <t xml:space="preserve">ARCHEAN GROUP/CLEAN COAL TECHNOLOGIES INC-JOINT VENTURE</t>
  </si>
  <si>
    <t xml:space="preserve">Archean Group (AG) and Clean Coal Technologies, Inc (CC) formed a joint
venture named Good Coal PTE to develop, deploy and market CC's Pristine-M
technology. AG will contribute USD 2 mil for the construction of the scale
pilot plant in Oklahoma. CC is entitled to receive a USD 2 mil one-time
license fee upon successful commissioning of the pilot plant. Ag were to
hold 55% interest in the JV while CC were to hold the remaining 45% stake.</t>
  </si>
  <si>
    <t xml:space="preserve">AG will contribute USD 2 mil for the construction of the scale pilot plant
in Oklahoma. CC is entitled to receive a USD 2 mil one-time license fee
upon successful commissioning of the pilot plan</t>
  </si>
  <si>
    <t xml:space="preserve">03982Q
18450P</t>
  </si>
  <si>
    <t xml:space="preserve">Piedmont Pharmaceuticals LLC
Zhejiang Hisun Pharm Co Ltd</t>
  </si>
  <si>
    <t xml:space="preserve">Mnfr pharm
Mnfr,whl pharmaceuticals</t>
  </si>
  <si>
    <t xml:space="preserve">Piedmont Pharmaceuticals LLC
is a manufacturer of
pharmaceutical preparation.
The company was founded in
2001 and is located in
Greensboro, North Carolina.
Zhejiang Hisun
Pharmaceutical Co Ltd is a
manufacturer and wholesaler
of pharmaceutical
preparation. The Company was
founded in 1956 and is
located in Taizhou, China.</t>
  </si>
  <si>
    <t xml:space="preserve">PIEDMONT PHARMACEUTICALS LLC/ZHEJIANG HISUN PHARMACEUTICAL CO LTD-STRATEGIC
ALLIANCE</t>
  </si>
  <si>
    <t xml:space="preserve">Piedmont Pharmaceuticals LLC (PP) and Zhejiang Hisun Pharmaceutical Co Ltd
(ZH) formed a strategic alliance to co-develop drugs for the companion
animal market.</t>
  </si>
  <si>
    <t xml:space="preserve">72018V
Y9891W</t>
  </si>
  <si>
    <t xml:space="preserve">UCB Pharma SA(UCB SA)
Oxford University</t>
  </si>
  <si>
    <t xml:space="preserve">Wholesale chemicals
Own,op college,university</t>
  </si>
  <si>
    <t xml:space="preserve">Wholesale chemicals
Oxford University, owns and
operates a
college/university. The
college/university is
headquartered in Oxford,
United Kingdom.</t>
  </si>
  <si>
    <t xml:space="preserve">5169
8221</t>
  </si>
  <si>
    <t xml:space="preserve">UCB SA
Oxford University</t>
  </si>
  <si>
    <t xml:space="preserve">UCB PHARMA SA/OXFORD UNIVERSITY-STRATEGIC ALLIANCE</t>
  </si>
  <si>
    <t xml:space="preserve">UCB Pharma SA (UP) and Oxford University (OU) formed a strategic alliance
for the research and development of innovative medicines to treat diseases
in immunology and neurology. The alliance will have a funding of GBP 3.6
mil (USD 5. 702 mil) form UP.</t>
  </si>
  <si>
    <t xml:space="preserve">The alliance will have a funding of GBP 3.6 mil (USD 5. 702 mil) form UP.</t>
  </si>
  <si>
    <t xml:space="preserve">90262V
69182Y</t>
  </si>
  <si>
    <t xml:space="preserve">Air Products &amp; Chemicals Inc
SCUT</t>
  </si>
  <si>
    <t xml:space="preserve">Air Products &amp; Chemicals
Inc, located in Allentown,
Pennsylvania, manufactures
and wholesales gases and
chemicals for industrial
uses. It offers products
such as atmospheric gases,
hydrogen, helium, specialty
gases, polymer emulsions,
polyvinyl alcohol, specialty
additives, polyurethane
intermediates, alkyl amines,
and industrial organic
chemicals. Its products also
include machineries and
equipment for gas supply and
applications, liquid
automation, and electronic
gas welding. It also owns
and operates cogeneration
plants and provides fuel gas
desulphurization, landfill
gas recovery,
waste-to-energy conversion
and other energy systems
services. It also provides
chemical engineering and
plant construction
contracting services. It has
offices located in the UK,
Singapore, Netherlands,
China, and Hong Kong. The
Company was founded in 1940.
South China University of
Technology{SCUT},is a college
and university.</t>
  </si>
  <si>
    <t xml:space="preserve">AIR PRODUCTS &amp; CHEMICALS INC/SOUTH CHINA UNIVERSITY OF TECHNOLOGY-STRATEGIC
ALLIANCE</t>
  </si>
  <si>
    <t xml:space="preserve">Air Products &amp; Chemicals Inc (AP) and South China University of Technology
(SC) formed a strategic alliance for the research and development of water
purification technology. The alliance will focus on bioreactor resulting
from the integration of ozone reaction and biological aerated filter (BAF)
technologies.</t>
  </si>
  <si>
    <t xml:space="preserve">009158
83741C</t>
  </si>
  <si>
    <t xml:space="preserve">Ohio State University
National Cheng Kung University</t>
  </si>
  <si>
    <t xml:space="preserve">Own,op university
Own,op college,university</t>
  </si>
  <si>
    <t xml:space="preserve">The Ohio State University,
headquartered in Columbus,
Ohio, is an owner and operator
of university.
National Cheng Kung
University, owns and operates
a college/university. The
college/university is
headquartered in Tainan,
Taiwan.</t>
  </si>
  <si>
    <t xml:space="preserve">8221
8221</t>
  </si>
  <si>
    <t xml:space="preserve">United States of America
National Cheng Kung University</t>
  </si>
  <si>
    <t xml:space="preserve">999A
8221</t>
  </si>
  <si>
    <t xml:space="preserve">OHIO STATE UNIVERSITY/NATIONAL CHENG KUNG UNIVERSITY-STRATEGIC ALLIANCE</t>
  </si>
  <si>
    <t xml:space="preserve">Ohio State University and National Cheng Kung University formed a strategic
alliance, to develop new drugs for pancreatic cancer.</t>
  </si>
  <si>
    <t xml:space="preserve">67766Q
63530E</t>
  </si>
  <si>
    <t xml:space="preserve">IMRA America Inc
Disco Corp</t>
  </si>
  <si>
    <t xml:space="preserve">Manufacture,wholesale lasers
Mnfr precision cutting machine</t>
  </si>
  <si>
    <t xml:space="preserve">IMRA America Inc, located in
Ann Arbor, Michigan, is a
researcher, developer,
prototyper, manufacturer,
marketer, and distributor of
ultrafast and short-pulsed
fiber lasers in the United
States and internationally.
The company also provides
pulse modulators, as well as
involves in the patent and
technology licensing. Its
products are used in various
applications in photonics,
microelectronic/semiconductor
s, telecommunications,
sensors, medical device
manufacturing, medical
diagnostics and imaging,
ophthalmology, dentistry and
dermatology, materials
processing, automotive, and
basic research industries.
It sells its products
directly in the United
States and Japan, as well as
through a network of sales
representatives worldwide.
The company was founded in
1990.
Disco Corp, headquartered in
Tokyo, Japan, is engaged in
the manufacture and sale of
semiconductor manufacturing
devices and precision
processing devices. The
company operates in three
business segments. The
Precision Processing System
segment manufactures, sells,
maintains and provides related
services of semiconductor
manufacturing equipment and
precision processing machines,
including dicing saws, laser
saws, grinders, polishers, dry
etchers, surface planer,
dicing blades, grinding wheels
and dry polishing wheels. The
Precision Processing
Components segment mainly
manufactures and sells the
components of precision
processing equipment. The
Industrial Grinding and
Cutting Products segment
manufactures and sells diamond
wheels, and grindstones for
grinding and cutting. On April
1, 2012, the company acquired
the grind stone manufacturing
business from a wholly owned
subsidiary. It was founded in
1937.</t>
  </si>
  <si>
    <t xml:space="preserve">3845
3545</t>
  </si>
  <si>
    <t xml:space="preserve">Aisin Seiki Co Ltd
Disco Corp</t>
  </si>
  <si>
    <t xml:space="preserve">3711
3545</t>
  </si>
  <si>
    <t xml:space="preserve">IMRA AMERICA INC/DISCO CORP-STRATEGIC ALLIANCE</t>
  </si>
  <si>
    <t xml:space="preserve">IMRA America Inc and Disco Corp formed a strategic alliance to collaborate
in the development of new lasers and processing systems for laser dicing of
semiconductor materials.</t>
  </si>
  <si>
    <t xml:space="preserve">44239V
25466A</t>
  </si>
  <si>
    <t xml:space="preserve">Embraer SA
Boeing Co
Airbus SAS</t>
  </si>
  <si>
    <t xml:space="preserve">Manufacture aircraft
Manufacture jetliners,aircraft
Manufacture aircraft</t>
  </si>
  <si>
    <t xml:space="preserve">Embraer SA manufactures
aircrafts for commercial,
defense, and executive
aviation. The Company was
founded in 1969 and is
located in Sao Jose Dos
Campos, Brazil.
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
Airbus SAS is a manufacturer
of aircrafts. It specializes
in manufacturing of
commercial jets, civil
airline aircrafts, and
military transport
aircrafts. It has sixteen
sites in Germany, France,
the United Kingdom and
Spain. Airbus has
subsidiaries in the United
States, Japan, China and
India. The Company was
founded in 1970 and is
located in Blagnac, France.</t>
  </si>
  <si>
    <t xml:space="preserve">3721
3721
3721</t>
  </si>
  <si>
    <t xml:space="preserve">Brazil
United States
France</t>
  </si>
  <si>
    <t xml:space="preserve">FF
IL
FF</t>
  </si>
  <si>
    <t xml:space="preserve">Embraer SA
Boeing Co
EADS</t>
  </si>
  <si>
    <t xml:space="preserve">EMBRAER SA/BOEING CO/AIRBUS SAS-STRATEGIC ALLIANCE</t>
  </si>
  <si>
    <t xml:space="preserve">Embraer SA, Boeing Co and Airbus SAS formed a strategic alliance to develop
befouls</t>
  </si>
  <si>
    <t xml:space="preserve">29081M
097023
00966H</t>
  </si>
  <si>
    <t xml:space="preserve">Avantium Technologies BV
Danone Research BV</t>
  </si>
  <si>
    <t xml:space="preserve">Pvd research,development svcs
Pvd research,dvlp svcs</t>
  </si>
  <si>
    <t xml:space="preserve">Avantium Technologies BV,
located in Amsterdam, the
Netherlands, provides
research and development
services in the energy,
chemicals and pharmaceutical
industries. The Company was
founded in 2000.
Danone Research BV provides
research and development
services. The company is
headquartered in London,
United Kingdom. It's area of
research covers Ferments and
Probiotics, Intestinal Flora,
Nutrition and Public Health,
Clinical Research, Sensorial
Analysis and Consumer Science.</t>
  </si>
  <si>
    <t xml:space="preserve">Avantium Technologies BV
Danone SA</t>
  </si>
  <si>
    <t xml:space="preserve">8731
2023</t>
  </si>
  <si>
    <t xml:space="preserve">AVANTIUM TECHNOLOGIES BV/DANONE RESEARCH BV-STRATEGIC ALLIANCE</t>
  </si>
  <si>
    <t xml:space="preserve">Avantium Technologies BV (AT) and Danone Research BV (DR) formed a
strategic alliance for the development odf PEF bottles.</t>
  </si>
  <si>
    <t xml:space="preserve">05358L
24107N</t>
  </si>
  <si>
    <t xml:space="preserve">W2 Energy Inc
W2H Luxembourg Holding SA</t>
  </si>
  <si>
    <t xml:space="preserve">Manufacutre liquid fuel system
Manufacture petrochemical</t>
  </si>
  <si>
    <t xml:space="preserve">W2 Energy Inc, located in
Guelph, Ontario, manufactures
liquid fuels systems such as
diesel, gasoline, methanol,
butanol, from biomass, waste
and coal feedstock. The
company was founded in 1994.
W2H Luxembourg Holding SA,
located in Luxembourg. is an
investment holding company
focused in petrochemical
manufacturing.</t>
  </si>
  <si>
    <t xml:space="preserve">1321
2869</t>
  </si>
  <si>
    <t xml:space="preserve">Canada
Luxembourg</t>
  </si>
  <si>
    <t xml:space="preserve">W2 ENERGY INC/W2H LUXEMBOURG HOLDING SA-JOINT VENTURE</t>
  </si>
  <si>
    <t xml:space="preserve">Luxembourg</t>
  </si>
  <si>
    <t xml:space="preserve">W2 Energy Inc (WE) and W2H Luxembourg Holding SA (WL) formed a joint
venture to develop and market WE's patented product lines. This includes NT
Plasmatron, Grinder, SteamRay Engine, Multi-fuel Gas to Liquid Reactor, NT
Plasmatron Fuel and The SunFilter Algae Bio Reactor.</t>
  </si>
  <si>
    <t xml:space="preserve">The value of the agreement is placed at USD 4 mil.</t>
  </si>
  <si>
    <t xml:space="preserve">92934U
93534P</t>
  </si>
  <si>
    <t xml:space="preserve">US Medical Innovations LLC
WEM Equipamentos Eletronicos</t>
  </si>
  <si>
    <t xml:space="preserve">Dvlp biomedical devices
Mnfr electrosurgical devices</t>
  </si>
  <si>
    <t xml:space="preserve">US Medical Innovations LLC.
located in Takoma Park,
Maryland, develops and
manufactures advanced,
innovative and affordable
plasma electrosurgical
devices. The company's
brands include SS-601MCa
Microprocessed
Electrosurgical Unit and
Canady Plasma Coagulator
Argon 4.
WEM Equipamentos Eletronicos
Ltda. located in Sao Paolo,
Brazil, develops and
manufacture electrosurgical
unit. The company's products
include Electrosurgical Units,
Medical Cables, Cable for
Bipolar Forceps, Cable for
Monopolar Forceps, Cable for
Patient Plates, Tungsten Wire
Electrodes, Flexible
Electrodes, Medical
Electrodes, Footswitches,
Patient Plates, Transport
Units, Cable for Footswitching
Pencil, Accessories for Smoke
Evacuator, Coagulators, Smoke
Evacuator, Examination Chairs,
among many others.</t>
  </si>
  <si>
    <t xml:space="preserve">3845
3845</t>
  </si>
  <si>
    <t xml:space="preserve">US Patent Innovations LLC
WEM Equipamentos Eletronicos</t>
  </si>
  <si>
    <t xml:space="preserve">US MEDICAL INNOVATIONS LLC/WEM ELECTRONIC EQUIPMENT LTDA-STRATEGIC
ALLIANCE</t>
  </si>
  <si>
    <t xml:space="preserve">US Medical Innovations, LLC (UM) and WEM Equipamentos Electronicos LTDA
(WE) formed a strategic alliance to develop, manufacture and distribute
electrosurgical plasma generators, coagulators, and accessories and related
products for use in surgery and endoscopy.</t>
  </si>
  <si>
    <t xml:space="preserve">92085T
95038Z</t>
  </si>
  <si>
    <t xml:space="preserve">DiaGenic ASA
GE Healthcare</t>
  </si>
  <si>
    <t xml:space="preserve">Biotechnology company
Manufacture diagnostic imaging equipment</t>
  </si>
  <si>
    <t xml:space="preserve">DiaGenic ASA, based in Oslo,
Norway, is a biotechnology
company. Its activities
include the research and
development of patented
technology for the early
detection of Alzheimer''s
disease and breast cancer.
Additionally, the Company is
involved in the research and
development of a
Parkinson''s disease test.
Its products are blood-based
gene expression tests, which
distributed under the ADtect
and BCtect names. The
company was founded in 1998.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</si>
  <si>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DiaGenic ASA
General Electric Co</t>
  </si>
  <si>
    <t xml:space="preserve">2836
3612</t>
  </si>
  <si>
    <t xml:space="preserve">DIAGENIC ASA/GE HEALTHCARE-STRATEGIC ALLIANCE</t>
  </si>
  <si>
    <t xml:space="preserve">DiaGenic ASA (DA) and GE Healthcare (GH) planned to form a strategic
alliance to develop blood based Alzheimer test. The alliance will utilize
GA's technology and GE's PET imaging agent to identify a blood-based gene
expression signature in patients with mild cognitive impairment, which is
associated with risk for Alzheimer's disease.</t>
  </si>
  <si>
    <t xml:space="preserve">25287W
36069Q</t>
  </si>
  <si>
    <t xml:space="preserve">Qiagen NV
Bio-X Center</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</si>
  <si>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Bio-X Center provides research
and development services. The
company is headquartered in
Shanghai, China. The company's
research focuses on nutrition,
health &amp; disease, development
&amp; reproduction, biosafety and
DNA computing. The company was
established in 2005.</t>
  </si>
  <si>
    <t xml:space="preserve">QIAGEN NV/BIO-X CENTER-JOINT VENTURE</t>
  </si>
  <si>
    <t xml:space="preserve">Qiagen NV (QN) and Bio-X Center of Shanghai Jiao Tong University (BC)
agreed to form a joint venture to open a translational medicine laboratory
in Shanghai to develop and sell better diagnostics, therapies, and medicine
in China.</t>
  </si>
  <si>
    <t xml:space="preserve">N72482
08937A</t>
  </si>
  <si>
    <t xml:space="preserve">Magna Exteriors &amp; Interiors
Zoltek Cos Inc</t>
  </si>
  <si>
    <t xml:space="preserve">Mnfr motor vehicles,parts
Mnfr,whl carbon,graphite prod</t>
  </si>
  <si>
    <t xml:space="preserve">Magna Exteriors &amp; Interiors is
a motor vehicles and parts
manufacturer and supplier,
headquartered in Ontario,
Canada. The company's products
and services include front and
rear fascia systems, sealing
systems, exterior trim &amp;
lighting; class A composite
panels; modular systems;
engineered glass; under hood &amp;
underbody components; and
structural components for
automotive.
Zoltek Cos Inc, located in St
Louis, Missouri, manufactures
and wholesales carbon and
graphite products through its
wholly owned subsidiaries,
engages in the development,
manufacture, and marketing of
carbon fibers for various
applications. Its carbon
fibers are used as the primary
building material in
commercial products. The
company also manufactures and
sells filament winding and
pultrusion equipment used in
the production of composite
parts. The company was founded
in 1975.</t>
  </si>
  <si>
    <t xml:space="preserve">3711
3624</t>
  </si>
  <si>
    <t xml:space="preserve">Magna International Inc
Zoltek Cos Inc</t>
  </si>
  <si>
    <t xml:space="preserve">3714
3624</t>
  </si>
  <si>
    <t xml:space="preserve">MAGNA EXTERIORS &amp; INTERIORS/ZOLTEK COS INC-STRATEGIC ALLIANCE</t>
  </si>
  <si>
    <t xml:space="preserve">Magna Exteriors Interiors and Zoltek Cos Inc formed a strategic alliance,
to develop carbon fiber sheet molding compounds.</t>
  </si>
  <si>
    <t xml:space="preserve">56004L
98975W</t>
  </si>
  <si>
    <t xml:space="preserve">Rio Tinto Ltd
iGATE Patni</t>
  </si>
  <si>
    <t xml:space="preserve">Iron,coal,copper mining co
Pvd info tech svcs</t>
  </si>
  <si>
    <t xml:space="preserve">Rio Tinto Ltd, headquartered
in Melbourne, Australia is
an iron, coal and copper
mining company, with
interests in aluminum,
industrial materials such as
borates, industrial salt,
talc and titanium dioxide
feedstock, diamonds and
other minerals and metals.
It has operations in the
global resource sector but
most are centered in
Australia and North America,
while also having businesses
in South America, Asia,
Europe and southern Africa.
The company was established
in 1962.
iGATE Patni provides
information technology
services. The company is
headquartered in Pittsburgh,
Pennsylvania and with
locations in India and in
North America. The company's
services include Application
Development, Application
management, Verification &amp;
Validation, Enterprise
Application Solutions as well
as Business Intelligence &amp;
Data Warehousing.</t>
  </si>
  <si>
    <t xml:space="preserve">1011
7376</t>
  </si>
  <si>
    <t xml:space="preserve">Rio Tinto Ltd
iGATE Corp</t>
  </si>
  <si>
    <t xml:space="preserve">1011
7371</t>
  </si>
  <si>
    <t xml:space="preserve">RIO TINTO/IGATE PATNI-JOINT VENTURE</t>
  </si>
  <si>
    <t xml:space="preserve">Rio Tinto (RT) and iGate-Patni (IP) formed a five-year joint venture to set
up a research center in Pune, India named Rio Tinto Innovation Centre for
developing technologies for a new automated mining system.</t>
  </si>
  <si>
    <t xml:space="preserve">767202
47485N</t>
  </si>
  <si>
    <t xml:space="preserve">NIBRT
Waters Corp</t>
  </si>
  <si>
    <t xml:space="preserve">Pvd bioprocessing research svc
Manufacture,wholesale chromatography instrument systems</t>
  </si>
  <si>
    <t xml:space="preserve">National Institute for
Bioprocessing Research
&amp;Training{NIBRT}, located in
Dublin, Ireland, provides bio
processing research services.
Waters Corp, located in
Milford, Massachusetts,
manufactures and wholesales
chromatography instrument
systems. It also offers mass
spectrometry instrument
systems and associated
service and support products
including chromatography
columns and other consumable
products for the
pharmaceutical, life
science, biochemical,
industrial, academic and
government industries, for
research and development,
quality assurance and other
laboratory applications. The
company was founded in 1958.</t>
  </si>
  <si>
    <t xml:space="preserve">8733
3826</t>
  </si>
  <si>
    <t xml:space="preserve">WATERS CORP/ NATIONAL INSTITUTE FOR BIOPROCESSING RESEARCH &amp;
TRAINING{NIBRT}-STRATEGIC ALLIANCE</t>
  </si>
  <si>
    <t xml:space="preserve">Waters Corp and National Institute for Bioprocessing Research
&amp;Training{NIBRT} formed a strategic alliance to provide research and
development services to provide effective biotherapeutic innovations
addressing diseases, in the US.</t>
  </si>
  <si>
    <t xml:space="preserve">0A0483
941848</t>
  </si>
  <si>
    <t xml:space="preserve">Rio Tinto PLC
Patni Computer Systems Ltd</t>
  </si>
  <si>
    <t xml:space="preserve">Copper,gold,coal mining co
Provide information tech svcs</t>
  </si>
  <si>
    <t xml:space="preserve">Rio Tinto PLC, located in
London, UK, is a holding
company, which mines copper,
gold, silver, aluminium,
boartes, coal, copper,
diamonds, gypsum, iron ore,
molybdenum, salt, sulphuric
acid, talc, titanium
dioxide, uranium, nickel,
potash, lead and zinc. The
Company operates in
Australia and North America
and has significant
businesses in South America,
Asia, Europe and southern
Africa. The Company was
founded in 1873.
Patni Computer Systems Ltd,
based in Mumbai, India,
provides information
technology services including
application development,
application maintenance and
support, packaged software
implementation, infrastructure
management services, product
engineering, business process
outsourcing and quality
assurance services to
customers operating in various
industry segments such as
Insurance Services,
Manufacturing, Financial
Services, Software Vendor,
Product Engineering Services
and Telecom. The company was
founded in 1978.</t>
  </si>
  <si>
    <t xml:space="preserve">1041
7371</t>
  </si>
  <si>
    <t xml:space="preserve">RIO TINTO PLC/PATNI COMPUTER SYSTEMS LTD-</t>
  </si>
  <si>
    <t xml:space="preserve">Rio Tinto PLC (RT) and Patni Computer Systems Ltd (PC) formed a joint
venture to provide engineering research and development services. The JV
will seek to adapt technology developed by RT for broader use in different
locations and for other commodities.</t>
  </si>
  <si>
    <t xml:space="preserve">767204
703248</t>
  </si>
  <si>
    <t xml:space="preserve">Georgia Gulf Corp
Galata Chemicals LLC</t>
  </si>
  <si>
    <t xml:space="preserve">Mnfr industrial chemicals
Mnfr,whl additives</t>
  </si>
  <si>
    <t xml:space="preserve">Georgia Gulf Corp, based in
Atlanta, Georgia, manufactures
and wholesales chlorovinyls
and aromatics chemicals, and
vinyl-based building and home
improvement products. The
company's chlorovinyls product
line includes chlorine,
caustic soda, EDC, vinyl
chloride monomer, and vinyl
resins and compounds. It also
offers window and door
profiles and moldings
products, which consist of
extruded vinyl window
profiles, such as frames,
sashes, trim, and other
components; and vinyl patio
door components and fabricated
patio doors, which are sold
primarily to window and door
fabricators. The company was
founded in 1985.
Galata Chemicals LLC, located
in Southbury, Connecticut,
manufactures and wholesales
dditives for Polyvinyl
Chloride (PVC) and associated
industries. The company's
products include organotin
stabilizers, mixed metal
stabilizers, phosphite
co-stabilizers, epoxy
plasticizers, co-stabilizers,
polymer modifiers, tin
catalysts, foaming agents,
lubricants, antistats and
natural alternative for
paraffin wax. The company was
founded in 2010.</t>
  </si>
  <si>
    <t xml:space="preserve">GA
CT</t>
  </si>
  <si>
    <t xml:space="preserve">Georgia Gulf Corp
Artek Surfin Chemicals Ltd</t>
  </si>
  <si>
    <t xml:space="preserve">2819
2843</t>
  </si>
  <si>
    <t xml:space="preserve">GEORGIA GULF CORP/GALATA CHEMICALS LLC-STRATEGIC ALLIANCE</t>
  </si>
  <si>
    <t xml:space="preserve">Georgia Gulf Corp (GG) and Galata Chemicals LLC (GC) planned to form a
strategic alliance to develop a line of flexible bio-based PVC compounds
containing Drapex(R) Alpha.</t>
  </si>
  <si>
    <t xml:space="preserve">373200
36771L</t>
  </si>
  <si>
    <t xml:space="preserve">COMIBOL
Korea Resources Corp
POSCO Co Ltd</t>
  </si>
  <si>
    <t xml:space="preserve">Pvd mining mgmt svcs
Mineral,metal mining company
Mnfr,whl iron,steel products</t>
  </si>
  <si>
    <t xml:space="preserve">Corporacion Minera de Bolivia,
located in La Paz, Bolivia,
provides mining management
services by representing the
government's interest in
mining concessions and
industrial plants. The company
was founded in 1952.
Korea Resources Corpis a
mineral and metal mining
company focused on coal,
uranium, iron, copper, steel,
and nickel mining. The Company
was founded in June 1967 and
is located in Ganwon-Do, South
Korea.
POSCO Co Ltd, located in
Pohang, South Korea,
manufactures and wholesales
iron and steel products. The
Company operates in steel
business, engaged in the
manufacture of hot rolled
steels, steel plates, wire
rods, cold rolled steels,
galvanized steels,
electrical galvanized
steels, stainless steels,
titanium products, magnesium
products and others; trading
trading of steel products,
chemical products,
automobile parts and others;
construction business,
mainly engaged in the
construction of commercial
and residential buildings,
and other business, engaged
in the operation of power
plants, and distribution of
electricity. It was founded
in 1968.</t>
  </si>
  <si>
    <t xml:space="preserve">999D
1221
3312</t>
  </si>
  <si>
    <t xml:space="preserve">Bolivia
South Korea
South Korea</t>
  </si>
  <si>
    <t xml:space="preserve">Republica de Bolivia
Republic Of Korea
POSCO Co Ltd</t>
  </si>
  <si>
    <t xml:space="preserve">999A
999A
3312</t>
  </si>
  <si>
    <t xml:space="preserve">COMIBOL/KOREA RESOURCES CORP/POSCO-JOINT VENTURE</t>
  </si>
  <si>
    <t xml:space="preserve">Bolivia</t>
  </si>
  <si>
    <t xml:space="preserve">Comibol (C), Korea Resources Corp (KR), and Posco (P) agreed to form a
joint venture for research and development and production of lithium
cathodes in Bolivia.</t>
  </si>
  <si>
    <t xml:space="preserve">21988N
49945Q
693483</t>
  </si>
  <si>
    <t xml:space="preserve">Henan Yuguang Gold &amp; Lead Co
Yuan Heping</t>
  </si>
  <si>
    <t xml:space="preserve">Mnfr,whl nonferrous metals
Individual</t>
  </si>
  <si>
    <t xml:space="preserve">Henan Yuguang Gold &amp; Lead Co
Ltd is a manufacturer and
wholesaler of nonferrous
metals , headquartered in
China. Its main business
include lead, silver and gold
semeltering. The company was
founded in 2002.
Yuan Heping is an investor
located in China.</t>
  </si>
  <si>
    <t xml:space="preserve">3339
6799</t>
  </si>
  <si>
    <t xml:space="preserve">HENAN YUGUANG GOLD &amp; LEAD CO LTD/YUAN HEPING-JOINT VENTURE</t>
  </si>
  <si>
    <t xml:space="preserve">Henan Yuguang Gold &amp; Lead Co Ltd (HY) and Yuan Heping (YH) planned to form
a joint venture to research and develop sputtering target materials,
non-ferrous metals and alloys profile products, composite materials, and
powder materials, as well as recycling of non-ferrous metal waste. HY was
to hold a 98.33% interest in the joint venture while YP was to hold the
remaining 1.67% stake. The joint venture was to be capitalized CNY 30 mil
(USD 4.758 mil).</t>
  </si>
  <si>
    <t xml:space="preserve">98.30
1.70</t>
  </si>
  <si>
    <t xml:space="preserve">The joint venture was to be capitalized CNY 30 mil (USD 4.758 mil).</t>
  </si>
  <si>
    <t xml:space="preserve">42467J
99004V</t>
  </si>
  <si>
    <t xml:space="preserve">Optimer Pharmaceuticals Inc
Astellas Pharma Inc</t>
  </si>
  <si>
    <t xml:space="preserve">Optimer Pharmaceuticals Inc,
located in Jersey, New Jersey,
is a biopharmaceutical company
that focuses on the discovery,
development and
commercialization of
anti-infective products to
treat gastrointestinal
infections and other diseases.
The company provides two
late-stage anti-infective
product candidates, including
Fidaxomicin, a narrow spectrum
antibiotic for the treatment
of Clostridium
difficile-infection, which
completed two Phase 3 trials;
and Pruvel, a prodrug in the
fluoroquinolone class of
antibiotics, has completed two
Phase 3 trials for the
treatment of infectious
diarrhea, including travelers
diarrhea. It also develops
product candidates using its
proprietary technology Optimer
One-Pot Synthesis, a
computer-aided technology that
enables the rapid synthesis of
various proprietary molecules.
The company was founded in
1998.
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t>
  </si>
  <si>
    <t xml:space="preserve">OPTIMER PHARMACEUTICALS INC/ASTELLAS PHARMA INC-STRATEGIC ALLIANCE</t>
  </si>
  <si>
    <t xml:space="preserve">Optimer Pharmaceuticals, Inc (OP) and Astellas Pharma Inc (AP) formed a
strategic alliance to develop and commercialize fidaxomicin tablets in
Japan for the treatment of Clostridium difficile Infection. AP was given
exclusive license for the drug in Japan which entitles OP to receive
upfront cash payments of up to USD 20 mil from AP. OP is eligible to
receive up to USD 70 mil upon the achievement of certain regulatory and
commercial milestones.</t>
  </si>
  <si>
    <t xml:space="preserve">Research &amp; Development Services
Exclusive Licensing Services
Licensing Services</t>
  </si>
  <si>
    <t xml:space="preserve">AP was given exclusive license for the drug in Japan which entitles OP to
receive upfront cash payments of up to USD 20 mil from AP. OP is eligible
to receive up to USD 70 mil upon the achievement of certain regulatory and
commercial milestones.</t>
  </si>
  <si>
    <t xml:space="preserve">68401H
J03393</t>
  </si>
  <si>
    <t xml:space="preserve">Daiichi Sankyo Co Ltd
NGM Biopharmaceuticals Inc</t>
  </si>
  <si>
    <t xml:space="preserve">Daiichi Sankyo Co Ltd,
headquartered in Tokyo,
Japan, is engaged in the
manufacture and sale of
pharmaceuticals. The Company
has two business segments.
The Daiichi Sankyo Group
segment is involved in the
research, development,
pharmaceuticals, as well as
the provision of
intermediates and basic
materials for pharmaceutical
producing, in Japan, the
United States, Europe, China
and Brazil markets. The
Ranbaxy Group segment is
engaged in the research,
development, manufacture and
sale of pharmaceuticals in
overseas markets through
Ranbaxy group companies. As
of March 31, 2012, it has
107 subsidiaries and three
associated companies.The
company was founded on
September 28, 2005.
NGM Biopharmaceuticals Inc is
a biotechnology company
headquartered in South San
Francisco, California. The
company is focused on the
discovery and development of
novel treatments for type 2
diabetes, obesity, muscle
wasting, and cardiovascular
disease. It was founded in
2008.</t>
  </si>
  <si>
    <t xml:space="preserve">DAIICHI SANKYO CO LTD/NGM BIOPHARMACEUTICALS INC-STRATEGIC ALLIANCE</t>
  </si>
  <si>
    <t xml:space="preserve">Daiichi Sankyo Co Ltd (DS) and NGM Biopharmaceuticals Inc (NB) formed a
strategic alliance for the research and development of novel therapeutics
for the treatment of diabetes. Under the alliance, NB is entitled to
receive upfront payment and research funding from DS as well as additional
payments upon achievement of research, development, regulatory and
commercial milestones and royalties on products sales. DS was granted
exclusive license to develop and commercialize compounds resulting from the
collaboration.</t>
  </si>
  <si>
    <t xml:space="preserve">Research &amp; Development Services
Exclusive Licensing Services
Licensing Services
Manufacturing Services</t>
  </si>
  <si>
    <t xml:space="preserve">J11257
62921N</t>
  </si>
  <si>
    <t xml:space="preserve">London Genetics International
AKESOgen Inc</t>
  </si>
  <si>
    <t xml:space="preserve">Pvd biotechnological research
Provides genomics and clinical trial precision medicine services</t>
  </si>
  <si>
    <t xml:space="preserve">London Genetics International,
headquartered in United
Kingdom, provides
biotechnological research. The
company offers expertise in
drug discovery and
development. It is also
engaged in personalized
nutrition. Some of its clients
are George's University of
London, Genizon Biosciences,
Oxford Gene Technologies and
Astrimmune. The company was
founded in 2011.
AKESOgen Inc, located in
Peachtree City, Georgia,
provides genomics and
clinical trial precision
medicine services. It
operates a commercial
laboratory facility in
Atlanta. The Company was
founded in 2010.</t>
  </si>
  <si>
    <t xml:space="preserve">LONDON GENETICS INTERNATIONAL/AKESOGEN INC-STRATEGIC ALLIANCE</t>
  </si>
  <si>
    <t xml:space="preserve">London Genetics International and AKESOgen Inc formed a strategic alliance,
to enhance drug development through pharmacogenetics and related services.</t>
  </si>
  <si>
    <t xml:space="preserve">54202H
02201Z</t>
  </si>
  <si>
    <t xml:space="preserve">Accuray Inc
Heidelberg University</t>
  </si>
  <si>
    <t xml:space="preserve">Mnfr,whl radiosurgical devices
Own,op college,university</t>
  </si>
  <si>
    <t xml:space="preserve">Accuray Inc, located in
Sunnyvale, California,
manufactures and wholesales
stereotactic radiosurgical
devices designed to treat
tumors anywhere in the body.
Among its offerings are
CyberKnife VSI System and
CyberKnife System. The Company
was founded in 1987.
Heidelberg University owns and
operates a college/university.
The university is
headquartered in Heidelberg,
Germany. It was founded in
1386.</t>
  </si>
  <si>
    <t xml:space="preserve">ACCURAY INC/HEIDELBERG UNIVERSITY-STRATEGIC ALLIANCE</t>
  </si>
  <si>
    <t xml:space="preserve">Accuray Inc and Heidelberg University formed a strategic alliance to
provide research and development services.</t>
  </si>
  <si>
    <t xml:space="preserve">004397
42441N</t>
  </si>
  <si>
    <t xml:space="preserve">Darwish Holding Co
Ipsos SA</t>
  </si>
  <si>
    <t xml:space="preserve">Investment holding company
Research company</t>
  </si>
  <si>
    <t xml:space="preserve">Darwish Holding Co, located in
Doha, Qatar, is an investment
holding company. It invests in
retail services, commercial
and real estate sectors,
industries, business services,
investments and ventures. It
was founded in 1949.
Ipsos SA, located in Paris,
France, is a research
company. It offers
advertising research,
marketing, media, client
relationship management
services. It uses global
surveys and polls to explore
market potential and trends,
test products and
advertising mediums, study
audiences and audience
perceptions of various
media, and measure public
opinion trends. The Company
was founded in 1975.</t>
  </si>
  <si>
    <t xml:space="preserve">6719
8732</t>
  </si>
  <si>
    <t xml:space="preserve">Qatar
France</t>
  </si>
  <si>
    <t xml:space="preserve">DARWISH HOLDING CO/IPSOS SA-JOINT VENTURE</t>
  </si>
  <si>
    <t xml:space="preserve">Darwish Holding Co (DA) and Ipsos SA (IP) formed a joint venture (JV) to
provide market research services in Qatar.</t>
  </si>
  <si>
    <t xml:space="preserve">68769E
46262H</t>
  </si>
  <si>
    <t xml:space="preserve">Rockwell Collins Inc
LETRI</t>
  </si>
  <si>
    <t xml:space="preserve">Manufactures aviation electronics products
Mnf aviation electronic equip</t>
  </si>
  <si>
    <t xml:space="preserve">Rockwell Collins Inc,
located in Cedar Rapids,
Iowa, manufactures advanced
communication and aviation
electronics products for the
air transport, regional,
business and military
industry. It operates in two
segments, Government Systems
and Commercial Systems that
engages in the design,
production, and support of
communications and aviation
electronics for military and
commercial customers
worldwide. The Company also
provides equipment repair
and overhaul, service parts,
field service engineering,
training, technical
information services, and
aftermarket used equipment.
The Company was founded in
1933.
China Leihua Electronic
Technology Research Institute,
located in Wuxi, Jiangsu
Province, China develops and
manufactures civil aviation
electronic equipment.</t>
  </si>
  <si>
    <t xml:space="preserve">3728
3728</t>
  </si>
  <si>
    <t xml:space="preserve">Rockwell Collins Inc
Aviation Ind Corp Of China</t>
  </si>
  <si>
    <t xml:space="preserve">ROCKWELL COLLINS INC/CHINA LEIHUA ELECTRONIC TECHNOLOGY RESEARCH
INSTITUTE-JOINT VENTURE</t>
  </si>
  <si>
    <t xml:space="preserve">Rockwell Collins Inc (RC) and China Leihua Electronic Technology Research
Institute (CL) planned to form a joint venture named AVIC Leihua Rockwell
Collins Avionics Company to develop and manufacture surveillance products
to the Commercial Aircraft Corporation of China Ltd. (COMAC) C919 aircraft.
The transaction was subject to regulatory approval.</t>
  </si>
  <si>
    <t xml:space="preserve">774341
17485V</t>
  </si>
  <si>
    <t xml:space="preserve">Amgen Inc
AstraZeneca PLC</t>
  </si>
  <si>
    <t xml:space="preserve">Manufacture human therapeutics
Manufactures, wholesales pharmaceutical products</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</si>
  <si>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</si>
  <si>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AMGEN INC/ASTRAZENECA PLC- STRATEGIC ALLIANCE</t>
  </si>
  <si>
    <t xml:space="preserve">Amgen Inc and AstraZeneca PLC formed a strategic alliance. The SA was to
have a cost of USD 50 million, to jointly develop and commercialise
clinical-stage inflammation portfolio.</t>
  </si>
  <si>
    <t xml:space="preserve">AP will make a one-time USD 50 mil upfront payment to AI.</t>
  </si>
  <si>
    <t xml:space="preserve">031162
046353</t>
  </si>
  <si>
    <t xml:space="preserve">GenMark Diagnostics Inc
Advanced Liquid Logic Inc</t>
  </si>
  <si>
    <t xml:space="preserve">Mnfr molecular diagnostic tech
Mnfr digital microfliuds equip</t>
  </si>
  <si>
    <t xml:space="preserve">GenMark Diagnostics Inc,
located in Carlsbad,
California, manufactures
molecular diagnostics
technology. The company is
focused on developing and
commercializing its eSensor
detection technology. its
electrochemical technology
enables the detection of up to
72 distinct biomarkers in a
single sample. The company was
incorporated in Delaware on
February 28, 2010.
Advanced Liquid Logic Inc,
located in Morrisville, North
Carolina, manufactures digital
microfluids equipment. The
company was founded in 2004.</t>
  </si>
  <si>
    <t xml:space="preserve">3841
3823</t>
  </si>
  <si>
    <t xml:space="preserve">GENMARK DIAGNOSTICS INC/ADVANCED LIQUID LOGIC INC-STRATEGIC ALLIANCE</t>
  </si>
  <si>
    <t xml:space="preserve">GenMark Diagnostics, Inc (GM) and Advanced Liquid Logic, Inc (AL) formed a
strategic alliance for the development of an in-vitro diagnostic platform
which integrates AL's proprietary electrowetting technology and GM's
proprietary electrochemical detection.</t>
  </si>
  <si>
    <t xml:space="preserve">372309
01224C</t>
  </si>
  <si>
    <t xml:space="preserve">Advaxis Inc
Karolinska Institute</t>
  </si>
  <si>
    <t xml:space="preserve">Mnfr biopharmaceuticals
Provide research services</t>
  </si>
  <si>
    <t xml:space="preserve">Advaxis Inc, located in
Princeton New Jersey, is a
clinical biotechnology company
focuses on the developing
immunotherapies for cancer and
infectious diseases. These
immunotherapies are based on a
platform technology under
license from the University of
Pennsylvania (Penn), which
utilizes live attenuated
Listeria monocytogenes
(Listeria or Lm) ,
bioengineered to secrete
antigen/adjuvant fusion
proteins. These Lm -LLO
strains use a fragment of the
protein listeriolysin (LLO),
fused to a tumor associated
antigen (TAA) or other antigen
of interest. It has focused
its initial development
efforts on therapeutic
immunotherapies targeting
human papillomavirus
(HPV)-associated diseases:
cervical intraepithelial
neoplasia (CIN 2/3), recurrent
or refractory cervical cancer,
and head and neck cancer. It
has also developed
immunotherapies for prostate
cancer, and HER2 expressing
cancers, such as breast,
gastric, bladder, brain,
pancreatic and ovarian cancer.
The company was founded in
2002.
Karolinska Institutet,
located in Stockholm,
Sweden, is a university
which specializes in
medicine. The company was
founded in 1810.</t>
  </si>
  <si>
    <t xml:space="preserve">ADVAXIS INC/KAROLINSKA INSTITUTET-STRATEGIC ALLIANCE</t>
  </si>
  <si>
    <t xml:space="preserve">Advaxis Inc (AI) and Karolinska Institutet (KI) formed a strategic alliance
to collaborate on research on allergic diseases.</t>
  </si>
  <si>
    <t xml:space="preserve">007624
48575T</t>
  </si>
  <si>
    <t xml:space="preserve">TRF Ltd
Sinofinn New Energy Investment</t>
  </si>
  <si>
    <t xml:space="preserve">Manufactures Industrial Equipments And Systems
Investment company</t>
  </si>
  <si>
    <t xml:space="preserve">TRF Ltd, headquartered in
Jharkand, manufactures
industrial equipments and
systems. The Company
provides services for
EPC/EPCM services, bulk
material handling systems,
coal beneficiation systems,
steel plant systems, coal
just injection systems, port
and yard equipment, steel
plant equipment, cock oven
equipment, bulk material
handling equipment. The
Company was founded in 1962.
Sinofinn New Energy Investment
Co Ltd is an investment
company, located in Shanghai,
China.</t>
  </si>
  <si>
    <t xml:space="preserve">TRF LTD/SINOFINN NEW ENERGY INVESTMENT CO LTD-STRATEGIC ALLIANCE</t>
  </si>
  <si>
    <t xml:space="preserve">TRF Ltd and Sinofinn New Energy Investment Co Ltd formed a strategic
alliance, to provide engineering and development services.</t>
  </si>
  <si>
    <t xml:space="preserve">87747Q
81307Y</t>
  </si>
  <si>
    <t xml:space="preserve">Elion Resources Group Co Ltd
TCL Corp</t>
  </si>
  <si>
    <t xml:space="preserve">Nursery and Tree Production
Mnfr,whl electn,commun prod</t>
  </si>
  <si>
    <t xml:space="preserve">Elion Resources Group Co Ltd
is a nursery production
establishment. It is engaged
in the planting, production,
and sale of herbal
medicines. The Company is
also in the construction
supply distribution
industry. The Company was
founded in February 2002 and
is located in Ordos, China.
TCL Corp, based in Huizhou,
China, manufactures and
wholesales electronic and
communication products. The
Company primarily offers
multimedia electronic
products such as liquid
crystal display (LCD)
televisions (TVs), cathode
ray tube (CRT) TVs, digital
versatile discs(DVDs) and
audiovisual (AV) products;
communication products such
as mobile phones under the
brand names of TCL and
ALCATEL; home appliances
such as air conditioners and
compressors, and component
products such as high
frequency electronics,
batteries, discs and LCDs.
The company was founded in
Jan 1981.</t>
  </si>
  <si>
    <t xml:space="preserve">2833
3651</t>
  </si>
  <si>
    <t xml:space="preserve">ELION RESOURCES GROUP CO LTD/TCL CORP-JOINT VENTURE</t>
  </si>
  <si>
    <t xml:space="preserve">Elion Resources Group Co Ltd (ER) and TCL Corp (TC) signed letter of intent
to form a joint venture to provide mining technology research services.
Under the agreement, ER will acquire 50% interest in TC's majority-owned
unit, Xinjiang TCL Energy Co Ltd, for CNY 45 mil (USD 7.131 mil) in cash.
Upon completion, ER and TC were to each hold 50% interest in the JV.</t>
  </si>
  <si>
    <t xml:space="preserve">, ER will acquire 50% interest in TCs majority-owned unit for CNY 45 mil
(USD 7.131 mil) in cash</t>
  </si>
  <si>
    <t xml:space="preserve">28667L
87497T</t>
  </si>
  <si>
    <t xml:space="preserve">NexDx Inc
University of California</t>
  </si>
  <si>
    <t xml:space="preserve">Molecular diagnostics co
Colleges, Universities, and Professional Schools</t>
  </si>
  <si>
    <t xml:space="preserve">NexDx Inc, is a science driven
molecular diagnostics company,
headquartered in California,
United States. The company
provides next generation
products and services for
personalized medicine in
autoimmune diseases. The
company has the mission of
revolutionizing biomarkers'
quality and of tests available
for rheumatologists and
patients.
University of California is
a college operator. The
Company was founded in March
1868 and is located in
Oakland, California.</t>
  </si>
  <si>
    <t xml:space="preserve">NEXDX INC/UNIVERSITY OF CALIFORNIA-STRATEGIC ALLIANCE</t>
  </si>
  <si>
    <t xml:space="preserve">NexDx Inc (ND) and University of California (UC) formed a strategic
alliance to develop and commercialize epigenetics discoveries in rheumatoid
arthritis (RA) in United States. The original research was performed in the
laboratory of Gary S. Firestein, MD Professor of Medicine at UC San Diego
School of Medicine. The findings from this research will help ND to
discover novel DNA methylation biomarkers (patterns which can indicate if a
patient has RA or not).</t>
  </si>
  <si>
    <t xml:space="preserve">65944M
91591Z</t>
  </si>
  <si>
    <t xml:space="preserve">Seattle Genetics Inc
Millennium Pharmaceuticals Inc
Ventana Medical Systems Inc</t>
  </si>
  <si>
    <t xml:space="preserve">Manufactures biotechnology products
Biotechnology company
Mnfr,whl surgical,med equip</t>
  </si>
  <si>
    <t xml:space="preserve">Seattle Genetics Inc,
located in Bothell,
Washington, manufactures
biotechnology products. It
is a clinical stage
biotechnology company
focused on the development
and commercialization of
monoclonal antibody-based
therapies for the treatment
of cancer and autoimmune
disease. The Company was
founded on July 15, 1997.
Millennium Pharmaceuticals Inc
is a biotechnology company
headquartered in Cambridge,
Massachusetts. The company is
focused on the development
innovative treatment for
cancer. Its products include
VELCADE(R) (bortezomib) for
Injection and mifamurtide.
Ventana Medical Systems Inc,
located in Tucson, Arizona,
manufactures and wholesale
proprietary instrument/reagent
systems, surgical and medical
equipment that automate tissue
preparation and slide
staining. The company was
founded in 1985.</t>
  </si>
  <si>
    <t xml:space="preserve">2836
2836
3841</t>
  </si>
  <si>
    <t xml:space="preserve">WA
MA
AZ</t>
  </si>
  <si>
    <t xml:space="preserve">Seattle Genetics Inc
Takeda Pharmaceutical Co Ltd
Roche Holdings AG</t>
  </si>
  <si>
    <t xml:space="preserve">United States
Japan
Switzerland</t>
  </si>
  <si>
    <t xml:space="preserve">SEATTLE GENETICS INC/MILLENNIUM PHARMACEUTICALS INC/VENTANA MEDICAL SYSTEMS
INC-STRATEGIC ALLIANCE</t>
  </si>
  <si>
    <t xml:space="preserve">Seattle Genetics Inc (SG), Millennium Pharmaceuticals Inc (MP) and Ventana
Medical Systems Inc (VM) planned to form a strategic alliance to develop,
manufacture and commercialize diagnostic test to identify patients who
would best respond to the cancer drugAdcetris.</t>
  </si>
  <si>
    <t xml:space="preserve">812578
59987J
92276H</t>
  </si>
  <si>
    <t xml:space="preserve">Ford Motor Co
Dow Automotive Systems</t>
  </si>
  <si>
    <t xml:space="preserve">Mnfr,whl auto,trucks,auto part
Mnfr,whl plastics,adhesives</t>
  </si>
  <si>
    <t xml:space="preserve">Ford Motor Co, located in
Dearborn, Michigan,
manufactures and wholesales
automobiles, trucks,
automobile parts, industrial
trucks and tractors. The
company also provides
auto-financing services. It
was founded in 1903.
Dow Automotive, headquartered
in Auburn Hills, Michigan,
manufactures, develops and
wholesales plastics,
adhesives, sealants, vehicle
structure enhancements,
acoustical management
materials, films and fluids
for the global automotive
industry, serving tier, OEM
and aftermarket customers.</t>
  </si>
  <si>
    <t xml:space="preserve">3711
2821</t>
  </si>
  <si>
    <t xml:space="preserve">Ford Motor Co
The Dow Chemical Co</t>
  </si>
  <si>
    <t xml:space="preserve">FORD MOTOR CO/DOW AUTOMOTIVE SYSTEMS-JOINT VENTURE</t>
  </si>
  <si>
    <t xml:space="preserve">Ford Motor Co (FM) and Dow Automotive Systems (DA) plan to form a joint
venture to develop and produce carbon fibre for use in high-volume models.</t>
  </si>
  <si>
    <t xml:space="preserve">345370
42867Q</t>
  </si>
  <si>
    <t xml:space="preserve">Merck Sharp &amp; Dohme Corp
Endocyte Inc</t>
  </si>
  <si>
    <t xml:space="preserve">Merck Sharp &amp; Dohme Corp,
located in Kenilworth, New
Jersey, is a manufacturer of
pharmaceutical preparation.
It is focused on researching
on hepatitis C, HIV,
diabetes and
immuno-oncology. The Company
was founded in 1891.
Endocyte Inc, headquartered
in West Lafayette, Indiana,
is a biopharmaceutical
company. It develops
targeted therapies for the
treatment of cancer and
inflammatory diseases. It
uses its technology to
create small molecule drug
conjugates (SMDCs) and
companion imaging
diagnostics. Its pipeline
includes Folate-Tubulysin
(EC1456), PSMA Tubulysin
(EC1169), Vintafolide
(Folate DAVLBH), Folate-DNA
alkylator (EC1788),
Folate-Aminopterin (EC1669)
and Folate-mTor inhibitor
(EC0371). The Company was
founded in 1995.</t>
  </si>
  <si>
    <t xml:space="preserve">Merck &amp; Co Inc
Endocyte Inc</t>
  </si>
  <si>
    <t xml:space="preserve">MERCK &amp; CO INC/ENDOCYTE INC-STRATEGIC ALLIANCE</t>
  </si>
  <si>
    <t xml:space="preserve">Merck &amp; Co Inc (MC) and Endocyte Inc (EI) formed a strategic alliance to
develop and commercialize EI's vintafolide (EC145). Under the alliance, MC
was granted rights to develop and commercialize the drug worldwide which
will entitle EI to receive USD 120 mil upfront payment. EI is also eligible
to receive up to USD 880 mil $880 million based on the achievement of
development, regulatory and commercialization goals for vintafolide.</t>
  </si>
  <si>
    <t xml:space="preserve">EI to receive USD 120 mil upfront payment. EI is also eligible to receive
up to USD 880 mil $880 million based on the achievement of development,
regulatory and commercialization goals for vintafolide.</t>
  </si>
  <si>
    <t xml:space="preserve">U58933
29269A</t>
  </si>
  <si>
    <t xml:space="preserve">Vanda Pharmaceuticals Inc
Eli Lilly &amp; Co</t>
  </si>
  <si>
    <t xml:space="preserve">Biopharm co
Manufactures,wholesales pharmaceuticals</t>
  </si>
  <si>
    <t xml:space="preserve">Vanda Pharmaceuticals Inc,
headquartered in Washington,
DC, is a biopharmaceutical
company focused on the
development and
commercialization of
clinical-stage product
candidates for central nervous
system disorders. It was
founded in 2003.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</si>
  <si>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DC
IN</t>
  </si>
  <si>
    <t xml:space="preserve">VANDA PHARMACEUTICALS INC/ELI LILLY &amp; CO-STRATEGIC ALLIANCE</t>
  </si>
  <si>
    <t xml:space="preserve">Vanda Pharmaceuticals Inc (VP) and Eli Lilly Co (EL) planned to form a
strategic alliance under which VP was granted license to develop the
VLY-686 drug for the treatment of alcohol addiction. EL was entitled to
receive USD 1 mil as initial license fee and additional payments based upon
certain milestones and royalties on sales.</t>
  </si>
  <si>
    <t xml:space="preserve">EL was entitled to receive USD 1 mil as initial license fee and additional
payments based upon certain milestones and royalties on sales.</t>
  </si>
  <si>
    <t xml:space="preserve">921659
532457</t>
  </si>
  <si>
    <t xml:space="preserve">CAE Inc
MOFB</t>
  </si>
  <si>
    <t xml:space="preserve">Provides professional training services
National agency</t>
  </si>
  <si>
    <t xml:space="preserve">CAE Inc, located in
Saint-Laurent, Canada,
provides professional
training services for the
civil aviation, defense and
security, and healthcare
markets. It operates through
three segments: Civil
Aviation Training Solutions,
Defense and Security, and
Healthcare. It offers
training solutions for
flight, cabin, maintenance
and ground personnel in
commercial, business and
helicopter aviation, a range
of flight simulation
training devices, as well as
ab initio pilot training and
crew sourcing services. It
is a training systems
integrator for defense
forces across the air, land
and sea domains, and for
government and civil
security organizations
responsible for public
safety. It also designs,
manufactures and markets
simulators, simulation
center management solutions
and courseware for training
of medical and allied
healthcare students and
clinicians in educational
institutions, hospitals and
defense organizations across
the world. The Company was
founded in 1947.
Ministry of Finance of Brunei
Darussalam is a national
government agency
headquartered in Bandar Seri
Begawan, Brunei.</t>
  </si>
  <si>
    <t xml:space="preserve">8299
999B</t>
  </si>
  <si>
    <t xml:space="preserve">Canada
Brunei</t>
  </si>
  <si>
    <t xml:space="preserve">CAE Inc
Brunei Darusalam</t>
  </si>
  <si>
    <t xml:space="preserve">8299
1541</t>
  </si>
  <si>
    <t xml:space="preserve">CAE INC/MINISTRY OF FINANCE OF BRUNEI DARUSSALAM-JOINT VENTURE</t>
  </si>
  <si>
    <t xml:space="preserve">Brunei</t>
  </si>
  <si>
    <t xml:space="preserve">CAE (CA) and the Ministry of Finance of Brunei Darussalam (MF) agreed to
form a 60:40 joint venture to develop and operate the CAE Brunei
Multi-Purpose Training Centre or MPTC in Brunei.</t>
  </si>
  <si>
    <t xml:space="preserve">Research &amp; Development Services
Management Services
Educational Services</t>
  </si>
  <si>
    <t xml:space="preserve">124765
11690F</t>
  </si>
  <si>
    <t xml:space="preserve">FivePrime Therapeutics Inc
GlaxoSmithKline PLC</t>
  </si>
  <si>
    <t xml:space="preserve">FIVEPRIME THERAPEUTICS INC/GLAXOSMITHKLINE PLC-STRATEGIC ALLIANCE</t>
  </si>
  <si>
    <t xml:space="preserve">Five Prime Therapeutics, Inc (FP) and GlaxoSmithKline PLC (GP) formed a
strategic alliance to identify and develop first-in-class agents and new
mechanisms relevant to refractory asthma and chronic obstructive pulmonary
disease. Under the alliance, GP was granted access to FP's comprehensive,
proprietary collection of functional human secreted proteins and
transmembrane receptor proteins and FivePrime will apply its technology
platforms to identify and validate potential drug targets and drug
candidates. FP is eligible to receive USD 30 mil as upfront payments. GP
has the option to exclusively license selected targets discovered by FP in
the collaboration which will then entitle FP to receive up to USD 193.5 mil
potential option exercise fees and milestone payments, as well as tiered
royalties on global net sales.</t>
  </si>
  <si>
    <t xml:space="preserve">FP is eligible to receive USD 30 mil as upfront payments. GP has the option
to exclusively license selected targets discovered by FP in the
collaboration which will then entitle FP to receive up to USD 193.5 mil
potential option exercise fees and milestone payments, as well as tiered
royalties on global net sales.</t>
  </si>
  <si>
    <t xml:space="preserve">33844N
37733W</t>
  </si>
  <si>
    <t xml:space="preserve">Virgin Galactic LLC
Aabar Investments PJSC</t>
  </si>
  <si>
    <t xml:space="preserve">Provides commercial space travel services
Miscellaneous Intermediation</t>
  </si>
  <si>
    <t xml:space="preserve">Virgin Galactic LLC, located
in Mojave, California,
provides commercial space
travel services. It has two
carrier aircraft namely
SpaceShipTwo and
WhiteKnightTwo, manufactured
by its subsidiary, The
Spaceship Company. The Company
was founded in 2004.
Aabar Investments PJSC,
located in Abu Dhabi, United
Arab Emirates, is an
investment company. It has
interests in oil and gas
exploration and production
companies, real estate
properties and financial
institutions. The Company
was founded, March 2005.</t>
  </si>
  <si>
    <t xml:space="preserve">4729
6799</t>
  </si>
  <si>
    <t xml:space="preserve">Virgin Group Ltd
Mubadala Invest Co PJSC</t>
  </si>
  <si>
    <t xml:space="preserve">VIRGIN GALACTIC LLC/AABAR INVESTMENTS PJSC-JOINT VENTURE</t>
  </si>
  <si>
    <t xml:space="preserve">Virgin Galactic LLC (VI) and Aabar Investments PJSC (AA) planned to form a
joint venture (JV) to provide tourism and scientific research space flights
services in United Arab Emirates.</t>
  </si>
  <si>
    <t xml:space="preserve">Transportation (Air) Services
Research &amp; Development Services</t>
  </si>
  <si>
    <t xml:space="preserve">92500W
05127P</t>
  </si>
  <si>
    <t xml:space="preserve">Gazprom
Novatek International Inc</t>
  </si>
  <si>
    <t xml:space="preserve">Oil,gas exploration,prodn co
Mnfr,whl oil drilling mach</t>
  </si>
  <si>
    <t xml:space="preserve">Gazprom PAO, located in
Moscow, Russian Federation, is
a holding company engaged in
oil and gas exploration and
production and focused on
geological exploration,
production, transportation,
storage, processing and
marketing of gas and other
hydrocarbons. The Company was
founded in February 1993.
Manufacture and wholesale oil
field drilling tools</t>
  </si>
  <si>
    <t xml:space="preserve">1311
3533</t>
  </si>
  <si>
    <t xml:space="preserve">OAO NOVATEK/OAO GAZPROM-JOINT VENTURE</t>
  </si>
  <si>
    <t xml:space="preserve">OAO Novatek (ON) and OAO Gazprom (OG) agreed to form a 50:50 joint venture
to formulate, approve, and operate an integrated program for developing
their hydrocarbon resources on the Gydan peninsula.</t>
  </si>
  <si>
    <t xml:space="preserve">36828E
67167H</t>
  </si>
  <si>
    <t xml:space="preserve">Faurecia SA
Howa Textile Industry Co Ltd</t>
  </si>
  <si>
    <t xml:space="preserve">All Other Motor Vehicle Parts Manufacturing
Mnfr,whl motor interior parts</t>
  </si>
  <si>
    <t xml:space="preserve">Faurecia SA, located in
Nanterre, France,
manufactures and wholesales
motor vehicle parts,
specializing in car seats,
cockpits, doors, acoustic
packages, front end, and
exhaust systems. The Group
operates under four major
segments, automotive
seating, vehicle interiors,
exhaust systems and front
end. The Company was founded
in 1997.
Howa Textile Industry Co Ltd,
based in Aichi, Japan, the
company is a producer and
wholesaler of automotive
interior parts and textile
products. The company was
established in 1955.</t>
  </si>
  <si>
    <t xml:space="preserve">3714
2396</t>
  </si>
  <si>
    <t xml:space="preserve">FUARECIA SA/HOWA TEXTILE INDUSTRY CO-JOINT VENTURE</t>
  </si>
  <si>
    <t xml:space="preserve">Faurecia SA (FS) and Howa Textile Industry Co Ltd (HT) agreed to form a
50:50 joint venture to develop and manufacture vehicle interior systems
such as door panels, in-vehicle insulation, soft trim, and roof trim in
Atsugi, Japan.</t>
  </si>
  <si>
    <t xml:space="preserve">F3445A
44249Z</t>
  </si>
  <si>
    <t xml:space="preserve">Metabolon Inc
Takeda Pharmaceutical Co Ltd</t>
  </si>
  <si>
    <t xml:space="preserve">Research and Development in Biotechnology
Mnfr,whl pharmaceutical prod</t>
  </si>
  <si>
    <t xml:space="preserve">Metabolon Inc, located in
Morrisville, North Carolina,
provides biochemical
profiling services. Its
services include
metabolomics-driven
biocehmical profiling,
pharmacuetical and
biotechnology research,
diagnostics and various
metabolomic-related consumer
products. The Company was
founded in 2000.
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t>
  </si>
  <si>
    <t xml:space="preserve">METABOLON INC/TAKEDA PHARMACEUTICAL CO LTD-STRATEGIC ALLIANCE</t>
  </si>
  <si>
    <t xml:space="preserve">Metabolon Inc (MI) and Takeda Pharmaceutical Co Ltd (TP) formed a strategic
alliance for the research and development of therapeutic targets and
biomarkers.</t>
  </si>
  <si>
    <t xml:space="preserve">59223M
874058</t>
  </si>
  <si>
    <t xml:space="preserve">Biovest International Inc
US Army Med Research Inst</t>
  </si>
  <si>
    <t xml:space="preserve">Biovest International Inc,
located in Tampa, Florida is a
biotechnology company. It
operates through three
segments: Cell Culture
Products and Services segment,
Instruments and Disposables
segment and Therapeutic
Vaccine. The Companys Cell
Culture Products and Services
segment is engaged in the
production and contract
manufacturing of biologic
drugs and cell production for
research institutions
worldwide. The Instruments and
Disposables segment is engaged
in the development,
manufacture and marketing of
patented cell culture systems,
equipment and consumable parts
to pharmaceutical, diagnostic
and biotechnology companies,
as well as research
institutions worldwide. The
Therapeutic Vaccine segment is
focused on developing
BiovaxID.
Provide cutting-edge medical
research services for the
warfighter against biological
threats of medical solutions</t>
  </si>
  <si>
    <t xml:space="preserve">Accentia Biopharmaceuticals
United States of America</t>
  </si>
  <si>
    <t xml:space="preserve">BIOVEST INTERNATIONAL INC/US ARMY MEDICAL RESEARCH INSTITUTE OF INFECTIOUS
DISEASES-STRATEGIC ALLIANCE</t>
  </si>
  <si>
    <t xml:space="preserve">Biovest International, Inc (BI) and the U.S. Army Medical Research
Institute of Infectious Diseases (US) formed a strategic alliance to
develop BI's hollow fiber perfusion bioreactors. Under the agreement, the
alliance will develop the hollow fiber perfusion bioreactors as a flexible
and modular manufacturing platform for the rapid and cost-effective
production of vaccines, virus-like particles (VLPs) and antibodies for
treatment and prevention of filovirus diseases including those caused by
Ebola and Marburg viruses.</t>
  </si>
  <si>
    <t xml:space="preserve">09069L
91157E</t>
  </si>
  <si>
    <t xml:space="preserve">Bayer AG
Amgen Inc</t>
  </si>
  <si>
    <t xml:space="preserve">Manufacture and Wholesale Chemicals &amp; Pharmaceuticals
Manufacture human therapeutics</t>
  </si>
  <si>
    <t xml:space="preserve">Bayer AG, located in
Leverkusen, Germany,
manufactures organic
chemicals. The Company was
founded in August 1863.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</si>
  <si>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BAYER AG/AMGEN INC-STRATEGIC ALLIANCE</t>
  </si>
  <si>
    <t xml:space="preserve">Bayer AG (BA) and Amgen Inc (AI) planned to form a strategic alliance to
develop and commercialize new antibody for cancer treatment. Under the
alliance, alliance, BA will be in charged of the further development and
commercialization of the drug.</t>
  </si>
  <si>
    <t xml:space="preserve">072730
031162</t>
  </si>
  <si>
    <t xml:space="preserve">JDRF
Dexcom Inc</t>
  </si>
  <si>
    <t xml:space="preserve">Mnfr pharmaceuticals
Manufacture medical device</t>
  </si>
  <si>
    <t xml:space="preserve">Juvenile Diabetes Research
Foundation Ltd{JDRF}, located
in London, UK, manufactures
pharmaceuticals. The company
is a non-profit organization
dedicated to the cure of type
1 diabetes.
Dexcom Inc, located in San
Diego, California, is a
medical device company
focused on the design and
development of continuous
glucose monitoring systems
for people with diabetes. It
offers FDA approved
Short-Term Continuous
Glucose Monitoring System
(STS), which includes a
disposable sensor that can
be inserted by a patient and
used continuously for up to
three days, a transmitter,
and a small cell phone-sized
receiver. The Company was
founded in 1999.</t>
  </si>
  <si>
    <t xml:space="preserve">JDRF/DEXCOM INC-STRATEGIC ALLIANCE</t>
  </si>
  <si>
    <t xml:space="preserve">JDRF (JD) and Dexcom, Inc (DI) formed a strategic alliance for the
development and manufacturing of wireless "smart transmitter" that would
allow a continuous glucose monitoring (CGM) systems to communicate directly
with an artificial pancreas control device.</t>
  </si>
  <si>
    <t xml:space="preserve">49009E
252131</t>
  </si>
  <si>
    <t xml:space="preserve">Novo Nordisk A/S
Oxford University</t>
  </si>
  <si>
    <t xml:space="preserve">Healthcare company
Own,op college,university</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</si>
  <si>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Oxford University, owns and
operates a
college/university. The
college/university is
headquartered in Oxford,
United Kingdom.</t>
  </si>
  <si>
    <t xml:space="preserve">2833
8221</t>
  </si>
  <si>
    <t xml:space="preserve">Novo Nordisk Foundation
Oxford University</t>
  </si>
  <si>
    <t xml:space="preserve">6732
8221</t>
  </si>
  <si>
    <t xml:space="preserve">NOVO NORDISK A/S/OXFORD UNIVERSITY-STRATEGIC ALLIANCE</t>
  </si>
  <si>
    <t xml:space="preserve">Novo Nordisk A/S (NN) and Oxford University (OU) formed a strategic
alliance to develop new drug candidates and identify novel biomarkers and
treatment targets for rheumatoid arthritis and other autoimmune
inflammatory diseases.</t>
  </si>
  <si>
    <t xml:space="preserve">670100
69182Y</t>
  </si>
  <si>
    <t xml:space="preserve">SICS
Telefonaktiebolaget LM</t>
  </si>
  <si>
    <t xml:space="preserve">Pvd research services
Provides telecommun services</t>
  </si>
  <si>
    <t xml:space="preserve">Swedish Institute of Computer
Science (SICS) is a leading
research institute for applied
computer science headquartered
in Sweden. SICS is a
non-profit-distributing
organization. It is actively
promoting the use of new
research ideas.. It was
founded in 1985.
Telefonaktiebolaget LM
Ericsson, located in
Stockholm, Sweden, provides
telecommunications services to
operators. It also
manufactures and wholesales
related telecommunications,
avionics and missile
electronics, defense
communications, mobile data
communications, signaling and
safety equipment and systems
that are offered to rail
traffic, street and highway,
power cables, copper and
aluminum wires industries. It
has operations in Europe,
Middle East, Africa, Asia
Pacific, North America and
Latin America. The Company was
founded in 1876.</t>
  </si>
  <si>
    <t xml:space="preserve">7371
4812</t>
  </si>
  <si>
    <t xml:space="preserve">SWEDISH INSTITUTE OF COMPUTER SCIENCE/TELEFONAKTIEBOLAGET LM ERICSSON-JOINT
VENTURE</t>
  </si>
  <si>
    <t xml:space="preserve">Swedish Institue of Computer Sciences (SI) and Telefonaktiebolaget LM
Ericsson (TE) plan to start a long-term joint program product research
laboratory in Kista, Sweden. The purpose of the laboratory is to develop
advanced program product technology for telecom systems. The transaction is
subject to necessary approval/s.</t>
  </si>
  <si>
    <t xml:space="preserve">78191Y
294821</t>
  </si>
  <si>
    <t xml:space="preserve">PRA International
Amgen Inc</t>
  </si>
  <si>
    <t xml:space="preserve">Pvd clinical research svcs
Manufacture human therapeutics</t>
  </si>
  <si>
    <t xml:space="preserve">PRA International, located in
Reston, Virginia, provides
clinical drug research and
development services on a
worldwide basis primarily to
the pharmaceutical and
biotechnology industries. The
company was founded in 1982.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</si>
  <si>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Genstar Capital LLC
Amgen Inc</t>
  </si>
  <si>
    <t xml:space="preserve">PRA INTERNATIONAL/AMGEN INC-STRATEGIC ALLIANCE</t>
  </si>
  <si>
    <t xml:space="preserve">PRA International (PI) and Amgen Inc (AI) planned to form a strategic
alliance for the research and development of several biosimilar drugs.</t>
  </si>
  <si>
    <t xml:space="preserve">69353C
031162</t>
  </si>
  <si>
    <t xml:space="preserve">Southern Research Institute
Apath LLC</t>
  </si>
  <si>
    <t xml:space="preserve">Pvd research,development svcs
Mnfr pharmaceuticals</t>
  </si>
  <si>
    <t xml:space="preserve">Southern Research Institute,
located in Birmingham,
Alabama, provide research and
development services with
innovative leadership in major
scientific discoveries in drug
discovery and development,
engineering, aerospace,
materials, chemical and
biological defense, and
environment and energy
research.
Manufacture prescription
pharmaceuticals intended for
final consumption, including
biotech products and
antibiotics</t>
  </si>
  <si>
    <t xml:space="preserve">AL
NY</t>
  </si>
  <si>
    <t xml:space="preserve">SOUTHERN RESEARCH INSTITUTE/APATH LLC-STRATEGIC ALLIANCE</t>
  </si>
  <si>
    <t xml:space="preserve">Southern Research Institute (SR) and Apath, LLC (AL) formed a strategic
alliance to conduct laboratory testing, research, and/or screening of
potential therapeutic agents for hepatitis C (HCV).</t>
  </si>
  <si>
    <t xml:space="preserve">84377P
00533X</t>
  </si>
  <si>
    <t xml:space="preserve">Denator AB
Erasmus Univ Med Center
Academic Medical Center</t>
  </si>
  <si>
    <t xml:space="preserve">Biotechnology company
Own,operate college,university
Research institution, hospital</t>
  </si>
  <si>
    <t xml:space="preserve">Denator AB, located in
Gothenburg, provides products
and solutions to life science
and clinical research markets.
The company was founded in
2004.
Erasmus University Medical
Center, located in Rotterdam,
the Netherlands, owns and
operates college and
university.
Academic Medical Center (AMC)
is one of the foremost
research institutions and one
of the largest hospitals in
Netherlands. It was founded in
1492. In 2010, AMC acquired
various prestigious personal
research grants, among which a
4 TOP grants, two VIDI-grants
and seven VENI-grants and
three clinical fellowships and
three AGIKO grants.</t>
  </si>
  <si>
    <t xml:space="preserve">2836
8221
8733</t>
  </si>
  <si>
    <t xml:space="preserve">Sweden
Netherlands
Netherlands</t>
  </si>
  <si>
    <t xml:space="preserve">DENATOR AB/ERASMUS UNIVERSITY MEDICAL CENTER ROTTERDAM/ACADEMIC MEDICAL
CENTER-STRATEGIC ALLIANCE</t>
  </si>
  <si>
    <t xml:space="preserve">Denator AB (DN), Erasmus University Medical Center Rotterdam (EU) and
Academic Medical Center (AC) formed a strategic partnership to develop a
biomarker discovery platform for cancer diagnostics.</t>
  </si>
  <si>
    <t xml:space="preserve">24883F
29616T
02018A</t>
  </si>
  <si>
    <t xml:space="preserve">AstraZeneca PLC
The Medicines Co</t>
  </si>
  <si>
    <t xml:space="preserve">Manufactures, wholesales pharmaceutical products
Pharmaceutical Preparation Manufacturing</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</si>
  <si>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The Medicines Co, located in
Parsipanny, New Jersey, is a
manufacturer of
pharmaceutical preparation.
The Company was founded in
1996.</t>
  </si>
  <si>
    <t xml:space="preserve">ASTRAZENECA PLC/MEDICINES CO-STRATEGIC ALLIANC E</t>
  </si>
  <si>
    <t xml:space="preserve">AstraZeneca PLC (AP) and Medicines Co (MC) planned to form a strategic
alliance to develop and commercialize cute ischemic heart disease
compounds. Under the agreement, MC will co-promote AP's Brilinta in the US
for four years. AP will pay MC USD 15 mil per year for the
commercialization and additional USD 5 mil if specific performance
thresholds are met. MC and AP will also collaborate on the development of
MC's thrombin inhibitor Angiomax (bivalirudin) as well for investigational
drug cangrelor.</t>
  </si>
  <si>
    <t xml:space="preserve">MC will co-promote AP's Brilinta in the US for four years. AP will pay MC
USD 15 mil per year for the commercialization and additional USD 5 mil if
specific performance thresholds are met.</t>
  </si>
  <si>
    <t xml:space="preserve">046353
584688</t>
  </si>
  <si>
    <t xml:space="preserve">XRF Scientific Ltd
Scott Technology Ltd</t>
  </si>
  <si>
    <t xml:space="preserve">Mnfr,whl scientific instruments
Mnfr scale automation systems</t>
  </si>
  <si>
    <t xml:space="preserve">XRF Scientific Ltd, located in
Osborne Park, Australia,
manufactures and wholesales
instrumentation for the
scientific and analytical
industries, specialized
chemicals for x-ray and other
analysis and precious metal
products and technical
support; company's technology
is used to measure the
composition and purity of
materials and is mainly
applied in industrial quality
control and in process control
for manufacturing processes in
industries such as metals and
mining, construction
materials, chemicals and
petrochemicals.
Scott Technology Ltd,
headquartered in Dunedin,
New Zealand, manufactures
large scale automation
systems for the major
domestic appliance
industries such as coil
processors, integrated
fabrication and assembly
facilities. It is also
engaged in the design and
manufacture of automated
production and process
machinery. It operates in
New Zealand from Dunedin,
Christchurch, Wellington and
Auckland. Its permanent
sales and service offices
are located in Dallas-USA,
Bergamo-Italy,
Shanghai-China,
Qingdao-China and
Sydney-Australia. The
Company was founded in 1913.</t>
  </si>
  <si>
    <t xml:space="preserve">2899
3559</t>
  </si>
  <si>
    <t xml:space="preserve">Australia
New Zealand</t>
  </si>
  <si>
    <t xml:space="preserve">XRF SCIENTIFIC LTD/SCOTT TECHNOLOGY LTD-JOINT VENTURE</t>
  </si>
  <si>
    <t xml:space="preserve">XRF Scientific Ltd (XS) and Scott Technology Ltd (ST) agreed to form a
joint venture named XRock Automation Pty Ltd to develop and promote mining
automated systems. XS and ST were to each hold 50% interest in the JV.</t>
  </si>
  <si>
    <t xml:space="preserve">98564X
Q8381G</t>
  </si>
  <si>
    <t xml:space="preserve">Warburg Pincus LLC
Brian Carr
Undisclosed JV Partner</t>
  </si>
  <si>
    <t xml:space="preserve">Private Equity Firm
Individual
Investment company</t>
  </si>
  <si>
    <t xml:space="preserve">Warburg Pincus LLC, located
in New York City, New York,
is a private equity firm. It
invests in healthcare,
technology, media and
telecommunications (TMT),
financial services, energy,
and industrial and business
services. It operates from
14 offices in 11 countries.
It is also a holding
company. The Company was
founded in 1939.
Brian Carr is a veteran in
clinical laboratory industry.
He started gaining knowledge
about the industry in Allied
Clinical Laboratories where he
was the company's
representative on the American
Clinical Laboratory
Association's legislative and
regulatory committee. He
co-founded the following
laboratory companies where he
also served as the CEO:
Regional Diagnostic
Laboratories Inc; InformDX;
American Estoric Laboratories;
and OralDNA Labs. He also
served as a president of
AmeriPath. He also serves as
an independent director for
SBA Communications
Corporation.
Investment company</t>
  </si>
  <si>
    <t xml:space="preserve">NY
DE
FF</t>
  </si>
  <si>
    <t xml:space="preserve">WARBURG PINCUS LLC/BRIAN CARR/UNDISCLOSED JOINT VENTURE PARTNER-JOINT
VENTURE</t>
  </si>
  <si>
    <t xml:space="preserve">Warburg Pincus LLC (WP), Mr Brian Carr (BC) and an undisclosed laboratory
executive team formed a joint venture, Regional Diagnostic Laboratories Inc
(RDXLabs) to invest in partnerships for outreach laboratories. The joint
venture will be located in Tennessee. WP will invest USD 250 mil in the
joint venture as capital.</t>
  </si>
  <si>
    <t xml:space="preserve">Funding Services
Hospital &amp; Clinical Services
Research &amp; Development Services</t>
  </si>
  <si>
    <t xml:space="preserve">Warburg Pincus LLC will invest USD 250 mil as capital.</t>
  </si>
  <si>
    <t xml:space="preserve">93402J
10775R
904JVP</t>
  </si>
  <si>
    <t xml:space="preserve">GlaxoSmithKline PLC
Yale University</t>
  </si>
  <si>
    <t xml:space="preserve">Pharmaceutical Preparation Manufacturing
Own,op university</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</si>
  <si>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Yale University, located in
New Haven, Connecticut, owns
and operates university.</t>
  </si>
  <si>
    <t xml:space="preserve">FF
CT</t>
  </si>
  <si>
    <t xml:space="preserve">GLAXOSMITHKLINE PLC/YALE UNIVERSITY-STRATEGIC ALLIANCE</t>
  </si>
  <si>
    <t xml:space="preserve">GlaxoSmithKline PLC (GS) and Yale University (YU) formed a strategic
alliance to develop new class medicines that degrade disease-causing
proteins. Under the alliance, GS and YU will collaborate to prove that
PROTACs can be turned into future medicines. GS will then have the right to
use this technology for multiple disease-causing proteins across all
therapy areas.</t>
  </si>
  <si>
    <t xml:space="preserve">37733W
98458R</t>
  </si>
  <si>
    <t xml:space="preserve">AnaptysBio Inc
Gilead Sciences Inc</t>
  </si>
  <si>
    <t xml:space="preserve">dvlp therapeutic antibody prod
Biotechnology company</t>
  </si>
  <si>
    <t xml:space="preserve">AnaptysBio Inc, a
biopharmaceutical product
company, develops therapeutic
antibody products. It offers
SHM-Platform, an antibody
platform that generates
therapeutic antibodies; and
somatic hypermutation for
antibody discovery and protein
optimization. The company is
located at California and was
founded in 2005.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</si>
  <si>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ANAPTYSBIO INC/GILEAD SCIENCES INC-STRATEGIC ALLIANCE</t>
  </si>
  <si>
    <t xml:space="preserve">AnaptysBio Inc (AB) and Gilead Sciences Inc (GS) planned to form a
strategic alliance to generate novel therapeutic antibodies in California.
GS has paid an undisclosed upfront fee to AB and will also provide for the
research funding. GS will also give AB development milestones payments and
royalties for each product sale. The transaction is subject to necessary
approval/s.</t>
  </si>
  <si>
    <t xml:space="preserve">03146X
375558</t>
  </si>
  <si>
    <t xml:space="preserve">Genomic Health Inc
OncoMed Pharmaceuticals Inc</t>
  </si>
  <si>
    <t xml:space="preserve">Provides genomic-based diagnostic tests services
Biotechnology company</t>
  </si>
  <si>
    <t xml:space="preserve">Genomic Health Inc, located
in Redwood City, California,
provides genomic-based
diagnostic tests services
that address both the
overtreatment and optimal
treatment of early and late
stage cancer. It develops
and commercializes
genomic-based clinical
laboratory services. Its
Oncotype IQ Genomic
Intelligence Platform is
consisted of its flagship
line of Oncotype DX gene
expression tests, as well as
its Oncotype SEQ Liquid
Select test. Its research
and development activities
are focused on developing a
pipeline of tests to
optimize the treatment of
various cancers including
breast, colon, prostate and
other cancers. It offers its
Oncotype DX tests as a
clinical laboratory service,
where it analyzes the
expression levels of genes
in tumor tissue samples and
provides physicians with a
quantitative gene expression
profile expressed as a
single quantitative score,
which it calls a Recurrence
Score for invasive breast
cancer and colon cancer, a
DCIS Score for ductal
carcinoma in situ (DCIS),
and a Genomic Prostate
Score, for prostate cancer.
The Company was founded in
August 2000.
OncoMed Pharmaceuticals Inc,
located in Redwood City,
California, is a
biotechnology company
dedicated to improving
cancer treatment, by
developing monoclonal
antibodies that target the
biologic pathways critical
to tumor initiating cells,
also known as "cancer stem
cells". The company was
founded on 2004.</t>
  </si>
  <si>
    <t xml:space="preserve">GENOMIC HEALTH INC/ONCOMED PHARMACEUTICALS INC-STRATEGIC ALLIANCE</t>
  </si>
  <si>
    <t xml:space="preserve">Genomic Health Inc and OncoMed Pharmaceuticals Inc formed a strategic
alliance, to identify biomarkers that can be applied to the clinical
development of OncoMed's novel antibody cancer therapeutics.</t>
  </si>
  <si>
    <t xml:space="preserve">37244C
68234X</t>
  </si>
  <si>
    <t xml:space="preserve">Abbott Labs
Syngene International Ltd</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</si>
  <si>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Syngene International Ltd,
located in Bangalore, India
is a biotechnology company
involved in discovery and
development of drug for
pharmaceutical,
biotechnology, chemical and
agrochemical industries and
capabilities in medicinal
chemistry, biology, in vivo
pharmacology, toxicology,
custom synthesis, process
Research and Development,
and formulation development
for small and large
molecules. The company was
founded in 1994.</t>
  </si>
  <si>
    <t xml:space="preserve">Abbott Labs
Biocon Ltd</t>
  </si>
  <si>
    <t xml:space="preserve">ABBOTT LABORATORIES/SYNGENE INTERNATIONAL PVT LTD-JOINT VENTURE</t>
  </si>
  <si>
    <t xml:space="preserve">Abbott Laboratories (AL) and Syngene International Pvt Ltd (SI) planned to
form a joint venture named Abbott Nutrition R&amp;D Center in India. The JV
will focus on the development for maternal and child nutrition and diabetes
care.</t>
  </si>
  <si>
    <t xml:space="preserve">002824
90872Q</t>
  </si>
  <si>
    <t xml:space="preserve">Oce Business Services Inc
Memjet Ltd</t>
  </si>
  <si>
    <t xml:space="preserve">Pvd doc management services
Pvd color printing tech solns</t>
  </si>
  <si>
    <t xml:space="preserve">Oce Business Services Inc,
located in New York, New York
and with operations in other
parts of the US, Canada,
Europe, and the Philippines,
is a provider of outsourced
document process management
services and technology to
large and mid-sized
enterprises, law firms,
educational institutions, and
the public sector in North
America. The company was
founded in 1959.
Memjet Ltd, provides color
printing technology solutions
in Africa, Americas,
Asia/Pacific, Central
Europe/Russia, the Middle
East, and Western Europe. The
company is engaged in Home and
Office Printing, Label
Printing, Wide Format
printing, Photo retail. The
company is based in San Diego,
California with additional
offices in Dublin, Ireland,
Boise, Idaho, Sydney, Taipei,
and Singapore. Founded in
1994.</t>
  </si>
  <si>
    <t xml:space="preserve">8741
2759</t>
  </si>
  <si>
    <t xml:space="preserve">Canon Inc
Memjet Ltd</t>
  </si>
  <si>
    <t xml:space="preserve">3861
2759</t>
  </si>
  <si>
    <t xml:space="preserve">OCE BUSINESS SERVICES INC/MEMJET LTD-STRATEGIC ALLIANCE</t>
  </si>
  <si>
    <t xml:space="preserve">Oce Business Services Inc (OB) and Memjet Ltd (ML) agreed to form a
strategic alliance to develop a fundamentally new, large format color
printer.</t>
  </si>
  <si>
    <t xml:space="preserve">67528R
55780K</t>
  </si>
  <si>
    <t xml:space="preserve">ALS Therapy Development
Regenesance BV</t>
  </si>
  <si>
    <t xml:space="preserve">ALS Therapy Development
Institute, located in
Cambridge, Massachusetts, ia s
biotechnology company focused
identifying novel disease
targets, discovering compounds
that may act against these
targets, and screening these
potential treatments toward
bringing viable therapeutics
to the clinic.
Regenesance BV, headquartered
in Netherlands, is a
biotechnology that focuses on
the development of drugs for
the treatment of acute and
chronic nervous system
disorders company . Its
products include membrane
attack complex inhibitors and
RGS 2064. The company was
founded in 2009.</t>
  </si>
  <si>
    <t xml:space="preserve">ALS THERAPY DEVELOPMENT INSTITUTE/REGENESANCE BV-STRATEGIC ALLIANCE</t>
  </si>
  <si>
    <t xml:space="preserve">ALS Therapy Development Institute (AI) and Regenesance BV (RB) formed a
strategic alliance to investigate a potential treatment for ALS (aka
Amyotrophic lateral sclerosis or Lou Gehrig's disease). The collaboration
will enable AI to screen novel compounds against a crucial pathway
implicated in the development and progression of ALS.</t>
  </si>
  <si>
    <t xml:space="preserve">01250K
76933T</t>
  </si>
  <si>
    <t xml:space="preserve">Pressure BioSciences Inc
LEAP Technologies Inc</t>
  </si>
  <si>
    <t xml:space="preserve">Manufactures PCT instruments
Pvd automated analysis</t>
  </si>
  <si>
    <t xml:space="preserve">Pressure BioSciences Inc,
located in South Easton,
Massachusetts, manufactures
and commercializes a
technology called Pressure
Cycling Technology (PCT).
PCT uses cycles of
hydrostatic pressure between
ambient and ultra-high
levels to control
bio-molecular interactions.
The Company was founded in
1978.
LEAP Technologies Inc, located
in Carrboro, North Carolina,
provider of automated
analytical processes for small
and large molecules in
extracted liquids, solids and
human, animal and plant
tissues, providing the precise
robotics and efficient sample
preparation required by modern
measurement techniques. The
company was founded in 1989.</t>
  </si>
  <si>
    <t xml:space="preserve">MA
NC</t>
  </si>
  <si>
    <t xml:space="preserve">PRESSURE BIOSCIENCES INC/LEAP TECHNOLOGIES INC-STRATEGIC ALLIANCE</t>
  </si>
  <si>
    <t xml:space="preserve">Pressure BioSciences, Inc (PB) and LEAP Technologies Inc (LT) formed a
strategic alliance to develop sample preparation system. Under the
alliance. it will combine PB's pressure cycling technology platform with
LT's robotics and lab automation equipment.</t>
  </si>
  <si>
    <t xml:space="preserve">74112E
51278Q</t>
  </si>
  <si>
    <t xml:space="preserve">Centre for Addiction and Menta
Province of Ontario
Lawrence Tanenbaum</t>
  </si>
  <si>
    <t xml:space="preserve">Mental health hospital
Regional govt
Individual</t>
  </si>
  <si>
    <t xml:space="preserve">Centre for Addiction and
Mental Health, headquartered
in Canada, is a mental health
and addiction teaching
hospital. The company offers
clinical care, research,
education, policy development
and health promotion services.
The company was founded in
1988.
Province of Ontario is a
regional government
headquartered in Ontario,
Canada.
Mr. Lawrence Tanenbaum,
located in Ontario, is an
individual investor. He is a
Canadian businessman and
chairman of Maple Leaf
Sports &amp; Entertainment.</t>
  </si>
  <si>
    <t xml:space="preserve">8063
999C
6799</t>
  </si>
  <si>
    <t xml:space="preserve">Canada
Canada
Canada</t>
  </si>
  <si>
    <t xml:space="preserve">Centre for Addiction and Menta
Canada
Lawrence Tanenbaum</t>
  </si>
  <si>
    <t xml:space="preserve">8063
999A
6799</t>
  </si>
  <si>
    <t xml:space="preserve">CENTRE FOR ADDICTION &amp; MENTAL HEALTH/PROVINCE OF ONTARIO/LAWRENCE
TANENBAUM-JOINT VENTURE</t>
  </si>
  <si>
    <t xml:space="preserve">Centre for Addiction and Mental Health (CA), the Ontario government (OG)
and Lawrence Tanenbaum (LT) formed a joint venture named Tanenbaum Centre
for Pharmacogenetics which will offer applications for addiction and mental
health, and will be part of the Campbell Family Mental Health Research
Institute. The JV will support to accelerate the time it takes to get
genetic information to physicians and patients in Ontario. The JV was to
have an investment of CAD 19 mil (USD 19.1 mil).</t>
  </si>
  <si>
    <t xml:space="preserve">The JV was to have an investment of CAD 19 mil (USD 19.1 mil).</t>
  </si>
  <si>
    <t xml:space="preserve">15598H
683234
52044K</t>
  </si>
  <si>
    <t xml:space="preserve">Aricent Inc
Mindspeed Technologies Inc</t>
  </si>
  <si>
    <t xml:space="preserve">Technology services company
Mnfr,whl networking solutions</t>
  </si>
  <si>
    <t xml:space="preserve">Aricent Inc, headquartered in
East Brunswick, New Jersey,
provides consulting, design
and engineering services. The
company offers product
development lifecycle
services, including strategy
and user research, design and
engineering, pre-launch
testing and post-launch
maintenance, and service
delivery and optimization; and
customer insights, product and
interaction design, software
engineering, systems
integration, testing, and
maintenance and support. The
company was founded in 1991.
Mindspeed Technologies Inc,
located in Newport Beach,
California, manufacture,
develop and wholesale of
semiconductor networking
solutions for applications in
communications such as
broadband optical transmission
and VoIP in enterprise and
wide area networks. The
company was founded in 2001.</t>
  </si>
  <si>
    <t xml:space="preserve">ARICENT INC/MINDSPEED TECHNOLOGIES INC-STRATEGIC ALLIANCE</t>
  </si>
  <si>
    <t xml:space="preserve">Aricent Inc (AI) and Mindspeed Technologies Inc (MT) formed a strategic
alliance to jointly launch the LTE eNodeB reference framework. The
carrier-class product is a complete solution design, from RF interface
through S1 and X2 interfaces and includes Aricent base station software
stacks integrated with Mindspeed baseband and silicon.</t>
  </si>
  <si>
    <t xml:space="preserve">03621M
602682</t>
  </si>
  <si>
    <t xml:space="preserve">McCann Enterprise
SG Blocks Inc</t>
  </si>
  <si>
    <t xml:space="preserve">Provide B2B solutions
Construction company</t>
  </si>
  <si>
    <t xml:space="preserve">McCann Enterprise provides
business-to-business network
dedicated in delivering
corporate, enterprise and B2B
solutions. Some of the
company's clients include:
Nestle Professional, Merck
Animal Health, Old Mutual,
Toshiba, Tata, Akzo Nobel,
Exxon Mobil, Fiberweb,
Kimberly-Clark and Deloitte.
The company is headquartered
in London with locations in
Munich, Singapore and Salt
lake City.
SG Blocks Inc is a
construction company,
headquartered in New York, New
York, US. The company uses
shipping containers that meets
building codes as its base
product and customize the
containers based on its client
specifications or
requirements. The company was
founded in 2007.</t>
  </si>
  <si>
    <t xml:space="preserve">8748
1522</t>
  </si>
  <si>
    <t xml:space="preserve">Interpublic Group Of Cos Inc
SG Blocks Inc</t>
  </si>
  <si>
    <t xml:space="preserve">7311
5031</t>
  </si>
  <si>
    <t xml:space="preserve">MCCANN ENTERPRISE/SG BLOCKS INC-STRATEGIC ALLIANCE</t>
  </si>
  <si>
    <t xml:space="preserve">McCann Enterprise (MC) and SG Blocks Inc (SB) formed a strategic alliance
to jointly implement a sales, product design, and brand enhancement
platform for current and prospective clients of both entities. The
companies will work together to develop and market individually tailored
building solutions including but not limited to mobile and temporary retail
construction, permanent store construction, event related structures, and
product showcasing.</t>
  </si>
  <si>
    <t xml:space="preserve">57955R
79032R</t>
  </si>
  <si>
    <t xml:space="preserve">eSolar Inc
Sanmina Corp</t>
  </si>
  <si>
    <t xml:space="preserve">Manufacture solar panels
Manufacture electric equipment</t>
  </si>
  <si>
    <t xml:space="preserve">eSolar Inc, located in
Pasadena, California,
manufactures solar panels that
reduces the cost of solar
thermal technology. The
company was founded in 2007.
Sanmina-SCI Corp,
headquartered in San Jose,
California, US, manufactures
customized and integrated
electronics for original
equipment manufacturers in
the computing, multimedia,
industrial, defense and
aerospace, medical and
automotive industries, and
provides integrated
manufacturing services.
Products include printed
circuit boards, printed
circuit board assemblies,
backplanes and backplane
assemblies, enclosures,
cable assemblies, precision
machine components, optical
modules, and memory modules.
Its services consist of
product design and
engineering, including
initial development,
detailed design,
preproduction services, and
manufacturing design; volume
manufacturing of complete
systems, components, and
subassemblies; final system
assembly and test; direct
order fulfillment and
logistic services; and
after-market product service
and support. The company was
founded in 1980.</t>
  </si>
  <si>
    <t xml:space="preserve">3674
3672</t>
  </si>
  <si>
    <t xml:space="preserve">ESOLAR INC/SANMINA-SCI CORP-STRATEGIC ALLIANCE</t>
  </si>
  <si>
    <t xml:space="preserve">eSolar Inc (EI) and Sanmina-SCI Corp (SS) formed a strategic alliance to
design, develop and manufacture concentrated solar power products.</t>
  </si>
  <si>
    <t xml:space="preserve">26748Y
800907</t>
  </si>
  <si>
    <t xml:space="preserve">ALS Therapy Development
Neurotune AG</t>
  </si>
  <si>
    <t xml:space="preserve">ALS Therapy Development
Institute, located in
Cambridge, Massachusetts, ia s
biotechnology company focused
identifying novel disease
targets, discovering compounds
that may act against these
targets, and screening these
potential treatments toward
bringing viable therapeutics
to the clinic.
Neurotune AG, headquartered in
Switzerland, is a clinical
stage private Biotech Company
dedicated to the Discovery and
Development of new diagnostics
and therapeutics in the field
of Nervous System Disorders.
The company was founded in
January 2005.</t>
  </si>
  <si>
    <t xml:space="preserve">ALS THERAPY DEVELOPMENT INSTITUTE/NEUROTUNE AG-STRATEGIC ALLIANCE</t>
  </si>
  <si>
    <t xml:space="preserve">ALS Therapy Development Institute (AT) and Neurotune AG (NA) formed a
strategic alliance for the research and development of potential treatment
for Amyotrophic lateral sclerosis .</t>
  </si>
  <si>
    <t xml:space="preserve">01250K
63352N</t>
  </si>
  <si>
    <t xml:space="preserve">Rainbow BioSciences LLC
Amarantus Biosciences Inc</t>
  </si>
  <si>
    <t xml:space="preserve">Provide biotechnology services
Biotechnology company</t>
  </si>
  <si>
    <t xml:space="preserve">Rainbow BioSciences LLC,
located in Miramar Beach,
Florida, provides
biotechnology services. The
company is focused on
identifying, developing and
marketing the next generation
of bioscience solutions for
physicians, researchers and
pharmaceutical engineers.
Amarantus Biosciences Inc,
headquartered in Sunnyvale,
California, is a
development-stage
biotechnology company. It
focuses on developing its
intellectual property and
technology to develop drug
candidates to treat human
disease. It owns the
intellectual property rights
to a therapeutic protein,
the
Mesencephalic-Astrocyte-deriv
ed Neurotrophic Factor
(MANF). Amarantus
Therapeutics Inc and JKIK
Acquisition Corp were the
company's wholly owned
Delaware subsidiary. It also
owns an inventory of 88 cell
lines that the Company
refers to as PhenoGuard Cell
Lines.</t>
  </si>
  <si>
    <t xml:space="preserve">Rainbow Coral Corp
Amarantus Biosciences Inc</t>
  </si>
  <si>
    <t xml:space="preserve">0273
2836</t>
  </si>
  <si>
    <t xml:space="preserve">RAINBOW BIOSCIENCES LLC/AMARANTUS BIOSCIENCES INC-JOINT VENTURE</t>
  </si>
  <si>
    <t xml:space="preserve">Rainbow Biosciences LLC (RB) and Amarantus Biosciences Inc (AB) signed
letter of intent to form joint venture for the research and development of
the potential cure for Parkinson's disease. RB and AB have agreed to a
60-day option period during which they will negotiate a possible deal for
RB to provide funding and expertise towards the development and marketing
of one or more of AB's projects.</t>
  </si>
  <si>
    <t xml:space="preserve">76928W
02300Q</t>
  </si>
  <si>
    <t xml:space="preserve">Avalanche Biotechnologies Inc
Lonza Group AG</t>
  </si>
  <si>
    <t xml:space="preserve">Avalanche Biotechnologies
Inc, headquartered in
California is a
biotechnology company that
develops technologies and
products for sustained
delivery of therapeutic
proteins to the eye to treat
wet age-related macular
degeneration (AMD), as well
as other ophthalmologic
disorders. The company was
founded in 2006.
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t>
  </si>
  <si>
    <t xml:space="preserve">AVALANCHE BIOTECHNOLOGIES INC/LONZA GROUP LTD-STRATEGIC ALLIANCE</t>
  </si>
  <si>
    <t xml:space="preserve">Ltd Avalanche Biotechnologies Inc (AB) and Lonza Group Ltd (LG) planned to
form a strategic alliance to manufacture adeno-associated viral (AAV)
vectors for gene therapy. The alliance will focus on the development and
high-yield production of AAV vectors.</t>
  </si>
  <si>
    <t xml:space="preserve">05337G
54338V</t>
  </si>
  <si>
    <t xml:space="preserve">Enzon Pharmaceuticals Inc
Zhejiang Hisun Pharm Co Ltd</t>
  </si>
  <si>
    <t xml:space="preserve">Enzon Pharmaceuticals Inc,
based in Bridgewater, New
Jersey, is a biopharmaceutical
company that develops,
manufactures and
commercializes medicines for
patients with cancer and other
life threatening diseases. Its
four marketed products include
Oncaspar, Depocyt, Abelcet and
Adagen. The company was
founded in 1981.
Zhejiang Hisun
Pharmaceutical Co Ltd is a
manufacturer and wholesaler
of pharmaceutical
preparation. The Company was
founded in 1956 and is
located in Taizhou, China.</t>
  </si>
  <si>
    <t xml:space="preserve">ENZON PHARMACEUTICALS INC/ZHEJIANG HISUN PHARMACEUTICALS CO LTD-STRATEGIC
ALLIANCE</t>
  </si>
  <si>
    <t xml:space="preserve">Enzon Pharmaceuticals Inc (EP) and Zhejiang Hisun Pharmaceuticals Co Ltd
(ZH) formed a strategic alliance to provide research and development
services for therapeutics and licensing services for both companies'
technologies in China.</t>
  </si>
  <si>
    <t xml:space="preserve">293904
Y9891W</t>
  </si>
  <si>
    <t xml:space="preserve">Ventac Partners LLC
GIBH</t>
  </si>
  <si>
    <t xml:space="preserve">Pvd business dvlpmt svcs
Pvd research,dvlp svcs</t>
  </si>
  <si>
    <t xml:space="preserve">Ventac Partners LLC,
headquartered in Boston, is a
provider of business
strategies and other business
related services to its
clients around the world. The
company was founded in 2002.
Guangzhou Institutes of
Biomedicine and Health
provides research and
development services in the
field of medicine. The company
is headquartered in China and
was founded in 2003.</t>
  </si>
  <si>
    <t xml:space="preserve">6726
8731</t>
  </si>
  <si>
    <t xml:space="preserve">VENTAC PARTNERS LLC/GUANGZHOU INSTITUTES OF BIOMEDICINE AND HEALTH-JOINT
VENTURE</t>
  </si>
  <si>
    <t xml:space="preserve">Ventac Partners LLC (VP) and Guangzhou Insitutes of Biomedicine and Health
(GI) formed a joint venture named Casigen Pharma Ltd to develop and produce
treatments for diabetes and other metabolic disorders.</t>
  </si>
  <si>
    <t xml:space="preserve">85759K
40891F</t>
  </si>
  <si>
    <t xml:space="preserve">FTS International LLC
Selected Arabia Ltd</t>
  </si>
  <si>
    <t xml:space="preserve">Pvd oil,gas stimulation svcs
Oil,gas exploration,prodn</t>
  </si>
  <si>
    <t xml:space="preserve">FTS International LLC,
located in Forth Worth,
Texas, provides oil and
natural gas well stimulation
services with expertise in
high-pressure hydraulic
fracturing.
Selected Arabia Ltd, located
in Saudi Arabia, is an oil and
gas exploration and production
company.</t>
  </si>
  <si>
    <t xml:space="preserve">1389
1311</t>
  </si>
  <si>
    <t xml:space="preserve">United States
Saudi Arabia</t>
  </si>
  <si>
    <t xml:space="preserve">FTS International LLC
Summit Technologies Co Ltd</t>
  </si>
  <si>
    <t xml:space="preserve">1389
1389</t>
  </si>
  <si>
    <t xml:space="preserve">FTS INTERNATIONAL LLC/SELECTED ARABIA LTD-JOINT VENTURE</t>
  </si>
  <si>
    <t xml:space="preserve">Saudi Arabia
Oman</t>
  </si>
  <si>
    <t xml:space="preserve">FTS International LLC (FT) and Selected Arabia Ltd (SE), a unit of Selected
Group's Summit Technologies Co Ltd subsidiary signed agreement to form a
joint venture named FTS Arabia Ltd (FS) to provide well completion products
and services for onshore conventional and unconventional oil and gas wells,
transportation, research and development in Saudi Arabia and Oman.</t>
  </si>
  <si>
    <t xml:space="preserve">Oil and Gas; Petroleum Services
Transportation (Public) Services
Research &amp; Development Services</t>
  </si>
  <si>
    <t xml:space="preserve">30680C
84279M</t>
  </si>
  <si>
    <t xml:space="preserve">Marina Biotech Inc
Girindus AG</t>
  </si>
  <si>
    <t xml:space="preserve">Biotechnology company
Mnfr pharmaceutical products</t>
  </si>
  <si>
    <t xml:space="preserve">Marina Biotech Inc, located in
Bothell, Washington, is a
biotechnology company focused
on the development and
commercialization of nucleic
acid-based therapies utilizing
gene silencing approaches such
as RNA interference (RNAi) and
blocking messenger RNA (mRNA)
translation. The company's
pipeline includes a clinical
program in Familial
Adenomatous Polyposis (FAP)
and preclinical programs in
bladder cancer and myotonic
dystrophy. It has two
liposomal-based delivery
platforms. The first platform
utilizes amino-based liposomal
delivery technology and
incorporates a molecule the
Company calls DiLA2
(Di-Alkylated Amino Acid). The
company's our wholly-owned
subsidiaries are Cequent
Pharmaceuticals Inc and MDRNA
Research Inc. It was founded
in 1983.
Girindus AG, located in
Bergisch Gladbach, Germany,
manufactures pharmaceutical
products. The Company focuses
on process development in the
areas of fine and specialized
chemicals, in particular
pharmaceutical and cosmetic
materials and semi-finished
goods from chemical and
biotechnical processes, as
well as the production and
sale of these products. It was
founded in 1978.</t>
  </si>
  <si>
    <t xml:space="preserve">Marina Biotech Inc
Solvay SA</t>
  </si>
  <si>
    <t xml:space="preserve">MARINA BIOTECH INC/GIRINDUS AG-STRATEGIC ALLIANCE</t>
  </si>
  <si>
    <t xml:space="preserve">Marina Biotech, Inc (MB) and Girindus AG (GA) formed a strategic alliance
to develop oligonucleotide. Under the agreement, GA was given exclusive
rights for the development, supply and commercialization of oligonucleotide
constructs that utilizes MB's Conformationally Restricted Nucleotide (CRN)
chemistry. MB was entitled to receive royalties from the sale of CRN-based
oligonucleotide reagents.</t>
  </si>
  <si>
    <t xml:space="preserve">Research &amp; Development Services
Manufacturing Services
Licensing Services
Supply Services</t>
  </si>
  <si>
    <t xml:space="preserve">56804Q
37633N</t>
  </si>
  <si>
    <t xml:space="preserve">Daiichi Sankyo Co Ltd
National Cancer Center</t>
  </si>
  <si>
    <t xml:space="preserve">Daiichi Sankyo Co Ltd,
headquartered in Tokyo,
Japan, is engaged in the
manufacture and sale of
pharmaceuticals. The Company
has two business segments.
The Daiichi Sankyo Group
segment is involved in the
research, development,
pharmaceuticals, as well as
the provision of
intermediates and basic
materials for pharmaceutical
producing, in Japan, the
United States, Europe, China
and Brazil markets. The
Ranbaxy Group segment is
engaged in the research,
development, manufacture and
sale of pharmaceuticals in
overseas markets through
Ranbaxy group companies. As
of March 31, 2012, it has
107 subsidiaries and three
associated companies.The
company was founded on
September 28, 2005.
National Cancer Center in an
independent administrative
agency and is engaged in
research and development of
cancer. The entity is
headquartered in Tokyo.</t>
  </si>
  <si>
    <t xml:space="preserve">DAIICHI SANKYO CO LTD/NATIONAL CANCER CENTER-STRATEGIC ALLIANCE</t>
  </si>
  <si>
    <t xml:space="preserve">Daiichi Sankyo Co Ltd (DS) and the National Cancer Center (NC) in Japan
agreed to form a strategic alliance to provide research services on the
creation of superior anticancer agents in Japan.</t>
  </si>
  <si>
    <t xml:space="preserve">J11257
63305X</t>
  </si>
  <si>
    <t xml:space="preserve">Sahem Trading &amp; Investments Co
FactSet Research Systems Inc</t>
  </si>
  <si>
    <t xml:space="preserve">Securities bkrg firm
Provide financial information services</t>
  </si>
  <si>
    <t xml:space="preserve">Sahem Trading &amp; Investments
Co, located in Ramallah,
Palestine, is a securities
brokerage firm. Its services
include investment and trading
services. Sahem offers trading
services on both the PEX and
on selected regional stock
exchanges. It was founded in
1990.
FactSet Research Systems
Inc, headquartered in
Norwalk, Connecticut,
provides financial and
economic online information
services to the global
investment community. It
offers fundamental financial
data on various companies,
analytical applications, and
client services to the
portfolio managers, research
and performance analysts,
risk managers, marketing
professionals, sell-side
equity research
professionals, investment
bankers, and fixed income
professionals. The Company
was founded in 1978.</t>
  </si>
  <si>
    <t xml:space="preserve">6211
7375</t>
  </si>
  <si>
    <t xml:space="preserve">Palestine
United States</t>
  </si>
  <si>
    <t xml:space="preserve">SAHEM TRADING &amp; INVESTMENTS CO/FACTSET RESEARCH SYSTEMS INC-STRATEGIC
ALLIANCE</t>
  </si>
  <si>
    <t xml:space="preserve">Sahem Trading &amp; Investments Co (SA) and FactSet Research Systems Inc (FA)
formed a strategic alliance (ST) to provide research services in
Palestine.</t>
  </si>
  <si>
    <t xml:space="preserve">79108N
303075</t>
  </si>
  <si>
    <t xml:space="preserve">Mitsubishi Electric Corp
Volvo Personvagnar AB</t>
  </si>
  <si>
    <t xml:space="preserve">Manufacture,wholesale electric equipments
Wholesale automobiles</t>
  </si>
  <si>
    <t xml:space="preserve">Mitsubishi Electric Corp,
located in Chiyoda-Ku Tokyo,
Japan, manufactures and
wholesales electric
equipment. It is engaged in
developing, manufacturing,
sale and distribution of a
range of electrical and
electronic equipment. The
Company operates in six
business segments. The Heavy
Electric Machinery System
manufactures and sells
turbine generators, electric
motors, transformers, power
electronics equipment and
switchgears. The Industrial
Mechatronic segment
programmable controllers,
inverters, servo, factory
automation systems and
hoists. The Information
Communication System segment
wireless and satellite
communication equipment,
mobile phones and radar
apparatus. The Electronic
Device segment manufactures
and sells power modules,
high frequency devices and
liquid crystal display
devices. The Household
Appliances segment
manufactures and sells color
televisions (TVs),
projection TV, microwave
ovens and packaged air
conditioners. The Others
segment provides financial,
logistics, real estate and
advertising services. The
Company was founded in
January 1921.
Volvo Personvagnar AB is a
motor vehicle merchant
wholesaler. The Company is
located in Gothenburg,
Sweden.</t>
  </si>
  <si>
    <t xml:space="preserve">3621
5012</t>
  </si>
  <si>
    <t xml:space="preserve">Mitsubishi Electric Corp
Volvo AB</t>
  </si>
  <si>
    <t xml:space="preserve">3621
3711</t>
  </si>
  <si>
    <t xml:space="preserve">MITSUBISHI ELECTRIC CORP/VOLVOPERSONVAGNAR AB-STRATEGIC ALLIANCE</t>
  </si>
  <si>
    <t xml:space="preserve">Mitsubishi Electric Corp (ME) and Volvo Personvagnar AB (VP) formed a
strategic alliance to develop and produce next-generation automotive
infotainment systems for VC vehicles.</t>
  </si>
  <si>
    <t xml:space="preserve">606776
92886J</t>
  </si>
  <si>
    <t xml:space="preserve">Powdermet Inc
Oshkosh Corp
Eck Industries Inc
Univ of Wisconsin-Madison</t>
  </si>
  <si>
    <t xml:space="preserve">Mnfr composite,alloy powders
Mnfr heavy-duty trucks
Mnfr aluminum castings
Own,op college,university</t>
  </si>
  <si>
    <t xml:space="preserve">Powdermet Inc, located in
Euclid, Ohio, manufactures
composite and alloy powders
and particulates down to
submicron sizes, with aspect
ratios up to several hundred.
The company was founded in
1996.
Oshkosh Corp, located in
Oshkosh, Wisconsin,
manufactures specialized
heavy-duty trucks and
proprietary parts as well as
specialty fire apparatus. It
is a leading manufacturer and
marketer of access equipment,
specialty vehicles and truck
bodies for the primary markets
of defense, concrete
placement, refuse hauling,
access equipment and fire &amp;
emergency. The company was
founded in 1917.
Eck Industries Inc,
manufactures aluminum castings
and foundries. The company is
located in Manitowoc,
Wisconsin. It was founded in
May 1948.
University of
Wisconsin-Madison, owns and
operates a college/university.
The college/university is
headquartered in Wisconsin,
Madison. The college offers
Continuing education, Graduate
programs and other Majors and
Certificates.</t>
  </si>
  <si>
    <t xml:space="preserve">2819
3711
3365
8221</t>
  </si>
  <si>
    <t xml:space="preserve">United States
United States
United States
United States</t>
  </si>
  <si>
    <t xml:space="preserve">OH
WI
WI
WI</t>
  </si>
  <si>
    <t xml:space="preserve">POWDERMET INC/OSHKOSH CORP/ECK INDUSTRIES INC/UNIVERSITY OF
WISCONSIN-MADISON-JOINT VENTURE</t>
  </si>
  <si>
    <t xml:space="preserve">Powdermet, Inc (PI), Oshkosh Corp (OC), Eck Industries Inc (EI) and the
University of Wisconsin-Madison (UW) planned to form a joint venture to
develop nanostructured high-strength light-weight metals. The JV will
develop and produce lighter, stronger aluminum and magnesium structural
components.</t>
  </si>
  <si>
    <t xml:space="preserve">21625A
688239
27994K
93584P</t>
  </si>
  <si>
    <t xml:space="preserve">Michigan State University
Sparrow Health System Inc</t>
  </si>
  <si>
    <t xml:space="preserve">Own,op college,university
Own,operate hospital</t>
  </si>
  <si>
    <t xml:space="preserve">Own and operate college and
university
Sparrow Health System Inc,
located in Lansing, Michigan,
is an owner and operator of a
733-bed hospital, and was
founded in 1912.</t>
  </si>
  <si>
    <t xml:space="preserve">8221
8062</t>
  </si>
  <si>
    <t xml:space="preserve">MICHIGAN STATE UNIVERSITY/SPARROW HEALTH SYSTEMS INC-JOINT VENTURE</t>
  </si>
  <si>
    <t xml:space="preserve">Michigan State University (MS) and Sparrow Health Systems Inc (SH) planned
to form a joint venture named Center for Innovation to develop, test,
implement and evaluate new approaches designed to improve care.</t>
  </si>
  <si>
    <t xml:space="preserve">594712
84671R</t>
  </si>
  <si>
    <t xml:space="preserve">Zhejiang Conba Pharm Co Ltd
AFP Sino Development Corp LLC</t>
  </si>
  <si>
    <t xml:space="preserve">Pharmaceutical Preparation Manufacturing
Pvd research,dvlp svcs</t>
  </si>
  <si>
    <t xml:space="preserve">Zhejiang Conba
Pharmaceutical Co Ltd is a
manufacturer of
pharmaceutical preparation.
The Company was founded in
January 1993 and is located
in Hangzhou, China.
AFP Sino Development Corp LLC
provides research and
development services. The
company is headquartered in
the United States.</t>
  </si>
  <si>
    <t xml:space="preserve">ZHEJIANG CONBA PHARMACEUTICAL CO LTD/AFP SINO DEVELOPMENT CORP LLC-JOINT
VENTURE</t>
  </si>
  <si>
    <t xml:space="preserve">Zhejiang CONBA Pharmaceutical Co Ltd (CONBA) and AFP Sino Development Corp
LLC (AFP) formed a joint venture to develop and manufacture anti-cancer
drugs in China particularly liver cancer therapeutic vaccines. The JV has a
registered capital of CNY 8 mil (USD 1.26 mil). CONBA owns 70% of the joint
venture. AFP holds the remaining 30%. The joint venture's term lasts for 20
years, dating form December 21, 2012 until December 20, 2032. The joint
venture was granted a business license in 2013.</t>
  </si>
  <si>
    <t xml:space="preserve">The JV has a registered capital of CNY 8 mil (USD 1.26 mil).</t>
  </si>
  <si>
    <t xml:space="preserve">Y9889P
02019H</t>
  </si>
  <si>
    <t xml:space="preserve">MagnaChip Semiconductor Corp
Yield Microelectronics Corp</t>
  </si>
  <si>
    <t xml:space="preserve">Mnfr semiconductors
Provides nonvolatile memory IP</t>
  </si>
  <si>
    <t xml:space="preserve">MagnaChip Semiconductor Corp
is a manufacturer of analog
and mixed-signal semiconductor
products for high volume
consumer applications.. The
company is located in
Cheongju, South Korea.
Yield Microelectronics Corp.
(YMC) provides non-volatile
memory (NVM) IP and program
codes, located in Taiwan
,whose NVM intellectual
property (IP) products are
categorized into three types,
including embedded MTP IP,
embedded EEPROM IP and
embedded EPROM IP.</t>
  </si>
  <si>
    <t xml:space="preserve">3674
7371</t>
  </si>
  <si>
    <t xml:space="preserve">MAGNACHIP SEMICONDUCTOR CORP/YIELD MICROELECTRONICS CORP-STRATEGIC
ALLIANCE</t>
  </si>
  <si>
    <t xml:space="preserve">MagnaChip Semiconductor Corp (MC) and Yield Microelectronics Corp (YM)
agreed to form a strategic alliance to develop a family of 0.35um and
0.18um standard Multiple Times Programmable (MTP)-IP devices. This MTP-IP
joint development agreement covers several standard memory cell sizes
well-suited for embedded applications such as Displays, PMIC and LED
controllers.</t>
  </si>
  <si>
    <t xml:space="preserve">55933J
44260J</t>
  </si>
  <si>
    <t xml:space="preserve">Forest Laboratories Inc
Nabriva Therapeutics</t>
  </si>
  <si>
    <t xml:space="preserve">Mnfr,wholesale pharmaceuticals
Mnfr,whl pharm,antibiotics</t>
  </si>
  <si>
    <t xml:space="preserve">Forest Laboratories Inc,
located in New York, New York,
manufactures and wholesales
prescription pharmaceuticals
intended for final
consumption, including biotech
products and antibiotics for
the therapeutic areas of the
central nervous,
cardiovascular and respiratory
systems. The holding company
was founded in 1954.
Nabriva Therapeutics AG,
located in Vienna, Austria,
manufactures and wholesales
pharmaceuticals and
antibiotics. The company
focuses on antibiotic
classes for oral and topical
application and community
and hospital infections.
Some of its products are
Oral Pleuromutilins BC-3205
and BC-3781; MDR
Streptococcus pneumonia;
vancomycin resistant
Enterococcus faecium and
others.</t>
  </si>
  <si>
    <t xml:space="preserve">FOREST LABORATORIES INC/NABRIVA THERAPEUTICS AG-STRATEGIC ALLIANCE</t>
  </si>
  <si>
    <t xml:space="preserve">Forest Laboratories Inc (Forest) and Nabriva Therapeutics AG (Nabriva)
planned to form a strategic alliance to provide novel antibacterial drug
development services. The planned alliance was to develop Nabrivas BC-3781
for the next twelve (12) months. Forest was to be responsible to pay
Nabriva for USD 25 mil and other funds for the development of the said
antibacterial drug. During the next 12 months, Forest was to have exclusive
right to acquire Nabriva which depends upon certain possibilities. No other
financial details were disclosed. The transaction is subject to regulatory
clearances and approvals.</t>
  </si>
  <si>
    <t xml:space="preserve">345838
62957M</t>
  </si>
  <si>
    <t xml:space="preserve">Onyx Pharmaceuticals Inc
University of Texas MD</t>
  </si>
  <si>
    <t xml:space="preserve">Mnfr,whl cancer treatment prod
Biotech co</t>
  </si>
  <si>
    <t xml:space="preserve">Onyx Pharmaceuticals Inc,
located in South San
Francisco, California, is a
biopharmaceutical company,
engaged in the development and
commercialization of
innovative therapies for
improving the lives of people
with cancer. The company has
built two franchise platforms:
one in kinase inhibition and
one in proteasome inhibition.
In its kinase inhibitor
franchise, its product,
Nexavar (sorafenib) tablets is
approved for unresectable
liver cancer and advanced
kidney cancer. unresectable
liver cancer and advanced
kidney cancer. In its
proteasome inhibitor
franchise, the company uses
Kyprolis for injection for the
treatment of patients with
multiple myeloma who have
received at least two prior
therapies, including
bortezomib and an
immunomodulatory agent (IMiD),
and have demonstrated disease
progression. It was
incorporated in California in
February 1992 and
reincorporated in Delaware in
May 1996.
University of Texas MD
Anderson Cancer Center,
located in Houston, Texas, is
a biotechnology company. It
provides programs that
integrate patient care,
research and prevention and
through education for
undergraduate and graduate
students, trainees,
professionals, employees and
the public.</t>
  </si>
  <si>
    <t xml:space="preserve">ONYX PHARMACEUTICALS INC/UNIVERSITY OF TEXAS MD ANDERSON CANCER
CENTER-STRATEGIC ALLIANCE</t>
  </si>
  <si>
    <t xml:space="preserve">Onyx Pharmaceuticals, Inc (OP) and The University of Texas MD Anderson
Cancer Center (UT) planned to form a strategic alliance to conduct a
pre-clinical and clinical research of experimental therapies, including
OP's carfilzomib and oprozomib for the treatment of myeloma and lymphoma.</t>
  </si>
  <si>
    <t xml:space="preserve">683399
91511P</t>
  </si>
  <si>
    <t xml:space="preserve">Westport Innovations Inc
Caterpillar Inc</t>
  </si>
  <si>
    <t xml:space="preserve">Mnfr, whhl alternate-fuel engines
Manufactures construction and mining equipment</t>
  </si>
  <si>
    <t xml:space="preserve">Westport Innovations Inc,
located in Vancouver,
Canada, manufactures and
wholesales alternative-fuel
components and systems for
use in transportation and
industrial applications. It
develops fuel systems that
use gaseous fuels such as
compressed natural gas,
liquefied natural gas,
hydrogen and
hydrogen-enriched compressed
natural gas. The company was
founded in 1995.
Caterpillar Inc, located in
Deerfield, Illinois,
manufactures construction
and mining equipment, diesel
and natural gas engines,
industrial gas turbines and
diesel-electric locomotives.
It is a holding company and
operates through its three
primary segments -
Construction Industries,
Resource Industries and
Energy &amp; Transportation -
and also provides financing
and related services through
its Financial Products
segment. The Company was
founded in 1925.</t>
  </si>
  <si>
    <t xml:space="preserve">3519
3531</t>
  </si>
  <si>
    <t xml:space="preserve">WESTPORT INNOVATIONS INC/CATERPILLAR INC-STRATEGIC ALLIANCE</t>
  </si>
  <si>
    <t xml:space="preserve">Westport Innovations Inc (WI) and Caterpillar Inc (CI) formed a strategic
alliance to develop natural gas fuel systems. Under the agreement, WI will
combine its Westport(TM) High Pressure Direct Injection technology with
off-road engine and machine product technology for the development of a
natural gas technology for off-road equipment, including mining trucks and
locomotives.</t>
  </si>
  <si>
    <t xml:space="preserve">960908
149123</t>
  </si>
  <si>
    <t xml:space="preserve">Dr Reddy's Laboratories Ltd
Merck Serono SA</t>
  </si>
  <si>
    <t xml:space="preserve">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
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t>
  </si>
  <si>
    <t xml:space="preserve">Dr Reddy's Laboratories Ltd
Merck KGaA</t>
  </si>
  <si>
    <t xml:space="preserve">DR REDDY'S LABORATORIES LTD/MERCK SERONO SA-STRATEGIC ALLIANCE</t>
  </si>
  <si>
    <t xml:space="preserve">Dr Reddy's Laboratories Ltd (DR) and Merck Serono SA (MS) formed a
strategic alliance to develop manufacture and commercialize oncology
biosimilars. Under which DR will be responsible for the commercialization
of the biosimilars globally, outside the US and with the exception of
select emerging markets that will be co-exclusive. DR is entitled to
receive royalty payments upon commercialization.</t>
  </si>
  <si>
    <t xml:space="preserve">256135
589345</t>
  </si>
  <si>
    <t xml:space="preserve">American Med Sys Holdings Inc
Allergan Inc</t>
  </si>
  <si>
    <t xml:space="preserve">Mnfr,whl med devices
Mnfr eye care,skin care pharmaceutical products</t>
  </si>
  <si>
    <t xml:space="preserve">American Medical Systems
Holdings Inc, located in
Minnetonka, Minnesota,
manufactures and wholesales
medical devices to physicians
specializing in the treatment
of urological disorders. It
has a product portfolio, which
treats mens incontinence,
erectile dysfunction, and
benign prostatic hyperplasia
(BPH), and treats womens
incontinence and pelvic floor
prolapse. Its physician
customers include urologists,
gynecologists,
urogynecologists and
colorectal surgeons. The
company was founded in 1972.
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t>
  </si>
  <si>
    <t xml:space="preserve">Endo Health Solutions Inc
Allergan Inc</t>
  </si>
  <si>
    <t xml:space="preserve">AMERICAN MEDICAL SYSTEMS HOLDINGS INC/ALLERGAN INC-STRATEGIC ALLIANCE</t>
  </si>
  <si>
    <t xml:space="preserve">American Medical Systems Inc (AM) and Allergan, Inc (AI) formed a strategic
alliance to co-develop JetTouch(TM) system for the delivery of BOTOX(R)
(onabotulinumtoxinA) that can be used for the treatment of overactive
bladder. Under which, Am will develop JetTouch for general use in the
bladder. AM and AI will seek to add BOTOX(R) to the JetTouch(TM) label, and
AI plans to seek regulatory advice to add the delivery of BOTOX(R) with
JetTouch(TM) to the BOTOX(R) label.</t>
  </si>
  <si>
    <t xml:space="preserve">02744M
018490</t>
  </si>
  <si>
    <t xml:space="preserve">CGGVeritas
Saudi Arabian Oil Co</t>
  </si>
  <si>
    <t xml:space="preserve">Pvd oil,gas expl,prodn svcs
Crude Petroleum and Natural Gas Extraction</t>
  </si>
  <si>
    <t xml:space="preserve">Cie Generale de Oil
Geophysique-Veritas SA,
located in Paris, France,
provides oil and gas
exploration and production
services. It manufactures
geophysical equipment and
provides range of seismic
services in data acquisition
and processing both onshore
and offshore, principally to
clients in the oil and gas
industry. The company
operates in two segments:
Services and Equipment. The
services segment includes
landmarine contract,
multi-client land and
marine, processing, imaging
and reservoir. The company
conducts its equipment
development and production
operations through Sercel
and its subsidiaries. Sercel
operates five seismic
equipment manufacturing
facilities, located in
Nantes and Saint Gaudens in
France, Houston, Singapore
and Alfreton in England. It
was founded in 1931.
Saudi Arabian Oil Co is
engaged in the crude
petroleum and natural gas
services business. Its
primary operating segments
are the Upstream segment and
the Downstream segment,
which are supported by the
Corporate segment. The
Upstream segments activities
consist of exploring for,
developing and producing
crude oil, condensate,
natural gas and Natural gas
liquids (NGLs). The
Downstream segments
activities consist primarily
of refining and
petrochemical manufacturing,
supply and trading,
distribution and power
generation. The Downstream
segments other business
activities include base
oils, lubricants and retail
operations. The Companys
business support activities
are included within its
Corporate segment. Company
was founded in 1933 and is
located in Dhahran, Saudi
Arabia.</t>
  </si>
  <si>
    <t xml:space="preserve">1382
1311</t>
  </si>
  <si>
    <t xml:space="preserve">France
Saudi Arabia</t>
  </si>
  <si>
    <t xml:space="preserve">CIE GENERALE DE GEOPHYSIQUE-VERITAS SA {CGGVERITAS}/SAUDI ARABIAN OIL
CO{ARAMCO}-STRATEGIC ALLIANCE</t>
  </si>
  <si>
    <t xml:space="preserve">Cie Generale de Oil Geophysique-Veritas SA (CI) and Saudi Arabian Oil Co
(SA) signed a Memorandum of Understanding (MoU) to form a strategic
alliance to provide research and development of geophysical acquisition,
processing, analysis and interpretation technologies in Saudi Arabia.</t>
  </si>
  <si>
    <t xml:space="preserve">204386
80412W</t>
  </si>
  <si>
    <t xml:space="preserve">HUYA Bioscience Intl LLC
Sanzao Park</t>
  </si>
  <si>
    <t xml:space="preserve">Manufacture pharmaceuticals
Industrial park</t>
  </si>
  <si>
    <t xml:space="preserve">HUYA Bioscience
International LLC,
headquartered in San Diego,
California, is a
pharmaceutical manufacturing
firm. The company has an
office in Shanghai, China.
The company focuses on
biopharmaceutical
innovations originating from
China. They cooperate with
various Chinese
biopharmaceutical companies
and organization for
research and development of
China-sourced pharmaceutical
products. The company was
founded in 2004.
Zhuhai Sanzao Science and
Technology Industrial Park is
a part of the Zhuhai National
Hi-Tech Development Zone, with
pharmaceuticals, medical
devices, and consumer
electronics as its key focus
industries.</t>
  </si>
  <si>
    <t xml:space="preserve">HUYA BIOSCIENCE INTERNATIONAL/ZHUHAI SANZAO SCIENCE AND TECHNOLOGY
INDUSTRIAL PARK-STRATEGIC ALLIANCE</t>
  </si>
  <si>
    <t xml:space="preserve">Huya Bioscience International (HB) and Zhuhai Sanzao Science and Technology
Industrial Park (ZS) formed a strategic alliance to promote new drug
development.</t>
  </si>
  <si>
    <t xml:space="preserve">44430R
97982L</t>
  </si>
  <si>
    <t xml:space="preserve">Profil Institute for Clinical
Florida Hospital</t>
  </si>
  <si>
    <t xml:space="preserve">Clinical research institute
Own,operate nonprofit hospital</t>
  </si>
  <si>
    <t xml:space="preserve">Profil Institute,
headquartered in California,
is a clinical institute
specializing in early phase
drug research and its specific
focus on diabetes, obesity and
cardiometabolic diseases as it
relates to the diabetic
patient population have led
Profil Institute to be the
most highly regarded clinical
research institute for early
phase diabetes drug trials.
The Company was founded in
2004.
Florida Hospital, located in
Orlando, Florida, owns and
operates nonprofit hospital.
The hospital is an acute care,
nonprofit health organization
that offers services
throughout central Florida. It
provides medicine by giving
each patient the tools to take
charge of their health through
prevention, wellness and
education. The hospital was
founded in 1908.</t>
  </si>
  <si>
    <t xml:space="preserve">Profil Institute for Clinical
Adventist Health Sys Sunbelt</t>
  </si>
  <si>
    <t xml:space="preserve">PROFIL INSTITUTE FOR CLINICAL RESEARCH/FLORIDA HOSPITAL-JOINT VENTURE</t>
  </si>
  <si>
    <t xml:space="preserve">Profil Insitute for Clinical Research Inc (PI) and Florida Hospital (FH)
agreed to form a joint venture named The Profil Institute at Florida
Hospital to provide state-of-the-art early phase clinical services center
for metabolic disease research, including diabetes, obesity, and
cardiometabolic diseases, in Orlando, Florida.</t>
  </si>
  <si>
    <t xml:space="preserve">76948X
34073T</t>
  </si>
  <si>
    <t xml:space="preserve">FremantleMedia Ltd
Hasbro Inc</t>
  </si>
  <si>
    <t xml:space="preserve">Provide motion pictures production services
Mnfr toys,games,infant product</t>
  </si>
  <si>
    <t xml:space="preserve">FremantleMedia Ltd provides
motion pictures production
services with prime time
drama, serial drama,
entertainment and factual
entertainment programming in
over 40 territories,
including the UK, the US,
Germany, Australia, France,
Italy, Spain, Portugal,
Scandinavia, Latin America
and Asia. The Company was
founded in 2001 and is
located in London, the
United Kingdom.
Hasbro Inc, located in
Pawtucket, Rhode Island, is
a manufacturer of children
and cartoon related toys.
operating segments include
the U.S. and Canada,
International, and
Entertainment and Licensing.
It is also engaged in the
motion pictures and videos
services business. The
Company was founded in 1923.</t>
  </si>
  <si>
    <t xml:space="preserve">7812
3944</t>
  </si>
  <si>
    <t xml:space="preserve">Verlag Bertelsmann Stiftung
Hasbro Inc</t>
  </si>
  <si>
    <t xml:space="preserve">8641
3944</t>
  </si>
  <si>
    <t xml:space="preserve">FREMANTLEMEDIA ENTERPRISES LTD/HASBRO INC-STRATEGIC ALLIANCE</t>
  </si>
  <si>
    <t xml:space="preserve">FremantleMedia Enterprises (FM) and Hasbro Inc (HI) agreed to form a
strategic alliance to develop Trivial Pursuit and Connect 4 branded slots
and instant win games for the online and mobile channels.</t>
  </si>
  <si>
    <t xml:space="preserve">Research &amp; Development Services
Gaming Services</t>
  </si>
  <si>
    <t xml:space="preserve">35708A
418056</t>
  </si>
  <si>
    <t xml:space="preserve">General Electric Co
Fraunhofer IZM</t>
  </si>
  <si>
    <t xml:space="preserve">Manufacture,wholesale power generation equipment
Pvd applied&amp;indstrial research</t>
  </si>
  <si>
    <t xml:space="preserve">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
Fraunhofer Institute for
Reliability and
Microintegration IZM, provides
applied &amp; industrial contract
research services,
headquartered in Berlin,
Germany. The company focuses
on packaging technology and
the integration of
multifunctional electronics
into systems. Other offices
are also within Germany:
Oberpfaffenhofen, Adlershof,
and Dresden. The company's
departments are wafer level
system integration, system
integration &amp; interconnection
technologies, PCB soldering
training/qualification &amp; micro
mechatronics, environmental &amp;
reliability engineering, and
system design &amp; integration.
The services that the company
offers include innovation
workshops/feasibility studies;
process &amp; product development;
testing, qualification,
reliability; manufacturing &amp;
prototyping, and training.</t>
  </si>
  <si>
    <t xml:space="preserve">GENERAL ELECTRIC CO/FRAUNHOFER INSTITUTE FOR RELIABILITY &amp;
MICROINTEGRATION-STRATEGIC ALLIANCE</t>
  </si>
  <si>
    <t xml:space="preserve">General Electric Co and Fraunhofer Insitute for Reliability
Microintegration formed a strategic alliance, to develop a new method to
forecast the remaining life time of solar power electronics, such as
insulated gate bipolar transistors (IGBTs).</t>
  </si>
  <si>
    <t xml:space="preserve">369604
35542H</t>
  </si>
  <si>
    <t xml:space="preserve">Cyberonics Inc
Imricor Medical Systems Inc</t>
  </si>
  <si>
    <t xml:space="preserve">Manufacture, wholesale medical devices
Dvlp Electromedical Equipment</t>
  </si>
  <si>
    <t xml:space="preserve">Cyberonics Inc,
headquartered in Houston,
Texas, manufactures and
wholesales implantable
medical devices, which
deliver a therapy called
Vagus Nerve Stimulation
(VNS), for the treatment of
epilepsy and other
debilitating neurological,
psychiatric diseases and
other disorders. It was
founded in 1987. The company
also has an office in
Brussels, Belgium.
Operations are carried out
in Austria, Belgium,
Denmark, France, Germany,
Ireland, Luxemburg, the
Netherlands, Norway, Spain,
Sweden, Switzerland, Canada,
Mexico, Australia Central
and South America, China,
Japan and other parts of
Asia.
Imricor Medical Systems,
Inc., headquartered in
Minnesota, develops magnetic
resonance imaging (MRI)
compatible electrophysiology
tools for the treatment of
cardiac arrhythmias. The
company offers Vision MR EP
Ablation Catheter that looks
and performs as a
conventional ablation
catheter; and Horizon MR EP
Recording System, which
performs the recording and
pacing function of
conventional recording and
pacing systems for use with
MRI. The company was founded
in 2006.</t>
  </si>
  <si>
    <t xml:space="preserve">TX
MN</t>
  </si>
  <si>
    <t xml:space="preserve">CYBERONICS INC/IMRICOR MEDICAL SYSTEMS INC-STRATEGIC ALLIANCE</t>
  </si>
  <si>
    <t xml:space="preserve">Cyberonics, Inc (CI) and Imricor Medical Systems Inc (IM) formed a
strategic alliance to develop Resonance Imaging (MRI) compatible leads that
can be used with Vagus Nerve Stimulation VNS Therapy System.</t>
  </si>
  <si>
    <t xml:space="preserve">23251P
49047H</t>
  </si>
  <si>
    <t xml:space="preserve">First Solar Inc
Intermolecular Inc</t>
  </si>
  <si>
    <t xml:space="preserve">Manufacture solar modules
Mnfr semiconductor sys</t>
  </si>
  <si>
    <t xml:space="preserve">First Solar Inc, located in
Tempe, Arizona, manufactures
solar modules using a thin
film semiconductor
technology. These solar
modules are used to produce
electricity out of energy
collected from the sun. The
Company was founded in 1999.
Intermolecular Inc, located
in San Jose, California,
manufactures and develops
semiconductor-specific
High-Productivity
Combinatorial (HPC) systems
and methods in three
functional areas to
accelerate the pace and
learning of clients'
semiconductor R&amp;D.</t>
  </si>
  <si>
    <t xml:space="preserve">AZ
CA</t>
  </si>
  <si>
    <t xml:space="preserve">FIRST SOLAR INC/INTERMOLECULAR INC-STRATEGIC ALLIANCE</t>
  </si>
  <si>
    <t xml:space="preserve">First Solar Inc (FS) and Intermolecular, Inc (II) planned to form a
strategic alliance under which FS was granted license to utilize II's High
Productivity Combinatorial platform for the development of
cadmium-telluride thin film photovoltaic manufacturing technology.</t>
  </si>
  <si>
    <t xml:space="preserve">336433
45882D</t>
  </si>
  <si>
    <t xml:space="preserve">DISH Network Corp
Qualcomm Inc</t>
  </si>
  <si>
    <t xml:space="preserve">Provides cable television services
Semiconductor and Related Device Manufacturing</t>
  </si>
  <si>
    <t xml:space="preserve">DISH Network Corp, located
in Englewood, Colorado,
provides pay-TV programming
and broadband services. Its
services also include pay-TV
equipment rental and other
hardware related services.
The Company was founded in
1996.
Qualcomm Inc, located in San
Diego, California,
manufactures and wholesales
semiconductors and related
devices. Its products
consist of integrated
circuits (chips or chipsets)
and system software used in
mobile devices and in
wireless networks. It also
develops and commercializes
a range of other
technologies used in
handsets and tablets that
contribute to end user
demand. Its operations are
carried out in the United
States, South Korea, China
and Japan. Its business
includes Qualcomm Mobile &amp;
Computing, Qualcomm
Government Technologies,
Qualcomm Internet Services
and Qualcomm Ventures. Its
subsidiaries include Atheros
Inc, Qualcomm Innovation
Center, Qualcomm Life Inc
and others. It is also a
holding company. The Company
was founded in July 1985.</t>
  </si>
  <si>
    <t xml:space="preserve">4841
3674</t>
  </si>
  <si>
    <t xml:space="preserve">DISH NETWORK CORP/QUALCOMM INC-STRATEGIC ALLIANCE</t>
  </si>
  <si>
    <t xml:space="preserve">Dish Network Corp (DN) and Qualcomm Inc (QI) planned to form a strategic
alliance to develop 3G-based chipsets for future DN's wireless devices that
can run in both satellite and terrestrial modes.</t>
  </si>
  <si>
    <t xml:space="preserve">25470M
747525</t>
  </si>
  <si>
    <t xml:space="preserve">Oki Data Corp
Toshiba Tec Corp</t>
  </si>
  <si>
    <t xml:space="preserve">Manufacture printers
Mnfr,whl electronic equipment</t>
  </si>
  <si>
    <t xml:space="preserve">Oki Data Corp, based in Tokyo,
Japan, is primarily engaged in
manufacturing monochrome and
ink jet printers. The company
was founded in 1994.
Toshiba Tec Corp,
headquartered in Tokyo,
Japan, is engaged in the
manufacturing and wholesales
of commercial electronic
equipment. The operations
are carried out through the
following divisions: Retail
Information Systems; Image
Information Equipment; and
Consumer Electronics. The
retail information system
division deals with POS
systems, cash registers,
scales, bar code systems,
office automation equipment
and environment equipment.
The image information
equipment division deals
with printers and fax
machines. The consumer
electronics division deals
with vacuum cleaners, food
processors, toasters and
health equipment. The
Company was founded on 27
February 1950.</t>
  </si>
  <si>
    <t xml:space="preserve">3577
3577</t>
  </si>
  <si>
    <t xml:space="preserve">Oki Electric Industry Co Ltd
Toshiba Corp</t>
  </si>
  <si>
    <t xml:space="preserve">3571
3651</t>
  </si>
  <si>
    <t xml:space="preserve">OKI DATA CORP/TOSHIBA TEC CORP-STRATEGIC ALLIANCE</t>
  </si>
  <si>
    <t xml:space="preserve">Oki Data Corp (OD) and Toshiba Tec Corp (TT) agreed to form a strategic
alliance to jointly develop multifunction printers (MFP).</t>
  </si>
  <si>
    <t xml:space="preserve">67080H
89145C</t>
  </si>
  <si>
    <t xml:space="preserve">Scripps Research Institute
Bristol-Myers Squibb Co</t>
  </si>
  <si>
    <t xml:space="preserve">Scripps Research Institute,
located in La Jolla,
California, is a
biotechnology company
focused on basic biomedical
science. It is recognized
for its research in
immunology, molecular and
cellular biology, chemistry,
neurosciences, autoimmune
diseases, cardiovascular
diseases, virology, and
synthetic vaccine
development. The company was
founded in 1924.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</si>
  <si>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SCRIPPS RESEARCH INSTITUTE/BRISTOL-MYERS SQUIBB CO-STRATEGIC ALLIANCE</t>
  </si>
  <si>
    <t xml:space="preserve">Scripps Research Institute (SR) and Bristol-Myers Squibb Co (BM) formed a
strategic alliance to provide research services for the application of
novel chemistry for drug discovery and synthesis. The alliance will use
SR's investigators' expertise in applying chemistry methodologies to
prepare novel synthetic intermediates and analogs for biological evaluation
against BM targets.</t>
  </si>
  <si>
    <t xml:space="preserve">81106Q
110122</t>
  </si>
  <si>
    <t xml:space="preserve">Humana Inc
Novo Nordisk A/S</t>
  </si>
  <si>
    <t xml:space="preserve">Provides health plan administration services
Healthcare company</t>
  </si>
  <si>
    <t xml:space="preserve">Humana Inc, located in
Louisville, Kentucky,
provides health plan
administration services. Its
segments include Retail,
Group and Specialty,
Healthcare Services and
Individual Commercial. The
Retail segment consists of
Medicare benefits, including
dental, vision, and other
supplemental health and
financial protection
products. The Healthcare
Services segment includes
services offered to its
health plan members, as well
as to third parties,
including pharmacy
solutions, provider
services, home-based
services and clinical
programs, as well as
services and capabilities to
manage population health.
The Individual Commercial
segment includes Individual
Commercial products marketed
under the HumanaOne brand.
The Company was founded in
1964.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</si>
  <si>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6324
2833</t>
  </si>
  <si>
    <t xml:space="preserve">Humana Inc
Novo Nordisk Foundation</t>
  </si>
  <si>
    <t xml:space="preserve">6324
6732</t>
  </si>
  <si>
    <t xml:space="preserve">HUMANA INC/NOVO NORDISK A/S-STRATEGIC ALLIANCE</t>
  </si>
  <si>
    <t xml:space="preserve">Humana Inc (HI) and Novo Nordisk A/S (NN) formed a one year strategic
alliance for the research and exploration in the field of diabetes
treatment and care.</t>
  </si>
  <si>
    <t xml:space="preserve">444859
670100</t>
  </si>
  <si>
    <t xml:space="preserve">Emergent Biosolutions Inc
BARDA</t>
  </si>
  <si>
    <t xml:space="preserve">Manufactures biopharmaceuticals
Mnfr biopharmaceuticals</t>
  </si>
  <si>
    <t xml:space="preserve">Emergent Biosolutions Inc is
a manufacturer of
biopharmaceuticals. The
Company focuses on
immunobiotics which includes
vaccines and immune
globulins, that induce or
assist the body's immune
system to prevent or treat
disease. It also
manufactures and markets
BioThrax, also referred to
as anthrax vaccine. It has
offices across the United
States; Munich, Germany;
Wokingham, the United
Kingdom and Singapore. The
Company was founded in 1998
and is located in
Gaithersburg, Maryland.
Biomedical Advanced R&amp;D
Authority provides an
integrated, systematic
approach to the development
and purchase of the necessary
vaccines, drugs, therapies,
and diagnostic tools for
public health medical
emergencies. The Company
manages the procurement and
advanced development of
medical countermeasures for
chemical, biological,
radiological, and nuclear
agents, as well as the
advanced development and
procurement of medical
countermeasures for pandemic
influenza and other emerging
infectious diseases.</t>
  </si>
  <si>
    <t xml:space="preserve">EMERGENT BIOSOLUTIONS INC/BIOMEDICAL ADVANCED RESEARCH &amp; DEVELOPMENT
AUTHORITY-JOINT VENTURE</t>
  </si>
  <si>
    <t xml:space="preserve">Emergent BioSolutions Inc (EB) and the Biomedical Advanced Research &amp;
Development Authority (BA) formed a joint venture named Center for
Innovation in Advanced Development and Manufacturing. The JV will
facilitate advanced development of chemical, biological, radiological, and
nuclear, or CBRN, medical countermeasures, ensure domestic pandemic
influenza vaccine manufacturing surge capacity, share facility construction
costs, and provide workforce development training programs to address the
US government's preparedness priorities and needs.</t>
  </si>
  <si>
    <t xml:space="preserve">29089Q
08933Y</t>
  </si>
  <si>
    <t xml:space="preserve">Merck Sharp &amp; Dohme Corp
Ambrx Inc</t>
  </si>
  <si>
    <t xml:space="preserve">Merck Sharp &amp; Dohme Corp,
located in Kenilworth, New
Jersey, is a manufacturer of
pharmaceutical preparation.
It is focused on researching
on hepatitis C, HIV,
diabetes and
immuno-oncology. The Company
was founded in 1891.
Ambrx Inc, located in La
Jolla, California, is a
biotechnology company
specializing in the
development of genetically
engineered protein
therapeutics branded as
BioSuperior, a protein-based
drugs for the treatment of
diabetes, cancer,
cardiovascular, renal,
gastrointestinal,
rheumatologic and neurological
diseases. the company was
founded in 2003.</t>
  </si>
  <si>
    <t xml:space="preserve">Merck &amp; Co Inc
Ambrx Inc</t>
  </si>
  <si>
    <t xml:space="preserve">MERCK &amp; CO INC/AMBRX INC-STRATEGIC ALLIANCE</t>
  </si>
  <si>
    <t xml:space="preserve">Ambrx Inc (AI) and Merck &amp; Co Inc (MC) formed a strategic alliance to
design and develop rationally optimized biologic drug conjugates based on
AI's site-specific protein medicinal chemistry technology. Under which, MC
was granted global rights to develop and commercialize biotherapeutic drug
conjugates. AI was entitled to receive USD 15 mil upfront payment and
milestone payments up to USD 288 mil for successful discovery, development
and commercialization of candidates to all pre-specified targets. As well
as royalty payments on net sales of products.</t>
  </si>
  <si>
    <t xml:space="preserve">AI was entitled to receive USD 15 mil upfront payment and milestone
payments up to USD 288 mil for successful discovery, development and
commercialization of candidates to all pre-specified targets. As well as
royalty payments on net sales of products.</t>
  </si>
  <si>
    <t xml:space="preserve">U58933
02347V</t>
  </si>
  <si>
    <t xml:space="preserve">AstraZeneca PLC
Rigel Pharmaceuticals Inc</t>
  </si>
  <si>
    <t xml:space="preserve">Manufactures, wholesales pharmaceutical products
Mnfr pharmaceuticals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</si>
  <si>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Rigel Pharmaceuticals Inc,
located in South San
Francisco, California, is
clinical-stage drug
development company that
discovers and develops
novel, small-molecule drugs
for the treatment of
inflammatory/autoimmune
diseases, as well as for
certain cancers and
metabolic diseases. Products
in development include
fostamatinib, an oral spleen
tyrosine kinase (SYK)
inhibitor for rheumatoid
arthritis partnered with
AstraZeneca AB AZ, R343, an
inhaled SYK inhibitor for
asthma, R548, an oral janus
kinase 3 (JAK3) inhibitor
transplant rejection and
other immune disorders, and
R333, a topical JAK/SYK
inhibitor for the treatment
of discoid lupus (lupus of
the skin). The company was
founded in 1996.</t>
  </si>
  <si>
    <t xml:space="preserve">ASTRAZENECA PLC/RIGEL PHARMACEUTICALS INC-STRATEGIC ALLIANCE</t>
  </si>
  <si>
    <t xml:space="preserve">AstraZeneca PLC (AZ) and Rigel Pharmaceuticals Inc (RP) formed a strategic
alliance to develop and commercialize R256 an investigational treatment for
asthma. Under which, RP will receive USD 1 mil upfront payment, an
additional USD 8.25 mil in milestone payments and royalty payments on sales
upon marketing approval. The alliance could be worth USD 100 mil.</t>
  </si>
  <si>
    <t xml:space="preserve">RP will receive USD 1 mil upfront payment, an additional USD 8.25 mil in
milestone payments and royalty payments on sales upon marketing approval.
The alliance could be worth USD 100 mil.</t>
  </si>
  <si>
    <t xml:space="preserve">046353
766559</t>
  </si>
  <si>
    <t xml:space="preserve">Praxair Inc
Midrex Technologies Inc</t>
  </si>
  <si>
    <t xml:space="preserve">Manufacture, wholesale industrial gases
Mnfr reduction plant,equipment</t>
  </si>
  <si>
    <t xml:space="preserve">Praxair Inc is a
manufacturer of industrial
gas. It provides cylinders
and liquid containers, bulk
and microbulk delivery,
pipeline, on-site
production, mobile nitrogen
pumping service and small
on-site production. The
Company does business in 50
countries. The Company was
founded in 1907 and is
located in Danbury,
Connecticut.
Midrex Technologies Inc,
headquartered in North
Carolina, designs, develops,
engineers, and supplies direct
reduction plants and
associated equipment. It
offers direct reduction
process that converts iron ore
into direct reduced iron for
use in steel and iron making,
and foundry applications. The
companys products include
Midrex reformer, a proprietary
and tubular style natural gas
reformer to supply syngas made
from natural gas for use in
producing liquid hydrocarbons;
and OXY+ that generates
reducing gas by partial
combustion and reforming of
natural gas using oxygen. The
company was founded in 1969.</t>
  </si>
  <si>
    <t xml:space="preserve">2813
3549</t>
  </si>
  <si>
    <t xml:space="preserve">CT
NC</t>
  </si>
  <si>
    <t xml:space="preserve">Praxair Inc
Kobe Steel Ltd</t>
  </si>
  <si>
    <t xml:space="preserve">2813
3325</t>
  </si>
  <si>
    <t xml:space="preserve">PRAXAIR INC/MIDREX TECHNOLOGIES INC-STRATEGIC ALLIANCE</t>
  </si>
  <si>
    <t xml:space="preserve">Praxair Inc (PI) and Midrex Technologies Inc (MT) formed a strategic
alliance to develop and market a new process technology to produce direct
reduced iron. This new process will convert hydrocarbon fuels into quality,
high temperature syngas suitable for DRI production.</t>
  </si>
  <si>
    <t xml:space="preserve">74005P
59808A</t>
  </si>
  <si>
    <t xml:space="preserve">Immunexpress Inc
Debiopharm International SA
Biocartis Group NV</t>
  </si>
  <si>
    <t xml:space="preserve">Molecular diagnostic co
Manufacture biopharmaceuticals
Biological Product (Except Diagnostic) Manufacturing</t>
  </si>
  <si>
    <t xml:space="preserve">Immunexpress Group is a
molecular diagnostic company
committed to improving
outcomes for patients with,
or at risk of, sepsis. The
company provides the
discovery and clinical
validation of genomic and
proteomic biomarkers, and
the translation of these
novel biomarkers into
clinical diagnostic and
monitoring assays for
readily available platforms,
including point-of-care
(POC). The company is
headquartered in Seattle,
USA and with locations in
Brisbane, Australia. The
company was founded in 2006.
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
Biocartis Group NV, located
in Mechelen, Belgium, is a
biotechnology company
specialized in molecular
diagnostic solutions that
can be used in a wide
variety of healthcare
settings. It was founded in
2007.</t>
  </si>
  <si>
    <t xml:space="preserve">8071
2834
2836</t>
  </si>
  <si>
    <t xml:space="preserve">United States
Switzerland
Belgium</t>
  </si>
  <si>
    <t xml:space="preserve">WA
FF
FF</t>
  </si>
  <si>
    <t xml:space="preserve">IMMUNEXPRESS INC/DEBIOPHARM SA/BIOCARTIS SA-STRATEGIC ALLIANCE</t>
  </si>
  <si>
    <t xml:space="preserve">Immunexpress Inc (II), Debiopharm SA (DS) and Biocartis SA (BS) planned to
form a strategic alliance for the development of SeptiCyte(R) Triage.
SeptiCyte(R) Triage is a multiplex gene expression assay for use in
Emergency and Intensive Care Units (ICUs) or upon hospital admission to
diagnose sepsis early, differentiate sepsis from other forms of
inflammation, and determine sepsis severity. DS will fund the validation
and U.S. Food and Drug Administration (FDA) clearance of the assay and BS
will fund the development and commercialization of the validated assay on
its fully integrated molecular diagnostics platform.</t>
  </si>
  <si>
    <t xml:space="preserve">49050R
24275A
09256X</t>
  </si>
  <si>
    <t xml:space="preserve">Roche Holdings AG
Seaside Therapeutics LLC</t>
  </si>
  <si>
    <t xml:space="preserve">Manufactures, wholesales pharmaceuticals and medical instruments
Mnfr diagnostic pharmaceutical</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</si>
  <si>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Seaside Therapeutics LLC,
headquartered in Cambridge,
Massachusetts, engages in the
discovery and development of
drugs to correct and improve
the course of Fragile X
syndrome, autism, and other
disorders of brain
development. Its products
include STX209, a selective
gamma-amino butyric acid
type-B receptor agonist that
inhibits glutamate signaling
in the brain and then
indirectly inhibit excessive
metabotropic glutamate
receptor (mGluR) mediated
protein synthesis in Fragile X
syndrome; and STX107, a
selective mGluR5 antagonist
that is used to treat symptoms
associated with Fragile X
syndrome, autism, and other
developmental disorders. The
company was founded in 2005.</t>
  </si>
  <si>
    <t xml:space="preserve">ROCHE HOLDING AG/SEASIDE THERAPEUTICS LLC-STRATEGIC ALLIANCE</t>
  </si>
  <si>
    <t xml:space="preserve">Roche Holding AG (RH) and Seaside Therapeutics LLC (ST) formed a strategic
alliance for the development of treatments for autism spectrum disorders
and Fragile X Syndrome. Under which ST will grant license to RH regarding
its patents covering the use of mGluR5 antagonists for the treatment of
neurodevelopmental disorders. On the other hand, ST will develop its GABA-B
agonist program and retains exclusive rights to issued and pending patents
covering the use of GABA-B agonists for the treatment of autism spectrum
disorders and Fragile X Syndrome.</t>
  </si>
  <si>
    <t xml:space="preserve">77119M
81260K</t>
  </si>
  <si>
    <t xml:space="preserve">Immuno-Biological Laboratories
Trans Genic Inc</t>
  </si>
  <si>
    <t xml:space="preserve">Mnfr,whl pharm prod
Research and Development in Biotechnology</t>
  </si>
  <si>
    <t xml:space="preserve">Immuno-Biological Laboratories
Co Ltd, headquartered in
Gunma, Japan, is engaged in
manufacture and wholesale of
pharmaceutical products and
quasi-drugs. The company
operates through two business
segments. The research-related
segment provides research
institutes, universities and
pharmaceutical companies with
antibody-associated test
reagents, such as antibodies
and enzyme immunoassay (EIA)
kits, as well as other test
reagents, such as cell culture
related test reagents and
synthetic peptides. It also
offers custom-made antibody
production and protein
production services. The
medical-related segment is
engaged in the medicine seed
license business and the sale
of extracorporeal diagnostic
agents. The others segment
retails drinking water that is
made from liquefied cretine.
The company was founded in
1982.
Trans Genic Inc, headquartered
in Fukuoka, Japan, is engaged
in the biotechnology business.
The Company operates in four
business segments. The
Genomics segment is engaged in
the licensing of genetic
information, the manufacturing
contract of genetic knockout
mice, and the gene analysis
contract business, among
others. The Contract Research
Organization (CRO) segment is
engaged in the clinical trials
of medicines and food, and
others. The Antibody Reagent
segment is engaged in the
development of new biomarkers,
the sale of research reagents,
and the provision of drug
discovery support services for
individualized medicine, among
others. The Pathological
Diagnosis segment is engaged
in the provision of
pathological diagnosis
services. The company was
founded in 1998.</t>
  </si>
  <si>
    <t xml:space="preserve">IMMUNO-BIOLOGICAL LABORATORIES CO LTD/TRANS GENIC INC-JOINT VENTURE</t>
  </si>
  <si>
    <t xml:space="preserve">Immuno-Biological Laboratories Co Ltd (IB) and Trans Genic Inc (TG) agreed
to form a 50:50 joint venture to research and develop diagnostic agent
seeds and conduct contracted clinical laboratory tests utilizing its
diagnostic agent seeds in Japan.</t>
  </si>
  <si>
    <t xml:space="preserve">45862J
89437E</t>
  </si>
  <si>
    <t xml:space="preserve">Prodigy Health Supplier Corp
Stason Pharmaceuticals Inc</t>
  </si>
  <si>
    <t xml:space="preserve">Whls phamaceuticals
Mnfr pharm</t>
  </si>
  <si>
    <t xml:space="preserve">Prodigy Health Supplier Corp,
headquartered in Austin, Texas
and with locations in Tampa,
Florida is a wholesaler and
distributor of plasma
derivatives throughout the
United States. The company was
founded in 2001.
Stason Pharmaceuticals Inc,
located in Irvine,
California, manufactures
pharmaceuticals. It is a
cGMP contact development
organization that provides
complete turn-key drug
development solutions for
API, prototype and final
product, clinical supplies
for all phases and
commercial production and
distribution. The Company
was founded in 1994.</t>
  </si>
  <si>
    <t xml:space="preserve">PRODIGY HEALTH SUPPLIER CORP/STASON PHARMACEUTICALS INC-JOINT VENTURE</t>
  </si>
  <si>
    <t xml:space="preserve">Prodigy Health Supplier Corp (PH) and Stason Pharmaceuticals Inc (SP)
formed a joint venture to develop and manufacture a diverse line of quality
generic pharmaceuticals to the U.S. market.</t>
  </si>
  <si>
    <t xml:space="preserve">63359F
85578Q</t>
  </si>
  <si>
    <t xml:space="preserve">Gentris Corp
Shanghai Center for Disease</t>
  </si>
  <si>
    <t xml:space="preserve">Pvd testing,biorepository services
Pvd health svcs</t>
  </si>
  <si>
    <t xml:space="preserve">Gentris Corp, located in
Morristown, North Carolina,
provides pharmacogenomic
testing and biorepository
services. The company has
operations in the US and
China. It was founded in 2001.
The Shanghai Disease
Prevention and Control Center,
located in Shanghai, China, is
a provider of health services.</t>
  </si>
  <si>
    <t xml:space="preserve">8734
9431</t>
  </si>
  <si>
    <t xml:space="preserve">Gentris Corp
Peoples Republic of China</t>
  </si>
  <si>
    <t xml:space="preserve">8734
999A</t>
  </si>
  <si>
    <t xml:space="preserve">GENTRIS CORP/SHANGHAI CENTER FOR DISEASE CONTROL-STRATEGIC ALLIANCE</t>
  </si>
  <si>
    <t xml:space="preserve">Gentris Corp (GC) and Shanghai Center for Disease Control (SC) plan to form
a strategic alliance to discover, develop, and validate new genomic
biomarkers.</t>
  </si>
  <si>
    <t xml:space="preserve">37273P
81298V</t>
  </si>
  <si>
    <t xml:space="preserve">Koninklijke Philips Elect
Vavilov State Optcal Institute
SPbSTU
AF Ioffe Physico-Technical</t>
  </si>
  <si>
    <t xml:space="preserve">Manufacture, wholesale electronic products
Optics research institute
National research university
Provide hi-tech research svcs</t>
  </si>
  <si>
    <t xml:space="preserve">Koninklijke Philips
Electronics NV, located in
Amsterdam, the Netherlands,
manufactures and wholesales
electronic products offered to
more than 100 countries. It
focuses on consumer electronic
products including home
entertainment products and
house appliances; electronic
healthcare products such as
medical diagnostic imaging and
patient monitoring machine;
and lightning products. It is
also engaged in the production
of telecommunication equipment
and other electronic products.
It is also a holding company
and acts as parent company of
the Philips Group. The Company
was founded in 1891.
SI Vavilov State Optical
Institute develops and markets
optical apparatus and
optoelectronics, headquartered
in St. Petersburg, Russia. The
company develops and
manufactures new optical,
electro-optical and laser
equipment by request of the
state and its enterprises, and
within export contracts'
framework.Other than being an
institute educating the
Russian optical science
specialists, it also serves as
a publisher of the Journal of
Optical Technology. It was
named after Sergey Ivanovich
Vavilov, president USSR
Academy of Sciences. The
company was founded in 1918.
Saint Petersburg State
Polytechnical University
{SPbSTU} is a national
research university, located
in Russia. It serves as a
research institute to the ff
study areas: materials &amp;
technologies; energy,
resources saving &amp;
environmental technologies;
nano-biotechnologies;
electronic systems;
mathematical modeling &amp;
intelligent control systems,
and machine-building
technologies. The university
has one of the largest
libraries in Russia catering
to 25,000 readers. Faculties
and institutions of the
university are the ff:
engineering, physical,
economics &amp; humanities,
computer science and
interdisciplinary. The company
was founded in 1899.
Provide semiconductor research
services</t>
  </si>
  <si>
    <t xml:space="preserve">3651
8733
8221
8731</t>
  </si>
  <si>
    <t xml:space="preserve">Netherlands
Russian Fed
Russian Fed
Russian Fed</t>
  </si>
  <si>
    <t xml:space="preserve">KONINKLIJKE PHILIPS ELECTRONICS NV/VAVILOV STATE OPTICAL
INSTITUTE/SPBSPU/IOFFE PHYSICO-TECHNICAL INSTITUTE-STRATEGIC ALLIANCE</t>
  </si>
  <si>
    <t xml:space="preserve">Koninklijke Philips Electronics NV (KP); SI Vavilov State Optical Institute
(VI); Saint Petersburg State polytechnical University (PU) and Ioffe
Physico-Technical Institute (II) formed a strategic alliance to research
and develop scintillation materials for improving the sensitivity of
scanners used in cardiovascular disease and cancer. PU will serve as the
central hub in the joint R&amp;D program. PU will also support in coordinating
the research. KP will invest up to EUR 2.5 mil (USD 3.14 mil) in the
program, comprising direct funding and "in-kind" support, including
research staff.</t>
  </si>
  <si>
    <t xml:space="preserve">KP will invest up to EUR 2.5 mil (USD 3.14 mil) in the program, comprising
direct funding and "in-kind" support, including research staff.</t>
  </si>
  <si>
    <t xml:space="preserve">500472
78190P
79113H
001902</t>
  </si>
  <si>
    <t xml:space="preserve">Berg Pharma LLC
Parkinsons Institute &amp; Clinica</t>
  </si>
  <si>
    <t xml:space="preserve">Pharma co
Pvd medical research</t>
  </si>
  <si>
    <t xml:space="preserve">Berg Pharma LLC, a
Boston-based pharmaceutical
company and the renowned
Parkinson's Institute, focuses
in understanding how
alterations in metabolism
relate to disease onset. The
company have uncovered key
insight into metabolic control
factors and namely into
underlying elements in the
Warburg Hypothesis. The
company offers Pre-clinical
and clinical programs, GMP/GLP
manufacturing, formulation
development and drug
regulatory affarirs. The
company was founded in 2006.
Parkinsons Institute is a
medical research organization
focused on finding the
cause(s) and cure for
Parkinson's disease, while
providing medical care to its
patients. The Institute has a
Basic Research department
investigating genetic basis,
bio-chemical and cellular
mechanisms of Parkinson's
disease. A large Clinical
Research department
concentrates its activities on
epidemiological studies of
Parkinson's disease patient
populations. The Institute's
clinic offers specialized
movement disorder neurology
treatment as well as physical,
occupational, and speech
therapy with a rich patient
outreach and education
program.</t>
  </si>
  <si>
    <t xml:space="preserve">BERG PHARMA LLC/PARKINSONS INSTITUTE &amp; CLINICAL CENTER-STRATEGIC ALLIANCE</t>
  </si>
  <si>
    <t xml:space="preserve">Berg Pharma LLC (BP) and Parkinson's Institute &amp; Clinical Center (PI)
formed a strategic alliance for the investigation of Parkinson's Disease.</t>
  </si>
  <si>
    <t xml:space="preserve">08382P
70138W</t>
  </si>
  <si>
    <t xml:space="preserve">Accuray Inc
Erasmus Univ Med Center</t>
  </si>
  <si>
    <t xml:space="preserve">Mnfr,whl radiosurgical devices
Own,operate college,university</t>
  </si>
  <si>
    <t xml:space="preserve">Accuray Inc, located in
Sunnyvale, California,
manufactures and wholesales
stereotactic radiosurgical
devices designed to treat
tumors anywhere in the body.
Among its offerings are
CyberKnife VSI System and
CyberKnife System. The Company
was founded in 1987.
Erasmus University Medical
Center, located in Rotterdam,
the Netherlands, owns and
operates college and
university.</t>
  </si>
  <si>
    <t xml:space="preserve">ACCURAY INC/ERASMUS UNIVERSITY MEDICAL CENTER ROTTERDAM-STRATEGIC ALLIANCE</t>
  </si>
  <si>
    <t xml:space="preserve">Accuray Inc (AI) and Erasmus University Medical Center Rotterdam (EU)
formed a strategic alliance under which the partners would embark on
cutting-edge research in radiation oncology with the goal of advancing
treatment technology and providing healthcare professionals with the most
effective tools for patient care.</t>
  </si>
  <si>
    <t xml:space="preserve">004397
29616T</t>
  </si>
  <si>
    <t xml:space="preserve">PrimeraDx Inc
Eli Lilly &amp; Co</t>
  </si>
  <si>
    <t xml:space="preserve">Dvlp multiplexed assays
Manufactures,wholesales pharmaceuticals</t>
  </si>
  <si>
    <t xml:space="preserve">PrimeraDx Inc, headquartered
in Massachusetts, develops
multiplexed assays. The
company offers ICEPlex
instrument platform, an
automated molecular testing
system for simultaneous
detection and quantification
of disparate target types,
such as mRNA, miRNA, SNPs, and
DNA. It develops a range of
applications in oncology,
infectious disease management,
companion diagnostics, and
multiple non-clinical
molecular markets. The company
was founded in 2004.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</si>
  <si>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PRIMERADX INC/ELI LILLY &amp; CO-STRATEGIC ALLIANCE</t>
  </si>
  <si>
    <t xml:space="preserve">PrimeraDx Inc (PD) and Eli Lilly &amp; Co (EL) formed a strategic alliance to
develop innovative multiplex assays on PD's clinical platform, the
ICEPlex(R) System.</t>
  </si>
  <si>
    <t xml:space="preserve">76955V
532457</t>
  </si>
  <si>
    <t xml:space="preserve">Soligenix Inc
IDRI</t>
  </si>
  <si>
    <t xml:space="preserve">Soligenix Inc, based in
Princeton, New Jersey, is a
biopharmaceutical company
developing products to treat
life-threatening side
effects of cancer treatments
and serious gastrointestinal
diseases and vaccines for
certain bioterrorism agents.
Its lead product, orBec
(oral beclomethasone
dipropionate or BDP), is a
potent, locally acting
corticosteroid being
developed for the treatment
of acute gastrointestinal
Graft-versus-Host disease
(GI GVHD), a common and
potentially life-threatening
complication of allogeneic
hematopoietic cell
transplantation (HCT). The
Company was founded in 1987.
Infectious Disease Research
Institute{IDRI}, located in
Seattle, Washington, is a
biotechnology company. The
company develops vaccines,
diagnostics, and therapeutics
for neglected diseases,
including tuberculosis,
leishmaniasis, leprosy, Chagas
disease and others.</t>
  </si>
  <si>
    <t xml:space="preserve">NJ
WA</t>
  </si>
  <si>
    <t xml:space="preserve">SOLIGENIX INC/INFECTIOUS DISEASE RESEARCH INSTITUTE-STRATEGIC ALLIANCE</t>
  </si>
  <si>
    <t xml:space="preserve">Soligenix, Inc (SI) and Infectious Disease Research Institute (ID) formed a
strategic alliance for the development of select biodefense vaccines. The
alliance will utilize ID's potent and safe synthetic adjuvants with SI's
proprietary subunit proteins and thermostability platform, ThermoVax(TM).</t>
  </si>
  <si>
    <t xml:space="preserve">834223
46469X</t>
  </si>
  <si>
    <t xml:space="preserve">Rockwater Energy Solutions Inc
Neohydro Corp</t>
  </si>
  <si>
    <t xml:space="preserve">Mnfr,whl chemicals,compounds
Mnfr,whl water purifiers</t>
  </si>
  <si>
    <t xml:space="preserve">Rockwater Energy Solutions
Inc, located in Houston,
Texas, manufactures and
wholesales specialty
chemicals, compounds, and
additives for the industrial
and oilfield industry. Its
products include friction
reducers, corrosion and scale
inhibitors, and biocides;
environmentally-friendly
hydraulic fracturing fluid
components, such as food based
guar and guar derivative
products, and proprietary
crosslinker technologies;
pipeline additives; fluids
management, logistics and
transportation of fluids,
proppants, and oilfield
service products. It also
provides fluid management and
environmental solutions
services that include water
transfer by pipe, production,
stimulation and specialty
chemicals in the United States
and Canada. The Company was
founded in 1981.
Neohydro Corp, located in
Houston, Texas, manufactures
and wholesales water treatment
technology and equipment for
the oilfield industry. Its
products include the
industrial applications of the
NeohydroTM and BrinecellTM
technologies. Its services
also include research and
development in the treatment
of waste water. The company
was founded in 2007.</t>
  </si>
  <si>
    <t xml:space="preserve">2899
3589</t>
  </si>
  <si>
    <t xml:space="preserve">ROCKWATER ENERGY SOLUTIONS INC/NEOHYDRO CORP-STRATEGIC ALLIANCE</t>
  </si>
  <si>
    <t xml:space="preserve">Rockwater Energy Solutions, Inc (RE) and Neohydro Corp (NC) formed a
strategic alliance to develop a water treatment solution. Under which NC's
Neohydro Rover(TM) will be combined with RE's Fluids Technologies and
Fluids Management service offerings to provide a full services fluids
conditioning.</t>
  </si>
  <si>
    <t xml:space="preserve">77432M
63988R</t>
  </si>
  <si>
    <t xml:space="preserve">LG Electronics Inc
Rolls-Royce Holdings PLC</t>
  </si>
  <si>
    <t xml:space="preserve">Audio and Video Equipment Manufacturing
Mnfr,whl turbines,power systems; holding company</t>
  </si>
  <si>
    <t xml:space="preserve">LG Electronics Inc is a
manufacturer of audio and
video equipment. The Company
was founded in April 2002
and is located in Seoul,
South Korea.
Rolls-Royce Holdings PLC,
located in London, UK,
manufactures and wholesales
turbines, power systems for
civil aerospace, defense
aerospace, marine and energy
markets. It also acts as a
holding company. The Company
was founded in 1904.</t>
  </si>
  <si>
    <t xml:space="preserve">3651
3511</t>
  </si>
  <si>
    <t xml:space="preserve">South Korea
United Kingdom</t>
  </si>
  <si>
    <t xml:space="preserve">LG ELECTRONICS INC/ROLLS-ROYCE HOLDINGS PLC-JOINT VENTURE</t>
  </si>
  <si>
    <t xml:space="preserve">LG Electronics Inc (LG) and Rolls-Royce Holdings PLC (RR) formed a joint
venture under which LG acquired a 51% interest in RR's Rolls-Royce Fuel
Cell Systems (US) Inc located in North Canton, Ohio for USD 45 mil. The JV
will be renamed LG Fuel Cell Systems and will continue to conduct research
and development into solid oxide fuel-cell technology for distributed power
generation for industrial, commercial, and electric utility markets and
applications.</t>
  </si>
  <si>
    <t xml:space="preserve">LG acquired a 51% interest in RR's Rolls-Royce Fuel Cell Systems (US) Inc
located in North Canton, Ohio for USD 45 mil.</t>
  </si>
  <si>
    <t xml:space="preserve">5E3494
775781</t>
  </si>
  <si>
    <t xml:space="preserve">Boeing Co
Mitsubishi Heavy Industries
Kawasaki Heavy Industries Ltd
Fuji Heavy Industries Ltd
Inst of Industrial Science</t>
  </si>
  <si>
    <t xml:space="preserve">Manufacture jetliners,aircraft
Mnfr,whl ships,power engine
Mnfr,whl transp,ind equip
Mnfr,whl auto,aircraft
Pvd research svcs</t>
  </si>
  <si>
    <t xml:space="preserve">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
Mitsubishi Heavy Industries
Ltd, located in Tokyo,
Japan, manufactures and
wholesales ships, power
engine and other
construction machinery. The
Marine Vessel and Ocean
segment offers passenger
ships, gas ships, car
ferries and others. The
Power Engine segment offers
boilers, turbines,
windmills, diesel engines
and pumps. The Machinery and
Steel Structure segment
offers exhaust fume
treatment equipment, waste
treatment and traffic
systems, cranes, bridges,
chimney pipes and printing
machinery. The Aviation and
Space segment offers space
equipment, aircrafts and
torpedoes. The General
Machinery and Special
Vehicle segment offers
forklifts, construction
machinery and agricultural
machinery. The Others
segment offers
air-conditioning equipment,
real estate sales and
printing services, among
others. The company was
founded in 1884.
Kawasaki Heavy Industries Ltd,
headquartered in Tokyo, Japan,
is engaged in the manufacture
and wholesale of
transportation and industrial
equipments. The company
operates in eight business
segments. The ship segment
manufactures and sells ships.
The vehicle segment provides
railway vehicles and snow
removing equipment. Aerospace
segment offers aircraft. The
gas turbine and machinery
segment manufactures and sells
jet engines, general-purpose
gas turbines and generating
machinery. Plant and
environment segment offers
industrial machinery, boilers,
environmental equipment, steel
structures and crushing
machines. The motorcycle and
engine segment offers
two-wheel vehicles,
all-terrain vehicles (ATVs),
versatile four-wheel vehicles,
personal watercrafts and
general-purpose gasoline
engines. The precision
machinery segment manufactures
and sells hydraulic machinery
and industrial robots. Others
segment is involved in the
manufacture and sale of
construction machinery, the
agency of sale and order, as
well as the management of
welfare facilities. The
company was founded in 1896.
Fuji Heavy Industries Ltd,
headquartered in Tokyo,
Japan, manufactures and
wholesales automobile. The
Company is engaged in four
business segments. The
Automobile segment is
engaged in the manufacture
sale and repair of mini
vehicles, compact cars,
ordinary vehicles and
related parts. The Aerospace
segment is engaged in the
manufacture sale and repair
of airplanes,
aerospace-related equipment
and parts. The Industrial
Machinery segment is engaged
in the manufacture sale and
repair of motors and motor
on-board equipment,
agricultural machinery,
forestry machinery and
construction machinery, as
well as other machinery and
equipment. The Others
manufacture, sale and repair
of dustcarts, as well as the
leasing of real estate
properties. The company was
founded in 1917.
Institute of Industrial
Science, the University of
Tokyo is the largest institute
of the university, located in
Japan. The company has five
research departments, one
guest chairperson, four
endowed chairpersons, eight
research centers, three
collaborative research
centers, one international
collaborative research center,
Chiba experiment station,
common facilities and
administrative offices. The
company was founded in May 31,
1949.</t>
  </si>
  <si>
    <t xml:space="preserve">3721
3731
3721
3711
8222</t>
  </si>
  <si>
    <t xml:space="preserve">United States
Japan
Japan
Japan
Japan</t>
  </si>
  <si>
    <t xml:space="preserve">IL
FF
FF
FF
FF</t>
  </si>
  <si>
    <t xml:space="preserve">BOEING CO/MITSUBISHI HEAVY INDUSTRIES/KAWASAKI HEAVY INDUSTRIES/FUJI HEAVY
INDUSTRIES/INST OF INDUSTRIAL SCIENCE-JOINT VENTURE</t>
  </si>
  <si>
    <t xml:space="preserve">Boeing Co (BC), Mitsubishi Heavy Industries Ltd (MI), Kawasaki Heavy
Industries Ltd (KI), Fuji Heavy Industries Ltd (FI) and Institute of
Industrial Science, the University of Tokyo (IS) signed a memorandum of
understanding {MoU} to carry out a joint research about industrial-scale
manufacturing technology and processes. The joint venture is mainly engaged
in researching for the development of machining and drilling process
technology for titanium, aluminum and composite materials.</t>
  </si>
  <si>
    <t xml:space="preserve">Research &amp; Development Services
Industrial Maintenance Services</t>
  </si>
  <si>
    <t xml:space="preserve">097023
606793
48635Q
359556
49057V</t>
  </si>
  <si>
    <t xml:space="preserve">Curtiss-Wright Corp
Westinghouse Electric Co LLC</t>
  </si>
  <si>
    <t xml:space="preserve">Mnfr motion,flow control prod
Pvd nuclear plant svcs</t>
  </si>
  <si>
    <t xml:space="preserve">Curtiss-Wright Corp, located
in Davidson, North Carolina,
manufactures motion control
and flow control application
products. It offers valves,
pumps, controls,
electronics, drive and
sensor components, and
integrated subsystems for
the defense and aerospace
industries. It also provides
specialized metal treatment
services. The Company was
founded in 1929.
Westinghouse Electric Co
LLC, located in Cranberry
Township, Pennsylvania,
provides nuclear power plant
utilities service and
maintenance, instrumentation
and control, and advanced
nuclear plant designs;
manufacture specialized
nuclear components of
stainless and high-alloy
steels. The Company was
founded in 1884.</t>
  </si>
  <si>
    <t xml:space="preserve">3593
4911</t>
  </si>
  <si>
    <t xml:space="preserve">NC
PA</t>
  </si>
  <si>
    <t xml:space="preserve">Curtiss-Wright Corp
Toshiba Corp</t>
  </si>
  <si>
    <t xml:space="preserve">3593
3651</t>
  </si>
  <si>
    <t xml:space="preserve">CURTISS-WRIGHT CORP/WESTINGHOUSE ELECTRIC CO LLC-STRATEGIC ALLIANCE</t>
  </si>
  <si>
    <t xml:space="preserve">Curtiss-Wright Corp (CW) and Westinghouse Electric Co LLC (WE) formed a
strategic alliance to pursue and develop business opportunities for the
refurbishment of large motors for commercial nuclear power applications in
North America and to collaborate on new technology development.</t>
  </si>
  <si>
    <t xml:space="preserve">231561
96044E</t>
  </si>
  <si>
    <t xml:space="preserve">Otsuka Holdings Co Ltd
Kyowa Hakko Kirin Co Ltd</t>
  </si>
  <si>
    <t xml:space="preserve">Mnfr,whl pharmaceuticals
Mnfr,whl medical prod</t>
  </si>
  <si>
    <t xml:space="preserve">Otsuka Holdings Co Ltd,
located in Tokyo, Japan,
manufactures and wholesales
pharmaceuticals. It is
engaged in four business
segments. The
Medical-related segment is
engaged in the sale of
ethical drugs, the
manufacture, sale and export
of curative medicines, as
well as the research and
development of infusions.
The Nutraceuticals-related
segment is engaged in the
manufacture, purchase and
sale of
nutraceuticals-related
products, such as functional
foods and dietary
supplements. The
Consumer-related segment is
engaged in the manufacture
and sale of consumer
products and mineral water.
The Others segment is
engaged in the manufacture
and sale of chemical
products, the manufacture,
sale and import of measuring
equipment, the manufacture
of packaging products, the
manufacture of synthetic
resin molding products, as
well as the storage and
handling of its products.
The company was founded in
1964.
Kyowa Hakko Kirin Co Ltd,
based in Tokyo, Japan, is
mainly engaged in
manufacture and wholesale of
medical product. The medical
product segment is engaged
in the manufacture, sale and
sales promotion of ethical
drug and reagent for
clinical test, the
development of candidate
substances for new drugs, as
well as the research and
development of technologies
for antibody drug creation,
among others. The
biochemical segment
manufactures and sells
medical and industrial
materials, mainly amino and
nucleic acids, and
healthcare products. This
segment also designs and
constructs facilities. The
others segment is involved
in the logistics,
contracting, retail and
wholesale, and insurance
agency businesses, as well
as the manufacture and sale
of industrial alcohol. The
company is a holding
company. The company was
founded in 1949.</t>
  </si>
  <si>
    <t xml:space="preserve">Otsuka Holdings Co Ltd
Kirin Holdings Co Ltd</t>
  </si>
  <si>
    <t xml:space="preserve">OTSUKA HOLDINGS CO LTD/KYOWA HAKKO KIRIN CO LTD-STRATEGIC ALLIANCE</t>
  </si>
  <si>
    <t xml:space="preserve">Otsuka Pharmaceutical Co Ltd (OP) and Kyowa Hakko Kirin Co Ltd (KH) planned
to form a strategic alliance under which KH was granted exclusive rights
for the development and marketing of OP's saxagliptin, a hypoglycemic
(anti-diabetic) agent in Japan. OP was entitled to receive upfront payment
of JPY 3000 mil (USD 37.8 mil) and JPY 8200 mil (USD 103.2 mil) at the time
of saxagliptin's approval in Japan as well as royalties after the launch of
saxagliptin.</t>
  </si>
  <si>
    <t xml:space="preserve">OP was entitled to receive upfront payment of JPY 3000 mil (USD 37.8 mil)
and JPY 8200 mil (USD 103.2 mil) at the time of saxagliptin's approval in
Japan as well as royalties after the launch of saxagliptin.</t>
  </si>
  <si>
    <t xml:space="preserve">68918R
J38296</t>
  </si>
  <si>
    <t xml:space="preserve">Otsuka Pharmaceutical Co Ltd (OP) and Kyowa Hakko Kirin Co Ltd (KH) formed
a strategic alliance for the research and development of KH's oncology
portfolio in Japan and Asia.</t>
  </si>
  <si>
    <t xml:space="preserve">Biogen Idec Inc
Isis Pharmaceuticals Inc</t>
  </si>
  <si>
    <t xml:space="preserve">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
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</si>
  <si>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BIOGEN IDEC/ISIS PHARMACEUTICALS INC-STRATEGIC ALLIANCE</t>
  </si>
  <si>
    <t xml:space="preserve">Biogen Idec Inc (BI) and Isis Pharmaceuticals, Inc (IP) formed a global
strategic alliance to develop and commercialize a antisense drug for the
treatment of myotonic dystrophy type 1 (DM1), which is also known as
Steinert disease. IP will receive upfront payment worth USD 12 mil and is
in charge of the discovery of a lead antisense drug candidate targeting
DMPK for the treatment of DM1. IP is entitled to receive up to USD 59 mil
payment for clinical development of the DMPK-targeting drug prior to
licensing. BI may or may not license the drug from IP up through the
completion of the Phase 2 trial. IP could receive up to another USD 200 mil
in a license fee and regulatory payments as well as double-digit royalties
on sales of the drug.</t>
  </si>
  <si>
    <t xml:space="preserve">IP will receive upfront payment worth USD 12 mil and is in charge of the
discovery of a lead antisense drug candidate targeting DMPK for the
treatment of DM1. IP is entitled to receive up to USD 59 mil payment for
clinical development of the DMPK-targeting drug prior to licensing. BI may
or may not license the drug from IP up through the completion of the Phase
2 trial. IP could receive up to another USD 200 mil in a license fee and
regulatory payments as well as double-digit royalties on sales of the
drug.</t>
  </si>
  <si>
    <t xml:space="preserve">09062X
464330</t>
  </si>
  <si>
    <t xml:space="preserve">Novo Nordisk A/S
Benaroya Research Institute</t>
  </si>
  <si>
    <t xml:space="preserve">Healthcare company
Pvd biomedical research</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</si>
  <si>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Benaroya Research Institute at
Virginia mason is a non-profit
biomedical research institute
on First Hill in Seattle, WA.
The company provide immune
system and autoimmune disease
research with a focus on
translating laboratory
discoveries to real life
applications while finding
causes and cures to eliminate
autoimmune diseases including
Type 1 diabetes, arthritis,
lupus, multiple sclerosis,
scleroderma and many others.
The company has a Clinical
Research Center (CRC) in the
Virginia Mason Medical Center
that is committed in providing
patients with treatment and
oversight of research
procedures. The company was
founded in 1956.</t>
  </si>
  <si>
    <t xml:space="preserve">2833
8733</t>
  </si>
  <si>
    <t xml:space="preserve">Novo Nordisk Foundation
Benaroya Research Institute</t>
  </si>
  <si>
    <t xml:space="preserve">6732
8733</t>
  </si>
  <si>
    <t xml:space="preserve">NOVO NORDISK A/S/BENAROYA RESEARCH INSTITUTE-STRATEGIC ALLIANCE</t>
  </si>
  <si>
    <t xml:space="preserve">Novo Nordisk A/S (NN) and Benaroya Research Institute (BR) formed a three
year strategic alliance to provide research and development of the
diagnosis and treatment of inflammatory diseases like rheumatoid
arthritis.</t>
  </si>
  <si>
    <t xml:space="preserve">670100
08198F</t>
  </si>
  <si>
    <t xml:space="preserve">Dow AgroSciences LLC
Royal Barenbrug Group</t>
  </si>
  <si>
    <t xml:space="preserve">Mnfr crop protection products
Produce plant breeding</t>
  </si>
  <si>
    <t xml:space="preserve">Dow AgroSciences LLC, located
in Indianapolis, Indiana,
manufactures crop protection
products. It offers
insecticides including
herbicides, insecticides,
fumigants and fungicides. It
also provides agronomic seed
development services to offer
seeds for corn, sunflowers,
canola, cotton, soybeans and
alfalfa. The Company was
founded in 1989.
Royal Barenbrug Group engages
in plant breeding, and grass
seed production and marketing
businesses. The company
provides forage grasses,
legumes, and other crops for
dairy, meat, and livestock
industries. It offers turf
grass products for golf
fairways and greens, sports
turf, professional landscape
or residential lawns, and sod
industry. The company offers
its turf, forage, and wildlife
seed through a network of
wholesalers and distributors,
and retail chain stores
worldwide. The Royal Barenbrug
Group was founded in 1904.</t>
  </si>
  <si>
    <t xml:space="preserve">2879
0181</t>
  </si>
  <si>
    <t xml:space="preserve">The Dow Chemical Co
Royal Barenbrug Group</t>
  </si>
  <si>
    <t xml:space="preserve">2821
0181</t>
  </si>
  <si>
    <t xml:space="preserve">DOW AGROSCIENCES LLC/ROYAL BARENBRUG GROUP-STRATEGIC ALLIANCE</t>
  </si>
  <si>
    <t xml:space="preserve">Dow AgroSciences LLC (DA) and Royal Barenbrug Group (RB) planned to form a
strategic alliance to develop and commercialize advanced germplasm in
forage seeds. In conjunction with this alliance, DA will be a minority
shareholder in Barenbrug Holding a unite of RB that will grant RB access to
the select hybrid Brachiaria germplasm.</t>
  </si>
  <si>
    <t xml:space="preserve">42867Y
78047P</t>
  </si>
  <si>
    <t xml:space="preserve">Bristol-Myers Squibb Co
AstraZeneca PLC</t>
  </si>
  <si>
    <t xml:space="preserve">Manufactures pharmaceuticals and medical products
Manufactures, wholesales pharmaceutical products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</si>
  <si>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</si>
  <si>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BRISTOL-MYERS SQUIBB CO/ASTRAZENECA PLC-JOINT VENTURE</t>
  </si>
  <si>
    <t xml:space="preserve">Bristol-Myers Squibb Co (BM) and AstraZeneca PLC (AZ) planned to form a
Joint venture to develop and commercialize Amylin Pharmaceuticals Inc's
(AP) products. Under the terms of agreement AstraZeneca Plc (LON:AZN) had
agreed to buy out US peer Bristol-Myers Squibb Co's (NYSE:BMY) stake in
their diabetes joint venture for up to USD 4.1bil (EUR3bn).The purchase
price includes an initial sum of USD2.7bil, due to be paid upon completion,
and a further up to USD1.4bil in additional payments.</t>
  </si>
  <si>
    <t xml:space="preserve">products. Under the terms of agreement AstraZeneca Plc (LON:AZN) had agreed
to buy out US peer Bristol-Myers Squibb Co's (NYSE:BMY) stake in their
diabetes joint venture for up to USD 4.1bil (EUR3bn).</t>
  </si>
  <si>
    <t xml:space="preserve">110122
046353</t>
  </si>
  <si>
    <t xml:space="preserve">National Environment Agency
IBM Corp</t>
  </si>
  <si>
    <t xml:space="preserve">Government agency
Manufacture computer products</t>
  </si>
  <si>
    <t xml:space="preserve">Government agency
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t>
  </si>
  <si>
    <t xml:space="preserve">9511
3571</t>
  </si>
  <si>
    <t xml:space="preserve">NATIONAL ENVIRONMENT AGENCY OF SINGAPORE/INTERNATIONAL BUSINESS MACHINES
CORP-STRATEGIC ALLIANCE</t>
  </si>
  <si>
    <t xml:space="preserve">National Environment Agency of Singapore (NE) and International Business
Machines (IB) planned to form a strategic alliance for the research and
development of advanced modeling and predictive capabilities to address key
environmental concerns in Singapore such as air quality, extreme weather
events, dengue outbreaks and food poisoning incidents. The alliance will
enable NE and IB's researchers to capture data in real time and turn this
unstructured information into intelligence, or even predictive insight that
facilitates smarter decisions.</t>
  </si>
  <si>
    <t xml:space="preserve">63583X
459200</t>
  </si>
  <si>
    <t xml:space="preserve">State Grid Corp Of China
Redes Energeticas Nacionais</t>
  </si>
  <si>
    <t xml:space="preserve">Electric utility company
Provide electric services</t>
  </si>
  <si>
    <t xml:space="preserve">State Grid Corp of China is
an electric power
distributor. The Company was
founded in December 2002 and
is located in Beijing,
China.
REN Redes Energeticas
Nacionais SGPS SA, located
in Lisbon, Portugal, is a
holding Company involved in
the energy sector. The
Company activities are
divided into three business
segments. The Electricity
segment is primarily engaged
in the transmission of
high-voltage electricity and
overall technical management
of the National Electricity
System. The Gas segment
transports natural gas at
high-pressure and
underground storage natural
gas, as well as offers
technical management of the
National Natural Gas System.
The Telecommunication
segment, which operates
through Rentelecom, includes
a range of services, such as
infrastructure, managed
services, consultancy, and
operation of
telecommunication
infrastructure and rental of
fiber optic cables.</t>
  </si>
  <si>
    <t xml:space="preserve">China
Portugal</t>
  </si>
  <si>
    <t xml:space="preserve">STATE GRID CORP OF CHINA/REDES ENERGETICAS NACIONAIS SGPS SA{REN}-JOINT
VENTURE</t>
  </si>
  <si>
    <t xml:space="preserve">State Grid Corp of China (SG) and Redes Energetica Nacionais SGPS SA{REN}
(RE) signed MoU to form a joint venture to establish research and
development services in Portugal and to provide support and consulting
services for electric or power projects in Brazil. SG will invest EUR 12
mil (USD 15.036 MIL) for the research and development center in Portugal.</t>
  </si>
  <si>
    <t xml:space="preserve">Research &amp; Development Services
Consulting Services
Electric Utility Services</t>
  </si>
  <si>
    <t xml:space="preserve">State Grid Corp of China will invest EUR 12 mil (USD 15.036 MIL) for the
research and development center in Portugal.</t>
  </si>
  <si>
    <t xml:space="preserve">85688Y
75666J</t>
  </si>
  <si>
    <t xml:space="preserve">TVI Resource Dvlp(Phils)Inc
Mindoro Resources Ltd</t>
  </si>
  <si>
    <t xml:space="preserve">Pvd expl,prodn base metals
Gold,copper mining company</t>
  </si>
  <si>
    <t xml:space="preserve">TVI Resource
Development(Phils)Inc, located
in the Philippines, provides
exploration and production of
precious and base metals.
These metals include gold,
silver, copper, zinc, and
sulfur. The company is focused
in conducting its services in
Zamboanga Peninsula of the
Philippines. The company is an
affiliate of the Canadian
company: TVI Pacific Inc.
Mindoro Resources Ltd, located
in Edmonton, Alberta, is a
gold and copper mining company
with exploration projects in
the Philippines, particularly
in Batangas and Surigao. The
company was founded in 1994.</t>
  </si>
  <si>
    <t xml:space="preserve">1021
1041</t>
  </si>
  <si>
    <t xml:space="preserve">Philippines
Canada</t>
  </si>
  <si>
    <t xml:space="preserve">TVI Pacific Inc
Mindoro Resources Ltd</t>
  </si>
  <si>
    <t xml:space="preserve">TVI RESOURCE DEVELOPMENT(PHILS)INC/MINDORO RESOURCES LTD-JOINT VENTURE</t>
  </si>
  <si>
    <t xml:space="preserve">TVI Resource Development(Phils)Inc (TR) and Mindoro Resources Ltd (MR)
signed an agreement to form a 60:40 joint venture, Agata Processing, to
conduct a definitive feasibility study (DFS) on nickel processing in
Philippines. The joint venture will be supporting stage two of the Agata
Nickel project in Surigao. The DFS is expected to be completed within four
years after the joint venture is signed. TR is required to invest at least
USD 2 mil within 12 months of the agreement to earn its shareholding. TR
will also provide the entire required funding for the DFS.</t>
  </si>
  <si>
    <t xml:space="preserve">TVI Resource Development(Phils)Inc is required to invest at least USD 2 mil
within 12 months of the agreement to earn its shareholding.</t>
  </si>
  <si>
    <t xml:space="preserve">88272R
602913</t>
  </si>
  <si>
    <t xml:space="preserve">Midland Development Corp
XCOR Aerospace Inc</t>
  </si>
  <si>
    <t xml:space="preserve">Development co
Research,dev,prod aero vehicle</t>
  </si>
  <si>
    <t xml:space="preserve">Midland Development Corp,
located in Midland, Texas,
promotes business expansion in
the greater Midland, Texas
area by building a strong and
diversified economy through
job creation and capital
investment. It was founded in
January 2002.
XCOR Aerospace Inc, located in
Mojave, California, is engaged
in the research, development,
and production of reusable
launch vehicles and rocket
engines and propulsion systems
for aerospace prime
contractors and government
customers in the US. It was
founded in 1999.</t>
  </si>
  <si>
    <t xml:space="preserve">1521
9661</t>
  </si>
  <si>
    <t xml:space="preserve">MIDLAND DEVELOPMENT CORP/XCOR AEROSPACE INC-JOINT VENTURE</t>
  </si>
  <si>
    <t xml:space="preserve">Midland Development Corp (Midland) and XCOR Aerospace Inc (XCOR) formed a
joint venture to provide research and development services of aerospace
vehicles. The joint venture will have a research and development center
that will be located in Midland International Airport of Midland, Texas.
The joint venture is expected to start its operations within the next
eighteen(18) months.</t>
  </si>
  <si>
    <t xml:space="preserve">59788Q
97966V</t>
  </si>
  <si>
    <t xml:space="preserve">BioView Ltd
ScreenCell SA</t>
  </si>
  <si>
    <t xml:space="preserve">Mnfr lab equips
Biotechnology company</t>
  </si>
  <si>
    <t xml:space="preserve">BioView Ltd, located in
Rehovot, Israel with a
subsidiary in the United
States, manufactures and
productes laboratory equipment
and automated cell diagnostic
system for use in cytology,
cytogenetics, hematology and
pathology laboratories. The
company's automated scanning
imaging system was branded as
Duet. Founded in 2000. the
company is constantly
upgrading its clinical studies
and is developing novel
technologies and applications
for cancer screening &amp;
diagnosis.
ScreenCell SA develops
filtration devices for the
isolation of circulating rare
cells in France. It offers
isolation devices, such as
cytology kits for cellular
biology studies; cell culture
kits; and molecular biology
kits for molecular biology
studies. The company provides
dilution buffers, which
include fixed and live cells
dilution buffers. It also
offers hands-on instrument
training sessions, as well as
applications-based courses on
the use of its devices and
protocols in cell biology,
cell culture, and molecular
biology.</t>
  </si>
  <si>
    <t xml:space="preserve">Israel
France</t>
  </si>
  <si>
    <t xml:space="preserve">BIOVIEW LTD/SCREENCELL SA-STRATEGIC ALLIANCE</t>
  </si>
  <si>
    <t xml:space="preserve">BioView Ltd (BV) and ScreenCell SA (SC) formed a strategic alliance to
develop circulating tumor cell analysis technology. Under which, BV will
integrate its Automated Cell Imaging Systems with SC's Cyto Kit.</t>
  </si>
  <si>
    <t xml:space="preserve">08984K
81085L</t>
  </si>
  <si>
    <t xml:space="preserve">Gevo Inc
Beta Renewables SpA</t>
  </si>
  <si>
    <t xml:space="preserve">Mnfr,develop bio-products
Manufacture cellulose biomass</t>
  </si>
  <si>
    <t xml:space="preserve">Gevo Inc, located in
Englewood, Colorado,
manufactures and develops
bio-products for
transportation fuel and
chemical industries. It
develops a technology to
convert sugar derived from
biomass into alcohols and
hydrocarbons. It was founded
in 2005.
Beta Renewables SpA, located
in Rivalta Scrivia, Italy,
manufactures non-food
cellulose biomass for the
production of advanced
biofuels and biochemicals. The
company was founded in June
2009.</t>
  </si>
  <si>
    <t xml:space="preserve">Gevo Inc
TPG Capital LP</t>
  </si>
  <si>
    <t xml:space="preserve">2869
6799</t>
  </si>
  <si>
    <t xml:space="preserve">GEVO INC/BETA RENEWABLES SPA-STRATEGIC ALLIANCE</t>
  </si>
  <si>
    <t xml:space="preserve">Gevo Inc (Gevo) and Beta Renewables Spa (Beta) formed a strategic alliance
to develop integrated process for the production of bio-based isobutanol
from cellulosic, non-food biomass under which Beta's PROESA(TM) technology
will be integrated with Gevo's GIFT(R) and ATJ technologies. The alliance
also includes the commercialization of the technology.</t>
  </si>
  <si>
    <t xml:space="preserve">374396
05351H</t>
  </si>
  <si>
    <t xml:space="preserve">Alnylam Pharmaceuticals Inc
Ascletis Pharma Inc</t>
  </si>
  <si>
    <t xml:space="preserve">Manufacture biological products
Therapeutic,pharm co</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</si>
  <si>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Ascletis Pharma Inc,
incorporated in Cayman
Islands, is an investment
holding company. It along
with its subsidiaries are
mainly engaged in
manufacturing and
wholesaling pharmaceuticals.
The company was founded in
February 2014. February
2014.</t>
  </si>
  <si>
    <t xml:space="preserve">ALNYLAM PHARMACEUTICALS INC/ASCLETIS INC-STRATEGIC ALLIANCE</t>
  </si>
  <si>
    <t xml:space="preserve">Alnylam Pharmaceuticals Inc (AP) and Ascletis Inc (AS) formed a strategic
alliance to develop ALN-VSP in China. ALN-VSP is a treatment for liver
cancers and hepatocellular carcinoma (HCC). AS has the rights to
commercialize ALN-VSP in the following Asian countries: China, Hong Kong,
Macau and Taiwan.</t>
  </si>
  <si>
    <t xml:space="preserve">02043Q
04818Q</t>
  </si>
  <si>
    <t xml:space="preserve">Genmab A/S
Janssen Biotech Inc</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</si>
  <si>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</si>
  <si>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Genmab A/S
J&amp;J</t>
  </si>
  <si>
    <t xml:space="preserve">GENMAB A/S/JANSSEN BIOTECH INC-STRATEGIC ALLIANCE</t>
  </si>
  <si>
    <t xml:space="preserve">Genmab A/S (Genmab) and Janssen Biotech, Inc (Janssen) renegotiated their
strategic alliance agreement to develop bispecific antibodies. Under the
agreement, JB was granted license to create and develop bispecific
antibodies using GM's DuoBody technology platform, a platform used for the
discovery and development of bispecific antibodies to improve antibody
therapy of cancer, autoimmune, infectious and central nervous system
disease. GM received a USD 3.5 mil upfront payment and is entitled to
receive up to USD 175 mil milestone and license payments as well as
royalties on any commercialized products. On 4th December 2013, announced
an extension of the JV, the original agreement entitled Janssen to work on
up to ten DuoBody programs. Under the terms of the amendment, Janssen is
entitled to work on up to ten additional programs. Genmab will receive an
initial payment of $2 million (approximately DKK 11 million) from Janssen.
For each of the ten additional programs that Janssen successfully
initiates, develops and commercializes, Genmab will potentially be entitled
to milestone and license payments of up to approximately $174 million to
$219 million, depending on the date each program is initiated.</t>
  </si>
  <si>
    <t xml:space="preserve">GM received a USD 3.5 mil upfront payment and is entitled to receive up to
USD 175 mil milestone and license payments as well as royalties on any
commercialized products. . On 4th December 2013, announced an extension of
the JV, the original agreement entitled Janssen to work on up to ten
DuoBody programs. Under the terms of the amendment, Janssen is entitled to
work on up to ten additional programs. Genmab will receive an initial
payment of $2 million (approximately DKK 11 million) from Janssen. For each
of the ten additional programs that Janssen successfully initiates,
develops and commercializes, Genmab will potentially be entitled to
milestone and license payments of up to approximately $174 million to $219
million</t>
  </si>
  <si>
    <t xml:space="preserve">K3967W
44300K</t>
  </si>
  <si>
    <t xml:space="preserve">Sanofi SA
Brigham &amp; Womens Hospital</t>
  </si>
  <si>
    <t xml:space="preserve">Manufactures pharmaceuticals products
Own,op hospital</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</si>
  <si>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Brigham &amp; Women's Hospital,
located in Boston,
Massachusetts, owns and
operates a hospital with
basic, clinical and
translational research on
human diseases, involving
more than 860
physician-investigators and
renowned biomedical
scientists.</t>
  </si>
  <si>
    <t xml:space="preserve">SANOFI SA/BRIGHAM &amp; WOMEN'S HOSPITAL-STRATEGIC ALLIANCE</t>
  </si>
  <si>
    <t xml:space="preserve">Sanofi SA (SS) and Brigham &amp; Women's Hospital (BW) planned to form a
strategic alliance to develop a novel immunomodulatory approach to treat
type 1 diabetes. Under which researches from SS and BW will undertake
proof-of-concept, safety and functional studies.</t>
  </si>
  <si>
    <t xml:space="preserve">80105N
10916M</t>
  </si>
  <si>
    <t xml:space="preserve">Accera Inc
Nestle Health Science SA</t>
  </si>
  <si>
    <t xml:space="preserve">Biotechnology company
Mnfr dietary supplements</t>
  </si>
  <si>
    <t xml:space="preserve">Accera Inc, located in
Boulder, Colorado, is a
biotechnology company
engaged in the discovery and
development of innovative
therapeutic treatments for
neurodegenerative diseases.
Its products include medical
foods development, and drug
development.
Nestle Health Science SA,
located in Epalinges,
Switzerland, is a health
science company engaged in
nutritional therapy for
consumers, patients and its
partners in healthcare. Its
portfolio is comprised of
nutrition solutions,
diagnostics, devices and
drugs, that targets health
areas such as inborn errors
of metabolism, pediatric and
acute care, obesity care,
healthy aging as well as
gastrointestinal and brain
health. The Company was
founded in 2011.</t>
  </si>
  <si>
    <t xml:space="preserve">Accera Inc
Nestle SA</t>
  </si>
  <si>
    <t xml:space="preserve">ACCERA INC/NESTLE HEALTH SCIENCE SA-STRATEGIC ALLIANCE</t>
  </si>
  <si>
    <t xml:space="preserve">Accera Inc (Accera) and Nestle Health Science SA (Nestle) formed a
strategic alliance to develop and commercialize medical food called
Axona(R) used in metabolic processes associated with mild to moderate
Alzheimer's disease's clinical dietary management. The alliance allows
Accera to have larger clinical trials within United States. Other terms of
the transaction were not disclosed.</t>
  </si>
  <si>
    <t xml:space="preserve">98807J
63996Y</t>
  </si>
  <si>
    <t xml:space="preserve">Novavax Inc
PATH</t>
  </si>
  <si>
    <t xml:space="preserve">Biotechnology company
Nonprofit health org</t>
  </si>
  <si>
    <t xml:space="preserve">Novavax Inc, located in
Rockville, Maryland, is a
biotechnology company
focused in the research,
development, marketing and
distribution of potent
vaccines to protect against
H5N1 pandemic influenza,
seasonal flu and other viral
diseases, including HIV,
SARS, influenza and
E-selection tolerogen for
the prevention of stroke.
The company's trademark
products were Nestabs(R),
NovaNatal(R) and
NovaStart(R), a line of
prescription prenatal
vitamins, Gynodiol(R)
(estradiol tablets, USP), an
oral form of estrogen
therapy, AVC(TM) Cream
(sulphanilamide vaginal
cream) for vaginal
infections and Analpram
HC(R), a prescription
corticosteroid and
antipruritic product for
hemorrhoids. The company was
founded in 1987.
PATH, located in Seattle,
Washington, is a non-profit
health innovation
organization. The organization
is focused on delivering
innovative healthcare solution
in answer to different health
problems such as emerging and
epidemic diseases, maternal
and child health, reproductive
health, health technologies
and vaccines and immunization.</t>
  </si>
  <si>
    <t xml:space="preserve">2836
8399</t>
  </si>
  <si>
    <t xml:space="preserve">MD
WA</t>
  </si>
  <si>
    <t xml:space="preserve">NOVAVAX INC/PROGRAM FOR APPROPRIATE TECHNOLOGY IN HEALTH{PATH}-STRATEGIC
ALLIANCE</t>
  </si>
  <si>
    <t xml:space="preserve">Novavax, Inc (NI) and Program for Appropriate Technology in Health{PATH}
(PA) planned to form a strategic alliance for the development and
commercialization of respiratory syncytial virus (RSV) vaccine. NI was
granted a USD 2 mil funding for the Phase II dose-ranging clinical trial.</t>
  </si>
  <si>
    <t xml:space="preserve">NI was granted a USD 2 mil funding for the Phase II dose-ranging clinical
trial.</t>
  </si>
  <si>
    <t xml:space="preserve">670002
74317N</t>
  </si>
  <si>
    <t xml:space="preserve">Guangdong Dahuanong Animal
PRFRI</t>
  </si>
  <si>
    <t xml:space="preserve">Mnfr,whl animal health prod
Pvd research, dvlp svcs</t>
  </si>
  <si>
    <t xml:space="preserve">Guangdong Dahuanong Animal
Health Products Co Ltd,
located in China, manufactures
and wholesales animal heath
products. It is also engaged
in the production and
marketing of poultry eggs. Its
main products are veterinary
biological products,
veterinary chemical drugs,
Chinese herbal medicines for
animals, feeds additives. The
company was founded in 2004.
Pearl River Fisheries Research
Institute {PRFI} provides
research and development
services, headquartered in
China. The company integrates
basic and applied research for
tropical and subtropical
fisheries. It owns laboratory
for aquatic farming &amp;
nutrition, fishery genetic
resource &amp; breeding, fish
disease prevention &amp; cure,
fishery resource &amp; environment
and fish biotechnology. The
company is owned by Chinese
Academy of Fishery Sciences.</t>
  </si>
  <si>
    <t xml:space="preserve">Guangdong Dahuanong Animal
Chinese Ministry of Agr</t>
  </si>
  <si>
    <t xml:space="preserve">2836
0112</t>
  </si>
  <si>
    <t xml:space="preserve">GUANGDONG DAHUANONG ANIMAL HEALTH PRODUCTS CO LTD/PEARL RIVER FISHERIES
RESEARCH INSTITUTE-JOINT VENTURE</t>
  </si>
  <si>
    <t xml:space="preserve">Guangdong Dahuanong Animal Health Products Co Ltd (GD) and Pearl River
Fisheries Research Institute (PR) agreed to form a 90:10 joint venture to
provide research and development services about aquatic vaccines in China.
The joint venture will have a registered capital of CNY 20 mil (USD 3.14
mil).</t>
  </si>
  <si>
    <t xml:space="preserve">The joint venture will have a registered capital of CNY 20 mil (USD 3.14
mil).</t>
  </si>
  <si>
    <t xml:space="preserve">40758L
70507R</t>
  </si>
  <si>
    <t xml:space="preserve">PAREXEL International Corp
Korea Drug Development Fund</t>
  </si>
  <si>
    <t xml:space="preserve">Pvd biopharmaceutical svcs
Pvd drug dvlp funding svcs</t>
  </si>
  <si>
    <t xml:space="preserve">PAREXEL International Corp,
located in Waltham,
Massachusetts, provides
biopharmaceutical services,
including social sciences
research and development
services. It offers
expertise-based clinical
research, consulting, medical
communications and technology
solutions and services
worldwide pharmaceutical,
biotechnology and medical
device industries. It
currently has offices in 86
locations in 51 countries
across the world and employs
approximately 19,600
employees. The Company was
founded in 1982.
Korea Drug Development Fund
{KDDF} provides drug
development funding services.
The company is an association
formed among the Ministry of
Knowledge Economy, the
Ministry of Education, Science
and Technology, and the
Ministry of Health and Welfare
in Korea. The company was
founded in September 2011.</t>
  </si>
  <si>
    <t xml:space="preserve">8731
6726</t>
  </si>
  <si>
    <t xml:space="preserve">PAREXEL INTERNATIONAL CORP/KOREA DRUG DEVELOPMENT FUND {KDDF}-STRATEGIC
ALLIANCE</t>
  </si>
  <si>
    <t xml:space="preserve">PAREXEL International Corp and Korea Drug Development Fund {KDDF} formed a
strategic alliance, to provide drug related consulting services and to
develop healthcare products.</t>
  </si>
  <si>
    <t xml:space="preserve">699462
60066E</t>
  </si>
  <si>
    <t xml:space="preserve">Pacific Biosciences of CA Inc
IMEC</t>
  </si>
  <si>
    <t xml:space="preserve">Mnfr gene sequencing sys
Pvd research,dvlp svcs</t>
  </si>
  <si>
    <t xml:space="preserve">Pacific Biosciences of
California Inc, located in
Menlo Park, California,
designs, develops and
manufactures sequencing
systems to help scientists
resolve genetically complex
problems. The Company is
engaged in the development,
manufacturing and marketing
of an integrated platform
for genetic analysis. Its
Single Molecule, Real-Time
(SMRT) technology enables
single molecule, real-time
detection of biological
processes. It offers The
SMRT Cell, Phospholinked
nucleotides and The PacBio
RS II and Sequel
instruments. Its SMRT
technology enables the
observation of
deoxyribonucleic acid (DNA)
synthesis as it occurs in
real-time by harnessing the
natural process of DNA
replication, which is
actuated by the DNA
polymerase. Its
phospholinked nucleotides
have a fluorescent dye
attached to the phosphate
chain of the nucleotide
rather than to the base. The
PacBio RS II and Sequel
instruments include optics,
automated liquid handling, a
touch screen control
interface and computational
hardware and software. The
Company was founded in 2000.
IMEC VZW, headquartered in
Leuven, Belgium, provides
research and development
services for microelectronics,
nomadic embedded systems,
wireless autonomous transducer
solutions, biomedical
electronics, photovoltaic,
organic electronics and GaN
power electronics. Founded in
1982.</t>
  </si>
  <si>
    <t xml:space="preserve">3826
8733</t>
  </si>
  <si>
    <t xml:space="preserve">PACIFIC BIOSCIENCES OF CALIFORNIA INC/IMEC-STRATEGIC ALLIANCE</t>
  </si>
  <si>
    <t xml:space="preserve">Pacific Biosciences of California, Inc (PB) and Imec (IM) planned to form a
strategic alliance to conduct research and development of advanced
microchips for highly multiplexed single molecule genetic analysis.</t>
  </si>
  <si>
    <t xml:space="preserve">69404D
45248J</t>
  </si>
  <si>
    <t xml:space="preserve">Bjorksten bit 7
Granite MEDSystems</t>
  </si>
  <si>
    <t xml:space="preserve">Pvd product rsrch, dvt svcs
Dvlp elctrnc,mechcl assemblies</t>
  </si>
  <si>
    <t xml:space="preserve">Bjorksten Bit 7, located in
Madison, Wisconsin is a
product design and development
consulting firm which offers
research, development, and
engineering services.
Granite MEDSystems, a division
of Granite Microsystems,
develops and supplies
customized electronic and
mechanical assemblies to the
medical OEM. The company's
products line includes Medical
Grade Power, Complex Turnkey
Systems, No THX. No 5.1
Surround Sound, PMT1000
patient monitor, among other
products.</t>
  </si>
  <si>
    <t xml:space="preserve">8731
3679</t>
  </si>
  <si>
    <t xml:space="preserve">WI
WI</t>
  </si>
  <si>
    <t xml:space="preserve">Bjorksten bit 7
Granite Microsystems Inc</t>
  </si>
  <si>
    <t xml:space="preserve">BJORKSTEN | BIT 7/GRANITE MEDSYSTEMS-JOINT VENTURE</t>
  </si>
  <si>
    <t xml:space="preserve">Bjorksten | bit 7 (BB) and Granite MEDSystems (GM) formed a joint venture
to develop medical devices.</t>
  </si>
  <si>
    <t xml:space="preserve">09966Q
38743L</t>
  </si>
  <si>
    <t xml:space="preserve">ProMetic Life Sciences Inc
NantPharma LLC</t>
  </si>
  <si>
    <t xml:space="preserve">Mnfr biopharmaceuticals
Manufacture pharmaceuticals</t>
  </si>
  <si>
    <t xml:space="preserve">October14, 1994. ProMetic
Life Sciences Inc, located
in Laval, Quebec,
manufactures
biopharmaceuticals. It
offers technologies for
large-scale drug
purification, drug
development, proteomics (the
study of proteins), and the
elimination of pathogens. It
develops therapeutics to
treat blood-related
disorders and is a
world-leading technology
provider and drug developer
in the fields of hematology,
oncology and nephrology. The
company was founded in
October14, 1994.
NantPharma LLC, located in
Lincolnshire, Illinois,
manufactures and wholesales
injectable pharmaceuticals
such as crude heparin which is
processed from porcine
intestinal mucosa collected
exclusively from
slaughterhouses in the United
States and Europe.</t>
  </si>
  <si>
    <t xml:space="preserve">ProMetic Life Sciences Inc
NantWorks LLC</t>
  </si>
  <si>
    <t xml:space="preserve">PROMETIC LIFE SCIENCES INC/NANTPHARMA LLC-JOINT VENTURE</t>
  </si>
  <si>
    <t xml:space="preserve">NantPro BioSciences LLC is a
pharmaceutical manufacturing
firm. The company is a joint
venture between ProMetic Life
Sciences Inc and NantPharma,
LLC.</t>
  </si>
  <si>
    <t xml:space="preserve">ProMetic Life Sciences Inc (PM) and NantPharma LLC (NP) formed a joint
venture named NantPro BioSciences, LLC, to develop and commercialize a
plasma-derived biopharmaceutical product for the US market.</t>
  </si>
  <si>
    <t xml:space="preserve">63364Q</t>
  </si>
  <si>
    <t xml:space="preserve">74342Q
63364P</t>
  </si>
  <si>
    <t xml:space="preserve">ProMetic Life Sciences Inc
NantPro BioSciences LLC</t>
  </si>
  <si>
    <t xml:space="preserve">Mnfr biopharmaceuticals
Mnfr pharm</t>
  </si>
  <si>
    <t xml:space="preserve">October14, 1994. ProMetic
Life Sciences Inc, located
in Laval, Quebec,
manufactures
biopharmaceuticals. It
offers technologies for
large-scale drug
purification, drug
development, proteomics (the
study of proteins), and the
elimination of pathogens. It
develops therapeutics to
treat blood-related
disorders and is a
world-leading technology
provider and drug developer
in the fields of hematology,
oncology and nephrology. The
company was founded in
October14, 1994.
NantPro BioSciences LLC is a
pharmaceutical manufacturing
firm. The company is a joint
venture between ProMetic Life
Sciences Inc and NantPharma,
LLC.</t>
  </si>
  <si>
    <t xml:space="preserve">ProMetic Life Sciences Inc
ProMetic Life Sciences Inc</t>
  </si>
  <si>
    <t xml:space="preserve">PROMETIC LIFE SCIENCES INC/NANTPRO BIOSCIENCES LLC-STRATEGIC ALLIANCE</t>
  </si>
  <si>
    <t xml:space="preserve">ProMetic Life Sciences Inc (PM) and NantPro BioSciences LLC (NP) formed a
strategic alliance to develop and commercialize a plasma-derived
biopharmaceutical product for the US market. Under the agreement, NP was
granted license for PM's Plasma Protein Purification System and Prion
Reduction for the development and commercialization.</t>
  </si>
  <si>
    <t xml:space="preserve">74342Q
63364Q</t>
  </si>
  <si>
    <t xml:space="preserve">Adimab LLC
Mersana Therapeutics Inc</t>
  </si>
  <si>
    <t xml:space="preserve">Rsch, devlp human antibodies
Biotechnology company</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</si>
  <si>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Mersana Therapeutics Inc is
a biotechnology company
headquartered in Cambridge,
Massachusetts. The company
is a clinical-stage oncology
company that engages in
engineering novel drug
conjugates. Its brands
icnlude Fleximer(R), an
antibody-drug conjugate;
XMT-1001, a novel
camptothecin analog
conjugate for the treatment
of cancer and XMT-1107, a
novel anti-angiogenic
of tumors. The company was
founded in 2002.</t>
  </si>
  <si>
    <t xml:space="preserve">NH
MA</t>
  </si>
  <si>
    <t xml:space="preserve">ADIMAB LLC/MERSANA THERAPEUTICS INC-STRATEGIC ALLIANCE</t>
  </si>
  <si>
    <t xml:space="preserve">Adimab LLC (AM) and Mersana Therapeutics Inc (MT) formed a strategic
alliance to provide integrated antibody discovery and antibody-drug
conjugate (ADC) technologies. The alliance will offer its services to
pharmaceutical companies. The companies may access AM's optimized
antibodies to be used in ADC technologies, along with MT's Fleximer polymer
platform payloads. The alliance aims for an increased target selectivity
and therapeutic efficacy.</t>
  </si>
  <si>
    <t xml:space="preserve">02255X
59064Y</t>
  </si>
  <si>
    <t xml:space="preserve">Guodian Uited Power Tech Co
Guodian Weifang Wind Co</t>
  </si>
  <si>
    <t xml:space="preserve">Mnfr wind turbine generators
Mnfr wind turbines</t>
  </si>
  <si>
    <t xml:space="preserve">Guodian United Power
Technology Co Ltd,
headquartered in China,
manufactures wind turbine
generators. The company has
five wholly owned
subsidiaries, three of which
are holding companies. The
company also has six wind
power equipment manufacturing
and research and development
bases, all located in China.
The company is 70% owned by
Guodian Technology &amp;
Environment Group Corp Ltd The
company was founded in 2007.
Guodian Weifang Wind Power
Generation Co Ltd,
headquartered in China,
manufactures wind turbines.</t>
  </si>
  <si>
    <t xml:space="preserve">China Guodian Corp
Guodian Weifang Wind Co</t>
  </si>
  <si>
    <t xml:space="preserve">GUODIAN UNITED POWER TECHNOLOGY CO LTD/GUODIAN WEIFANG WIND POWER
GENERATION CO LTD-JOINT VENTURE</t>
  </si>
  <si>
    <t xml:space="preserve">Guodian United Power Technology Co Ltd (GU) and Guodian Weifang Wind Power
Generation Co Ltd (GW) agreed to form a 60:40 joint venture in Weifang
City, Shandong,China to research, design, manufacture and sell wind turbine
generators, blades &amp; its accessories; to provide engineering, procurement &amp;
construction (EPC) services for wind power projects. The registered capital
of the joint venture amounts to CNY 75 mil (USD 11.78 mil).</t>
  </si>
  <si>
    <t xml:space="preserve">Research &amp; Development Services
Manufacturing Services
Retail &amp; Wholesale Services
Construction Services
Engineering Services</t>
  </si>
  <si>
    <t xml:space="preserve">The registered capital of the joint venture amounts to CNY 75 mil (USD
11.78 mil).</t>
  </si>
  <si>
    <t xml:space="preserve">40900M
39814R</t>
  </si>
  <si>
    <t xml:space="preserve">Capstone Therapeutics Corp
LipimetiX LLC</t>
  </si>
  <si>
    <t xml:space="preserve">OrthoLogic Corp, located in
Tempe, Arizona, is a
biotechnology company
committed to developing a
pipeline of novel therapeutic
peptides and other molecules
aimed at helping patients with
under-served medical
conditions. It is focused on
the development and
commercialization of two
product platforms: AZX100 and
Chrysalin (rusalatide acetate
or TP508). The company was
founded in 1987.
LipimetiX LLC is a
biotechnology company
headquartered in Boston,
Massachusetts. The companys
brands products include
AEM-18, a products being
developed for genetically
induced refractory
hypercholesterolemia, an
orphan indication that leads
to early cardiovascular
disease; and AEM-28, a
products being developed for
acute coronary syndrome. It
was founded in 2010.</t>
  </si>
  <si>
    <t xml:space="preserve">AZ
MA</t>
  </si>
  <si>
    <t xml:space="preserve">CAPSTONE THERAPEUTICS CORP/LIPIMETIX LLC-JOINT VENTURE</t>
  </si>
  <si>
    <t xml:space="preserve">Capstone Therapeutics Corp (CT) and LipimetiX LLC (LL) formed a joint
venture named LipimetiX Development LLC to develop class of drugs targeted
for indications related to lowering blood cholesterol levels. The JV will
develop a series of Apo E mimetic peptides licensed from The UAB Research
Foundation. CT will contribute USD 6 mil to hold a 60% interest in the JV
while LL will contribute its existing license agreement with UABRF related
to Apo E mimetic peptides AEM-28 and analogs for a 40% share.</t>
  </si>
  <si>
    <t xml:space="preserve">14068E
53668R</t>
  </si>
  <si>
    <t xml:space="preserve">University of Pennsylvania
Novartis AG</t>
  </si>
  <si>
    <t xml:space="preserve">Own,operate university
Pharmaceutical Preparation Manufacturing</t>
  </si>
  <si>
    <t xml:space="preserve">Own and operate university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</si>
  <si>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UNIVERSITY OF PENNSYLVANIA/NOVARTIS AG-STRATEGIC ALLIANCE</t>
  </si>
  <si>
    <t xml:space="preserve">University of Pennsylvania (UP) and Novartis AG (NA) planned to form a
strategic alliance for the research, development and commercialization of
immunotherapies using chimeric antigen receptor (CAR) technologies. Under
which, NA was granted license to the CAR-based therapies and technologies
used in trials for chronic lymphocytic leukemia. UP is entitled to receive
milestone and royalty payments from NA.</t>
  </si>
  <si>
    <t xml:space="preserve">91476C
66987V</t>
  </si>
  <si>
    <t xml:space="preserve">Nufarm Australia Ltd
Starpharma Holdings Ltd</t>
  </si>
  <si>
    <t xml:space="preserve">Mnfr crop protection prdcts
Mnfr prescription pharm</t>
  </si>
  <si>
    <t xml:space="preserve">Nufarm Australia Ltd, located
in Victoria, Australia
manufactures crop protection
products. Some of the
companies products include
ACROBAT, Adonis, Amicide 625,
Amitrole T, Avadex XTRA,
Endosulfan 350 EC as well as
many others.
Starpharma Holdings Ltd, based
in Melbourne, Australia.
manufactures prescription
pharmaceuticals intended for
final consumption, including
biotech products and
antibiotics. It also provides
research and development
services.</t>
  </si>
  <si>
    <t xml:space="preserve">2879
2834</t>
  </si>
  <si>
    <t xml:space="preserve">Nufarm Ltd
Starpharma Holdings Ltd</t>
  </si>
  <si>
    <t xml:space="preserve">NUFARM AUSTRALIA LTD/STARPHARMA HOLDINGS LTD-STRATEGIC ALLIANCE</t>
  </si>
  <si>
    <t xml:space="preserve">Nufarm Australia Ltd (NA) and Starpharma Holdings Ltd (SP) formed a
strategic alliance under to develop crop protection formulations. Under the
agreement, the alliance will apply SP's Priostar(R) dendrimer technology to
develop innovative crop protection formulations for NA's product
portfolio.</t>
  </si>
  <si>
    <t xml:space="preserve">67552Z
85506J</t>
  </si>
  <si>
    <t xml:space="preserve">Islet Sciences Inc
Spring Point Project</t>
  </si>
  <si>
    <t xml:space="preserve">Mnfr biopharmaceutical products
Pvd pig islet cells</t>
  </si>
  <si>
    <t xml:space="preserve">Islet Sciences Inc,
headquartered in Raleigh,
North Carolina manufactures
biopharmaceutical products. It
is involved in developing new
medicines and technologies for
the diagnosis and treatment of
metabolic disease. It is
developing an encapsulated
islet cell transplantation
therapy for the treatment of
type 1 or insulin-dependent
diabetes; immune-modulating
small molecule IL-12
inhibitors that protect
insulin-producing beta-cells
from cytokines responsible for
cell destruction; and a PCR
based molecular diagnostic
measuring hypomethylated beta
cell-derived DNA as a
biomarker of beta cell loss
for the diagnosis of type 1
diabetes or onset of insulin
dependent type 2 diabetes.
Spring Point Project, is a
non-profit organization that
breeds and designated
pathogen-free high-health pigs
that is used in the biomedical
research for treatment and
possible cure of Type 1
diabetes.</t>
  </si>
  <si>
    <t xml:space="preserve">NC
MN</t>
  </si>
  <si>
    <t xml:space="preserve">ISLET SCIENCES INC/SPRING POINT PROJECT-STRATEGIC ALLIANCE</t>
  </si>
  <si>
    <t xml:space="preserve">Islet Sciences, Inc (IS) and Spring Point Project (SP) formed a strategic
alliance to develop clinical trials using encapsulated Islet cells.</t>
  </si>
  <si>
    <t xml:space="preserve">46467R
85312W</t>
  </si>
  <si>
    <t xml:space="preserve">Synthetic Biologics Inc
Intrexon Corp</t>
  </si>
  <si>
    <t xml:space="preserve">Mnfr specialty pharm
Biotechnology company</t>
  </si>
  <si>
    <t xml:space="preserve">Adeona Pharmaceuticals Inc,
located in Rockville,
Maryland, is a specialty
pharmaceutical company that
is developing proprietary,
late-stage drug candidates
for the treatment of
autoimmune and central
nervous system (CNS)
diseases. The company was
founded in 1986.
Intrexon Corp, located in
Germantown, Maryland is a
biotechnology research and
development company. The
company is focused on
bio-molecular tools that
enable researchers to
modulate and report the
activity of protein-protein
interactions in
pre-determined subcellular
locations. It is also
involved in using DNA
technology as natural
control modality for
biological therapeutics. It
has facilities in Maryland,
North Carolina, California.
It was founded in 1998.</t>
  </si>
  <si>
    <t xml:space="preserve">SYNTHETIC BIOLOGICS INC/INTREXON CORP-STRATEGIC ALLIANCE</t>
  </si>
  <si>
    <t xml:space="preserve">Synthetic Biologics, Inc (SB) and Intrexon Corp (IC) formed a worldwide
alliance to develop and commercialize a series of monoclonal antibody (mAb)
therapies for the treatment of certain infectious diseases. Under the
agreement, SB was given access to IC's suite of proprietary technologies,
including UltraVector(R), DNA and RNA MOD engineering, protein engineering,
transcription control chemistry, genome engineering, mAbLogix(TM) human
antibodies, LEAP(TM)-based cell processing and cell system engineering. SB
will issue 3.6 mil common share to IC, following this transaction IC will
own approximately 18% of SB. Upon receipt of certain milestones IC is
entitled to receive milestone fee in cash or additional shares of common
stock as well as quarterly royalties in cash on annualized worldwide net
sales. The transaction was subject to NYSE Amex approval.</t>
  </si>
  <si>
    <t xml:space="preserve">87164U
46122T</t>
  </si>
  <si>
    <t xml:space="preserve">Regulus Therapeutics Inc
AstraZeneca PLC</t>
  </si>
  <si>
    <t xml:space="preserve">Regulus Therapeutics LLC,
headquartered in the United
States and founded on 2007,
manufactures, discovers,
develops and commercializes
microRNA therapeutics that
intends to address
therapeutic opportunities
that arise from abnormal
expression or mutations in
microRNAs.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</si>
  <si>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Alnylam Pharmaceuticals Inc
AstraZeneca PLC</t>
  </si>
  <si>
    <t xml:space="preserve">REGULUS THERAPEUTICS INC/ASTRAZENECA PLC-STRATEGIC ALLIANCE</t>
  </si>
  <si>
    <t xml:space="preserve">Regulus Therapeutics Inc (RT) and AstraZeneca PLC (AZ) formed a strategic
alliance to discover, develop and commercialize microRNA therapeutics for
cardiovascular and metabolic diseases and oncology. AZ will make a payment
of USD 28 mil which includes equity investment and an upfront payment to
RT. RT is also entitled to receive significant launch and commercial
milestone payments and royalties contingent on the successful
commercialization of microRNA therapeutic products by AZ.</t>
  </si>
  <si>
    <t xml:space="preserve">AZ will make a payment of USD 28 mil which includes equity investment and
an upfront payment to RT.</t>
  </si>
  <si>
    <t xml:space="preserve">75915K
046353</t>
  </si>
  <si>
    <t xml:space="preserve">Regulus Therapeutics Inc
Biogen Idec Inc</t>
  </si>
  <si>
    <t xml:space="preserve">Regulus Therapeutics LLC,
headquartered in the United
States and founded on 2007,
manufactures, discovers,
develops and commercializes
microRNA therapeutics that
intends to address
therapeutic opportunities
that arise from abnormal
expression or mutations in
microRNAs.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</si>
  <si>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Alnylam Pharmaceuticals Inc
Biogen Idec Inc</t>
  </si>
  <si>
    <t xml:space="preserve">REGULUS THERAPEUTICS INC/BIOGEN IDEC INC-STRATEGIC ALLIANCE</t>
  </si>
  <si>
    <t xml:space="preserve">Regulus Therapeutics Inc (RT) and Biogen Idec (BI) formed a strategic
alliance to identify microRNAs as biomarkers for multiple sclerosis. Under
the agreement, RT is entitled to receive upfront and milestone payments
from BI. BI will also make an investment in RT.</t>
  </si>
  <si>
    <t xml:space="preserve">75915K
09062X</t>
  </si>
  <si>
    <t xml:space="preserve">Aanjaneya Lifecare Ltd
Undisclosed JV Partner</t>
  </si>
  <si>
    <t xml:space="preserve">Manufacture,wholesale pharm
Investment company</t>
  </si>
  <si>
    <t xml:space="preserve">Aanjaneya Lifecare Ltd,
located in Mumbai, India,
manufactures and wholesales
pharmaceutical products. The
company manufactures
analgesics, animal health
products, anti malarials, and
others. The company was
founded in 1964.
Investment company</t>
  </si>
  <si>
    <t xml:space="preserve">AANJANEYA LIFECARE LTD/UNDISCLOSED JOINT VENTURE PARTNER-JOINT VENTURE</t>
  </si>
  <si>
    <t xml:space="preserve">Aanjaneya Lifecare Ltd (AJ) and an undisclosed German pharmaceutical
company (UG) planned to form a joint venture to provide pharmaceutical
research services. The joint venture will also be engaged in selling
product range of AJ in Middle East, Gulf and African areas. The joint
venture will enable AJ brand be known in novel drug delivery system (NNDS);
new chemical entity (NCE) and contract research and manufacturing services
(CRAMS).</t>
  </si>
  <si>
    <t xml:space="preserve">01569Q
904JVP</t>
  </si>
  <si>
    <t xml:space="preserve">Grafoid Inc
CVD Equipment Corp</t>
  </si>
  <si>
    <t xml:space="preserve">Pvd invstmnt,rsrch,devt
Mnfr commercial and service industry equipment</t>
  </si>
  <si>
    <t xml:space="preserve">Grafoid Inc, located in
Ontario, Canada, is an
investment and research and
development focused on
producing high quality,
economically scalable
graphene. The company invest
in, manage, and develop
markets for processes that
produce economically scalable,
pristine graphene for polymer
and non-polymer, energy
storage and other
applications.
CVD Equipment Corp,
headquartered in Central
Islip, New York,
manufactures, develops,
markets, and installs
industrial equipment. Its
products are used to solar
cells, smart glass, carbon
nanotubes, nanowires, light
emitting diodes (LEDs),
micro electro-mechanical
systems and others. The
Company was founded in 1982.</t>
  </si>
  <si>
    <t xml:space="preserve">3624
3559</t>
  </si>
  <si>
    <t xml:space="preserve">GRAFOID INC/CVD EQUIPMENT CORP-JOINT VENTURE</t>
  </si>
  <si>
    <t xml:space="preserve">Grafoid Inc (Grafoid) and CVD Equipment Corp (CVD) agreed to form a joint
venture for the research and development of NanoToMacro(TM) catalyst
materials. The JV will also engage in developing intellectual properties
that includes the identification and feasibility for creating new
combinations of graphene with carbon nanotubes as a catalyst material.
Grafoid and CVD will each hold a 50% interest in the JV.</t>
  </si>
  <si>
    <t xml:space="preserve">36945M
126601</t>
  </si>
  <si>
    <t xml:space="preserve">Allergan Inc
Molecular Partners AG</t>
  </si>
  <si>
    <t xml:space="preserve">Mnfr eye care,skin care pharmaceutical products
Biotechnology company</t>
  </si>
  <si>
    <t xml:space="preserve">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
Molecular Partners AG, located
in Zurich, Switzerland,
manufactures biological
products. It offers portfolio
of clinical and preclinical
DARPin product candidates. The
company was founded in 2004.</t>
  </si>
  <si>
    <t xml:space="preserve">ALLERGAN INC/MOLECULAR PARTNERS AG-STRATEGIC ALLIANCE</t>
  </si>
  <si>
    <t xml:space="preserve">Allergan Inc (AI) and Molecular Partners AG (MP) formed a strategic
alliance to discover and develop DARPins against selected targets that are
implicated in causing serious diseases of the eye. Concurrently, AI and MP
entered into another alliance for the development of anti-VEGF-A/PDGF-B
DARPin (MP0260). MP is entitled to receive upfront payment of USD 62.5 mil,
which is combined for the two agreements as well as up to USD 1.4 bil in
development, regulatory and sales milestones, and tiered royalties.</t>
  </si>
  <si>
    <t xml:space="preserve">MP is entitled to receive upfront payment of USD 62.5 mil, which is
combined for the two agreements as well as up to USD 1.4 bil in
development, regulatory and sales milestones, and tiered royalties.</t>
  </si>
  <si>
    <t xml:space="preserve">018490
60857Q</t>
  </si>
  <si>
    <t xml:space="preserve">Quantum International Corp
PIAP</t>
  </si>
  <si>
    <t xml:space="preserve">Dvlp clean energy tech
Research,devt co</t>
  </si>
  <si>
    <t xml:space="preserve">National Clean Fuels Inc,
located in Houston Texas, is a
developer of clean energy
technologies and related
alternative energy
technologies, equipment, and
next generation applications.
The company was founded in
2001.
Industrial Research Institute
for Automation &amp; Measurements
is focused on the research and
development and implementing
new technologies, automation
systems, production plant and
specialist measuring equipment
in various branches of
industry. The companys scope
of activity is concentrated in
the fields of automation and
robotization of production
processes; automation of
transport between operation
stands; quality control
systems with use of video
technique; mobile robots used
for special purposes;
industrial measurement
systems; specialist measuring
and inspection equipment and
car recycling. It was founded
in 1965.</t>
  </si>
  <si>
    <t xml:space="preserve">499A
8733</t>
  </si>
  <si>
    <t xml:space="preserve">United States
Poland</t>
  </si>
  <si>
    <t xml:space="preserve">QUANTUM INTERNATIONAL CORP/INDUSTRIAL RESEARCH INSTITUTE AUTOMATION &amp;
MEASUREMENTS-JOINT VENTURE</t>
  </si>
  <si>
    <t xml:space="preserve">Quantum International Corp (QI) and the Industrial Research Institute for
Automation &amp; Measurement (IR) planned to form a joint venture to develop
and commercialize advanced robotic systems, from automated medical devices
to unmanned crisis response and intervention robots.</t>
  </si>
  <si>
    <t xml:space="preserve">635426
44020Z</t>
  </si>
  <si>
    <t xml:space="preserve">Agrivida Inc
POET Research Inc</t>
  </si>
  <si>
    <t xml:space="preserve">Developes enzyme-feedstock systems
Mnfr,whl ethanol products</t>
  </si>
  <si>
    <t xml:space="preserve">Agrivida Inc, located in
Woburn, Massachusetts,
develops engineered
feedstock systems. It is
used in the production of
biofuels and bioproducts
from non-food agricultural
residues and dedicated
biomass crops. Its products
and processes include the
INzyme(TM) technology, Corn
Stover, Sorghum, Sugarcane
and Switchgrass. The Company
was founded in 2003.
POET Research Inc,
manufactures and wholesales
ethanol and ethanol products.</t>
  </si>
  <si>
    <t xml:space="preserve">Agrivida Inc
POET LLC</t>
  </si>
  <si>
    <t xml:space="preserve">POET RESEARCH INC/AGRIVIDA INC-STRATEGIC ALLIANCE</t>
  </si>
  <si>
    <t xml:space="preserve">POET Research Inc (PR) and Agrivida, Inc (AI) formed a 4-year strategic
alliance to develop technology platforms to be used in the production of
cellulosic ethanol. This platform will help reduce capital and operating
costs in ethanol production facilities. PR and AI will develop and test
AI's corn stover feedstock and feedstock processing technology that will be
integrated with PR's commercial cellulosic technology.</t>
  </si>
  <si>
    <t xml:space="preserve">02280Z
73058P</t>
  </si>
  <si>
    <t xml:space="preserve">Allergan Inc (AI) and Molecular Partners AG (MP) formed a strategic
alliance to discover develop and commercialize therapeutic drugs for the
treatment of ophthalmic diseases. Under the agreement, the alliance will
design, develop, and commercialize anti-VEGF-A/PDGF-B DARPin (MP0260) as
well as corresponding backups for the treatment of exudative age-related
macular degeneration. Concurrently, AI and MP entered into another alliance
for the DARPins drug. MP is entitled to receive upfront payment of USD 62.5
mil, which is combined for the two agreements as well as up to USD 1.4 bil
in development, regulatory and sales milestones, and tiered royalties.</t>
  </si>
  <si>
    <t xml:space="preserve">Pfizer Inc
Mylan Inc</t>
  </si>
  <si>
    <t xml:space="preserve">Manufacture,wholesale pharmaceuticals
Manufacture,wholesale pharmaceuticals</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</si>
  <si>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Mylan Inc, located in
Canonsburg, Pennsylvania,
manufactures and wholesales
generic pharmaceuticals,
branded generics and active
pharmaceutical ingredients.
The firm has commercial
presence in 150 countries in
North America; Europe, the
Middle East and Africa; and
Asia Pacific. The company's
brand portfolio includes
Amnesteen, Avita, Biobrane,
Clozapine, Digitek, Proderm,
and Maxzide. The company was
founded in 1961.</t>
  </si>
  <si>
    <t xml:space="preserve">NY
PA</t>
  </si>
  <si>
    <t xml:space="preserve">PFIZER INC/MYLAN INC-STRATEGIC ALLIANCE</t>
  </si>
  <si>
    <t xml:space="preserve">Pfizer Inc (PI) and Mylan Inc (MI) formed a strategic alliance to develop,
manufacture and distribute generic drugs in Japan. PI is in charged of the
commercialization of the generics portfolio while MI is in charged of the
managing operations as well as research and development and manufacturing.</t>
  </si>
  <si>
    <t xml:space="preserve">717081
628530</t>
  </si>
  <si>
    <t xml:space="preserve">STMicroelectronics NV
China FAW Group Corp</t>
  </si>
  <si>
    <t xml:space="preserve">Semiconductor and Related Device Manufacturing
Mnfr,whl motor vehicles,parts</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</si>
  <si>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China FAW Group Corp, based
in Changchun, China,
manufactures and sells motor
vehicles and parts. The
company's products include
light-duty truck,
medium-duty truck,
heavy-duty trucks, buses and
coaches, custom bus chassis.
It was founded in July 15,
1953.</t>
  </si>
  <si>
    <t xml:space="preserve">STMICROELECTRONICS NV/CHINA FAW GROUP CORP-JOINT VENTURE</t>
  </si>
  <si>
    <t xml:space="preserve">STMicroelectronics NV (ST) and China FAW Group Corp (CF) formed a joint
venture to conduct advanced researches about automotive electronics
platforms in China.</t>
  </si>
  <si>
    <t xml:space="preserve">861012
31865Q</t>
  </si>
  <si>
    <t xml:space="preserve">Monsanto Co
Alnylam Pharmaceuticals Inc</t>
  </si>
  <si>
    <t xml:space="preserve">Pesticide and Other Agricultural Chemical Manufacturing
Manufacture biological products</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</si>
  <si>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t>
  </si>
  <si>
    <t xml:space="preserve">MO
MA</t>
  </si>
  <si>
    <t xml:space="preserve">MONSANTO CO/ALNYLAM PHARMACEUTICALS INC-STRATEGIC ALLIANCE</t>
  </si>
  <si>
    <t xml:space="preserve">Monsanto Co (MC) and Alnylam Pharmaceuticals, Inc (AP) formed a strategic
alliance for the advancement and development of agricultural-biologicals
products. Under the agreement, MC was granted exclusive worldwide rights to
AP's platform technology and IP in the field of agriculture. AP is entitled
to receive USD 29.2 mil upfront payments as well as milestone and royalty
payments.</t>
  </si>
  <si>
    <t xml:space="preserve">AP is entitled to receive USD 29.2 mil upfront payments as well as
milestone and royalty payments</t>
  </si>
  <si>
    <t xml:space="preserve">61166W
02043Q</t>
  </si>
  <si>
    <t xml:space="preserve">Neusoft Xikang Healthcare Tech
Alps Electric Co Ltd</t>
  </si>
  <si>
    <t xml:space="preserve">Software Reproducing
Mnfr,whl electrn components</t>
  </si>
  <si>
    <t xml:space="preserve">Neusoft Xikang Healthcare
Technology Co Ltd is a
software. The company
provides its services
through internet-based
monitoring equipment. The
company serves individuals,
hospitals and communities.
The company has developed
Xikang Healthcare Terminal
and Xikang Healthcare Watch
as healthcare management
solutions. The Company was
founded in August 2011 and
is located in Shenyang,
China.
Alps Electric Co Ltd,
headquartered in Tokyo,
Japan, is mainly engaged in
the manufacturing and sales
of electronic components and
audio equipment. The Company
operates in four business
segments. The Electronic
Component segment is engaged
in the manufacture and sale
of various electronic
components. The Audio
segment provides various
acoustic products. The
Logistic segment provides
delivery, storage and
forwarding services,
purchases and sells
packaging materials. The
Others segment develops
systems, provides office
services, as well as
financial and leasing
services. It was founded in
1948.</t>
  </si>
  <si>
    <t xml:space="preserve">7372
3679</t>
  </si>
  <si>
    <t xml:space="preserve">NEUSOFT XIKANG HEALTHCARE TECHNOLOGY CO LTD/ALPS ELECTRIC CO LTD-JOINT
VENTURE</t>
  </si>
  <si>
    <t xml:space="preserve">Neusoft Xikang Healthcare Technology Co Ltd (NX) and Alps Electric Co Ltd
(AE) plan to form a joint venture in China, Shenyang Xikang Alps
Technologies Co Ltd, to provide healthcare services. The joint venture will
provide such services via research and development, production, management
and expertise from NX. AE will contribute its knowledge about research and
development about electronics. The joint venture is to be built as a member
of the healthcare industry.</t>
  </si>
  <si>
    <t xml:space="preserve">64279A
021090</t>
  </si>
  <si>
    <t xml:space="preserve">SureGene LLC
PGXL Laboratories</t>
  </si>
  <si>
    <t xml:space="preserve">SureGene LLC, located in
Louisville, Kentucky, provides
research and development of
personalized medicine for
mental health. The company's
products, such as the
Molecular Diagnostic Test, are
catered to the care of people
with serious mental illness.
The company was founded in
2004.
PGXL Laboratories, located
in Louisville, KY, provides
pharmacogenetic testing,
interpretive services, assay
design and validation. The
company also performs
contract research for
developers of
pharmaceuticals and medical
equipment. The Company was
founded in the year 2005.</t>
  </si>
  <si>
    <t xml:space="preserve">KY
KY</t>
  </si>
  <si>
    <t xml:space="preserve">SUREGENE LLC/PGXL LABORATORIES-STRATEGIC ALLIANCE</t>
  </si>
  <si>
    <t xml:space="preserve">SureGene LLC (SG) and PGXL Laboratories (PL) formed a strategic alliance to
launch a pharmacogenetic test. The alliance developed SureGene Test for
Antipsychotic and Antidepressant Response (STA(2) R), which is a
pharmacogenetic test that contains markers for effectiveness of
antipsychotic drug treatment. This breakthrough discovery will provide
clinicians with new information facilitate personalized antipsychotic and
antidepressant drug selection.</t>
  </si>
  <si>
    <t xml:space="preserve">85709A
99556Z</t>
  </si>
  <si>
    <t xml:space="preserve">Immutep SA
CoStim Pharmaceuticals Inc</t>
  </si>
  <si>
    <t xml:space="preserve">Biological Product (Except Diagnostic) Manufacturing
Biological Product (Except Diagnostic) Manufacturing</t>
  </si>
  <si>
    <t xml:space="preserve">Immutep SA, located in Orsay,
France, is a biotechnology
company focused in the
treatment of cancer. Its lead
product is IMP321.
CoStim Pharmaceuticals Inc,
located in Cambridge,
Massachusetts, is a
biotechnology company. It
develops a focused and highly
attractive pipeline of
antibody agents directed to
costimulatory targets for the
treatment of cancer. The
company was founded in 2011.</t>
  </si>
  <si>
    <t xml:space="preserve">IMMUTEP SA/COSTIM PHARMACEUTICALS INC-STRATEGIC ALLIANCE</t>
  </si>
  <si>
    <t xml:space="preserve">Immutep SA and CoStim Pharmaceuticals Inc formed a strategic alliance to
develop and commercialize antagonistic LAG-3 antibodies.</t>
  </si>
  <si>
    <t xml:space="preserve">Licensing Services
Research &amp; Development Services
Health &amp; Medical Services</t>
  </si>
  <si>
    <t xml:space="preserve">3C3849
8A9764</t>
  </si>
  <si>
    <t xml:space="preserve">West Pharmaceutical Services
Janssen Biotech Inc</t>
  </si>
  <si>
    <t xml:space="preserve">Mnfr med equip,pharm
Biotechnology company</t>
  </si>
  <si>
    <t xml:space="preserve">West Pharmaceutical Services
Inc, located in Lionville,
Pennsylvania, manufactures
medical equipment,
pharmaceuticals and
biopharmaceuticals products.
Its products include stoppers,
closures and medical device
components. It provides
contract laboratory services
for testing injectable drug
packaging. The company was
founded in 1923.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</si>
  <si>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West Pharmaceutical Services
J&amp;J</t>
  </si>
  <si>
    <t xml:space="preserve">WEST PHARMACEUTICAL SERVICES IN/JANSSEN BIOTECH INC-STRATEGIC ALLIANCE</t>
  </si>
  <si>
    <t xml:space="preserve">West Pharmaceutical Services Inc (WP) and Janssen Biotech Inc (JB) planned
to form a strategic alliance to develop and manufacture self-injection
product. The product will be marketed under the name SelfDose(TM).</t>
  </si>
  <si>
    <t xml:space="preserve">955306
44300K</t>
  </si>
  <si>
    <t xml:space="preserve">Mindspeed Technologies Inc
China Mobile Research</t>
  </si>
  <si>
    <t xml:space="preserve">Mnfr,whl networking solutions
Pvd telecommun svcs</t>
  </si>
  <si>
    <t xml:space="preserve">Mindspeed Technologies Inc,
located in Newport Beach,
California, manufacture,
develop and wholesale of
semiconductor networking
solutions for applications in
communications such as
broadband optical transmission
and VoIP in enterprise and
wide area networks. The
company was founded in 2001.
China Mobile Research
Institute, located in China,
provides telecommunication
services.</t>
  </si>
  <si>
    <t xml:space="preserve">3674
4813</t>
  </si>
  <si>
    <t xml:space="preserve">MINDSPEED TECHNOLOGIES INC/CHINA MOBILE RESEARCH INSTITUTE-STRATEGIC
ALLIANCE</t>
  </si>
  <si>
    <t xml:space="preserve">Mindspeed Technologies Inc (MT) and China Mobile Research Institute (CM)
signed a memorandum of understanding (MoU) to provide research and
development services about a newly defined radio access equipment,
Nanocell. Nanocell is used to integrate small cellular cell and WLAN access
points.</t>
  </si>
  <si>
    <t xml:space="preserve">602682
17487Y</t>
  </si>
  <si>
    <t xml:space="preserve">ImaginAb Inc
MacroGenics Inc</t>
  </si>
  <si>
    <t xml:space="preserve">Biotechnology company
Biotechnology co</t>
  </si>
  <si>
    <t xml:space="preserve">ImaginAb, Inc is a
biotechnology company
headquartered in Inglewood,
California. The company is
focused on the development
of antibody fragments for
diagnostic imaging and radio
immunotherapy. Its clinical
products include PSMA, PSCA,
Her2, 5T4, CD8, IAb-X11 and
IAb-X43 which is used for
prostate stem cell antigen
for prostate, bladder, and
pancreatic cancer; J591
prostate-specific membrane
antigen for prostate cancer;
and T-cell co-receptor for
cancer, inflammation, and
transplantation. It was
founded in 2007.
MacroGenics Inc, located in
Rockville, Maryland, is a
biotechnology company
focused on product
development derived from
in-house discoveries and
in-licensed candidates in
the areas of oncology,
inflammation, allergy, and
infectious diseases. The
company was founded in 2000.</t>
  </si>
  <si>
    <t xml:space="preserve">IMAGINAB INC/MACROGENICS INC-STRATEGIC ALLIANCE</t>
  </si>
  <si>
    <t xml:space="preserve">ImaginAb Inc (II) and MacroGenics Inc (MI) formed a strategic alliance for
the development and commercialization of the anti-CD3 clinical imaging
product. Under the agreement, II will be in charged of the development of
the products which entitles MI to receive milestones and royalties. II will
also support the development of a novel immune regulator target, B7-H3.</t>
  </si>
  <si>
    <t xml:space="preserve">49097F
556099</t>
  </si>
  <si>
    <t xml:space="preserve">Abbott Labs
Astellas Pharma Global Devt</t>
  </si>
  <si>
    <t xml:space="preserve">Mnfr,whl pharm,med equip
Mnfr pharm</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</si>
  <si>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Astellas Pharma Global
Development is a
pharmaceutical manufacturing
firm, headquartered in
Deerfield, Illinois.</t>
  </si>
  <si>
    <t xml:space="preserve">IL
IL</t>
  </si>
  <si>
    <t xml:space="preserve">Abbott Labs
Astellas Pharma Inc</t>
  </si>
  <si>
    <t xml:space="preserve">ABBOTT LABORATORIES/ASTELLAS PHARMA GLOBAL DEVELOPMENT-STRATEGIC ALLIANCE</t>
  </si>
  <si>
    <t xml:space="preserve">Abbott Laboratories (AL) and Astellas Pharma Global Development (AP) formed
a strategic alliance for the Phase 3 development of the ASP0113
(TransVaxTM) vaccine for cytomegalovirus prevention in transplant
patients.</t>
  </si>
  <si>
    <t xml:space="preserve">002824
04186P</t>
  </si>
  <si>
    <t xml:space="preserve">ENTrigue Surgical Inc
Fiagon Gmbh</t>
  </si>
  <si>
    <t xml:space="preserve">Mnf sinus surgical ins
Medical, Dental, and Hospital Equipment and Supplies Merchant Wholesalers</t>
  </si>
  <si>
    <t xml:space="preserve">ENTrigue Surgical Inc develops
and manufactures sinus
surgical instruments. The
company is located in San
Antonio, Texas. Its brands
include ENTact Septal Stapler,
Synaero Hemostatic Gel,
SerpENT Articulating
Instruments, ENTrigue
Biologics, Ventera Sinus
Dilation System and MediENT
Middle Turbinate Implant. The
company was founded in 2007.
Fiagon GmbH is a medical
equipment and supplies
wholesaler. The Company was
founded in 2007 and is
located in Hennigsdorf,
Germany.</t>
  </si>
  <si>
    <t xml:space="preserve">ENTrigue Surgical Inc
Fiagon AG Medical Technologies</t>
  </si>
  <si>
    <t xml:space="preserve">ENTRIGUE SURGICAL INC/FIAGON GMBH-STRATEGIC ALLIANCE</t>
  </si>
  <si>
    <t xml:space="preserve">ENTrigue Surgical, Inc (ES) and fiagon GmbH (FG) planned to form a
strategic alliance to develop Ear, Nose and Throat surgical procedures and
solutions. The alliance will explore the delivery of integrated navigation
and therapy solutions for ENT procedures starting with ENTrigue's
Ventera(R) Sinus Dilation System in Europe.</t>
  </si>
  <si>
    <t xml:space="preserve">28960P
31611C</t>
  </si>
  <si>
    <t xml:space="preserve">Astex Pharmaceuticals Inc
Cancer Research Technology Ltd
Institute of Cancer Research</t>
  </si>
  <si>
    <t xml:space="preserve">Mnfr pharmaceuticals
Pvd research,dvlp svcs
Pvd research,dvlp svcs</t>
  </si>
  <si>
    <t xml:space="preserve">Astex Pharmaceuticals Inc,
located in Dublin,
California, manufactures
pharmaceuticals. It
specializes in small
molecule therapeutics,
focusing on onclology and
hematology. It offers
treatments for
life-threatening diseases
such as cancer and blood
cell disorders, and other
serious conditions such as
obesity. The company was
founded in 1991.
Provide research and
development services for the
benefit of cancer patients
Provide research and
development services of cancer
and new strategies for its
prevention, diagnosis,
treatment and cure</t>
  </si>
  <si>
    <t xml:space="preserve">2834
8731
8731</t>
  </si>
  <si>
    <t xml:space="preserve">United States
United Kingdom
United Kingdom</t>
  </si>
  <si>
    <t xml:space="preserve">Astex Pharmaceuticals Inc
Cancer Research UK
Institute of Cancer Research</t>
  </si>
  <si>
    <t xml:space="preserve">2834
6732
8731</t>
  </si>
  <si>
    <t xml:space="preserve">ASTEX PHARMACEUTICALS INC/CANCER RESEARCH TECHNOLOGY LTD/INSTITUTE OF
CANCER RESEARCH-STRATEGIC ALLIANCE</t>
  </si>
  <si>
    <t xml:space="preserve">Astex Pharmaceuticals, Inc (AP)&lt; Cancer Research Technology Ltd (CR) and
The Institute of Cancer Research (IC) formed a strategic alliance for the
discovery and development of drug candidates for an undisclosed epigenetic
target in a blood cancer with high unmet medical need.</t>
  </si>
  <si>
    <t xml:space="preserve">04624B
13737V
45555K</t>
  </si>
  <si>
    <t xml:space="preserve">Qiagen NV
SIP Biotech Dvlp Co Ltd</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</si>
  <si>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Suzhou Industrial Park Biotech
Development Co Ltd, based in
Suzhou, China is an innovative
science and technology carrier
for development of the
emerging biological industry
and the nano technology
industry, including the
project incubator,
accelerator, industrialization
area, administrative office
and the living facilities
area. Suzhou Institute of
Nano-tech and Nano-bionics,
Chinese Academy and Sciences
is set up in BioBay. It was
founded, March 22, 2006.</t>
  </si>
  <si>
    <t xml:space="preserve">QIAGEN NV/SUZHOU INDUSTRIAL PARK BIOTECH DEVELOPMENT CO LTD-JOINT VENTURE</t>
  </si>
  <si>
    <t xml:space="preserve">Qiagen(Suzhou)Translational
Medicine Center, based in
Suzhou, China, is a
biotechnology company. The
company focuses on
translational medicines and
discovery and validation of
biomarkers.</t>
  </si>
  <si>
    <t xml:space="preserve">Qiagen NV (Qiagen) and Suzhou Industrial Park Biotech Development Co Ltd
(SIP) formed a joint venture to own and operate a biotechnology company.
The joint venture was based in Suzhou, Chia. It was named
Qiagen(Suzhou)Translational Medicine Center. The company was to research
and develop translational medicines and discover and validate biomarkers.</t>
  </si>
  <si>
    <t xml:space="preserve">4A1083</t>
  </si>
  <si>
    <t xml:space="preserve">N72482
85723M</t>
  </si>
  <si>
    <t xml:space="preserve">AuraSource Inc
Xinxing Cathay Intl Grp Co Ltd</t>
  </si>
  <si>
    <t xml:space="preserve">Pvd coal,fuel separation svcs
Mnfr,whl ferrous metal prod</t>
  </si>
  <si>
    <t xml:space="preserve">AuraSource Inc, located in
Chandler, Arizona, is a
provider of coal and fuel
separation and grinding
services through its AuraCoal,
AuraFuel, and AuraMetal
technology processes. The
company was founded in 1990.
Xinxing Cathay International
Group Co Ltd is an iron
foundry operator. The
Company was founded in
January 1997 and is located
in Beijing, China.</t>
  </si>
  <si>
    <t xml:space="preserve">1382
3321</t>
  </si>
  <si>
    <t xml:space="preserve">Mongsource USA LLC
Xinxing Cathay Intl Grp Co Ltd</t>
  </si>
  <si>
    <t xml:space="preserve">6799
3321</t>
  </si>
  <si>
    <t xml:space="preserve">AURASOURCE INC/XINXING CATHAY INTERNATIONAL GROUP CO LTD-STRATEGIC
ALLIANCE</t>
  </si>
  <si>
    <t xml:space="preserve">AuraSource, Inc (AS) and Xinxing Cathay International Group Co Ltd (XC)
formed a strategic alliance for the research and development of ultra-low
ash coal, import iron ores and process minerals.</t>
  </si>
  <si>
    <t xml:space="preserve">Research &amp; Development Services
Manufacturing Services
Import &amp; Export (Trading) Services</t>
  </si>
  <si>
    <t xml:space="preserve">05153V
99368K</t>
  </si>
  <si>
    <t xml:space="preserve">N Carolina State Univ
Eastman Chemical Co</t>
  </si>
  <si>
    <t xml:space="preserve">Own,op college,university
Mnfr,whl chem,plastics,fibers</t>
  </si>
  <si>
    <t xml:space="preserve">North Carolina State
University is a college
operator. The Company was
founded in March 1887 and is
located in Raleigh, North
Carolina.
Eastman Chemical Co is a
manufacturer of plastics
materials. The Company was
founded in 1920 and is
located in Kingsport,
Tennessee.</t>
  </si>
  <si>
    <t xml:space="preserve">8221
2821</t>
  </si>
  <si>
    <t xml:space="preserve">NC
TN</t>
  </si>
  <si>
    <t xml:space="preserve">NORTH CAROLINA STATE UNIVERSITY/EASTMAN CHEMICAL CO-STRATEGIC ALLIANCE</t>
  </si>
  <si>
    <t xml:space="preserve">North Carolina State University (NC) and Eastman Chemical Co (EC) formed a
strategic alliance to conduct research in chemistry, materials science and
other scientific disciplines. The alliance will establish the Eastman
Innovation Center (EIC) laboratory and EC will provide USD 10 mil within
six years to the partnership.</t>
  </si>
  <si>
    <t xml:space="preserve">EC will provide USD 10 mil within six years to the partnership.</t>
  </si>
  <si>
    <t xml:space="preserve">653289
277432</t>
  </si>
  <si>
    <t xml:space="preserve">Guangdong Mingyang Wind Power
China Guangdong Nuclear Power</t>
  </si>
  <si>
    <t xml:space="preserve">Mnfr wind turbines
Pvd nuclear power gen svcs</t>
  </si>
  <si>
    <t xml:space="preserve">Guangdong Mingyang Wind Power
Group Ltd, located in
Guangdong province, China,
manufactures wind turbines.
The company operates as a
subsidiary of China Ming Yang
Wind Power Group Ltd.
China Guangdong Nuclear
Power Holding Co Ltd, is an
electric utility services
provider that operates
nuclear power generation
plants, headquartered in
Shenzhen, China. It operates
Guangdong Daya Bay Nuclear
Power Station and Ling Ao
Nuclear Power Station. It is
also a holding firm with
more than twenty
wholly-owned or controlling
subsidiaries. The company
was founded in 1994.</t>
  </si>
  <si>
    <t xml:space="preserve">3511
4911</t>
  </si>
  <si>
    <t xml:space="preserve">China Ming Yang Wind Power Grp
China Guangdong Nuclear Power</t>
  </si>
  <si>
    <t xml:space="preserve">GUANGDONG MINGYANG WIND POWER GROUP LTD/CHINA GUANGDONG NUCLEAR POWER
HOLDING CO LTD-STRATEGIC ALLIANCE</t>
  </si>
  <si>
    <t xml:space="preserve">Guangdong Mingyang Wind Power Group Ltd and China Guangdong Nuclear Power
Holding Co Ltd formed a strategic alliance, to develop wind and solar
energy projects.</t>
  </si>
  <si>
    <t xml:space="preserve">Services (NEC)
Research &amp; Development Services</t>
  </si>
  <si>
    <t xml:space="preserve">39801E
40083Q</t>
  </si>
  <si>
    <t xml:space="preserve">Xiangxue Pharm Co Ltd
Undisclosed JV Partner</t>
  </si>
  <si>
    <t xml:space="preserve">Pharmaceutical Preparation Manufacturing
Investment company</t>
  </si>
  <si>
    <t xml:space="preserve">Xiangxue Pharmaceutical Co
Ltd is a manufacturer and
wholesaler of pharmaceutical
preparation. The Company was
founded in December 1997 and
is located in Guangzhou,
China.
Investment company</t>
  </si>
  <si>
    <t xml:space="preserve">XIANGXUE PHARMACEUTICAL CO LTD/TWO UNDISCLOSED JOINT VENTURE PARTNERS-JOINT
VENTURE</t>
  </si>
  <si>
    <t xml:space="preserve">Xiangxue Pharmaceutical Co Ltd (XP) and two undisclosed joint venture
partners (TU) plan to form a joint venture in China to develop and
manufacture MACA biological products and to construct GAP medicinal plants.
The joint venture will also be engaged in processing and manufacturing of
herbal slices. The registered capital of the joint venture amounts to CNY
40 mil (USD 6.31 mil). CNY 20 mil (USD 3.16 mil) of the registered capital
will be form XP and other proprietary capital funding.</t>
  </si>
  <si>
    <t xml:space="preserve">Research &amp; Development Services
Manufacturing Services
Construction Services</t>
  </si>
  <si>
    <t xml:space="preserve">33.30
66.60</t>
  </si>
  <si>
    <t xml:space="preserve">The registered capital of the joint venture amounts to CNY 40 mil (USD 6.31
mil). CNY 20 mil (USD 3.16 mil) of the registered capital will be form XP
and other proprietary capital funding.</t>
  </si>
  <si>
    <t xml:space="preserve">99346Z
904JVP</t>
  </si>
  <si>
    <t xml:space="preserve">AstraZeneca PLC
Broad Institute</t>
  </si>
  <si>
    <t xml:space="preserve">Manufactures, wholesales pharmaceutical products
Biotechnology company</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</si>
  <si>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Broad Institute is a
manufacturer of biological
products. The Company was
founded in May 2004 and is
located in Cambridge,
Massachusetts.</t>
  </si>
  <si>
    <t xml:space="preserve">AstraZeneca PLC
Massachusetts Inst Of Tech</t>
  </si>
  <si>
    <t xml:space="preserve">ASTRAZENECA PLC/BROAD INSTITUTE-STRATEGIC ALLIANCE</t>
  </si>
  <si>
    <t xml:space="preserve">AstraZeneca PLC (AZ) and the Broad Institute (BI) planned to form a
strategic alliance under which they will identify chemical compounds that
targets bacterial and viral infections which will be used in the
development of new antibacterial and antiviral drugs.</t>
  </si>
  <si>
    <t xml:space="preserve">046353
11149Z</t>
  </si>
  <si>
    <t xml:space="preserve">Natl Aeronautics Space Admin
Deutsches Zentrum fuer Luft un</t>
  </si>
  <si>
    <t xml:space="preserve">Pvd space research,tech svcs
Pvd research,dvlp svcs</t>
  </si>
  <si>
    <t xml:space="preserve">National Aeronautics Space
Administration , located at
Washington DC, Washington,
provides space research and
technology services under
the US Government. Its
functions include space
exploration, scientific
discovery, and aeronautics
research. The Company was
founded in 1958.
Deutsches Zentrum fuer Luft
und Raumfahrt EV is a
provider of research and
development services. The
Company is located in
Cologne, Germany.</t>
  </si>
  <si>
    <t xml:space="preserve">9661
8731</t>
  </si>
  <si>
    <t xml:space="preserve">DC
FF</t>
  </si>
  <si>
    <t xml:space="preserve">NATIONAL AERONAUTICS SPACE ADMINISTRATION/DEUTSCHES ZENTRUM FUER LUFT UND
RAUMFAHRT EV-STRATEGIC ALLIANCE</t>
  </si>
  <si>
    <t xml:space="preserve">National Aeronautics Space Administration (NA) and Deutsches Zentrum fuer
Luft und Raumfahrt EV (DZ) formed a strategic alliance for a research
collaboration in the field of aeronautics. The alliance will focus on the
advancement of air traffic management, aircraft arrival, departure and
surface operations research.</t>
  </si>
  <si>
    <t xml:space="preserve">63243L
25205F</t>
  </si>
  <si>
    <t xml:space="preserve">Panacea Biotec Ltd
Osmotica Kft</t>
  </si>
  <si>
    <t xml:space="preserve">Panacea Biotec Ltd is a
manufacturer of
pharmaceutical preparation.
It manufactures and
wholesales vaccines,
pharmaceutical and
biotechnology based
products. The products are
used in various segments
like, pediatric vaccines,
pain management, diabetes
management and organ
transplantation. It operates
in three segments such as
Vaccines, Formulations and
Research and Development.
The Company was founded in
1984 and is located in New
Delhi, India.
Osmotica Kft is a
pharmaceutical manufacturing
firm, headquartered in
Budapest, Hungary.</t>
  </si>
  <si>
    <t xml:space="preserve">India
Hungary</t>
  </si>
  <si>
    <t xml:space="preserve">Panacea Biotec Ltd
Osmotica Pharmaceutical Corp</t>
  </si>
  <si>
    <t xml:space="preserve">PANACEA BIOTEC LTD/OSMOTICA KFT-STRATEGIC ALLIANCE</t>
  </si>
  <si>
    <t xml:space="preserve">Panacea Biotec Ltd (PB) and Osmotica Kft (OK) formed a strategic alliance
for the research, development and commercialization of brand and generic
products in the US and other parts of the world.</t>
  </si>
  <si>
    <t xml:space="preserve">Y6695F
68825N</t>
  </si>
  <si>
    <t xml:space="preserve">Accelrys Inc
Aquavit Pharmaceuticals Inc</t>
  </si>
  <si>
    <t xml:space="preserve">Dvlp lifecycle mgmt software
Pvd healthcare svcs</t>
  </si>
  <si>
    <t xml:space="preserve">Accelrys Inc, located in San
Diego, California, develops
lifecycle management software.
Its products and platform
includes Accelrys Enterprise
Platform, Workflow &amp;
Automation, Modelling &amp;
Simulation, Enterprise Lab
Management, and Data
Management and Informatics.
The company was founded in
1993.
Aquavit Pharmaceuticals Inc,
is a healthcare company
focused on the research and
development of therapeutic
products. The company's
product line includes NPP 101,
QVT 1009, SBX 012, PITO 001,
MAV 403 and IBX 001. It was
founded in October 21, 2010.</t>
  </si>
  <si>
    <t xml:space="preserve">ACCELRYS INC/AQUAVIT PHARMACEUTICALS INC-STRATEGIC ALLIANCE</t>
  </si>
  <si>
    <t xml:space="preserve">Aquavit Pharmaceuticals Inc (AP) and Accelrys Inc (AI) formed a strategic
alliance under which AP will utilize AI's Accelrys Enterprise Platform for
the development of AP's PITO-001 and MAV-403 products. The alliance will be
focused on the development of advanced medical software for cutting-edge
personalized medicine.</t>
  </si>
  <si>
    <t xml:space="preserve">00430U
03618N</t>
  </si>
  <si>
    <t xml:space="preserve">Allison Transmission Hldg Inc
Fallbrook Technologies Inc</t>
  </si>
  <si>
    <t xml:space="preserve">Mnfr transmissions
Develops and manufactures transmission systems</t>
  </si>
  <si>
    <t xml:space="preserve">Allison Transmission
Holdings Inc, located in
Indianapolis, Indiana,
manufactures fully-automatic
transmissions for medium and
heavy-duty commercial
vehicles, medium and
heavy-tactical US military
vehicles and
hybrid-propulsion systems
for transit buses. The
Company was founded in 1915.
Fallbrook Technologies Inc
develops and manufactures
transmission systems. The
company provides NuVinci
technology, a traction-based
continuously variable
transmission (CVT) applicable
to mechanical devices that
have a transmission or benefit
from speed or torque
variation; offers NuVinci
Harmony, an automatic shifting
system for use with the
bicycle CVT; and holds various
patents and pending
applications worldwide. It
also provides N330f, a rental
and commercial grade bicycle
groupset. The Companys NuVinci
continuously variable
planetary (CVP) technology is
applicable to various machines
that use transmissions, such
as bicycles, light electrical
vehicles, automobiles,
agricultural equipment, and
wind turbines. Its technology
is used in on-and off-road
vehicles, accessory drives,
industrial, and cycling
applications. The Company was
founded in December 2000 and
is located in Cedar Park,
Texas.</t>
  </si>
  <si>
    <t xml:space="preserve">IN
TX</t>
  </si>
  <si>
    <t xml:space="preserve">ALLISON TRANSMISSION HOLDINGS INC/FALLBROOK TECHNOLOGIES INC-STRATEGIC
ALLIANCE</t>
  </si>
  <si>
    <t xml:space="preserve">Allison Transmission Holdings Inc (AT) and Fallbrook Technologies Inc (FB)
signed agreement to form a strategic alliance to develop transmission
technology known as Continuously Variable Planetary (CVP). FB's NuVinci CVP
technology will be granted license to AT. AT will develop and commercialize
the said technology for vehicle, equipment and military applications
markets of AT. A separate agreement is assigned for manufacturing of the
transmissions.</t>
  </si>
  <si>
    <t xml:space="preserve">01973R
30648K</t>
  </si>
  <si>
    <t xml:space="preserve">Koninklijke Philips Elect
Biocompatibles Intl PLC</t>
  </si>
  <si>
    <t xml:space="preserve">Manufacture, wholesale electronic products
Biotech company</t>
  </si>
  <si>
    <t xml:space="preserve">Koninklijke Philips
Electronics NV, located in
Amsterdam, the Netherlands,
manufactures and wholesales
electronic products offered to
more than 100 countries. It
focuses on consumer electronic
products including home
entertainment products and
house appliances; electronic
healthcare products such as
medical diagnostic imaging and
patient monitoring machine;
and lightning products. It is
also engaged in the production
of telecommunication equipment
and other electronic products.
It is also a holding company
and acts as parent company of
the Philips Group. The Company
was founded in 1891.
Biocompatibles International
PLC, located in Farnham, UK,
is a biotechnology company in
the field of drug-device
combination products,
operating through three
businesses. The International
Division conducts the
marketing of Biocompatibles
approved Bead products, which
are sold to hospitals by our
distribution partners,
including Angiodynamics Inc
and Terumo Corp. The Drug
Delivery and CellMed
businesses are engaged in new
product development and
licensing. The company was
founded in 1984.</t>
  </si>
  <si>
    <t xml:space="preserve">3651
2836</t>
  </si>
  <si>
    <t xml:space="preserve">KONINKLIJKE PHILIPS ELECTRONICS NV/BIOCOMPATIBLES INTERNATIONAL
PLC-STRATEGIC ALLIANCE</t>
  </si>
  <si>
    <t xml:space="preserve">Royal Philips Electronics NV (RP) and Biocompatibles International PLC (BI)
planned to form a strategic alliance to develop a treatment for the
arterial embolization of hypervascularized tumors. Under the agreement, the
first focus of the alliance is new treatment protocol for trans-arterial
embolization which is a process demonstrated to reduce the size or rate of
growth of tumors.</t>
  </si>
  <si>
    <t xml:space="preserve">500472
09058Z</t>
  </si>
  <si>
    <t xml:space="preserve">Wageningen University
UMCG</t>
  </si>
  <si>
    <t xml:space="preserve">Own,op university,research
Pvd research,dvlp svcs</t>
  </si>
  <si>
    <t xml:space="preserve">Wageningen University and
Research Centre, located in
Wageningen, the Netherlands,
owns and operates a university
and research centre.
University Medical Center
Groningen provides medical
research and development
services. The company is
headquartered in Groningen,
Netherlands. It also offers
Medical Educational programs.
It was founded in 1614.</t>
  </si>
  <si>
    <t xml:space="preserve">8222
8731</t>
  </si>
  <si>
    <t xml:space="preserve">WAGENINGEN UNIVERSITY AND RESARCH CENTRE/UNIVERSITY MEDICAL CENTER
GRONINGEN-JOINT VENTURE</t>
  </si>
  <si>
    <t xml:space="preserve">Wageningen University and Research Centre (WU) and the University Medical
Center Groningen (UM) planned to form a joint venture named Pectacea, a
nutrition science company. The JV will utilize WU's Agrotechnology &amp; Food
Sciences Group expertise and resources as well as UM's expertise to
identify natural inhibitors of galectin-3 that can be used to promote
health.</t>
  </si>
  <si>
    <t xml:space="preserve">93042Q
93683A</t>
  </si>
  <si>
    <t xml:space="preserve">Life Technologies Corp
Bristol-Myers Squibb Co</t>
  </si>
  <si>
    <t xml:space="preserve">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</si>
  <si>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LIFE TECHNOLOGIES CORP/BRISTOL-MYERS SQUIBB CO-STRATEGIC ALLIANCE</t>
  </si>
  <si>
    <t xml:space="preserve">Life Technologies Corp (LT) and Bristol-Myers Squibb Co (BM) formed a
strategic alliance to develop companion diagnostics projects. The alliance
will initially focus on oncology and provides for a long-term partnership
across a potentially broad range of Life instrument platforms and a wide
range of therapeutic areas.</t>
  </si>
  <si>
    <t xml:space="preserve">53217V
110122</t>
  </si>
  <si>
    <t xml:space="preserve">Harris Interactive Inc
Google Inc</t>
  </si>
  <si>
    <t xml:space="preserve">Pvd market research svcs
Pvd Internet search engine svc</t>
  </si>
  <si>
    <t xml:space="preserve">Harris Interactive Inc,
headquartered in Rochester,
New, York, provides market
research and consulting
services. It conducts
Internet-based survey
research. The company serves
customers in many industries
and many countries through
Internet-based and traditional
market research and polling
services which include
customized research, service
bureau research (for other
market research firms) and
multi-client research. It was
founded in 1975.
Google Inc, located in
Mountain View, California,
provides Internet search
engine services and
advertising solutions
through its internet site
and intranet solutions via
an enterprise search
appliance. It has local
offices in Mississippi,
Georgia, Texas, Colorado,
Illinois, Massachusetts,
North Carolina, and New
York, and international
offices located in Belgium,
Czech Republic, Denmark,
Finland, France, Germany,
Greece, Hungary, Ireland,
Italy, the Netherlands,
Norway, Poland, Portugal,
the Russian Federation,
Spain, Sweden, Switzerland,
Ukraine, the UK, Canada,
Latin America and the Middle
East. The company has
automated search technology
that helps people to obtain
access to relevant
information from vast online
index. Trademarks include
Google, YouTube,
DoubleClick, DART, AdSense,
AdWords, Gmail, I''m Feeling
Lucky, PageRank, Blogger,
orkut, Picasa, SketchUp and
Postini. It can be accessed
through destination sites at
Google.com and 112 other
international domains, such
as Google.ba, Google.dm,
Google.nr, Google.co.jp and
Google.ca. The Google
interface is available in
120 languages. The company
was founded in 1998.</t>
  </si>
  <si>
    <t xml:space="preserve">8742
7375</t>
  </si>
  <si>
    <t xml:space="preserve">Harris Interactive Inc
Alphabet Inc</t>
  </si>
  <si>
    <t xml:space="preserve">HARRIS INTERACTIVE INC/GOOGLE INC-STRATEGIC ALLIANCE</t>
  </si>
  <si>
    <t xml:space="preserve">Harris Interactive Inc (HI) and Google Inc (GI) formed a strategic alliance
to develop online market research solutions. Under which, the developed
product will provide large and small businesses to compare themselves to
industry benchmarks at a fraction of the cost of traditional market
research.</t>
  </si>
  <si>
    <t xml:space="preserve">Marketing Services
Research &amp; Development Services
Internet Services</t>
  </si>
  <si>
    <t xml:space="preserve">414549
38259P</t>
  </si>
  <si>
    <t xml:space="preserve">Monsanto Co
Complix NV</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</si>
  <si>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Complix NV is a biotechnology
company headquartered in
Diepenbeek, Belgium with
research facilities in Ghent,
Belgium; and Luxembourg. The
company is focused on the
discovery and development of
Alphabodies(TM), a novel class
of biopharmaceuticals that,
due to their unique structural
and functional properties, are
particularly suited to address
disease targets that are
difficult to reach with
antibodies or other types of
therapeutic protein scaffolds.
It was founded in 2008.</t>
  </si>
  <si>
    <t xml:space="preserve">MONSANTO CO/COMPLIX NV-STRATEGIC ALLIANCE</t>
  </si>
  <si>
    <t xml:space="preserve">Monsanto Co (MC) and Complix NV (CN) formed a strategic alliance under
which MC was granted an exclusive worldwide rights to access CN's
Alphabody(R) platform technology for use in plant agriculture. The alliance
will evaluate and develop CN's proprietary Alphabody(R) protein technology
for use in the area of agriculture.</t>
  </si>
  <si>
    <t xml:space="preserve">61166W
20735L</t>
  </si>
  <si>
    <t xml:space="preserve">MacroGenics Inc
Les Laboratoires Servier SAS</t>
  </si>
  <si>
    <t xml:space="preserve">Biotechnology co
Manufacture,wholesale drugs</t>
  </si>
  <si>
    <t xml:space="preserve">MacroGenics Inc, located in
Rockville, Maryland, is a
biotechnology company
focused on product
development derived from
in-house discoveries and
in-licensed candidates in
the areas of oncology,
inflammation, allergy, and
infectious diseases. The
company was founded in 2000.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</si>
  <si>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MACROGENICS INC/SERVIER SA-STRATEGIC ALLIANCE</t>
  </si>
  <si>
    <t xml:space="preserve">MacroGenics, Inc (MG) and Servier SA (SS) formed a strategic alliance for
the development and commercialization of MG's Dual-Affinity Re-Targeting
(DART(TM)) products. DART is a bi-specific antibody platform in which a
single recombinant molecule is able to target two different antigens. Under
the agreement, MG will receive an upfront payment of USD 20 mil. MG retains
the right for the development and commercialization of the products in the
U.S., Canada, Mexico, Japan, Korea and India. On the other hand, SS has the
option to obtain an exclusive license covering the rest of the world for
each of the programs.</t>
  </si>
  <si>
    <t xml:space="preserve">MG will receive an upfront payment of USD 20 mil</t>
  </si>
  <si>
    <t xml:space="preserve">556099
81764A</t>
  </si>
  <si>
    <t xml:space="preserve">Vanderbilt University
Bristol-Myers Squibb Co</t>
  </si>
  <si>
    <t xml:space="preserve">Owns and operates a university
Manufactures pharmaceuticals and medical products</t>
  </si>
  <si>
    <t xml:space="preserve">Vanderbilt University,
located in Nashville,
Tennessee, owns and operates
a university. It offers full
range of undergraduate,
graduate, and professional
degrees. The Company was
founded in 1873.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</si>
  <si>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TN
NY</t>
  </si>
  <si>
    <t xml:space="preserve">VANDERBILT UNIVERSITY/BRISTOL-MYERS SQUIBB CO-STRATEGIC ALLIANCE</t>
  </si>
  <si>
    <t xml:space="preserve">Vanderbilt University and Bristol-Myers Squibb Co (BM) formed a strategic
alliance for the discovery, development and commercialization of positive
allosteric modulators. These products are novel therapies acting on the
mGluR4 glutamate receptor that is used for treating Parkinson's disease.</t>
  </si>
  <si>
    <t xml:space="preserve">92179Z
110122</t>
  </si>
  <si>
    <t xml:space="preserve">UOP LLC
Petroliam Nasional Bhd</t>
  </si>
  <si>
    <t xml:space="preserve">Mnfr,whl molecular sieves
Oil &amp; gas exploration and production company</t>
  </si>
  <si>
    <t xml:space="preserve">UOP LLC, located in Des
Plaines, Illinois,
manufactures and sells
molecular sieves and alumina
adsorbents, process
technologies, catalysts and
gasoline production
technologies for the renewable
energy and refining industry,
production equipment for the
manufacture of aromatics,
normal paraffin and linear
alkylbenzene, light olefins
and for gas processing. The
company was founded in 1914.
Petroliam Nasional Bhd is an
oil and gas exploration and
production company. Its
products and services
include crude oil products,
crude oil assays, petroleum
products, petrochemical
products, shipping and
maritime services, R&amp;D and
project management. The
Company operates as an
integrated oil and gas
company in Malaysia and
internationally. It operates
through Upstream,
Downstream, and Corporate
and Others segments. The
Company engages in the
exploration, development,
and production of crude oil
and natural gas; and
processing, liquefaction,
transportation, and sale of
liquefied natural gas (LNG);
and manufacture, refining,
and marketing of petroleum
products, including olefins,
polymers, fertilizers,
methanol, and other basic
chemicals and derivative
products. It is also
involved in the trade of
crude oil, petroleum, gas,
LNG, and petrochemical
products; and provision of
shipping and logistics
services related to LNG,
crude oil, and petroleum
products. The Company was
founded on 17 August 1974
and is located in Kuala
Lumpur, Malaysia.</t>
  </si>
  <si>
    <t xml:space="preserve">3823
1311</t>
  </si>
  <si>
    <t xml:space="preserve">Honeywell International Inc
Petroliam Nasional Bhd</t>
  </si>
  <si>
    <t xml:space="preserve">3812
1311</t>
  </si>
  <si>
    <t xml:space="preserve">UOP LLC/PETROLIAM NASIONAL BHD{PETRONAS}-STRATEGIC ALLIANCE</t>
  </si>
  <si>
    <t xml:space="preserve">UOP LLC (UL) and Petroliam Nasional Berhad (PN) planned to form a strategic
alliance to develop natural gas technology. The alliance will focus on
advanced carbon dioxide (CO(2) ) absorption technology to improve the
reliability of equipment used to remove contaminants from natural gas
before it is liquefied.</t>
  </si>
  <si>
    <t xml:space="preserve">90317X
71691W</t>
  </si>
  <si>
    <t xml:space="preserve">Otsuka AgriTechno Co Ltd
Insecticides(India)Ltd</t>
  </si>
  <si>
    <t xml:space="preserve">Mnfr,whl agriculture chemicals
Manufacture pesticides</t>
  </si>
  <si>
    <t xml:space="preserve">Otsuka AgriTechno Co Ltd,
based in Tokyo, Japan,
manufactures agricultural
chemicals and other
fertilizers. The company was
founded in 2010.
Insecticides (India) Ltd,
headquartered in Delhi, India,
manufactures pesticides. The
company's products include
insecticides, fungicides,
herbicides, rodenticides,
weedicides, fumigants,
nematocides, and plant growth
regulators.</t>
  </si>
  <si>
    <t xml:space="preserve">2873
2879</t>
  </si>
  <si>
    <t xml:space="preserve">OTSUKA AGRITECHNO CO LTD/INSECTICIDES(INDIA)LTD-JOINT VENTURE</t>
  </si>
  <si>
    <t xml:space="preserve">Otsuka AgriTechno Co Ltd (Otsuka) and Insecticides(India)Ltd (Insecticides)
formed a joint venture to provide research and development and
manufacturing services of agricultural chemicals in the town of Bhiwadi,
India. The joint venture aims to produce new invented agricultural
chemicals in the research and development facility to be constructes.
Otsuka owned 80% interest in the joint venture. Insecticides held 20% stake
in the joint venture. The joint venture will hold the rights for any
molecule produced in the said facility. According to the managing director
of Insecticides, Insecticides will have the rights to sell the products of
the joint venture in some markets; the others will be with Otsuka.</t>
  </si>
  <si>
    <t xml:space="preserve">68853J
Y40852</t>
  </si>
  <si>
    <t xml:space="preserve">PureCircle Ltd
Coca-Cola Co</t>
  </si>
  <si>
    <t xml:space="preserve">Produce,whl natural sweeteners
Soft Drink Manufacturing</t>
  </si>
  <si>
    <t xml:space="preserve">PureCircle Ltd, located in
Negeri Sembilan, Malaysia,
produces and wholesales
natural sweeteners derived
from the stevia plant. It
activities range from
sourcing of dry stevia
leaves and extraction,
refining of crude extracts
into sweeteners and
marketing of these
sweeteners to food and
beverage manufacturer
worldwide.
Coca-Cola Co is a beverage
company. The Company owns or
licenses and markets
non-alcoholic beverage
brands, primarily sparkling
beverages and a range of
still beverages, such as
waters, flavored waters and
enhanced waters, juices and
juice drinks, ready-to-drink
teas and coffees, sports
drinks, dairy and energy
drinks. The Company's
segments include Europe,
Middle East and Africa;
Latin America; North
America; Asia Pacific;
Bottling Investments, and
Corporate. The Company owns
and markets a range of
non-alcoholic sparkling
beverage brands, including
Coca-Cola, Diet Coke, Fanta
and Sprite. The Company owns
or licenses and markets over
500 non-alcoholic beverage
brands. The Company markets,
manufactures and sells
beverage concentrates, which
are referred to as beverage
bases, and syrups, including
fountain syrups, and
finished sparkling and still
beverages. The Company was
founded in May 1886 and is
located in Atlanta, Georgia.</t>
  </si>
  <si>
    <t xml:space="preserve">2869
2086</t>
  </si>
  <si>
    <t xml:space="preserve">PURECIRCLE LTD/COCA-COLA CO-STRATEGIC ALLIANCE</t>
  </si>
  <si>
    <t xml:space="preserve">PureCircle Ltd (PureCircle) and the Coca-Cola Co (Coca-Cola) formed a
strategic alliance under which the partners will investigate and develop a
stevia sweetener product as a commercially viable food ingredient.</t>
  </si>
  <si>
    <t xml:space="preserve">75433X
191216</t>
  </si>
  <si>
    <t xml:space="preserve">Bayer Healthcare AG
Evotec AG</t>
  </si>
  <si>
    <t xml:space="preserve">Mnfr pharmaceutical products
Mnfr small molecule drugs</t>
  </si>
  <si>
    <t xml:space="preserve">Bayer HealthCare AG, located
in Leverkusen, Germany,
manufactures pharmaceutical
products that diagnose,
prevent, and treat diseases of
both humans and animals. They
have four divisions: Animal
Health (veterinary drugs);
Consumer Care (OTC meds);
Diabetes Care; and
Pharmaceuticals (represented
by Bayer-Schering Pharma and
Bayer Healthcare
Pharmaceuticals), operating in
more than 120 countries
worldwide including the US and
Africa.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t>
  </si>
  <si>
    <t xml:space="preserve">Bayer AG
Evotec AG</t>
  </si>
  <si>
    <t xml:space="preserve">BAYER HEALTHCARE AG/EVOTEC AG-STRATEGIC ALLIANCE</t>
  </si>
  <si>
    <t xml:space="preserve">Bayer Healthcare AG (Bayer) and Evotec AG (Evotec) formed a strategic
alliance to provide biotechnological research and development services. The
alliance will develop clinical treatment for endometriosis. The
participants will provide innovative drug targets and high quality
technology infrastructures. The alliance have the responsibility for
research and development of potential clinical candidates'
characterization. Evotec will receive EUR 12 mil (USD 15.47 mil) as payment
for Bayer's clinical development and commercialization. Evotec may also
receive up to EUR 580 mil (USD 747.52 mil) for clinical sales and
royalties.</t>
  </si>
  <si>
    <t xml:space="preserve">The alliance have the responsibility for research and development of
potential clinical candidates' characterization. Evotec will receive EUR 12
mil (USD 15.47 mil) as payment for Bayer's clinical development and
commercialization. Evotec may also receive up to EUR 580 mil (USD 747.52
mil) for clinical sales and royalties.</t>
  </si>
  <si>
    <t xml:space="preserve">07287J
D1646D</t>
  </si>
  <si>
    <t xml:space="preserve">PRACS Institute Ltd
Alcmaeon Pharma</t>
  </si>
  <si>
    <t xml:space="preserve">Pvd clinical research svcs
Pvd pharma rsrch mgt svcs</t>
  </si>
  <si>
    <t xml:space="preserve">Provide clinical and
bioanalytical research
services
Alcmaeon Pharma, located in
Pointe-Claire, Canada,
provides pharmaceutical
research management services.
This includes Vendor
management, Project
management, Storage of
biological samples, Clinical
monitoring, Facility audits,
Protocol development and
business to business
networking.</t>
  </si>
  <si>
    <t xml:space="preserve">PRACS INSTITUTE LTD/ALCMAEON PHARMA-STRATEGIC ALLIANCE</t>
  </si>
  <si>
    <t xml:space="preserve">PRACS Institute (PRACS) and Alcmaeon Pharma (Alcmaeon) formed a strategic
alliance to provide clinical development services. The alliance will
provide full-service development support to generic and biopharmaceutical
companies spanning Phases I-III of clinical development.</t>
  </si>
  <si>
    <t xml:space="preserve">73925X
02354W</t>
  </si>
  <si>
    <t xml:space="preserve">Ablynx NV
Merck Sharp &amp; Dohme Corp</t>
  </si>
  <si>
    <t xml:space="preserve">Ablynx NV, based in Ghent,
Belgium, is a
biopharmaceutical company
focused on the discovery and
development of
Nanobodies(R), a novel class
of therapeutic proteins
based on single-domain
antibody fragments, for a
range of serious and
life-threatening human
diseases. The Company was
founded in 2001.
Merck Sharp &amp; Dohme Corp,
located in Kenilworth, New
Jersey, is a manufacturer of
pharmaceutical preparation.
It is focused on researching
on hepatitis C, HIV,
diabetes and
immuno-oncology. The Company
was founded in 1891.</t>
  </si>
  <si>
    <t xml:space="preserve">Ablynx NV
Merck &amp; Co Inc</t>
  </si>
  <si>
    <t xml:space="preserve">ABLYNX NV/MERCK &amp; CO INC-STRATEGIC ALLIANCE</t>
  </si>
  <si>
    <t xml:space="preserve">Ablynx NV (Ablynx) and Merck &amp; Co Inc (Merck) planned to form a strategic
alliance for the development and commercialization of the Nanobody(R)
candidates directed towards a voltage gated ion channel with the option to
develop and commercialize a Nanobody to a second target. Under which, Merck
will gain exclusive global rights Nanobodies against the selected target,
with an option for similar rights to a second target. Ablynx is entitled to
receive EUR 6.5 mil (USD 8.397 mil) upfront payment and EUR 2 mil (USD
2.584 mil) research funding. The agreement makes Ablynx eligible to receive
up to EUR 448 mil (USD 578.764 mil) research, regulatory and commercial
milestone payments.</t>
  </si>
  <si>
    <t xml:space="preserve">Ablynx is entitled to receive EUR 6.5 mil (USD 8.397 mil) upfront payment
and EUR 2 mil (USD 2.584 mil) research funding. The agreement makes Ablynx
eligible to receive up to EUR 448 mil (USD 578.764 mil) research,
regulatory and commercial milestone payments.</t>
  </si>
  <si>
    <t xml:space="preserve">40613C
U58933</t>
  </si>
  <si>
    <t xml:space="preserve">Theravance Inc
Alfa Wassermann SpA</t>
  </si>
  <si>
    <t xml:space="preserve">Mnfr pharmaceuticals products
Manufacture, wholesale pharmaceutical products</t>
  </si>
  <si>
    <t xml:space="preserve">Theravance Inc,
headquartered in South San
Francisco, California,
manufactures prescription
pharmaceuticals intended for
final consumption, including
biotech products and
antibiotics. Its marketed
products include VIBATIV
(telavancin), used for
treatment of adult patients
with complicated skin and
skin structure infections
(cSSSI) caused by
susceptible isolates of the
following Gram-positive
microorganisms. The company
was founded in 1996.
Alfa Wassermann SpA, located
in Bologna, Italy,
manufactures and wholesales
pharmaceutical products.
Founded in 1948.</t>
  </si>
  <si>
    <t xml:space="preserve">Soligenix Inc
Alfa Wassermann SpA</t>
  </si>
  <si>
    <t xml:space="preserve">THERAVANCE INC/ALFA WASSERMANN SPA-STRATEGIC ALLIANCE</t>
  </si>
  <si>
    <t xml:space="preserve">Theravance Inc (Theravance) and Alfa Wassermann S.p.A. (Wassermann) formed
a strategic alliance for the development and commercialization of
velusetrag. Velusetrag is a Theravance's investigational 5-HT4 agonist in
development for the treatment of gastrointestinal motility disorders. The
alliance will focus on a -part Phase 2 program to test the efficacy, safety
and tolerability of velusetrag. Wassermann have the right for the
development and commercialization of velusetrag in the EU, Russia, China,
Mexico while Theravance retains the rights to velusetrag in the US, Canada,
Japan and certain other countries. Theravance is entitled to receive USD 10
mil option fee payable if it chooses to complete the Phase 2 program as
well as up to USD 53.5 mil potential development, regulatory and sales
milestone payments.</t>
  </si>
  <si>
    <t xml:space="preserve">88338T
01538A</t>
  </si>
  <si>
    <t xml:space="preserve">Lonza Group AG
Genmab A/S</t>
  </si>
  <si>
    <t xml:space="preserve">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
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t>
  </si>
  <si>
    <t xml:space="preserve">LONZA GROUP AG/GENMAB A/S-STRATEGIC ALLIANCE</t>
  </si>
  <si>
    <t xml:space="preserve">Lonza Group AG and Genmab A/S extended their strategic alliance in Denmark
to cover preclinical and clinical development and manufacturing for a
significant portion of Genmab's pipeline.</t>
  </si>
  <si>
    <t xml:space="preserve">Research &amp; Development Services
Health &amp; Medical Services
Manufacturing Services</t>
  </si>
  <si>
    <t xml:space="preserve">54338V
K3967W</t>
  </si>
  <si>
    <t xml:space="preserve">LEO Pharma A/S
Charite</t>
  </si>
  <si>
    <t xml:space="preserve">Mnfr pharmaceuticals
Own,op hospital</t>
  </si>
  <si>
    <t xml:space="preserve">Leo Pharma A/S, located in
Ballerup, Denmark,
manufactures pharmaceuticals
intended for final
consumption, including
biotech products and
antibiotics. The Company
offers drugs for the
treatment of psoriasis,
atopic dermatitis, eczema,
and acne; anti-coagulation,
bone turnover/nephrology,
and antithrombin
deficiencies; inflammation;
thromboembolic disorders;
and infectious diseases. It
was founded in 1908.
Charite Universitaetsmedizin
Berlin, located in Berlin,
Germany, owns and operates
hospitals and clinics. It also
provides medical research and
educational services.</t>
  </si>
  <si>
    <t xml:space="preserve">Leo Fondet
Free University of Berlin</t>
  </si>
  <si>
    <t xml:space="preserve">LEO PHARMA A/S/CHARITE UNIVERSITAETSMEDIZIN BERLIN-STRATEGIC ALLIANCE</t>
  </si>
  <si>
    <t xml:space="preserve">LEO Pharma A/S (LEO) and Charite Universitaetsmedizin Berlin (Charite)
planned to form a strategic alliance that aims to develop pharmaceuticals.
The alliance will last for five years.</t>
  </si>
  <si>
    <t xml:space="preserve">52668Z
58542E</t>
  </si>
  <si>
    <t xml:space="preserve">Takeda Pharmaceutical Co Ltd
Advinus Therapeutics Ltd</t>
  </si>
  <si>
    <t xml:space="preserve">Takeda Pharmaceutical Co
Ltd, headquartered in Osaka,
Japan, manufactures and
wholesales pharmaceutical
products for treatment in
the areas of areas of
allergy, cardiovascular,
central nervous system,
diabetes, gastrointestinal,
gout, infection,
inflammation, interleukin,
oncology, osteoporosis, and
urology and gynecology, as
well as offers vaccines and
vitamins.. The company was
founded in 1781.
Advinus Therapeutics Ltd,
located in Pune, India, is a
biotechnology company with
specialization in drug
discovery, pharmaceutical
and agrochemical products.</t>
  </si>
  <si>
    <t xml:space="preserve">Takeda Pharmaceutical Co Ltd
Tata Sons Pvt Ltd</t>
  </si>
  <si>
    <t xml:space="preserve">TAKEDA PHARMACEUTICAL CO LTD/ADVINUS THERAPEUTICS LTD-STRATEGIC ALLIANCE</t>
  </si>
  <si>
    <t xml:space="preserve">Takeda Pharmaceutical Co Ltd and Advinus Therapeutics Ltd formed a
strategic alliance to provide drug research and development services; to
manufacture and sell the developed drugs .</t>
  </si>
  <si>
    <t xml:space="preserve">Advinus shall receive USD 36 mil from Takeda for funding for research; USD
9 mil for achieved developments on the experimental drugs; USD 45 mil and
royalties for global sales of developed drugs.</t>
  </si>
  <si>
    <t xml:space="preserve">874058
01152P</t>
  </si>
  <si>
    <t xml:space="preserve">VentiRx Pharmaceuticals Inc
Celgene Corp</t>
  </si>
  <si>
    <t xml:space="preserve">VentiRx Pharmaceuticals Inc,
located in Seattle,
Washington, is a s a clinical
stage biopharmaceutical
company focusing on the
development and manufacturing
of novel medicines for the
treatment of cancer,
respiratory, and autoimmune
diseases. It has in-house
expertise in clinical,
regulatory, preclinical,
finance and business
development. The company was
founded in 2006.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</si>
  <si>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WA
NJ</t>
  </si>
  <si>
    <t xml:space="preserve">VENTIRX PHARMACEUTICALS INC/CELGENE CORP-STRATEGIC ALLIANCE</t>
  </si>
  <si>
    <t xml:space="preserve">VentiRx Pharmaceuticals, Inc (VentiRx) and Celgene Corp (Celgene) planned
to form a strategic alliance to develop VTX-2337. VTX-2337 is a highly
potent and selective Toll-like receptor 8 (TLR8) agonists for treating
cancer. Celgene will pay USD 35 mil upfront payment while VentiRx is
eligible to receive additional funding as well as equity investment by
Celgene.</t>
  </si>
  <si>
    <t xml:space="preserve">Celgene will pay USD 35 mil upfront payment while VentiRx is eligible to
receive additional funding as well as equity investment by Celgene.</t>
  </si>
  <si>
    <t xml:space="preserve">92316K
151020</t>
  </si>
  <si>
    <t xml:space="preserve">Bausch &amp; Lomb Inc
Cirle Inc</t>
  </si>
  <si>
    <t xml:space="preserve">Mnfr opthalmic goods,products
Dvlp medical tech</t>
  </si>
  <si>
    <t xml:space="preserve">Bausch &amp; Lomb Inc, located
in Rochester, New York,
manufactures ophthalmic
goods and products,
pharmaceutical preparations,
optical instrument and
contact lenses, as well as
electric toothbrushes. It
also provides laboratory
animal farm, biotech and
medical research services.
The company was founded in
1853.
Cirle Inc, located in Miami,
Florida, is focused on the
discovery of treatment for eye
diseases that lead to
blindness.</t>
  </si>
  <si>
    <t xml:space="preserve">3851
8731</t>
  </si>
  <si>
    <t xml:space="preserve">NY
FL</t>
  </si>
  <si>
    <t xml:space="preserve">Warburg Pincus LLC
Cirle Inc</t>
  </si>
  <si>
    <t xml:space="preserve">BAUSCH &amp; LOMB INC/CIRLE INC-STRATEGIC ALLIANCE</t>
  </si>
  <si>
    <t xml:space="preserve">Bausch &amp; Lomb Inc (Bausch) and Cirle Inc (Cirle) planned to form a
strategic alliance under which the partners will engage in research and
development focused on eye health technologies.</t>
  </si>
  <si>
    <t xml:space="preserve">071707
17497V</t>
  </si>
  <si>
    <t xml:space="preserve">Zhongyuan Union Stem Cell
Cell Therapy Ltd</t>
  </si>
  <si>
    <t xml:space="preserve">Zhongyuan Union Stem Cell
Bioengineering Co Ltd,
located in China, is a
biotechnology company. It is
principally engaged in
development of life science
and technology, as well as
industrialization of stem
cell gene engineering. The
company was founded in 1992.
Cell Therapy Ltd is a
manufacturer of biological
products. The company is
located in Cardiff, the United
Kingdom.</t>
  </si>
  <si>
    <t xml:space="preserve">ZHONGYUAN UNION STEM CELL BIOENGINEERING CO LTD/CELL THERAPY LTD-JOINT
VENTURE</t>
  </si>
  <si>
    <t xml:space="preserve">The company, located in China,
is focused on the development
of stem cell therapies for
major diseases such as heart
disease and diabetes. It was
founded on August 7, 2013.</t>
  </si>
  <si>
    <t xml:space="preserve">Zhongyuan Union Stem Cell Bioengineering Co Ltd (Zhongyuan) and Cell
Therapy Ltd (Cell Therapy) formed a joint venture to conduct stem cell
anti-aging research. Under the agreement, Zhongyuan and Cell Therapy will
jointly invest USD 8m to create a new JV company that will specialize in
anti-ageing research. The joint venture will use stromal (connective
tissue) cells from the germinal layer to treat heart failure. Cell Therapy
will provide advanced stem cellular therapeutics, technologies, stem cell
products and services to the new company.</t>
  </si>
  <si>
    <t xml:space="preserve">6A7734</t>
  </si>
  <si>
    <t xml:space="preserve">99204T
6A7733</t>
  </si>
  <si>
    <t xml:space="preserve">ImaginAb Inc
H Lundbeck A/S</t>
  </si>
  <si>
    <t xml:space="preserve">Biotechnology company
Manufactures and wholesales pharmaceutical products</t>
  </si>
  <si>
    <t xml:space="preserve">ImaginAb, Inc is a
biotechnology company
headquartered in Inglewood,
California. The company is
focused on the development
of antibody fragments for
diagnostic imaging and radio
immunotherapy. Its clinical
products include PSMA, PSCA,
Her2, 5T4, CD8, IAb-X11 and
IAb-X43 which is used for
prostate stem cell antigen
for prostate, bladder, and
pancreatic cancer; J591
prostate-specific membrane
antigen for prostate cancer;
and T-cell co-receptor for
cancer, inflammation, and
transplantation. It was
founded in 2007.
H Lundbeck A/S, located in
Valby, Denmark, manufactures
and wholesales
pharmaceutical products. It
is engaged in the research,
development, manufacturing
and marketing of
pharmaceuticals for the
treatment of brain disorders
such as Alzheimer's
disease, Bipolar disorder,
depression, epilepsy,
Huntington's disease,
Parkinson's disease and
schizophrenia. Its product
portfolio includes: Cipralex
for the treatment of
depression and anxiety
disorders, Ebixa for the
treatment of Alzheimer's
disease, Azilect for the
treatment of Parkinson's
disease, Xenazine for the
treatment of Huntington's
disease and Sabril for the
treatment of epilepsy, among
others. It also operates
through a number of
subsidiaries, such as
Lundbeck SAS, Lundbeck GmbH,
SIA Lundbeck Latvia and
Lundbeck LLC. The Company
was founded on August 14,
2015.</t>
  </si>
  <si>
    <t xml:space="preserve">ImaginAb Inc
Lundbeckfonden</t>
  </si>
  <si>
    <t xml:space="preserve">IMAGINAB INC/H LUNDBECK A/S-STRATEGIC ALLIANCE</t>
  </si>
  <si>
    <t xml:space="preserve">ImaginAb, Inc (ImaginAb) and H Lundbeck A/S (Lundbeck) formed a strategic
alliance to develop and commercialize central nervous system biologics. The
alliance will develop biologics with improved blood-brain barrier and
imaging agents that can quantify kinetics and targeting efficacy.</t>
  </si>
  <si>
    <t xml:space="preserve">49097F
4F8715</t>
  </si>
  <si>
    <t xml:space="preserve">Sanofi SA
Massachusetts General Hospital</t>
  </si>
  <si>
    <t xml:space="preserve">Manufactures pharmaceuticals products
Own,operate hospital</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</si>
  <si>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Massachusetts General
Hospital, headquartered in
the Boston, Massachusetts,
owns and operates a
hospital. It also provides
research and clinical
trials. It is a teaching
hospital of Harvard Medical
School. The Company was
found in 1811.</t>
  </si>
  <si>
    <t xml:space="preserve">SANOFI SA/MASSACHUSETTS GENERAL HOSPITAL-STRATEGIC ALLIANCE</t>
  </si>
  <si>
    <t xml:space="preserve">Sanofi SA (Sanofi) and Massachusetts General Hospital (Massachusetts
General) planned to form a strategic alliance to conduct research and
development in the field of oncology. The alliance that will last for two
years will focus on the development of new treatments for various types of
hematological malignancies and solid tumors.</t>
  </si>
  <si>
    <t xml:space="preserve">80105N
57566A</t>
  </si>
  <si>
    <t xml:space="preserve">Boston Analytical Inc
Bahrain Institute of Bkg &amp; Fin</t>
  </si>
  <si>
    <t xml:space="preserve">Pvd lab testing svcs
Own,op institutes</t>
  </si>
  <si>
    <t xml:space="preserve">Boston Analytical Inc, located
in Salem, New Hampshire,
provides laboratory testing
services for various
industries, including
pharmaceuticals,
biotechnology, microbiology,
cosmetics, nutrition, and
medical devices manufacturing.
The company was founded in
1987.
Bahrain Institute of Banking &amp;
Finance BSC, located in
Manama, Bahrain, owns and
operates institutes. Its
provides education and
training solutions to the
financial sector. The company
has over 300 programmes
including Banking, Accounting
and IT, Insurance, Islamic
Banking, Leadership and
Management disciplines
(including Marketing). It was
founded in 1981.</t>
  </si>
  <si>
    <t xml:space="preserve">8734
8221</t>
  </si>
  <si>
    <t xml:space="preserve">NH
FF</t>
  </si>
  <si>
    <t xml:space="preserve">Alpha Analytical Inc
Bahrain Institute of Bkg &amp; Fin</t>
  </si>
  <si>
    <t xml:space="preserve">BAHRAIN INSTITUTE OF BANKING &amp; FINANCE BSC/BOSTON ANALYTICAL INC-STRATEGIC
ALLIANCE</t>
  </si>
  <si>
    <t xml:space="preserve">Bahrain</t>
  </si>
  <si>
    <t xml:space="preserve">Boston Analytical Inc (BO) and Bahrain Institute of Banking &amp; Finance BSC
(BA) signed an agreement to form a strategic alliance (ST) to provide
analytics and advisory services in Bahrain.</t>
  </si>
  <si>
    <t xml:space="preserve">10053J
04948R</t>
  </si>
  <si>
    <t xml:space="preserve">Cancer Research Institute
LICR
MedImmune Inc</t>
  </si>
  <si>
    <t xml:space="preserve">Pvd noncoml research services
Pvd cancer research svcs
Mnfr vaccine,pvd research svcs</t>
  </si>
  <si>
    <t xml:space="preserve">Provide noncommercial research
services concentrating in
cancer studies
Ludwig Institute for Cancer
Research {LICR}, based in New
York, New York, is a
non-profit research institute
that provides cancer research
studies and services. It
conducts long-term basic and
clinical research programs
that include scientific
studies such as genetics,
biochemistry, cell biology and
immunology. The company has
nine branches in seven
countries across Australasia,
Europe, North America and
South America.
MedImmune Inc, located in
Gaithersburg, Maryland,
manufactures vaccines which
include Synagis (palivizumab),
Ethyol (amifostine), FluMist
(Influenza Virus Vaccine Live,
Intranasal), and CytoGam
(cytomegalovirus immune
globulin intravenous (human))
and with additional products
in clinical testing. It also
provides research and
development services to
discover, develop, manufacture
and market products that treat
or prevent infectious disease,
cancer and inflammatory
disease. The company was
founded in 1987.</t>
  </si>
  <si>
    <t xml:space="preserve">8733
8641
2836</t>
  </si>
  <si>
    <t xml:space="preserve">NY
NY
DE</t>
  </si>
  <si>
    <t xml:space="preserve">Cancer Research Institute
LICR
AstraZeneca PLC</t>
  </si>
  <si>
    <t xml:space="preserve">8733
8641
2834</t>
  </si>
  <si>
    <t xml:space="preserve">CANCER RESEARCH INSTITUTE/LUDWIG INSTITUTE FOR CANCER RESEARCH/MEDIMMUNE
INC-STRATEGIC ALLIANCE</t>
  </si>
  <si>
    <t xml:space="preserve">The Cancer Research Institute (CRI), Ludwig Institute for Cancer Research
(LICR) and MedImmune Inc (MedImmune) formed a strategic alliance to develop
immunotherapy for the treatment of cancer. The alliance will focus on
clinical trials to test novel combinations of immunotherapies, including
three investigational monoclonal antibodies from MedImmunes pipeline.</t>
  </si>
  <si>
    <t xml:space="preserve">13738K
54973M
584699</t>
  </si>
  <si>
    <t xml:space="preserve">Fibrocell Science Inc
Intrexon Corp</t>
  </si>
  <si>
    <t xml:space="preserve">Fibrocell Science Inc,
located in Exton,
Pennsylvania, manufactures
and wholesales
pharmaceuticals. is an
aesthetic and therapeutic
development stage company
focused on developing novel
skin and tissue rejuvenation
products. Agera Laboratories
Inc is the company's
subsidiary that develops and
markets a skin care product
line primarily in the United
States and Europe. It was
founded on 1995.
Intrexon Corp, located in
Germantown, Maryland is a
biotechnology research and
development company. The
company is focused on
bio-molecular tools that
enable researchers to
modulate and report the
activity of protein-protein
interactions in
pre-determined subcellular
locations. It is also
involved in using DNA
technology as natural
control modality for
biological therapeutics. It
has facilities in Maryland,
North Carolina, California.
It was founded in 1998.</t>
  </si>
  <si>
    <t xml:space="preserve">PA
MD</t>
  </si>
  <si>
    <t xml:space="preserve">FIBROCELL SCIENCE INC/INTREXON CORP-STRATEGIC ALLIANCE</t>
  </si>
  <si>
    <t xml:space="preserve">Fibrocell Science Inc (Fibrocell) and Intrexon Corp (Intrexon) formed a
strategic alliance to develop and produce dermal cells. The alliance was to
produce advanced genetically and non-genetically modified autologous
fibroblasts and dermal cells. Fibrocell was to enage Intrexon with support
services for the development of products developed under the alliance.
Intrexon was to receive technology access fee of USD 3.2938 mil. Fibrocell
was to pay quarterly cash royalties to Intrexon. July 01, 2013, the
alliance was expanded. The alliance now included the purpose to develop
potentially new class of therapeutics. Intrexon was to engineer transgenes
to optimize Fibrocells fibroblast cells to producw factors under the
RheoSwitch Therapeutic System.</t>
  </si>
  <si>
    <t xml:space="preserve">315721
46122T</t>
  </si>
  <si>
    <t xml:space="preserve">Quantum International Inc
University of Houston System</t>
  </si>
  <si>
    <t xml:space="preserve">Dvlp transp software
Own,op college,university</t>
  </si>
  <si>
    <t xml:space="preserve">Develop transportation route
optimization software used for
planning highways, railways,
pipelines and canals
Own and operate college and
university</t>
  </si>
  <si>
    <t xml:space="preserve">7372
8221</t>
  </si>
  <si>
    <t xml:space="preserve">Trimble Navigation Ltd
University of Houston System</t>
  </si>
  <si>
    <t xml:space="preserve">3829
8221</t>
  </si>
  <si>
    <t xml:space="preserve">QUANTUM INTERNATIONAL INC/UNIVERSITY OF HOUSTON SYSTEM-JOINT VENTURE</t>
  </si>
  <si>
    <t xml:space="preserve">Quantum International Corp (Quantum) and the University of Houston Systems
(UHS) planned to form a joint venture to develop and market robotic
technology. This technology will enable wheelchair users to walk using
robotic exoskeletons that works using brainwaves.</t>
  </si>
  <si>
    <t xml:space="preserve">75262L
91430A</t>
  </si>
  <si>
    <t xml:space="preserve">BioPower Systems
Shanghai Electric Power Co Ltd</t>
  </si>
  <si>
    <t xml:space="preserve">Prod renewable energy source
Other Electric Power Generation</t>
  </si>
  <si>
    <t xml:space="preserve">BioPower Systems Pty Ltd,
headquartered in Sydney,
Australia produces renewable
energy source through wave and
tidal power conversion. Its
technologies include
bioWAVE(TM), bioSTREAM(TM),
and bioBASE(TM). The company
was founded in 2006.
Shanghai Electric Power Co
Ltd is an electric power
generation facility
operator. The Company is
engaged in the production
and sale of electricity and
thermal power. The Company
is also involved in the
provision of maintenance and
repairing services, as well
as the distribution of
fuels. Through its
subsidiaries and associates,
the Company is also involved
in the development and
construction of electric
power projects. The Company
operates its businesses
primarily in Shanghai and
Jiangsu Province. The
Company was founded in June
1998 and is located in
Shanghai, China.</t>
  </si>
  <si>
    <t xml:space="preserve">499A
4911</t>
  </si>
  <si>
    <t xml:space="preserve">BIOPOWER SYSTEMS PTY LTD/SHANGHAI ELECTRIC POWER CO LTD - STRATEGIC
ALLIANCE</t>
  </si>
  <si>
    <t xml:space="preserve">BioPower Systems Pty Ltd (BioPower) and Shanghai Electric Power Co Ltd
(Shanghai Electric) formed a strategic alliance to develop bioWAVE ocean
wave energy system. This system produces grid-ready AC power onboard, and
delivers it ashore via sub sea cable.</t>
  </si>
  <si>
    <t xml:space="preserve">09245J
81909W</t>
  </si>
  <si>
    <t xml:space="preserve">BD Diagnostics (BD) and Lab21 Ltd (Lab21) planned to form a strategic
alliance to develop oncology assays. Under which, Lab21 will develop
polymerase chain reaction-based assays on the BD MAX platform for a series
of oncology markers while BD will be in charge of the manufacturing and
commercialization of the tests worldwide.</t>
  </si>
  <si>
    <t xml:space="preserve">Theravance Inc
Merck Sharp &amp; Dohme Corp</t>
  </si>
  <si>
    <t xml:space="preserve">Mnfr pharmaceuticals products
Mnfr,whl pharmaceutical prod</t>
  </si>
  <si>
    <t xml:space="preserve">Theravance Inc,
headquartered in South San
Francisco, California,
manufactures prescription
pharmaceuticals intended for
final consumption, including
biotech products and
antibiotics. Its marketed
products include VIBATIV
(telavancin), used for
treatment of adult patients
with complicated skin and
skin structure infections
(cSSSI) caused by
susceptible isolates of the
following Gram-positive
microorganisms. The company
was founded in 1996.
Merck Sharp &amp; Dohme Corp,
located in Kenilworth, New
Jersey, is a manufacturer of
pharmaceutical preparation.
It is focused on researching
on hepatitis C, HIV,
diabetes and
immuno-oncology. The Company
was founded in 1891.</t>
  </si>
  <si>
    <t xml:space="preserve">Soligenix Inc
Merck &amp; Co Inc</t>
  </si>
  <si>
    <t xml:space="preserve">THERAVANCE INC/MERCK &amp; CO INC-STRATEGIC ALLIANCE</t>
  </si>
  <si>
    <t xml:space="preserve">Theravance Inc (Theravance) and Merck &amp; Co Inc (Merck) formed a strategic
alliance for the development and commercialization of Theravance's drug
candidates for hypertension and heart failure. Theravance is entitled to
receive USD 5 mil upfront payments and up to USD 148 mil in milestone
payments as well as royalties.</t>
  </si>
  <si>
    <t xml:space="preserve">Theravance is entitled to receive USD 5 mil upfront payments and up to USD
148 mil in milestone payments as well as royalties.</t>
  </si>
  <si>
    <t xml:space="preserve">88338T
U58933</t>
  </si>
  <si>
    <t xml:space="preserve">LG International Corp
Inner Mongolia Baotou Steel</t>
  </si>
  <si>
    <t xml:space="preserve">Domestic,intl whl trading co
Mnfr rare earth products</t>
  </si>
  <si>
    <t xml:space="preserve">LG International Corp, based
in Seoul, South Korea, is
engaged in the trading
business. The Company
principally operates its
business through energy and
raw materials division, which
provides petroleum oils,
gases, coals and nonferrous
metals, and involves in
overseas plant projects, and
industrial material division,
which engages in the marketing
of electric and electronic
components, resins, paintings,
steels, machineries, as well
as helicopters and helicopter
parts. The Company operates
its businesses within domestic
market and in overseas
markets. The company was
founded in 1953.
Inner Mongolia Baotou Steel
Rare Earth (Group) Hi-tech
Co Ltd is a manufacturer of
inorganic chemicals. The
Company was founded in
September 1997 and is
located in Baotou Inner
Mongolia, China.</t>
  </si>
  <si>
    <t xml:space="preserve">5099
2819</t>
  </si>
  <si>
    <t xml:space="preserve">LG INTERNATIONAL CORP/INNER MONGOLIA BAOTOU STEEL RARE-EARTH HI-TECH CO
LTD-JOINT VENTURE</t>
  </si>
  <si>
    <t xml:space="preserve">LG International Corp (LG) and Inner Mongolia Baotou Steel
Rare-Earth(Group)Hi-Tech Co Ltd (Baogang Rare Earth) signed a memorandum of
understanding to form a joint venture for the research and development
activities and produce rare earth magnets, using a neodymium magnet.</t>
  </si>
  <si>
    <t xml:space="preserve">Y52764
06689V</t>
  </si>
  <si>
    <t xml:space="preserve">Charles River Labs Intl Inc
AstraZeneca PLC</t>
  </si>
  <si>
    <t xml:space="preserve">Research and Development in Biotechnology
Manufactures, wholesales pharmaceutical products</t>
  </si>
  <si>
    <t xml:space="preserve">Charles River Laboratories
International Inc, located
in Wilmington,
Massachusetts, provides
biotechnology research and
development services. It
also has offices in North
America, Europe and Asia.
The Company was founded in
1947.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</si>
  <si>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CHARLES RIVER LABORATORIES INTERNATIONAL INC/ASTRAZENECA PLC-STRATEGIC
ALLIANCE</t>
  </si>
  <si>
    <t xml:space="preserve">Charles River Laboratories International, Inc (Charles River) and
AstraZeneca PLC (AstraZeneca) formed a strategic alliance for the
development of drug metabolism and pharmacokinetics (DMPK).</t>
  </si>
  <si>
    <t xml:space="preserve">159864
046353</t>
  </si>
  <si>
    <t xml:space="preserve">Merck Serono SA
Auxogyn Inc</t>
  </si>
  <si>
    <t xml:space="preserve">Merck Serono SA, based in
Geneva, Switzerland, is a
biotechnology company that
specializes in research and
development of multiple
sclerosis, reproductive
health, dermatology, growth
deficiencies and HIV
associated diseases. The
Group's products are organized
into the following therapeutic
areas: Reproductive health
provides treatment of
infertility disorders.
Neurology segment provides
treatment in for
relapsing-remitting multiple
sclerosis. Growth and
Metabolism provides treatment
of AIDS wasting and growth
hormone deficiencies.
Dermatology segment markets
the psoriasis drug raptiva
(efalizumab). Founded in 1987.
The company also provides
private equity (PE) investment
services, through its PE arm,
Merck Serono Ventures.
Auxogyn, Inc provides research
and development services. The
company is headquartered in
Menlo Park, California. The
company is focused on the
development of solutions for
womens reproductive health
applications. Its products
include Eeva, a non-invasive
early embryo viability
assessment system that
provides quantitative
information regarding embryo
development to assist in vitro
fertilization (IVF) clinics in
selecting the best embryo(s)
for transfer and optimizing
the treatment path for their
patients undergoing IVF
procedures. It was founded in
2008.</t>
  </si>
  <si>
    <t xml:space="preserve">Merck KGaA
Auxogyn Inc</t>
  </si>
  <si>
    <t xml:space="preserve">MERCK SERONO SA/AUXOGYN INC-STRATEGIC ALLIANCE</t>
  </si>
  <si>
    <t xml:space="preserve">Merck Serono SA (Serono) and Auxogyn, Inc (Auxogyn) formed a strategic
alliance for the development of Auxogyns Early Embryo Viability Assessment
(Eeva) Test. Under the agreement, Serono will be in charge of the
strategic, scientific and medical support in the development and
commercialization of the test.</t>
  </si>
  <si>
    <t xml:space="preserve">589345
06577J</t>
  </si>
  <si>
    <t xml:space="preserve">Quantum International Corp
Clelland DataSciences Inc</t>
  </si>
  <si>
    <t xml:space="preserve">Dvlp clean energy tech
Dvlp software,hardware</t>
  </si>
  <si>
    <t xml:space="preserve">National Clean Fuels Inc,
located in Houston Texas, is a
developer of clean energy
technologies and related
alternative energy
technologies, equipment, and
next generation applications.
The company was founded in
2001.
Clelland DataSciences Inc,
located in Brentwood Bay,
Canada, develops software and
harware. The company develops
interactive systems such as
configurations for panel
displays, touchscreen
information systems, video
options and others; digitak
media servers; authoring
software like JAVA-based
authoring system and online
editor; virtual panel
software; digital radio modems
and GPS linked products. Some
of the company's harware and
peripherals are information
appliances and rackmount
systems. The company also
develops embedded systems;
network computing applications
and wireless technology
services. The company was
founded in 1985.</t>
  </si>
  <si>
    <t xml:space="preserve">499A
7372</t>
  </si>
  <si>
    <t xml:space="preserve">QUANTUM INTERNATIONAL CORP/CLELLAND DATASCIENCES INC-JOINT VENTURE</t>
  </si>
  <si>
    <t xml:space="preserve">Quantum International Corp (Quantum) and Clelland DataSciences Inc
(Clelland) signed a letter of intent to form a joint venture to develop
unmanned robotic vehicles that can sense and detect hidden landmines.</t>
  </si>
  <si>
    <t xml:space="preserve">635426
0A0984</t>
  </si>
  <si>
    <t xml:space="preserve">Nippon Gas Co Ltd
Clean TeQ Holdings Ltd</t>
  </si>
  <si>
    <t xml:space="preserve">Pvd gas transmission svcs
Pvd environmental,mining svcs</t>
  </si>
  <si>
    <t xml:space="preserve">Nippon Gas Co Ltd, based in
Chuo-Ku, Tokyo, is a company
principally engaged in the
supply of gas, the sale of gas
equipment and home equipment,
as well as the sale and
replenishing of aerosol
products. The Company operates
its business through two
business segments: Liquefied
Petroleum Gas (LPG) segment
and City Gas segment. The
Company's main business
consists of the sale of LPG
and city gas, gas equipment
and home equipment for LPG and
city gas use, the construction
of gas supply facilities, the
transportation of gas, as well
as the provision of
maintenance services for gas
heat pump (GHP) air
conditioners and the provision
of accounting services. The
Company is also involved in
the sale of land and houses,
the insurance agency business,
the provision of replenishing
services for gas canisters for
lighters and cassette stoves.
The company was founded in
1955.
Clean TeQ Holdings Ltd,
located in Melbourne,
Victoria, Australia,
provides air pollution
control services using
biotechnology-based
processes. It offers air
purification and odor
elimination services, water
technologies filter, and
water purification and
recycling technology, and
extraction techniques for
base metals, precious
metals, and radioactive
elements. The Company was
founded in 1990.</t>
  </si>
  <si>
    <t xml:space="preserve">4924
8734</t>
  </si>
  <si>
    <t xml:space="preserve">Japan
Australia</t>
  </si>
  <si>
    <t xml:space="preserve">NIPPON GAS CO LTD/CLEAN TEQ HOLDINGS LTD-JOINT VENTURE</t>
  </si>
  <si>
    <t xml:space="preserve">Nippon Gas Co Ltd (Nippon) and Clean TeQ Holdings Ltd (Clean TeQ) signed
agreement to form joint venture in Japan to provide environmental; research
and development;and mining services. The joint venture will be known as
Clean World Japan Co. Nippon will own 85% in the joint venture and Clean
TeQ will hold the remaining 15%. Clean TeQ will license its technologies to
the joint venture. Clean TeQ will receive USD 3.5 mil upon completion of
the joint venture, which is expected within first quarter of 2013.
Royalties would be 6% of the joint venture's profit.</t>
  </si>
  <si>
    <t xml:space="preserve">Environmental Services
Research &amp; Development Services
Mining Services</t>
  </si>
  <si>
    <t xml:space="preserve">Clean TeQ Holdings Ltd will receive USD 3.5 mil upon completion of the
joint venture.</t>
  </si>
  <si>
    <t xml:space="preserve">J50151
18459J</t>
  </si>
  <si>
    <t xml:space="preserve">Lifetech Scientific Corp
DiNova Venture Partners LLC
Themes Investment Partners
Broncus Technologies Inc</t>
  </si>
  <si>
    <t xml:space="preserve">Medical Devices Manufacture
Venture capital firm
Private equity fund
Mnfr therapeutic medical dev</t>
  </si>
  <si>
    <t xml:space="preserve">Lifetech Scientific Inc,
located in Shenzhen, China
manufactures and wholesales
medical devices. The Company
is a developer, manufacturer
and marketer of advanced
minimally invasive
interventional medical
devices for cardiovascular
and peripheral vascular
diseases and disorders. It
is also a holding company.
It was founded in 1999.
DiNova Venture Partners LLC is
a venture capital firm. The
company is headquartered in
Shanghai, China.
Themes Investment Partners is
a private equity fund. The
fund is headquartered in
China.
Broncus Technologies Inc,
located in Mountain View,
California, manufactures
therapeutic medical devices to
address medical conditions of
human lungs and respiratory
systems. It was founded in
1997.</t>
  </si>
  <si>
    <t xml:space="preserve">3841
6799
6726
3845</t>
  </si>
  <si>
    <t xml:space="preserve">China
China
China
United States</t>
  </si>
  <si>
    <t xml:space="preserve">FF
FF
FF
CA</t>
  </si>
  <si>
    <t xml:space="preserve">LIFETECH SCIENTIFIC CORP/DINOVA VENTURE PARTNERS LLC/THEMES INVESTMENT
PARTNERS/BRONCUS TECHNOLOGIES INC-JOINT VENTURE</t>
  </si>
  <si>
    <t xml:space="preserve">Broncus Medical Inc, located
in Mountain View, California,
is focused on the development
and commercialization of
innovative solutions for
diagnosing and treating lung
diseases.</t>
  </si>
  <si>
    <t xml:space="preserve">LifeTech Scientific Corp (LifeTech), DiNova Venture Partners, LLC (DiNova),
Themes Investment Partners (Themes) and Broncus Technologies, Inc (Broncus)
formed a joint venture named Broncus Medical, Inc to develop and
commercialize medical devices for the diagnosis and treatment of lung
cancer.</t>
  </si>
  <si>
    <t xml:space="preserve">11215L</t>
  </si>
  <si>
    <t xml:space="preserve">G54872
25945H
85692R
11222Y</t>
  </si>
  <si>
    <t xml:space="preserve">Alnylam Pharmaceuticals Inc
Genzyme Corp</t>
  </si>
  <si>
    <t xml:space="preserve">Manufacture biological products
Biotechnology company</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</si>
  <si>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</si>
  <si>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Alnylam Pharmaceuticals Inc
Sanofi SA</t>
  </si>
  <si>
    <t xml:space="preserve">ALNYLAM PHARMACEUTICALS INC/GENZYME CORP-STRATEGIC ALLIANCE</t>
  </si>
  <si>
    <t xml:space="preserve">Alnylam Pharmaceuticals Inc and Genzyme Corp extended their strategic
alliance. The SA was to have a cost of USD 22.5 million to develop and
commercialize therapeutic products.</t>
  </si>
  <si>
    <t xml:space="preserve">Alnylam is entitled to receive USD 22.5 mil upfront payment from Genzyme as
well as development milestones and tiered royalty payments.</t>
  </si>
  <si>
    <t xml:space="preserve">02043Q
372917</t>
  </si>
  <si>
    <t xml:space="preserve">Rehrig Pacific Co
Intelleflex Corp</t>
  </si>
  <si>
    <t xml:space="preserve">Mnfr reusable plastic
Mnfr semiconductors</t>
  </si>
  <si>
    <t xml:space="preserve">Rehrig Pacific Co, located in
Los Angeles, California,
manufacture reusable plastic
pallets, crates, and
containers. Its products and
services include Reusable
Transport Packaging ,
Logistics Services, Rigid
Packaging and Waste, Recycling
and Public Works. It was
founded in 1913.
Intelleflex Corp, located in
Santa Clara, California,
manufactures radio frequencly
identification (RFID)
Platform, comprising
multi-protocol tags and
readers, which enables
solutions for asset tracking,
vehicle and yard management,
manufacturing WIP control,
supply chain automation, parts
maintenance, access control
and other applications.</t>
  </si>
  <si>
    <t xml:space="preserve">3089
3674</t>
  </si>
  <si>
    <t xml:space="preserve">Rehrig Pacific Co
Third Point LLC</t>
  </si>
  <si>
    <t xml:space="preserve">3089
6282</t>
  </si>
  <si>
    <t xml:space="preserve">REHRIG PACIFIC CO/INTELLEFLEX CORP-STRATEGIC ALLIANCE</t>
  </si>
  <si>
    <t xml:space="preserve">Rehrig Pacific Co (Rehrig) and Intelleflex Corp (Intelleflex) planned to
form a strategic alliance to develop transport packaging solutions. This
solution will provide improved cold chain operations management. It will
also monitor temperature and condition of temperature-sensitive products.</t>
  </si>
  <si>
    <t xml:space="preserve">0A2319
46771K</t>
  </si>
  <si>
    <t xml:space="preserve">Kleinr Prkns Caufield &amp; Byers
Amgen Inc</t>
  </si>
  <si>
    <t xml:space="preserve">Venture Capital Firm
Manufacture human therapeutics</t>
  </si>
  <si>
    <t xml:space="preserve">Kleiner Perkins Caufield &amp;
Byers LLC, located in Menlo
Park, California, is a
venture capital firm. The
Company specializing in
investments in incubation
and early stage companies in
the green technology
innovation, information
technology, media,
telecommunication, consumer,
pandemic and bio-defense,
and life sciences markets.
The Company was founded in
1972.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</si>
  <si>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KLEINER PERKINS CAUFIELD &amp; BYERS/AMGEN INC-JOINT VENTURE</t>
  </si>
  <si>
    <t xml:space="preserve">Atara Biotherapeutics Inc,
located in Brisbane,
California, is a
biopharmaceutical company
focused on developing novel
therapeutics for serious
unmet medical needs, with an
initial focus on muscle
wasting conditions and
oncology. Its lead product
candidate, PINTA 745, is in
a Phase 2 clinical trial for
protein-energy wasting, a
condition affecting many
end-stage renal disease
patients. Its second product
candidate is STM 434. The
company was founded in 2012.</t>
  </si>
  <si>
    <t xml:space="preserve">Kleiner Perkins Caufield &amp; Byers (Kleiner) and Amgen Inc (Amgen) formed a
joint venture in Westlake Village, California, to manufactures therapeutics
to serve as treatment for cancer and kidney diseases. The joint venture is
named Atara Biotherapeutics. The joint venture will be given license to six
assets of Amgen for the therapeutics preclinical to phase one(1)
development. Financial terms of the transaction were not disclosed.</t>
  </si>
  <si>
    <t xml:space="preserve">046513</t>
  </si>
  <si>
    <t xml:space="preserve">49855T
031162</t>
  </si>
  <si>
    <t xml:space="preserve">AET BioTechnology Ltd
BioXpress Therapeutics SA</t>
  </si>
  <si>
    <t xml:space="preserve">AET BioTechnology Ltd,
headquartered in Gzira, Malta,
is a biotechnology company.
The company also holds office
in Hamburg, Germany. The
company is primarily engaged
in the development of
biosimilars into cells.
BioXpress Therapeutics SA is a
biotechnology company
headquartered in
Plan-des-Ouates, Switzerland.
The company primarily develops
biosimilar drugs. The companys
brands include Abatacept
(Orencia) and Adalimumab
(Humira) for rheumatoid
arthritis; Bevacizumab
(Avastin) and Cetuximab
(Erbitux) for colon cancer and
many others. Other drugs
developed are for treatment to
osteoporosis; multiple
sclerosis; chronic lymphotic
leukemia and others.</t>
  </si>
  <si>
    <t xml:space="preserve">Malta
Switzerland</t>
  </si>
  <si>
    <t xml:space="preserve">AET BIOTECHNOLOGY LTD/BIOXPRESS THERAPEUTICS SA-STRATEGIC ALLIANCE</t>
  </si>
  <si>
    <t xml:space="preserve">AET BioTechnology Ltd and BioXpress Therapeutics SA formed a strategic
alliance, to develop and manufacture a biosimilar drug.</t>
  </si>
  <si>
    <t xml:space="preserve">0A0690
0A0693</t>
  </si>
  <si>
    <t xml:space="preserve">Proton Holdings Bhd
Honda Motor Co Ltd</t>
  </si>
  <si>
    <t xml:space="preserve">Manufacture,whl motor vehicles
Mnfr,whl vehicles,motorcycles</t>
  </si>
  <si>
    <t xml:space="preserve">Proton Holdings Bhd
manufactures, assembles, and
sells motor vehicles and
related products priamirly
in Malaysia. The Company
operates in two segments:
proton and lotus. Proton is
engaged in manufacturing,
selling and distribution.
Lotus is engaged in
manufacturing and
distribution. It also
involves in the importation,
distribution, and wholesale
of motor vehicle and related
parts; development and
management of properties, as
well as provides engineering
consultancy, after-sales
services, financing, and
vehicle engineering
services. The Companys
portfolio of PROTON models
include the Saga, the
Persona, Gen.2, Savvy,
Satria Neo, the Exora, and
the Inspira, as well as
Lotus sportscar brand
comprising Elise, Exige,
Europa, and the Evora. The
Company was founded on 7 May
1983 and is located in
Subang Jaya, Malaysia.
Honda Motor Co Ltd is a
manufacturer of automobiles,
motorcycles and power
products. The Group develops
and manufactures a wide
variety of products, ranging
from small general-purpose
engines to specialty sports
cars that incorporate their
internal combustion engine
technology. It also provides
financing for the sale of
its motorcycles, automobiles
and power products. The
Group has got 319
subsidiaries and affiliates.
The Group operates in the
following four segments:
Motorcycle business,
Automobile business,
Financial services and Power
product and other
businesses. The Group's
major trademarks includes
HONDA, ACURA, ACCORD, CIVIC,
FIT, ODYSSEY, CR-V, PILOT,
MOBILIO, ELEMENT, STEP WGN,
MDX, STREAM, LIFE, ACTY,
VAMOS, THAT'S, CUB, WAVE
and GOLD WING. The Group has
subsidiaries throughout the
world including North
America, Pakistan, the
Philippines, India, South
America and Europe. The
Company was founded in
September 1948 and is
located in Tokyo, Japan.</t>
  </si>
  <si>
    <t xml:space="preserve">Malaysia
Japan</t>
  </si>
  <si>
    <t xml:space="preserve">Etika Strategi Sdn Bhd
Honda Motor Co Ltd</t>
  </si>
  <si>
    <t xml:space="preserve">2086
3711</t>
  </si>
  <si>
    <t xml:space="preserve">PROTON HOLDINGS BERHAD/HONDA MOTOR CO LTD-STRATEGIC ALLIANCE</t>
  </si>
  <si>
    <t xml:space="preserve">Proton Holdings Berhad (Proton) and HONDA Motor Co Ltd (HONDA) formed a
strategic alliance under which the partners will collaborate to develop new
technology enhancements and new product line.</t>
  </si>
  <si>
    <t xml:space="preserve">69601R
438128</t>
  </si>
  <si>
    <t xml:space="preserve">Shionogi &amp; Co Ltd
ViiV Healthcare Ltd</t>
  </si>
  <si>
    <t xml:space="preserve">Mnfr,whl pharmaceuticals
Manufacture HIV medicines</t>
  </si>
  <si>
    <t xml:space="preserve">Shionogi &amp; Co Ltd,
headquartered in Osaka,
Japan, is a pharmaceutical
company.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It was founded in
1878.
ViiV Healthcare Ltd,
headquartered in Brentford,
UK, manufactures and provides
research and development
services of HIV medicines. The
company was founded in 2009.</t>
  </si>
  <si>
    <t xml:space="preserve">Shionogi &amp; Co Ltd
GlaxoSmithKline PLC</t>
  </si>
  <si>
    <t xml:space="preserve">SHIONOGI &amp; CO LTD/VIIV HEALTHCARE LTD-JOINT VENTURE</t>
  </si>
  <si>
    <t xml:space="preserve">Shionogi &amp; Co Ltd and ViiV Healthcare Ltd entered into an joint venture
agreement named Shionogi-ViiV Healthcare LLC.Under the new agreement, ViiV
Healthcare will acquire the exclusive global rights to the Shionogi-ViiV
Healthcare LLC joint venture assets. Shionogi will also become a 10%
shareholder in ViiV Healthcare.The transaction was subject to regulatory
approval.</t>
  </si>
  <si>
    <t xml:space="preserve">Hospital &amp; Clinical Services
Research &amp; Development Services</t>
  </si>
  <si>
    <t xml:space="preserve">82466Q
92145W</t>
  </si>
  <si>
    <t xml:space="preserve">Menarini
Oxford BioTherapeutics Ltd</t>
  </si>
  <si>
    <t xml:space="preserve">A Menarini Industrie
Farmaceutiche Riunite Srl,
located in Florence, Italy,
manufactures, develops and
wholesales prescription
pharmaceuticals intended for
final consumption, including
biotech products and
antibiotics. Its therapeutic
areas include cardiovascular
diseases, anti-infective
agents, pain-inflammation,
oncology and asthma. It was
founded in 1886.
Oxford BioTherapeutics Ltd is
a pharmaceutical manufacturing
firm, headquartered in Oxford,
UK. The Company develops novel
antibody therapeutics using
its unique OGAP (Oxford Genome
Anatomy Project) platform for
the treatment of cancer.
Founded in 2004.</t>
  </si>
  <si>
    <t xml:space="preserve">A MENARINI INDUSTRIE FARMACEUTICHE RIUNITE/OXFORD BIOTHERAPEUTICS LTD
-STRATEGIC ALLIANCE</t>
  </si>
  <si>
    <t xml:space="preserve">A Menarini Industrie Farmaceutiche Riunite Srl (Meranini) and Oxford
BioTherapeutics Ltd (Oxford) formed a strategic alliance to provide
research and development services of antibody-based drugs for cancer.
Meranini will provide knowledge in clinical development and manufacturing
in biologics field. Oxford's expertise in drug discovery will be
contributed to the alliance. Meranini will develop and commercialize the
products in Europe; Commonwealth of Independent States (CIS); Asia and
Latin America. Oxford will also do such in North America and Japan.</t>
  </si>
  <si>
    <t xml:space="preserve">58650P
69142P</t>
  </si>
  <si>
    <t xml:space="preserve">Astex Pharmaceuticals Inc
Cancer Research Technology Ltd
Newcastle University</t>
  </si>
  <si>
    <t xml:space="preserve">Mnfr pharmaceuticals
Pvd research,dvlp svcs
Own,op college,university</t>
  </si>
  <si>
    <t xml:space="preserve">Astex Pharmaceuticals Inc,
located in Dublin,
California, manufactures
pharmaceuticals. It
specializes in small
molecule therapeutics,
focusing on onclology and
hematology. It offers
treatments for
life-threatening diseases
such as cancer and blood
cell disorders, and other
serious conditions such as
obesity. The company was
founded in 1991.
Provide research and
development services for the
benefit of cancer patients
Newcastle University, located
in Tyne and Wear, United
Kingdom, owns and operates a
university. It was formerly
known as King's College since
1937. The university was
founded in 1963.</t>
  </si>
  <si>
    <t xml:space="preserve">2834
8731
8221</t>
  </si>
  <si>
    <t xml:space="preserve">Astex Pharmaceuticals Inc
Cancer Research UK
Newcastle University</t>
  </si>
  <si>
    <t xml:space="preserve">2834
6732
8221</t>
  </si>
  <si>
    <t xml:space="preserve">ASTEX PHARMACEUTICALS INC/CANCER RESEARCH TECHNOLOGY LTD/UNIVERSITY OF
NEWCASTLE-STRATEGIC ALLIANCE</t>
  </si>
  <si>
    <t xml:space="preserve">Astex Pharmaceuticals Inc (Astex), Cancer Research Technology Ltd (Cancer)
and Newcastle University (Newcastle) formed a strategic alliance to provide
research and development services of drugs for cancer. The alliance has a
term of five(5) years. Astex will provide GBP 1 mil (1.6 mil) as fund for
research activities of Newcastle for the alliance. Newcastle's research
activities will cover biology; chemistry; pharmacology and imaging in its
Northern Institute for Cancer Research(NICR). The alliance also considers
to discover other therapeutic drugs for cancer patients.</t>
  </si>
  <si>
    <t xml:space="preserve">Astex Pharmaceuticals Inc (Astex) will provide GBP 1 mil (1.6 mil) as fund
for research activities of Newcastle University for the alliance.</t>
  </si>
  <si>
    <t xml:space="preserve">04624B
13737V
0A0467</t>
  </si>
  <si>
    <t xml:space="preserve">Del Mar Pharmaceuticals Inc
Guangxi Wuzhou Pharmaceutical</t>
  </si>
  <si>
    <t xml:space="preserve">Mnfr pharmaceuticals
Mnfr, whl pharmaceuticals</t>
  </si>
  <si>
    <t xml:space="preserve">Del Mar Pharmaceuticals Inc,
manufactures pharmaceuticals,
headquartered in Vancouver,
Canada. The company is
primarily engaged in
manufacturing drugs for orphan
cancer treatment.
Guangxi Wuzhou
Pharmaceutical(Group)Co Ltd,
manufactures and wholesales
pharmaceuticals, located in
Guangxi, China. The company
develops and manufactures
treatment for the following:
cardio-cerebrovascular
diseases; traumatic
injuries; gynecological and
paediatric diseases, as well
as the inflammation. Some of
the company's products are
Yanjianning Tablet; Chinese
Bone-Setting Pill and
Jieshitong Tablet.</t>
  </si>
  <si>
    <t xml:space="preserve">Del Mar Pharmaceuticals Inc
Guangxi Wuzhou Zhongheng Grp</t>
  </si>
  <si>
    <t xml:space="preserve">DEL MAR PHARMACEUTICALS INC/GUANGXI WUZHOU PHARMACEUTICAL(GROUP)CO
LTD-STRATEGIC ALLIANCE</t>
  </si>
  <si>
    <t xml:space="preserve">Del Mar Pharmaceuticals Inc (Del Mar) and Guangxi Wuzhou
Pharmaceutical(Group)Co Ltd (GW Pharmaceutical) plan to form a strategic
alliance in China to develop, manufacture and sell drug treatment for
cancer, VAL-083 known in the country as DAG for injection. GW
Pharmaceutical will assist and provide financial support to Del Mar for its
research and clinical studies. GW Pharmaceutical was licensed by the
Chinese State Food and Drug Administration to manufacture and sell VAL-083
in China. The transaction is subject to regulatory approvals.</t>
  </si>
  <si>
    <t xml:space="preserve">247078
0A0674</t>
  </si>
  <si>
    <t xml:space="preserve">Cyprotex PLC
Apredica LLC
Pfizer Inc</t>
  </si>
  <si>
    <t xml:space="preserve">Database information provider
Pvd drug testing svcs
Manufacture,wholesale pharmaceuticals</t>
  </si>
  <si>
    <t xml:space="preserve">Cyprotex PLC, based in United
Kingdom, is a database
information provider. The
Company, through its
subsidiary, is engaged in
providing in vitro and in
silico Absorption,
Distribution, Metabolism,
Excretion,
Toxicity/Pharmacokinetic
(ADMET/PK) information to the
pharmaceutical industry.
Cyprotex combines in vitro
ADME screening (Cloe Screen)
with pharmacokinetics
prediction systems (Cloe
Predict) to offer an
integrated suite of ADME
services to pharmaceutical and
biotechnology companies
worldwide. The Company intends
to launch Cloe product. Its
range of services is offered
under the Cloe
(Cyprotex-Lead-Optimisation-E
ngine) title and includes Cloe
Screen, Cloe Predict and Cloe
Select. Cloe Select provides a
portfolio of bespoke ADME
services, which can be
customized to the individual
clients drug discovery and
development requirements.
Apredica LLC is a drug testing
services provider,
headquartered in Watertown,
Massachusetts, US. It is
engaged in the provision of
preclinical contract testing
services for the evaluation
and optimization of the ADME,
Toxicity, and Pharmacokinetic
properties of drug candidates
early in the drug-discovery
process. The company was
founded in 2006.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</si>
  <si>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7372
8734
2834</t>
  </si>
  <si>
    <t xml:space="preserve">United Kingdom
United States
United States</t>
  </si>
  <si>
    <t xml:space="preserve">FF
MA
NY</t>
  </si>
  <si>
    <t xml:space="preserve">Cyprotex PLC
Cyprotex PLC
Pfizer Inc</t>
  </si>
  <si>
    <t xml:space="preserve">United Kingdom
United Kingdom
United States</t>
  </si>
  <si>
    <t xml:space="preserve">7372
7372
2834</t>
  </si>
  <si>
    <t xml:space="preserve">CYPROTEX PLC/APREDICA LLC/PFIZER INC-STARTEGIC ALLIANCE</t>
  </si>
  <si>
    <t xml:space="preserve">Cyprotex PLC, Apredica LLC and Pfizer Inc formed a strategic alliance, to
provide research and development services of predictive toxicology.</t>
  </si>
  <si>
    <t xml:space="preserve">G2611N
04094N
717081</t>
  </si>
  <si>
    <t xml:space="preserve">Pharmalink AB(NOW 5H5454)
Patheon Inc</t>
  </si>
  <si>
    <t xml:space="preserve">Pharmalink AB, located in
Upplands Vasby, Sweden,
manufactures prescription
pharmaceuticals intended for
final consumption, including
biotech products and
antibiotics.
Patheon Inc, headquartered in
Durham, North Carolina,
manufactures pharmaceutical
products for the
pharmaceutical and
biotechnology industries. The
company produces both
prescription and
over-the-counter drugs such as
compressed tablets, hard-shell
capsules, liquids and powders
filled in ampoules, vials,
bottles or pre-filled
syringes. The company was
founded in 1974.</t>
  </si>
  <si>
    <t xml:space="preserve">Pharmalink AB(NOW 5H5454)
JLL Partners Inc</t>
  </si>
  <si>
    <t xml:space="preserve">PHARMALINK AB/PATHEON INC-STRATEGIC ALLIANCE</t>
  </si>
  <si>
    <t xml:space="preserve">Pharmalink AB (Pharmalink) and Patheon Inc (Patheon) signed agreement to
form strategic alliance to develop and manufacture pharmaceuticals,
particularly Pharmalink's Nefecon(R). Nefecon is being developed as a
treatment for primary glomerulonephritis which causes renal disease.
Financial details were not disclosed.</t>
  </si>
  <si>
    <t xml:space="preserve">71724F
70319W</t>
  </si>
  <si>
    <t xml:space="preserve">Vertex Pharmaceuticals Inc
Undisclosed JV Partner</t>
  </si>
  <si>
    <t xml:space="preserve">Biotech co
Investment company</t>
  </si>
  <si>
    <t xml:space="preserve">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
Investment company</t>
  </si>
  <si>
    <t xml:space="preserve">VERTEX PHARMACEUTICALS INC/UNDISCLOSED PARTNER-STRATEGIC ALLIANCE</t>
  </si>
  <si>
    <t xml:space="preserve">Vertex Pharmaceuticals Inc (Vertex) and two undisclosed rivals formed a
strategic alliance to study and develop potential treatments for hepatitis
C.</t>
  </si>
  <si>
    <t xml:space="preserve">92532F
904JVP</t>
  </si>
  <si>
    <t xml:space="preserve">Bayer AG
Medsintez Plant LLC</t>
  </si>
  <si>
    <t xml:space="preserve">Manufacture and Wholesale Chemicals &amp; Pharmaceuticals
Biotechnology company</t>
  </si>
  <si>
    <t xml:space="preserve">Bayer AG, located in
Leverkusen, Germany,
manufactures organic
chemicals. The Company was
founded in August 1863.
Medsintez Plant LLC is a
biotechnology company
headquartered in Russia. The
company also manufactures
medical equipment and
pharmaceuticals. It is also
engaged in manufacturing human
insulin and other infusion
solutions. The company was
founded in 2003.</t>
  </si>
  <si>
    <t xml:space="preserve">BAYER AG/MEDSINTEZ PLANT LLC-STRATEGIC ALLIANCE</t>
  </si>
  <si>
    <t xml:space="preserve">Bayer AG (Bayer) and Medsintez Plant LLC (Medsintez) formed a strategic
alliance to manufacture and commercialize pharmaceuticals in Russia. The
alliance is to provide marketing services by 2013. The participants also
plan for a joint research and development of new substances and medicines.</t>
  </si>
  <si>
    <t xml:space="preserve">072730
0A1122</t>
  </si>
  <si>
    <t xml:space="preserve">Chongqing Water Group Co Ltd
Suez Environnement SA
Sino French Water Dvlp Co Ltd</t>
  </si>
  <si>
    <t xml:space="preserve">Pvd water supply svcs
Provide water, waste management services
Water utility</t>
  </si>
  <si>
    <t xml:space="preserve">Chongqing Water Group Co Ltd,
headquartered in China,
provides water supply
services. The company was
founded in 2001.
Suez Environnement SA,
located in Courbevoie,
France, provides water
utility and waste management
services. It runs its
businesses under two
divisions. Water division,
which is involved in the
catchments, production,
treatment and distribution
of drinking water, the
collection and purification
of domestic and industrial
water, as well as the
biological water treatment.
Waste division, which is
involved in the hazardous
and non-hazardous industrial
and domestic waste
collection, treatment,
recycling and maintenance,
as well as the provision of
urban cleaningon-site and
polluted soil treatment
services. Its operations are
carried out in Europe, North
and South America, Asia,
Middle East, Africa and
Oceania. The Company was
founded in 1997.
Sino French Water
Development Co Ltd is a
water utility company,
headquartered in Hong Kong
and with branches and
subsidiaries in China. It
was founded in 1992.</t>
  </si>
  <si>
    <t xml:space="preserve">4941
4941
4941</t>
  </si>
  <si>
    <t xml:space="preserve">China
France
Hong Kong</t>
  </si>
  <si>
    <t xml:space="preserve">Chongqing Water Asset Mgmt Co
Suez Environnement SA
Suez Environnement SA</t>
  </si>
  <si>
    <t xml:space="preserve">China
France
France</t>
  </si>
  <si>
    <t xml:space="preserve">6799
4941
4941</t>
  </si>
  <si>
    <t xml:space="preserve">CHONGQING WATER GROUP CO LTD/SUEZ ENVIRONNEMENT SA/SINO FRENCH WATER
DEVELOPMENT CO LTD-JOINT VENTURE</t>
  </si>
  <si>
    <t xml:space="preserve">Sino French Environmental
Excellence Research and
Development Center Co Ltd,
located in China, provides
research, development and
application services of water
and waste management. The
company will also be engaged
in training and consultation
services; solid waste
technology and operation
management. The company
operates as a 50:25:25 joint
venture of Chongqing Water
Group Co Ltd; Suez
Environnement SA; and Sino
French Water Development Co
Ltd.</t>
  </si>
  <si>
    <t xml:space="preserve">Chongqing Water Group Co Ltd (Chongqing), Suez Environnement SA (Suez) and
Sino French Water Development Co Ltd (Sino French) formed a joint venture
in China to provide research and development services of water and waste
management. The joint venture will include training and consulting
services; solid waste treatment technology and operation manegment
services. The joint venture named Sino French Environmental Excellence
Research and Development Center Co Ltd. Chongqing owns 50% of the joint
venture with an investment of CNY 7.5 mil (USD 1.2 mil). Suez and Sino
French will hold 25% each. The joint venture has a registered capital of
CNY 15 mil (USD 2.4 mil).</t>
  </si>
  <si>
    <t xml:space="preserve">Research &amp; Development Services
Waste Management &amp; Disposal Svcs
Consulting Services</t>
  </si>
  <si>
    <t xml:space="preserve">The joint venture has a registered capital of CNY 15 mil (USD 2.4 mil).
Chongqing Water Group Co Ltd will invest CNY 7.5 mil (USD 1.2 mil).</t>
  </si>
  <si>
    <t xml:space="preserve">0A2243</t>
  </si>
  <si>
    <t xml:space="preserve">Y15967
F4984P
82946Z</t>
  </si>
  <si>
    <t xml:space="preserve">Chery Automobile Co Ltd
Guangzhou Auto Grp Co Ltd</t>
  </si>
  <si>
    <t xml:space="preserve">Chery Automobile Co Ltd,
located in China,
manufactures and wholesales
motor vehicles. The company
was founded in January 1997.
Guangzhou Automobile Group
Co Ltd located in Guangzhou,
China is a manufacturer of
automobiles. The Company was
founded in June 1997.</t>
  </si>
  <si>
    <t xml:space="preserve">Shanghai Automotive Ind Corp
Guangzhou Auto Ind Grp Co Ltd</t>
  </si>
  <si>
    <t xml:space="preserve">CHERY AUTOMOBILE CO LTD/GUANGZHOU AUTOMOBILE GROUP CO LTD{GAC}-STRATEGIC
ALLIANCE</t>
  </si>
  <si>
    <t xml:space="preserve">Chery Automobile Co Ltd (Chery) and Guangzhou Automobile Group Co Ltd{GAC}
(GAC) plan to form a startegic alliance to manufacture automobile parts.
The alliance will also be responsible for research and development of
technologies for energy-efficient cars.</t>
  </si>
  <si>
    <t xml:space="preserve">6F5733
Y2931M</t>
  </si>
  <si>
    <t xml:space="preserve">Bristol-Myers Squibb Co
Chiromics LLC</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</si>
  <si>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Chiromics LLC is a
biotechnology company
headquartered in Princeton,
New Jersey. Its products and
services include "Accessible
Complexity", Organocatalysis,
Organocascade Catalysis and
Affinity Screening. It was
founded in 2009.</t>
  </si>
  <si>
    <t xml:space="preserve">NY
NJ</t>
  </si>
  <si>
    <t xml:space="preserve">BRISTOL-MYERS SQUIBB CO/CHIROMICS LLC-STRATEGIC ALLIANCE</t>
  </si>
  <si>
    <t xml:space="preserve">Chiromics LLC (Chiromics) and Bristol-Myers Squibb Co (Bristol-Myers)
planned to form a strategic alliance to develop novel classes of small
molecules against multiple therapeutic targets. Under which Bristol-Myers
was given non-exclusive license to use Chiromics chemical compound library
as well as an exclusive license to a proprietary chemical compound
collection, and a screening collaboration.</t>
  </si>
  <si>
    <t xml:space="preserve">110122
0A2540</t>
  </si>
  <si>
    <t xml:space="preserve">Caliber Biotherapeutics LLC
ImmunGene Inc</t>
  </si>
  <si>
    <t xml:space="preserve">Caliber Biotherapeutics, LLC
is a biotechnology company
headquartered in Bryan Texas.
The company on focused on the
development and
commercialization of
protein-based therapeutics.
ImmunGene Inc, provides
research and development
services. The company is
headquartered in Thousand
Oaks, California. It is
focused on drug discovery and
development company,
developing next generation of
monoclonal antibody-based
therapeutics to treat cancer,
autoimmune disorders and other
diseases.</t>
  </si>
  <si>
    <t xml:space="preserve">CALIBER BIOTHERAPEUTICS LLC/IMMUNGENE INC-JOINT VENTURE</t>
  </si>
  <si>
    <t xml:space="preserve">Valor Biotherapeutics, LLC is
a biotechnology company
focused on the development and
commercialization of
monoclonal antibody-interferon
(mAb-IFN) fusion protein
therapeutics. The company was
founded in November 13, 2012.</t>
  </si>
  <si>
    <t xml:space="preserve">Caliber Biotherapeutics, LLC (Caliber) and ImmunGene, Inc. (ImmunGene)
formed a joint venture named Valor Biotherapeutics, LLC to develop and
commercialize monoclonal antibody-interferon (mAb-IFN) fusion protein
therapeutics targeting certain cancers.</t>
  </si>
  <si>
    <t xml:space="preserve">0A3050</t>
  </si>
  <si>
    <t xml:space="preserve">0A3049
0A3047</t>
  </si>
  <si>
    <t xml:space="preserve">Exide Technologies
Maxwell Technologies Inc</t>
  </si>
  <si>
    <t xml:space="preserve">Mnfr,whl lead acid batteries
Mnfr electronic capacitors</t>
  </si>
  <si>
    <t xml:space="preserve">Exide Technologies, located
in Milton, Georgia,
manufactures and wholesales
lead acid batteries,
accessories, and automotive
batteries. It also offers a
range of stored electrical
energy products and services
for the industrial and
transportation industries.
The company was founded in
1888.
Maxwell Technologies Inc,
located in San Diego.
California, manufactures and
wholesales electronic
capacitors, microeletronics
and high-voltage capacitors
for customers in multiple
industries, including
transportation,
telecommunications, consumer
and industrial electronics
and automation, medical
imaging, and aerospace. The
Company was founded in 1965.</t>
  </si>
  <si>
    <t xml:space="preserve">3691
3675</t>
  </si>
  <si>
    <t xml:space="preserve">GA
CA</t>
  </si>
  <si>
    <t xml:space="preserve">EXIDE TECHNOLOGIES/MAXWELL TECHNOLOGIES INC-STRATEGIC ALLIANCE</t>
  </si>
  <si>
    <t xml:space="preserve">Exide Technologies (Exide) and Maxwell Technologies, Inc (Maxwell) planned
to form a strategic alliance to develop and market battery-ultracapacitor
energy storage solutions.</t>
  </si>
  <si>
    <t xml:space="preserve">302051
577767</t>
  </si>
  <si>
    <t xml:space="preserve">Endo Health Solutions Inc
The Trendlines Group Ltd</t>
  </si>
  <si>
    <t xml:space="preserve">Mnfr,whl pharmaceuticals
Pvd investing, dvlpng svcs</t>
  </si>
  <si>
    <t xml:space="preserve">Endo Health Solutions Inc,
based in Chadds Ford,
Pennsylvania, manufactures and
wholesales pharmaceuticals.
The company is engaged in the
research, development, sale
and marketing of branded and
generic prescription
pharmaceuticals used primarily
to treat and manage pain. The
company's products includes
established brand names such
as Lidoderm (lidocaine patch
5%), Percocet (oxycodone and
acetaminophen tablets USP)
CII, and Frova (frovatriptan
succinate) tablets, as well as
newer products Opana ER
(oxymorphone HCl) CII
extended-release tablets,
Opana (oxymorphone HCl) CII
immediate-release tablets and
Synera (lidocaine 70mg and
tetracaine 70mg), a topical
anesthetic patch. The company
was founded in 1997.
The Trendlines Group,
located in M.P. Misgav,
Israel, is engaged in
identifying, investing in,
developing, and nurturing
innovation-based businesses
in the areas of life
sciences, cleantech and
agritech, information
technology, and security.
Its services also includes
business incubation, partner
and channel development,
market strategies, business
plans, and marketing
communications services to
entrepreneurs. It was
founded in 2007.</t>
  </si>
  <si>
    <t xml:space="preserve">ENDO HEALTH SOLUTIONS INC/THE TRENDLINES GROUP LTD-STRATEGIC ALLIANCE</t>
  </si>
  <si>
    <t xml:space="preserve">Endo Health Solutions Inc (Endo) and The Trendlines Group Ltd (Trendlines)
formed a strategic alliance to develop novel medical devices and
technologies. The alliance will focus on the areas of pain and urology.</t>
  </si>
  <si>
    <t xml:space="preserve">29264F
0A3029</t>
  </si>
  <si>
    <t xml:space="preserve">Forest Laboratories Inc
Adamas Pharmaceuticals Inc</t>
  </si>
  <si>
    <t xml:space="preserve">Mnfr,wholesale pharmaceuticals
Mnfr pharm</t>
  </si>
  <si>
    <t xml:space="preserve">Forest Laboratories Inc,
located in New York, New York,
manufactures and wholesales
prescription pharmaceuticals
intended for final
consumption, including biotech
products and antibiotics for
the therapeutic areas of the
central nervous,
cardiovascular and respiratory
systems. The holding company
was founded in 1954.
Adamas Pharmaceuticals Inc is
a pharmaceutical manufacturing
firm, headquartered in
Emeryville, California. The
company is focused on the
research and development of
aminoadamantane-based
therapeutics for central
nervous system disorders. Its
products include Arimenda and
Nurelin. The company was
founded in 2000.</t>
  </si>
  <si>
    <t xml:space="preserve">FOREST LABORATORIES INC/ADAMAS PHARMACEUTICALS INC-STRATEGIC ALLIANCE</t>
  </si>
  <si>
    <t xml:space="preserve">Forest Laboratories, Inc (Forest) and Adamas Pharmaceuticals, Inc (Adamas)
formed a strategic alliance to develop and commercialize Namenda XR(R) and
donepezil HCl. This products are once daily therapy for the treatment of
moderate to severe dementia of the Alzheimers type in the United States.
Adamas is entitled to receive USD 65 mil upfront payment and up to USD 65
mil develop milestones as well as royalties five years after launch of the
products</t>
  </si>
  <si>
    <t xml:space="preserve">345838
00548A</t>
  </si>
  <si>
    <t xml:space="preserve">CIE GENERALE DE GEOPHYSIQUE-VERITAS SA/SAUDI ARABIAN OIL CO{ARAMCO}-JOINT
VENTURE</t>
  </si>
  <si>
    <t xml:space="preserve">Cie Generale de Oil Geophysique-Veritas SA (CI) and Saudi Arabian Oil Co
(SA) signed a Memorandum of Understanding (MoU) to form a joint venture
named SpiceRack (SP) to provide research and the development of geophysical
acquisition, processing, analysis and interpretation technologies in Saudi
Arabia.</t>
  </si>
  <si>
    <t xml:space="preserve">W2 Energy Inc
W2H Luxembourg Holding SA
Ecobound(Malaysia)Sdn Bhd</t>
  </si>
  <si>
    <t xml:space="preserve">Manufacutre liquid fuel system
Manufacture petrochemical
Manufacture fuel</t>
  </si>
  <si>
    <t xml:space="preserve">W2 Energy Inc, located in
Guelph, Ontario, manufactures
liquid fuels systems such as
diesel, gasoline, methanol,
butanol, from biomass, waste
and coal feedstock. The
company was founded in 1994.
W2H Luxembourg Holding SA,
located in Luxembourg. is an
investment holding company
focused in petrochemical
manufacturing.
Ecobound (Malaysia) Sdn Bhd,
located in Selangor, Malaysia,
manufactures fuel. The company
was founded in November 28,
2000.</t>
  </si>
  <si>
    <t xml:space="preserve">1321
2869
2819</t>
  </si>
  <si>
    <t xml:space="preserve">Canada
Luxembourg
Malaysia</t>
  </si>
  <si>
    <t xml:space="preserve">W2 Energy Inc
W2H Luxembourg Holding SA
Ecobound International Ltd</t>
  </si>
  <si>
    <t xml:space="preserve">W2 ENERGY INC/W2H LUXEMBOURG HOLDING SA/ECOBOUND(MALAYSIA)SDN BHD-JOINT
VENTURE</t>
  </si>
  <si>
    <t xml:space="preserve">W2 Energy Inc (W2), W2H Luxembourg Holdings SA (W2H) and
Ecobound(Malaysia)Sdn Bhd (Ecobound) agreed to form a joint venture to
provide financial and development support for W2H and W2 technologies and
products.</t>
  </si>
  <si>
    <t xml:space="preserve">92934U
93534P
0A3608</t>
  </si>
  <si>
    <t xml:space="preserve">Zhengzhou Sino-Crystal Diamond
Luoyang Huake Superhard Mtl Co</t>
  </si>
  <si>
    <t xml:space="preserve">Mnfr,whl synthetic diamond
Mnfr,whl diamonds</t>
  </si>
  <si>
    <t xml:space="preserve">Zhengzhou Sino-Crystal Diamond
Co Ltd, located in China,
manufactures and wholesales
synthetic diamond. The main
products are: synthetic
diamond mono-crystal and
special equipment for big
cavity synthetic diamond. The
company was founded in 2004.
Luoyang Huake Superhard
Material Product Co Ltd,
located in China, manufactures
and wholesales diamonds.</t>
  </si>
  <si>
    <t xml:space="preserve">3291
5094</t>
  </si>
  <si>
    <t xml:space="preserve">ZHENGZHOU SINOCRYSTAL DIAMOND CO LTD/LUOYANG HUAKE SUPERHARD MATERIAL
PRODUCT CO LTD-JOINT VENTURE</t>
  </si>
  <si>
    <t xml:space="preserve">Zhengzhou Sino-Crystal Diamond Co Ltd (Zhengzhou) and Luoyang Huake
Superhard Material Product Co Ltd (Luoyang) planned to form a joint venture
in China to provide research and development; manufacturing and
distribution services of resin diamond cutting tools. The joint venture
will be 90% owned by Zhengzhou and 10% owned by Luoyang. The joint venture
will have a registered capital of CNY 50 mil (USD 8.02 mil); CNY 45 mil
(USD 7.22 mil) of which will be provided by Zhengzhou.</t>
  </si>
  <si>
    <t xml:space="preserve">The joint venture will have a registered capital of CNY 50 mil (USD 8.02
mil); CNY 45 mil (USD 7.22 mil) of which will be provided by Zhengzhou
Sino-Crystal Diamond Co Ltd</t>
  </si>
  <si>
    <t xml:space="preserve">Y9893X
0A3809</t>
  </si>
  <si>
    <t xml:space="preserve">Itron Inc
Panasonic Corp</t>
  </si>
  <si>
    <t xml:space="preserve">Totalizing Fluid Meter and Counting Device Manufacturing
Mnfr,wholesale electronic prod</t>
  </si>
  <si>
    <t xml:space="preserve">Itron Inc, headquartered in
Liberty Lake, Washington,
manufactures automated meter
reading products. It also
provides integrated hardware
and software systems
solutions for collecting,
communicating, analyzing and
managing information about
electric, gas and water
usage. It operates through
three business segments:
Software Solutions, Meter
Data Collection and
Electricity Metering. It
also provides customers with
industry solutions for
electricity metering, meter
data collection, demand side
management and response,
load forecasting, analysis
and consulting services,
distribution system design
and optimization, web-based
workforce automation,
residential energy and water
management. The registered
trademarks of the Group
include ITRON(R), MV-90(R),
KNOWLEDGE TO SHAPE YOUR
FUTURE(R), ERT(R),
CENTRON(R), EEM SUITE(R),
QUANTUM(R)Q1000 and
SENTINEL(R). It operates in
Canada, Australia, Taipei
and Taiwan. The Company was
founded in 1977.
Panasonic Corp, located in
Osaka, Japan, manufactures
and wholesales consumer
electric and electronic
products. The Audio-Visual
Computer (AVC) Network
segment offers audio and
video equipment. The
Appliance segment provides
household air-conditioning
machines. The System
Communications segment
provides system network and
mobile
communications-related
products and services. The
Eco-solutions segment
consists of riding, energy
system, housing system and
ecological system. The
Automotive systems segment
provides automotive
multimedia-related equipment
and environmental automotive
equipment. The Device
segment provides electronic
components, semiconductors
and optical devices. The
Energy segment provides
solar system and lithium-ion
batteries. The Others
segment consists of health
care, manufacturing
solutions and PanaHome. The
company was founded in 1918.</t>
  </si>
  <si>
    <t xml:space="preserve">3825
3651</t>
  </si>
  <si>
    <t xml:space="preserve">ITRON INC/PANASONIC CORP-STRATEGIC ALLIANCE</t>
  </si>
  <si>
    <t xml:space="preserve">Itron Inc (Itron) and Panasonic Corp (Panasonic) formed a strategic
alliance for the development of smart metering platform that can meet
Japanese electric utilities needs and requirements. The solution will also
support multiple communication options, including cellular, RF mesh and
Power Line Carrier. In addition, Itron will design, develop and deliver an
Itron smart meter with its 3G cellular communications to Panasonic.</t>
  </si>
  <si>
    <t xml:space="preserve">465741
J6354Y</t>
  </si>
  <si>
    <t xml:space="preserve">Hebei Changshan Biochem Pharm
ConjuChem LLC</t>
  </si>
  <si>
    <t xml:space="preserve">Hebei Changshan Biochemical
Pharmaceutical Co Ltd, located
in Shijiazhuang China,
manufactures and wholesales
pharmaceuticals. Its products
include heparin sodium
pharmaceutical product, low
molecular weight heparin
injections, as well as other
heparin-based products. The
Company was
ConjuChem Biotechnologies Inc
is a biotechnology company
headquartered in Montreal,
Canada. The company is focused
on the research and
development of medicines from
therapeutic peptides based on
its bioconjugation platform
technology for the treatment
of diabetes, human growth
deficiencies, and HIV/AIDS.
The company was formed in
August 25, 2009 as part of the
conversion of Colabor Fund Inc
into a corporation.</t>
  </si>
  <si>
    <t xml:space="preserve">HEBEI CHANGSHAN BIOCHEMICAL PHARMACEUTICAL CO LTD/CONJUCHEM LLC-JOINT
VENTURE</t>
  </si>
  <si>
    <t xml:space="preserve">Hebei Changshan Biochemical Pharmaceutical Co., Ltd's subsidiaries (Hebei
Changshan) and ConjuChem LLC (ConjuChem) planned to form a joint venture to
import technologies for the treatment of treatment from the US. The JV will
have a registered capital of CNY 20 mil (USD 3.2075 mil), CNY 10.2 mil (USD
1.635825 mil) of which will be contributed by Hebei Changshan's
subsidiaries for a 51% stake in the JV. On the other hand, ConjuChem will
contribute non-monetary assets, such as the patent technologies it owns
worth CNY 9.8 mil (USD 1.571675 mil)</t>
  </si>
  <si>
    <t xml:space="preserve">The JV will have a registered capital of CNY 20 mil (USD 3.2075 mil), CNY
10.2 mil (USD 1.635825 mil) of which will be contributed by Hebei
Changshan's subsidiaries for a 51% stake in the JV. On the other hand,
ConjuChem will contribute non-monetary assets, such as the patent
technologies it owns worth CNY 9.8 mil (USD 1.571675 mil)</t>
  </si>
  <si>
    <t xml:space="preserve">Y31202
0A6494</t>
  </si>
  <si>
    <t xml:space="preserve">Neurovive Pharm Asia Ltd
Sun Moral Intl (HK) Ltd</t>
  </si>
  <si>
    <t xml:space="preserve">Manufacture pharmaceuticals
Manufacture,wholesale drugs</t>
  </si>
  <si>
    <t xml:space="preserve">NeuroVive Pharmaceutical
Asia Ltd, located in Hong
Kong, manufactures
pharmaceuticals.
Sun Moral International (HK)
Ltd is a manufacturer and
wholesaler of pharmaceutical
preparation. The Company is
located in Hong Kong.</t>
  </si>
  <si>
    <t xml:space="preserve">NeuroVive Pharmaceutical AB
Morgan Stanley</t>
  </si>
  <si>
    <t xml:space="preserve">2836
6211</t>
  </si>
  <si>
    <t xml:space="preserve">NEUROVIVE PHARMACEUTICAL ASIA LTD/SUN MORAL INTERNATIONAL(HK)LTD-STRATEGIC
ALLIANCE</t>
  </si>
  <si>
    <t xml:space="preserve">Neurovive Pharmaceutical Asia Ltd (Neurovive) and Sun Moral
International(Hk)Ltd (Sun) formed a strategic alliance to provide clinical
development, regulatory and market approval, market access and promotion as
well as marketing, distribution and sales in China of CicloMulsion and
NeuroSTAT.NeuroVive will supply CicloMulsion and NeuroSTAT to Sihuan for
clinical trials and, upon launch, will initially supply commercial volumes
of the drugs for distribution and sale by Sihuan in China.</t>
  </si>
  <si>
    <t xml:space="preserve">Research &amp; Development Services
Marketing Services
Retail &amp; Wholesale Services
Hospital &amp; Clinical Services</t>
  </si>
  <si>
    <t xml:space="preserve">9A4289
90828T</t>
  </si>
  <si>
    <t xml:space="preserve">Sense Technologies Inc
AWTI</t>
  </si>
  <si>
    <t xml:space="preserve">Mnfr automotive warning sys
Pvd mobile video sys prdcts</t>
  </si>
  <si>
    <t xml:space="preserve">Sense Technologies Inc is a
manufacturer of driver aids
for the automobile industry.
The company is located in
Grand Island, Nebraska. It
offers Guardian Alert, a
backup warning system for
motor vehicles using a
Doppler-sensing,
microwave-radar technology
that alerts drivers to
obstacles in blind spots.
Alliance Wireless Technologies
Inc, located in Houston,
Texas, distribute and service
a broad range of safety,
security and wireless
communication products. The
Company's products include HD
2 Port Kit, HD 4 Port Kit, HD
Slimline Kit, HD Slimline with
DVR Kit which caters to the
Waste, Commercial Fleets &amp;
Distribution, Passenger
Transportation,
Municipalities, Heavy
Equipment, Concrete and
Construction, Emergency
Fleets, Mining and
Petrochemical Industries.</t>
  </si>
  <si>
    <t xml:space="preserve">3714
5065</t>
  </si>
  <si>
    <t xml:space="preserve">NE
TX</t>
  </si>
  <si>
    <t xml:space="preserve">SENSE TECHNOLOGIES INC/ALLIANCE WIRELESS TECHNOLOGIES INC-STRATEGIC
ALLIANCE</t>
  </si>
  <si>
    <t xml:space="preserve">Sense Technologies Inc (Sense) and Alliance Wireless Technologies Inc
(AWTI) planned to form a strategic alliance to develop safety-and-proximity
detection devices for commercial vehicles. The alliance will integrate
Vision-and-Sensor-based technologies.</t>
  </si>
  <si>
    <t xml:space="preserve">816923
0A4465</t>
  </si>
  <si>
    <t xml:space="preserve">Shire PLC
Childrens Hospital Boston</t>
  </si>
  <si>
    <t xml:space="preserve">Manufacture,wholesale pharmaceutical production
Own,op pediatric hospital</t>
  </si>
  <si>
    <t xml:space="preserve">Shire PLC, located in
Dublin, the Republic of
Ireland, manufactures and
wholesales pharmaceutical
products. The Company
focuses on the central
nervous system,
gastrointestinal and human
genetic therapies. Its
brands include Adderall XR,
Dynepo, Equetro, Forsenol,
Adderall, Carbatrol,
Pentasa, Colazide, Agrylin,
Xagrid, Fosrenol,
Proamatine, Epivir,
Combivir, Trizivir, Vaniqa,
Xagrid, Zeffix, Calcichew,
Solaraze, Reminyl/Reminyl
XL, Lodine, Replagal,
Daytrana, Elaprase and
Mesavance. The Group
operates in the UK, the US,
the Netherlands, France,
Germany, Italy, Spain,
Ireland, Canada, Cayman
Islands and Sweden. The
Company distributes its
products in Australia,
Denmark, Finland, Hong Kong,
Israel, Malaysia, Norway,
Philippines, Singapore,
South Africa, South Korea
and Thailand. It was founded
in 1986.
Children's Hospital Boston
is a hospital operator. The
Company is located in
Boston, Massachusetts.</t>
  </si>
  <si>
    <t xml:space="preserve">2834
8069</t>
  </si>
  <si>
    <t xml:space="preserve">Shire PLC
Harvard University</t>
  </si>
  <si>
    <t xml:space="preserve">SHIRE PLC/CHILDREN'S HOSPITAL BOSTON-STRATEGIC ALLIANCE</t>
  </si>
  <si>
    <t xml:space="preserve">Shire plc (Shire) and Children's Hospital Boston (Children's Hospital)
planned to form a three-year strategic alliance for the development of
novel therapies for the treatment of rare pediatric diseases. Children's
Hospital is entitled to receive upfront payment form Shire. Shire is then
given an option to enter into a licensing agreement on selected programs.
Upon entering a licensing agreement, Children's Hospital is entitled to
receive development and commercial milestone payments, as well as
royalties.</t>
  </si>
  <si>
    <t xml:space="preserve">82481R
16870Z</t>
  </si>
  <si>
    <t xml:space="preserve">Impax Laboratories Inc
Perrigo Co</t>
  </si>
  <si>
    <t xml:space="preserve">Manufactures pharmaceuticals
Mnfr,whl prescription pharm</t>
  </si>
  <si>
    <t xml:space="preserve">Impax Laboratories Inc,
headquartered in Hayward,
California, manufactures
pharmaceuticals focused on
the development of
controlled-release and
specialty generics in
addition to the development
of branded products. It
markets its generic products
through its Global
Pharmaceuticals division and
intends to market its
branded products through the
IMPAX Pharmaceuticals
division. The Company was
founded in 1995.
Perrigo Co, located in
Allegan, Michigan,
manufactures and wholesales
over-the-counter and
prescription pharmaceuticals.
It also manufactures active
pharmaceutical ingredients,
nutritional and consumer
products. The company was
founded in 1887.</t>
  </si>
  <si>
    <t xml:space="preserve">CA
MI</t>
  </si>
  <si>
    <t xml:space="preserve">Impax Laboratories Inc
Blisfont Ltd</t>
  </si>
  <si>
    <t xml:space="preserve">IMPAX LABORATORIES INC/PERRIGO CO-STRATEGIC ALLIANCE</t>
  </si>
  <si>
    <t xml:space="preserve">Impax Laboratories, Inc (Impax) and Perrigo Co (Perrigo) planned to form a
strategic alliance to develop, manufacture and commercialize topical
generic drug products.</t>
  </si>
  <si>
    <t xml:space="preserve">45256B
714290</t>
  </si>
  <si>
    <t xml:space="preserve">PAREXEL International Corp
National Taiwan Univ Hospital</t>
  </si>
  <si>
    <t xml:space="preserve">Pvd biopharmaceutical svcs
Pvd hospital &amp; medical svcs</t>
  </si>
  <si>
    <t xml:space="preserve">PAREXEL International Corp,
located in Waltham,
Massachusetts, provides
biopharmaceutical services,
including social sciences
research and development
services. It offers
expertise-based clinical
research, consulting, medical
communications and technology
solutions and services
worldwide pharmaceutical,
biotechnology and medical
device industries. It
currently has offices in 86
locations in 51 countries
across the world and employs
approximately 19,600
employees. The Company was
founded in 1982.
Provide hospital and medical
services</t>
  </si>
  <si>
    <t xml:space="preserve">8731
8069</t>
  </si>
  <si>
    <t xml:space="preserve">PAREXEL INTERNATIONAL CORP/NATIONAL TAIWAN UNIVERSITY HOSPITAL-STRATEGIC
ALLIANCE</t>
  </si>
  <si>
    <t xml:space="preserve">PAREXEL International Corp (PAREXEL) and the National Taiwan University
Hospital (NTUH) formed a strategic alliance to provide drug development
services in Taiwan.</t>
  </si>
  <si>
    <t xml:space="preserve">699462
63808T</t>
  </si>
  <si>
    <t xml:space="preserve">Nestle Health Science SA
Hutchison China MediTech Ltd</t>
  </si>
  <si>
    <t xml:space="preserve">Mnfr dietary supplements
Mnfr,whl diagnostic pharm</t>
  </si>
  <si>
    <t xml:space="preserve">Nestle Health Science SA,
located in Epalinges,
Switzerland, is a health
science company engaged in
nutritional therapy for
consumers, patients and its
partners in healthcare. Its
portfolio is comprised of
nutrition solutions,
diagnostics, devices and
drugs, that targets health
areas such as inborn errors
of metabolism, pediatric and
acute care, obesity care,
healthy aging as well as
gastrointestinal and brain
health. The Company was
founded in 2011.
Hutchison China MediTech
PLC, located in Hong Kong,
manufactures and wholesales
of diagnostic
pharmaceutical, health
supplements and other
consumer health and personal
care products derived from
Traditional Chinese Medicine
and botanical ingredients.
It is also a holding
company.</t>
  </si>
  <si>
    <t xml:space="preserve">Switzerland
Hong Kong</t>
  </si>
  <si>
    <t xml:space="preserve">Nestle SA
Hutchison Whampoa Ltd</t>
  </si>
  <si>
    <t xml:space="preserve">2095
4813</t>
  </si>
  <si>
    <t xml:space="preserve">NESTLE HEALTH SCIENCE SA/HUTCHISON CHINA MEDITECH PLC-JOINT VENTURE</t>
  </si>
  <si>
    <t xml:space="preserve">Nestle Health Science SA (Nestle) and Hutchison China MediTech PLC
(Chi-Med) agreed to form a joint venture named Nutrition Science Partners
Ld. The JV will engage in the research, development, manufacturing and
marketing of nutritional and medicinal products derived from botanical
plants.</t>
  </si>
  <si>
    <t xml:space="preserve">63996Y
44842L</t>
  </si>
  <si>
    <t xml:space="preserve">BioView Ltd
Abbott Labs</t>
  </si>
  <si>
    <t xml:space="preserve">Mnfr lab equips
Mnfr,whl pharm,med equip</t>
  </si>
  <si>
    <t xml:space="preserve">BioView Ltd, located in
Rehovot, Israel with a
subsidiary in the United
States, manufactures and
productes laboratory equipment
and automated cell diagnostic
system for use in cytology,
cytogenetics, hematology and
pathology laboratories. The
company's automated scanning
imaging system was branded as
Duet. Founded in 2000. the
company is constantly
upgrading its clinical studies
and is developing novel
technologies and applications
for cancer screening &amp;
diagnosis.
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t>
  </si>
  <si>
    <t xml:space="preserve">BIOVIEW LTD/ABBOTT LABORATORIES-STRATEGIC ALLIANCE</t>
  </si>
  <si>
    <t xml:space="preserve">BioView Ltd (BioView) and Abott Laboratories (Abbott) formed a strategic
alliance to develop a medical scanning device. This device will monitor
rearrangements of the anaplastic lymphoma kinase (ALK) gene in patients
with advanced non-small cell lung cancer (NSCLC). The alliance will
co-promote the Duet Automated Scanner worldwide after receiving regulatory
approval. BioView is in charge in obtaining the regulatory approvals.</t>
  </si>
  <si>
    <t xml:space="preserve">08984K
002824</t>
  </si>
  <si>
    <t xml:space="preserve">IntelliCell BioSciences Inc
New Jersey Center</t>
  </si>
  <si>
    <t xml:space="preserve">Intellicell Biosciences Inc,
located in New York, New York,
is a biotechnology company
that deals with regenerative
medicine using fat from
stromal vascular fraction
containing adult stem cells.
The company was founded March
1999.
Provide research and
development services o f
advanced biomedical products
for tissue repair and and
replacement, and delivery of
drugs</t>
  </si>
  <si>
    <t xml:space="preserve">INTELLICELL BIOSCIENCES INC/NEW JERSEY CENTER FOR BIOMATERIALS-STRATEGIC
ALLIANCE</t>
  </si>
  <si>
    <t xml:space="preserve">IntelliCell BioSciences, Inc (IntelliCell) and New Jersey Center for
Biomaterials (New Jersey Center) formed a strategic alliance to conduct
research activities on IntelliCell's proprietary cellular population. Under
the agreement, the alliance will initially engage in documentation of any
differences IntelliCell's proprietary cellular population and similar cell
populations isolated from human adipose tissue using conventional methods
of cell isolation. The initial phase will lead to the development of
bioengineered products containing the proprietary IntelliCell cellular
population.</t>
  </si>
  <si>
    <t xml:space="preserve">45825A
64576Y</t>
  </si>
  <si>
    <t xml:space="preserve">AlumiFuel Power Tech Inc
Genport North America Corp</t>
  </si>
  <si>
    <t xml:space="preserve">Pvd alternative energy
Dvlp fuel cells</t>
  </si>
  <si>
    <t xml:space="preserve">AlumiFuel Power Technologies
Inc, provides alternative
energy services.
Genport North America Corp,
located in West Lafayette,
Indiana develops fuel cells.</t>
  </si>
  <si>
    <t xml:space="preserve">499A
3629</t>
  </si>
  <si>
    <t xml:space="preserve">DE
IN</t>
  </si>
  <si>
    <t xml:space="preserve">AlumiFuel Power Corp
Genport Srl</t>
  </si>
  <si>
    <t xml:space="preserve">ALUMIFUEL POWER TECHNOLOGIES INC/GENPORT NORTH AMERICA CORP-JOINT VENTURE</t>
  </si>
  <si>
    <t xml:space="preserve">AlumiFuel Power Technologies Inc (AlumiFuel) and Genport North America Corp
(Genport) agreed to form a joint venture to develop integrated 5KW backup
power system as well as 300W-1KW for emergency services applications for
telecom facilities. This system will utilize AlumiFuel's hydrogen
generation technology to provide the fuel for Genport's fuel cell power
systems.</t>
  </si>
  <si>
    <t xml:space="preserve">0A6238
0A6245</t>
  </si>
  <si>
    <t xml:space="preserve">Shanghai Csg Smart Science&amp;
Yu Yaoguo</t>
  </si>
  <si>
    <t xml:space="preserve">Power, Distribution, and Specialty Transformer Manufacturing
Individual</t>
  </si>
  <si>
    <t xml:space="preserve">CSG Smart Science &amp;
Technology Co Ltd is a
manufacturer and wholesaler
of power, distribution, and
specialty transformers. The
Company was founded in
November 2002 and is located
in Shanghai, China. in
Shanghai, China.
Individual</t>
  </si>
  <si>
    <t xml:space="preserve">3612
6799</t>
  </si>
  <si>
    <t xml:space="preserve">China
Taiwan</t>
  </si>
  <si>
    <t xml:space="preserve">CSG SMART SCIENCE&amp;TECHNOLOGY CO LTD/YU YAOGUO-JOINT VENTURE</t>
  </si>
  <si>
    <t xml:space="preserve">CSG Smart Science and Technology Co Ltd (CSG) and Mr. Yu Yaoguo (Yu)
planned to form a joint venture to develop, manufacture and sell optical
communication system equipments, equipment terminals for wireless
communication system. The JV will have a registered capital of CNY 10 mil
(USD 1.60632 mil), CNY 7.33 mil (USD 1.1774 mil) and CNY 2.67 mil (USD
428,887).</t>
  </si>
  <si>
    <t xml:space="preserve">73.30
26.70</t>
  </si>
  <si>
    <t xml:space="preserve">The JV will have a registered capital of CNY 10 mil (USD 1.60632 mil), CNY
7.33 mil (USD 1.1774 mil) and CNY 2.67 mil (USD 428,887).</t>
  </si>
  <si>
    <t xml:space="preserve">83991Z
0A7571</t>
  </si>
  <si>
    <t xml:space="preserve">AMVAC Chemical Corp
TyraTech Inc</t>
  </si>
  <si>
    <t xml:space="preserve">Mnfr,whl agricultural chem
Mnfr pesticides, parasiticides</t>
  </si>
  <si>
    <t xml:space="preserve">AMVAC Chemical Corp, located
in Los Angeles, California,
manufactures and wholesales
specialty chemicals,
including insecticides,
fungicides, molluscicides,
plant growth regulators and
soil fumigants. The Company
was founded in 1945.
TyraTech Inc, located in
Morrisville, North Carolina,
manufactures pesticides and
parasiticide products. It
incorporates unique blends
of natural active
ingredients. The Company was
founded in 2004.</t>
  </si>
  <si>
    <t xml:space="preserve">American Vanguard Corp
TyraTech Inc</t>
  </si>
  <si>
    <t xml:space="preserve">3523
2879</t>
  </si>
  <si>
    <t xml:space="preserve">AMVAC CHEMICAL CORP/TYRATECH-JOINT VENTURE</t>
  </si>
  <si>
    <t xml:space="preserve">Envance Technologies,
manufactures innovative pest
control solutions for global
consumer, commercial, and
agriculture pest control
markets. It was founded in
December 2012.</t>
  </si>
  <si>
    <t xml:space="preserve">AMVAC Chemical Corp (AMVAC) and TyraTech inc (TyraTech) formed a joint
venture named Envance Technologies to develop and commercialize pesticides.
The JV will be in charge of the development and commercialization of
existing and new pesticide products that features TyraTech's Nature's
Technology(TM). TyraTech is entitled to receive upfront licensing fee as
well as annual license payments for the ten years.</t>
  </si>
  <si>
    <t xml:space="preserve">Research &amp; Development Services
Licensing Services
Services (NEC)</t>
  </si>
  <si>
    <t xml:space="preserve">1A9706</t>
  </si>
  <si>
    <t xml:space="preserve">03234H
90239R</t>
  </si>
  <si>
    <t xml:space="preserve">Telecom Italia SpA
Politecnico di Torino</t>
  </si>
  <si>
    <t xml:space="preserve">Pvd telecommunication services
Own,op college,university</t>
  </si>
  <si>
    <t xml:space="preserve">Telecom Italia SpA, located in
Rome, Italy, provides
telecommunication services,
fixed and mobile and related
services such as installation
of telephone apparatus for
commercial and private use
based on integrated fixed-line
telephony, mobile telephony
and internet management. The
company was founded in 1908.
Politecnico di Torino is a
college operator. The
Company was founded in 1859
and is located in Torino,
Italy.</t>
  </si>
  <si>
    <t xml:space="preserve">4813
8221</t>
  </si>
  <si>
    <t xml:space="preserve">TELECOM ITALIA SPA/POLITECNICO DI TORINO-JOINT VENTURE</t>
  </si>
  <si>
    <t xml:space="preserve">JOINT OPEN LAB provide
telecommunications research
and development services,
located in Italy. The company
has the following areas for
its research coverage: cloud
robotics; visual communication
applications; advanced social
media platforms; and smart
urban spaces. The company
operates as a joint venture
between Telecom Italia SpA and
Politecnico di Torino.</t>
  </si>
  <si>
    <t xml:space="preserve">Telecom Italia SpA (Telecom) and Politecnico di Torino (Torino) formed a
joint venture in Italy to provide telecommunications research and
development services. The joint venture, JOINT OPEN LAB, has the following
areas of research coverage cloud robotics; visual communication
applications; advanced social media platforms; and smart urban spaces. The
joint venture has an initial period of three(3) years.</t>
  </si>
  <si>
    <t xml:space="preserve">0A7825</t>
  </si>
  <si>
    <t xml:space="preserve">87927Y
0A7798</t>
  </si>
  <si>
    <t xml:space="preserve">Genmab A/S
Kyowa Hakko Kirin Co Ltd</t>
  </si>
  <si>
    <t xml:space="preserve">Biotechnology company
Mnfr,whl medical prod</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</si>
  <si>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Kyowa Hakko Kirin Co Ltd,
based in Tokyo, Japan, is
mainly engaged in
manufacture and wholesale of
medical product. The medical
product segment is engaged
in the manufacture, sale and
sales promotion of ethical
drug and reagent for
clinical test, the
development of candidate
substances for new drugs, as
well as the research and
development of technologies
for antibody drug creation,
among others. The
biochemical segment
manufactures and sells
medical and industrial
materials, mainly amino and
nucleic acids, and
healthcare products. This
segment also designs and
constructs facilities. The
others segment is involved
in the logistics,
contracting, retail and
wholesale, and insurance
agency businesses, as well
as the manufacture and sale
of industrial alcohol. The
company is a holding
company. The company was
founded in 1949.</t>
  </si>
  <si>
    <t xml:space="preserve">Genmab A/S
Kirin Holdings Co Ltd</t>
  </si>
  <si>
    <t xml:space="preserve">GENMAB A/S/KYOWA HAKKO KIRIN CO LTD-STRATEGIC ALLIANCE</t>
  </si>
  <si>
    <t xml:space="preserve">Genmab A/S (Genmab) and Kyowa Hakko Kirin Co Ltd (Kirin) planned to form
strategic alliance toprovide research and developemnt services of
bispecific antibodies. The alliance will utilize Genmabs DuoBody
technology, and if the research results are successful, the participants
may enter into a licensing agreement to manufacture bispecific antibodies.
Genmab's DuoBody technology may improve the antibodies for therapy of
cancer, autoimmune, infectious and central nervous system diseases.
Financial terms of the transaction were not disclosed.</t>
  </si>
  <si>
    <t xml:space="preserve">K3967W
J38296</t>
  </si>
  <si>
    <t xml:space="preserve">Galena Biopharma Inc
Leica Biosystems</t>
  </si>
  <si>
    <t xml:space="preserve">Manufactures pharmaceutical preparations
Pvd, mnfg anatomic lab solutions &amp; instruments</t>
  </si>
  <si>
    <t xml:space="preserve">Galena Biopharma Inc, based
in New York, New York,
manufactures pharmaceutical
preparations. It is a
biopharmaceutical company
engaged in the development
and manufacture of
proprietary therapeutics
based on RNA interference
for the treatment of human
diseases. Apthera Inc is the
company's wholly owned
subsidiary. The Company was
incorporated in 2006.
Leica Biosystems, located in
Buffalo Grove, Illinois,
provides and manufactures
anatomic pathology laboratory
solutions and instruments. It
products provides workflow
solutions and automation in
the pathology process, from
sample preparation and
staining to imaging and
reporting. Its brands include
histology and general
laboratory consumables,
Immuohistochemistry (IHC) and
In Situ Hybridization (ISH)
advanced staining solutions,
cryostats, tissue processors,
embedding systems and
microtomes.</t>
  </si>
  <si>
    <t xml:space="preserve">2834
3826</t>
  </si>
  <si>
    <t xml:space="preserve">NY
IL</t>
  </si>
  <si>
    <t xml:space="preserve">Galena Biopharma Inc
Danaher Corp</t>
  </si>
  <si>
    <t xml:space="preserve">2834
3823</t>
  </si>
  <si>
    <t xml:space="preserve">GALENA BIOPHARMA INC/LEICA BIOSYSTEMS-STRATEGIC ALLIANCE</t>
  </si>
  <si>
    <t xml:space="preserve">Galena Biopharma, Inc (Galena) and Leica Biosystems (Leica) planned to form
a strategic alliance to develop a companion diagnostic for Galena's
NeuVax(TM) breast cancer therapeutic. Under the agreement, Leica will be in
charge of the development of a HER2 diagnostic to support identification of
appropriate HER2 negative (IHC 1+/2+) patients for NeuVax(TM).</t>
  </si>
  <si>
    <t xml:space="preserve">363256
0A7790</t>
  </si>
  <si>
    <t xml:space="preserve">Northrop Grumman Corp
Wynyard Group Ltd</t>
  </si>
  <si>
    <t xml:space="preserve">Manufactures aircraft,aerospace equip
Dvlp risk mgt solutions</t>
  </si>
  <si>
    <t xml:space="preserve">Northrop Grumman Corp,
headquartered in Falls
Church, Virginia,
manufactures aircraft,
airframe assemblies,
communication and electronic
systems, advanced weaponry
and space equipment. It also
provides services and
solutions in defense and
commercial electronics to
government and commercial
customers worldwide. Its
business units include
Information and Services,
under which are mission
systems, information
technology, and technical
services; Aerospace, holds
integrated systems and space
technology segments; and
Electronics and Ships
segments. The Company was
founded in 1939.
Wynyard Group Ltd, located in
Auckland, New Zealand,
develops risk management
solutions. The company has
office locations in
Washington, Sydney, Toronto
and Dubai. It develops
solutions that detect,
investigate and protect
companies, communities and
countries from threat, crime
and corruption as well as risk
management solutions,
intelligence, investigations
and digital forensics.</t>
  </si>
  <si>
    <t xml:space="preserve">3812
7372</t>
  </si>
  <si>
    <t xml:space="preserve">NORTHROP GRUMMAN CORP/WYNYARD GROUP-STRATEGIC ALLIANCE</t>
  </si>
  <si>
    <t xml:space="preserve">Northrop Grumman Corp (Northrop) and Wynyard Group (Wynyard) formed a
strategic alliance to develop and market security solutions. The alliance
will combine risk management, intelligence and investigation expertise with
Northrop's market power, resources and expertise to deliver address
emerging global security challenges.</t>
  </si>
  <si>
    <t xml:space="preserve">666807
0A7855</t>
  </si>
  <si>
    <t xml:space="preserve">Bioanalytical Systems Inc
Data Sciences Intl Inc</t>
  </si>
  <si>
    <t xml:space="preserve">Provides contract research services
Dvl medical monitoring sys</t>
  </si>
  <si>
    <t xml:space="preserve">Bioanalytical Systems Inc,
located in West Lafayette,
Indiana, provides contract
research services and
manufactures research
equipment to global
pharmaceutical, medical
research and biotechnology
companies and institutions.
The Group operates in two
principal segments: Research
services and Research
products. The Research
services unit provides
screening, pharmacological
testing, preclinical safety
testing, formulation
development, clinical
trials, regulatory
compliance and quality
control testing. The
Research products unit
provides liquid
chromatography,
electrochemical and
physiological monitoring
products to pharmaceutical
companies, universities,
government research centres
and medical research
institutions. The Company
was founded in December
1974. 1974.
Data Sciences International
Inc, headquartered in St
Paul, Minnesota, is a
biomedical research company
focused on preclinical
systems physiology and
pharmacology. It develops
implantable telemetric
physiologic monitors. Its
products include mouse
transmitters, small and
large animal transmitters,
and jacketed external
telemetry products;
receivers, multi-frequency
telemetry repeaters,
telemetry signal simulators,
and ambient pressure
reference monitors;
automated blood sampler and
telemetry products; and
integrated pharmacology
products. The Company was
founded in 1984.</t>
  </si>
  <si>
    <t xml:space="preserve">IN
MN</t>
  </si>
  <si>
    <t xml:space="preserve">BIOANALYTICAL SYSTEMS INC/DATA SCIENCES INTERNATIONAL INC-STRATEGIC
ALLIANCE</t>
  </si>
  <si>
    <t xml:space="preserve">Bioanalytical Systems Inc and Data Sciences International Inc formed a
strategic alliance, to conduct a preclinical study.</t>
  </si>
  <si>
    <t xml:space="preserve">09058M
0A8472</t>
  </si>
  <si>
    <t xml:space="preserve">Advanced Medical Isotope Corp
Safety by Design PC
Colorado State University</t>
  </si>
  <si>
    <t xml:space="preserve">Mnfr medical isotope prod
Dvlp medical device
Own,op college,university</t>
  </si>
  <si>
    <t xml:space="preserve">Advanced Medical Isotope Corp,
located in Kennewick,
Washington, manufactures and
develops medical isotope
products to be used in the
diagnosis and treatment of
cancer and other diseases.
Safety by Design PC, located
in Colorado develops medical
device.
Own and operate college and
university</t>
  </si>
  <si>
    <t xml:space="preserve">2834
3841
8221</t>
  </si>
  <si>
    <t xml:space="preserve">WA
CO
CO</t>
  </si>
  <si>
    <t xml:space="preserve">ADVANCED MEDICAL ISOTOPE CORP/SAFETY BY DESIGN PC/COLORADO STATE
UNIVERSITY-STRATEGIC ALLIANCE</t>
  </si>
  <si>
    <t xml:space="preserve">Advanced Medical Isotope Corp (AMIC), Safety by Design, PC (Safety) and
Colorado State University (Colorado State) formed a strategic alliance to
develop medical isotope products. The first product that the alliance will
focus on is a skin cancer product (Ho-166).</t>
  </si>
  <si>
    <t xml:space="preserve">00765X
0A8864
19677H</t>
  </si>
  <si>
    <t xml:space="preserve">Isis Pharmaceuticals Inc
AstraZeneca PLC</t>
  </si>
  <si>
    <t xml:space="preserve">Biopharm co
Manufactures, wholesales pharmaceutical products</t>
  </si>
  <si>
    <t xml:space="preserve">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</si>
  <si>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ISIS PHARMACEUTICALS INC/ASTRAZENECA PLC-STRATEGIC ALLIANCE</t>
  </si>
  <si>
    <t xml:space="preserve">Isis Pharmaceuticals, Inc (Isis) and AstraZeneca PLC (AstraZeneca) planned
to form a strategic alliance for the development of antisense therapeutics
against five cancer targets. The alliance also includes a license to
develop and commercialize ISIS-STAT3(Rx). The alliance also integrates
Isis' antisense technology and AstraZeneca's new Generation 2.5 chemistry
to develop more effective drugs against cancers.</t>
  </si>
  <si>
    <t xml:space="preserve">464330
046353</t>
  </si>
  <si>
    <t xml:space="preserve">Eisai Co Ltd
University College London</t>
  </si>
  <si>
    <t xml:space="preserve">Mnfr,whl pharmaceuticals
Own,op college,university</t>
  </si>
  <si>
    <t xml:space="preserve">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December 06,
1941.
University College London,
located in UK, owns and
operates college and
university. It was founded in
1826.</t>
  </si>
  <si>
    <t xml:space="preserve">EISAI CO LTD/UNIVERSITY COLLEGE LONDON(UCL)-JOINT VENTURE</t>
  </si>
  <si>
    <t xml:space="preserve">Eisai Co Ltd (Eisai) and University College London (UCL) planned to form a
joint venture named Therapeutic Innovation Group to discover and develop
drugs for the treatment of neurological diseases.</t>
  </si>
  <si>
    <t xml:space="preserve">282579
91416R</t>
  </si>
  <si>
    <t xml:space="preserve">Janssen Biotech Inc
Phenex Pharmaceuticals AG</t>
  </si>
  <si>
    <t xml:space="preserve">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
Phenex Pharmaceuticals AG is
a pharmaceutical
manufacturing firm,
headquartered in
Ludwigshafen, Germany. It is
focused on the discovery and
development of small
molecule therapeutics in the
fields of metabolic
syndrome/non-alcoholic
steatohepatitis (NASH) and
autoimmune diseases. Its
programs include Farnesoid X
Receptor agonist PX-102 for
the treatment of metabolic
syndrome/non-alcoholic fatty
liver disease/NASH; and
Retinoid-Acid
Receptor-related Orphan
Receptor gamma t inverse
agonists for the treatment
of autoimmune diseases, such
as rheumatiod arthritis,
psoriasis, multiple
sclerosis, and related
diseases. The Company was
founded in 2002.</t>
  </si>
  <si>
    <t xml:space="preserve">J&amp;J
Phenex Pharmaceuticals AG</t>
  </si>
  <si>
    <t xml:space="preserve">JANSSEN BIOTECH INC/PHENEX PHARMACEUTICALS AG-STRATEGIC ALLIANCE</t>
  </si>
  <si>
    <t xml:space="preserve">Janssen Biotech Inc (Janssen), a unite of Johnson &amp; Johnson and Phenex
Pharmaceuticals AG (Phenex) formed a strategic alliance to develop active
substances that detect a signal molecule central to several diseases.
Phenex is entitled to receive up to USD 135 mil in payment.</t>
  </si>
  <si>
    <t xml:space="preserve">Phenex is entitled to receive up to USD 135 mil in payment.</t>
  </si>
  <si>
    <t xml:space="preserve">44300K
1A0868</t>
  </si>
  <si>
    <t xml:space="preserve">WuXi PharmaTech(Cayman)Inc
PRA International</t>
  </si>
  <si>
    <t xml:space="preserve">Manufacture pharmaceutical
Pvd clinical research svcs</t>
  </si>
  <si>
    <t xml:space="preserve">WuXi PharmaTech (Cayman) Inc,
based in Shanghai, China, is a
pharmaceutical manufacturing,
biotechnology, and medical
device R&amp;D outsourcing
company. Its core lab services
business offers research and
development, discovery
chemistry, service biology,
and pharmaceutical development
services. Its ancillary
manufacturing operations
mainly produce advanced
intermediate drugs and active
drug ingredients. The company
was founded in 2000.
PRA International, located in
Reston, Virginia, provides
clinical drug research and
development services on a
worldwide basis primarily to
the pharmaceutical and
biotechnology industries. The
company was founded in 1982.</t>
  </si>
  <si>
    <t xml:space="preserve">WuXi PharmaTech(Cayman)Inc
Genstar Capital LLC</t>
  </si>
  <si>
    <t xml:space="preserve">WUXI PHARMATECH(CAYMAN)INC/PRA INTERNATIONAL-JOINT VENTURE</t>
  </si>
  <si>
    <t xml:space="preserve">WuXi PharmaTech(Cayman)Inc (WuXi) and PRA International (PRA) agreed to
form a joint venture to provide clinical development services in China,
Hong Kong and Macau. The JV will offer clinical trial monitoring, project
management, regulatory strategy and submissions, data management,
biostatistics, drug safety reporting, and medical monitoring.</t>
  </si>
  <si>
    <t xml:space="preserve">929352
69353C</t>
  </si>
  <si>
    <t xml:space="preserve">Celgene Corp
Sutro Biopharma Inc</t>
  </si>
  <si>
    <t xml:space="preserve">Manufacture,wholesale biopharmaceutical products
Research and Development in Biotechnology</t>
  </si>
  <si>
    <t xml:space="preserve">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
Sutro Biopharma Inc is a
provider of biotechnology
research and development
services. The Company is
located in South San
Francisco, California.</t>
  </si>
  <si>
    <t xml:space="preserve">CELGENE CORP/SUTRO BIOPHARMA INC-STRATEGIC ALLIANCE</t>
  </si>
  <si>
    <t xml:space="preserve">Celgene Corp (Celgene) and Sutro Biopharma Inc (Sutro) formed a strategic
alliance to design and develop drug conjugates (ADCs) and bi-specific
antibodies. The alliance will also manufacture proprietary Celgene
antibody. Sutro is entitled to receive over USD 500 mil in upfront payment,
equity investment and research, development and regulatory milestone
payments.</t>
  </si>
  <si>
    <t xml:space="preserve">Sutro is entitled to receive over USD 500 mil in upfront payment, equity
investment and research, development and regulatory milestone payments.</t>
  </si>
  <si>
    <t xml:space="preserve">151020
1A2507</t>
  </si>
  <si>
    <t xml:space="preserve">Pfizer Inc
Humedica Inc</t>
  </si>
  <si>
    <t xml:space="preserve">Manufacture,wholesale pharmaceuticals
Dvlp medical software</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</si>
  <si>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Humedica Inc, develops medical
software, headquartered in
Boston, Massachusetts. The
company offers solution in
line with ambulatory clinical
data; inpatient clinical data;
claims and lab data; physician
notes and other related ones.
The company offers Humedia
MindShare(R) (for providers)
and Humedica NorthStar(TM)
(for life sciences). Some of
the company's partners are
AMGA; Allscripts; Anceta; and
Leerink Swann.</t>
  </si>
  <si>
    <t xml:space="preserve">PFIZER INC/HUMEDICA INC-STRATEGIC ALLIANCE</t>
  </si>
  <si>
    <t xml:space="preserve">Pfizer Inc (Pfizer) and Humedica Inc (Humedica) planned a strategic
alliance to provide healthcare data research services. The alliance will
combine Humedicas expertise in gathering and normalizing healthcare data
from disparate systems and Pfizers experience in research, development and
commercialization of medicines. The alliance is focused on healthcare
delivery; treatment medicines and patient outcomes.</t>
  </si>
  <si>
    <t xml:space="preserve">717081
1A1658</t>
  </si>
  <si>
    <t xml:space="preserve">Terumo Corp
Shanghai Angiocare Medical</t>
  </si>
  <si>
    <t xml:space="preserve">Manufacture,wholesale medical equipment,drug
Mnfr,whl medical equip</t>
  </si>
  <si>
    <t xml:space="preserve">Terumo Corp, located in
Tokyo, Japan, manufactures
and wholesales medical
equipment and drug. It
operates in four business
segment. The Hospital
Products segment offers
hospital medical equipment,
pharmaceuticals, peritoneal
dialysis and diabetes
related products, and the
rental of hospital medical
equipment and home medical
products. The Cardiac and
Vascular Area segment is
involved in the manufacture,
purchase and sale of
catheter systems, artificial
heart and lungs, and
artificial blood vessels,
the manufacture and sale of
therapeutic coils for
cerebral aneurysm, sampling
equipment and kits for
platelet-rich plasma and
concentrated bone-marrow
cell, and large-bore
sheaths. The Blood System
segment is engaged in the
manufacture, purchase and
sale of blood
transfusion-related
products. The Healthcare
segment offers healthcare
related products. The
company was founded in 1921.
Shanghai Angiocare Medical
Technology Co Ltd, located in
China, is a manufacturer and
wholesaler of medical
equipments.</t>
  </si>
  <si>
    <t xml:space="preserve">TERUMO CORP/SHANGHAI ANGIOCARE MEDICAL TECHNOLOGY CO LTD-STRATEGIC
ALLIANCE</t>
  </si>
  <si>
    <t xml:space="preserve">Terumo Corp (Terumo) and Shanghai AngioCare Medical Technology (AngioCare)
formed a strategic alliance to develop and distribute renal denervation
catheter to be used in the treatment of resistant hypertension. AngioCare
will receive RMB 1 mil (USD 160,555) capital from Terumo.</t>
  </si>
  <si>
    <t xml:space="preserve">AngioCare will receive RMB 1 mil (USD 160,555) capital from Terumo</t>
  </si>
  <si>
    <t xml:space="preserve">88155A
1A2165</t>
  </si>
  <si>
    <t xml:space="preserve">Sarepta Therapeutics Inc
Natl Inst of Allergy &amp; Infect</t>
  </si>
  <si>
    <t xml:space="preserve">Biopharmaceutical company
Pvd coml physical research svc</t>
  </si>
  <si>
    <t xml:space="preserve">Sarepta Therapeutics Inc,
located in Cambridge,
Massachusetts, is a
biopharmaceutical company
developing drugs to treat
life-threatening diseases
using its patented
third-generation antisense
technology. With its
flagship NeuGene antisense
drugs, they have completed
eleven clinical trials in
more than 300 subjects
addressing cardiovascular
restenosis, infectious
disease, cancer, polycystic
kidney disease and drug
metabolism. The Company was
founded in 1980.
Provide commercial physical
research services specializing
in allergies and infectious
diseases</t>
  </si>
  <si>
    <t xml:space="preserve">SAREPTA THERAPEUTICS INC/NATIONAL INSTITUTE OF ALLERGY &amp; INFECTIOUS
DISEASES-STRATEGIC ALLIANCE</t>
  </si>
  <si>
    <t xml:space="preserve">Sarepta Therapeutics Inc (Sarepta) and theNational Institute of Allergy and
Infectious Diseases (NIAID) formed a strategic alliance under which NIAID
will perform a double-blind, placebo-controlled, dose-escalating test for
safety, tolerability and pharmacokinetics of single and multiple doses in
healthy adults of Sarepta's AVI-7100. The agreement states that Sarepta
will keep the right to use the data to support future development of
AVI-7100.</t>
  </si>
  <si>
    <t xml:space="preserve">803607
63651Z</t>
  </si>
  <si>
    <t xml:space="preserve">Halozyme Therapeutics Inc
Pfizer Inc</t>
  </si>
  <si>
    <t xml:space="preserve">Halozyme Therapeutics Inc,
located in San Diego,
California, is a
biotechnology company for
the development and
commercialization of
recombiant human enzymes for
the infertility,
ophthalmology and oncology
communities. The company was
founded in 1998.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</si>
  <si>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HALOZYME THERAPEUTICS INC/PFIZER INC-STRATEGIC ALLIANCE</t>
  </si>
  <si>
    <t xml:space="preserve">Halozyme Therapeutics Inc (Halozyme) and Pfizer Inc (Pfizer) formed a
global strategic alliance to develop pharmaceutical products. The alliance
will develop and commercialize potential treatments that combine Pfizer'
proprietary biologics and Halozyme's patented recombinant human
hyaluronidase enzyme. Halozyme is entitled to receive USD 8 mil as initial
payment and up to USS 507 mil upon reaching certain milestones as well as
royalties.</t>
  </si>
  <si>
    <t xml:space="preserve">Halozyme is entitled to receive USD 8 mil as initial payment and up to USS
507 mil upon reaching certain milestones as well as royalties.</t>
  </si>
  <si>
    <t xml:space="preserve">40637H
717081</t>
  </si>
  <si>
    <t xml:space="preserve">SAFC Hitech Ltd
Soulbrain Co Ltd</t>
  </si>
  <si>
    <t xml:space="preserve">Pvd research,dvlp svcs
Mnfr,whl chem materials</t>
  </si>
  <si>
    <t xml:space="preserve">SAFC Hitech Ltd provides
research and development
services. The company provides
Custom Cell Engineering
Services, Contract
Manufacturing, Supply Chain
Services, Analytical Services
and Media Development
Services. It serves the
Biopharmaceutical,
Diagnostics, Animal Health,
High Technology, Food and
Beverage, Nucletic Acid
Synthesis, and Pharmaceutical
Industries.
Soulbrain Co Ltd, located in
Seongnam, South Korea,
manufactures and wholesales
chemical materials used in
semiconductors, displays and
other industries. The
Companys products consist of
semiconductor materials,
such as chemicals for
chemical vapor deposition
(CVD) and atomic layer
deposition (ALD) materials,
etchants and cleaning agents
for semiconductor
manufacturing processes,
chemical mechanical
polishing (CMP) slurry
products for CMP processes
and others, and display
materials, such as optical
films, recycled etchants,
thin glasses and others. The
Company also involves in the
provision of electrolytes,
lead tabs, collectors, light
emitting diode (LED)
materials, solar cell
materials, neodymium (Nd)
magnets and other products.
The Company distributes its
products within domestic
market and to overseas
markets. It was founded in
1986.</t>
  </si>
  <si>
    <t xml:space="preserve">8731
2899</t>
  </si>
  <si>
    <t xml:space="preserve">Sigma-Aldrich Corp
Soulbrain Holdings Co Ltd</t>
  </si>
  <si>
    <t xml:space="preserve">2899
3674</t>
  </si>
  <si>
    <t xml:space="preserve">SAFC HITECH LTD/SOULBRAIN CO LTD-JOINT VENTURE</t>
  </si>
  <si>
    <t xml:space="preserve">SAFC Hitech Ltd (SAFC) and Soulbrain Co. Ltd (Soulbrain) agreed to form a
joint venture named Soulbrain Sigma-Aldrich Ltd to develop and
commercialize advanced metal organic precursor technologies used in the
semiconductor and LED markets. Soulbrain will contribute certain electronic
material product know-how, intellectual property (IP), and development
personnel to the venture. SAFC Hitech Ltd. will contribute related
manufacturing and product know-how and IP for metal organic compounds used
to manufacture semiconductors and will license its technology to the joint
venture for products used to manufacture light emitting diodes (LED).</t>
  </si>
  <si>
    <t xml:space="preserve">1A3827
84203A</t>
  </si>
  <si>
    <t xml:space="preserve">Glenmark Pharmaceuticals Ltd
Forest Laboratories Inc</t>
  </si>
  <si>
    <t xml:space="preserve">Manufacture,wholesale pharmaceutical products
Mnfr,wholesale pharmaceuticals</t>
  </si>
  <si>
    <t xml:space="preserve">Glenmark Pharmaceuticals
Ltd, located in Mumbai,
India, manufactures and
wholesales pharmaceutical
products. Its formulations
business spans product
segments such as
dermatology, internal
medicine, respiratory,
diabetes, pediatrics,
gynecology, ENT, and
oncology. It also offers
related research services.
The Group operates in North
America, Latin America,,
Africa, Middle East, Asia,
Russia, Europe, and India.
The Company was founded in
1977.
Forest Laboratories Inc,
located in New York, New York,
manufactures and wholesales
prescription pharmaceuticals
intended for final
consumption, including biotech
products and antibiotics for
the therapeutic areas of the
central nervous,
cardiovascular and respiratory
systems. The holding company
was founded in 1954.</t>
  </si>
  <si>
    <t xml:space="preserve">GLENMARK PHARMACEUTICALS LTD/ FOREST LABORATORIES INC-STRATEGIC ALLIANCE</t>
  </si>
  <si>
    <t xml:space="preserve">Glenmark Pharmaceuticals Ltd (Glenmark) and Forest Laboratories Inc
(Forest) formed a global strategic alliance to develop mPGES-1 inhibitors
for the treatment of chronic inflammatory conditions. Under the agreement,
Glenmark is entitled to receive USD 9 mil upfront pyament from Forest and
an additional USD 3 mil for next phase development support.</t>
  </si>
  <si>
    <t xml:space="preserve">Glenmark is entitled to receive USD 9 mil upfront pyament from Forest and
an additional USD 3 mil for next phase development support.</t>
  </si>
  <si>
    <t xml:space="preserve">37868Y
345838</t>
  </si>
  <si>
    <t xml:space="preserve">Petronas Lubricants
Guangxi Yuchai Mach Hldg Ltd</t>
  </si>
  <si>
    <t xml:space="preserve">manufactures lubricants
Mnfr motor vehicle parts</t>
  </si>
  <si>
    <t xml:space="preserve">Petronas Lubricants
International Sdn Bhd is a
manufacturer of petroleum
lubricants. The Company has
The Company was founded in
2008 and is located in Kuala
Lumpur, Malaysia.
Guangxi Yuchai Machinery Co
Ltd, headquartered in Yulin,
Guangxi, manufactures and
wholesale internal combustion
engines and motor vehicle
parts. It is also an
investment holding company.
The company was founded in
1951.</t>
  </si>
  <si>
    <t xml:space="preserve">2992
3519</t>
  </si>
  <si>
    <t xml:space="preserve">Petroliam Nasional Bhd
Guangxi Yuchai Mach Hldg Ltd</t>
  </si>
  <si>
    <t xml:space="preserve">1311
3519</t>
  </si>
  <si>
    <t xml:space="preserve">PETRONAS LUBRICANTS/GUANGXI YUCHAI MACHINERY-JOINT VENTURE</t>
  </si>
  <si>
    <t xml:space="preserve">Yuchai Petronas Lubricant Co
Ltd is a manufacturer and
wholesaler of lubricants. The
company was founded in May
2013 and is located in Beihai,
China.</t>
  </si>
  <si>
    <t xml:space="preserve">Petronas Lubricants International Sdn Bhd {PLI} and Guangxi Yuchai
Machinery Holding Ltd planned to form a 50:50 joint venture named Yuchai
Petronas Lubricant Co.</t>
  </si>
  <si>
    <t xml:space="preserve">5E1938</t>
  </si>
  <si>
    <t xml:space="preserve">71750W
40116W</t>
  </si>
  <si>
    <t xml:space="preserve">Natl Co Kazmunaygaz Jsc
Lukoil Overseas Holding Ltd
Gazprom</t>
  </si>
  <si>
    <t xml:space="preserve">Oil,gas expl,prodn company
Oil and gas exploration,prodn
Oil,gas exploration,prodn co</t>
  </si>
  <si>
    <t xml:space="preserve">National Company KazMunayGaz
JSC is engaged in the crude
petroleum and natural gas
services business. The
Company was founded in
February 2002 and is located
in Astana, Kazakhstan.
Lukoil Overseas Holding Ltd,
located in Moscow, Russian
Federation, is an oil and gas
exploration and production
company. The company was
founded on December 4, 1997.
Gazprom PAO, located in
Moscow, Russian Federation, is
a holding company engaged in
oil and gas exploration and
production and focused on
geological exploration,
production, transportation,
storage, processing and
marketing of gas and other
hydrocarbons. The Company was
founded in February 1993.</t>
  </si>
  <si>
    <t xml:space="preserve">1311
1311
1311</t>
  </si>
  <si>
    <t xml:space="preserve">Kazakhstan
Russian Fed
Russian Fed</t>
  </si>
  <si>
    <t xml:space="preserve">Natl Co Kazmunaygaz Jsc
Oil Co LUKOIL PJSC
Gazprom</t>
  </si>
  <si>
    <t xml:space="preserve">1311
2911
1311</t>
  </si>
  <si>
    <t xml:space="preserve">NATSIONAL'NAIA KOMPANIIA KAZMUNAIGAZ AO/LUKOIL OVERSEAS HOLDING LTD/GAZPROM
PAO-JOINT VENTURE</t>
  </si>
  <si>
    <t xml:space="preserve">Kazakhstan</t>
  </si>
  <si>
    <t xml:space="preserve">Natsional'naia Kompaniia KazMunaiGaz AO, Lukoil Overseas Holding Ltd and
Natsional'naia Kompaniia KazMunaiGaz AO formed a 50:25:25 joint venture
named Neftegazovaya Kompaniya Tsentralnoye.</t>
  </si>
  <si>
    <t xml:space="preserve">48666Z
50385F
36828E</t>
  </si>
  <si>
    <t xml:space="preserve">InterDigital Inc
Sony Corp of America</t>
  </si>
  <si>
    <t xml:space="preserve">Manufacture wireless radio systems
Manufactures and wholesales television and audio products</t>
  </si>
  <si>
    <t xml:space="preserve">InterDigital Inc, located in
Wilmington, Delaware,
manufactures wireless
radio-telephone systems,
including 2G, 2.5G, 3G, IEEE
802, and broadband
technology-related products.
The Company has development
centers in Melville, New
York and in Montreal,
Quebec, Canada. Its
trademarked brands include
SlimChip, UltraPhone. It is
also a holding company. The
Company was founded in 1972.
Sony Corp of America,
located in New York City,
New York, manufactures and
wholesales television and
audio products. It also
offers disk drives,
semiconductors and video
recording tapes. It operates
its motion pictures services
through Sony Pictures
Entertainment Inc. The
Company was founded on
February 15, 1960.</t>
  </si>
  <si>
    <t xml:space="preserve">3663
3651</t>
  </si>
  <si>
    <t xml:space="preserve">InterDigital Inc
Sony Corp</t>
  </si>
  <si>
    <t xml:space="preserve">INTERDIGITAL INC/SONY CORP OF AMERICA-JOINT VENTURE</t>
  </si>
  <si>
    <t xml:space="preserve">Convida Wireless, is engaged
in the machine-to-machine
research and platform
development.</t>
  </si>
  <si>
    <t xml:space="preserve">InterDigital, Inc (InterDigital) and Sony Corp of America (Sony) formed a
joint venture named Convida Wireless to focus on new research in the
growing field of M2M wireless communications and other connectivity areas.</t>
  </si>
  <si>
    <t xml:space="preserve">1A4356</t>
  </si>
  <si>
    <t xml:space="preserve">45867G
83569Z</t>
  </si>
  <si>
    <t xml:space="preserve">Philogen SpA
Pfizer Inc</t>
  </si>
  <si>
    <t xml:space="preserve">Mnfr pharmaceuticals
Manufacture,wholesale pharmaceuticals</t>
  </si>
  <si>
    <t xml:space="preserve">Philogen SpA, located in
Siena, Italy, manufactures
pharmaceuticals intended for
final consumption, including
biotech products and
antibiotics.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</si>
  <si>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PHILOGEN SPA /PFIZER INC-STRATEGIC ALLIANCE</t>
  </si>
  <si>
    <t xml:space="preserve">Philogen SpA (Philogen) and Pfizer Inc (Pfizer) formed a strategic alliance
to develop an experimental treatment for autoimmune diseases called
Dekavil. During the alliance, Pfizer will retain exclusive rights to market
any products developed; Philogen will receive an upfront payment and will
be eligible to receive other milestone and royalty payments. Dekavil is
currently clinically tested; it is supposedly designed to target selective
inflammatory disease that hold back the immune system. Financial details
were not disclosed.</t>
  </si>
  <si>
    <t xml:space="preserve">71884A
717081</t>
  </si>
  <si>
    <t xml:space="preserve">Almac Group Ltd
TTP Labtech Ltd</t>
  </si>
  <si>
    <t xml:space="preserve">Almac Group Ltd is a
manufacturer of pharmaceutical
preparation. The Company was
founded in 2002 and is located
in Craigavon, the United
Kingdom.
TTP Labtech Ltd is located
in Melbourn, the United
Kingdom, manufactures
laboratory equipment for the
healthcare, biotech and
pharmaceuticals sectors. The
Company's products are
designed to increase
efficiency, effectiveness,
flexibility or overall
capability in key
biopharmaceutical research
process. The company was
founded in 1987. is located
in Melbourn, the United
Kingdom.</t>
  </si>
  <si>
    <t xml:space="preserve">Almac Group Ltd
TTP Group PLC</t>
  </si>
  <si>
    <t xml:space="preserve">ALMAC GROUP LTD/TTP LABTECH LTD-STRATEGIC ALLIANCE</t>
  </si>
  <si>
    <t xml:space="preserve">Almac Group Ltd (Almac) and TTP LabTech Ltd (TTP) formed a strategic
alliance for the development of fluorescence lifetime (FLT) technology.
Under which TTP Labtechs Ameon(TM) system and Almacs FLEXYTE(TM) will be
combined to deliver robust, cost-effective screening results and enhanced
productivity.</t>
  </si>
  <si>
    <t xml:space="preserve">02038L
87003R</t>
  </si>
  <si>
    <t xml:space="preserve">Heptares Therapeutics
Cubist Pharmaceuticals Inc</t>
  </si>
  <si>
    <t xml:space="preserve">Mnfr pharm
Biopharmaceutical company</t>
  </si>
  <si>
    <t xml:space="preserve">Heptares Therapeutics Ltd,
located in Hertfordshire,
UK, manufacture
pharmaceuticals. The company
is focused on the discovery
and development of drugs
that targets G
protein-coupled receptors
(GPCRs). The company was
founded in 2007.
Cubist Pharmaceuticals Inc,
headquartered in Lexington,
Massachusetts, is a
biopharmaceutical company
focused on research,
development and
commercialization of
pharmaceutical products that
address unmet medical needs
and anti-infective therapies
for the acute care
environment. Its main product
is CUBICIN which is the first
IV antibiotic from a class of
anti-infectives called
lipopeptides. The company was
founded in 1992.</t>
  </si>
  <si>
    <t xml:space="preserve">HEPTARES THERAPEUTICS/CUBIST PHARMACEUTICALS INC-STRATEGIC ALLIANCE</t>
  </si>
  <si>
    <t xml:space="preserve">Heptares Therapeutics (Heptares) and Cubist Pharmaceuticals, Inc (Cubist)
formed a strategic alliance to develop two G protein-coupled receptors
(GPCRs) drug targets. Under the alliance, Cubist was granted exclusive
worldwide rights to research, develop and commercialize products developed
from the alliance. Heptares is entitled to receive up to USD 5.5 mil
upfront payment and USD 4 mil research funding plus milestones and
royalties.</t>
  </si>
  <si>
    <t xml:space="preserve">Heptares is entitled to receive up to USD 5.5 mil upfront payment and USD 4
mil research funding plus milestones and royalties.</t>
  </si>
  <si>
    <t xml:space="preserve">1A5094
229678</t>
  </si>
  <si>
    <t xml:space="preserve">MacroGenics Inc
Gilead Sciences Inc</t>
  </si>
  <si>
    <t xml:space="preserve">MacroGenics Inc, located in
Rockville, Maryland, is a
biotechnology company
focused on product
development derived from
in-house discoveries and
in-licensed candidates in
the areas of oncology,
inflammation, allergy, and
infectious diseases. The
company was founded in 2000.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</si>
  <si>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MACROGENICS INC/GILEAD SCIENCES INC-STRATEGIC ALLIANCE</t>
  </si>
  <si>
    <t xml:space="preserve">MacroGenics, Inc (MacroGenics) and Gilead Sciences, Inc (Gilead) formed a
strategic alliance to develop and commercialize MacroGenics's Dual-Affinity
Re-Targeting (DART(TM)) products. MacroGenics is entitled to receive up to
USD 30 mil in license fees and additional USD 85 mil in pre-clinical
milestones.</t>
  </si>
  <si>
    <t xml:space="preserve">MacroGenics is entitled to receive up to USD 30 mil in license fees and
additional USD 85 mil in pre-clinical milestones.</t>
  </si>
  <si>
    <t xml:space="preserve">556099
375558</t>
  </si>
  <si>
    <t xml:space="preserve">ARIAD Pharmaceuticals Inc
National Cancer Research Inst</t>
  </si>
  <si>
    <t xml:space="preserve">Mnfr pharmaceutical products
Pvd research,dvlp svcs</t>
  </si>
  <si>
    <t xml:space="preserve">ARIAD Pharmaceuticals Inc,
located in Cambridge,
Massachusetts, manufactures
pharmaceutical products. It
develops oncology drugs for
treatment of various forms of
chronic and acute leukemia,
lung cancer and other
difficult-to-treat cancers.
The Company was founded in
1991.
National Cancer Research
Institute provides research
and development services. The
company is headquartered in
London, United Kingdom. The
company is focused on cancer
research. The company ensures
that patients benefit from
cancer research in the UK as
well as promote research which
will help people to avoid
getting cancer in the future.
It was founded in 2001.</t>
  </si>
  <si>
    <t xml:space="preserve">ARIAD PHARMACEUTICALS INC/NATIONAL CANCER RESEARCH INSTITUTE-STRATEGIC
ALLIANCE</t>
  </si>
  <si>
    <t xml:space="preserve">Ariad Pharmaceuticals Inc (Ariad) and the National Cancer Research
Institute (NCRI) formed a strategic alliance to undergo chronic myeloid
leukemia (CML) trial. The trial, dubbed as SPIRIT 3, to assess the impact
of switching patients with CML, being treated with a first-line tyrosine
kinase inhibitor, upon suboptimal response or treatment failure, to
ponatinib.</t>
  </si>
  <si>
    <t xml:space="preserve">04033A
1A6123</t>
  </si>
  <si>
    <t xml:space="preserve">Childrens Hospital Boston
Life Technologies Corp</t>
  </si>
  <si>
    <t xml:space="preserve">Own,op pediatric hospital
Biotechnology company</t>
  </si>
  <si>
    <t xml:space="preserve">Children's Hospital Boston
is a hospital operator. The
Company is located in
Boston, Massachusetts.
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t>
  </si>
  <si>
    <t xml:space="preserve">8069
2836</t>
  </si>
  <si>
    <t xml:space="preserve">Harvard University
Life Technologies Corp</t>
  </si>
  <si>
    <t xml:space="preserve">BOSTON CHILDREN'S HOSPITAL/LIFE TECHNOLOGIES CORP-JOINT VENTURE</t>
  </si>
  <si>
    <t xml:space="preserve">Claritas Genomics provides
research and development
services. The company will
focus on the development of
next-generation, genetic and
genomics-based diagnostic
testing solutions. It was
founded in January 8, 2013.</t>
  </si>
  <si>
    <t xml:space="preserve">Boston Childrens Hospital (Boston Children) and Life Technologies Corp
(Life) formed a joint venture named Claritas Genomics to develop
next-generation, genetic and genomics-based diagnostic testing solutions.</t>
  </si>
  <si>
    <t xml:space="preserve">1A5695</t>
  </si>
  <si>
    <t xml:space="preserve">16870Z
53217V</t>
  </si>
  <si>
    <t xml:space="preserve">Daiichi Sankyo Co Ltd
Amplimmune Inc</t>
  </si>
  <si>
    <t xml:space="preserve">Daiichi Sankyo Co Ltd,
headquartered in Tokyo,
Japan, is engaged in the
manufacture and sale of
pharmaceuticals. The Company
has two business segments.
The Daiichi Sankyo Group
segment is involved in the
research, development,
pharmaceuticals, as well as
the provision of
intermediates and basic
materials for pharmaceutical
producing, in Japan, the
United States, Europe, China
and Brazil markets. The
Ranbaxy Group segment is
engaged in the research,
development, manufacture and
sale of pharmaceuticals in
overseas markets through
Ranbaxy group companies. As
of March 31, 2012, it has
107 subsidiaries and three
associated companies.The
company was founded on
September 28, 2005.
Amplimmune Inc, headquartered
in Gaithersburg, Maryland, is
a biotechnology company. The
company focuses on developing
broad spectrum immune-based
biologics to treat patients in
the areas of cancer,
autoimmunity, transplantation
and infectious diseases. It
was founded in 2007.</t>
  </si>
  <si>
    <t xml:space="preserve">DAIICHI SANKYO CO LTD/AMPLIMMUNE INC-STRATEGIC ALLIANCE</t>
  </si>
  <si>
    <t xml:space="preserve">Daiichi Sankyo Co Ltd (Daiichi) and Amplimmune Inc (Amplimmune) formed a
strategic alliance to research and develop therapeutic proteins. The
alliance will particularly develop AMP-110, a potential immune modulation
therapy for autoimmune diseases. The participants expect to initiate a
Phase 1 clinical study for the compound to be used for the treatment of an
autoimmune disease indication within the first half of 2013. Under their
agreement, Daiichi will pay Amplimmune an undisclosed option fee and will
provide more than USD 50 mil to reimburse past and planned research and
development costs for AMP-110, that will include funding for Phase 2 future
development. Within the period of the alliance, Amplimmune is eligible to
receive additional milestone payments. Amplimmune will be responsible for
manufacturing clinical supplies, regulatory filings and conducting clinical
trials through a POC study in autoimmunity.</t>
  </si>
  <si>
    <t xml:space="preserve">J11257
1A5421</t>
  </si>
  <si>
    <t xml:space="preserve">Evotec AG
Yale University</t>
  </si>
  <si>
    <t xml:space="preserve">Mnfr small molecule drugs
Own,op university</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</si>
  <si>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Yale University, located in
New Haven, Connecticut, owns
and operates university.</t>
  </si>
  <si>
    <t xml:space="preserve">EVOTEC AG/YALE UNIVERSITY-STRATEGIC ALLIANCE</t>
  </si>
  <si>
    <t xml:space="preserve">Evotec AG (Evotec) and Yale University (Yale) formed a strategic alliance
to research and develop drug compounds. The alliance will include
researches in metabolic diseases, CNS, immunological diseases and cancer
where they will jointly assess and potentially pursue novel assays, screens
and models. Evotec's drug discovery will be integrated at Yale to be able
to commercialize drug discoveries.</t>
  </si>
  <si>
    <t xml:space="preserve">D1646D
98458R</t>
  </si>
  <si>
    <t xml:space="preserve">Williams Trading LLC
Nautilus Capital LLC</t>
  </si>
  <si>
    <t xml:space="preserve">Securities bkrg firm
Pvd financial research svcs</t>
  </si>
  <si>
    <t xml:space="preserve">Williams Trading LLC is a
securities brokerage firm. The
company is headquartered in
Westport, Connecticut and with
other location in London,
United Kingdom. It was founded
in 1997.
Nautilus Capital LLC, is a
research firm focused on
assisting institutional
clients in making informed
investment decisions. The
company's products include
Daily Market Outlook,
Web-based interactive reports
and Bespoke Research. It was
founded in 2004.</t>
  </si>
  <si>
    <t xml:space="preserve">6211
8732</t>
  </si>
  <si>
    <t xml:space="preserve">CT
DE</t>
  </si>
  <si>
    <t xml:space="preserve">WILLIAMS TRADING LLC/NAUTILUS CAPITAL LLC-STRATEGIC ALLIANCE</t>
  </si>
  <si>
    <t xml:space="preserve">Williams Trading LLC (Williams) and Nautilus Capital (Nautilus) formed a
strategic alliance under which Williams will provide Nautilus' existing
clients with trading operations and a broader distribution network for
Nautilus' research products. On the other hand, Nautilus will provide
Williams' clients exclusive access to its global macro research products.</t>
  </si>
  <si>
    <t xml:space="preserve">Financial Services
Research &amp; Development Services</t>
  </si>
  <si>
    <t xml:space="preserve">1A8024
1A8030</t>
  </si>
  <si>
    <t xml:space="preserve">China Oilfield Services Ltd
Sunshine Oilsands Ltd</t>
  </si>
  <si>
    <t xml:space="preserve">Pvd oil,gas drilling svcs
Support Activities For Oil and Gas Operations</t>
  </si>
  <si>
    <t xml:space="preserve">China Oilfield Services Ltd,
located in Beijing, China,
provides oil and gas
drilling services. The
company's four core
businesses are drilling
services, well services,
marine support and
transportation services and
geophysical services. It
currently operates 15
drilling rigs, including 11
jack-ups and 3
semi-submersibles while
operating one leased jack-up
rig. It also operates
diverse fleets in offshore
China, including 75 support
vessels and 4 oil tankers, 5
chemical tankers, 8 seismic
vessels, and 4 geotech
survey vessels. The company
has facilities and equipment
for wire-line logging,
drilling fluids, directional
drilling, cementing, well
completion, acidulation, and
work-over services. It has
operations in North and
South America, the Middle
East, offshore Africa and
offshore Europe. The company
was founded in Feb 1982.
Sunshine Oilsands Ltd,
located in Calgary, Canada,
is an oil and gas
exploration and production
company. The company is
focused on the development
of its significant holdings
of oil sands leases in the
Athabasca oil sands region.
The Companys project
portfolio includes
conventional heavy oil
properties, steam assisted
gravity drainage cretaceous
sandstones, and carbonate
bitumen resources. The
Company was founded on
February 2007.</t>
  </si>
  <si>
    <t xml:space="preserve">1382
1382</t>
  </si>
  <si>
    <t xml:space="preserve">China Natl Offshore Oil Corp
Sunshine Oilsands Ltd</t>
  </si>
  <si>
    <t xml:space="preserve">1311
1382</t>
  </si>
  <si>
    <t xml:space="preserve">CHINA OILFIELD SERVICES LTD/SUNSHINE OILSANDS LTD-STRATEGIC ALLIANCE</t>
  </si>
  <si>
    <t xml:space="preserve">China Oilfield Services Ltd (COSL) and Sunshine Oilsands Ltd (Sunshine)
formed a strategic alliance under which COSL and Sunshine will cooperate in
the development of multiple thermal fluid oilsands exploration technology
in Canada.</t>
  </si>
  <si>
    <t xml:space="preserve">16924N
867842</t>
  </si>
  <si>
    <t xml:space="preserve">Amunix Inc
Janssen Biotech Inc</t>
  </si>
  <si>
    <t xml:space="preserve">Amunix Inc is a biotechnology
company headquartered in
Mountain View, California. The
company develops a half-life
extension technology based on
XTEN, a hydrophilic,
unstructured polypeptide,
which is used to target a
range of therapeutic areas. It
was founded in 2006.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</si>
  <si>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Amunix Inc
J&amp;J</t>
  </si>
  <si>
    <t xml:space="preserve">AMUNIX INC/JANSSEN BIOTECH INC-STRATEGIC ALLIANCE</t>
  </si>
  <si>
    <t xml:space="preserve">Amunix Inc (Amunix) and Janssen Biotech Inc (Janssen) formed a strategic
alliance under which Amunix licensed its XTEN half-life extension
technology to Janssen. In the alliance, Amunix will combine its XTEN
half-life extension technology with protein and/or peptide therapeutics
selected by Janssen. Amunix will assist Janssen in the engineering of up to
three XTEN fusion proteins. Janssen will be responsible for all preclinical
and clinical development as well as for manufacturing and commercialization
of the resulting products. Amunix will receive an initial upfront payment
in addition to R&amp;D funding and will be eligible for future milestone and
royalty payments.</t>
  </si>
  <si>
    <t xml:space="preserve">7A3359
44300K</t>
  </si>
  <si>
    <t xml:space="preserve">Celsion Corp
Zhejiang Hisun Pharm Co Ltd</t>
  </si>
  <si>
    <t xml:space="preserve">Mnfr cancer treatment systems
Mnfr,whl pharmaceuticals</t>
  </si>
  <si>
    <t xml:space="preserve">Celsion Corp, located in
Lawrenceville, New Jersey,
manufactures and conducts
research for cancer treatment
systems and oncology drugs to
kill cancer and other
diseases. It has developed its
first drug ThermoDox, an
encapsulation of doxorubicin,
a frequently used, well-known,
cancer drug, in the
heat-activated liposome. The
company was founded in 1982.
Zhejiang Hisun
Pharmaceutical Co Ltd is a
manufacturer and wholesaler
of pharmaceutical
preparation. The Company was
founded in 1956 and is
located in Taizhou, China.</t>
  </si>
  <si>
    <t xml:space="preserve">CELSION CORP/ZHEJIANG HISUN PHARMACEUTICAL CO LTD</t>
  </si>
  <si>
    <t xml:space="preserve">Celsion Corp (Celsion) and Zhejiang Hisun Pharmaceutical Co Ltd (Zhejiang
Hisun) formed a strategic alliance for the development of ThermoDox(R)
technology in China. Celsion is entitled to receive USD 5 mil in payments.
Zhejiang Hisun can also be granted an exclusive rights to license
ThermoDox(R) for the Greater China market, by paying additional USD 5 mil
within 60 days after execution of the Technology Development Agreement.</t>
  </si>
  <si>
    <t xml:space="preserve">Celsion is entitled to receive USD 5 mil in payments. Zhejiang Hisun can
also be granted an exclusive rights to license ThermoDox(R) for the Greater
China market, by paying additional USD 5 mil within 60 days after execution
of the Technology Development Agreement.</t>
  </si>
  <si>
    <t xml:space="preserve">15117N
Y9891W</t>
  </si>
  <si>
    <t xml:space="preserve">Shandong Nanshan Alum Co Ltd
Zhongguancun Dvlp Grp Co Ltd</t>
  </si>
  <si>
    <t xml:space="preserve">Mnfr,whl aluminum prod
Investment company</t>
  </si>
  <si>
    <t xml:space="preserve">Shandong Nanshan Aluminum Co
Ltd, headquartered in China,
manufactures and wholesales
aluminum products. The Company
primarily provides aluminum
materials, aluminum profiles,
flat section ingots,
hot-rolled products, aluminum
foils, aluminum oxide
products, electrolytic
aluminum and cold-rolled
products, among others. It was
founded in 1993.
Zhongguancun Development
Group Co Ltd is an
intermediating company. The
company is located in
Beijing, China.</t>
  </si>
  <si>
    <t xml:space="preserve">3334
6799</t>
  </si>
  <si>
    <t xml:space="preserve">Shandong Nanshan Alum Co Ltd
Peoples Republic of China</t>
  </si>
  <si>
    <t xml:space="preserve">3334
999A</t>
  </si>
  <si>
    <t xml:space="preserve">SHANDONG NANSHAN ALUMINIUM CO LTD/ZHONGGUANCUN DEVELOPMENT GROUP
{ZDG}-JOINT VENTURE</t>
  </si>
  <si>
    <t xml:space="preserve">Shandong Nanshan Aluminium Co Ltd (Shandong Nanshan) and Zhongguancun
Development Group (Zhongguancun) planned to form a joint venture in
Beijing, China to operate an aeronautics research center. The participants
plan to spend CNY 50 mil (USD 8.04 mil) for the joint venture. The joint
venture, Beijing Nanshan Aeronautical Material Research Institute Co Ltd,
will be 80% owned by Shandong Nanshan with an investment of CNY 40 mil (USD
6.43 mil). The remaining 20% of the joint venture will be held by
Zhongguancun. The participants agreed that Zhongguancun will help the joint
venture for application to be a high-technology enterprise to enjoy
preferential policies of the Zhonguancun Science Park.</t>
  </si>
  <si>
    <t xml:space="preserve">The participants plan to spend CNY 50 mil (USD 8.04 mil) for the joint
venture. The joint venture will be 80% owned by Shandong Nanshan with an
investment of CNY 40 mil (USD 6.43 mil)</t>
  </si>
  <si>
    <t xml:space="preserve">81870Y
1A8257</t>
  </si>
  <si>
    <t xml:space="preserve">Orexo AB
AstraZeneca PLC</t>
  </si>
  <si>
    <t xml:space="preserve">Mnfr,wholesale pharmaceuticals
Manufactures, wholesales pharmaceutical products</t>
  </si>
  <si>
    <t xml:space="preserve">Orexo AB, located in
Uppsala, Sweden,
manufactures and wholesales
prescription
pharmaceuticals. The
Company's product portfolio
includes OX 40 for treating
migraine, OX 19 for treating
urinary incontinence, OX 17
for treating gastro
esophageal reflux disease,
Sublinox for treating
temporary insomnia, Rapinyl
for treating cancer pain,
Diabact UBT and HeliProbe
Systems for conducting
breath tests. It operates in
the United States, European
Union and Southeast Asia.
The Company was founded in
1995.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</si>
  <si>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OREXO AB/ASTRAZENECA PLC-STRATEGIC ALLIANCE</t>
  </si>
  <si>
    <t xml:space="preserve">Orexo AB (Orexo) and AstraZeneca PLC (AstraZeneca) formed a strategic
alliance under which AstraZeneca was granted license for Orexo's
preclinical program for a potential treatment of respiratory diseases,
OX-CLI. AstraZeneca can also acquire the compounds pertaining to the
program subject to a full asset transfer agreement which will entitle Orexo
to receive development milestones and royalties on future revenues.</t>
  </si>
  <si>
    <t xml:space="preserve">68646K
046353</t>
  </si>
  <si>
    <t xml:space="preserve">HDL Inc
Global Genomics Group LLC</t>
  </si>
  <si>
    <t xml:space="preserve">Pvd clinical laboratory svcs
Pvd research,dvlp svcs</t>
  </si>
  <si>
    <t xml:space="preserve">Health Diagnostic Laboratory
Inc {HDL Inc} is a clinical
laboratory services provider,
headquartered in the US. It is
focused on disease state
management with supporting
clinical laboratory testing
targeting patients with
cardiovascular disease, heart
failure, stroke, diabetes
mellitus, metabolic syndrome,
and nonalcoholic
steatohepatitis or fatty liver
disease. It was founded in
2009.
Global Genomics Group LLC,
provides research and
development services. The
company is headquartered in
Atlanta, Georgia.</t>
  </si>
  <si>
    <t xml:space="preserve">8734
8731</t>
  </si>
  <si>
    <t xml:space="preserve">VA
GA</t>
  </si>
  <si>
    <t xml:space="preserve">HEALTH DIAGNOSTIC LABORATORY INC{HDL INC}/GLOBAL GENOMICS GROUP LLC-JOINT
VENTURE</t>
  </si>
  <si>
    <t xml:space="preserve">Health Diagnostic Laboratory Inc (HDL) and Global Genomics Group LLC (G3)
formed a joint venture to provide research services. The JV will focus on
the development of better ways to identify cardiovascular disease.</t>
  </si>
  <si>
    <t xml:space="preserve">42152R
1A9397</t>
  </si>
  <si>
    <t xml:space="preserve">GlaxoSmithKline PLC
Biological E Ltd</t>
  </si>
  <si>
    <t xml:space="preserve">Pharmaceutical Preparation Manufacturing
Mnfr pharm,biological prods</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</si>
  <si>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Biological E Ltd, located in
Hyderabad, India,
manufactures pharmaceutical
and biological products.
Some products of the company
are: vaccines;
anti-infectives; analgesics;
anticoagulants and others.
The comapny was previously
known as Biological Products
Pvt Ltd. The company was
founded in 1953.</t>
  </si>
  <si>
    <t xml:space="preserve">GLAXOSMITHKLINE PLC/BIOLOGICAL E LTD-JOINT VENTURE</t>
  </si>
  <si>
    <t xml:space="preserve">GlaxoSmithKline PLC {GSK} and Biological E Ltd (Bio E) planned to form a
joint venture in India to research and develop a six-in-one combination
pediatric vaccine. The vaccine is for polio and other infectious diseases.
GSKs injectable polio vaccine and Bio Es pentavalent vaccine will be
combined for the joint venture, if the vaccine will be approved. The joint
venture is expected to be completed within 2013. The joint venture will
shoulder the costs for the development of the vaccine; phase 1 development
is within the next two(2) years. The participants will contribute a small
initial cash investment for the start-up costs of the joint venture. The
following costs will be equally divided. GSK and Bio E will own 50% each of
the joint venture. The transaction is subject to regulatory approvals. The
participants support the World Health Organizations global polio
eradication program.</t>
  </si>
  <si>
    <t xml:space="preserve">37733W
09300P</t>
  </si>
  <si>
    <t xml:space="preserve">Idenix Pharmaceuticals Inc
Janssen Pharmaceuticals Inc</t>
  </si>
  <si>
    <t xml:space="preserve">Idenix Pharmaceuticals Inc,
located in Cambridge,
Massachusetts, is a
biopharmaceutical company
engaged in the discovery and
development of drugs for
treatment of human viral
diseases. It focuses on the
treatment of hepatitis C virus
(HCV) infections. It also
operated in Montpellier,
France. The company was
founded in 1998.
Janssen Pharmaceuticals Inc,
based in Titusville, New
Jersey, manufactures
pharmaceutical products. It
offers women's health and
urology, contraceptive, birth
control and vaginal therapy
products. It also has offices
in Raritan, Somerset County,
New Jersey and Fort
Washington, Pennsylvania. It
was founded in 1993.</t>
  </si>
  <si>
    <t xml:space="preserve">Idenix Pharmaceuticals Inc
J&amp;J</t>
  </si>
  <si>
    <t xml:space="preserve">IDENIX PHARMACEUTICALS INC/JANSSEN PHARMACEUTICALS INC-STRATEGIC ALLIANCE</t>
  </si>
  <si>
    <t xml:space="preserve">Idenix Pharmaceuticals Inc and Janssen Pharmaceuticals Inc formed a
strategic alliance, to develop combination therapies.</t>
  </si>
  <si>
    <t xml:space="preserve">45166R
47469X</t>
  </si>
  <si>
    <t xml:space="preserve">Immunomedics Inc
Algeta ASA</t>
  </si>
  <si>
    <t xml:space="preserve">Biopharm co
Manufacture,whl pharmaceuticals</t>
  </si>
  <si>
    <t xml:space="preserve">Immunomedics Inc, located in
Morris Plains, New Jersey,
is a biopharmaceutical
company that manufactures,
develops and markets
monoclonal antibody-based
products for the detection
and treatment of cancer,
autoimmune and other serious
diseases. The Group has
developed a number of
advanced technologies to
create humanized antibodies
that can be either alone in
unlabeled form, or
conjugated with radioactive
isotopes, chemotherapeutics
or toxins to create highly
targeted agents. The
Group's product candidates
and technologies are
protected by a portfolio of
intellectual property that
includes 108 issued patents
in the United States and 285
other issued patents
worldwide. The Group
currently markets Leukoscan
in the United States, Canada
and Europe.
Algeta ASA, headquartered in
Oslo, Norway, manufactures and
wholesales pharmaceuticals. It
is a therapeutics company
specializing in nuclear
medicine and oncology. The
company develops anticancer
therapeutics based on alpha
particle emitting radionuclide
and therapeutic candidates, as
well as technologies targeting
metastasis and disseminated
tumors that provide potency
without toxicities.</t>
  </si>
  <si>
    <t xml:space="preserve">IMMUNOMEDICS INC/ALGETA ASA-STRATEGIC ALLIANCE</t>
  </si>
  <si>
    <t xml:space="preserve">Immunomedics, Inc (Immunomedics) and Algeta ASA (Algeta) formed a strategic
alliance to develop Immunomedics' humanized anti-CD22 antibody,
epratuzumab, conjugated with Algeta's proprietary thorium-227
alpha-pharmaceutical payload. Algeta will fund all preclinical and clinical
development costs up to the end of Phase I testing.</t>
  </si>
  <si>
    <t xml:space="preserve">452907
01558L</t>
  </si>
  <si>
    <t xml:space="preserve">Daimler AG
Ford Motor Co
Nissan Motor Co Ltd</t>
  </si>
  <si>
    <t xml:space="preserve">Automobile Manufacturing
Mnfr,whl auto,trucks,auto part
Automobile Manufacturing</t>
  </si>
  <si>
    <t xml:space="preserve">Daimler AG (Daimler) is an
automotive engineering
company. The Company is
engaged in the development,
production and distribution
of cars, trucks and vans in
Germany, and the management
of the Daimler Group.
Daimler's segments include
Mercedes-Benz Cars, Daimler
Trucks, Mercedes-Benz Vans,
Daimler Buses and Daimler
Financial Services. The
Mercedes-Benz Cars segment
includes vehicles of the
Mercedes-Benz brand,
including the brands,
Mercedes-AMG and
Mercedes-Maybach, as well as
the Mercedes me brand. The
Daimler Trucks segment
develops and produces
vehicles under the brands,
including Mercedes-Benz,
Freightliner, Western Star,
FUSO and BharatBenz. The
Mercedes-Benz Vans segment
is a supplier of a range of
vans and associated
services. The Daimler Buses
segment sells completely
built-up buses under brand
names, including
MercedesBenz and Setra. The
Daimler Financial Services
segment supports the sales
of its automotive brands in
approximately 40 countries
around the world. The
Company was founded in 1982
and is located in Stuttgart,
Germany.
Ford Motor Co, located in
Dearborn, Michigan,
manufactures and wholesales
automobiles, trucks,
automobile parts, industrial
trucks and tractors. The
company also provides
auto-financing services. It
was founded in 1903.
Nissan Motor Co Ltd,
headquartered in Kanagawa,
Japan, and its main business
is the manufacture and sale
of automobiles and parts,
and provides sales finance
services to support sales
activities in the above
businesses. The Group has
established a global Nissan
headquarters function as a
global headquarters
function, allocating
resources to each business,
and managing the business of
the entire group. The Group
is operated by an
organization (Global Nissan
Group) that integrates
regional management through
the six regional management
committees and organic
activities across regions
based on functional axes
such as research and
development, purchasing, and
production. The company was
founded in 1933.</t>
  </si>
  <si>
    <t xml:space="preserve">3711
3711
3711</t>
  </si>
  <si>
    <t xml:space="preserve">Germany
United States
Japan</t>
  </si>
  <si>
    <t xml:space="preserve">FF
MI
FF</t>
  </si>
  <si>
    <t xml:space="preserve">DAIMLER AG/FORD MOTOR CO/NISSAN MOTOR CO LTD-STRATEGIC ALLIANCE</t>
  </si>
  <si>
    <t xml:space="preserve">Daimler AG (Daimler), Ford Motor Co (Ford) and Nissan Motor Co. Ltd
(Nissan) formed a strategic alliance to develop cell electric vehicle
system. The alliance will focus on the development of common fuel cell
system that will speed up availability of zero-emission technology and
reduce investment costs.</t>
  </si>
  <si>
    <t xml:space="preserve">233825
345370
654743</t>
  </si>
  <si>
    <t xml:space="preserve">CSIR
Royal Society of Chemistry</t>
  </si>
  <si>
    <t xml:space="preserve">Pvd scientific research
Chemistry association</t>
  </si>
  <si>
    <t xml:space="preserve">Council of Scientific and
Industrial Research,
headquartered in New Delhi,
India, is an institution
provides scientific and
industrial research
promotion and guidance,
information collection and
dissemination, journal
publishing, and fellowship
awarding services. The
institution caters to
aerospace, healthcare,
electronics, and energy
sectors. It was founded in
1942.
Chemistry association</t>
  </si>
  <si>
    <t xml:space="preserve">8733
8641</t>
  </si>
  <si>
    <t xml:space="preserve">COUNCIL OF SCIENTIFIC AND INDUSTRIAL RESEARCH/ROYAL SOCIETY OF
CHEMISTRY-STRATEGIC ALLIANCE</t>
  </si>
  <si>
    <t xml:space="preserve">Council of Scientific and Industrial Research (CSIR) and Royal Society of
Chemistry (RSC) planned to form a strategic alliance to develop potent
drugs to treat TB and Malaria. The alliance will focus on building an
online repository of real and virtual molecular structures along with
developing free-to-use software tools for drug discovery and development.</t>
  </si>
  <si>
    <t xml:space="preserve">5A9697
78069X</t>
  </si>
  <si>
    <t xml:space="preserve">ScinoPharm Taiwan Ltd
Foresee Pharmaceuticals Inc</t>
  </si>
  <si>
    <t xml:space="preserve">ScinoPharm Taiwan Ltd
manufactures and wholesales
pharmaceuticals, located in
Taiwan. It also offers process
research and development.
Operations are also carried
out in United States, Europe,
Taiwan, and China. It was
founded in 1997.
Foresee Pharmaceuticals Inc is
a manufacturer of
pharmaceutical preparation.
The Company is located in
Newark, Delaware.</t>
  </si>
  <si>
    <t xml:space="preserve">SCINOPHARM TAIWAN LTD/FORESEE PHARMACEUTICALS LLC-JOINT VENTURE</t>
  </si>
  <si>
    <t xml:space="preserve">ScinoPharm Taiwan Ltd (ScinoPharm) and Foresee Pharmaceuticals LLC
(Foresee) agreed to form a joint venture to develop peptide injectable
drugs for the for treatment of prostate cancer. The JV will initially
develop a new oncological Leuprolide injectable drug product. ScinoPharm
will contribute USD 3.6 mil to the JV.</t>
  </si>
  <si>
    <t xml:space="preserve">Y7540Z
1A9708</t>
  </si>
  <si>
    <t xml:space="preserve">Biolab Sanus Farmaceutica LTDA
Cristalia Produtos Quimicos
Eurofarma Laboratorios SA
Libbs Farmaceutica Ltda</t>
  </si>
  <si>
    <t xml:space="preserve">Mnfr pharmaceuticals
Pharmaceutical Preparation Manufacturing
Manufacture,whl pharm products
Mnfr pharmaceuticals</t>
  </si>
  <si>
    <t xml:space="preserve">Biolab Sanus Farmaceutica
LTDA is a manufacturer of
pharmaceutical preparation.
The Company was founded in
1997 and is located in Sao
Paulo, Brazil.
Cristalia Produtos Quimicos
Farmaceuticos Ltda is a
manufacturer of
pharmaceutical preparation.
The Company was founded in
1972 and is located in
Itapira, Brazil.
Eurofarma Laboratorios SA,
headquartered in Sao Paulo,
Brazil, manufactures and
wholesales pharmaceutical
products. It offers a
pharmaceutical manufacturing
and wholesaling firm that
operates 8 business
divisions, namely: Pharma
(Medical Prescription),
Hospital, Generic Drugs,
Oncology, Pearson
(Veterinary), Third Parties,
Export and Euroglass. Their
products are for human and
veterinary use. The Company
was founded in 1972.
Libbs Farmaceutica Ltda is a
manufacturer of pharmaceutical
preparation. The Company was
founded in 1958 and is located
in Sao Paulo, Brazil.</t>
  </si>
  <si>
    <t xml:space="preserve">2834
2834
2834
2834</t>
  </si>
  <si>
    <t xml:space="preserve">Brazil
Brazil
Brazil
Brazil</t>
  </si>
  <si>
    <t xml:space="preserve">Pfizer Inc
Cristalia Produtos Quimicos
Eurofarma Laboratorios SA
Libbs Farmaceutica Ltda</t>
  </si>
  <si>
    <t xml:space="preserve">United States
Brazil
Brazil
Brazil</t>
  </si>
  <si>
    <t xml:space="preserve">BIOLAB INDUSTRIAS/CRISTALIA PRODUTOS/EUROFARMA LABORATORIOS/LIBBS
FARMACEUTICA-JOINT VENTURE</t>
  </si>
  <si>
    <t xml:space="preserve">Orygen Biotecnologia is a
biotechnology company
headquartered in Brazil.</t>
  </si>
  <si>
    <t xml:space="preserve">Biolab Industria (Biolab), Cristalia Produtos (Cristalia), Eurofarma
Laboratorios (Eurofarma) and Libbs Farmaceutica (Libbs) formed a joint
venture name Orygen Biotechnologia to develop and market biologic and
biotechnology products.</t>
  </si>
  <si>
    <t xml:space="preserve">2A0317</t>
  </si>
  <si>
    <t xml:space="preserve">09070E
22688F
29836P
53000M</t>
  </si>
  <si>
    <t xml:space="preserve">ZF Friedrichshafen AG
Baotou Bei Ben Heavy-Duty</t>
  </si>
  <si>
    <t xml:space="preserve">Manufactures and wholesales motor vehicle transmission
Mnfr heavy-duty trucks</t>
  </si>
  <si>
    <t xml:space="preserve">ZF Friedrichshafen AG,
headquartered in
Friedrichshafen, Germany,
manufactures and wholesales
motor vehicle transmissions
for driveline and chassis
technology. It offers manual
and automatic transmissions,
dual clutch transmissions,
hybrid systems, synchronized
transaxles, power shift
transmissions, variable
transmissions, hydrodynamic
and hydrostatic power shift
transmissions, electric
drives, surface and pod
drives, and elevator
gearboxes. The Company was
founded on August 20, 1915.
Baotou Bei Ben Heavy-Duty
Truck Co Ltd, located in
Baotou, China, manufactures
heavy-duty trucks. Its
products include dump truck,
tractor and other special
trucks.</t>
  </si>
  <si>
    <t xml:space="preserve">Zeppelin-Stiftung GmbH
Baotou Bei Ben Heavy-Duty</t>
  </si>
  <si>
    <t xml:space="preserve">8399
3711</t>
  </si>
  <si>
    <t xml:space="preserve">ZF FRIEDRICHSHAFEN AG/BAOTOU BEI BEN HEAVY-DUTY TRUCK CO LTD-JOINT VENTURE</t>
  </si>
  <si>
    <t xml:space="preserve">ZF Friedrichshafen AG (ZF) and Baotou Bei Ben Heavy-Duty Truck Co Ltd
(Baotou Bei Ben) formed a joint venture for the research and development,
application, production, assembly, test, selling and after-sale service for
commercial vehicle transmission parts. The joint venture was capitalized at
CNY 122 mil (USD 19.575 mil).</t>
  </si>
  <si>
    <t xml:space="preserve">The joint venture was capitalized at CNY 122 mil (USD 19.575 mil).</t>
  </si>
  <si>
    <t xml:space="preserve">98876E
1A9986</t>
  </si>
  <si>
    <t xml:space="preserve">The Medicines Co
Alnylam Pharmaceuticals Inc</t>
  </si>
  <si>
    <t xml:space="preserve">Pharmaceutical Preparation Manufacturing
Manufacture biological products</t>
  </si>
  <si>
    <t xml:space="preserve">The Medicines Co, located in
Parsipanny, New Jersey, is a
manufacturer of
pharmaceutical preparation.
The Company was founded in
1996.
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t>
  </si>
  <si>
    <t xml:space="preserve">MEDICINES CO/ALNYLAM PHARMACEUTICALS INC-STRATEGIC ALLIANC</t>
  </si>
  <si>
    <t xml:space="preserve">The Medicines Company (Medicines Co) and Alnylam Pharmaceuticals, Inc
(Alnylam) formed a strategic alliance to develop and commercialize
Alnylam's therapeutic program for the treatment of hypercholesterolemia,
ALN-PCS RNAi. Medicines Co will make an upfront payment of USD 25 mil for
the exclusive global rights to develop the treatment. Alnylam is alos
entitled to receive up to USD 180 mil in development and commercial
milestone payments.</t>
  </si>
  <si>
    <t xml:space="preserve">Medicines Co will make an upfront payment of USD 25 mil for the exclusive
global rights to develop the treatment. Alnylam is alos entitled to receive
up to USD 180 mil in development and commercial milestone payments.</t>
  </si>
  <si>
    <t xml:space="preserve">584688
02043Q</t>
  </si>
  <si>
    <t xml:space="preserve">Panasonic Corp
Power-One Inc</t>
  </si>
  <si>
    <t xml:space="preserve">Mnfr,wholesale electronic prod
Mnfr power conversion products</t>
  </si>
  <si>
    <t xml:space="preserve">Panasonic Corp, located in
Osaka, Japan, manufactures
and wholesales consumer
electric and electronic
products. The Audio-Visual
Computer (AVC) Network
segment offers audio and
video equipment. The
Appliance segment provides
household air-conditioning
machines. The System
Communications segment
provides system network and
mobile
communications-related
products and services. The
Eco-solutions segment
consists of riding, energy
system, housing system and
ecological system. The
Automotive systems segment
provides automotive
multimedia-related equipment
and environmental automotive
equipment. The Device
segment provides electronic
components, semiconductors
and optical devices. The
Energy segment provides
solar system and lithium-ion
batteries. The Others
segment consists of health
care, manufacturing
solutions and PanaHome. The
company was founded in 1918.
Power-One Inc, located in
Camarillo, California,
manufactures power conversion
products and solar inverters
primarily for a range of
applications including data
and voice communications,
renewable energy inverters,
intelligent controls, digital
power management, servers and
data storage, and
instrumentation, industrial
and ATE. It designs and
manufactures alternating
current/direct current (AC/DC)
and direct current/direct
current (DC/DC) power
supplies, converters, and
power management products. The
company was founded in 1973.</t>
  </si>
  <si>
    <t xml:space="preserve">PANASONIC CORP/POWER-ONE INC-STRATEGIC ALLIANCE</t>
  </si>
  <si>
    <t xml:space="preserve">Panasonic Corp (Panasonic) and Power-One, Inc (Power-One) formed a
strategic alliance to develop, produce and market energy storage systems.
This systems will feature Power-One inverters, and Panasonic lithium-ion
batteries and systems. The alliance will initially develop residential,
commercial, utility-scale and grid-connected energy storage systems
business in the European and U.S. markets, and in Japans non-residential
market.</t>
  </si>
  <si>
    <t xml:space="preserve">J6354Y
739308</t>
  </si>
  <si>
    <t xml:space="preserve">Portola Pharmaceuticals Inc
Bayer Healthcare AG
Janssen Pharmaceuticals Inc</t>
  </si>
  <si>
    <t xml:space="preserve">Biotech co
Mnfr pharmaceutical products
Mnfr pharmaceutical products</t>
  </si>
  <si>
    <t xml:space="preserve">Portola Pharmaceuticals Inc,
located in South San
Francisco, California, is a
biotechnology company
focused on the development
and commercialization of
novel therapeutics in the
areas of thrombosis, other
hematologic disorders and
inflammation for patients
who currently have limited
or no approved treatment
options. The company was
founded in 2003
Bayer HealthCare AG, located
in Leverkusen, Germany,
manufactures pharmaceutical
products that diagnose,
prevent, and treat diseases of
both humans and animals. They
have four divisions: Animal
Health (veterinary drugs);
Consumer Care (OTC meds);
Diabetes Care; and
Pharmaceuticals (represented
by Bayer-Schering Pharma and
Bayer Healthcare
Pharmaceuticals), operating in
more than 120 countries
worldwide including the US and
Africa.
Janssen Pharmaceuticals Inc,
located in Titusville, New
Jersey, manufactures
prescription pharmaceutical
products intended for final
consumption to treat pain,
acid reflux disease and
infectious diseases</t>
  </si>
  <si>
    <t xml:space="preserve">United States
Germany
United States</t>
  </si>
  <si>
    <t xml:space="preserve">CA
FF
NJ</t>
  </si>
  <si>
    <t xml:space="preserve">Portola Pharmaceuticals Inc
Bayer AG
J&amp;J</t>
  </si>
  <si>
    <t xml:space="preserve">2836
2899
2834</t>
  </si>
  <si>
    <t xml:space="preserve">PORTOLA PHARMACEUTICALS INC/BAYER HEALTHCARE AG/JANSSEN PHARMACEUTICALS
INC-STRATEGIC ALLIANCE</t>
  </si>
  <si>
    <t xml:space="preserve">Portola Pharmaceuticals, Inc (Portola), Bayer HealthCare AG (Bayer) and
Janssen Pharmaceuticals Inc (Janssen) formed a strategic alliance to
conduct a phase II study for Portola's universal antidote for Factor Xa
inhibitors, PRT4445. The study is designed to demonstrate the safety of
PRT4445 at several different doses and its ability to reverse the
anticoagulant activity of XARELTO. Bayer and Janssen will make an
undisclosed cash payment to Portola and will provide development and
regulatory guidance for the study. Portola retains all global development
and commercialization rights for PRT4445.</t>
  </si>
  <si>
    <t xml:space="preserve">737010
07287J
68756C</t>
  </si>
  <si>
    <t xml:space="preserve">Setia Eco Glades Sdn Bhd
Cash Band(M)Bhd</t>
  </si>
  <si>
    <t xml:space="preserve">Real estate development firm
Pvd golf club,resort mgmt svcs</t>
  </si>
  <si>
    <t xml:space="preserve">Setia Eco Glades Sdn Bhd is a
real estate development firm.
The company is headquartered
in Malaysia
Cash Band (M) Bhd located in
Malaysia, is a golf club and
tourist resort management
services provider. The company
is also engaged in investment
holding.</t>
  </si>
  <si>
    <t xml:space="preserve">6552
7997</t>
  </si>
  <si>
    <t xml:space="preserve">Malaysia
Menteri Besar Selangor Inc</t>
  </si>
  <si>
    <t xml:space="preserve">SETIA ECO GLADES SDN BHD/CASH BAND(M)BHD-JOINT VENTURE</t>
  </si>
  <si>
    <t xml:space="preserve">Setia Eco Glades Sdn Bhd and Cash Band(M)Bhd planned to form a joint
venture.</t>
  </si>
  <si>
    <t xml:space="preserve">84315F
14781A</t>
  </si>
  <si>
    <t xml:space="preserve">Venn Life Sciences Plc
Undisclosed JV Partner</t>
  </si>
  <si>
    <t xml:space="preserve">Provide clinical research svcs
Investment company</t>
  </si>
  <si>
    <t xml:space="preserve">Venn Life Sciences Holdings
PLC, located in Dublin,
Ireland, provides clinical
research and development
services to pharmaceutical,
biotechnology and medical
device clients. The company
specializes in the management
and execution of phase II to
IV clinical trials, as well as
the monitoring of phase I
clinical trials.
Investment company</t>
  </si>
  <si>
    <t xml:space="preserve">Ireland-Rep
Unknown</t>
  </si>
  <si>
    <t xml:space="preserve">VENN LIFE SCIENCES PLC/UNDISCLOSED PARTNER-JOINT VENTURE</t>
  </si>
  <si>
    <t xml:space="preserve">Venn Russia, located in
Moscow, Russia, provides
clinical research and
development services to
pharmaceutical, biotechnology
and medical device clients.</t>
  </si>
  <si>
    <t xml:space="preserve">Venn Life Sciences PLC (Venn Life) and an undisclosed local Clinical
Research Organisation formed a joint venture named Venn Russia to provide
clinical research and development services to pharmaceutical, biotechnology
and medical device clients.</t>
  </si>
  <si>
    <t xml:space="preserve">2A1395</t>
  </si>
  <si>
    <t xml:space="preserve">0A7043
904JVP</t>
  </si>
  <si>
    <t xml:space="preserve">CloudSigma AG
ICCLab</t>
  </si>
  <si>
    <t xml:space="preserve">Pvd software development svcs
Pvd cloud computing res svcs</t>
  </si>
  <si>
    <t xml:space="preserve">ClouSigma AG, headquartered in
Zurich, Switzerland, provides
software development services.
The company provides cloud
computing services;
infrastructure-as-a-Service
(IaaS); hardware storage
allocation via cloud and
others. It was founded in
2009.
ICCLab, located in Winterthur,
Switzerland, provides cloud
computing research services.
The company has three
princlipes: scientific
foundation; strategic impact;
and knowledge transfer. The
company covers various topic
areas across cloud computing
technology services.</t>
  </si>
  <si>
    <t xml:space="preserve">CloudSigma AG
ZHAW</t>
  </si>
  <si>
    <t xml:space="preserve">CLOUDSIGMA AG/ICCLAB-STRATEGIC ALLIANCE</t>
  </si>
  <si>
    <t xml:space="preserve">CloudSigma AG (CloudSigma) and ICCLab formed a strategic alliance to
provide cloud computing research services in Switzerland. The alliance will
produce a "Joint Research and Education Agenda." It has four(4) goals:
(1)to foster public uptake of our innovations by a wider eco-system; (2) to
generate strategic Intellectual Property; (3) to transfer results beyond
research and open source projects into the commercial market and (4) to
gear the educational mission by transfer critical know-how to future
generations of engineers. ClouSigma's customers will be offered new and/or
improved cloud services.</t>
  </si>
  <si>
    <t xml:space="preserve">2A1864
2A1880</t>
  </si>
  <si>
    <t xml:space="preserve">Denso Corp
A&amp;D Co Ltd</t>
  </si>
  <si>
    <t xml:space="preserve">Mnfr,whl auto parts
Mnfr,whl measuring instruments</t>
  </si>
  <si>
    <t xml:space="preserve">Denso Corp, headquartered in
Kariya, Japan, manufactures
and wholesales automobile
parts. Its powertrain
machinery segment offers
engine equipment, including
ignition coils, magnetos and
others; valves and oil
filters; diesel injection
products, including nozzles
and others; petrol injection
products, such as fuel
pumps. Electronic segment
offers engine control
computers, power management
computers and others.
Thermal segment offers car
air conditioning systems,
cooling fans, as well as
refrigerators and air
purifiers. Information
Security segment offers
information communication
equipment, including
combination meters and air
conditioning panels, car
navigation systems,
actuators and computers,
sensors and others. Motors
segment offers wiper and
washer systems, among
others. Industrial Equipment
offers bar code handy
scanners and handy
terminals. Living-related
Equipment segment offers
automatic faucets and
others. It was founded,
December 16, 1949.
A&amp;D Co Ltd, headquartered in
Tokyo, Japan, manufactures and
wholesales measuring
instrument, medical and
healthcare equipment. The
company has two business
segments. The measuring
instrument segment provides
measuring, control and
simulation systems, electron
guns for semiconductor
exposure apparatus, analog to
digital (AD) and digital to
analog (DA) converters,
testing machines,
environmental measuring
instrument, electronic
balances, platform scales,
indicators, counting scales
and load cells, among others.
Medical and healthcare
equipment segment offers
digital hemopiezometers for
home use, blood pressure
monitors, full automatic
hemopiezometers, precision
weighing scales and ultrasonic
inhalators, among others. The
company was founded in 1977.</t>
  </si>
  <si>
    <t xml:space="preserve">3694
3829</t>
  </si>
  <si>
    <t xml:space="preserve">DENSO CORP/A&amp;D CO LTD-STRATEGIC ALLIANCE</t>
  </si>
  <si>
    <t xml:space="preserve">Denso Corp (Denso) and A&amp;D Co Ltd (A&amp;D) planned to form a strategic
alliance to provide medical equipment development services in Japan. In
line with the alliance, Denso was to invest an estimated JPY 460 mil (USD
4.964 mil) in A&amp;D for a 5% stake in the latter. The alliance was to improve
sales capability of Denso by utilizing A&amp;D's proprietary technologies and
sales network. Denso's sensing technologies will also be used in the
alliance.</t>
  </si>
  <si>
    <t xml:space="preserve">In line with the alliance, Denso was to invest an estimated JPY 460 mil
(USD 4.964 mil) in A&amp;D for a 5% stake in the latter.</t>
  </si>
  <si>
    <t xml:space="preserve">J12075
J0011P</t>
  </si>
  <si>
    <t xml:space="preserve">Lomiko Metals Inc
Graphene Laboratories Inc</t>
  </si>
  <si>
    <t xml:space="preserve">Mineral exploration co
Mnfr,whl nanocarbon,graphene prod</t>
  </si>
  <si>
    <t xml:space="preserve">Lomiko Metals Inc, located
in Surrey, British Columbia,
is a mining company. It is
focused on the exploration
and development of minerals
for the new green economy.
It has graphite properties
in Quebec and a Zinc
Discovery in Northern
British Columbia. Its
property is Quatre Milles
Graphite located in Quebec.
The Company was founded
1989.
Graphene Laboratories Inc,
located in Calverton, New
York, manufactures and
wholesales nanocarbon and
graphene products. It is also
engaged in analytical
services, prototype
development, and consulting.</t>
  </si>
  <si>
    <t xml:space="preserve">1499
3624</t>
  </si>
  <si>
    <t xml:space="preserve">LOMIKO METALS INC/GRAPHENE LABORATORIES INC-STRATEGIC ALLIANCE</t>
  </si>
  <si>
    <t xml:space="preserve">Lomiko Metals Inc (Lomiko) and Graphene Laboratories Inc (Graphene) formed
a strategic alliance to provide research and development services. Under
the terms of the agreement, Lomiko and Graphene will co-develop integrated
supply chain of graphite and graphene-based products.</t>
  </si>
  <si>
    <t xml:space="preserve">54163Q
6A5608</t>
  </si>
  <si>
    <t xml:space="preserve">Hydro Industries Ltd
T&amp;T Salvage LLC</t>
  </si>
  <si>
    <t xml:space="preserve">Dvlp water treatment products
Pvd emergency response svcs</t>
  </si>
  <si>
    <t xml:space="preserve">Hydro Industries Ltd, located
in Llangennch, United Kingdom,
develops electro-based water
treatment products. Its
services include Site
investigation; Feed water
characterization; Process
design, Remote monitoring &amp;
control, Site service
maintenance contracts and
Electrode management.
T&amp;T Salvage LLC, located in
Houston, Texas, provides
emergency response services.
The company operates fast
response firefighting systems,
inert gas generators, nitrogen
generators, ship-to-ship (STS)
pumping and lightering systems
and diving systems.</t>
  </si>
  <si>
    <t xml:space="preserve">3699
7389</t>
  </si>
  <si>
    <t xml:space="preserve">HYDRO INDUSTRIES LTD/T&amp;T SALVAGE LLC-JOINT VENTURE</t>
  </si>
  <si>
    <t xml:space="preserve">Hydro Industries Ltd (Hydro) and T&amp;T Salvage LLC (T&amp;T Salvage) planned to
form a joint venture for the research, development and production of new
electro-based water treatment products.</t>
  </si>
  <si>
    <t xml:space="preserve">2A2392
2A2375</t>
  </si>
  <si>
    <t xml:space="preserve">Dako Denmark A/S
Pfizer Inc</t>
  </si>
  <si>
    <t xml:space="preserve">Mnfr,whl diagnostic pharm prod
Manufacture,wholesale pharmaceuticals</t>
  </si>
  <si>
    <t xml:space="preserve">Dako Denmark A/S, located in
Glostrup, Denmark,
manufactures cell-based cancer
diagnostics pharmaceutical
products for both clinical
diagnostics and research use
such as antibodies, detection
systems, kits, reagents, and
equipment.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</si>
  <si>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Agilent Technologies Inc
Pfizer Inc</t>
  </si>
  <si>
    <t xml:space="preserve">DAKO DENMARK A/S/PFIZER INC-STRATEGIC ALLIANCE</t>
  </si>
  <si>
    <t xml:space="preserve">Dako Denmark A/S (Dako) and Pfizer Inc (Pfizer) formed a strategic alliance
to develop and commercialize companion diagnostics. The alliance will also
provide advisory services in the field of companion diagnostics.</t>
  </si>
  <si>
    <t xml:space="preserve">23176R
717081</t>
  </si>
  <si>
    <t xml:space="preserve">Daiichi Sankyo Co Ltd
Innovation Network Corp Of
Mitsubishi UFJ Capital Co Ltd</t>
  </si>
  <si>
    <t xml:space="preserve">Mnfr,whl pharmaceuticals
Private equity firm
Financial Sponsor</t>
  </si>
  <si>
    <t xml:space="preserve">Daiichi Sankyo Co Ltd,
headquartered in Tokyo,
Japan, is engaged in the
manufacture and sale of
pharmaceuticals. The Company
has two business segments.
The Daiichi Sankyo Group
segment is involved in the
research, development,
pharmaceuticals, as well as
the provision of
intermediates and basic
materials for pharmaceutical
producing, in Japan, the
United States, Europe, China
and Brazil markets. The
Ranbaxy Group segment is
engaged in the research,
development, manufacture and
sale of pharmaceuticals in
overseas markets through
Ranbaxy group companies. As
of March 31, 2012, it has
107 subsidiaries and three
associated companies.The
company was founded on
September 28, 2005.
Innovation Network Corp of
Japan, located in Tokyo,
Japan, is a private equity
firm that provides
financial, technological and
management support to
domestic companies in order
to promote innovation and
enhancing the value of
businesses in Japan. The
Company was founded in 2009.
Mitsubishi UFJ Capital Co
Ltd, located in Chuo-Ku
Tokyo, Japan, is a private
equity firm. The firm was
founded in 1974.</t>
  </si>
  <si>
    <t xml:space="preserve">2834
6799
6799</t>
  </si>
  <si>
    <t xml:space="preserve">DAIICHI SANKYO CO LTD/INNOVATION NETWORK CORP OF JAPAN{INCJ}/MITSUBISHI UFJ
CAPITAL CO LTD-JOINT VENTURE</t>
  </si>
  <si>
    <t xml:space="preserve">Daiichi Sankyo Co Ltd (Daiichi), Innovation Network Corp of Japan{INCJ} and
Mitsubishi UFJ Capital Co Ltd (Mitsubishi UFJ) planned to form a joint
venture to provide research and development services for Duchenne muscular
dystrophy's treatment in Japan. the joint venture was to be known as Orphan
Disease Treatment Institute Co Ltd. The joint venture was to develop the
dtreatment with Daiichi's active ingredient ENA(R) oligonucleotide. Daiichi
was to mainly conduct the clinical drug development. The joint venture was
to issue new shares by a third party allocation for a fund managed by
Mitsubishi UFJ. INCJ was to underwrite third party allocation of new shares
to invest in the joint venture with a maximum amount of JPY 1.65 bil (USD
17.756 mil).</t>
  </si>
  <si>
    <t xml:space="preserve">33.40
33.30
33.30</t>
  </si>
  <si>
    <t xml:space="preserve">INCJ was to underwrite third party allocation of new shares to invest in
the joint venture with a maximum amount of JPY 1.65 bil (USD 17.756 mil).</t>
  </si>
  <si>
    <t xml:space="preserve">J11257
47252Y
60775L</t>
  </si>
  <si>
    <t xml:space="preserve">STMicroelectronics NV
Hyundai Autron Co Ltd</t>
  </si>
  <si>
    <t xml:space="preserve">Semiconductor and Related Device Manufacturing
Dvlp automotive elctrnc ctrl</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</si>
  <si>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Hyundai Autron Co Ltd, located
in Gyeonggi-do, South Korea,
develops automotive electronic
control systems. The company
develops Software Platform for
automotive electronic
controller unit to maximize
efficiency, stability and
reusability. It's research and
development if focused on
Software Platform (XENON) and
AUTomotive Open System
Architecture (AUTOSAR).</t>
  </si>
  <si>
    <t xml:space="preserve">Switzerland
South Korea</t>
  </si>
  <si>
    <t xml:space="preserve">STMicroelectronics NV
Hyundai Motor Co</t>
  </si>
  <si>
    <t xml:space="preserve">STMICROELECTRONICS NV/HYUNDAI AUTRON CO LTD-STRATEGIC ALLIANCE</t>
  </si>
  <si>
    <t xml:space="preserve">STMicroelectronics NV (STMicroelectronics) and Hyundai Autron Co Ltd
(Hyundai Autron) formed a strategic alliance for the development of
electronic control systems to be used for automotive applications.</t>
  </si>
  <si>
    <t xml:space="preserve">861012
2A3018</t>
  </si>
  <si>
    <t xml:space="preserve">Thorne Research Inc
HerbalScience Group</t>
  </si>
  <si>
    <t xml:space="preserve">Manufactures,wholesales dietary supplements
Biotechnology company</t>
  </si>
  <si>
    <t xml:space="preserve">Thorne Research Inc, located
in New York, New York,
manufactures and wholesales
premium hypoallergenic
dietary supplements. Its
products include: aging,
antioxidants/flavonoids,
circulatory support,
cognitive support,
detoxification support,
essential fatty acids,
gastrointestinal support,
immune support and other
health products. The Company
was founded in 1984.
HerbalScience Group, is a
biotechnology company
headquartered in Bonita
Springs, Florida. The company
specializes in developing
Technology Platform that has
major medical science and
consumer brand verification of
its ability to transform
global Traditional Medicines
which are laboratory proven to
be safe and biologically
effective.</t>
  </si>
  <si>
    <t xml:space="preserve">ID
FL</t>
  </si>
  <si>
    <t xml:space="preserve">THORNE RESEARCH INC/HERBALSCIENCE GROUP-JOINT VENTURE</t>
  </si>
  <si>
    <t xml:space="preserve">Thorne Research, Inc (Thorne) and HerbalScience Group (HerbalScience)
formed a joint venture for the research and development of products from
the extensive HSG natural chemistry libraries, using the company's
proprietary formulation and manufacturing technology to create consistent,
reproducible extracts. Thorne will market and distribute the products
through its global marketing network.</t>
  </si>
  <si>
    <t xml:space="preserve">Research &amp; Development Services
Licensing Services
Retail &amp; Wholesale Services</t>
  </si>
  <si>
    <t xml:space="preserve">88505Z
2A4076</t>
  </si>
  <si>
    <t xml:space="preserve">Grand Pharm (China) Co Ltd
HuangShi Feiyun Pharmaceutical</t>
  </si>
  <si>
    <t xml:space="preserve">Grand Pharmaceutical (China)
Co Ltd is a manufacturer and
wholesaler of pharmaceutical
preparation. The Company is
located in Wuhan, China.
HuangShi Feiyun Pharmaceutical
Co Ltd is a pharmaceutical
manufacturing firm,
headquartered in China.</t>
  </si>
  <si>
    <t xml:space="preserve">Outwit Investments Ltd
HuangShi Feiyun Pharmaceutical</t>
  </si>
  <si>
    <t xml:space="preserve">GRAND PHARMACEUTICAL(CHINA)CO LTD/HUANGSHI FEIYUN PHARMACEUTICAL CO
LTD-JOINT VENTURE</t>
  </si>
  <si>
    <t xml:space="preserve">Grand Pharmaceutical(China)Co Ltd (Grand Pharm China), an indirect
non-wholly owned subsidiary of China Grand Pharmaceutical &amp; Healthcare
Holdings Ltd, and HuangShi Feiyun Pharmaceutical Co Ltd (HuangShi Feiyun)
planned to form a joint venture in China to research, develop and
manufacture and distribute naturally-sourced medicines in Huangshi, China.
The joint venture, to be known as Grand Pharmaceutical(China)Huangshi
Feiyun Co Ltd, was to manufacture small volume injections(anti-tumor) and
freeze-dried powder injection(anti-tumor); tablets; granules;
tincture(topical); pharmaceutical raw materials for injections and others.
The joint venture was to provide import and export services of its
products, as well as provide pharmaceutical technical consultancy services.
Grand Pharma China was to hold 60% stake in the joint venture with cash
contribution amounting to CNY75 mil (USD 12.03 mil). The remaining 40% was
to be held by HuangShi Feiyun with total contribution of CNY 50 mil (USD
8.02 mil); CNY 30 mil (USD 4.812 mil) comprises of intangible assets and
CNY 20 mil (USD 3.208 mil) in cash. The registered capital of the joint
venture was to be CNY 125 mil (USD 20.049 mil).</t>
  </si>
  <si>
    <t xml:space="preserve">Grand Pharma China was to hold 60% stake in the joint venture with cash
contribution amounting to CNY75 mil (USD 12.03 mil). The remaining 40% was
to be held by HuangShi Feiyun with total contribution of CNY 50 mil (USD
8.02 mil); CNY 30 mil (USD 4.812 mil) comprises of intangible assets and
CNY 20 mil (USD 3.208 mil) in cash. The registered capital of the joint
venture was to be CNY 125 mil (USD 20.049 mil).</t>
  </si>
  <si>
    <t xml:space="preserve">38617W
2A4335</t>
  </si>
  <si>
    <t xml:space="preserve">BASF SE
Bend Research Inc</t>
  </si>
  <si>
    <t xml:space="preserve">All Other Basic Inorganic Chemical Manufacturing
Pvd research svcs</t>
  </si>
  <si>
    <t xml:space="preserve">BASF SE is a manufacturer
and wholesaler of inorganic
chemicals. The Company's
portfolio is organized into
six segments: Chemicals,
Materials, Industrial
Solutions, Surface
Technologies, Nutrition &amp;
Care and Agricultural
Solutions. BASF generated
sales of around 63 billion
in 2018. The BASF Group
comprises subsidiaries and
joint ventures in more than
80 countries and operates
six integrated production
sites and 390 other
production sites in Europe,
Asia, Australia, the
Americas and Africa. It also
acts as a holding company.
The Company was founded in
April 1865 and is located in
Ludwigshafen, Germany.
Bend Research Inc, located in
Bend, Oregon, provides
pharmaceutical research
services. It offers drug
delivery technologies and
formulation development,
including dosage-form support,
novel formulations, including
spray-dried dispersions and
hot-melt extrusion
formulations, and
controlled-release,
inhalation, and
biotherapeutics technologies.
It was founded in 1974.</t>
  </si>
  <si>
    <t xml:space="preserve">BASF SE /BEND RESEARCH INC - STRATEGIC ALLIANCE</t>
  </si>
  <si>
    <t xml:space="preserve">BASF SE (BASF) and Bend Research Inc (Bend) formed a strategic alliance to
conduct research and development of novel excipients to enhance the
solubility and bioavailability of poorly soluble drugs. The alliance will
offer the latest polymer innovations.</t>
  </si>
  <si>
    <t xml:space="preserve">055262
08161L</t>
  </si>
  <si>
    <t xml:space="preserve">International Dispensing Corp
Sealed Air Corp</t>
  </si>
  <si>
    <t xml:space="preserve">Mnfr food dispensing systems
Mnfr,whl packaging products</t>
  </si>
  <si>
    <t xml:space="preserve">Manufacture food dispensing
systems
Sealed Air Corp, located in
Charlotte, North Carolina,
manufactures protective and
specialty packaging products
including foamed resins,
industrial machinery, solar
pool products and corrosion
inhibitors chemical
preparations. It offers
flexible materials, such as
shrink bags, shrink films,
and non-shrink structures;
associated packaging
equipment systems; rigid
containers; and absorbent
pads. The Company was
founded in December 1960.</t>
  </si>
  <si>
    <t xml:space="preserve">3556
2671</t>
  </si>
  <si>
    <t xml:space="preserve">NY
NC</t>
  </si>
  <si>
    <t xml:space="preserve">INTERNATIONAL DISPENSING CORP/SEALED AIR CORP-STRATEGIC ALLIANCE</t>
  </si>
  <si>
    <t xml:space="preserve">International Dispensing Corp (IDC) and Sealed Air Corp (Sealed Air) formed
a strategic alliance to develop ultra-high-speed aseptic filler for
bag-in-box (BIB) products.</t>
  </si>
  <si>
    <t xml:space="preserve">459398
81211K</t>
  </si>
  <si>
    <t xml:space="preserve">Singapore Telecommun Ltd
Amdocs Ltd</t>
  </si>
  <si>
    <t xml:space="preserve">Provide telecommunications services
Pvd info system solutions</t>
  </si>
  <si>
    <t xml:space="preserve">Singapore Telecommunications
Ltd, located in Singapore, is
a communications company. The
Company is engaged in the
operation and provision of
telecommunications systems and
services. In addition, it
offers Internet services and
also holds frequency spectrum
and license rights to install,
operate and maintain mobile
communication systems and
services, including wireless
broadband systems and
services. It operates in three
segments: Group Consumer,
Group Enterprise andDigital
Life. The Group Consumer
segment comprises the consumer
businesses across Singapore
and Australia, as well as the
Company's investments in
Thailand, India, Africa, South
Asia, Philippines and
Indonesia. The Group
Enterprise segment comprises
the business groups across
Singapore, Australia, the
United States, Europe and the
region. The Group Digital Life
segment focuses on using the
Internet technologies and
assets of the Company's
operating companies by
entering adjacent businesses.
The Company was founded on 1
March 1992.
Amdocs Ltd, located in
Raanana, Israel, provides
product-driven information
system solutions to major
telecommunication companies;
publish telephone directory
software, provide customer
care and billing systems for
providers of wireline and
wireless network services.</t>
  </si>
  <si>
    <t xml:space="preserve">4812
7371</t>
  </si>
  <si>
    <t xml:space="preserve">Singapore
Israel</t>
  </si>
  <si>
    <t xml:space="preserve">4812
7372</t>
  </si>
  <si>
    <t xml:space="preserve">SINGAPORE TELECOMMINUCATIONS LTD/AMDOCS LTD-JOINT VENTURE</t>
  </si>
  <si>
    <t xml:space="preserve">Singapore Telecommunications Ltd (SINGTEL) and Amdocs Ltd (AM) formed a
joint venture named Undisclosed Development Center to provide research and
development services in Israel.</t>
  </si>
  <si>
    <t xml:space="preserve">82929R
02345P</t>
  </si>
  <si>
    <t xml:space="preserve">Vistagen Therapeutics Inc
Celsis IVT Inc</t>
  </si>
  <si>
    <t xml:space="preserve">Biopharmaceutical company
Manufacture in vitro products</t>
  </si>
  <si>
    <t xml:space="preserve">VistaGen Therapeutics Inc,
located in South San
Francisco, California, is a
biopharmaceutical company
focused on developing novel
drug therapies for treatment
of CNS disorders. It develops
stem-cell biology platforms
which aim to create assay
systems for predictive
toxicology, drug discovery and
drug rescue. The company was
founded in 2003.
Celsis In Vitro Technologies
Inc, located in Baltimore,
Maryland, manufactures in
vitro products for human and
animal purposes. The company
has another office located in
Belgium. It was founded in
1990.</t>
  </si>
  <si>
    <t xml:space="preserve">Vistagen Therapeutics Inc
Harwood Capital Management Ltd</t>
  </si>
  <si>
    <t xml:space="preserve">VISTAGEN THERAPEUTICS INC/CELSIS IN VITRO INC-STRATEGIC ALLIANCE</t>
  </si>
  <si>
    <t xml:space="preserve">VistaGen Therapeutics, Inc (VistaGen) and Celsis In Vitro Technologies Inc
(Celsis) formed a strategic alliance to characterize and functionally
benchmark VistaGen's human liver cell platform, LiverSafe 3D(TM), for
studying and predicting human liver drug metabolism VistaGen will utilize
Celsis' experience and expertise in in vitro drug metabolism to help
validate VistaGen's human liver cell platform.</t>
  </si>
  <si>
    <t xml:space="preserve">93001X
2A5678</t>
  </si>
  <si>
    <t xml:space="preserve">Life Technologies Corp
Harvard University</t>
  </si>
  <si>
    <t xml:space="preserve">Biotechnology company
Own,operate university</t>
  </si>
  <si>
    <t xml:space="preserve">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
Harvard University, located
in Cambridge, Massachusetts,
owns and operates a
university. The company was
founded in 1638.</t>
  </si>
  <si>
    <t xml:space="preserve">LIFE TECHNOLOGIES CORP/HARVARD UNIVERSITY-STRATEGIC ALLIANCE</t>
  </si>
  <si>
    <t xml:space="preserve">Life Technologies Corp (Life Tech) and Harvard University (Harvard) formed
a strategic alliance to develop characterization assays. Under the
alliance, Life tech was granted exclusive rights to develop a panel of
characterization assays designed to rapidly evaluate human pluripotent stem
(hPS) cells for their utility in a variety of discovery and translational
research applications.</t>
  </si>
  <si>
    <t xml:space="preserve">53217V
41748A</t>
  </si>
  <si>
    <t xml:space="preserve">Changshu Fengfan Power Equip
League Model Co Ltd
Changshu Res Inst of NPU
Zhang Wei</t>
  </si>
  <si>
    <t xml:space="preserve">Mnfr,whl steel towers
Mnfr model airplanes
Own,op res inst of university
Individual</t>
  </si>
  <si>
    <t xml:space="preserve">Changshu Fengfan Power
Equipment Co Ltd located in
Changshu, China is a
manufacturer of fabricated
structural metal products.
The Company was founded in
July 1993.
League Model Co Ltd, located
in Changshu, China,
manufcatuers model airplanes.
It was founded on October
2002.
Changshu Research Institute of
Northwestern Polytechnical
University, owns and operates
a research institute of a
university, located in
Changshu, China.
Individual</t>
  </si>
  <si>
    <t xml:space="preserve">3441
3721
8221
6799</t>
  </si>
  <si>
    <t xml:space="preserve">Changshu Fengfan Power Equip
League Model Co Ltd
Peoples Republic of China
Zhang Wei</t>
  </si>
  <si>
    <t xml:space="preserve">3441
3721
999A
6799</t>
  </si>
  <si>
    <t xml:space="preserve">CHANGSHU FENGFAN POWER EQUIPMENT CO LTD/CHANGSHU RESEARCH INSTITUTE OF
NPU/LEAGUE MODEL CO/ZHANG WEI-JOINT VENTURE</t>
  </si>
  <si>
    <t xml:space="preserve">Changshu Fengfan Power Equipment Co Ltd (Fengfan Power), Changshu Research
Institute of Northwestern Polytechnical University (Changshu Research),
League Model Co Ltd (League Model) and Zhang Wei signed an agreement to
form a joint venture in China to research, develop and manufacture unmanned
aerial vehicles (UAV) or drones. The joint venture was to be named Jiangsu
Xiangyi Aviation Technology Co Ltd. The joint venture ownership was to be
as follows: Fengfang Power-40%; Changshu Research-30%; League Model-15%;
and Zhang Wei-15%. The registered capital of the joint venture was to be
CNY 20 mil (USD 3.215 mil); CNY 8 mil (USD 1.286 mil) of which will be from
Fengfan Power.</t>
  </si>
  <si>
    <t xml:space="preserve">40.00
30.00
15.00
15.00</t>
  </si>
  <si>
    <t xml:space="preserve">The registered capital of the joint venture was to be CNY 20 mil (USD 3.215
mil); CNY 8 mil (USD 1.286 mil) of which will be from Fengfan Power.</t>
  </si>
  <si>
    <t xml:space="preserve">Y1297H
2A6501
2A6505
98799W</t>
  </si>
  <si>
    <t xml:space="preserve">Celgene Corp
Presage Biosciences Inc</t>
  </si>
  <si>
    <t xml:space="preserve">Manufacture,wholesale biopharmaceutical products
Biotechnology company</t>
  </si>
  <si>
    <t xml:space="preserve">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
Presage Biosciences Inc, is a
biotechnology company
headquartered in Seattle,
Washington. The company
develops a technology platform
to improve cancer drug
development process. It was
founded in 2008.</t>
  </si>
  <si>
    <t xml:space="preserve">CELGENE CORP/PRESAGE BIOSCIENCES INC-STRATEGIC ALLIANCE</t>
  </si>
  <si>
    <t xml:space="preserve">Celgene Corp (Celgene) and Presage Biosciences Inc (Presage) formed a
strategic alliance to develop cancer drugs. The alliance will use Presage's
technology platform to identify novel drug combinations for solid tumor
indications as well as for the evaluation of patients' unique responses to
microdoses of multiple cancer drugs.</t>
  </si>
  <si>
    <t xml:space="preserve">151020
2A7990</t>
  </si>
  <si>
    <t xml:space="preserve">Open Monoclonal Technology Inc
WuXi PharmaTech(Cayman)Inc</t>
  </si>
  <si>
    <t xml:space="preserve">Biotechnology company
Manufacture pharmaceutical</t>
  </si>
  <si>
    <t xml:space="preserve">Open Monoclonal Technology
Inc, located in Palo Alto,
California, manufactures human
monoclonal antibody platform.
It provides discovery of rare
antibodies and currently has
three transgenic animal
platforms: OmniRat, OmniMouse,
and OmniFlic, collectively
known as OmniAb. The company
was founded in 2007.
WuXi PharmaTech (Cayman) Inc,
based in Shanghai, China, is a
pharmaceutical manufacturing,
biotechnology, and medical
device R&amp;D outsourcing
company. Its core lab services
business offers research and
development, discovery
chemistry, service biology,
and pharmaceutical development
services. Its ancillary
manufacturing operations
mainly produce advanced
intermediate drugs and active
drug ingredients. The company
was founded in 2000.</t>
  </si>
  <si>
    <t xml:space="preserve">WUXI PHARMATECH(CAYMAN)INC/OPEN MONOCLONAL TECHNOLOGY INC-STRATEGIC
ALLIANCE</t>
  </si>
  <si>
    <t xml:space="preserve">WuXi PharmaTech(Cayman)Inc (WuXi Cayman) and Open Monoclonal Technology Inc
(Open Monoclonal) formed a strategic alliance to generate antibodies. The
alliance will develop and commercialize Wuxi Caymans utilization of Open
Monoclonals OmiRat (TM) and OmniMouse(TM). The alliance sees to expand
opportunities for Wuxi Caymans clients in Asian region and in other
locations, globally. The alliance allowed Wuxi Cayman to generate
antibodies for its clients in its laboratories in China with the use of
OmiRat (TM).</t>
  </si>
  <si>
    <t xml:space="preserve">3A0189
929352</t>
  </si>
  <si>
    <t xml:space="preserve">Array Biopharma Inc
Global Blood Therapeutics Inc</t>
  </si>
  <si>
    <t xml:space="preserve">Biopharmaceutical Company
Mnfr pharm</t>
  </si>
  <si>
    <t xml:space="preserve">Array Biopharma Inc, located
in Boulder, Colorado, is a
biopharmaceutical company.
It is focused on the
discovery, development and
commercialization of small
molecule drugs to treat
patients afflicted with
cancer and inflammatory
diseases. It markets
BRAFTOVI (encorafenib)
capsules in combination with
MEKTOVI (binimetinib)
tablets for the treatment of
patients with unresectable
or metastatic melanoma with
a BRAFV600E or BRAFV600K
mutation in the United
States. Its lead clinical
programs, encorafenib and
binimetinib, are being
investigated in over 30
clinical trials across a
number of solid tumor
indications, including a
Phase 3 trial in BRAF-mutant
metastatic colorectal
cancer. Its pipeline
includes several additional
programs being advanced by
the Company or current
license-holders, including
the following programs
currently in registration
trials: selumetinib
(partnered with
AstraZeneca), LOXO-292
(partnered with Eli Lilly),
ipatasertib (partnered with
Genentech), tucatinib
(partnered with Seattle
Genetics) and ARRY-797.Its
Vitrakvi (larotrectinib,
partnered with Bayer AG) is
approved in the United
States and Ganovo
(danoprevir, partnered with
Roche) is approved in China.
The Company was founded in
1998.
Global Blood Therapeutics
Inc, is a pharmaceutical
manufacturing firm,
headquartered in South San
Francisco, California. The
company is focused on the
development of oral
medicines for the treatment
of chronic blood-based
diseases and severe genetic
disorders. The company was
founded on 2011.</t>
  </si>
  <si>
    <t xml:space="preserve">Array Biopharma Inc
Third Rock Ventures LP</t>
  </si>
  <si>
    <t xml:space="preserve">ARRAY BIOPHARMA INC/GLOBAL BLOOD THERAPEUTICS INC - STRATEGIC ALLIANCE</t>
  </si>
  <si>
    <t xml:space="preserve">Array BioPharma Inc (Array) and Global Blood Therapeutics Inc (Global
Blood) planned to form a strategic alliance to identify small molecule lead
compounds targeting chronic blood-based diseases. Array will develop assays
and screen its proprietary lead generation library of 300,000 small
molecules to identify both active site and allosteric modulators of certain
Global Blood targets. Array's library will allow for rapid hit confirmation
and subsequent lead optimization.</t>
  </si>
  <si>
    <t xml:space="preserve">04269X
37890U</t>
  </si>
  <si>
    <t xml:space="preserve">CardioComm Solutions Inc
Sensor Mobility Inc</t>
  </si>
  <si>
    <t xml:space="preserve">Pvd ECG mgmt software svcs
Dvlp medical devices</t>
  </si>
  <si>
    <t xml:space="preserve">CardioComm Solutions Inc,
located in Toronto, Ontario,
provides ECG management
software services. Its
products are marketed as
Global EKG Management System
(GEMS and GlobalCardio) and is
cleared for sale in the US,
Canada and the European Union.
Its products enable medical
professionals, patients, and
other healthcare
professionals, clinics,
hospitals and call centers to
access and manage patient
information. The company was
incorporated in British
Columbia on October 26, 1989.
Sensor Mobility Inc, located
in Ontario, Canada, develops
medical devices. The company
is focused in creating
solutions that help
individuals and doctors
prevent the reoccurrence of a
heart attack.</t>
  </si>
  <si>
    <t xml:space="preserve">CARDIOCOMM SOLUTIONS INC/SENSOR MOBILITY INC-JOINT VENTURE</t>
  </si>
  <si>
    <t xml:space="preserve">CardioComm Solutions, Inc (CardioComm) and Sensor Mobility Inc (Sensor)
formed a joint venture under which Sensors GSM platform technologies and
CardioComm Solutions ECG viewing and wireless software management systems
licensed to Sensor's subsidiary, iMedical Inc. Within the JV, iMedical will
develop into an independently operated and financially independent
organization where core intellectual property assets of the JV parties will
be utilized to develop a Food and Drug Administration submission ready,
prototype GSM-ECG device and software system, for market clearance in the
United States.</t>
  </si>
  <si>
    <t xml:space="preserve">14159N
2A8770</t>
  </si>
  <si>
    <t xml:space="preserve">Merck Sharp &amp; Dohme Corp
Luminex Corp</t>
  </si>
  <si>
    <t xml:space="preserve">Mnfr,whl pharmaceutical prod
Mnfr,whl biological tech</t>
  </si>
  <si>
    <t xml:space="preserve">Merck Sharp &amp; Dohme Corp,
located in Kenilworth, New
Jersey, is a manufacturer of
pharmaceutical preparation.
It is focused on researching
on hepatitis C, HIV,
diabetes and
immuno-oncology. The Company
was founded in 1891.
Luminex Corp, located in
Austin, Texas, manufactures
and wholesales biological
testing technologies with
applications throughout the
diagnostics, pharmaceutical
and life sciences
industries.Its products
are focused on the molecular
diagnostic testing market,
which includes human
genetics, personalized
medicine and infectious
disease segments. The
Company was founded in May
1995.</t>
  </si>
  <si>
    <t xml:space="preserve">NJ
TX</t>
  </si>
  <si>
    <t xml:space="preserve">Merck &amp; Co Inc
Luminex Corp</t>
  </si>
  <si>
    <t xml:space="preserve">MERCK &amp; CO INC/LUMINEX CORP-STRATEGIC ALLIANCE</t>
  </si>
  <si>
    <t xml:space="preserve">Merck &amp; Co Inc (Merck) and Luminex Corp (Luminex) formed a strategic
alliance to develop a medical device to screen screen patients for
recruitment into a clinical development program for its lead
investigational candidate for Alzheimer's disease.</t>
  </si>
  <si>
    <t xml:space="preserve">U58933
55027E</t>
  </si>
  <si>
    <t xml:space="preserve">Sigma Labs Inc
Interactive Machines Inc</t>
  </si>
  <si>
    <t xml:space="preserve">Mnfr process control equip
Pvd prod process dvlp svcs</t>
  </si>
  <si>
    <t xml:space="preserve">Sigma Labs Inc, based in Santa
Fe, New Mexico, develops and
engineers advanced,
in-process, non-destructive
quality inspection systems of
3D printing for commercial
firms. It offers PrintRite3D,
an integrated and interactive
system, which provides
inspection, feedback, data
collection and critical
analysis. Its services include
3D metal printing and process
engineering. The Company was
founded in 2005.
Interactive Machines Inc,
based in Southwick,
Massachusetts, provides
product process development
services. The company offers
the following developments:
servo-control, embedded system
and mechanical system. Some of
the products/systems developed
by the company are temperature
controls, LCD displays,
hydraulic linear friction
welder, plating pits and
others. The company was
founded in 1986.</t>
  </si>
  <si>
    <t xml:space="preserve">2759
7389</t>
  </si>
  <si>
    <t xml:space="preserve">NM
MA</t>
  </si>
  <si>
    <t xml:space="preserve">SIGMA LABS INC/INTERACTIVE MACHINES INC-JOINT VENTURE</t>
  </si>
  <si>
    <t xml:space="preserve">Sigma Labs Inc (Sigma) and Interactive Machines Inc (Interactive Machines)
signed a Memorandum of Understanding (MoU) to form a joint venture to
develop and commercialize 3D printing devices. The PrintRite 3D device is
used in making metal parts directly from powders using a laser to print in
3D. The joint venture was to develop the device to be designed to produce
an increased output of up to 10 times over the currently available 3D metal
printing machines. The participants were to enter into definitive
agreements within the second quarter of 2013. The transaction is subject to
adequate financing conditions.</t>
  </si>
  <si>
    <t xml:space="preserve">826598
3A5409</t>
  </si>
  <si>
    <t xml:space="preserve">Flotek Industries Inc
Gulf Energy Saoc</t>
  </si>
  <si>
    <t xml:space="preserve">Mnfr,whl specialty chemicals
Oil,gas exploration,prodn co</t>
  </si>
  <si>
    <t xml:space="preserve">Flotek Industries Inc, located
in Houston, Texas,
manufactures of chemical
products. The Company was
founded in 1985.
Gulf Energy Saoc is engaged
in the crude petroleum and
natural gas services
business. The Company was
founded in 2006 and is
located in Ghala, Oman.</t>
  </si>
  <si>
    <t xml:space="preserve">2899
1311</t>
  </si>
  <si>
    <t xml:space="preserve">United States
Oman</t>
  </si>
  <si>
    <t xml:space="preserve">FLOTEK INDUSTRIES INC/GULF ENERGY LLC-JOINT VENTURE</t>
  </si>
  <si>
    <t xml:space="preserve">Oman</t>
  </si>
  <si>
    <t xml:space="preserve">Flotek Industries Inc (FL) and Gulf Energy LLC (GU) signed a Letter of
Intent (LoI) to form a joint venture (JV) to provide research and
development services in Oman. Under the terms of the agreement FL was to
hold 60% interest in the JV, while GU was to hold the remaining 40% stake
in the JV. Concurrently, FL and GU signed a Letter of Intent (LoI) to form
a joint venture (JV) to manufacture chemicals in Oman.</t>
  </si>
  <si>
    <t xml:space="preserve">343389
2A8217</t>
  </si>
  <si>
    <t xml:space="preserve">Merck KGaA
Nordic Bioscience A/S</t>
  </si>
  <si>
    <t xml:space="preserve">Manufactures and wholesales pharmaceuticals, specialty chemicals, and cosmetic pigments
Mnfr medical diagnostic kits</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</si>
  <si>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Nordic Bioscience A/S is a
manufacturer of in-vitro
diagnostic substances. The
Company was founded in 1991
and is located in Herlev,
Denmark.</t>
  </si>
  <si>
    <t xml:space="preserve">Germany
Denmark</t>
  </si>
  <si>
    <t xml:space="preserve">Merck KGaA
IDS PLC</t>
  </si>
  <si>
    <t xml:space="preserve">MERCK KGAA/NORDIC BIOSCIENCE A/S-STRATEGIC ALLIANCE</t>
  </si>
  <si>
    <t xml:space="preserve">Merck KGaA (Merck) and Nordic Bioscience A/S (Nordic Bioscience) formed a
strategic alliance for the research and development of Merck's
investigational drug sprifermin (recombinant human FGF-18) in
osteoarthritis (OA) of the knee. Under the agreement, Nordic Bioscience is
entitled to receive service fees and potential milestone and royalty
payments in exchange for clinical development services rendered to Merck.
On the other hand, Merck will maintain full responsibility for the
development as well as the commercialization of the candidate drug.</t>
  </si>
  <si>
    <t xml:space="preserve">589339
65588K</t>
  </si>
  <si>
    <t xml:space="preserve">Ka Shui Technology(Huizhou)Co
Shenzhen Dongweifeng Electn Co
Shenzhen On Xun Electn Co Ltd</t>
  </si>
  <si>
    <t xml:space="preserve">Mnfr electronic products
Mnfr electronic products
Mnfr computer terminals</t>
  </si>
  <si>
    <t xml:space="preserve">Ka Shui Technology(Huizhou)Co
Ltd, based in Hong Kong,
manufactures electronic
products.
Shenzhen Dongweifeng
Electronic Technology Co Ltd,
manufactures electronic
products, based in Gongming
town, China.
Shenzhen On Xun Electronic Co
Ltd, based in China,
manufactures computer
terminals and related
electronic products.</t>
  </si>
  <si>
    <t xml:space="preserve">3679
3679
3575</t>
  </si>
  <si>
    <t xml:space="preserve">Ka Shui Intl Holdings Ltd
Shenzhen Dongweifeng Electn Co
Shenzhen On Xun Electn Co Ltd</t>
  </si>
  <si>
    <t xml:space="preserve">3356
3679
3575</t>
  </si>
  <si>
    <t xml:space="preserve">KA SHUI TECHNOLOGY(HUIZHOU)CO LTD/SHENZHEN DONGWEIFENG ELECTRONIC
TECHNOLOGY CO LTD/SHENZHEN ON XUN ELECTRONIC-JOINT VENTURE</t>
  </si>
  <si>
    <t xml:space="preserve">Ka Shui Technology(Huizhou)Co Ltd (Ka Shui Technology), Shenzhen
Dongweifeng Electronic Technology Co Ltd (Dongweifeng) and Shenzhen On Xun
Electronic Co Ltd (On Xun) planned to form a joint venture in Anhui
province of China to research, develop, manufacture and sell computer and
communication related products and components. The products of the joint
venture were to be composed of magnesium alloy. Ka Shui Technology was to
hold 60% of the joint venture with a cash contribution of CNY 30 mil (USD
4.827 mil). Joint venture ownerships of Dongweifeng and On Xun were
undisclosed.</t>
  </si>
  <si>
    <t xml:space="preserve">Ka Shui Technology was to hold 60% of the joint venture with a cash
contribution of CNY 30 mil (USD 4.827 mil).</t>
  </si>
  <si>
    <t xml:space="preserve">2A8712
2A8714
2A8715</t>
  </si>
  <si>
    <t xml:space="preserve">Dubai Economic Council
Latham &amp; Watkins LLP</t>
  </si>
  <si>
    <t xml:space="preserve">State agency
Law firm</t>
  </si>
  <si>
    <t xml:space="preserve">Dubai Economic Council,
located in Dubai, United Arab
Emirates, is a state agency.
The company is operating
Economic Policy and Research
Center (EPRC), the Dubai
Competitiveness Center (DCC),
and the Legal Affairs and
Research Center (LARC). It was
founded in 2003.
Latham &amp; Watkins LLP,
headquartered in Los Angeles,
California, and with locations
in North America, Europe,
Middle East and Asia Pacific &amp;
Australia, is a full-service
global law firm. The Company
was founded in 1934.</t>
  </si>
  <si>
    <t xml:space="preserve">999D
8111</t>
  </si>
  <si>
    <t xml:space="preserve">United Arab Emirates
Latham &amp; Watkins LLP</t>
  </si>
  <si>
    <t xml:space="preserve">999A
8111</t>
  </si>
  <si>
    <t xml:space="preserve">LATHAM &amp; WATKINS LLP/DUBAI ECONOMIC COUNCIL-STRATEGIC ALLIANCE</t>
  </si>
  <si>
    <t xml:space="preserve">Dubai Economic Council and Latham Watkins LLP formed a strategic alliance,
to provide legal services, research and development services.</t>
  </si>
  <si>
    <t xml:space="preserve">Legal Services
Research &amp; Development Services</t>
  </si>
  <si>
    <t xml:space="preserve">2A9109
51821Z</t>
  </si>
  <si>
    <t xml:space="preserve">Sanofi SA
Transgene SA</t>
  </si>
  <si>
    <t xml:space="preserve">Manufactures pharmaceuticals products
Biological Product (Except Diagnostic) Manufacturing</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</si>
  <si>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Transgene SA is a
manufacturer of biological
products. It focuses on
immunotherapy. The Company
was founded in Jan 1979 and
is located in
Illkirch-Graffenstaden,
France.</t>
  </si>
  <si>
    <t xml:space="preserve">Sanofi SA
Compagnie Merieux Alliance SAS</t>
  </si>
  <si>
    <t xml:space="preserve">SANOFI SA/TRANSGENE SA-STRATEGIC ALLIANCE</t>
  </si>
  <si>
    <t xml:space="preserve">Sanofi SA (Sanofi) and Transgene SA (Transgene) formed a strategic alliance
to develop an industrial platform to be used in the production of
immunotherapy products.</t>
  </si>
  <si>
    <t xml:space="preserve">80105N
89365U</t>
  </si>
  <si>
    <t xml:space="preserve">Green Hygienics Inc
Undisclosed JV Partner</t>
  </si>
  <si>
    <t xml:space="preserve">Mnfr nutraceutical prod
Investment company</t>
  </si>
  <si>
    <t xml:space="preserve">Green Hygienics Inc formerly
MNI Nutraceuticals Inc
manufactures nutraceutical
products for the treatment of
arthritis and general joint
pain, poor circulation,
tiredness, and obesity and
digestive complications. Its
products include ArthrizymeTM,
OxygenolTM, Vital Slim and
Vital Slim Plus. The company
is headquartered in Reno,
Nevada. It was founded in
2004.
Investment company</t>
  </si>
  <si>
    <t xml:space="preserve">Medbox Inc
Undisclosed JV Partner</t>
  </si>
  <si>
    <t xml:space="preserve">3585
6799</t>
  </si>
  <si>
    <t xml:space="preserve">GREEN HYGIENICS INC/UNDISCLOSED PARTNER-STRATEGIC ALLIANCE</t>
  </si>
  <si>
    <t xml:space="preserve">Green Hygienics, Inc (Green Hygienics) and an undisclosed biosafety
laboratory in the development of natural disinfectant biodegradable wipe.
This product is the first of its kind approved by the US Environmental
Protection Agency (EPA).</t>
  </si>
  <si>
    <t xml:space="preserve">393058
904JVP</t>
  </si>
  <si>
    <t xml:space="preserve">Foxconn Technology Co Ltd
Hawtai Motor Group Co Ltd</t>
  </si>
  <si>
    <t xml:space="preserve">Mnfr,whl computer,elec equip
Mnfr motor vehicles</t>
  </si>
  <si>
    <t xml:space="preserve">Foxconn Technology Co Ltd,
located in Tucheng, Taiwan,
manufactures and wholesales
equipment and components for
computers, consumer
electronics and communications
products. It was founded in
1990.
Hawtai Motor Group Co Ltd is a
manufacturer and wholesaler of
automobiles. The Company was
founded in May 2008 and is
located in Beijing, China.</t>
  </si>
  <si>
    <t xml:space="preserve">3575
3711</t>
  </si>
  <si>
    <t xml:space="preserve">FOXCONN TECHNOLOGY CO LTD/HAWTAI MOTOR GROUP CO LTD-JOINT VENTURE</t>
  </si>
  <si>
    <t xml:space="preserve">Foxconn Technology Group Co Ltd (Foxconn), a subsidiary of Hon Hai
Precision Industry Co Ltd, and Hawtai Motor Group (Hawtai) were rumored to
be planning to form a joint venture in Ordos City of Inner Monogolia, China
to research, develop, manufacture and sell small-sized diesel engine and
automatic transmissions.</t>
  </si>
  <si>
    <t xml:space="preserve">Y3002R
42058C</t>
  </si>
  <si>
    <t xml:space="preserve">Advanced Medical Isotope Corp
GSG International GMbH</t>
  </si>
  <si>
    <t xml:space="preserve">Mnfr medical isotope prod
Dvlp radioactive products</t>
  </si>
  <si>
    <t xml:space="preserve">Advanced Medical Isotope Corp,
located in Kennewick,
Washington, manufactures and
develops medical isotope
products to be used in the
diagnosis and treatment of
cancer and other diseases.
GSG International GMbH,
develops, manufactures and
sell radionuclide materials.
The company's activities
include development and
installation of radionuclide
production units, including
Mo-99 and Tc-99m, medical,
including blood irradiation,
safety and measurement devices
and hot cells; production and
sales of sealed sources,
radionuclides and
radiopharmaceuticals and
services in handling, storage,
recycling and disposal of
radioactive sources, products
and installations and global
consulting and project
management for the development
of technology and safety for
radiation equipment.</t>
  </si>
  <si>
    <t xml:space="preserve">Advanced Medical Isotope Corp
Gamma Services Group</t>
  </si>
  <si>
    <t xml:space="preserve">ADVANCED MEDICAL ISOTOPE CORP/GSG INTERNATIONAL GMBH-STRATEGIC ALLIANCE</t>
  </si>
  <si>
    <t xml:space="preserve">Advanced Medical Isotope Corp (AMIC) and GSG International GMbH (GSG)
formed a strategic alliance to develop and distribute medical isotope
technologies and related products. The alliance will initially distribute
Molybendum-99 (Mo-99) and related Technetium-99. The alliance give rights
to AMIC for the distribution of Molybendum-99 (Mo-99) and Technetium-99 in
North America, South America and China.</t>
  </si>
  <si>
    <t xml:space="preserve">00765X
3A0271</t>
  </si>
  <si>
    <t xml:space="preserve">World Titanium Resources Ltd
SiChuan LOMON Titanium</t>
  </si>
  <si>
    <t xml:space="preserve">Zirconium ore mining company
Produce, titanium dioxide pigment</t>
  </si>
  <si>
    <t xml:space="preserve">World Titanium Resources Ltd,
located in Mount Claremont,
Australia, is a zirconium ore
mining company.
SiChuan LOMON Titanium
Industry Co Ltd, headquartered
in Mianzhu, China, is a
producer of titanium dioxide
pigment for industrial and
commercial purposes. It was
founded in 2000.</t>
  </si>
  <si>
    <t xml:space="preserve">1099
2816</t>
  </si>
  <si>
    <t xml:space="preserve">World Titanium Resources Ltd
Sichuan Lomon Corp</t>
  </si>
  <si>
    <t xml:space="preserve">1429
1479</t>
  </si>
  <si>
    <t xml:space="preserve">WORLD TITANIUM RESOURCES LTD/SICHUAN LOMON TITANIUM CO LTD-JOINT VENTURE</t>
  </si>
  <si>
    <t xml:space="preserve">Madagascar</t>
  </si>
  <si>
    <t xml:space="preserve">World Titanium Resources Ltd (WTR) and Sichuan Lomon Titanium Co Ltd
terminated their joint venture agreement. Previously in March 2013, World
Titanium Resources Ltd (WTR) and Sichuan Lomon Titanium Co Ltd (Sichuan)
planned to form a joint venture to develop 800,000-tonne-per-annum sulphate
ilmenite mine at Ranobe in Madagascar. Under the agreement, Sichuan will
provide the capital for the construction of the mine which roughly cost USD
300 mil. And according to the feasibility study that they plan, the
anticipated commencement of the project will be on 2015 and will produce
around 400,000 tpa ilmenite.</t>
  </si>
  <si>
    <t xml:space="preserve">98029Q
7A0958</t>
  </si>
  <si>
    <t xml:space="preserve">SK Biopharma
PKU Intl Healthcare Grp Co Ltd
Shanghai Medicilon Inc</t>
  </si>
  <si>
    <t xml:space="preserve">Biotechnology company
Pvd med,pharm svs
Biotechnology company</t>
  </si>
  <si>
    <t xml:space="preserve">SK Biopharmaceuticals Co Ltd
is a biotechnology company
headquartered in Gyeonggido,
South Korea. The Company is
involved in the manufacture
of medicinal compounds and
antibiotics. The Company
also offers research and
development services,
analytical method
development and validation;
process validation and
qualification; DMF filing
and others. The Company was
founded in 2011.
PKU International Healthcare
Group Co Ltd, a Beijing-based
provider of medical and
pharmaceutical services. The
company was founded in 2003.
Shanghai Medicilon Inc is a
manufacturer of biological
products. The company
engaged in providing drug
discovery and development
services to the global
pharmaceutical industry. The
companies services include
medicinal chemistry, lead
optimization, custom
chemical synthesis, biology
services pharmacokinetics,
metabolism, animal
toxicology, efficacy and
disease model studies.The
Company was founded in Feb
2004 and is located in
Shanghai, China.</t>
  </si>
  <si>
    <t xml:space="preserve">2836
8071
2836</t>
  </si>
  <si>
    <t xml:space="preserve">South Korea
China
China</t>
  </si>
  <si>
    <t xml:space="preserve">SK C&amp;C Co Ltd
Peking University
Shanghai Medicilon Inc</t>
  </si>
  <si>
    <t xml:space="preserve">7376
8221
2836</t>
  </si>
  <si>
    <t xml:space="preserve">SK BIOPHARMACUETICALS/PKU INTERNATIONAL HEALTHCARE GROUP CO LTD/SHANGHAI
MEDICILON INC-STRATEGIC ALLIANCE</t>
  </si>
  <si>
    <t xml:space="preserve">SK Biopharmaceuticals (SK Bio), PKU International HealthCare Group Co Ltd
(PKU Healthcare), a subsidiary of Peking University Founder Group Corp, and
Shanghai Medicilon Inc (Shanghai Medicilon) formed a strategic alliance to
develop novel new small molecule SKL-PSY for depression and bipolar
disorder treatment. SKL-PSY has a relatively quick inception of therapeutic
effects in animal models of depressive and manic states. The said molecule
is expected to be effective for both mania and depression. Under the
alliance, SK Bio and PKU Healthcare will combine their knowledge,
experiences and research and development capabilities. Later this year, the
three participants will start clinical trials after an Investigational New
Drug (IND) application.</t>
  </si>
  <si>
    <t xml:space="preserve">3A1085
86116K
81559T</t>
  </si>
  <si>
    <t xml:space="preserve">Retina Institute Japan KK
Dainippon Sumitomo Pharma Co</t>
  </si>
  <si>
    <t xml:space="preserve">Pvd biotechnology research svc
Mnfr,wholesale pharm prod,chem</t>
  </si>
  <si>
    <t xml:space="preserve">Retina Institute Japan KK,
located in Tokyo, Japan,
provides biotechnology
research service. The
company was founded in 2011.
Dainippon Sumitomo Pharma Co
Ltd, located in Osaka,
Japan, manufactures and
wholesales pharmaceutical
products and chemicals. It
operates in four business
divisions. The Japan
(Medicine) division
manufactures and sells
ethical and general use
drugs. The United States
division manufactures,
develops, purchases and
sells ethical drugs through
its subsidiaries. The China
division manufactures and
its subsidiaries. The other
division is involved in the
manufacture, purchase and
sale of food material and
additives, chemical goods,
animal use drugs, diagnostic
products, the clinical
pathology for animals, as
well as the storage,
delivery and clinical
inspection of drugs. It was
founded, October 01, 2005.</t>
  </si>
  <si>
    <t xml:space="preserve">RETINA INSTITUTE JAPAN KK/DAINIPPON SUMITOMO PHARMA CO LTD-STRATEGIC
ALLIANCE</t>
  </si>
  <si>
    <t xml:space="preserve">Retina Institute Japan KK (Retina) and Dainippon Sumitomo Pharma Co Ltd
(Dainippon) formed a strategic alliance to develop induced pluripotent stem
(iPS) cell technology as cure for age-related Macular Degeneration in and
outside Japan. Dainippon expects this alliance with Retina will contribute
to the establishment of its business base for cell therapy and regenerative
medicines in the future. Retina and Dainippon look forward to deliver
therapeutic measures to patients with refractory retinal disease, as early
as possible.</t>
  </si>
  <si>
    <t xml:space="preserve">3A0990
J10542</t>
  </si>
  <si>
    <t xml:space="preserve">Berk-Tek Inc
Leviton Manufacturing Co Inc</t>
  </si>
  <si>
    <t xml:space="preserve">Mnfr fiber optic cables
Mnfr nonferrous wire devices</t>
  </si>
  <si>
    <t xml:space="preserve">Berk-Tek Inc, located in New
Holland, Pennsylvania,
manufactures fiber optic and
UTP copper product lines to
serve the LAN, Data Center and
Security markets. The company
was established in May 1,
1961.
Leviton Manufacturing Co
Inc, located in Melville,
New York, manufactures
nonferrous wire devices,
building wire and cable,
electric plugs, fuses, caps,
connectors, sockets, diodes
and transistors. The Company
was founded in 1906.</t>
  </si>
  <si>
    <t xml:space="preserve">Nexans SA
Leviton Manufacturing Co Inc</t>
  </si>
  <si>
    <t xml:space="preserve">BERK-TEK INC/LEVITON MANUFACTURING CO INC-STRATEGIC ALLIANCE</t>
  </si>
  <si>
    <t xml:space="preserve">Berk-Tek Inc (Berk-Tek) and Leviton Manufacturing Co Inc (Leviton) formed a
strategic alliance, the Berk-Tek Leviton Technologies alliance, to develop
and manufacture premier copper and fiber solution to provide reliable and
high-performance networks. The alliance will also take part in the joint
sales and support for the products.</t>
  </si>
  <si>
    <t xml:space="preserve">084107
52742E</t>
  </si>
  <si>
    <t xml:space="preserve">BRNI
Neurotrope BioScience Inc</t>
  </si>
  <si>
    <t xml:space="preserve">Blanchette Rockefeller
Neurosciences Institute, is
anot for profit instituion
engage research and
development. The company is
focused on the study of both
memory and memory disorders.
It was founded in 1999.
Neurotrope BioScience Inc, is
a biotechnology company
headquartered in Plantation,
Florida. The company is
focused on the advancement of
novel therapeutic and
diagnostic technologies for
Alzheimers Disease.</t>
  </si>
  <si>
    <t xml:space="preserve">WV
FL</t>
  </si>
  <si>
    <t xml:space="preserve">BLANCHETTE ROCKEFELLER NEUROSCIENCES INSTITUTE{BRNI}/NEUROTROPE
BIOSCIENCE-STRATEGIC ALLIANCE</t>
  </si>
  <si>
    <t xml:space="preserve">The Blanchette Rockefeller Neuroscience Institute (BRNI) and Neurotrope
BioScience (Neurotrope) formed a strategic alliance to develop and
commercialize neurodegenerative disease products. The alliance will focus
on advancement of novel diagnostic and therapeutic technologies developed
at BRNI.</t>
  </si>
  <si>
    <t xml:space="preserve">3A4008
3A4009</t>
  </si>
  <si>
    <t xml:space="preserve">Isis Pharmaceuticals Inc
Roche Holdings AG</t>
  </si>
  <si>
    <t xml:space="preserve">Isis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</si>
  <si>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ISIS PHARMACEUTICALS INC/ROCHE HOLDING AG</t>
  </si>
  <si>
    <t xml:space="preserve">Isis Pharmaceuticals Inc (Isis) and Roche Holding AG (Roche) formed a
strategic alliance to develop treatments for Huntington's disease based on
Isis' antisense oligobucleotide(ASO) technology.</t>
  </si>
  <si>
    <t xml:space="preserve">464330
77119M</t>
  </si>
  <si>
    <t xml:space="preserve">inVentiv Health Inc
Bell Medical Solutions Inc</t>
  </si>
  <si>
    <t xml:space="preserve">Pvd sales,marketing services
Pvd research,dvlp svcs</t>
  </si>
  <si>
    <t xml:space="preserve">inVentiv Health Inc, located
in Burlington, Massachusetts,
provides outsourced sales and
marketing services. The
Company offers market
research, data collection and
management, recruitment, and
training, clinical staffing,
clinical research and
statistical analysis, and
executive placement for the
global pharmaceutical, life
sciences and biotechnology
industries. It was founded in
1997.
Bell Medical Solutions Inc
is a provider of medical CRO
business and contact center
operation related to medical
filed. The company was
founded in March 2012 and is
located in Bunkyo-Ku Tokyo,
Japan.</t>
  </si>
  <si>
    <t xml:space="preserve">8742
8731</t>
  </si>
  <si>
    <t xml:space="preserve">Thomas H Lee Co
Bain Capital LLC</t>
  </si>
  <si>
    <t xml:space="preserve">INVENTIV HEALTH INC/BELL MEDICAL SOLUTIONS INC- STRATEGIC ALLIANCE</t>
  </si>
  <si>
    <t xml:space="preserve">Inventiv Health Inc (Inventiv) and Bell Medical Solutions Inc (Bell)
entered a strategic alliance to provide research and development services.
Under the agreement, the companies will introduce global contract research
organization (CRO) business projects.</t>
  </si>
  <si>
    <t xml:space="preserve">46122E
3A3731</t>
  </si>
  <si>
    <t xml:space="preserve">Ford Motor Co
General Motors Co</t>
  </si>
  <si>
    <t xml:space="preserve">Mnfr,whl auto,trucks,auto part
Automobile Manufacturing</t>
  </si>
  <si>
    <t xml:space="preserve">Ford Motor Co, located in
Dearborn, Michigan,
manufactures and wholesales
automobiles, trucks,
automobile parts, industrial
trucks and tractors. The
company also provides
auto-financing services. It
was founded in 1903.
General Motors Co designs,
builds and sells trucks,
crossovers, cars and
automobile parts worldwide.
The Company also provides
automotive financing
services through General
Motors Financial Company,
Inc. (GM Financial). GM
North America (GMNA) and GM
International (GMI) are its
automotive segments. GMNA
and GMI are meeting the
demands of customers with
vehicles developed,
manufactured and/or marketed
under the Buick, Cadillac,
Chevrolet and GMC and Holden
brands. Its brands offer
luxury cars, crossovers,
sport utility vehicles
(SUVs) and sedans. The
Companys Car-and
Ride-Sharing Maven is a
shared vehicle marketplace.
Through its subsidiary,
OnStar, LLC (OnStar), it
provides connected safety,
security and mobility
solutions for retail and
fleet customers. GM Cruise
is its global segment
engaged in the development
and commercialization of
autonomous vehicle
technology. It is also a
holding company. The Company
was founded in September
1908 and is located in
Detroit, Michigan.</t>
  </si>
  <si>
    <t xml:space="preserve">FORD MOTOR CO/GENERAL MOTORS CO-STRATEGIC ALLIANCE</t>
  </si>
  <si>
    <t xml:space="preserve">Ford Motor Co (Ford) and General Motors Co (GM) formed a strategic alliance
for the development of next generation nine-speed and 10-speed
transmissions.</t>
  </si>
  <si>
    <t xml:space="preserve">345370
37045V</t>
  </si>
  <si>
    <t xml:space="preserve">Pfenex Inc
Agila Biotech Pvt Ltd</t>
  </si>
  <si>
    <t xml:space="preserve">The company develops
biotherapeutics and vaccines
to address critical human
health issues from infectious
diseases and oncology. The
Company's product pipeline
contains biosimilar proteins;
biodefense molecules; and
novel vaccine antigens to
address existing diseases. It
was founded in 2009. Pfnex Inc
San Diego, California operates
as a protein production
company.
Agila Biotech Pvt Ltd, is a
biotechnology company.</t>
  </si>
  <si>
    <t xml:space="preserve">Pfenex Inc
Strides Arcolab Ltd</t>
  </si>
  <si>
    <t xml:space="preserve">AGILA BIOTECH PVT LTD/PFENEX INC -JOINT VENTURE</t>
  </si>
  <si>
    <t xml:space="preserve">Agila Biotech Pvt Ltd (Agila), a unit of Strides Arcolab and Pfenex Inc
(Pfenex), a unit of the Dow Chemical Co formed a strategic alliance to
develop, manufacture and commercialize six biosimilar products worldwide.
The lead product for the joint venture is Interferon beta-1b, a biosimilar
to Betaseron(R), indicated for relapsing-remitting and
secondary-progressive forms of multiple sclerosis, commencing human
clinical trials by Q4 2013. Pfenex will be responsible for the development
of an optimized production strain, process and analytical package for each
product, while Agila Biotech will be responsible for pre-clinical and Phase
1 development, as well as cGMP manufacturing. Agila will hold a 51%
interest in the JV with Pfenex holding the remaining 49% stake.</t>
  </si>
  <si>
    <t xml:space="preserve">717071
3A4172</t>
  </si>
  <si>
    <t xml:space="preserve">Santaris Pharma A/S
Bristol-Myers Squibb Co</t>
  </si>
  <si>
    <t xml:space="preserve">Santaris Pharma A/S, located
in Horsholm, Denmark, is a
biotechnology company focused
on developing designer drugs
for targeted therapy. It
manufactures oligonucleotide
drugs based on its
proprietary, 3rd generation
RNA analogue, Locked Nucleic
Acid (LNA). The company was
founded in 2003.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</si>
  <si>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SANTARIS PHARMA A/S/BRISTOL-MYERS SQUIBB CO-STRATEGIC ALLIANCE</t>
  </si>
  <si>
    <t xml:space="preserve">Santaris Pharma A/S (Santaris) and Bristol-Myers Squibb Co (Bristol-Myers)
formed a strategic alliance to develop novel medicines using Santaris'
proprietary Locked Nucleic Acid (LNA) Drug Platform. Under the alliance,
Santaris is entitled to receive upfront payment of USD 10 mil up to USD 90
mil in milestone payments and royalties.</t>
  </si>
  <si>
    <t xml:space="preserve">Santaris is entitled to receive upfront payment of USD 10 mil up to USD 90
mil in milestone payments and royalties.</t>
  </si>
  <si>
    <t xml:space="preserve">80284V
110122</t>
  </si>
  <si>
    <t xml:space="preserve">Nordic Feed Innovation Oy
Intellectual Ventures LLC</t>
  </si>
  <si>
    <t xml:space="preserve">Produce,whl foodstuffs
Invest co</t>
  </si>
  <si>
    <t xml:space="preserve">Nordic Feed Innovation Oy,
produces and wholesale animal
feeds.
Intellectual Ventures LLC is
an investment company,
headquartered in Bellevue,
Washington. The company is
focused exclusively on
inventing and investing in
invention. The company was
founded in 2000.</t>
  </si>
  <si>
    <t xml:space="preserve">2048
6799</t>
  </si>
  <si>
    <t xml:space="preserve">Raisio Oyj
Intellectual Ventures LLC</t>
  </si>
  <si>
    <t xml:space="preserve">2079
6799</t>
  </si>
  <si>
    <t xml:space="preserve">NORDIC FEED INNOVATION OY/INTELLECTUAL VENTURES LLC -JOINT VENTURE</t>
  </si>
  <si>
    <t xml:space="preserve">Nordic Feed Innovation Oy (Nordic Feed) and Intellectual Ventures LLC (IV)
agreed to form a joint venture named Benemilk Oy to develop and strengthen
the intellectual property portfolio related to the Benemilk invention, a
cattle feed supplement that improves milk production, and to commercialise
the invention for global markets. Nordic Feed will hold a 75% interest in
the JV with IV holding the remaining 25% stake.</t>
  </si>
  <si>
    <t xml:space="preserve">3A4181
46801M</t>
  </si>
  <si>
    <t xml:space="preserve">SK Biopharma
Sk Chem Co Ltd</t>
  </si>
  <si>
    <t xml:space="preserve">Biotechnology company
Mnfr chemicals</t>
  </si>
  <si>
    <t xml:space="preserve">SK Biopharmaceuticals Co Ltd
is a biotechnology company
headquartered in Gyeonggido,
South Korea. The Company is
involved in the manufacture
of medicinal compounds and
antibiotics. The Company
also offers research and
development services,
analytical method
development and validation;
process validation and
qualification; DMF filing
and others. The Company was
founded in 2011.
SK Chemicals Co Ltd, located
in Seongnam, South Korea, is
a Korea-based company mainly
engaged in the manufacture
and wholesale of chemicals.
The Company operates in four
business divisions: green
chemicals, life science, gas
and other business
divisions. Its green
chemicals business division
provides polyethylene
terephthalate glycol (PETG)
resins, carbon fibers,
polyester binders, water
treatment chemicals,
biodiesels, polyethylene
terephthalate (PET) resins
and others. Its life science
business division provides
products for improving the
blood circulation, vaccines
and blood preparations, as
well as distributes medical
equipment. Its gas business
division imports, stores and
distributes liquefied
petroleum gas (LPG). Its
other business division
provides electronic medical
record (EMR) and other
information technology (IT)
solutions for hospitals,
pharmacies and others. It
was founded in 1969.</t>
  </si>
  <si>
    <t xml:space="preserve">SK C&amp;C Co Ltd
Sk Chem Co Ltd</t>
  </si>
  <si>
    <t xml:space="preserve">7376
2899</t>
  </si>
  <si>
    <t xml:space="preserve">SK BIOPHARMACEUTICALS/SK CHEMICALS CO LTD-STRATEGIC ALLIANCE</t>
  </si>
  <si>
    <t xml:space="preserve">SK Biopharmaceuticals (SK Biopharmaceuticals) and SK Chemicals Co Ltd (SK
Chemicals) formed a strategic alliance to develop novel small molecule
YKP10811. The said molecule is a treatment for irritable bowel syndrome
with constipation (IBS-C). SK Chemicals was to conduct clinical phase
trials 2 and 3 within Korea. SK Biopharmaceuticals was to develop YKP10811
in the rest of the world for all applicable indications. The expected
launch of the molecule is on 2018.</t>
  </si>
  <si>
    <t xml:space="preserve">3A1085
Y80661</t>
  </si>
  <si>
    <t xml:space="preserve">ARCA biopharma Inc
Medtronic Inc</t>
  </si>
  <si>
    <t xml:space="preserve">Biopharm co
Manufacture, wholesale medical, surgical devices</t>
  </si>
  <si>
    <t xml:space="preserve">ARXA biopharma Inc, located in
Broomfield, Colorado, is a
biopharmaceutical company
developing
genetically-targeted therapies
for heart failure and other
cardiovascular diseases. The
companys lead product is
bucindolol, a next-generation
beta-blocker and vasodilator
with unique pharmacology, in
development for heart failure
and other indications. The
company was founded in 2005.
Medtronic Inc, located in
Minneapolis, Minnesota,
manufactures and wholesales
medical and surgical
devices. Its products
include neurostimulation
systems, drug delivery
systems, neurosurgical
implant devices, surgical
access products, diagnostic
and therapeutic systems for
chronic pain, neurological,
urologic, and
gastrointestinal disorders,
coronary stents, stent
grafts, angioplasty
balloons, guiding catheters,
guide wires and surgical
instruments for treating
ear, nose, throat and eye
disorders and diseases. It
markets its products in 120
nations. The company was
founded in 1949.</t>
  </si>
  <si>
    <t xml:space="preserve">CO
MN</t>
  </si>
  <si>
    <t xml:space="preserve">ARCA Biopharma Inc
Medtronic Inc</t>
  </si>
  <si>
    <t xml:space="preserve">ARCA BIOPHARMA INC /MEDTRONIC INC-STRATEGIC ALLIANCE</t>
  </si>
  <si>
    <t xml:space="preserve">ARCA biopharma Inc (ARCA) and Medtronic Inc (Medtronic) formed a strategic
alliance to conduct clinical trial for ARCA's Gencaro, the
biopharmaceutical company's lead developmental drug for the prevention of
atrial fibrillation.</t>
  </si>
  <si>
    <t xml:space="preserve">5F5782
585055</t>
  </si>
  <si>
    <t xml:space="preserve">Sigma Labs Inc
Undisclosed JV Partner</t>
  </si>
  <si>
    <t xml:space="preserve">Mnfr process control equip
Investment company</t>
  </si>
  <si>
    <t xml:space="preserve">Sigma Labs Inc, based in Santa
Fe, New Mexico, develops and
engineers advanced,
in-process, non-destructive
quality inspection systems of
3D printing for commercial
firms. It offers PrintRite3D,
an integrated and interactive
system, which provides
inspection, feedback, data
collection and critical
analysis. Its services include
3D metal printing and process
engineering. The Company was
founded in 2005.
Investment company</t>
  </si>
  <si>
    <t xml:space="preserve">2759
6799</t>
  </si>
  <si>
    <t xml:space="preserve">NM
FF</t>
  </si>
  <si>
    <t xml:space="preserve">SIGMA LABS INC/UNDISCLOSED STRATEGIC ALLIANCE PARTNER-STRATEGIC ALLIANCE</t>
  </si>
  <si>
    <t xml:space="preserve">Sigma Labs Inc (Sigma) and an undisclosed Fortune 100 aerospace
manufacturer (UFM) agreed to form a strategic alliance to develop and
commercialize Sigma's PrintRite 3D(TM). The PrintRite 3D device is used in
making metal parts directly from powders using a laser to print in 3D. The
alliance was to begin the next phase in demonstration of the capabilities
of Sigma's PrintRite 3D(TM) for additive manufacturing of metal parts.</t>
  </si>
  <si>
    <t xml:space="preserve">826598
904JVP</t>
  </si>
  <si>
    <t xml:space="preserve">Viradux Research Ltd
Benalli Assays Ltd</t>
  </si>
  <si>
    <t xml:space="preserve">Pvd medical solutions
Biotechnology company</t>
  </si>
  <si>
    <t xml:space="preserve">Viradux Research Ltd, located
in Australia, provides
treatments to HSV1 and HSV2 as
well as other herpetic viral
infections and related
conditions. The company's
products multi-faceted
solution to HSV2 (typically
genital) infections in the
form of an anti-herpetic
topical treatment called
Viradux-AU(TM). This solution
has also been shown to reduce
symptoms, speed healing and
prevent future outbreaks in
people with moderate to severe
HSV2 infections.
Benalli Assays Ltd, is a
biotechnology company
headquartered in Beijing,
China. The company provides
rapid diagnostic testing
solution, cell-based virology
assays and molecular
diagnostic solutions.</t>
  </si>
  <si>
    <t xml:space="preserve">VIRADUX RESEARCH LTD/BENALLI ASSAYS LTD-STRATEGIC ALLIANCE</t>
  </si>
  <si>
    <t xml:space="preserve">Viradux Research Ltd (Viradux) and Benalli Assays Ltd (Benalli) formed a
strategic alliance to expand and market testing platforms developed at the
university of Beijing, in association with the Wuhan Institute of Virology,
the company has recently expanded its portfolio of patents to include a new
assay for the differentiation and detection of herpes simplex viruses 1 and
2 (HSV 1+2).</t>
  </si>
  <si>
    <t xml:space="preserve">3A6109
3A6108</t>
  </si>
  <si>
    <t xml:space="preserve">Merck &amp; Co Inc
Pfizer Inc</t>
  </si>
  <si>
    <t xml:space="preserve">Manufactures and wholesales pharmaceuticals
Manufacture,wholesale pharmaceuticals</t>
  </si>
  <si>
    <t xml:space="preserve">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</si>
  <si>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MERCK &amp; CO INC/PFIZER INC-STRATEGIC ALLIANCE</t>
  </si>
  <si>
    <t xml:space="preserve">Merck &amp; Co Inc (Merck) and Pfizer Inc (Pfizer) formed a strategic alliance
for the global development and commercialization of Pfizer's ertugliflozin,
a potential treatment for Type 2 diabetes. The alliance will focus on the
clinical development and commercialization of ertugliflozin and
ertugliflozin-containing fixed-dose combinations with metformin and Januvia
tablets.</t>
  </si>
  <si>
    <t xml:space="preserve">58933Y
717081</t>
  </si>
  <si>
    <t xml:space="preserve">Soligenix Inc
Intrexon Corp</t>
  </si>
  <si>
    <t xml:space="preserve">Soligenix Inc, based in
Princeton, New Jersey, is a
biopharmaceutical company
developing products to treat
life-threatening side
effects of cancer treatments
and serious gastrointestinal
diseases and vaccines for
certain bioterrorism agents.
Its lead product, orBec
(oral beclomethasone
dipropionate or BDP), is a
potent, locally acting
corticosteroid being
developed for the treatment
of acute gastrointestinal
Graft-versus-Host disease
(GI GVHD), a common and
potentially life-threatening
complication of allogeneic
hematopoietic cell
transplantation (HCT). The
Company was founded in 1987.
Intrexon Corp, located in
Germantown, Maryland is a
biotechnology research and
development company. The
company is focused on
bio-molecular tools that
enable researchers to
modulate and report the
activity of protein-protein
interactions in
pre-determined subcellular
locations. It is also
involved in using DNA
technology as natural
control modality for
biological therapeutics. It
has facilities in Maryland,
North Carolina, California.
It was founded in 1998.</t>
  </si>
  <si>
    <t xml:space="preserve">SOLIGENIX INC/INTREXON CORP-STRATEGIC ALLIANCE</t>
  </si>
  <si>
    <t xml:space="preserve">Soligenix Inc (Soligenix) and Intrexon Corp (Intrexon) formed a strategic
alliance to develop a tretament for Melioidosis. The alliance will engage
in the development and commercilization of human monoclonal antibody
therapies for new biodefense and infectious disease applications for
Melioidosis using Intrexon's advanced human antibody discovery, isolation
and production technologies.Intrexon will provide discovery and development
of therapeutic antibody candidates, as well as optimize and expand
production of human monoclonal antibodies targeting Melioidosis by applying
its proprietary platforms and technologies. Soligenix will undertake
preclinical and clinical development, regulatory and government
interactions, as well as the commercialization of therapeutic products.</t>
  </si>
  <si>
    <t xml:space="preserve">834223
46122T</t>
  </si>
  <si>
    <t xml:space="preserve">Tauriga Sciences Inc
Constellation Diagnostics Inc</t>
  </si>
  <si>
    <t xml:space="preserve">Tauriga Sciences Inc, located
in Danbury, Connecticut, is a
biotechnology company focused
on generating profitable
revenues through license
agreements and the development
of a proprietary technology
platform in the nano-robotics
space. It is engaged in the
acquisition of licenses,
equity stakes, rights in
exclusive and non-exclusive
basis, and entire businesses.
The company was founded in
2001.
Constellation Diagnostics Inc,
is a biotechnology company
headquartered in Cambridge,
Massachusetts. The company
develops novel, imaging-based
diagnostic technology for use
in predictive and preventative
oncology. The technology is
focused on early and
comprehensive diagnoses for
prevention of certain skin
cancers.</t>
  </si>
  <si>
    <t xml:space="preserve">TAURIGA SCIENCES INC/CONSTELLATION DIAGNOSTICS INC-JOINT VENTURE</t>
  </si>
  <si>
    <t xml:space="preserve">Tauriga Sciences Inc (Tauriga) and Constellation Diagnostics Inc
(Constellation) signed a memorandum of understanding to form a joint
venture for the development and commercialization of a novel, imaging-based
diagnostic technology for use in predictive and preventative oncology used
on early and comprehensive diagnoses for prevention of certain skin
cancers.</t>
  </si>
  <si>
    <t xml:space="preserve">87669X
3A6712</t>
  </si>
  <si>
    <t xml:space="preserve">Cannabis Technologies Inc
Field of View Technologies LLC</t>
  </si>
  <si>
    <t xml:space="preserve">Mnfr,whl medical marijuana
Mnfr cannabis delivery sys</t>
  </si>
  <si>
    <t xml:space="preserve">Cannabis Technologies Inc,
located in California,
manufactures and wholesales
medical marijuana.
Field of View Technologies
LLC, located in Los Angeles,
California, manufactures
cannabinoid delivery systems.</t>
  </si>
  <si>
    <t xml:space="preserve">2833
3841</t>
  </si>
  <si>
    <t xml:space="preserve">Neutra Corp
Field of View Technologies LLC</t>
  </si>
  <si>
    <t xml:space="preserve">CANNABIS TECHNOLOGIES INC/FIELD OF VIEW TECHNOLOGIES LLC-JOINT VENTURE</t>
  </si>
  <si>
    <t xml:space="preserve">Undisclosed Cannabis Delivery
Systems Joint Venture, based
in Delaware, United States,
develops and manufactures
cannabis delivery systems. The
products of the company
deliver therapeutic effects of
medical marijuana without
dangers and/or restrictions.</t>
  </si>
  <si>
    <t xml:space="preserve">Cannabis Technologies Inc (Cannabis), a unit of Neutra Corp, and Field of
View Technologies LLC (Field of View) formed a joint venture to develop and
manufacture cannabis delivery systems. The Undisclosed Cannabis Delivery
Systems Joint Venture allows Neutra Corp to market these systems which are
medical marijuana alternatives.</t>
  </si>
  <si>
    <t xml:space="preserve">4A4102</t>
  </si>
  <si>
    <t xml:space="preserve">4A2546
4A2549</t>
  </si>
  <si>
    <t xml:space="preserve">Transgenomic Inc
Amgen Inc</t>
  </si>
  <si>
    <t xml:space="preserve">Transgenomic Inc, located in
Omaha, Nebraska, is a
biotechnology company
specializing in high
sensitivity genetic
variation and mutation
analysis, providing products
and services in DNA mutation
detection and discovery for
clinical research, clinical
molecular diagnostics and
pharmacogenomics analyses.
It has offices located in
the UK and Italy. The
Company was founded in 1997.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</si>
  <si>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NE
CA</t>
  </si>
  <si>
    <t xml:space="preserve">TRANSGENOMIC INC/AMGEN INC-STRATEGIC ALLIANCE</t>
  </si>
  <si>
    <t xml:space="preserve">Transgenomic Inc (Transgenomic) and Amgen Inc (Amgen) formed a strategic
alliance to develop a CE-IVD test. This testing device will screen patients
with metastatic colorectal cancer (mCRC) for RAS mutations (KRAS and
NRAS).</t>
  </si>
  <si>
    <t xml:space="preserve">89365K
031162</t>
  </si>
  <si>
    <t xml:space="preserve">PTT Global Chemical PCL
Myriant Corp</t>
  </si>
  <si>
    <t xml:space="preserve">All Other Miscellaneous Chemical Product and Preparation Manufacturing
Biotechnology co</t>
  </si>
  <si>
    <t xml:space="preserve">PTT Global Chemical PCL is a
manufacturer and wholesaler
of petrochemical products
and byproducts. Its core
products are ethylene and
propylene, which are
collectively called olefins.
The Company has ten (10)
other offices in Thailand.
The Group also offers
chemical and
petrochemical-related
services like jetty and
buffer tank farm and its
liquid chemical storage and
transport facilities, built
to serve downstream
petrochemical firms. It is
also a holding company. The
Company was founded in
October 2011 and is located
in Bangkok, Thailand.
Myriant Technologies LLC,
located in Quincy,
Massachusetts, is a
biotechnology company focused
on the development,
manufacturing and
commercialization of next
generation biorefineries for
the production of high-value
bio-based chemicals and fuels
from renewable feedstock
through the use of its
proprietary biocatalyst
technology. The company was
founded in 2004.</t>
  </si>
  <si>
    <t xml:space="preserve">Thailand
United States</t>
  </si>
  <si>
    <t xml:space="preserve">PTT GLOBAL CHEMICAL PUBLIC CO LTD/MYRIANT CORP-JOINT VENTURE</t>
  </si>
  <si>
    <t xml:space="preserve">Auria Biochemicals Co Ltd
provides research and
development services. The
company is headquartered in
Thailand.</t>
  </si>
  <si>
    <t xml:space="preserve">PTT Global Chemical Public Co Ltd (PTTGC) and Myriant Corp (Myriant) formed
a joint venture, Auria Biochemicals Co Ltd to conduct research and
development based bio-based chemicals. PTTGC holds 54% stake in the company
while Myriant hold the remaining 46%.</t>
  </si>
  <si>
    <t xml:space="preserve">3A8194</t>
  </si>
  <si>
    <t xml:space="preserve">Y7150W
62732C</t>
  </si>
  <si>
    <t xml:space="preserve">Cara Therapeutics Inc
Maruishi Pharmaceutical Co Ltd</t>
  </si>
  <si>
    <t xml:space="preserve">Biotechnology company
Manufacturer, retail pharmaceutical</t>
  </si>
  <si>
    <t xml:space="preserve">Cara Therapeutics Inc,
headquartered in Shelton,
Connecticut, is a
biopharmaceutical company
focused on developing and
commercializing new chemical
entities designed to
alleviate pain by
selectively targeting kappa
opioid receptors. Its most
advanced product candidate
is the intravenous, or I.V.
CR845. The company was
founded in 2004.
Maruishi Pharmaceutical Co
Ltd, headquartered in Osaka,
Japan, is engaged in the
manufacture and retail of
pharmaceuticals. It was
founded in 1936.</t>
  </si>
  <si>
    <t xml:space="preserve">CARA THERAPEUTICS INC/MARUISHI PHARMACEUTICAL CO LTD-STRATEGIC ALLIANCE</t>
  </si>
  <si>
    <t xml:space="preserve">Cara Therapeutics Inc (Cara) and Maruishi Pharmaceutical Co Ltd (Maruishi)
formed a strategic alliance under which Maruishi was granted license to
develop, manufacture and commercialize Cara's lead analgesic drug
candidate, CR845, for acute pain and uremic pruritus in Japan.</t>
  </si>
  <si>
    <t xml:space="preserve">140755
57398M</t>
  </si>
  <si>
    <t xml:space="preserve">Tianjin Kingyork Group Co Ltd
Vectura Group PLC
Zendex Bio Strategy Inc</t>
  </si>
  <si>
    <t xml:space="preserve">Pharmaceutical Preparation Manufacturing
Manufacture pharmaceuticals
Private equity firm</t>
  </si>
  <si>
    <t xml:space="preserve">Tianjin Kingyork Group Co
Ltd is a manufacturer of
pharmaceutical preparation.
The Company was founded in
November 2001 and is located
in Tianjin, China.
Vectura Group PLC, located in
Chippenham, the United
Kingdom, is a manufacturer of
pharmaceuticals. The Company
manufactures prescription
pharmaceuticals intended for
final consumption for the
treatment of lung diseases.
The Company was founded in
1997.
Zendex Bio Strategy Inc, is a
private equity firm. The
company is headquartered in
Hong Kong.</t>
  </si>
  <si>
    <t xml:space="preserve">2834
2834
6799</t>
  </si>
  <si>
    <t xml:space="preserve">China
United Kingdom
Hong Kong</t>
  </si>
  <si>
    <t xml:space="preserve">TIANJIN KINGYORK GROUP CO LTD/VECTURA GROUP PLC/ZENDEX BIO STRATEGY
INC-JOINT VENTURE</t>
  </si>
  <si>
    <t xml:space="preserve">Tianjin Kinnovata
Pharmaceutical Co Ltd, located
in China, develop, manufacture
and commercialize respiratory
products. It was founded in
May 13, 2013.</t>
  </si>
  <si>
    <t xml:space="preserve">Tianjin King York Group Co Ltd (Tianjin King), Vectura Group Plc (Vectura)
and Zendex Bio Strategy Inc (Zendex) formed a joint venture named Tianjin
Kinnovata Pharmaceutical Co Ltd to develop, manufacture and commercialize
respiratory products. Tianjin King will hold a 50% interest in the JV with
Vectura holding 35% and Zendex the remaining 15% stake.</t>
  </si>
  <si>
    <t xml:space="preserve">Manufacturing Services
Research &amp; Development Services
Services (NEC)</t>
  </si>
  <si>
    <t xml:space="preserve">50.00
35.00
15.00</t>
  </si>
  <si>
    <t xml:space="preserve">3A9056</t>
  </si>
  <si>
    <t xml:space="preserve">90974T
92305M
3A9054</t>
  </si>
  <si>
    <t xml:space="preserve">AbbVie Inc
Alvine Pharmaceuticals Inc</t>
  </si>
  <si>
    <t xml:space="preserve">Manufactures and wholesales pharmaceutical products
Mnfr pharm</t>
  </si>
  <si>
    <t xml:space="preserve">AbbVie Inc, located in North
Chicago, Illinois,
manufactures and wholesales
pharmaceutical products. Its
products are focused on
treating conditions such as
chronic autoimmune diseases
in rheumatology,
gastroenterology and
dermatology; oncology,
including blood cancers;
virology, including
hepatitis C virus (HCV) and
human immunodeficiency virus
(HIV); neurological
disorders, such as
Parkinson's disease;
metabolic diseases,
including thyroid disease
and complications associated
with cystic fibrosis; pain
associated with
endometriosis; and other
serious health conditions.
Its brands include HUMIRA,
Kaltera, Lupron, Synagis,
Androgel, Zemplar,
Synthroid, Creon, TriCor,
Trilipix, Simcor, Niaspan
and among others. The
Company was founded in
10, 2012.
January 2013.
Alvine Pharmaceuticals Inc, is
a pharmaceutical manufacturing
firm, headquartered in San
Carlos, California. The
company is focused on the
development and
commercialization of
therapeutics for
autoimmune/gastrointestinal
diseases. Its products include
ALV003, a pipeline lead drug
candidate for celiac disease;
Transglutaminase 2 (TG2), a
multifunctional protein with
enzymatic, cell signaling, and
cell adhesion activities to
the pathogenesis of a variety
of diseases, including celiac
disease; and neurological
disorders, including
Huntingtons Disease, type 2
diabetes, liver cirrhosis and
fibrosis, renal scarring,
vascular remodeling, and
cancers; and HLA-DQ2 blockers,
a class II heterodimer of HLA
(human leukocyte antigen).</t>
  </si>
  <si>
    <t xml:space="preserve">ABBVIE INC/ALVINE PHARMACEUTICALS INC-STRATEGIC ALLIANCE</t>
  </si>
  <si>
    <t xml:space="preserve">AbbVie Inc (AbbVie) and Alvine Pharmaceuticals Inc (Alvine) formed a
strategic alliance to develop a novel oral treatment for patients with
celiac disease. Under the agreement, AbbVie will make an initial upfront
payment of $70 million for an exclusive option to either acquire the assets
relating to ALV003, or the equity of the company. Alvine is responsible for
the Phase 2 clinical development. Alvine will also be entitled to receive a
milestone payment upon AbbVies initiation of Phase 3 development.</t>
  </si>
  <si>
    <t xml:space="preserve">00287Y
3A8635</t>
  </si>
  <si>
    <t xml:space="preserve">Venn Life Sciences Plc
Cellulac Ltd
Biopharmed West Ltd</t>
  </si>
  <si>
    <t xml:space="preserve">Provide clinical research svcs
Pvd research,dvlp svcs
Mnfr medical device</t>
  </si>
  <si>
    <t xml:space="preserve">Venn Life Sciences Holdings
PLC, located in Dublin,
Ireland, provides clinical
research and development
services to pharmaceutical,
biotechnology and medical
device clients. The company
specializes in the management
and execution of phase II to
IV clinical trials, as well as
the monitoring of phase I
clinical trials.
Cellulac Ltd, provides
research and development
services. The company is
headquartered in Galway,
Ireland. It is focused on
creating a new paradigm in
green chemical manufacturing.
It employs patent protected
micro-organisms and a patent
protected proprietary process
for the manufacture of a broad
array of high-value
biochemicals and is in the
process of initiating the
first straw to lactic acid
commercial venture in the
world.
Biopharmed West Ltd, develops
and manufactures medical
device.</t>
  </si>
  <si>
    <t xml:space="preserve">8731
8731
3845</t>
  </si>
  <si>
    <t xml:space="preserve">Ireland-Rep
Ireland-Rep
Ireland-Rep</t>
  </si>
  <si>
    <t xml:space="preserve">VENN LIFE SCIENCES PLC/CELLULAC LTD/BIOPHARMED WEST LTD-JOINT VENTURE</t>
  </si>
  <si>
    <t xml:space="preserve">Ireland-Rep</t>
  </si>
  <si>
    <t xml:space="preserve">Cellulac Ltd (Cellulac), Venn Life Sciences PLC (Venn Life) and Biopharmed
West Ltd (Biopharmed) formed a joint venture to develop the implants from
early-stage processing of raw materials to clinical trials, with the aim of
having them approved for use in operating theatres.</t>
  </si>
  <si>
    <t xml:space="preserve">0A7043
3A9836
3A9838</t>
  </si>
  <si>
    <t xml:space="preserve">SQI Diagnostics Inc
Undisclosed JV Partner</t>
  </si>
  <si>
    <t xml:space="preserve">Mnfr,dvlp medical sys prod
Investment company</t>
  </si>
  <si>
    <t xml:space="preserve">SQI Diagnostics Inc, located
in Toronto, Ontario, is a
manufacturer and developer
of medical system products.
It is focused on developing
and launching an automated,
multiplex immunoassay
platform. The Company was
founded in 1999.
Investment company</t>
  </si>
  <si>
    <t xml:space="preserve">3826
6799</t>
  </si>
  <si>
    <t xml:space="preserve">SQI DIAGNOSTICS INC/UNDISCLOSED JOINT VENTURE PARTNER-STRATEGIC ALLIANCE</t>
  </si>
  <si>
    <t xml:space="preserve">SQI Diagnostics Inc and Undisclosed Joint Venture Partner extended their
strategic alliance to develop a custom multiplex test to support the
pharmaceutical companys clinical drug development activities.</t>
  </si>
  <si>
    <t xml:space="preserve">78466B
904JVP</t>
  </si>
  <si>
    <t xml:space="preserve">Meilink BV
Deufol SE</t>
  </si>
  <si>
    <t xml:space="preserve">Mnfr wooden containers
Provide logistics services</t>
  </si>
  <si>
    <t xml:space="preserve">Meilink BV, located in
Borculo, Netherlands, is a
manufacturer of wooden and
fibreboard container, its
offers custom-made packaging
and export packing services.
Deufol SE, located in Hofheim
Wallau, Germany, provides
logistics services such as
packaging for transport and
storage focused on the
automotive, chemical, health
care, air freight, consumer
products and machinery sector.
The Company is also a holding
company and was founded in
1979.</t>
  </si>
  <si>
    <t xml:space="preserve">2441
4213</t>
  </si>
  <si>
    <t xml:space="preserve">DEUFOL SE/MEILINK BV-JOINT VENTURE</t>
  </si>
  <si>
    <t xml:space="preserve">Deufol SE (Deufol) and Meilink BV (Meilink) agreed to form a joint venture
to for the development and and use of each other"s IT systems and
innovative packaging solutions. Under the alliance, Deufol"s unique IT and
software solutions providing customers state of the art Supply Chain
Monitoring Systems combined with standardized crate engineering and special
crate production for heavyweight goods packing are now combined with
Meilink"s vast know-how in clean-room packaging technologies, alternative
corrugated and high-tech packaging solutions as well as project freight
forwarding and handling.</t>
  </si>
  <si>
    <t xml:space="preserve">58671N
2A7776</t>
  </si>
  <si>
    <t xml:space="preserve">Amgen Inc
Astellas Pharma Inc</t>
  </si>
  <si>
    <t xml:space="preserve">Manufacture human therapeutics
Mnfr,whl pharm</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</si>
  <si>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Astellas Pharma Inc,
headquartered Tokyo, Japan,
is mainly engaged in the
pharmaceutical business. The
Company is involved in the
manufacture and sale of
pharmaceutical products in
Japan, the United States,
Europe, China, Korea and
Taiwan,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chronic hepatitis C,
irritable bowel syndrome,
osteoporosis, hypertension,
schizophrenia, rheumatoid
arthritis, agrypnia, atopic
dermatitis and other
diseases. The company was
founded in 1923.</t>
  </si>
  <si>
    <t xml:space="preserve">AMGEN INC/ASTELLAS PHARMA INC-STRATEGIC ALLIANCE</t>
  </si>
  <si>
    <t xml:space="preserve">Amgen Inc (Amgen) and Astellas Pharma Inc (Astellas) formed a strategic
alliance to develop and commercialize five (5) Amgen medicines in Japan.
The alliance was to develop four (4) biologics and one (1) small molecule.
The said medicines are focused on treatment of cardiovascular and bone
diseases, and also cancer. The alliance allows early to late stages of
development of the pipeline medicines. The alliance expects the initial
commercial launch by 2016.</t>
  </si>
  <si>
    <t xml:space="preserve">031162
J03393</t>
  </si>
  <si>
    <t xml:space="preserve">Alethia BioTherapeutics Inc
Interntl Biotech Cntr Generium</t>
  </si>
  <si>
    <t xml:space="preserve">Alethia BioTherapeutics Inc,
located in Montreal, Quebec,
is a biotechnology company
engaged in the discovery and
development of innovative
therapeutics to treat cancer.
It was founded in September
2002.
International Biotechnology
Center "Generium" is a
biotechnology company
headquartered in Petushinski,
Russia. The company is focused
on development of drugs for
the treatment of oncology,
cardiovascular, hereditary,
neurodegenerative &amp; infectious
diseases.</t>
  </si>
  <si>
    <t xml:space="preserve">Canada
Russian Fed</t>
  </si>
  <si>
    <t xml:space="preserve">ALETHIA BIOTHERAPEUTICS INC/INTERNATIONAL BIOTECH CENTER GENERIUM-STRATEGIC
ALLIANCE</t>
  </si>
  <si>
    <t xml:space="preserve">Alethia BioTherapeutics Inc (Alethia) and International Biotech Center
Generium (Generium) formed a strategic alliance for the development
AB-16B5, a mAB inhibitor of epithelial-to-mesenchymal transition (EMT).
Alethia will receive an upfront cash payment and R&amp;D funding to conduct the
initial clinical study in Canada. Generium has been granted the right to an
exclusive license for Russia and the CIS states for which development
milestones and royalties would be payable to Alethia.</t>
  </si>
  <si>
    <t xml:space="preserve">01469Q
4A3034</t>
  </si>
  <si>
    <t xml:space="preserve">ViewSonic Mobile China Ltd
Hanwang Technology Co Ltd</t>
  </si>
  <si>
    <t xml:space="preserve">Mnfr visual display products
Software Publishers</t>
  </si>
  <si>
    <t xml:space="preserve">ViewSonic Mobile China Ltd,
based in China, manufactures
visual display products for
mobile phones.
Hanwang Technology Co Ltd is
a software publisher. The
Company was founded in 1998
and is located in Beijing,
China.</t>
  </si>
  <si>
    <t xml:space="preserve">3679
7372</t>
  </si>
  <si>
    <t xml:space="preserve">ViewSonic Corp
Hanwang Technology Co Ltd</t>
  </si>
  <si>
    <t xml:space="preserve">VIEWSONIC MOBILE CHINA LTD/HANWANG TECHNOLOGY CO LTD-JOINT VENTURE</t>
  </si>
  <si>
    <t xml:space="preserve">ViewSonic Mobile China Ltd (ViewSonic), a unit of ViewSonic Corp's
ViewSonic China Ltd, and Hanwang Technology Co Ltd (Hanwang) planned to
form a joint venture in Shenzhen, China to provide research and development
services for touch control liquid crystal display (LCD) products. The joint
venture was to be named Shenzhen ViewSonic Hanwang Touch Control Technology
Co Ltd. ViewSonic was to own 65% interest in the joint venture. The
remaining 35% stake was to be held by Hanwang with an investment CNY 8.75
mil.</t>
  </si>
  <si>
    <t xml:space="preserve">65.00
35.00</t>
  </si>
  <si>
    <t xml:space="preserve">4A1061
Y30661</t>
  </si>
  <si>
    <t xml:space="preserve">AMGEN INC/ASTELLAS PHARMA INC-JOINT VENTURE</t>
  </si>
  <si>
    <t xml:space="preserve">Amgen Inc (Amgen) and Astellas Pharma Inc (Astellas) planned to form a
joint venture to develop and commercialize five (5) Amgen medicines in
Japan. The joint venture is in line with the alliance formed by Amgen and
Astellas which is to develop four (4) biologics and one (1) small molecule.
The joint venture was to be named Amgen Astellas BioPharma KK. The
operations of the joint venture were to be on October 01, 2013. The joint
venture was to be a wholly owned affiliate of Amgen by year 2020. The
general manager for the joint venture was to be Eiichi Takahashi.</t>
  </si>
  <si>
    <t xml:space="preserve">Telefonica SA
Banco Santander SA
CaixaBank SA</t>
  </si>
  <si>
    <t xml:space="preserve">Wired Telecommunications Carriers
Provide banking,financial svcs
Commercial Banking</t>
  </si>
  <si>
    <t xml:space="preserve">Telefonica SA, located in
Madrid, Spain, provides
telecommunications services
including fixed and mobile
telephony, broadband
communications, domestic and
international telephone
operations, integrated
business communications and
high-speed data transmission.
The Company is present in
Europe, Africa and South
America and was founded on
April 19, 1924.
Banco Santander SA,
headquartered in Boadilla del
Monte, Spain, provides
commercial banking and
financial services to
individuals, companies, and
institutions. The company's
products for the individual
customers include banking,
investment management, and
mortgage. It also offers
private banking services like
tax planning and investment
advice. It offers a range of
corporate services in the
areas of financing, management
of financial risks, mergers &amp;
acquisitions, stock market
flotations, analysis,
securities depository,
treasury management and
custody services. its
operations are in Continental
Europe, where the main
institutions are Santander,
Banesto, Banif, Santander
Consumer Finance and Santander
Totta. The company was founded
in 1857.
CaixaBank SA is a commercial
bank. The Company was
founded in December 1980 and
is located in Barcelona,
Spain.</t>
  </si>
  <si>
    <t xml:space="preserve">4813
6000
6000</t>
  </si>
  <si>
    <t xml:space="preserve">Spain
Spain
Spain</t>
  </si>
  <si>
    <t xml:space="preserve">Telefonica SA
Banco Santander SA
La Caixa</t>
  </si>
  <si>
    <t xml:space="preserve">TELEFONICA SA/CAIXABANK SA/BANCO SANTANDER SA-JOINT VENTURE</t>
  </si>
  <si>
    <t xml:space="preserve">Telefonica SA (Telefonica), CaixaBank SA (CaixaBank) and Banco Santander SA
(Santander) planned to form a joint venture to develop online community
though which merchants will offer discounts to consumers as well as a
digital wallet to use for store and online purchases and for person to
person mobile payments. The transaction was subject to approval of European
Union.</t>
  </si>
  <si>
    <t xml:space="preserve">879382
05964H
5J3282</t>
  </si>
  <si>
    <t xml:space="preserve">Wasabi Energy Ltd
Augut Clean Energy Pty Ltd</t>
  </si>
  <si>
    <t xml:space="preserve">Provides investment services
Investment company</t>
  </si>
  <si>
    <t xml:space="preserve">Wasabi Energy Ltd, located
in Melbourne, Australia,
provides investment
services. It focuses on
investments in energy and
resource-based ventures.
Augut Clean Energy Pty Ltd is
an investment company, based
in Australia.</t>
  </si>
  <si>
    <t xml:space="preserve">WASABI ENERGY LTD/AUGUT CLEAN ENERGY PTY LTD{ACE}-JOINT VENTURE</t>
  </si>
  <si>
    <t xml:space="preserve">Wasabi Energy Ltd (Wasabi) and Augut Clean Energy Pty Ltd{ACE} agreed to
form a joint venture to provide technical and financial resources for the
continuing design and development of the Kalina Cycle(R) for the coal
industry. The JV will focus on coal fired power stations and the potential
for deployment of the Kalina Cycle(R) using the methane available at coal
mines.</t>
  </si>
  <si>
    <t xml:space="preserve">93676Y
4A1279</t>
  </si>
  <si>
    <t xml:space="preserve">NeuroVive Pharmaceutical AB
Isomerase Therapeutics Ltd</t>
  </si>
  <si>
    <t xml:space="preserve">NeuroVive Pharmaceutical AB
is a biotechnology company
engaged in mitochondrial
medicine. The Company was
founded in 2000 and is
located in Lund, Sweden. Its
primary projects are
NeuroSTAT and KL1333.
NeuroSTAT aims to prevent
moderate to severe traumatic
brain injury, while KL1333
aims to treat genetic
mitochondrial disease.
NeuroSTAT is in clinical
phase II and KL1333 is in
clinical phase I. The
Company possesses the
research and development
(R&amp;D) portfolio, which
consists of several late
stage research programs in
such areas as genetic
mitochondrial disorders,
cancer and metabolic
diseases, among others. In
R&amp;D work the Company
partners with Skane
University Hospital in
Sweden, Copenhagen
University Hospital in
Denmark, University of
Pennsylvania in the United
States, as well as with a
range of contract research
organizations.
Isomerase Therapeutics Ltd,
based in Cambridge, United
Kingdom, is a biotechnology
company. The company is
primarily engaged in the
discovery and development of
optimized microbial natural
products.</t>
  </si>
  <si>
    <t xml:space="preserve">NeuroVive Pharmaceutical AB
enherent Corp</t>
  </si>
  <si>
    <t xml:space="preserve">2836
7371</t>
  </si>
  <si>
    <t xml:space="preserve">NEUROVIVE PHARMACEUTICAL AB/ISOMERASE THERAPEUTICS LTD-STRATEGIC ALLIANCE</t>
  </si>
  <si>
    <t xml:space="preserve">NeuroVive Pharmaceutical AB (NeuroVive), a publicly traded unit of Maas
Biolab LLC, and Isomerase Therapeutics Ltd (Isomerase) formed a strategic
alliance to develop cyclophilin inhibitors to therapeutics. The alliance
was to be developed for various indications. Isomerase was to contribute
its technology and expertise enables discovery and development of microbial
natural products.</t>
  </si>
  <si>
    <t xml:space="preserve">W5943E
4A5848</t>
  </si>
  <si>
    <t xml:space="preserve">Viratech Corp
Nanobeak Inc</t>
  </si>
  <si>
    <t xml:space="preserve">Pvd ent prodn svcs
Pvd chemical svcs</t>
  </si>
  <si>
    <t xml:space="preserve">Viratech Corp, headquartered
in Stockton, California,
provides diversified
entertainment production
services focused primarily in
producing highly original
television series and
independent films. The Company
is also an investment firm in
other entertainment fields.
Nanobeak Inc, located in
California, provides carbon
based chemical sensing for gas
and organic vapor detection.
The company was founded in
2009.</t>
  </si>
  <si>
    <t xml:space="preserve">7812
2869</t>
  </si>
  <si>
    <t xml:space="preserve">Independent Film Development
MSGI Security Solutions Inc</t>
  </si>
  <si>
    <t xml:space="preserve">6799
7376</t>
  </si>
  <si>
    <t xml:space="preserve">VIRATECH CORP/NANOBEAK INC-JOINT VENTURE</t>
  </si>
  <si>
    <t xml:space="preserve">Viratech Corp (Viratech) and Nanobeak Inc (Nanobeak) planned to form a
joint venture to further develop NASA device to detect Volatile Organic
Compounds (VOC's) in breath tests that can be associated with infectious
diseases.</t>
  </si>
  <si>
    <t xml:space="preserve">927647
4A5203</t>
  </si>
  <si>
    <t xml:space="preserve">Quest Diagnostics Inc
Hologic Inc</t>
  </si>
  <si>
    <t xml:space="preserve">Provides diagnostic testing svcs
Navigational, Measuring, Electromedical, and Control Instruments Manufacturing</t>
  </si>
  <si>
    <t xml:space="preserve">Quest Diagnostics Inc,
located in Madison, New
Jersey, provides routine and
esoteric clinical laboratory
testing services used by
physicians and medical
professionals in the
detection, diagnosis,
evaluation, monitoring and
treatment of diseases and
other medical conditions. It
offers blood tests,
healthcare screening tests,
gene-based testing provides
clinical testing including
gene-based and other
esoteric testing, anatomic
pathology services,
including dermatopathology
and testing for
drugs-of-abuse, and risk
assessment services for the
life insurance industry. It
also provides testing for
clinical trials. The Company
was founded in 1967.
Hologic Inc, located in
Bedford, Massachusetts,
manufactures and wholesales
diagnostic products, medical
imaging systems and surgical
products for the healthcare
needs of women. Its core
business units are focused
on breast health,
diagnostics, GYN surgical,
and skeletal health. Its
products are used for
mammography and breast
biopsy, radiation treatment
for early-stage breast
cancer, cervical cancer
screening, treatment for
menorrhagia, permanent
contraception, osteoporosis
assessment, preterm birth
risk assessment, mini C-arm
for extremity imaging and
molecular diagnostic
products including HPV and
reagents for a variety of
DNA and RNA analysis
applications. The Company
was founded in 1985.
was founded in 1985.</t>
  </si>
  <si>
    <t xml:space="preserve">8071
3845</t>
  </si>
  <si>
    <t xml:space="preserve">QUEST DIAGNOSTICS INC/HOLOGIC INC-STRATEGIC ALLIANCE</t>
  </si>
  <si>
    <t xml:space="preserve">Quest Diagnostics Inc (Quest) and Hologic Inc (Hologic) formed a strategic
alliance to develop and promote advanced diagnostic solutions.</t>
  </si>
  <si>
    <t xml:space="preserve">74834L
436440</t>
  </si>
  <si>
    <t xml:space="preserve">Boehringer Ingelheim GmbH
State Biotech Pharm Inds Base</t>
  </si>
  <si>
    <t xml:space="preserve">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State Biotech Pharmaceutical
Industrial Base(Shanghai),
based in Shanghai, China, is a
biotechnology company. The
company is also known as
Zhangjiang Biotech &amp;
Pharmaceutical Base
Development Co, and Shanghai
Zhangjiang Bio-Pharmaceutical
Base Development Co Ltd. The
company was founded in 1994.</t>
  </si>
  <si>
    <t xml:space="preserve">CH Boehringer Sohn AG &amp; Co KG
State Biotech Pharm Inds Base</t>
  </si>
  <si>
    <t xml:space="preserve">BOEHRINGER INGELHEIM GMBH/STATE BIOTECH PHARMACEUTICAL INDUSTRIAL
BASE(SHANGHAI)-JOINT VENTURE</t>
  </si>
  <si>
    <t xml:space="preserve">Boehringer Ingelheim GmbH (Boehringer), a unit of CH Boehringer Sohn AG &amp;
Co KG, and Shanghai Zhangjiang Biotech &amp; Pharmaceutical Base Development Co
(SZB) agreed to form a joint venture in Pudong New Area, Shanghai, China to
own and operate a cyclic guanosine monophosphate (cGMP) biopharmaceutical
company. The joint venture was to use mammalian cell culture technology.
The joint venture was to include technical process development. The
operations of the joint venture were to be ready by early 2016. The joint
venture was to serve Chinese and multi-national customers. Boehringer was
to invest EUR 35 mil (USD 46.351 mil). SZB was to invest CNY 24.45 mil (USD
3.985 mil) and was to provide land and factory during the initial phase of
the joint venture. The joint venture was to create an estimated 65 job
opportunities.</t>
  </si>
  <si>
    <t xml:space="preserve">Boehringer was to invest EUR 35 mil (USD 46.351 mil). SZB was to invest CNY
24.45 mil (USD 3.985 mil) and was to provide land and factory during the
initial phase of the joint venture.</t>
  </si>
  <si>
    <t xml:space="preserve">09710W
4A3014</t>
  </si>
  <si>
    <t xml:space="preserve">Algeta ASA
Avipep Pty Ltd</t>
  </si>
  <si>
    <t xml:space="preserve">Manufacture,whl pharmaceuticals
Pvd research,dvlp svcs</t>
  </si>
  <si>
    <t xml:space="preserve">Algeta ASA, headquartered in
Oslo, Norway, manufactures and
wholesales pharmaceuticals. It
is a therapeutics company
specializing in nuclear
medicine and oncology. The
company develops anticancer
therapeutics based on alpha
particle emitting radionuclide
and therapeutic candidates, as
well as technologies targeting
metastasis and disseminated
tumors that provide potency
without toxicities.
Avipep Pty Ltd provides
research and development
services for the treatment of
cancer. The company is
headquartered in Australia.
The company was founded in
2005.</t>
  </si>
  <si>
    <t xml:space="preserve">Norway
Australia</t>
  </si>
  <si>
    <t xml:space="preserve">Algeta ASA
CSIRO</t>
  </si>
  <si>
    <t xml:space="preserve">ALGETA ASA /AVIPEP PTY LTD-STRATEGIC ALLIANCE</t>
  </si>
  <si>
    <t xml:space="preserve">Algeta ASA (Algeta) and Avipep Pty Ltd planned to form a strategic alliance
to research and develop a cancer medicine based on thorium.</t>
  </si>
  <si>
    <t xml:space="preserve">01558L
4A3297</t>
  </si>
  <si>
    <t xml:space="preserve">Nano Labs Corp
CIBNOR</t>
  </si>
  <si>
    <t xml:space="preserve">Wholesale,retail tile
Pvd research,dvlp svcs</t>
  </si>
  <si>
    <t xml:space="preserve">Nano Labs Corp, located in
Detroit, Michigan is a tile
supplier. It sells a variety
of products including ceramic
and porcelain tile, natural
stone, glass, metal accents,
hardwood flooring, rubber and
leather flooring, and
engineered counter surfaces.
It also offers installation
and design services. The
company is founded in 1995.
Centro de Investigaciones
Biologicas del Noroeste S C
provides research and
development services. The
company is headquartered in
Baja California Sur, Mexico.
The company was founded in
1975.</t>
  </si>
  <si>
    <t xml:space="preserve">3281
8731</t>
  </si>
  <si>
    <t xml:space="preserve">Nano Labs Corp
Mexico</t>
  </si>
  <si>
    <t xml:space="preserve">3281
999A</t>
  </si>
  <si>
    <t xml:space="preserve">NANO LABS CORP/CENTRO DE INVESTIGACIONES BIOLOGICAS DEL NOROESTE S
C(CIBNOR)-JOINT VENTURE</t>
  </si>
  <si>
    <t xml:space="preserve">Nano Labs Corp (Nano) and Centro de investigaciones Biologicas del Noroeste
sc (CIBNOR) planned to form a joint venture for the development of an
immune modulator prevention of White Spot Shrimp Virus.</t>
  </si>
  <si>
    <t xml:space="preserve">63009Q
4A3802</t>
  </si>
  <si>
    <t xml:space="preserve">MPI Research Inc
Invicro Llc
3D Imaging LLC</t>
  </si>
  <si>
    <t xml:space="preserve">Pvd preclinical research svcs
Pvd preclinical research
Pvd preclinical research svcs</t>
  </si>
  <si>
    <t xml:space="preserve">MPI Research Inc, located in
Mattawa, Michigan, provides
pre-clinical research
services to the
pharmaceutical, biotech,
chemical, and related
industries in advancing
their drug development
programs, from early proof
of concept testing to
regulatory submissions. It
provides testing services in
the field of general
toxicology,
bioanalytical/analytical
sciences,
pharmacology,/neurobehavioral
sciences, surgery, DMPK,
infusion toxicology,
developmental and
reproductive toxicology,
targeted discovery research,
immunology, pathology
services, and molecular
imaging. The Company was
founded in 1995.
Invicro Llc is a provider of
social sciences research and
development services. The
Company was founded in 2008
and is located in Boston,
Massachusetts.
3D Imaging LLC, located in
Maumelle, Arkansas, provides
preclinical research services
for the design and development
of radiopharmaceuticals.</t>
  </si>
  <si>
    <t xml:space="preserve">MI
MA
AR</t>
  </si>
  <si>
    <t xml:space="preserve">MPI RESEARCH INC/INVICRO LLC/3D IMAGING LLC-STRATEGIC ALLIANCE</t>
  </si>
  <si>
    <t xml:space="preserve">MPI Research Inc (MPI) , INVICRO LLC (INVICRO) and 3D Imaging LLC (3D)
announced to form a strategic alliance to provide molecular imaging,
radiochemistry, and informatics to accelerate drug discovery and
development.</t>
  </si>
  <si>
    <t xml:space="preserve">55562F
4A6675
4A6678</t>
  </si>
  <si>
    <t xml:space="preserve">Rosneft Oil Co
Exxon Mobil Corp</t>
  </si>
  <si>
    <t xml:space="preserve">Oil,gas exploration,production company
Oil &amp; gas exploration and production company</t>
  </si>
  <si>
    <t xml:space="preserve">Rosneft Oil Co, located in
Moscow, the Russian
Federation, is an oil and
gas exploration and
production company. It also
wholesales crude oil, gas,
and petroleum products. The
Company was founded in 1993.
Exxon Mobil Corp is engaged
in the exploration and
production of crude oil and
natural gas, manufacturing
of petroleum products, and
transportation and sale of
crude oil, natural gas and
petroleum products. The
Company also manufactures
and markets petrochemicals,
including olefins,
aromatics, polyethylene and
polypropylene plastics, and
various specialty products.
The Company operates through
the upstream, downstream,
chemical, and corporate and
financing segments. The
upstream segment operates to
explore for and produce
crude oil and natural gas.
The downstream segment
operates to manufacture and
sell petroleum products. The
chemical segment operates to
manufacture and sell
petrochemicals. The
Company's projects include
the Kearl project,
Heidelberg project, the
Point Thomson project, the
Hadrian South project, the
Lucius project, the Barzan
project, the Arkutun-Dagi
project, and the Upper Zakum
750 project, among others.
The Company was founded on
30 November 1999 and is
located in Irving, Texas.</t>
  </si>
  <si>
    <t xml:space="preserve">1311
2911</t>
  </si>
  <si>
    <t xml:space="preserve">Rosneftegaz AO
Exxon Mobil Corp</t>
  </si>
  <si>
    <t xml:space="preserve">OAO "NEFTYANAYA KOMPANIYA ROSNEFT'" /EXXON MOBIL CORP-JOINT VENTURE</t>
  </si>
  <si>
    <t xml:space="preserve">Arctic Research and Design
Center for Continental Shelf
Development provides research
and development services. The
company is headquartered in
Russia. The company provides a
full range of research,
development and technical
services, with near-term focus
on the Kara Sea.</t>
  </si>
  <si>
    <t xml:space="preserve">OAO "Neftyanaya Kompaniya Rosneft'" (Rosneft) and Exxon Mobil Corp (Exxon)
formed a joint venture named Arctic Research and Design Center for
Continental Shelf Development (JV) to provide the Rosneft and ExxonMobil
joint ventures a full range of research, development and technical
services, with near-term focus on the Kara Sea. Exxon will invest USD 200
mil in the JV and later both companies will fund the next USD250 mil
equally in the joint research effort to continue their work.</t>
  </si>
  <si>
    <t xml:space="preserve">66.60
33.30</t>
  </si>
  <si>
    <t xml:space="preserve">Exxon will invest USD 200 mil in the JV and later both companies will fund
the next USD250 mil equally in the joint research effort to continue their
work.</t>
  </si>
  <si>
    <t xml:space="preserve">4A3594</t>
  </si>
  <si>
    <t xml:space="preserve">77815J
30231G</t>
  </si>
  <si>
    <t xml:space="preserve">Zealand Pharma A/S
DE Shaw Research</t>
  </si>
  <si>
    <t xml:space="preserve">Biological Product (Except Diagnostic) Manufacturing
Pvd research,dvlp svcs</t>
  </si>
  <si>
    <t xml:space="preserve">Zealand Pharma A/S is a
biopharmaceutical company
engaged in the discovery,
development and
commercialization of
peptide-based medicines. The
Company was founded in
October 1998 and is located
in Soborg, Denmark. The
Company''s pipeline
comprises two implementation
areas: Cardio-metabolic
diseases and Other
indications.The
Cardio-metabolic diseases
area includes medicines for
diabetes and obesity
treatment, such as Lyxumia
(Lixisenatide),
Lyxumia/Lantus, ZP2929 and
Danegaptide. The Other
indications area offers
ZP1848, Elsiglutide and
ZP1480 (ABT-719) drugs for
inflammatory bowel disease,
chemotherapy-induced
diarrhea and acute kidney
injury treatment.
DE Shaw Research, provides
research and development
services. The company is
headquartered in New York, New
York. It is focused on
scientific research in the
field of computational
biochemistry, which includes
design of novel algorithms and
machine architectures for
high-speed molecular dynamics
(MD) simulations of proteins
and other biological
macromolecules and the use of
long MD simulations to study
the structural changes
underlying biological
phenomena that occur on time
scales far in excess of those
previously accessible to
computational study, with the
ultimate aim of significantly
advancing the process of drug
development.</t>
  </si>
  <si>
    <t xml:space="preserve">ZEALAND PHARMA A/S/DE SHAW RESEARCH-STRATEGIC ALLIANCE</t>
  </si>
  <si>
    <t xml:space="preserve">Zealand Pharma A/S (Zealand) and DE Shaw Research (DE) formed a strategic
alliance for the research and development of peptide-based medicines with
enhanced selectivity, potency, and efficacy.</t>
  </si>
  <si>
    <t xml:space="preserve">99018J
4A5821</t>
  </si>
  <si>
    <t xml:space="preserve">Kitasato Daiichi Sankyo Co Ltd
JICA</t>
  </si>
  <si>
    <t xml:space="preserve">Dvlp,mnfr,distribute vaccines
National agency</t>
  </si>
  <si>
    <t xml:space="preserve">Kitasato Daiichi Sankyo
Vaccine Co Ltd, based in
Kitamoto, Japan, develops,
manufactures and distributes
vaccines. The company was
founded on April 2011.
Japan International
Cooperation Agency (JICA),
headquartered in Tokyo, Japan,
is an Independent
Administrative Institution.
The Group's principal activity
is to contribute to the
promotion of international
cooperation as well as the
sound development of Japanese
and global economy by
supporting the socioeconomic
development, recovery of
economic stability of
developing regions. It was
founded on August 2003.</t>
  </si>
  <si>
    <t xml:space="preserve">2836
9611</t>
  </si>
  <si>
    <t xml:space="preserve">Daiichi Sankyo Co Ltd
Japan</t>
  </si>
  <si>
    <t xml:space="preserve">KITASATO DAIICHI SANKYO VACCINE CO LTD/JAPAN INTERNATIONAL COOPERATION
AGENCY{JICA}-STRATEGIC ALLIANCE</t>
  </si>
  <si>
    <t xml:space="preserve">Kitasato Daiichi Sankyo Vaccine Co Ltd (Kitasato Vaccine), a unit of
Daiichi Sankyo Co Ltd and Japan International Cooperation Agency{JICA}
formed a strategic alliance to develop measles-rubella combined vaccine in
Vietnam. Under the alliance, Kitasato Vaccine and JICA were to set up a
cyclic guanosine monophosphate (cGMP) compliant measles-rubella by the
combined vaccine production system of Daiichi Sankyo's rubella vaccine
production technology and the existing measles vaccine production
technology of Production of Vaccines and Biologicals (POLYVAC).</t>
  </si>
  <si>
    <t xml:space="preserve">4A5699
47124Z</t>
  </si>
  <si>
    <t xml:space="preserve">Genmab A/S
ADC Therapeutics SA</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</si>
  <si>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ADC Therapeutics SA, located
in Epalinges, Switzerland, is
a biotechnology company. The
Company specializes in the
development of proprietary
Antibody Drug Conjugates
(ADCs) targeting major cancers
such as breast, lung,
prostate, renal and blood. The
Company's ADCs are highly
targeted drug constructs which
combine monoclonal antibodies
specific to particular types
of tumor cells with a novel
class of highly potent
pyrrolobenzodiazepine
(PBD)-based warheads. It was
founded in 2011.</t>
  </si>
  <si>
    <t xml:space="preserve">GENMAB A/S/ADC THERAPEUTICS SARL-STRATEGIC ALLIANCE</t>
  </si>
  <si>
    <t xml:space="preserve">Genmab A/S (Genmab) and ADC Therapeutics Sarl (ADC) formed a strategic
alliance for the development of a new antibody-drug conjugate (ADC)
product. This new product will combine Genmab's HuMax-TAC antibody and
ADC's PBD-based warhead and linker technology.</t>
  </si>
  <si>
    <t xml:space="preserve">K3967W
H0036K</t>
  </si>
  <si>
    <t xml:space="preserve">Sichuan Changhong Elec Co Ltd
China Telecommunications Corp
University of Electn Science</t>
  </si>
  <si>
    <t xml:space="preserve">Mnfr,whl electrical appl
Telecommunications Resellers
Own,op college,university</t>
  </si>
  <si>
    <t xml:space="preserve">Sichuan Changhong Electric
Co Ltd is a manufacturer of
audio and video equipment.
The Company was founded in
Jan 1958 and is located in
Mianyang, China.
China Telecommunications
Corp is a telecommunications
reseller. The Company was
founded in April 1995 and is
located in Beijing, China.
The University of Electronic
Science &amp; Technology of China,
located in Sichuan, China,
owns and operates college and
university. It was founded in
1956.</t>
  </si>
  <si>
    <t xml:space="preserve">3651
4812
8221</t>
  </si>
  <si>
    <t xml:space="preserve">Sichuan Changhong Elec Co Ltd
China Telecommunications Corp
Peoples Republic of China</t>
  </si>
  <si>
    <t xml:space="preserve">3651
4812
999A</t>
  </si>
  <si>
    <t xml:space="preserve">SICHUAN CHANGHONG ELECTRIC CO LTD/CHINA TELECOMMUNICATIONS CORP{CHINA
TELECOM}/UNIVERSITY OF ELECTRONIC SCIENCE &amp; TECHNOLOGY-JV</t>
  </si>
  <si>
    <t xml:space="preserve">Sichuan Changhong Electric Co Ltd (Sichuan Changhong), China
Telecommunications Corp{China Telecom} and University of Electronic Science
&amp; Technology of China (University) planned to form a joint venture to focus
on digital home industry technology research. Sichuan Changhong will invest
RMB 1 mil (USD 163,1777) to hold a 50% interest in the JV. China Telecom
will invest RMB 600,000 (97,906) for a 30% stake and the University will
invest RMB 400,000 (USD65,270) for a 20% stake.</t>
  </si>
  <si>
    <t xml:space="preserve">50.00
30.00
20.00</t>
  </si>
  <si>
    <t xml:space="preserve">Sichuan Changhong will invest RMB 1 mil (USD 163,1777) to hold a 50%
interest in the JV. China Telecom will invest RMB 600,000 (97,906) for a
30% stake and the University will invest RMB 400,000 (USD65,270) for a 20%
stake.</t>
  </si>
  <si>
    <t xml:space="preserve">82580J
16910Y
28506H</t>
  </si>
  <si>
    <t xml:space="preserve">Calysta Energy Inc
NatureWorks LLC</t>
  </si>
  <si>
    <t xml:space="preserve">Biotechnology company
Mnfr polymers</t>
  </si>
  <si>
    <t xml:space="preserve">Calysta Energy Inc is a
biotechnology company
headquartered in Menlo Park,
California . The companys
brands include biological
gas-to-liquids (BioGTL),
biological gas-to-chemicals
(BioGTC).
NatureWorks LLC, located in
Minnetonka, Minnesota,
manufactures commercially
available polymers, marketed
under the NatureWorks polymer
and Ingeo fibers brand names.</t>
  </si>
  <si>
    <t xml:space="preserve">Calysta Energy Inc
PTT Global Chemical PCL</t>
  </si>
  <si>
    <t xml:space="preserve">United States
Thailand</t>
  </si>
  <si>
    <t xml:space="preserve">CALYSTA ENERGY INC/NATUREWORKS LLC-STRATEGIC ALLIANCE</t>
  </si>
  <si>
    <t xml:space="preserve">Calysta Energy Inc (Calysta) and Natureworks LLC (Natureworks) formed a
strategic alliance to provide research and development project aiming
feedstock diversification using methane, a potent greenhouse gas into
lactic acid.</t>
  </si>
  <si>
    <t xml:space="preserve">4A9240
63923L</t>
  </si>
  <si>
    <t xml:space="preserve">Siemens VAI Metals
Lanzatech NZ Ltd</t>
  </si>
  <si>
    <t xml:space="preserve">Manufacture steel,iron products
Mnfr chemical intermediates</t>
  </si>
  <si>
    <t xml:space="preserve">Siemens VAI Metals
Technologies GmbH , located in
Linz, Austria, manufactures
steel and iron products.
Lanzatech NZ Ltd,
headquartered in Auckland,
New Zealand, manufactures
carbon transport fuels and
chemical intermediates by
recycling carbon from
industrial off-gases, syngas
from biomass resource, and
reformed biogas. The company
has offices in China and in
USA. The company was founded
in 2005.</t>
  </si>
  <si>
    <t xml:space="preserve">3312
2869</t>
  </si>
  <si>
    <t xml:space="preserve">Austria
New Zealand</t>
  </si>
  <si>
    <t xml:space="preserve">Siemens AG
Lanzatech NZ Ltd</t>
  </si>
  <si>
    <t xml:space="preserve">Germany
New Zealand</t>
  </si>
  <si>
    <t xml:space="preserve">3663
2869</t>
  </si>
  <si>
    <t xml:space="preserve">SIEMENS VAI METALS TECHNOLOGIES GMBH &amp; CO/LANZATECH NZ LTD-STRATEGIC
ALLIANCE</t>
  </si>
  <si>
    <t xml:space="preserve">Siemens VAI Metals Technologies GmbH &amp; Co (Siemens VAI), a unit of Siemens
AG, and Lanzatech NZ Ltd (Lanzatech) formed a strategic alliance to develop
and market integrated environmental solutions for the steel industry. The
worldwide alliance was to have a period of ten (10) years. Lanzatech was to
provide the alliance with its fermentation technology which transforms
carbon rich off-gases generated by the steel industry into low carbon
bioethanol and other chemicals.</t>
  </si>
  <si>
    <t xml:space="preserve">82400E
51676E</t>
  </si>
  <si>
    <t xml:space="preserve">Protalix Biotherapeutics Inc
Fundacao Oswaldo Cruz</t>
  </si>
  <si>
    <t xml:space="preserve">Protalix Biotherapeutics
Inc, located in Karmiel,
Israel, is a
biopharmaceutical company
focused on the development
and commercialization of
recombinant therapeutic
proteins based on its
proprietary ProCellEx
protein expression system.
The company was founded in
1993.
Biotechnology company</t>
  </si>
  <si>
    <t xml:space="preserve">Israel
Brazil</t>
  </si>
  <si>
    <t xml:space="preserve">PROTALIX BIOTHERAPEUTICS INC/ FUNDACAO OSWALDO CRUZ-STRATEGIC ALLIANCE</t>
  </si>
  <si>
    <t xml:space="preserve">Protalix Biotherapeutics Inc and Fundacao Oswaldo Cruz agreed to form a
strategic alliance to supply and technology transfer of biotechnology
products for the development of UPLYSO.</t>
  </si>
  <si>
    <t xml:space="preserve">74365A
44999P</t>
  </si>
  <si>
    <t xml:space="preserve">Pfizer Pte Ltd
Glaxo Wellcome Mnfg Pte Ltd
Siemens Pte Ltd
ICES</t>
  </si>
  <si>
    <t xml:space="preserve">Biotechnology company
Mnfr, whl pharmaceuticals
Mnfr,whl electn prod,equipment
Pvd chem,engineering res svcs</t>
  </si>
  <si>
    <t xml:space="preserve">Pfizer Pte Ltd, based in
Singapore, is a biotechnology
company. The company
researches projects across
ultiple therapeutic areas of
cardiovascular, neurological
diseases, infectious diseases,
pain, metabolic diseases and
oncology sectors.
Glaxo Wellcome Manufacturing
Pte Ltd is a manufacturer of
pharmaceutical preparation.
The company is located in
Singapore, Singapore.
Siemens Pte Ltd, based in
Singapore, manufactures and
wholesales electronic products
and equipment. The company's
products include cordless
phones, electrical
installation systems, hearing
products, electromedical
equipment, lighting products
and others.
Institute of Chemical &amp;
Engineering Sciences{ICES},
based in Singapore, provides
chemical and engineering
research services. The company
operates laboratories, and
other facilities. The company
was founded, October 01, 2002.</t>
  </si>
  <si>
    <t xml:space="preserve">2836
2834
3663
8731</t>
  </si>
  <si>
    <t xml:space="preserve">Singapore
Singapore
Singapore
Singapore</t>
  </si>
  <si>
    <t xml:space="preserve">Pfizer Inc
GlaxoSmithKline PLC
Siemens AG
Singapore</t>
  </si>
  <si>
    <t xml:space="preserve">United States
United Kingdom
Germany
Singapore</t>
  </si>
  <si>
    <t xml:space="preserve">2834
2834
3663
999A</t>
  </si>
  <si>
    <t xml:space="preserve">PFIZER PTE LTD/GLAXO WELLCOME MANUFACTURING/SIEMENS PTE LTD/INSTITUTE OF
CHEMICAL &amp; ENGINEERING SCIENCES {ICES}-JOINT VENTURE</t>
  </si>
  <si>
    <t xml:space="preserve">Pfizer Pte Ltd (Pfizer), a unit of Pfizer Inc, Glaxo Wellcome Manufacturing
Pte Ltd (Glaxo Wellcome), a unit of Glaxosmithkline PLC, and Siemens Pte
Ltd (Siemens), a unit of Siemens AG, and Institute of Chemical &amp;
Engineering Sciences{ICES}, a unit of Agency for Science,Technology &amp;
Research{A*STAR} agreed to form a joint venture to provide research and
development services of pharmaceuticals. The joint venture was to be named
Innovative Processing of Specialties and Pharmaceuticals (iPSP). The joint
venture was to supervise production and processes to pass the drugs from
trials to the markets. The joint venture was to conduct researches which
are relevant to industries including process analytics, quality by design
and continuous manufacturing systems.</t>
  </si>
  <si>
    <t xml:space="preserve">4A7547
4A7550
4A7553
4A7564</t>
  </si>
  <si>
    <t xml:space="preserve">Alacrita LLP
Debiopharm International SA</t>
  </si>
  <si>
    <t xml:space="preserve">Provide consulting services
Manufacture biopharmaceuticals</t>
  </si>
  <si>
    <t xml:space="preserve">Alacrita LLP provides
consulting services to the
pharmaceutical, biotechnology
and life science sectors. The
company is headquartered in
London, United Kingdom with
another location in Cambridge,
Massachusetts. The company was
founded in 2009.
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t>
  </si>
  <si>
    <t xml:space="preserve">8748
2834</t>
  </si>
  <si>
    <t xml:space="preserve">ALACRITA LLP/DEBIOPHARM GROUP-STRATEGIC ALLIANCE</t>
  </si>
  <si>
    <t xml:space="preserve">Alacrita LLP ( Alacrita) and Debiopharm Group ( Debiopharm) formed a
strategic alliance to identify oncological, autoimmune, infectious diseases
and metabloci in-licensing stemming.</t>
  </si>
  <si>
    <t xml:space="preserve">7A5191
24275A</t>
  </si>
  <si>
    <t xml:space="preserve">InSite Vision Inc
Inspire Pharmaceuticals Inc</t>
  </si>
  <si>
    <t xml:space="preserve">InSite Vision Inc, located in
Almeda, California,
manufactures ophthalmic
products focused on the
therapies that treat ocular
infections, glaucoma and
ocular diseases. It develops
and facilitates market entry
for novel products that
preserve and improve vision.
The company was founded in
1987.
Inspire Pharmaceuticals Inc,
located in Raleigh, North
Carolina, manufactures and
wholesales ophthalmic
pharmaceutical products. The
companys products includes
AZASITE and ELESTAT. It was
founded in 1993.</t>
  </si>
  <si>
    <t xml:space="preserve">InSite Vision Inc
Merck &amp; Co Inc</t>
  </si>
  <si>
    <t xml:space="preserve">INSITE VISION INC/INSPIRE PHARMACEUTICALS INC</t>
  </si>
  <si>
    <t xml:space="preserve">InSite Vision Inc (InSite) and Inspire Pharmaceuticals Inc (Inspire) formed
a strategic alliance under which InSite obtained development rights for
zithromycin ophthalmic solution 2%, AzaSite Xtra, from Inspire. The
alliance will develop and engage in egulatory submission activities in the
US and Canada. Merck can opt to purchase AzaSite Xtra for a one-time
payment and sales-based royalties.</t>
  </si>
  <si>
    <t xml:space="preserve">457660
457733</t>
  </si>
  <si>
    <t xml:space="preserve">MedImmune Inc
NGM Biopharmaceuticals Inc</t>
  </si>
  <si>
    <t xml:space="preserve">Mnfr vaccine,pvd research svcs
Biotechnology company</t>
  </si>
  <si>
    <t xml:space="preserve">MedImmune Inc, located in
Gaithersburg, Maryland,
manufactures vaccines which
include Synagis (palivizumab),
Ethyol (amifostine), FluMist
(Influenza Virus Vaccine Live,
Intranasal), and CytoGam
(cytomegalovirus immune
globulin intravenous (human))
and with additional products
in clinical testing. It also
provides research and
development services to
discover, develop, manufacture
and market products that treat
or prevent infectious disease,
cancer and inflammatory
disease. The company was
founded in 1987.
NGM Biopharmaceuticals Inc is
a biotechnology company
headquartered in South San
Francisco, California. The
company is focused on the
discovery and development of
novel treatments for type 2
diabetes, obesity, muscle
wasting, and cardiovascular
disease. It was founded in
2008.</t>
  </si>
  <si>
    <t xml:space="preserve">AstraZeneca PLC
NGM Biopharmaceuticals Inc</t>
  </si>
  <si>
    <t xml:space="preserve">MEDIMMUNE INC/NGM BIOPHARMACEUTICALS INC-STRATEGIC ALLIANCE</t>
  </si>
  <si>
    <t xml:space="preserve">MedImmune Inc (MedImmune) and NGM Biopharmaceuticals Inc (NGM) formed a
strategic alliance for the development and marketing of treatments for type
2 diabetes and obesity. NGM will receive initial and milestone payments.</t>
  </si>
  <si>
    <t xml:space="preserve">584699
62921N</t>
  </si>
  <si>
    <t xml:space="preserve">GDF Suez SA
Somfy SA</t>
  </si>
  <si>
    <t xml:space="preserve">Provide electric services
Mnfr motors,automatic controls</t>
  </si>
  <si>
    <t xml:space="preserve">GDF Suez SA, located in
Paris, France, provides
electric services. The
Company provides energy and
environment services under
six business lines: Energy
France which generates and
supplies gas, electricity,
hydroelectric power, wind
power and provides allied
services such as maintenance
of boilers, Energy Europe
and International which
produces electric power and
distributessupplies gas and
electricity, as well as
imports liquefied natural
gas (LNG), Global Gas and
LNG is involved in the
exploration, production,
supply and trading oil,
natural gas and LNG,
Infrastructure which
operates and sells capacity,
manages transportation and
distribution networks,
operates LNG terminals and
gas storage facilities,
Energy Services provides
design and engineering as
well as installation,
operation and maintenance
services of electric nuclear
and gas plants, industrial
and related infrastructure,
and Environment which
operates in the treatment
and distribution of dinking
water, collection and
purification of industrial
water, development of waster
from purification collection
and treatment of waste and
recycling. It was founded in
2008.
Somfy SA, located in Cluses,
France, manufacturers motors
and automatics controls for
blinds, awnings and building
access points including
roller shutters systems,
safety and energy saving
devices, gate and garage
doorwindow openers, tubular
and central motors, and
residential controls.</t>
  </si>
  <si>
    <t xml:space="preserve">4911
3625</t>
  </si>
  <si>
    <t xml:space="preserve">GDF SUEZ SA/SOMFY SA-STRATEGIC ALLIANCE</t>
  </si>
  <si>
    <t xml:space="preserve">GDF Suez SA (GDF) and Somfy SA (Somfy) formed a strategic alliance to
develop new solutions of energy consumption management in housings. The
alliance will launch a joint technology platform.</t>
  </si>
  <si>
    <t xml:space="preserve">36160B
78462P</t>
  </si>
  <si>
    <t xml:space="preserve">DATATRAK International Inc
SAS Institute Inc</t>
  </si>
  <si>
    <t xml:space="preserve">Pvd clinical research solution
Pvd data mgmt software svcs</t>
  </si>
  <si>
    <t xml:space="preserve">DATATRAK International Inc,
located in Mayfield Heights,
Ohio, provides worldwide
application solutions,
offering multi-component
eClinical solutions and
related services for the
entire clinical trials
industry. Its product suite
has been utilized in some
aspect of the clinical
development of 14 separate
drugs that have received
regulatory approval from
either the United States Food
and Drug Administration (FDA)
or counterpart European
bodies. It has offices located
in Cleveland, Ohio; Bonn,
Germany; and Bryan, Texas. The
company was founded on July
17, 1991.
SAS Institute Inc, located in
Cary, North Carolina, provides
data management and analytical
software services. It offers
text mining capabilities
within its software and
launched a specific
text-mining product SAS Text
Miner in 2002. The company
serves aerospace, agriculture
and construction, automotive,
banking and financial
services, business services,
communications, computer
software, consulting and
systems integration, consumer
packaged goods, education,
energy and utilities,
government, healthcare
providers, health insurance,
hospitality and entertainment,
insurance, life sciences,
manufacturing, media,
transportation, and retail
industries. The company was
founded on 1976.</t>
  </si>
  <si>
    <t xml:space="preserve">OH
NC</t>
  </si>
  <si>
    <t xml:space="preserve">DATATRAK INTERNATIONAL INC/SAS INSTITUTE INC-STRATEGIC ALLIANCE</t>
  </si>
  <si>
    <t xml:space="preserve">Datatrak International Inc (Datatrak) and SAS Institute Inc (SAS) formed a
strategic alliance to provide drug development services. The alliance was
to provide SAS Drug Development as an extension of the Datatrak One
solution. The alliance allows Datatrak to bring the power of SAS Drug
Development to customers with our rapid integration capabilities.</t>
  </si>
  <si>
    <t xml:space="preserve">238134
78390C</t>
  </si>
  <si>
    <t xml:space="preserve">MorphoSys AG
Celgene Corp</t>
  </si>
  <si>
    <t xml:space="preserve">Mnfr biopharmaceutical prod
Manufacture,wholesale biopharmaceutical products</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</si>
  <si>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</si>
  <si>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MORPHOSYS AG/CELGENE CORP-STRATEGIC ALLIANCE</t>
  </si>
  <si>
    <t xml:space="preserve">MorphoSys AG (MorphoSys) and Celgene Corp (Celgene) formed a strategic
alliance for the development and promotion of MOR202. MOR202 is a fully
human monoclonal antibody targeting CD38 to treat patients with multiple
myeloma (MM) and certain leukemias. MorphoSys will receive an upfront
license fee of EUR 70.8 mil (USD 92 mil) and Celgene will invest EUR 46.2
million (USD 60 mil) to subscribe for new shares of MorphoSys AG.</t>
  </si>
  <si>
    <t xml:space="preserve">MorphoSys will receive an upfront license fee of EUR 70.8 mil USD 92 mil
and Celgene will invest EUR 46.2 million USD 60 mil to subscribe for new
shares of MorphoSys AG.</t>
  </si>
  <si>
    <t xml:space="preserve">617760
151020</t>
  </si>
  <si>
    <t xml:space="preserve">AstraZeneca AB
Karolinska Institute</t>
  </si>
  <si>
    <t xml:space="preserve">Manufacture pharmaceuticals
Provide research services</t>
  </si>
  <si>
    <t xml:space="preserve">AstraZeneca AB, located in
Sodertalje, Sweden,
manufactures prescription
pharmaceuticals intended for
final consumption, including
biotech products and
antibiotics. The company was
founded in 1999.
Karolinska Institutet,
located in Stockholm,
Sweden, is a university
which specializes in
medicine. The company was
founded in 1810.</t>
  </si>
  <si>
    <t xml:space="preserve">AstraZeneca PLC
Karolinska Institute</t>
  </si>
  <si>
    <t xml:space="preserve">ASTRAZENECA AB/KAROLINSKA INSTITUTET-JOINT VENTURE</t>
  </si>
  <si>
    <t xml:space="preserve">Astrazeneca AB (Astrazeneca) and Karolinska Institutet (Karolinska) planned
to form a joint venture Karolinska institutet/AstraZeneca integrated Cardio
Metabolic Centre, to provide research on cardiac regeneration, islet health
(Diabetes0 and Diabetic Nephropathy.</t>
  </si>
  <si>
    <t xml:space="preserve">04644K
48575T</t>
  </si>
  <si>
    <t xml:space="preserve">Pluristem Therapeutics Inc
Cha Bio&amp;Diostech Co Ltd</t>
  </si>
  <si>
    <t xml:space="preserve">Mnfr therapeutics
Pvd bio research svcs</t>
  </si>
  <si>
    <t xml:space="preserve">Pluristem Therapeutics Inc,
based in Haifa, Israel,
engages in the research,
development, and production of
placental-derived adherent
stromal cells. The Company
also involves in the
commercialization of
non-personalized cell therapy
products for the treatment of
various severe degenerative,
ischemic, and autoimmune
disorders. The Company was
founded on May 11, 2001.
Cha Bio&amp;Diostech Co Ltd,
headquartered in Seoul,
South Korea, is a company
mainly engaged in the
biotechnology research
services. The company
operates in two business
segments: bio segment and
optical segment. Its bio
segment engages in the
development of stem cell
therapies, which are used
for heart disease, brain
nervous system disease,
diabetes, liver disease and
others, provision of stem
cell storage services;
production of cosmetics and
cosmetic raw materials, as
well as distribution of
medical devices and others.
Its optical segment engages
in the manufacture of
optical lenses, optical
modules and other parts,
which are used in mobile
phones, close circuit
televisions (CCTVs), cameras
and others. The company was
founded on September 2009.</t>
  </si>
  <si>
    <t xml:space="preserve">Israel
South Korea</t>
  </si>
  <si>
    <t xml:space="preserve">PLURISTEM THERAPEUTICS INC/CHA BIO&amp;DIOSTECH CO LTD-JOINT VENTURE</t>
  </si>
  <si>
    <t xml:space="preserve">Pluristem Therapeutics Inc (Pluristem) and Cha Bio&amp;Diostech Co Ltd (Cha
Bio&amp;Diostech) signed agreement to form a joint venture to develop and
commercialize PLacental eXpanded (PLX) cells for the treatment of Critical
Limb Ischemia (CLI) and Intermediate Claudication (IC) in South Korea. Cha
Bio&amp;Diostech was to conduct and fund multiple peripheral artery disease
clinical trials with an investment of USD 10 mil for Pluristem. The joint
venture was to be under the supervision of Korea Food &amp; Drug Administration
(KFDA). Cha Bio&amp;Diostech was to shoulder the costs of conducting clinical
trials for the agreed upon indications. Pluristem was to continue to retain
rights to its manufacturing technology and cell-related intellectual
property. Pluristem was to be able to use the data generated by Cha
Bio&amp;Diostech to pursue the development of PLX product candidates outside of
South Korea. The transaction is subject to regulatory approvals. The joint
venture was to be completed by September 2013.</t>
  </si>
  <si>
    <t xml:space="preserve">72940R
15773T</t>
  </si>
  <si>
    <t xml:space="preserve">PPG Industries Inc
Argex Titanium Inc</t>
  </si>
  <si>
    <t xml:space="preserve">Manufactures coatings
Titanium,vanadium,iron mining</t>
  </si>
  <si>
    <t xml:space="preserve">PPG Industries Inc, located
in Pittsburgh, Pennsylvania,
manufactures coatings. It
primarily services customers
in industrial,
transportation, consumer
products, and construction
markets and aftermarkets.
The Company was founded in
1883.
Argex Titanium Inc is a
titanium, vanadium and iron
ore mining company,
headquartered in Montreal,
Quebec. It is a junior
explorer engaged in the
exploration of titanium,
iron, vanadium, and
magnesium with projects in
Quebec. Its properties
include The La Blache The
Mouchalagane Property, The
Lac Brule Property. The
company was founded in 2005.</t>
  </si>
  <si>
    <t xml:space="preserve">2851
1099</t>
  </si>
  <si>
    <t xml:space="preserve">PPG INDUSTRIES INC/ARGEX TITANIUM INC-STRATEGIC ALLIANCE</t>
  </si>
  <si>
    <t xml:space="preserve">PPG Industries Inc (PPG) and Argex Titanium Inc (Argex) formed a strategic
alliance to provide supply and research services relating to titanium
dioxide (TiO2). Under the terms of the agreement, PPG will provide research
and development to optimize pigment grade for TiO2 for paints and
coatings.</t>
  </si>
  <si>
    <t xml:space="preserve">693506
04014T</t>
  </si>
  <si>
    <t xml:space="preserve">Immunocore Ltd
Genentech Inc</t>
  </si>
  <si>
    <t xml:space="preserve">Immunocore Ltd is a
biotechnology technology.
The Company was founded in
2008 and is located in Oxon,
the United Kingdom.
Genentech Inc, located in
South San Francisco,
California, manufactures
pharmaceuticals. It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</si>
  <si>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Medigene AG
Roche Holdings AG</t>
  </si>
  <si>
    <t xml:space="preserve">IMMUNOCORE LTD/GENENTECH INC-STRATEGIC ALLIANCE</t>
  </si>
  <si>
    <t xml:space="preserve">Immunocore Ltd (Immunocore) and Genentech Inc (Genentech) formed a
strategic alliance to provide research and licensing services for the
development of Immunocore's ImmTACs for the treatment of cancer, chronic
infectious disease and diabetes.</t>
  </si>
  <si>
    <t xml:space="preserve">4A9590
368710</t>
  </si>
  <si>
    <t xml:space="preserve">Bakken Resources Inc
Applied Geotech Inc</t>
  </si>
  <si>
    <t xml:space="preserve">Oil and gas exploration,prodn
Pvd geological engineering svc</t>
  </si>
  <si>
    <t xml:space="preserve">Bakken Resources Inc, located
in Helena, Montana, is an oil
and gas exploration and
production company. It is an
independent energy company. It
was founded in 2008.
Applied Geotech Inc, located
in Sandy, Utah, provides
geological engineering
services.</t>
  </si>
  <si>
    <t xml:space="preserve">1311
8711</t>
  </si>
  <si>
    <t xml:space="preserve">MT
UT</t>
  </si>
  <si>
    <t xml:space="preserve">BAKKEN RESOURCES INC/APPLIED GEOTECH INC-JOINT VENTURE</t>
  </si>
  <si>
    <t xml:space="preserve">South Dakota</t>
  </si>
  <si>
    <t xml:space="preserve">Bakken Reosurces Inc (Bakken) and Applied Geotech Inc (Geotech) agreed to
form a joint venture to develop enhanced oil recovery technologies in the
Williston Basin in South Dakota.</t>
  </si>
  <si>
    <t xml:space="preserve">05758P
4A9455</t>
  </si>
  <si>
    <t xml:space="preserve">Thoratec Corp
Terumo Corp</t>
  </si>
  <si>
    <t xml:space="preserve">Manufacture medical devices
Manufacture,wholesale medical equipment,drug</t>
  </si>
  <si>
    <t xml:space="preserve">Thoratec Corp, headquartered
in Pleasanton, California,
manufactures medical devices
for circulatory support and
vascular graft applications
for cardiac diseases and
vascular (blood vessel)
disorders. One of its main
products is a blood
circulation device called Left
Ventricular Assist Device
(LVAD). It also offers other
mechanical circulatory support
devices, marketed in the US,
Canada and Europe. The company
was founded in 1976.
Terumo Corp, located in
Tokyo, Japan, manufactures
and wholesales medical
equipment and drug. It
operates in four business
segment. The Hospital
Products segment offers
hospital medical equipment,
pharmaceuticals, peritoneal
dialysis and diabetes
related products, and the
rental of hospital medical
equipment and home medical
products. The Cardiac and
Vascular Area segment is
involved in the manufacture,
purchase and sale of
catheter systems, artificial
heart and lungs, and
artificial blood vessels,
the manufacture and sale of
therapeutic coils for
cerebral aneurysm, sampling
equipment and kits for
platelet-rich plasma and
concentrated bone-marrow
cell, and large-bore
sheaths. The Blood System
segment is engaged in the
manufacture, purchase and
sale of blood
transfusion-related
products. The Healthcare
segment offers healthcare
related products. The
company was founded in 1921.</t>
  </si>
  <si>
    <t xml:space="preserve">THORATEC CORP/TERUMO CORP-STRATEGIC ALLIANCE</t>
  </si>
  <si>
    <t xml:space="preserve">Thoratec Corp (Thoratec) and Terumo Corp (Terumo) formed a strategic
alliance to develop and commercialize DH-II, an ultra-compact, centrifugal
flow chronic VAD utilizing technology foundation.</t>
  </si>
  <si>
    <t xml:space="preserve">885175
88155A</t>
  </si>
  <si>
    <t xml:space="preserve">Biogen Idec Inc
The Myelin Repair Foundation</t>
  </si>
  <si>
    <t xml:space="preserve">Biotechnology company
Provide research,dvlp svcs</t>
  </si>
  <si>
    <t xml:space="preserve">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
The Myelin Repair Foundation
provides research and
development services. The
company is headquartered in
Saratoga, California. The
company was founded in 2004.</t>
  </si>
  <si>
    <t xml:space="preserve">BIOGEN IDEC INC/THE MYELIN REPAIR FOUNDATION- STRATEGIC ALLIANCE</t>
  </si>
  <si>
    <t xml:space="preserve">Biogen Idec Inc ( Biogen) and The Myelin Repair Foundation ( Myelin) formed
a strategic alliance to generate a novel mouse model fo all demyelinating
diseases, including multiple sclerosis.</t>
  </si>
  <si>
    <t xml:space="preserve">09062X
7A5693</t>
  </si>
  <si>
    <t xml:space="preserve">Ampliphi Biosciences Corp
Walter Reed Army Inst Research
USAMRMC</t>
  </si>
  <si>
    <t xml:space="preserve">Biotechnology company
Pvd military med research svcs
Pvd research,dvlp svcs</t>
  </si>
  <si>
    <t xml:space="preserve">Ampliphi Biosciences Corp,
located in San Diego,
California, is a
biotechnology company
focused on gene therapy
products and technologies
for treating acquired and
inherited diseases. It also
develops products for Lebers
congenital amaurosis (LCA),
a form of blindness, heart
failure and Huntingtons
disease (HD), a neurological
disease. The Company was
founded in 1989.
Walter Reed Army Institute of
Research (WRAIR), located in
Silver Spring, MAryland,
provides military medical
research services.
The US Army Medical Research &amp;
Materiel Command, provides
research and development
services. The company is
headquartered in Fort Detrick,
Maryland. The command is
focused on medical research,
development, and acquisition
and medical logistics
management.</t>
  </si>
  <si>
    <t xml:space="preserve">2836
8731
8731</t>
  </si>
  <si>
    <t xml:space="preserve">CA
MD
MD</t>
  </si>
  <si>
    <t xml:space="preserve">Ampliphi Biosciences Corp
United States of America
United States of America</t>
  </si>
  <si>
    <t xml:space="preserve">2836
999A
999A</t>
  </si>
  <si>
    <t xml:space="preserve">AMPLIPHI BIOSCIENCES CORP/US ARMY MEDICAL RESEARCH &amp; MATERIEL
COMMAND{USAMRMC}/WALTER REED ARMY INSTITUTE OF RESEARCH-SA</t>
  </si>
  <si>
    <t xml:space="preserve">AmpliPhi BioSciences Corp (AmpliPhi), US Army Medical Research and Materiel
Command (USAMRMC), and Walter Reed Army Institute of Research (WRAIR)
formed a strategic alliance for the research and development of
bacteriophage therapeutics to treat Staphylococcus aureus, Escherichia coli
and Pseudomonas aeruginosa infections. AmpliPhi will retain global
regulatory ownership and commercial rights to all products developed as a
result of the agreement. USAMRMC will gain access rights to any products
developed. WRAIR will be responsible for cGMP production of the lead
Staphylococcus product, AmpliPhage-002 for Phase 1 and 2 clinical trials at
its Bioproduction Facility.</t>
  </si>
  <si>
    <t xml:space="preserve">03211P
75826Q
4A8218</t>
  </si>
  <si>
    <t xml:space="preserve">Pharming Group NV
SIPI</t>
  </si>
  <si>
    <t xml:space="preserve">Manufacture human medicines
Pvd pharm research svcs</t>
  </si>
  <si>
    <t xml:space="preserve">Pharming Group NV, located
in Leiden, the Netherlands,
manufactures medicines from
the milk of transgenic
animals. The product range
includes medicines for
genetic disorders;
infectious diseases; tissue
and bone damage; surgery and
trauma; cardiovascular
diseases.
Shanghai Institute of
Pharmaceutical Industry{SIPI},
headquartered in Shanghai,
China, is a pharmaceutical
research services provider.
The company was founded in
1957.</t>
  </si>
  <si>
    <t xml:space="preserve">PHARMING GROUP NV/SHANGHAI INSTITUTE OF PHARMACEUTICAL
INDUSTRY{SIPI}-STRATEGIC ALLIANCE</t>
  </si>
  <si>
    <t xml:space="preserve">China
Supranational</t>
  </si>
  <si>
    <t xml:space="preserve">Pharming Group NV (Pharming) and Shanghai Institute of Pharmaceutical
Industry{SIPI} formed a strategic alliance to develop, manufacture and
commercialize new pharmaceutical products. The alliance was to use the
technology platform of Pharming. Under the alliance, SIPI was to receive a
license to commercialize Ruconest (conestat alfa) in China. SIPI was to
contribute preclinical fund and manufacturing development services.
Pharming was to receive payment of EUR 1.26 mil (USD 1.646 mil) for upfront
in the alliance and a total of EUR 0.84 mil (USD 1.098 mil) for technology
transfer related milestones. For every product developed by and
manufactured, SIPI was to pay Pharming a number of clinical and regulatory
milestones. SIPI was to supply Pharming on a cost plus basis for worldwide
commercialization. Pharming was to pay SIPI 4% royalties on global sales
and SIPI was to pay Pharming 4% royalties on sales in China.</t>
  </si>
  <si>
    <t xml:space="preserve">Pharming was to receive payment of EUR 1.26 mil (USD 1.646 mil) for upfront
in the alliance and a total of EUR 0.84 mil (USD 1.098 mil) for technology
transfer related milestones.</t>
  </si>
  <si>
    <t xml:space="preserve">N69603
82185Z</t>
  </si>
  <si>
    <t xml:space="preserve">Finisar Corp
U2T Photonics AG</t>
  </si>
  <si>
    <t xml:space="preserve">Mnfr fiber optic subsystems
Manufacture optical components</t>
  </si>
  <si>
    <t xml:space="preserve">Finisar Corp, located in
Sunnyvale, California,
manufactures fiber optic
subsystems and network
performance test systems
which enable high-speed data
communications over local
area networks, or LANs, and
storage area networks, or
SANs. It specializes in
optical communications,
network bandwidth, data
storage, and 3D sensing
subsystems and caters to
network equipment
manufacturers, data center
operators, telecom service
providers, and consumer
electronics and automotive
companies. The Company was
founded in 1987.
U2T Photonics AG, located in
Berlin, Germany, manufactures
optical components. It offers
products for high speed
communication applications and
detectors for test and
measurement equipment vendor.
The company was founded in
1998.</t>
  </si>
  <si>
    <t xml:space="preserve">FINISAR CORP/U2T PHOTONICS AG-STRATEGIC ALLIANCE</t>
  </si>
  <si>
    <t xml:space="preserve">Finisar Corp (Finisar) and U2T Photonics AG (U2T) agreed to form a
strategic alliance to have an exclusive access and joint development of all
indium-Phosphide (Inp) based mach-Zehnder modulator.</t>
  </si>
  <si>
    <t xml:space="preserve">31787A
D8T64A</t>
  </si>
  <si>
    <t xml:space="preserve">SK Biopharma
Aribio Co Ltd</t>
  </si>
  <si>
    <t xml:space="preserve">SK Biopharmaceuticals Co Ltd
is a biotechnology company
headquartered in Gyeonggido,
South Korea. The Company is
involved in the manufacture
of medicinal compounds and
antibiotics. The Company
also offers research and
development services,
analytical method
development and validation;
process validation and
qualification; DMF filing
and others. The Company was
founded in 2011.
Aribio Co Ltd is a
manufacturer of cosmetics.
The Company was founded in
October 2010 and is located
in Seongnam, South Korea.</t>
  </si>
  <si>
    <t xml:space="preserve">SK C&amp;C Co Ltd
Aribio Co Ltd</t>
  </si>
  <si>
    <t xml:space="preserve">7376
2844</t>
  </si>
  <si>
    <t xml:space="preserve">SK BIOPHARMACEUTICALS INC/ARIBIO-STRATEGIC ALLIANCE</t>
  </si>
  <si>
    <t xml:space="preserve">SK Biopharmaceuticals (SK) and AriBio (AriBio) formed a strategic alliance
to develop a new small molecule SKL-G for the treatment of glaucoma.</t>
  </si>
  <si>
    <t xml:space="preserve">3A1085
4A8119</t>
  </si>
  <si>
    <t xml:space="preserve">STMicroelectronics NV
Great Wall Motor Co Ltd</t>
  </si>
  <si>
    <t xml:space="preserve">Semiconductor and Related Device Manufacturing
Light Truck and Utility Vehicle Manufacturing</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</si>
  <si>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Great Wall Motor Co Ltd is a
sport utility vehicle (SUV)
manufacturer in the
People''s Republic of China
(the PRC). The Company is
principally engaged in the
design, research and
development, manufacture and
sale, as well as
distribution of SUVs,
sedans, pick-up trucks and
automobile-related parts and
components. The Company has
three brands, Great Wall,
Havel and WEY, and its
products include SUVs,
sedans and pick-up trucks.
The Company also
manufactures and supplies
relative automotive parts
and components. The
Company''s vertically
integrated parts and
components production unit
manufactures various
products, including engines,
transmissions, chassis,
electronics, interior and
exterior decoration parts
and molds. The Company was
founded in 1984 and is
located in Baoding, China.</t>
  </si>
  <si>
    <t xml:space="preserve">STMicroelectronics NV
Baoding Wangsheng Invest Co</t>
  </si>
  <si>
    <t xml:space="preserve">STMICROELECTRONICS NV /GREAT WALL MOTOR CO LTD-STRATEGIC ALLIANCE</t>
  </si>
  <si>
    <t xml:space="preserve">STMicroelectronics NV (STMicroelectronics) and Great Wall Motor Co Ltd
(Great Wall) formed a strategic alliance for the research and development
of cutting-edge solutions in powertrain, chassis, safety, car body, car
infotainment, as well as new-energy technologies and other automotive
applications. The laboratory of the alliance will be located at Great
Wall's Technical Center. STMicroelectronics will contribute its
automotive-electronics technologies and solutions.</t>
  </si>
  <si>
    <t xml:space="preserve">861012
39151H</t>
  </si>
  <si>
    <t xml:space="preserve">Avanir Pharmaceuticals Inc
OptiNose AS</t>
  </si>
  <si>
    <t xml:space="preserve">Pharmaceutical Preparation Manufacturing
Research and Development in Biotechnology</t>
  </si>
  <si>
    <t xml:space="preserve">Avanir Pharmaceuticals Inc,
located in Aliso Viejo,
California, is a
biopharmaceutical company
focused on acquiring,
developing and commercializing
novel therapeutic products for
the treatment of central
nervous system disorders. Its
lead product, NUEDEXTA, is a
first-in-class dual
N-methyl-D-aspartate ('NMDA')
receptor antagonist and
sigma-1 agonist. It is also
developing AVP-786, a drug
product containing
deuterium-modified
dextromethorphan and quinidine
for the potential treatment of
neurologic and psychiatric
disorders; Breath Powered
intranasal delivery system
containing low-dose
sumatriptan powder for the
acute treatment of migraine,
AVP-825. The company was
founded in 1988.
OptiNose AS is a provider of
biotechnology research and
development services. The
Company was founded in 2000
and is located in Oslo,
Norway.</t>
  </si>
  <si>
    <t xml:space="preserve">Avanir Pharmaceuticals Inc
Optinose Inc</t>
  </si>
  <si>
    <t xml:space="preserve">AVANIR PHARMACEUTICALS INC/OPTINOSE AS-STRATEGIC ALLIANCE</t>
  </si>
  <si>
    <t xml:space="preserve">Avanir Pharmaceuticals Inc (Avanir) and OptiNose AS (OptiNose) formed a
strategic alliance to develop and commercialize OptiNose's novel Breath
Powered(TM) intranasal delivery system containing low-dose sumatriptan
powder to treat acute migraine in North America. OptiNose received an
upfront cash payment of USD 20 mil and is eligible to receive certain
shared development costs and up to an additional USD 90 mil in clinical,
regulatory and commercial milestones. Avanir is responsible for the
regulatory, manufacturing, supply-chain and commercialization activities
for the investigational product, now named AVP-825.</t>
  </si>
  <si>
    <t xml:space="preserve">05348P
4A7960</t>
  </si>
  <si>
    <t xml:space="preserve">Plastic Logic Ltd
Cambridge Graphene Ltd</t>
  </si>
  <si>
    <t xml:space="preserve">Manufacture plastic circuits
Provide research services</t>
  </si>
  <si>
    <t xml:space="preserve">Plastic Logic Ltd, located
in Dresden, Germany,
manufactures plastic
circuits and electronics.
The products of the company
are applied to products such
as mobile phone screens.
Cambridge Graphene Ltd is a
provider of research and
development services. The
Company was founded on May 20,
2014 and is located in
Cambridge, the United Kingdom.</t>
  </si>
  <si>
    <t xml:space="preserve">3089
8731</t>
  </si>
  <si>
    <t xml:space="preserve">Plastic Logic Ltd
University of Cambridge</t>
  </si>
  <si>
    <t xml:space="preserve">3089
8221</t>
  </si>
  <si>
    <t xml:space="preserve">PLASTIC LOGIC LTD/CAMBRIDGE GRAPHENE CENTRE-STRATEGIC ALLIANCE</t>
  </si>
  <si>
    <t xml:space="preserve">Plastic Logic Ltd (Plastic Logic) and Cambridge Graphene Centre (Graphene
Centre) agreed to form a strategic alliance to research and develop the use
of graphene in plastic electronics. The alliance was to be part of Graphene
Centres aim to invest on researches regarding new material and related
layered hybrids.</t>
  </si>
  <si>
    <t xml:space="preserve">75609L
4A9693</t>
  </si>
  <si>
    <t xml:space="preserve">Shaanxi Ligeance Mineral
Undisclosed JV Partner</t>
  </si>
  <si>
    <t xml:space="preserve">Nonferrous Metal (Except Copper and Aluminum) Rolling, Drawing, and Extruding
Investment company</t>
  </si>
  <si>
    <t xml:space="preserve">Shaanxi Ligeance Mineral
Resource Co Ltd is engaged
in the nonferrous metals
services business. The
Company was founded in June
1988 and is located in
Xianyang, China.
Investment company</t>
  </si>
  <si>
    <t xml:space="preserve">3356
6799</t>
  </si>
  <si>
    <t xml:space="preserve">SHAANXI LIGEANCE MINERAL RESOURCES CO LTD/UNDISCLOSED JOINT VENTURE
PARTNER-JOINT VENTURE</t>
  </si>
  <si>
    <t xml:space="preserve">Shaanxi Ligeance Mineral Resources Co Ltd (Ligeance) and an undisclosed
Chengdu aviation material company (UCC) agreed to form a joint venture
research, develop and manufacture crystal alloy blades. These blades are
high-temperatured, single-crystalled and contain rhenium. The blades are
for aerospace engines. The joint venture was to be named Chengdu Aerospace
Superalloy Technology Co Ltd. The joint venture was to manufacture
high-temperature single crystal alloy blades (containing rhenium) for
aero-engines. Ligeance was to own 80% of the joint venture with an
investment of CNY 80 mil (USD 13.06 mil). UCC was to own the remaining 20%
stake with CNY 20 mil (USD 3.265 mil) as investment. The cost of the joint
venture was to be CNY 100 mil (USD 16.325 mil).</t>
  </si>
  <si>
    <t xml:space="preserve">Ligeance was to own 80% of the joint venture with an investment of CNY 80
mil (USD 13.06 mil). UCC was to own the remaining 20% stake with CNY 20 mil
(USD 3.265 mil) as investment. The cost of the joint venture was to be CNY
100 mil (USD 16.325 mil).</t>
  </si>
  <si>
    <t xml:space="preserve">93605J
904JVP</t>
  </si>
  <si>
    <t xml:space="preserve">Novartis AG
Biological E Ltd</t>
  </si>
  <si>
    <t xml:space="preserve">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
Biological E Ltd, located in
Hyderabad, India,
manufactures pharmaceutical
and biological products.
Some products of the company
are: vaccines;
anti-infectives; analgesics;
anticoagulants and others.
The comapny was previously
known as Biological Products
Pvt Ltd. The company was
founded in 1953.</t>
  </si>
  <si>
    <t xml:space="preserve">Switzerland
India</t>
  </si>
  <si>
    <t xml:space="preserve">NOVARTIS AG/BIOLOGICAL E LTD-STRATEGIC ALLIANCE</t>
  </si>
  <si>
    <t xml:space="preserve">Novartis AG (Novartis) and Biological E Ltd (Biological E) formed a
strategic alliance to develop two (2) vaccines to protect against typhoid
and paratyphoid fevers in India. Novartis was to deliver accessible and
affordable vaccines for unmet medical needs to be addressed.</t>
  </si>
  <si>
    <t xml:space="preserve">66987V
09300P</t>
  </si>
  <si>
    <t xml:space="preserve">Solvay SA
Akzo Nobel NV</t>
  </si>
  <si>
    <t xml:space="preserve">Plastics Material and Resin Manufacturing &amp; Wholesale
Manufacture, wholesale paints, chemicals</t>
  </si>
  <si>
    <t xml:space="preserve">Solvay SA is a manufacturer
of plastics materials. It
manufactures and wholesales
chemicals. It operates in
the advanced formulations
field, providing consumer
oriented products via its
Novecare, Technology
Solutions and Aroma
Performance subsidiaries. It
also manufactures and
develops advanced materials,
including specialty polymers
via its Composite Materials,
Silica and Special Chem
units. Its performance
chemicals units include Soda
Ash &amp; Derivates, Peroxides
and Coatis, owning Eureco,
Interox, and other brands.
The Company is also involved
in the functional polymers
industry, supplying
performance chemicals,
fibers, including textile
and industrial yarns and
staple fibers as well as
chlorovinyls. The Company
was founded in 1863 and is
located in Brussels,
Belgium.
Akzo Nobel NV is a
manufacturer of coatings.
The Company was founded in
1994 and is located in
Amsterdam, the Netherlands.
The Company operates through
two business segments:
Decorative Paints and
Performance Coatings. The
Decorative Paints segment
supplies a range of
products, including paints,
lacquers and varnishes. It
also offers a range of
mixing machines and color
concepts for the building
and renovation industry, as
well as specialty coatings
for metal, wood and other
critical building materials.</t>
  </si>
  <si>
    <t xml:space="preserve">2821
2851</t>
  </si>
  <si>
    <t xml:space="preserve">Belgium
Netherlands</t>
  </si>
  <si>
    <t xml:space="preserve">SOLVAY SA/AKZO NOBEL NV-STRATEGIC ALLIANCE</t>
  </si>
  <si>
    <t xml:space="preserve">Solvay SA (Solvay) and Akzo Nobel NV (Akzo Nobel) formed a 3 year strategic
alliance to develop paints and coatings formulation. The alliance will see
an increase in the usage of renewable raw materials or biobased chemicals.</t>
  </si>
  <si>
    <t xml:space="preserve">834437
010199</t>
  </si>
  <si>
    <t xml:space="preserve">Amgen Inc
Les Laboratoires Servier SAS</t>
  </si>
  <si>
    <t xml:space="preserve">Manufacture human therapeutics
Manufacture,wholesale drugs</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</si>
  <si>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</si>
  <si>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AMGEN INC/SERVIER SA-STRATEGIC ALLIANCE</t>
  </si>
  <si>
    <t xml:space="preserve">Amgen Inc (Amgen) and Servier SA (Servier) formed a strategic alliance to
develop and commercialize drugs for heart failure. Under the alliance,
Amgen was to commercialize Procoralan, a novel oral drug of Servier
approved in Europe for chronic heart failure and stable angina in patients
with elevated heart rates. Amgen may also develop and commercialize an
investigational molecule of Servier in US, S38844, for cardiovascular
diseases. Servier has obtained rights to commercialize omecamtiv mecarbil
in Europe, also under the alliance. Amgen was to pay USD 50 mil as upfront
payment, further milestone and royalty payments. Other financial terms were
undisclosed.</t>
  </si>
  <si>
    <t xml:space="preserve">Amgen was to pay USD 50 mil as upfront payment, further milestone and
royalty payments. Other financial terms were undisclosed.</t>
  </si>
  <si>
    <t xml:space="preserve">031162
81764A</t>
  </si>
  <si>
    <t xml:space="preserve">Cannabis Technologies Inc
Vertigo Technologies Inc</t>
  </si>
  <si>
    <t xml:space="preserve">Mnfr,whl medical marijuana
Biological Product Manufacturing</t>
  </si>
  <si>
    <t xml:space="preserve">Cannabis Technologies Inc,
located in California,
manufactures and wholesales
medical marijuana.
Vertigo Technologies Inc,
located in United States,
manufactures cannabis products
and provides post production
development services.</t>
  </si>
  <si>
    <t xml:space="preserve">Neutra Corp
Vertigo Technologies Inc</t>
  </si>
  <si>
    <t xml:space="preserve">CANNABIS TECHNOLOGIES INC/VERTIGO TECHNOLOGIES LLC-STRATEGIC ALLIANCE</t>
  </si>
  <si>
    <t xml:space="preserve">Cannabis Technologies Inc (Cannabis), a unit of Neutra Corp, and Vertigo
Technologies LLC (Vertigo) formed a strategic alliance to develop and
market innovative horticulture systems.</t>
  </si>
  <si>
    <t xml:space="preserve">4A2546
5A0146</t>
  </si>
  <si>
    <t xml:space="preserve">Avnet Internix KK
ROHM Co Ltd</t>
  </si>
  <si>
    <t xml:space="preserve">Ret,whl semiconductors
Mnfr,whl semiconductor</t>
  </si>
  <si>
    <t xml:space="preserve">Avnet Internix KK,
headquartered in Tokyo, Japan,
retails and wholesales
semiconductors. The company
also sells electronic
components. The company has
eight other offices in the
country. It is also known as
Avnet Inc Inter Knicks. The
company was founded on April
01, 1983.
ROHM Co Ltd, based in Kyoto,
Japan, is mainly engaged in
the manufacture and sale of
electronic components. The
Company operates in three
segments. The large-scale
integration (LSI) segment
provides analogs, logics,
memories, application
specific integrated circuits
(ASICs) and others. The
Semiconductor Device segment
manufactures and sells
diodes, transistors, light
emitting diodes and
semiconductor lasers. The
Others segment offers
resistors, print heads,
optical modules, tantalum
capacitors, power modules
and lightings. The company
was founded in 1958.</t>
  </si>
  <si>
    <t xml:space="preserve">5734
3674</t>
  </si>
  <si>
    <t xml:space="preserve">Avnet Inc
ROHM Co Ltd</t>
  </si>
  <si>
    <t xml:space="preserve">5065
3674</t>
  </si>
  <si>
    <t xml:space="preserve">AVNET INTERNIX KK/ROHM CO LTD-STRATEGIC ALLIANCE</t>
  </si>
  <si>
    <t xml:space="preserve">Avnet Internix KK (Internix), a unit of Avnet Inc's Avnet Electronics
Marketing Inc, and ROHM Co Ltd (ROHM) formed a strategic alliance to
provide design and development services of electronic equipment. The joint
venture was to design and develop a power supply module board optimized for
Xilinx 7 series Field-programmable gate array (FPGAs) and Zynq(TM ) 7000
all programmable system on chips (SOP) evaluation kits. The new module
development system was to be introduced to the market within July 2013.</t>
  </si>
  <si>
    <t xml:space="preserve">5A1343
J65328</t>
  </si>
  <si>
    <t xml:space="preserve">Immunocore Ltd
GlaxoSmithKline PLC</t>
  </si>
  <si>
    <t xml:space="preserve">Immunocore Ltd is a
biotechnology technology.
The Company was founded in
2008 and is located in Oxon,
the United Kingdom.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</si>
  <si>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Medigene AG
GlaxoSmithKline PLC</t>
  </si>
  <si>
    <t xml:space="preserve">IMMUNOCORE LTD/GLAXOSMITHKLINE PLC-STRATEGIC ALLIANCE</t>
  </si>
  <si>
    <t xml:space="preserve">Immunocore Ltd (Immunocore) and GlaxoSmithKline PLC (GSK) formed a
strategic alliance to develop ImmTACs. The alliance will engage in the
research and development of ImmTACs biological drugs against multiple novel
targets, that cannot be cured using antibody-based technologies. Immunocore
is entitled to receive GBP 142 mil (USD 213.781 mil) as pre-clinical
milestone payments across the targets and GBP 200 mil (USD 301.1 mil) in
development and commercial milestone payments, as well as royalties.
Immunocore is in charge of the initial clinical trials in patients and all
pre-clinical development. On the other hand, GSK is responsible for the
remaining development and commercialization of the products.</t>
  </si>
  <si>
    <t xml:space="preserve">Immunocore is entitled to receive GBP 142 mil (USD 213.781 mil) as
pre-clinical milestone payments across the targets and GBP 200 mil (USD
301.1 mil) in development and commercial milestone payments, as well as
royalties.</t>
  </si>
  <si>
    <t xml:space="preserve">4A9590
37733W</t>
  </si>
  <si>
    <t xml:space="preserve">Mimos Bhd
Africa City of Technology</t>
  </si>
  <si>
    <t xml:space="preserve">Pvd research svcs
Pvd info tech svcs</t>
  </si>
  <si>
    <t xml:space="preserve">Mimos Bhd, located in Kuala
Lumpur, Malaysia, provides
applied research services
based on real-world trends.
The research areas are:
cyberspace security,
encryption systems, grid
computing, communication
technologies, micro energy,
micro systems (MEMS/NEMS),
advanced informatics and
knowledge technology.
Africa City of
Technology{ACT}, located in
Sudan, provides information
technology services.</t>
  </si>
  <si>
    <t xml:space="preserve">8731
7376</t>
  </si>
  <si>
    <t xml:space="preserve">Malaysia
Sudan</t>
  </si>
  <si>
    <t xml:space="preserve">Malaysia
Africa City of Technology</t>
  </si>
  <si>
    <t xml:space="preserve">999A
7376</t>
  </si>
  <si>
    <t xml:space="preserve">MIMOS BHD/AFRICA CITY OF TECHNOLOGY{ACT}-JOINT VENTURE</t>
  </si>
  <si>
    <t xml:space="preserve">Sudan</t>
  </si>
  <si>
    <t xml:space="preserve">Mimos Bhd (Mimos) and Africa City of Technology (ACT) agreed to establish a
joint venture to commercialize Mimos technologies in Sudan. Mimos was to
provide the technology while ACT will provide the capital investment. The
joint venture is expected to be established within the first quarter of
2014.</t>
  </si>
  <si>
    <t xml:space="preserve">60450P
4A9736</t>
  </si>
  <si>
    <t xml:space="preserve">Loxo Oncology Inc
Array Biopharma Inc</t>
  </si>
  <si>
    <t xml:space="preserve">Mnfr biopharmaceuticals
Biopharmaceutical Company</t>
  </si>
  <si>
    <t xml:space="preserve">Loxo Oncology Inc, located
in Stanford, Connecticut,
manufactures
biopharmaceuticals. It
develops small molecule
therapeutics for the
treatment of cancer in
genetically defined patient
populations. It is founded
on 2013.
Array Biopharma Inc, located
in Boulder, Colorado, is a
biopharmaceutical company.
It is focused on the
discovery, development and
commercialization of small
molecule drugs to treat
patients afflicted with
cancer and inflammatory
diseases. It markets
BRAFTOVI (encorafenib)
capsules in combination with
MEKTOVI (binimetinib)
tablets for the treatment of
patients with unresectable
or metastatic melanoma with
a BRAFV600E or BRAFV600K
mutation in the United
States. Its lead clinical
programs, encorafenib and
binimetinib, are being
investigated in over 30
clinical trials across a
number of solid tumor
indications, including a
Phase 3 trial in BRAF-mutant
metastatic colorectal
cancer. Its pipeline
includes several additional
programs being advanced by
the Company or current
license-holders, including
the following programs
currently in registration
trials: selumetinib
(partnered with
AstraZeneca), LOXO-292
(partnered with Eli Lilly),
ipatasertib (partnered with
Genentech), tucatinib
(partnered with Seattle
Genetics) and ARRY-797.Its
Vitrakvi (larotrectinib,
partnered with Bayer AG) is
approved in the United
States and Ganovo
(danoprevir, partnered with
Roche) is approved in China.
The Company was founded in
1998.</t>
  </si>
  <si>
    <t xml:space="preserve">CT
CO</t>
  </si>
  <si>
    <t xml:space="preserve">LOXO ONCOLOGY INC/ARRAY BIOPHARMA INC-STRATEGIC ALLIANCE</t>
  </si>
  <si>
    <t xml:space="preserve">Loxo Oncology Inc and Array Biopharma Inc formed a strategic alliance to
discover and develop small molecule drugs for mutually agreed upon novel
oncology targets, in the USA.</t>
  </si>
  <si>
    <t xml:space="preserve">548862
04269X</t>
  </si>
  <si>
    <t xml:space="preserve">Ipsen SA
Harvard Medical School</t>
  </si>
  <si>
    <t xml:space="preserve">Pharmaceutical Preparation Manufacturing
Medical university</t>
  </si>
  <si>
    <t xml:space="preserve">Ipsen SA, located in Paris,
France, is a manufacturer of
pharmaceutical preparation.
It manufactures prescription
pharmaceuticals used in
therapeutic areas in
Oncology, endocrinology and
neuromuscular disorders. Its
products include Decapeptyl,
Somatuline, NutropinAq,
Testim and Dysport. It also
offers products on primary
care which includes the
areas of gastroenterology,
cardiovascular and cognitive
disorders. The Company was
founded in 1929.
Harvard Medical School,
located in Massachusetts, is a
Medical university with 7,500
full-time faculty working in
11 academic departments, and
with 47 hospital-based
clinical departments. The
company was founded in 1782.</t>
  </si>
  <si>
    <t xml:space="preserve">Mayroy SA
Harvard Medical School</t>
  </si>
  <si>
    <t xml:space="preserve">Luxembourg
United States</t>
  </si>
  <si>
    <t xml:space="preserve">IPSEN SA/HARVARD MEDICAL SCHOOL-STRATEGIC ALLIANCE</t>
  </si>
  <si>
    <t xml:space="preserve">Ipsen SA (Ipsen) and Harvard Medical School (Harvard) formed a strategic
alliance to develop engineered botulinum toxins targeting serious
neurologic diseases. Ipsen will fund the alliance for at least three years
while Harvard will be responsible for the discovery, evaluation, and
development of engineered recombinant botulinum toxins. Harvard is entitled
to receive upfront, milestones and royalty payments. Ipsen will develop and
market new toxins and will have exclusive worldwide rights on any candidate
recombinant toxin resulting from the alliance.</t>
  </si>
  <si>
    <t xml:space="preserve">44837P
41745W</t>
  </si>
  <si>
    <t xml:space="preserve">Eternity Healthcare Inc
PharmaNova Inc</t>
  </si>
  <si>
    <t xml:space="preserve">Mnfr,wholesale medical devices
Mnfr pharm</t>
  </si>
  <si>
    <t xml:space="preserve">Eternity Healthcare Inc,
located in Vancouver, British
Columbia, manufactures and
wholesales medical devices
focusing on Comfort-in
needle-free injection system.
PharmaNova Inc, is a
pharmaceutical manufacturing
firm, headquartered in Victor,
New York. The company's
products include non-hormonal
treatments for vasomotor
instability, nanoparticulate
chemotherapeutics and
anti-infectives. It uses
proprietary NovaSperse(SM)
nanoparticle technology and
other complementary
formulation and drug delivery
technologies.</t>
  </si>
  <si>
    <t xml:space="preserve">ETERNITY HEALTHCARE INC/PHARMANOVA INC-STRATEGIC ALLIANCE</t>
  </si>
  <si>
    <t xml:space="preserve">Eternity Healthcare Inc (Eternity) and PharmaNova Inc (PharmaNova) signed a
letter of intent to form a strategic alliance to develop steroids and
steroids related pharmaceuticals for rapid subcutaneous absorption. The
alliance will use PharmaNovas NovaSperse(SM) nanoparticle technology to
enhance the aqueous dissolution of lipid soluble drugs enabling them to be
administered using Eternitys needle-free injection system.</t>
  </si>
  <si>
    <t xml:space="preserve">30506X
5A0775</t>
  </si>
  <si>
    <t xml:space="preserve">Aradigm Corp
Grifols SA</t>
  </si>
  <si>
    <t xml:space="preserve">Mnfr,whl inhalation pharm
Manufactures, wholesales pharmaceutical prod</t>
  </si>
  <si>
    <t xml:space="preserve">Aradigm Corp, based in
Hayward, California,
manufactures and wholesales
drugs delivered by
inhalation for the treatment
of respiratory diseases by
pulmonologists in the United
States. The company was
founded in 1991.
Grifols SA, located in
Barcelona, Spain, manufactures
and wholesales pharmaceutical
products. It also provides
pharmaceutical and biological
research services. The Company
has markets in Argentina,
Italy, Poland, the United
Kingdom and the United States.
It was founded on November 18,
1940.</t>
  </si>
  <si>
    <t xml:space="preserve">ARADIGM CORP/GRIFOLS SA-STRATEGIC ALLIANCE</t>
  </si>
  <si>
    <t xml:space="preserve">Aradigm Corp (Aradigm) and Grifols SA (Grifols) formed a strategic alliance
udner which Grifols was granted exclusive, worldwide license for Aradigm's
proprietary formulations of inhaled ciprofloxacin (Pulmaquin and
Lipoquin(TM)) for the treatment of severe respiratory diseases, including
non-cystic fibrosis bronchiectasis (BE). Grifols will pay Aradigm cash
payments of up to USD 25 mil upon achievement of development milestones.
Grifols will take charge of the development and clinical expenses up to a
maximum of USD 65 mil for the BE indication. Grifols will alos be granted
an option to license Aradigm's AERx(R) pulmonary drug delivery platform for
use with another molecule.</t>
  </si>
  <si>
    <t xml:space="preserve">Grifols will pay Aradigm cash payments of up to USD 25 mil upon achievement
of development milestones. Grifols will take charge of the development and
clinical expenses up to a maximum of USD 65 mil for the BE indication.</t>
  </si>
  <si>
    <t xml:space="preserve">038505
74236W</t>
  </si>
  <si>
    <t xml:space="preserve">Swedish Orphan Biovitrum AB
Auxilium Pharmaceuticals Inc</t>
  </si>
  <si>
    <t xml:space="preserve">Manufactures and wholesales pharmaceuticals
Biopharmaceutical company</t>
  </si>
  <si>
    <t xml:space="preserve">Swedish Orphan Biovitrum AB,
located in Solna, Sweden,
manufactures and wholesales
pharmaceuticals and new
protein based drugs. It
develops pharmaceutical
products for common diseases
and conditions that affect
smaller patient populations.
The Company also develops
drugs for the treatment of
obesity, diabetes,
inflammation, blood diseases
and a number of well-defined
niche indications. It
markets a range of
pharmaceuticals primarily in
the Nordic countries and has
presence in North America,
Europe, Australia and New
Zealand. The Company was
founded in 2001.
Auxilium Pharmaceuticals Inc,
located in Chesterbrook,
Pennsylvania, is a
biopharmaceutical company that
manufactures and wholesales
specialty pharmaceutical
products that target urologic
and sexual health disorders.
Its portfolio include 12
approved products under the
Testim, TESTOPEL, STENDRA,
Edex, Osbon ErecAid, and
XIAFLEX. The company was
founded in July 1999.</t>
  </si>
  <si>
    <t xml:space="preserve">SWEDISH ORPHAN BIOVITRUM AB/AUXILIUM PHARMACEUTICALS INC-STRATEGIC
ALLIANCE</t>
  </si>
  <si>
    <t xml:space="preserve">Swedish Orphan Biovitrum AB (Swedish Orphan) and Auxilium Pharmaceuticals
Inc (Auxilium) formed a strategic alliance for the development, supply and
commercialization of Xiapex, a new biologic treatment for Dupuytren's
contracture. Swedish Orphan was granted the rights to market Xiapex in the
European Union, Switzerland, Norway, Iceland, 18 Central and East European
countries, and 22 countries in North Africa and the Middle East. Auxilium
is entitled to receive royalty income and possible milestone payments
valued at up to USD 40mil.</t>
  </si>
  <si>
    <t xml:space="preserve">Research &amp; Development Services
Supply Services
Services (NEC)</t>
  </si>
  <si>
    <t xml:space="preserve">Auxilium is entitled to receive royalty income and possible milestone
payments valued at up to USD 40mil.</t>
  </si>
  <si>
    <t xml:space="preserve">86243P
05334D</t>
  </si>
  <si>
    <t xml:space="preserve">Indian Oil Corp Ltd
DBT</t>
  </si>
  <si>
    <t xml:space="preserve">Manufacture,wholesale petroleum products
National biotech agency</t>
  </si>
  <si>
    <t xml:space="preserve">Indian Oil Corp Ltd, located
in New Delhi, India,
manufactures and wholesales
petroleum and petroleum
products. It is also
involved in the exploration
production of crude oil and
gas; and marketing of
natural gas and
petrochemicals. The Company
was founded in 1959.
Department of Biotechnology
(DBT), focuses on the
application of biotechnology
in the areas of agriculture,
health care, animal sciences,
environment, and industry. It
was founded in 1986.</t>
  </si>
  <si>
    <t xml:space="preserve">2911
999B</t>
  </si>
  <si>
    <t xml:space="preserve">Indian Oil Corp Ltd
India</t>
  </si>
  <si>
    <t xml:space="preserve">INDIAN OIL CORPORATION/DEPARTMENT OF BIOTECHNOLOGY (DBT)-JOINT VENTURE</t>
  </si>
  <si>
    <t xml:space="preserve">Centre for Advanced Bio-Energy
Research provides research and
development services. The
company is headquartered in
India.</t>
  </si>
  <si>
    <t xml:space="preserve">Indian Oil Corp Ltd (IOC) and Department of Biotechnology India (DBT)
formed a joint venture, Centre for advanced Bio-Energy, to provide research
and development services.</t>
  </si>
  <si>
    <t xml:space="preserve">5A7708</t>
  </si>
  <si>
    <t xml:space="preserve">Y3922C
24953M</t>
  </si>
  <si>
    <t xml:space="preserve">Lanzatech NZ Ltd
Centre for Advanced Bio-Energy</t>
  </si>
  <si>
    <t xml:space="preserve">Mnfr chemical intermediates
Pvd research,dvlp svcs</t>
  </si>
  <si>
    <t xml:space="preserve">Lanzatech NZ Ltd,
headquartered in Auckland,
New Zealand, manufactures
carbon transport fuels and
chemical intermediates by
recycling carbon from
industrial off-gases, syngas
from biomass resource, and
reformed biogas. The company
has offices in China and in
USA. The company was founded
in 2005.
Centre for Advanced Bio-Energy
Research provides research and
development services. The
company is headquartered in
India.</t>
  </si>
  <si>
    <t xml:space="preserve">New Zealand
India</t>
  </si>
  <si>
    <t xml:space="preserve">Lanzatech NZ Ltd
Indian Oil Corp Ltd</t>
  </si>
  <si>
    <t xml:space="preserve">LANZATECH NZ LTD /CENTRE FOR ADVANCED BIO-ENERGY RESEARCH-STRATEGIC
ALLIANCE</t>
  </si>
  <si>
    <t xml:space="preserve">Lanzatech NZ Ltd (Lanzatech) and Centre for Advanced Bio-Energy Research
(Bio-Energy) formed a strategic alliance to create new process for the
direct production of low carbon fuels from industrial carbon dioxide
emissions.</t>
  </si>
  <si>
    <t xml:space="preserve">51676E
5A7708</t>
  </si>
  <si>
    <t xml:space="preserve">Alexion Pharmaceuticals Inc
Ensemble Therapeutics</t>
  </si>
  <si>
    <t xml:space="preserve">Alexion Pharmaceuticals Inc,
located in Boston,
Massachusetts, is a
biopharmaceutical company
focused on manufacturing
therapeutic products for
sever and rare disorders.
Its products include Soliris
(eculizumab), Strensiq
(asfotase alfa) and Kanuma
(sebelipase alfa). Its
clinical development
programs include Soliris
(eculizumab), cPMP
(ALXN1101), SBC-103,
ALXN1210 (IV) and ALXN1210
(Subcutaneous). The Company
was founded in 1992.
Ensemble Therapeutics, is a
biotechnology company
headquartered in Cambridge,
Massachusetts. One of its
products is Ensemblins(TM),
which open up new ways to
treat diseases by addressing
drug targets that are
currently inaccessible with
conventional small molecule
drugs. Ensemblins are
synthetic macrocycles that
have a distinct ring
structure, which confers an
unprecedented combination of
chemical and biologic
properties that stretch the
therapeutic potential of small
molecule drugs including
unique properties for binding
to human disease targets.</t>
  </si>
  <si>
    <t xml:space="preserve">ALEXION PHARMACEUTICALS INC/ENSEMBLE THERAPEUTICS-STRATEGIC ALLIANCE</t>
  </si>
  <si>
    <t xml:space="preserve">Alexion Pharmaceuticals Inc (Alexion) and Ensemble Therapeutics (Ensemble)
formed a strategic alliance to develop macrocycle drug candidates targeting
patients with severe and ultra-rare disorders. The alliance will use
Ensemble's proprietary drug discovery platforms for Alexion-identified
undisclosed drug targets to create new small molecule therapeutics. Alexion
will have global developing and commercialization rights to products
produced from the alliance. In turn, Ensemble will receive upfront payment
and research support besides earning additional development and commercial
milestone payments.</t>
  </si>
  <si>
    <t xml:space="preserve">015351
5A2186</t>
  </si>
  <si>
    <t xml:space="preserve">MediStem Inc
Cytori Therapeutics Inc</t>
  </si>
  <si>
    <t xml:space="preserve">Biotechnology company
Manufacture medical devices</t>
  </si>
  <si>
    <t xml:space="preserve">MediStem Inc, located in San
Diego, California, is a
biotechnology company. It
develops, acquires and
commercializes technologies
related to adult stem cell
extraction and treatment for
inflammatory and degenerative
diseases. The company was
founded in 2005.
Cytori Therapeutics Inc,
located in San Diego,
California, manufactures
medical devices. Its
products inlcude resorbable
polymer implants, stem and
regenerative cell therapies
for cardiovascular disease,
reconstructive surgery,
cosmetic, cell banking,
research, cardiovascular
disease, urinary tract
disorder, wound healing, and
other chronic and life
threatening conditions and
disorders. Its primary
product line is the Celution
system which aids in
processing adipose-derived
stem and regenerative cells
(ADRCs) at point of care.
The Company was founded in
1996.</t>
  </si>
  <si>
    <t xml:space="preserve">MEDISTEM INC/CYTORI THERAPEUTICS INC-STRATEGIC ALLIANCE</t>
  </si>
  <si>
    <t xml:space="preserve">Medistem Inc (Medistem) and Cytori Therapeutics (Cytori) formed a strategic
alliance to distribute patented cells. The alliance licensed a Stem Cell
Mediated Treg Activation in the United States. Cytori got a license and
exclusive rights to use the patent of Medistem related to a regenerative
cell based platform to treat autoimmune diseases.</t>
  </si>
  <si>
    <t xml:space="preserve">58501F
23283K</t>
  </si>
  <si>
    <t xml:space="preserve">Mitsubishi Electric Corp
Hefei Jinghong Electrical Co</t>
  </si>
  <si>
    <t xml:space="preserve">Manufacture,wholesale electric equipments
Mnfr refrigerators</t>
  </si>
  <si>
    <t xml:space="preserve">Mitsubishi Electric Corp,
located in Chiyoda-Ku Tokyo,
Japan, manufactures and
wholesales electric
equipment. It is engaged in
developing, manufacturing,
sale and distribution of a
range of electrical and
electronic equipment. The
Company operates in six
business segments. The Heavy
Electric Machinery System
manufactures and sells
turbine generators, electric
motors, transformers, power
electronics equipment and
switchgears. The Industrial
Mechatronic segment
programmable controllers,
inverters, servo, factory
automation systems and
hoists. The Information
Communication System segment
wireless and satellite
communication equipment,
mobile phones and radar
apparatus. The Electronic
Device segment manufactures
and sells power modules,
high frequency devices and
liquid crystal display
devices. The Household
Appliances segment
manufactures and sells color
televisions (TVs),
projection TV, microwave
ovens and packaged air
conditioners. The Others
segment provides financial,
logistics, real estate and
advertising services. The
Company was founded in
January 1921.
Hefei Jinghong Electrical Co
Ltd, located Hefei, China, is
focused on the research and
development, manufacturing and
sales of professional and
modern refrigerator. It was
founded in 2006.</t>
  </si>
  <si>
    <t xml:space="preserve">3621
3632</t>
  </si>
  <si>
    <t xml:space="preserve">MITSUBISHI ELECTRIC CORP/HEFEI JINGHONG ELECTRICAL CO LTD-JOINT VENTURE</t>
  </si>
  <si>
    <t xml:space="preserve">Hefei Kinghome Mitsubishi
Electric Home Appliances
Technology Development Co Ltd,
located in China, research,
develop and design large,
advanced refrigerators. It was
founded on 20 July 2013.</t>
  </si>
  <si>
    <t xml:space="preserve">Mitsubishi Electric Corp (Mitsubishi) and Hefei Jinghong Electrical Co Ltd
(Hefei Jinghong) formed a joint venture named Hefei Kinghome Mitsubishi
Electric Home Appliances Technology Development Co Ltd (JV) to research,
develop and design large, advanced refrigerators. Mitsubishi and Hefei
Jinghong each holds a 50% interest in the JV.</t>
  </si>
  <si>
    <t xml:space="preserve">7A1549</t>
  </si>
  <si>
    <t xml:space="preserve">606776
7A1545</t>
  </si>
  <si>
    <t xml:space="preserve">Bayer CropScience AG
Caprotec Bioanalytics GmbH</t>
  </si>
  <si>
    <t xml:space="preserve">Mnfr,whl agricultural chemical
Biotechnology company</t>
  </si>
  <si>
    <t xml:space="preserve">Bayer CropScience AG, located
in Monheim Am Rhein, Germany,
manufactures and wholesales
agricultural chemicals
specializing in crop
protection, non agricultural
pest-control, seeds and plant
biotechnology. It operates
through its four regional crop
protection units and two units
responsible for Environmental
Science and BioScience that
offers a range of products and
extensive service backup for
modern, sustainable
agriculture as well as for
non-agricultural applications.
The company was founded in
2002.
caprotec bioanalytics GmbH, is
a biotechnology company
headquartered in Berlin,
Germany. The company is
focused on development of
proprietary technology to
reduce the complexity of
protein mixtures and samples
in a targeted and directed
manner. Its product line
includes caprotec(TM) and
Capture Compound Mass
Spectrometry (CCMS).</t>
  </si>
  <si>
    <t xml:space="preserve">2873
2836</t>
  </si>
  <si>
    <t xml:space="preserve">Bayer AG
Caprotec Bioanalytics GmbH</t>
  </si>
  <si>
    <t xml:space="preserve">BAYER CROPSCIENCE AG/CAPROTEC BIOANALYTICS GMBH-STRATEGIC ALLIANCE</t>
  </si>
  <si>
    <t xml:space="preserve">Bayer CropScience AG (Bayer) and caprotec bioanalytics GmbH (caprotec)
formed a strategic alliance to to identify and elucidate a tractable
agrochemical target using caprotec's proprietary Capture Compound Mass
Spectrometry technology (CCMS). As part of the alliance, Caprotec will
profile the interactions of Bayer compounds with the proteome in relevant
biological systems.</t>
  </si>
  <si>
    <t xml:space="preserve">07286L
5A2597</t>
  </si>
  <si>
    <t xml:space="preserve">Quest Pharmatech Inc
Ad Biotech Co Ltd</t>
  </si>
  <si>
    <t xml:space="preserve">Manufacture,wholesale pharmaceuticals
Biotechnology company</t>
  </si>
  <si>
    <t xml:space="preserve">Quest PharmaTech Inc, located
in Edmonton, Alberta,
manufactures and wholesales
prescription pharmaceuticals
for the treatment of cancer
and other proliferative
diseases. The Company was
founded on December 16, 1996.
AD Biotech Co Ltd is a
manufacturer of biological
products. The Company was
founded in June 2002 and is
located in Chuncheon, South
Korea.</t>
  </si>
  <si>
    <t xml:space="preserve">Canada
South Korea</t>
  </si>
  <si>
    <t xml:space="preserve">QUEST PHARMATECH INC/AD BIOTECH CO LTD-STRATEGIC ALLIANCE</t>
  </si>
  <si>
    <t xml:space="preserve">Quest Pharmatech Inc (Quest) and AD Biotech Co Ltd (AD Biotech) formed a
strategic alliance to co-develop pharmaceutical technologies. Quest
received USD 2 mil funding form AD Biotech for clinical development and
will receive and up to USD 10 mil additional funding in return for Quest
common shares and future revenue sharing.</t>
  </si>
  <si>
    <t xml:space="preserve">Quest received USD 2 mil funding form AD Biotech for clinical development
and will receive and up to USD 10 mil additional funding in return for
Quest common shares and future revenue sharing.</t>
  </si>
  <si>
    <t xml:space="preserve">74836M
5A1923</t>
  </si>
  <si>
    <t xml:space="preserve">Metinvest BV
Black Iron Inc</t>
  </si>
  <si>
    <t xml:space="preserve">Miscellaneous Intermediation
Mining company</t>
  </si>
  <si>
    <t xml:space="preserve">Metinvest BV is an
intermediating company. The
Company is located in The
Hague, the Netherlands.
Black Iron Inc, located in
Toronto, Ontario, is a
mining company. The Company
has three subsidiaries:
Black Iron (Cyprus) Ltd,
Shymanivske Steel LLC and
Zelenivske Steel LLC. The
Company was founded on June
29, 2010.</t>
  </si>
  <si>
    <t xml:space="preserve">6799
1099</t>
  </si>
  <si>
    <t xml:space="preserve">Netherlands
Canada</t>
  </si>
  <si>
    <t xml:space="preserve">SCM Holdings Ltd
Black Iron Inc</t>
  </si>
  <si>
    <t xml:space="preserve">Cyprus
Canada</t>
  </si>
  <si>
    <t xml:space="preserve">METINVEST BV/BLACK IRON INC-JOINT VENTURE</t>
  </si>
  <si>
    <t xml:space="preserve">Metinvest BV and Black Iron Inc terminated their joint venture prior to the
expiration date named BKI Cyprus. The JV was to be capitalized at USD 20
million.</t>
  </si>
  <si>
    <t xml:space="preserve">Research &amp; Development Services
Investment Services</t>
  </si>
  <si>
    <t xml:space="preserve">59096A
09214V</t>
  </si>
  <si>
    <t xml:space="preserve">Co-Diagnostics Inc
DNA Logix Canada Inc</t>
  </si>
  <si>
    <t xml:space="preserve">Biotechnology Company
Pvd research,dvlp svcs</t>
  </si>
  <si>
    <t xml:space="preserve">Co-Diagnostics Inc is a
manufacturer of biological
products. The Company is
located in Sandy, Utah.
DNA Logix Canada Inc,
located in Canada, provides
research and development
services. It develops Rapid
Probes, a fifth generation
real-time PCR technology;
Hot Sta-RT, a solution that
reduces false positives and
negatives in RNA reactions;
Adaptivex Primer technology,
which allows primers to
literally jump over
nonconserved regions; Rapid
Detex Primers, a highly
sensitive probeless
detection method; and
Proprietary Statistical
Bioinformatics, a system of
algorithms that reduces
false negatives from rapidly
mutating organisms.</t>
  </si>
  <si>
    <t xml:space="preserve">CO-DIAGNOSTICS INC/DNA LOGIX INC-JOINT VENTURE</t>
  </si>
  <si>
    <t xml:space="preserve">Co-Diagnostics HBDC Inc,
provides research and
development services. The
company is headquartered in
Bountiful, Utah. It is focused
DNA testing of High Burden
Developing Countries (HDBC).
It was founded in July, 24,
2013.</t>
  </si>
  <si>
    <t xml:space="preserve">Co-Diagnostics Inc (Co-Diagnostics) and DNA Logix Inc (DNA Logix) formed a
joint venture named Co-Diagnostics HBDC Inc (JV) to address DNA testing
needs unique to High Burden Developing Countries (HDBC). The JV will market
products and services based on real-time PCR testing technology developed
by DNA Logix, which has been licensed to Co-Diagnostics HBDC specifically
for sale in such countries.</t>
  </si>
  <si>
    <t xml:space="preserve">5A2343</t>
  </si>
  <si>
    <t xml:space="preserve">5A2340
5A2341</t>
  </si>
  <si>
    <t xml:space="preserve">BIOLASE Inc
Valam Corp</t>
  </si>
  <si>
    <t xml:space="preserve">Mnfr medical lasers
Mnfr diode surgical laser</t>
  </si>
  <si>
    <t xml:space="preserve">BIOLASE Inc, headquartered in
Irvine, California,
manufactures medical lasers.
The company's products include
WaterLase iPlus(TM) and
WaterLase MDX(TM), and iLase.
The company has over 30
location worldwide. The
company was founded in 1987.
Valam Corp, headquartered in
New York, New York,
manufactures diodes surgical
lasers.</t>
  </si>
  <si>
    <t xml:space="preserve">BIOLASE INC/VALAM CORP-STRATEGIC ALLIANCE</t>
  </si>
  <si>
    <t xml:space="preserve">BIOLASE Inc (BIOLASE) and Valam Corp (Valam) formed a strategic alliance to
develop, market and sell laser systems. The alliance was to offer lasers
for otolaryngologists. The alliance was to provide BIOLASE with an Ear,
Nose and Throat 9ENT) laser patent portfolio including knowledge and
marketing support services.</t>
  </si>
  <si>
    <t xml:space="preserve">5A2992
5A2996</t>
  </si>
  <si>
    <t xml:space="preserve">GlaxoSmithKline PLC
Undisclosed JV Partner</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</si>
  <si>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Investment company</t>
  </si>
  <si>
    <t xml:space="preserve">GLAXOSMITHKLINE PLC/UNDISCLOSED PARTNER-STRATEGIC ALLIANCE</t>
  </si>
  <si>
    <t xml:space="preserve">GlaxoSmithKline PLC (GlaxoSmithKline) and an undisclosed partner (UDP)
planned to form a strategic alliance to provide vaccine related research
and marketing services.</t>
  </si>
  <si>
    <t xml:space="preserve">37733W
904JVP</t>
  </si>
  <si>
    <t xml:space="preserve">AMPAC Fine Chemicals LLC
Proteaf Technologies LLC</t>
  </si>
  <si>
    <t xml:space="preserve">Mnfr pharm ingredients
Own,op chem laboratory</t>
  </si>
  <si>
    <t xml:space="preserve">AMPAC Fine Chemicals LLC is
a manufacturer of chemical
products. The Company is
located in Rancho Cordova,
California.
Proteaf Technologies LLC,
located in Palos Verdes
Estates, California, owns and
operates chemical
laboratories. The company
offers feasibility testing,
process modelling, proof of
chemistry and others.</t>
  </si>
  <si>
    <t xml:space="preserve">American Pacific Corp
Proteaf Technologies LLC</t>
  </si>
  <si>
    <t xml:space="preserve">2819
8731</t>
  </si>
  <si>
    <t xml:space="preserve">AMPAC FINE CHEMICAL LLC/PROTEAF TECHNOLOGIES LLC-STRATEGIC ALLIANCE</t>
  </si>
  <si>
    <t xml:space="preserve">AMPAC Fine Chemicals LLC (AMPAC), a unit of American Pacific Corp, and
Proteaf Technologies LLC (Proteaf) agreed to form a strategic alliance to
develop chemistry flow for fine chemicals manufacturing.</t>
  </si>
  <si>
    <t xml:space="preserve">03245P
5A2753</t>
  </si>
  <si>
    <t xml:space="preserve">Cubist Pharmaceuticals Inc
Phylogica Ltd</t>
  </si>
  <si>
    <t xml:space="preserve">Biopharmaceutical company
Biological Product (Except Diagnostic) Manufacturing</t>
  </si>
  <si>
    <t xml:space="preserve">Cubist Pharmaceuticals Inc,
headquartered in Lexington,
Massachusetts, is a
biopharmaceutical company
focused on research,
development and
commercialization of
pharmaceutical products that
address unmet medical needs
and anti-infective therapies
for the acute care
environment. Its main product
is CUBICIN which is the first
IV antibiotic from a class of
anti-infectives called
lipopeptides. The company was
founded in 1992.
Phylogica Ltd, located in
Perth, Australia, is a
biopharmaceutical company
engaged in the discovery and
development of therapeutics
directed at proteins and
their interactions. The
Company is developing
intracellular biological
therapeutics, including its
own preclinical oncology
payloads, using its cell
Functional Penetrating
Phylomers (FPPs), with
endosomal escape. The
Company was founded in 2001
and is located in Perth,
Australia.</t>
  </si>
  <si>
    <t xml:space="preserve">CUBIST PHARMACEUTICAL INC/PHYLOGICA LTD-STRATEGIC ALLIANCE</t>
  </si>
  <si>
    <t xml:space="preserve">Phylogica Ltd (Phylogica) and Cubist Pharmaceuticals Inc (Cubist) formed a
strategic alliance to provide phylomer evaluation services. The alliance
was to be used in models of multi-drug resistant bacterial infections.</t>
  </si>
  <si>
    <t xml:space="preserve">229678
Q7524Z</t>
  </si>
  <si>
    <t xml:space="preserve">ION Geophysical Corp
Polarcus Ltd</t>
  </si>
  <si>
    <t xml:space="preserve">Manufacture seismic measurement equipment
Pvd marine acq services</t>
  </si>
  <si>
    <t xml:space="preserve">ION Geophysical Corp, located
in Houston, Texas,
manufactures seismic data
acquisition products used on
land and in transition zones.
It also provides cutting edge
seismic acquisition equipment,
software, and planning and
seismic processing services to
the global oil and gas
industry. The company was
founded in 1968
Polarcus Ltd, located in
Dubai, United Arab Emirates,
provides towed marine
contract acquisition
services, and multi client
projects to the oil &amp; gas
industry. The Company was
founded in 2008.</t>
  </si>
  <si>
    <t xml:space="preserve">3829
4492</t>
  </si>
  <si>
    <t xml:space="preserve">ION GEOPHYSICAL CORP/POLARCUS DMCC-STRATEGIC ALLIANCE</t>
  </si>
  <si>
    <t xml:space="preserve">Ion Geophysical Corp (Ion) and Polarcus DMCC (Polarcus) formed a strategic
alliance to develop, execute and market 3D multi-client seismic programs
internationally. The alliance will combine Polarcus' proven expertise in
the 3D multi-client space with that of ION's GeoVentures group's expertise
in delivering geologically-driven, basin-scale 2D multi-client surveys. It
will also use ION's BasinSPAN(TM) data library of over 450,000 kilometers
to identify new project opportunities worldwide. Further, the combination
of Polarcus' RIGHTBAND(TM) acquisition proposition and ION's WiBand(TM)
data processing technology behind the Company's fleet of advanced, high
performance 3D seismic vessels will offer the industry leading edge
multi-client data imaging.</t>
  </si>
  <si>
    <t xml:space="preserve">457652
73132E</t>
  </si>
  <si>
    <t xml:space="preserve">Zydus Healthcare SA PTY Ltd
IDRI</t>
  </si>
  <si>
    <t xml:space="preserve">Zydus Healthcare SA PTY Ltd,
located in India, is a
pharmaceutical manufacturing
company.
Infectious Disease Research
Institute{IDRI}, located in
Seattle, Washington, is a
biotechnology company. The
company develops vaccines,
diagnostics, and therapeutics
for neglected diseases,
including tuberculosis,
leishmaniasis, leprosy, Chagas
disease and others.</t>
  </si>
  <si>
    <t xml:space="preserve">Zydus Family Trust
IDRI</t>
  </si>
  <si>
    <t xml:space="preserve">6733
2836</t>
  </si>
  <si>
    <t xml:space="preserve">ZYDUS HEALTHCARE SA PTY LTD/INFECTIOUS DISEASE RESEARCH
INSTITUTE{IDRI}-STRATEGIC ALLIANCE</t>
  </si>
  <si>
    <t xml:space="preserve">Zydus Healthcare SA PTY LTD (Zydus), a unit of Cadila Healthcare Ltd and
Infectious Disease Research Institute{IDRI} formed a strategic alliance to
develop,register and market vaccine candidates. The alliance was to develop
the vaccines for Kala-Azar (Visceral Leishmaniasis) prevention.</t>
  </si>
  <si>
    <t xml:space="preserve">99161P
46469X</t>
  </si>
  <si>
    <t xml:space="preserve">Quintiles Transnational Corp
Ascendancy Healthcare Inc</t>
  </si>
  <si>
    <t xml:space="preserve">Biopharmaceutical company
Mnfr pharm, therapeutic prods</t>
  </si>
  <si>
    <t xml:space="preserve">Quintiles Transnational Corp,
headquartered in Durham, North
Carolina, is a
biopharmaceutical company. It
is a fully integrated
biopharmaceutical services
company offering clinical,
commercial, consulting and
capital solutions worldwide.
Operations are carried out in
Africa, Asia, Australia, New
Zealand, Europe, North and
Central America, and South
America. The company was
founded in 1982.
Ascendancy Healthcare Inc,
located in San Francisco,
California, develops and
manufactures pharmaceutical
and therapeutic products. The
company registers its products
in China. The company was
founded in 2011.</t>
  </si>
  <si>
    <t xml:space="preserve">Quintiles Transnatl Hldg Inc
Ascendancy Healthcare Inc</t>
  </si>
  <si>
    <t xml:space="preserve">QUINTILES TRANSNATIONAL CORP/ASCENDANCY HEALTHCARE INC-STRATEGIC ALLIANCE</t>
  </si>
  <si>
    <t xml:space="preserve">Quintiles Transnational Corp (Quintiles), a unit of Pharma Services Holding
Inc, and Ascendancy Healthcare Inc (Ascendancy) formed a strategic alliance
to provide clinical research services in China. The alliance was to have a
period of two and a half (2 ) years. Quintiles was to offer product
assessments and clinical research services like trial planning,
productivity optimization, and execution of cost-efficient studies, for
therapeutic compounds of Ascendancy. The participants were to be entitled
to renew the contract for an additional two and one-half (2 1/1) year
period. Other details of the deal were not disclosed.</t>
  </si>
  <si>
    <t xml:space="preserve">748767
5A5051</t>
  </si>
  <si>
    <t xml:space="preserve">Sony Corp
Panasonic Corp</t>
  </si>
  <si>
    <t xml:space="preserve">Mnfr,whl teleivision,audio prod
Manufacture,wholesale electronic products</t>
  </si>
  <si>
    <t xml:space="preserve">Sony Corp, headquartered in
Tokyo, Japan, manufactures
and wholesales television
and audio products, is
principally engaged in the
operation of imaging
products and solution
(IP&amp;S), game, mobile
products and communication
(MP&amp;C), home entertainment
and sound (HE&amp;S), device,
movie, music, financial and
other business. The IP&amp;S
segment provides digital
imaging products and
professional solutions. The
Game segment produces and
distributes consumer game
machines and software. The
MP&amp;C segment operates mobile
communication and personal
mobile product business. The
HE&amp;S segment operates
television business, video
and audio business. Device
segment operates
semiconductor business and
component business. Movie
segment designs, produces,
distribution and broadcasts
movies and television
programs. Music segment
produces and distributes
music software and animation
products. Finance segment
operates insurance and
banking business. The Others
segment undertakes mobile
phone manufacturing works
and operates network,
medical and disc
manufacturing works, among
others. The company was
founded in 1946.
Panasonic Corp,
headquartered in Osaka,
Japan, manufactures and
wholesales electronic
products. Its segments
include Appliance, Eco
Solution, AVC Networks,
System and others segments.
The Appliance segment is
engaged in the development,
manufacture and sale of
white goods, beauty and
living appliance, healthy
products, among others. The
Eco Solution segment is
lighting fixtures, lamps,
lighting devices, wiring
devices, distribution panel
boards, housing-related
materials and equipment, PV
power generation systems,
storage batteries,
ventilation fans. The AVC
Networks segment is engaged
in the development,
manufacture of digital
camera and mobile phone. The
Automotive and Industrial
System segment is engaged in
the development, manufacture
and sales of automotive
founded in 1918. related
products, Industrial related
devices, among others. The
Company was founded in March
1918.</t>
  </si>
  <si>
    <t xml:space="preserve">SONY CORP/PANASONIC CORP-STRATEGIC ALLIANCE</t>
  </si>
  <si>
    <t xml:space="preserve">Sony Corp (Sony) and Panasonic Corp (Panasonic) agreed to form a strategic
alliance to develop optical discs. The alliance was to expand for long-term
digital data storage of the discs. By the end of 2015, the alliance was to
target the development of an optical disc with recording capacity of at
least 300GB.</t>
  </si>
  <si>
    <t xml:space="preserve">835699
J6354Y</t>
  </si>
  <si>
    <t xml:space="preserve">Lonza Group AG
BioWa Inc
Pfizer Inc</t>
  </si>
  <si>
    <t xml:space="preserve">Biopharmaceutical company
Biopharmaceutical co
Manufacture,wholesale pharmaceuticals</t>
  </si>
  <si>
    <t xml:space="preserve">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
BioWa Inc, located in
Princeton, New Jersey, is a
biopharmaceutical company. It
is the exclusive worldwide
licensor of Potelligent
Technology, a patented
technology that creates 100%
fucose-free monoclonal
antibodies. The company was
founded in 2003.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</si>
  <si>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2836
2836
2834</t>
  </si>
  <si>
    <t xml:space="preserve">FF
CA
NY</t>
  </si>
  <si>
    <t xml:space="preserve">Lonza Group AG
Kirin Holdings Co Ltd
Pfizer Inc</t>
  </si>
  <si>
    <t xml:space="preserve">Switzerland
Japan
United States</t>
  </si>
  <si>
    <t xml:space="preserve">2836
2082
2834</t>
  </si>
  <si>
    <t xml:space="preserve">LONZA GROUP AG/BIOWA INC/PFIZER INC-STRATEGIC ALLIANCE</t>
  </si>
  <si>
    <t xml:space="preserve">Lonza Group AG (Lonza), BioWa Inc (BioWa), a wholly owned unit of Kyowa
Hakko Kogyo Co Ltd, and Pfizer Inc (Pfizer) formed a strategic alliance to
provide research and development services of antibodies. The alliance
allowed use of Potelligent (R) Chok1SV Cell Line in the line of Pfizer.</t>
  </si>
  <si>
    <t xml:space="preserve">54338V
09018J
717081</t>
  </si>
  <si>
    <t xml:space="preserve">Life Technologies Corp
Novartis AG</t>
  </si>
  <si>
    <t xml:space="preserve">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</si>
  <si>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LIFE TECHNOLOGIES CORP/NOVARTIS AG-STRATEGIC ALLIANCE</t>
  </si>
  <si>
    <t xml:space="preserve">Life Technologies Corp (Life Technologies) and Novartis AG (Novartis)
formed a strategic alliance to develop immuno therapeutics including T
cells for cancer treatment. Life Technologies was to provide its
technology, Dynabeads CD3/CD28 CTS. The alliance allowed intellectual
property of Life Technologies to conduct resulting therapy. The development
of the alliance was to be for exclusive use in the field of chimeric
antigen receptors for cancer treatment.</t>
  </si>
  <si>
    <t xml:space="preserve">53217V
66987V</t>
  </si>
  <si>
    <t xml:space="preserve">AstraZeneca PLC
FibroGen Inc</t>
  </si>
  <si>
    <t xml:space="preserve">Manufactures, wholesales pharmaceutical products
Biotech co</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</si>
  <si>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FibroGen Inc, located in San
Francisco, California, is a
biopharmaceutical company.
It is focused on the
discovery, development and
commercialization of novel
therapeutics to treat
serious unmet medical needs,
specializing in fibrosis and
hypoxia-inducible factor, or
HIF.</t>
  </si>
  <si>
    <t xml:space="preserve">ASTRAZENECA PLC/FIBROGEN INC-STRATEGIC ALLIANCE</t>
  </si>
  <si>
    <t xml:space="preserve">AstraZeneca PLC (AstraZeneca) and FibroGen Inc (FibroGen) formed a
strategic alliance for the development and commercialization of FG-4592, an
oral compound in late stage development for the treatment of anaemia
associated with chronic kidney disease (CKD) and end-stage renal disease
(ESRD). The alliance will focus on the US, China and all major markets
excluding Japan, Europe, the Commonwealth of Independent States, the Middle
East and South Africa. FibroGen is entitled to receive up to USD 350 mil
upfront and subsequent non-contingent payments, as well as potential future
development related milestone payments of up to USD 465 mil, and potential
future sales related milestone payments in addition to tiered royalty
payments.</t>
  </si>
  <si>
    <t xml:space="preserve">FibroGen is entitled to receive up to USD 350 mil upfront and subsequent
non-contingent payments, as well as potential future development related
milestone payments of up to USD 465 mil, and potential future sales related
milestone payments in addition to tiered royalty payments.</t>
  </si>
  <si>
    <t xml:space="preserve">046353
31572Q</t>
  </si>
  <si>
    <t xml:space="preserve">Bionomics Ltd
Merck &amp; Co Inc</t>
  </si>
  <si>
    <t xml:space="preserve">Biotechnology company
Manufactures and wholesales pharmaceuticals</t>
  </si>
  <si>
    <t xml:space="preserve">Bionomics Ltd, located in
Adelaide, Australia, is a
biotechnology company
focuses on the discovery and
developing new treatments
for cancer and serious
disorders of the central
nervous system. It is
engaged in undertaking
research and development
utilizing Bionomics''
technology platforms with
the aim of identifying and
developing therapies to
treat cancer and conditions
of the CNS, including
anxiety, Multiple Sclerosis
and epilepsy. It operates in
three segments: drug
discovery, drug development
and contract services. Drug
discovery is the creation
and ongoing testing of
compounds to determine the
best compound that matches
the product profile. Drug
development is defined as
the ongoing testing,
including clinical trials of
the best compound with a
view to commercialization of
the compound. Contract
services is the provision of
scientific services on a fee
for service basis to both
external and internal
customers. It was founded in
1999.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</si>
  <si>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BIONOMICS LTS/MERCK &amp; CO INC-STRATEGIC ALLIANCE</t>
  </si>
  <si>
    <t xml:space="preserve">Bionomics Ltd (Bionomics) and Merck &amp; Co Inc (Merck) formed a strategic
alliance to develop small molecule candidates for pain treatments for two
(2) years. The alliance was to discover and develop molecules for chronic
pain which includes neuropathic pain. Bionomics was to contribute the
commercialization and development which entitles it to receive option
exercise fees and development and regulatory payments of up to USD172 mil.
On the net sales of the products, Bionomics may receive an undisclosed
amount of royalties.</t>
  </si>
  <si>
    <t xml:space="preserve">Q1521J
58933Y</t>
  </si>
  <si>
    <t xml:space="preserve">Genewiz Inc
BeiGene Ltd</t>
  </si>
  <si>
    <t xml:space="preserve">Pvd genomics research svcs
Biotechnology company</t>
  </si>
  <si>
    <t xml:space="preserve">Genewiz Inc is a provider of
biotechnology research and
development services. The
Company was founded in 1999
and is located in South
Plainfield, New Jersey.
BeiGene Ltd is a
biopharmaceutical company
dedicated to the discovery
and development of
innovative, molecularly
targeted and immuno-oncology
drugs for the treatment of
cancer.. The company was
founded in October 2010 and
is located in Beijing,
China. China. China. China.</t>
  </si>
  <si>
    <t xml:space="preserve">GENEWIZ INC/EIGEN LTD-STRATEGIC ALLIANCE</t>
  </si>
  <si>
    <t xml:space="preserve">GENEWIZ Inc (GENEWIZ) and BeiGene Ltd (BeiGene) formed a strategic alliance
to research and develop cancer biomarkers. The alliance was to aid drug
target identification.</t>
  </si>
  <si>
    <t xml:space="preserve">5A3937
5A3942</t>
  </si>
  <si>
    <t xml:space="preserve">Genzyme Corp
Gallus Biopharmaceuticals LLC</t>
  </si>
  <si>
    <t xml:space="preserve">Biotechnology company
Manufacture biologic products</t>
  </si>
  <si>
    <t xml:space="preserve">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
Gallus Biopharmaceuticals LLC,
located in St. Louis,
Missouri, manufactures
clinical and commercial bulk
biologics products to the
biopharmaceutical industry in
the United States and
internationally. The company
also provides process
development, analytical
development, process
validation, cell banking,
stability testing, QA/QC, and
regulatory support solutions.
The company was founded in
2010.</t>
  </si>
  <si>
    <t xml:space="preserve">MA
MO</t>
  </si>
  <si>
    <t xml:space="preserve">Sanofi SA
Ridgemont Partners Management</t>
  </si>
  <si>
    <t xml:space="preserve">GENZYME CORP/GALLUS BIOPHARMACEUTICALS LLC-STRATEGIC ALLIANCE</t>
  </si>
  <si>
    <t xml:space="preserve">Genzyme Corp (Genzyme) and Gallus BioPharmaceuticals LLC (Gallus) formed a
strategic alliance where Gallus will provide support for commercial
manufacturing of an infused protein-based therapy targeting the disease
Niemann-Pick type B.</t>
  </si>
  <si>
    <t xml:space="preserve">Research &amp; Development Services
Manufacturing Services
Supply Services</t>
  </si>
  <si>
    <t xml:space="preserve">372917
35796C</t>
  </si>
  <si>
    <t xml:space="preserve">Nibio
Sumitomo Dainippon Pharma Co
Japan BCG Laboratory</t>
  </si>
  <si>
    <t xml:space="preserve">Pvd medical research services
Manufacture, wholesale pharma production, chemical
Mnfr vaccines</t>
  </si>
  <si>
    <t xml:space="preserve">National Institute of
Biomedical Innovation {Nibio],
headquartered in Osaka, Japan,
is a provider of medical
research services to create
innovative pharmaceuticals.
Sumitomo Dainippon Pharma Co
Ltd is a manufacturer of
pharmaceutical preparation.
The Company was founded in
May 1897 and is located in
Osaka-Shi Osaka, Japan.
Japan BCG Laboratory,
headquartered in Tokyo, Japan,
is a manufacturer of high
quality BCG (Bacillus-Calmette
Gurin) vaccine.</t>
  </si>
  <si>
    <t xml:space="preserve">8731
2834
2836</t>
  </si>
  <si>
    <t xml:space="preserve">Nibio
Sumitomo Chemical Co Ltd
Japan BCG Laboratory</t>
  </si>
  <si>
    <t xml:space="preserve">8731
2821
2836</t>
  </si>
  <si>
    <t xml:space="preserve">NATIONAL INSTITUTE OF BIOMEDICAL INNOVATION/DAINIPPON SUMITOMO PHARMA CO
LTD/JAPAN BCG LABORATORY-JOINT VENTURE</t>
  </si>
  <si>
    <t xml:space="preserve">National Institute of Biomedical Innovation (NIBIO), Dainippon Sumitomo
Pharma Co Ltd and Japan BCG Laboratory formed a joint venture named Create
Vaccine Company Ltd , to develop new TB vaccines by the end of December
2013. Create Vaccine is a joint venture company established on July 31,
2013 by DSP &amp; Japan BCG for the promotion of new TB vaccine businesses.If
successfully developed, the mucosal vaccine will be the worlds first TB
vaccine of its kind</t>
  </si>
  <si>
    <t xml:space="preserve">
50.00
50.00</t>
  </si>
  <si>
    <t xml:space="preserve">7A1609
J10542
7A1616</t>
  </si>
  <si>
    <t xml:space="preserve">Amerigen Pharmaceuticals Ltd
Forest Laboratories Inc</t>
  </si>
  <si>
    <t xml:space="preserve">Amerigen Pharmaceuticals
Ltd, located in Lyndhurst,
New Jersey, manufactures
biological products. It has
locations in China. The
Company was founded in 2007.
Forest Laboratories Inc,
located in New York, New York,
manufactures and wholesales
prescription pharmaceuticals
intended for final
consumption, including biotech
products and antibiotics for
the therapeutic areas of the
central nervous,
cardiovascular and respiratory
systems. The holding company
was founded in 1954.</t>
  </si>
  <si>
    <t xml:space="preserve">AMERIGEN PHARMACEUTICALS LTD/FOREST LABORATORIES INC-STRATEGIC ALLIANCE</t>
  </si>
  <si>
    <t xml:space="preserve">Amerigen Pharmaceuticals Ltd (Amerigen) and Forest Laboratories Inc
(Forest) formed a strategic alliance to develop a range of specialty
generic products. Products resulting from the alliance will be
commercialised in the US.</t>
  </si>
  <si>
    <t xml:space="preserve">03054H
345838</t>
  </si>
  <si>
    <t xml:space="preserve">Scripps Research Institute
Serina Therapeutics Inc</t>
  </si>
  <si>
    <t xml:space="preserve">Scripps Research Institute,
located in La Jolla,
California, is a
biotechnology company
focused on basic biomedical
science. It is recognized
for its research in
immunology, molecular and
cellular biology, chemistry,
neurosciences, autoimmune
diseases, cardiovascular
diseases, virology, and
synthetic vaccine
development. The company was
founded in 1924.
Serina Therapeutics Inc is a
pharmaceutical manufacturing
firm, headquartered in
Huntsville, Alabama. The
company is focused in the
advancement of novel
therapeutics for Parkinson's
disease (PD), cancer,
inflammation, pain and
metabolic disorders using its
proprietary polymer
technology. Its products
include SER-21, Serina's lead
clinical candidate, which is
being developed for
Parkinson's disease (PD) and
restless leg syndrome (RLS);
SER-203 is Serina's initial
POZ polymer conjugate of a
potent oncolytic linked to our
polymer. SER-203 is a pendant
POZ with multiple molecules of
the potent anti-cancer drug
irinotecan attached to it, and
it contains the targeting
group folate at the terminus;
and SER-207 is in advanced
stages of research as a
follow-on compound to SER-21x
- it is a folate-targeted POZ
conjugate that has a different
potent anti-cancer
chemotherapeutic attached to
it. It was founded in 2007.</t>
  </si>
  <si>
    <t xml:space="preserve">CA
AL</t>
  </si>
  <si>
    <t xml:space="preserve">SCRIPPS RESEARCH INSTITUTE/SERINA THERAPEUTICS INC-STRATEGIC ALLIANCE</t>
  </si>
  <si>
    <t xml:space="preserve">Scripps Research Institute (Scripps) and Serina Therapeutics Inc (Serina)
formed a strategic alliance to develop polymer-antibody drug conjugates
(Polymer-ADCs).</t>
  </si>
  <si>
    <t xml:space="preserve">81106Q
5A7033</t>
  </si>
  <si>
    <t xml:space="preserve">Bayer Healthcare AG
Compugen Ltd</t>
  </si>
  <si>
    <t xml:space="preserve">Mnfr pharmaceutical products
Biotechnology company</t>
  </si>
  <si>
    <t xml:space="preserve">Bayer HealthCare AG, located
in Leverkusen, Germany,
manufactures pharmaceutical
products that diagnose,
prevent, and treat diseases of
both humans and animals. They
have four divisions: Animal
Health (veterinary drugs);
Consumer Care (OTC meds);
Diabetes Care; and
Pharmaceuticals (represented
by Bayer-Schering Pharma and
Bayer Healthcare
Pharmaceuticals), operating in
more than 120 countries
worldwide including the US and
Africa.
Compugen Ltd is a
manufacturer of biological
products.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 Company was founded in
1993 and is located in
Holon, Israel.</t>
  </si>
  <si>
    <t xml:space="preserve">Germany
Israel</t>
  </si>
  <si>
    <t xml:space="preserve">Bayer AG
Compugen Ltd</t>
  </si>
  <si>
    <t xml:space="preserve">BAYER HEALTHCARE AG/COMPUGEN AG-STRATEGIC ALLIANCE</t>
  </si>
  <si>
    <t xml:space="preserve">Bayer Healthcare AG (Bayer Healthcare), a unit of Bayer AG, and Compugen
Ltd (Compugen) formed a strategic alliance to research, develop and
commercialize antibody-based therapeutics. The alliance was to develop this
therapeutics for cancer immunotherapy against two (2) novel Compugen
discovered immune checkpoint regulators. The participants were to conduct a
preclinical research program in line with the alliance. Compugen was to
receive an upfront payment of USD 10 mil and is eligible to receive over
USD 500 mil as potential milestone payments. The amount of up to USD 30 mil
milestone payments associated with preclinical activities are not included.
Compugen may receive mid to high single digit royalties on global net sales
of any products of the alliance.</t>
  </si>
  <si>
    <t xml:space="preserve">Compugen was to receive an upfront payment of USD 10 mil and is eligible to
receive over USD 500 mil as potential milestone payments. The amount of up
to USD 30 mil milestone payments associated with preclinical activities are
not included. Compugen may receive mid to high single digit royalties on
global net sales of any products of the alliance.</t>
  </si>
  <si>
    <t xml:space="preserve">07287J
M25722</t>
  </si>
  <si>
    <t xml:space="preserve">Fountain Biopharma Inc
CSPC Pharmaceutical</t>
  </si>
  <si>
    <t xml:space="preserve">Fountain Biopharma Inc is a
manufacturer and wholesaler
of biological products. The
Company was founded in
December 2010 and is located
in Taipei, Taiwan.
CSPC Pharmaceutical Group
Ltd, located in Hong Kong,
manufacture and wholesale
pharmaceutical products. It
is mainly engaged in
manufacturing prescription
pharmaceuticals intended for
final consumption, including
biotech products and
antibiotics. The companies
major products include
Vitamin C, Penicillin G, and
1-ACA. The company is also
an investment holding
company. The companys
subsidiaries include Golden
Wing Ltd, Tin Lon Investment
Ltd, CSPC Zhongrun
Pharmaceutical (Inner
Mongolia) Company Ltd., CSPC
Zhongqi Pharmaceutical
Technology (Shijiazhuang)
Company Ltd and Inner
Mongolia Zhongxingyuan
Sewage Treatment Company Ltd</t>
  </si>
  <si>
    <t xml:space="preserve">Taiwan
Hong Kong</t>
  </si>
  <si>
    <t xml:space="preserve">Fountain Biopharma Inc
Hony Capital Fund III LP</t>
  </si>
  <si>
    <t xml:space="preserve">FOUNTAIN BIOPHARMA INC/CSPC PHARMACEUTICAL GROUP LTD-STRATEGIC ALLIANCE</t>
  </si>
  <si>
    <t xml:space="preserve">Fountain Biopharma Inc (Fountain Biopharma) and CSPC Pharmaceutical Group
Ltd (CSPC Pharmaceutical) formed a strategic alliance to research and
develop medicinal drugs. Fountain Biopharma and CSPC Pharmaceutical were to
include drugs like FB704A (antibody for cancer), FB121 (antibody for asthma
and allergy) and FB317 (antibody for Aids).</t>
  </si>
  <si>
    <t xml:space="preserve">Y2R1HK
Y1837N</t>
  </si>
  <si>
    <t xml:space="preserve">Oneness Biotech Co Ltd
CSPC Pharmaceutical</t>
  </si>
  <si>
    <t xml:space="preserve">Oneness Biotech Co Ltd is a
biotechnology company
headquartered in Taiwan.
It's products include WH-1,
which is a drug for the
treatment of diabetic foot
ulcers. It was established
in 2008.
CSPC Pharmaceutical Group
Ltd, located in Hong Kong,
manufacture and wholesale
pharmaceutical products. It
is mainly engaged in
manufacturing prescription
pharmaceuticals intended for
final consumption, including
biotech products and
antibiotics. The companies
major products include
Vitamin C, Penicillin G, and
1-ACA. The company is also
an investment holding
company. The companys
subsidiaries include Golden
Wing Ltd, Tin Lon Investment
Ltd, CSPC Zhongrun
Pharmaceutical (Inner
Mongolia) Company Ltd., CSPC
Zhongqi Pharmaceutical
Technology (Shijiazhuang)
Company Ltd and Inner
Mongolia Zhongxingyuan
Sewage Treatment Company Ltd</t>
  </si>
  <si>
    <t xml:space="preserve">Microbio Co Ltd
Hony Capital Fund III LP</t>
  </si>
  <si>
    <t xml:space="preserve">ONENESS BIOTECH CO LTD/CSPC PHARMACEUTICAL GROUP LTD-STRATEGIC ALLIANCE</t>
  </si>
  <si>
    <t xml:space="preserve">Oneness Biotech Co Ltd (Oneness) and CSPC Pharmaceutical Group Ltd (CSPC
Pharmaceutical) formed a strategic alliance to research and develop
medicinal drugs. Oneness and CSPC Pharmaceutical were to include OB318 in
the research and development, it is an anticancer treatment.</t>
  </si>
  <si>
    <t xml:space="preserve">68351P
Y1837N</t>
  </si>
  <si>
    <t xml:space="preserve">Microbio Co Ltd
CSPC Pharmaceutical</t>
  </si>
  <si>
    <t xml:space="preserve">Manufacture pharmaceuticals
Mnfr,whl pharm prod</t>
  </si>
  <si>
    <t xml:space="preserve">Microbio Co Ltd, located in
Taipei, Taiwan, manufactures
prescription pharmaceuticals
intended for final
consumption, including biotech
products and antibiotics;
offers new Botanical drugs,
health supplements, etc. The
company was founded on May
2000.
CSPC Pharmaceutical Group
Ltd, located in Hong Kong,
manufacture and wholesale
pharmaceutical products. It
is mainly engaged in
manufacturing prescription
pharmaceuticals intended for
final consumption, including
biotech products and
antibiotics. The companies
major products include
Vitamin C, Penicillin G, and
1-ACA. The company is also
an investment holding
company. The companys
subsidiaries include Golden
Wing Ltd, Tin Lon Investment
Ltd, CSPC Zhongrun
Pharmaceutical (Inner
Mongolia) Company Ltd., CSPC
Zhongqi Pharmaceutical
Technology (Shijiazhuang)
Company Ltd and Inner
Mongolia Zhongxingyuan
Sewage Treatment Company Ltd</t>
  </si>
  <si>
    <t xml:space="preserve">MICROBIO CO LTD/CSPC PHARMACEUTICAL GROUP LTD-STRATEGIC ALLIANCE</t>
  </si>
  <si>
    <t xml:space="preserve">Microbio Co Ltd (Microbio) and CSPC Pharmaceutical Group Ltd (CSPC
Pharmaceutical) formed a strategic alliance to research and develop
medicinal drugs. Microbio and CSPC Pharmaceutical were to include an oral
cancer adjuvant therapy, a menstrual discomfort treatment and a treatment
for hepatitis C.</t>
  </si>
  <si>
    <t xml:space="preserve">Y6035R
Y1837N</t>
  </si>
  <si>
    <t xml:space="preserve">Compugen Ltd
Bayer AG</t>
  </si>
  <si>
    <t xml:space="preserve">Biotechnology company
Manufacture and Wholesale Chemicals &amp; Pharmaceuticals</t>
  </si>
  <si>
    <t xml:space="preserve">Compugen Ltd is a
manufacturer of biological
products.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 Company was founded in
1993 and is located in
Holon, Israel.
Bayer AG, located in
Leverkusen, Germany,
manufactures organic
chemicals. The Company was
founded in August 1863.</t>
  </si>
  <si>
    <t xml:space="preserve">Israel
Germany</t>
  </si>
  <si>
    <t xml:space="preserve">COMPUGEN LTD/BAYER AG-STRATEGIC ALLIANCE</t>
  </si>
  <si>
    <t xml:space="preserve">Compugen Ltd (COM) and Bayer AG (BAY) formed a strategic alliance (ST) to
provide research, development and commercialization services in Israel.
Under the terms of the agreement, COM will receive an upfront payment of
USD 10 million, and is eligible to receive over USD 500 million in
potential milestone payments for both programs, not including milestone
payments of up to USD 30 million associated with preclinical activities.</t>
  </si>
  <si>
    <t xml:space="preserve">M25722
072730</t>
  </si>
  <si>
    <t xml:space="preserve">Gene Techno Science Co Ltd
Itochu Chemical Frontier Corp</t>
  </si>
  <si>
    <t xml:space="preserve">Research and Development in Biotechnology
Mnfr,whl chemicals</t>
  </si>
  <si>
    <t xml:space="preserve">Gene Techno Science Co Ltd,
based in Hokkaido, Japan, is
mainly engaged in engaged in
the development of
biopharmaceuticals including
biosimilars and new drugs.
The Biosimilars segment
develops biosimilars of
equal or superior quality to
existing biopharmaceuticals
with patents expired, and
conducts the nonclinical
studies. It builds in-house
or introduces from others
the cells that produce the
drug substances of
biopharmaceuticals. Its
primary product is
granulocyte colony
stimulating factor (G-CSF),
which promotes the
differentiation and growth
of neutrophils, one of the
white blood cells, and
increases neutrophils
function. The New
Biopharmaceuticals segment
is engaged in the research
and development of new
biopharmaceuticals,
cooperating with
universities and research
institutions. It primary
product is anti-9 integrin
antibody, which inhibits the
binding of 9 integrin and
osteopontin. The company was
founded in 2001.
Itochu Chemical Frontier
Corp is a manufacturer of
chemical products. The
Company was founded in
September 1971 and is
located in Minato-Ku Tokyo,
Japan.</t>
  </si>
  <si>
    <t xml:space="preserve">Gene Techno Science Co Ltd
Itochu Corp</t>
  </si>
  <si>
    <t xml:space="preserve">GENE TECHNO SCIENCE CO LTD/ITOCHU CHEMICAL FRONTIER CORP-STRATEGIC
ALLIANCE</t>
  </si>
  <si>
    <t xml:space="preserve">Gene Techno Science Co Ltd (Gene Techno) and Itochu Chemical Frontier Corp
(Itochu Chemical) formed a strategic alliance to research and develop
biosimilar products. Biosimilar products are biologic medical products
whose active drug substance is made by a living organism or derived from a
living organism by means of recombinant DNA or controlled gene expression
methods.</t>
  </si>
  <si>
    <t xml:space="preserve">J1770Q
46710Q</t>
  </si>
  <si>
    <t xml:space="preserve">Novartis AG
Ensemble Therapeutics</t>
  </si>
  <si>
    <t xml:space="preserve">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
Ensemble Therapeutics, is a
biotechnology company
headquartered in Cambridge,
Massachusetts. One of its
products is Ensemblins(TM),
which open up new ways to
treat diseases by addressing
drug targets that are
currently inaccessible with
conventional small molecule
drugs. Ensemblins are
synthetic macrocycles that
have a distinct ring
structure, which confers an
unprecedented combination of
chemical and biologic
properties that stretch the
therapeutic potential of small
molecule drugs including
unique properties for binding
to human disease targets.</t>
  </si>
  <si>
    <t xml:space="preserve">NOVARTIS AG/ENSEMBLE THERAPEUTICS-STRATEGIC ALLIANCE</t>
  </si>
  <si>
    <t xml:space="preserve">Novartis AG (Novartis) and Ensemble Therapeutics (Ensemble) formed a
strategic alliance for Ensemble's most advanced proprietary program that
targets the inflammatory cytokine IL-17, and for a new program to discover
novel small molecule treatments against undisclosed drug targets specified
by Novartis using Ensemble's proprietary drug discovery platforms. Ensemble
is entitled to receive upfront payment, potential success-based development
and sales milestone payments and royalties.</t>
  </si>
  <si>
    <t xml:space="preserve">66987V
5A2186</t>
  </si>
  <si>
    <t xml:space="preserve">JSR Corp
SCIVAX Life Sciences Inc</t>
  </si>
  <si>
    <t xml:space="preserve">Mnfr,whl synthetic rubber
Dvlp 3D cell culture plates</t>
  </si>
  <si>
    <t xml:space="preserve">JSR Corp, located in
Minato-Ku Tokyo, Japan, is a
manufacturer of synthetic
rubber.The Company offers
products such as
general-purpose synthetic
rubber and special synthetic
rubber, thermoplastic
elastomer (TPE) which has
the characteristics of
synthetic rubber and
synthetic resin, and
emulsion in which synthetic
rubber and synthetic resin
are dispersed in liquid
products. In addition, it
provides a variety of
materials such as
high-performance
dispersants,
high-performance sol-gel
agents, industrial
particles, battery
materials, and thermal
management materials that
contribute to energy saving
as functional chemicals. The
Company was founded in
December 1957.
SCIVAX Life Science Co Ltd,
located in Kanagawa, Japan,
develops three-dimensional
cell culture plate. Its
product, NanoCulture Plate,
has been used at various
pharmaceutical companies and
academic institutions for
advanced drug discovery
research. It was founded in 3
June 2013.</t>
  </si>
  <si>
    <t xml:space="preserve">2822
8731</t>
  </si>
  <si>
    <t xml:space="preserve">JSR CORP/SCIVAX LIFE SCIENCES INC-STRATEGIC ALLIANCE</t>
  </si>
  <si>
    <t xml:space="preserve">JSR Corp (JSR) and SCIVAX Life Sciences Inc (SCIVAX) formed a strategic
alliance for the development of new applications of NanoCulture Plate that
utilize JSR's polymer expertise combined with SCIVAX Life Sciences' 3D cell
culturing technology. The alliance will see the partners develop and expand
the three-dimensional (3D) cell culture business. JSR became a minority
owner in SCIVAX Life Sciences and secured rights to sell its products to
the global market via JSR's global network including JSR Life Sciences Corp
in Japan/Asia, JSR Micro Inc in the US and JSR Micro NV in Europe.</t>
  </si>
  <si>
    <t xml:space="preserve">46577N
7A3192</t>
  </si>
  <si>
    <t xml:space="preserve">Verisante Technology Inc
BC Cancer Agency
Fujian Normal University</t>
  </si>
  <si>
    <t xml:space="preserve">Mnfr med devices
Own,op cancer center
Own,op college,university</t>
  </si>
  <si>
    <t xml:space="preserve">Verisante Technology Inc
manufactures medical devices
for the early diagnosis and
treatment of skin cancer.
The company primarily offers
terahertz electromagnetic
radiation chips that are
used for spectroscopy,
imaging, and sensing; and
the spectrometer that may be
used to generate and detect
both pulse and signals. It
has three areas of interest:
terahertz medical imaging,
terahertz biological
spectroscopy and sensing,
and terahertz monitoring and
spectroscopy in the
pharmaceutical industry. It
was founded on 7 March 2006.
The Company was founded in
March 2006 and is located in
Richmond, Canada.
BC Cancer Agency, located in
Surrey, Canada, own and
operate cancer. The BC Cancer
Agency operates six regional
cancer centres, providing
assessment and diagnostic
services, chemotherapy,
radiation therapy, and
supportive care. It was
founded in 1938.
Fujian Normal University, owns
and operates a
college/university. The
college/university is
headquartered in Fuzhou,
China. It was founded in 1907.</t>
  </si>
  <si>
    <t xml:space="preserve">3841
8069
8221</t>
  </si>
  <si>
    <t xml:space="preserve">Canada
Canada
China</t>
  </si>
  <si>
    <t xml:space="preserve">VERISANTE TECHNOLOGY INC/BC CANCER AGENCY/FUJIAN NORMAL
UNIVERSITY-STRATEGIC ALLIANCE</t>
  </si>
  <si>
    <t xml:space="preserve">Verisante Technology Inc (Verisante) and BC Cancer Agency (BCCA) and Fujian
Normal University (FNU) formed a strategic alliance todevelop a new
application for the Verisante's exclusively licensed platform technology.
Verisante has currently licensed technology from the BCCA to develop its
Core(TM) devices, which use an endoscope for the detection of lung, colon,
gastro-intestinal and cervical cancers. This new collaboration adds an
option to include nasopharyngeal cancer on the list of applications
licensed from the BCCA to Verisante. The University will be using a
nasopharyngeal endoscopic laser Raman system in a study to detect cancerous
lesions.</t>
  </si>
  <si>
    <t xml:space="preserve">92346G
05434R
7A3122</t>
  </si>
  <si>
    <t xml:space="preserve">Narayana Nethralaya
MedGenome Labs Ltd</t>
  </si>
  <si>
    <t xml:space="preserve">Own,op eye hospital
Provide medical healthcare services</t>
  </si>
  <si>
    <t xml:space="preserve">Narayana Nethralaya,
headquartered in Bangalore,
India, owns and operates eye
hospital. The company has two
other branches in India, also
within Bangalore. The company
offers cataract and refractive
lens surgery, ocular
aesthetics, retinoblastoma
service, diabetic retinopathy
services and others. The
company was founded in 1982.
MedGenome Labs Ltd is a
provider of ambulatory
health care services. It has
an office in Pleasanton,
California and another, also
in India. It offers clinical
tests like genome
sequencing, target disease
panels, single gene tests
and others. It also offers
research services. The
Company is located in
Bengaluru, India.</t>
  </si>
  <si>
    <t xml:space="preserve">8069
8099</t>
  </si>
  <si>
    <t xml:space="preserve">NARAYANA NETHRALAYA/MEDGENOME LABS PVT LTD-JOINT VENTURE</t>
  </si>
  <si>
    <t xml:space="preserve">Narayana Nethralaya (Narayana Nethralaya) and MedGenome Labs Pvt Ltd
(MedGenome) planned to form a joint venture to own and operate a diagnostic
and basic research service laboratory. The joint venture was to have an
investment of INR 300 mil (USD 4.94 mil ). The joint venture was to serve
hospitals in Bangalore, India.</t>
  </si>
  <si>
    <t xml:space="preserve">The joint venture was to have an investment of INR 300 mil (USD 4.94 mil
).</t>
  </si>
  <si>
    <t xml:space="preserve">5A4649
5A4651</t>
  </si>
  <si>
    <t xml:space="preserve">INTAGE INDIA Pvt Ltd
RS Market Research Solutions</t>
  </si>
  <si>
    <t xml:space="preserve">Pvd market research svcs
Pvd market research svcs</t>
  </si>
  <si>
    <t xml:space="preserve">INTAGE INDIA Pvt Ltd, located
in India, provides market
research services.
RS Market Research Solutions
Pvt Ltd, located in New Delhi,
India, provides market
research services.</t>
  </si>
  <si>
    <t xml:space="preserve">INTAGE Inc
RS Market Research Solutions</t>
  </si>
  <si>
    <t xml:space="preserve">INTAGE INDIA PVT LTD/RS MARKET RESEARCH SOLUTIONS PVT LTD-STRATEGIC
ALLIANCE</t>
  </si>
  <si>
    <t xml:space="preserve">INTAGE INDIA Pvt Ltd (INTAGE INDIA), a unit of INTAGE Inc, and RS Market
Research Solutions Pvt Ltd (RS Market Research) formed a strategic alliance
to provide market research services.</t>
  </si>
  <si>
    <t xml:space="preserve">5A5111
5A5112</t>
  </si>
  <si>
    <t xml:space="preserve">Caprotec Bioanalytics GmbH
Syngenta AG</t>
  </si>
  <si>
    <t xml:space="preserve">Biotechnology company
Mnfr,whl agricultural chemicals,products</t>
  </si>
  <si>
    <t xml:space="preserve">caprotec bioanalytics GmbH, is
a biotechnology company
headquartered in Berlin,
Germany. The company is
focused on development of
proprietary technology to
reduce the complexity of
protein mixtures and samples
in a targeted and directed
manner. Its product line
includes caprotec(TM) and
Capture Compound Mass
Spectrometry (CCMS).
Syngenta AG, located in
Basel, Switzerland,
manufactures and wholesales
agricultural chemicals. Its
products include
insecticides, herbicides and
seed treatments designed to
improve crop yields and to
control weeds, insects and
diseases in crops. The
Company was founded in 2000.</t>
  </si>
  <si>
    <t xml:space="preserve">CAPROTEC BIOANALYTICS GMBH/SYNGENTA AG-STRATEGIC ALLIANCE</t>
  </si>
  <si>
    <t xml:space="preserve">Caprotec Bioanalytics GmbH (CAP) and Syngenta AG (SYN) formed a strategic
alliance (ST) to provide research services. Under the ST agreement, SYN
will cover the associated research costs. CAP will also receive
success-based milestone payments. Further financial details were not
disclosed.</t>
  </si>
  <si>
    <t xml:space="preserve">5A2597
87160A</t>
  </si>
  <si>
    <t xml:space="preserve">Sundia MediTech Co Ltd
ScinoPharm(Changshu)Pharm</t>
  </si>
  <si>
    <t xml:space="preserve">Biotechnology co
Mnfr pharmaceuticals</t>
  </si>
  <si>
    <t xml:space="preserve">Sundia MediTech Co Ltd,
located in Shanghai, China, is
a biotechnology company. The
company provides drug
discovery and development
services. The company was
founded in 2004.
ScinoPharm(Changshu)Pharmaceu
ticals, located in Changshu,
China, is a pharmaceutical
manufacturing firm.</t>
  </si>
  <si>
    <t xml:space="preserve">Sundia Investment Group
ScinoPharm Taiwan Ltd</t>
  </si>
  <si>
    <t xml:space="preserve">British Virgin
Taiwan</t>
  </si>
  <si>
    <t xml:space="preserve">SUNDIA MEDIATECH CO LTD/SCINOPHARM(CHANGSHU)PHARMACEUTICALS-STRATEGIC
ALLIANCE</t>
  </si>
  <si>
    <t xml:space="preserve">Sundia MediaTech Co Ltd (Sundia MediaTech), a unit of Sundia Investment
Group, and ScinoPharm(Changshu)Pharmaceuticals (ScinoPharm Changshu), a
unit of ScinoPharm Taiwan Ltd, formed a strategic alliance to provide drug
ontract research and manufacturing services (CRAMS) in China. The alliance
was to improve drug development research and clinical trials.</t>
  </si>
  <si>
    <t xml:space="preserve">86914R
5A5082</t>
  </si>
  <si>
    <t xml:space="preserve">Lupin Ltd
Teva Pharm Inds Ltd</t>
  </si>
  <si>
    <t xml:space="preserve">Lupin Ltd, located in
Mumbai, India, manufactures
and wholesales
pharmaceutical products. It
offers products in various
therapeutic areas, such as
the anti-tuberculosis,
cephalosporins,
cardiovascular, anti-asthma,
anti-infectives, pain
management, diabetes,
pediatrics, gynecology, and
non-steroidal
anti-inflammatory drugs, as
well as ace inhibitors,
statins and prils. Its
anti-TB products include
Ethambutol Hydrochloride,
Pyrazinamide, Rifampicin,
and Rifabutene;
cardiovascular products are
Benazeprila Hydrochloride,
Fosinopril Sodium,
Lisinopril, Quinapril
Hydrochloride, Ramipril,
Lovastatin, and Simvastatin;
and cephalosporins products
include Cefaclor,
Cefadroxil, Cefdinir,
Cefixime, Cefotaxime Sodium,
Cefuroxime Axetil,
Ceftazidime Pentahydrate,
Ceftriaxone Sodium, and
Cephalexin Monohydrate. The
company was founded in 1968.
Teva Pharmaceutical
Industries Ltd is a
manufacturer of
pharmaceutical preparation.
The Company was founded in
1901 and is located in
Petach Tikva, Israel.</t>
  </si>
  <si>
    <t xml:space="preserve">India
Israel</t>
  </si>
  <si>
    <t xml:space="preserve">TEVA PHARMACEUTICAL INDUSTRIES LTD/LUPIN LTD-JOINT VENTURE</t>
  </si>
  <si>
    <t xml:space="preserve">Teva Pharmaceutical Industries Ltd (TEVA) and Lupin Ltd (LUPI) planned to
form a joint venture (JV) to provide pharmaceutical research and
development services in the US. The JV was to be completed around August
2014.</t>
  </si>
  <si>
    <t xml:space="preserve">55043Q
881624</t>
  </si>
  <si>
    <t xml:space="preserve">MultiPlan Inc
Response Genetics Inc</t>
  </si>
  <si>
    <t xml:space="preserve">Pvd health care cost mgmt svcs
Pvd research,development svcs</t>
  </si>
  <si>
    <t xml:space="preserve">MultiPlan Inc, located in
New York, New York, provides
health care cost management
services. The company
provides strategies for
managing financial risks
associated with the
healthcare claims for the
large and mid-sized
insurers, third party
administrators, self-funded
plans, health maintenance
organizations (HMO), and
other entities that pay
claims on behalf of health
plans. It was founded in
1980.
Response Genetics Inc, located
in Los Angeles, California,
provides research services for
the development of
pharmacogenic diagnostic
tests, gene expression
analysis, molecular
diagnostics, research
consulting, and
bioinformatics. It offers
services to the pharmaceutical
industry for cancer in the
United States, Europe, and
Japan. The company was founded
in 1999.</t>
  </si>
  <si>
    <t xml:space="preserve">6324
2835</t>
  </si>
  <si>
    <t xml:space="preserve">MULTIPLAN INC/RESPONSE GENETICS INC-STRATEGIC ALLIANCE</t>
  </si>
  <si>
    <t xml:space="preserve">MultiPlan Inc (MultiPlan), a joint unit of of BC Partners Ltd and Silver
Lake Management LLCs Silver Lake Partners, and Response Genetics Inc
(Response) formed a strategic alliance to provide molecular diagnostic
testing services.</t>
  </si>
  <si>
    <t xml:space="preserve">62563H
76123U</t>
  </si>
  <si>
    <t xml:space="preserve">ANI Pharmaceuticals Inc
Sofgen Pharmaceuticals</t>
  </si>
  <si>
    <t xml:space="preserve">Mnfr prescription pharm
Mnfr pharm</t>
  </si>
  <si>
    <t xml:space="preserve">ANI Pharmaceuticals Inc,
located in Baudette,
Minnesota, manufactures
prescription pharmaceuticals.
It offers oral solid dose,
liquid dose, powder,
narcotics, laxatives,
antacids, and other cough,
cold, and stomach medicines.
It also offers contract
manufacturing and packaging
for hormones, solid dose, and
liquid dose products. The
company was founded in 2004.
Sofgen Pharmaceuticals,
located in Sunrise, Florida,is
a pharmaceutical manufacturing
firm. The company manufactures
prescription and OTC products.</t>
  </si>
  <si>
    <t xml:space="preserve">MN
FL</t>
  </si>
  <si>
    <t xml:space="preserve">ANI PHARMACEUTICALS INC/SOFGEN PHARMACEUTICALS-JOINT VENTURE</t>
  </si>
  <si>
    <t xml:space="preserve">ANI Pharmaceutcials Inc (ANI Pharmaceuticals) and Sofgen Pharmaceuticals
(Sofgen) signed a Letter of Intent (LoI) to form a joint venture to develop
and manufacture an oral soft gel prescription product. The product was to
be for cardiovascular health. Sofgen was to be responsible for the
development, manufacturing and regulatory submission of the product. ANI
Pharmaceuticals was to be responsible for marketing and distribution in the
United States.</t>
  </si>
  <si>
    <t xml:space="preserve">03535Z
5A5286</t>
  </si>
  <si>
    <t xml:space="preserve">Vifor Pharma AG
Zeria Pharmaceutical Co Ltd</t>
  </si>
  <si>
    <t xml:space="preserve">Mnfr pharm
Mnfr,whl pharm prod</t>
  </si>
  <si>
    <t xml:space="preserve">Vifor Pharma AG,
headquartered in Glattbrugg,
Switzerland, manufactures
iron pharmaceuticals for the
treatment and prophylaxis of
Iron Deficiency Anemia. Its
products include Maltofer,
which is an oral iron
preparation for the
treatment of latent iron
deficiency and IDA; and
Venofer, which is a
parenteral iron preparation
enabling correction of iron
deficiency. The Company was
founded in 1991.
ZERIA Pharmaceutical Co Ltd
is a manufacturer of
pharmaceutical preparation.
The Company was founded in
December 1955 and is located
in Chuo-Ku Tokyo, Japan.</t>
  </si>
  <si>
    <t xml:space="preserve">Galenica AG
Zeria Pharmaceutical Co Ltd</t>
  </si>
  <si>
    <t xml:space="preserve">VIFOR PHARMA LTD/ZERIA PHARMACEUTICAL CO LTD-STRATEGIC ALLIANCE</t>
  </si>
  <si>
    <t xml:space="preserve">Vifor Pharma Ltd (Vifor) and Zeria Pharmaceutical Co Ltd (Zeria) formed a
strategic alliance to develop and commercialize Ferinject(R) in Japan for
the treatment of iron deficiency anaemia. Under the agreement, Zeria will
take charge of the development and commercialization activities of the
product in Japan.</t>
  </si>
  <si>
    <t xml:space="preserve">1A4314
98946Q</t>
  </si>
  <si>
    <t xml:space="preserve">Zenith PMC Sdn Bhd
Astral Supreme Construction Sd</t>
  </si>
  <si>
    <t xml:space="preserve">Pvd consulting services
Construction company</t>
  </si>
  <si>
    <t xml:space="preserve">Zenith OMC Sdn Bhd provides
management consulting
services. The company is
headquartered in Malaysia.
Astral Supreme Construction
Sdn Bhd is a construction
company, headquartered in
Malaysia.</t>
  </si>
  <si>
    <t xml:space="preserve">Zenith PMC Sdn Bhd
Astral Supreme Bhd</t>
  </si>
  <si>
    <t xml:space="preserve">8748
6799</t>
  </si>
  <si>
    <t xml:space="preserve">ZENITH PMC SDN BHD/ASTRAL SUPREME CONSTRUCTION SDN BHD-JOINT VENTURE</t>
  </si>
  <si>
    <t xml:space="preserve">Zenith PMC Sdn Bhd (Zenith) and Astral Supreme Construction Adn Bhd
(Astral) planned to form a joint venture to conduct a feasibility strudy
and design of the Penang-Butterworth Sea Tunnel, that will create a third
access point linking Penang Island to the mainland. Under the terms of the
agreement, Zenith will hold a 75% stake in the joint venture while Astral
will hold the remaining 25% stake.</t>
  </si>
  <si>
    <t xml:space="preserve">6A8686
6A8683</t>
  </si>
  <si>
    <t xml:space="preserve">Sunovion Pharmaceuticals Inc
Afraxis</t>
  </si>
  <si>
    <t xml:space="preserve">Sunovion Pharmaceuticals
Inc, located in Marlborough,
Massachusetts, manufactures
and wholesales
pharmaceuticals,
specializing in CNS and
respiratory disorders. Its
major products include
XOPENEX(R) (levalbuterol
HCl) Inhalation Solution,
for the treatment of
bronchospasm. XOPENEX HFAO
(levalbuterol tartrate)
Inhalation Aerosol, a
hydrofluoroalkane,
metered-dose inhaler for the
treatment of bronchospasm.
LUNESTAO (eszopiclone), for
the treatment of insomnia.
Its products are marketed to
primary care physicians,
allergists, pulmonologists,
pediatricians, hospitals,
psychiatrists and sleep
specialists. The Company was
founded on January 27, 1984.
Afraxis, located in La Jolla,
California, is a biotechnology
company. The company develops
CNS pharmaceutical screening
technologies to evaluate
pre-clinical therapeutics for
the treatment of neurological
and psychiatric disorders.</t>
  </si>
  <si>
    <t xml:space="preserve">Sumitomo Chemical Co Ltd
Afraxis</t>
  </si>
  <si>
    <t xml:space="preserve">SUNOVION PHARMACEUTICALS INC/AFRAXIS-STRATEGIC ALLIANCE</t>
  </si>
  <si>
    <t xml:space="preserve">Sunovion Pharmaceuticals Inc (Sunovion Pharmaceuticals), a unit of Aptiom
Inc unit of Dainippon Sumitomo Pharma Co Ltd's Dainippon Sumitomo Pharma
America Holdings Inc, and Afraxis (Afraxis) formed a strategic alliance to
discover pre-clinical central nervous system drugs. The alliance was to use
Sunovions spine platform to identify novel CNS compounds that are
potentially superior to existing treatments.</t>
  </si>
  <si>
    <t xml:space="preserve">93551Q
5A6611</t>
  </si>
  <si>
    <t xml:space="preserve">Anhui Yingliu
DEK Solar</t>
  </si>
  <si>
    <t xml:space="preserve">Mnfr,whl casting prods
Mnfr screen printing equip</t>
  </si>
  <si>
    <t xml:space="preserve">Anhui Yingliu
Electromechanical Co Ltd,
located in China, is a
manufacturer and wholesaler of
iron casting products. It was
founded in 2000.
DEK Solar, located in
Weymouth, manufactures screen
printing equipments. The
company was founded in 1968.</t>
  </si>
  <si>
    <t xml:space="preserve">3321
3577</t>
  </si>
  <si>
    <t xml:space="preserve">ANHUI YINGLIU ELECTROMECHANICAL CO LTD/DEK SOLAR-JOINT VENTURE</t>
  </si>
  <si>
    <t xml:space="preserve">Anhui Yingliu Electromechanical Co Ltd (Yingli) and DEK Solar (Dek) planned
to form a joint venture, Yingli Solar State Key Laboratoy to develop
metallization technology and solar panels and methods for solar
manufacturing.</t>
  </si>
  <si>
    <t xml:space="preserve">03501R
5A9000</t>
  </si>
  <si>
    <t xml:space="preserve">Adimab LLC
Innovent Biologics Inc</t>
  </si>
  <si>
    <t xml:space="preserve">Rsch, devlp human antibodies
Manufacture pharmaceuticals</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</si>
  <si>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Innovent Biologics Inc,
located in China, develops
and produces monoclonal
antibodies and other
biopharmaceuticals. It has
been focusing on innovation
towards indications in
cancer, ophthalmology,
autoimmune disorders, and
cardiovascular diseases. The
Company was founded in
August 2011.</t>
  </si>
  <si>
    <t xml:space="preserve">ADIMAB LLC/INNOVENT BIOLOGICS INC-STRATEGIC ALLIANCE</t>
  </si>
  <si>
    <t xml:space="preserve">Innovent Biologics Inc (Innovent) and Adimab LLC (Adimab) formed a
strategic alliance to discover, develop and commercialize an antibody-based
therapeutic. Innovent will be responsible for all initial product
development activities like cell line development, formulation,
manufacturing and clinical trials using Adimab antibody discovery and
optimization platform, against a selected specific target. Innovent will
receive specific development costs while Adimab will be paid for the
discovery and optimization of the therapeutic leads. Innovent retains
rights to develop and commercialize the therapeutic programme in China,
with sales-based royalties owed to Adimab, which will retain rights for
commercialization in the US, Europe and Japan with product sales-based
royalties owed to Innovent.</t>
  </si>
  <si>
    <t xml:space="preserve">02255X
5A7703</t>
  </si>
  <si>
    <t xml:space="preserve">Adimab LLC
Celgene Corp</t>
  </si>
  <si>
    <t xml:space="preserve">Rsch, devlp human antibodies
Manufacture,wholesale biopharmaceutical products</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</si>
  <si>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</si>
  <si>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NH
NJ</t>
  </si>
  <si>
    <t xml:space="preserve">ADIMAB LLC/CELGENE CORP-STRATEGIC ALLIANCE</t>
  </si>
  <si>
    <t xml:space="preserve">Adimab LLC (Adimab) and Celgene Corp (Celgene) formed a strategic alliance
to develop human antibodies against multiple targets. The alliance will use
Adimab's its proprietary discovery and optimization platform and will in
turn receive undisclosed upfront payment. Celgene will have access to
develop and market all therapeutic antibodies that arise from the
alliance.</t>
  </si>
  <si>
    <t xml:space="preserve">02255X
151020</t>
  </si>
  <si>
    <t xml:space="preserve">Business Unit Catalysts
Lummus Novolen Technology GmbH</t>
  </si>
  <si>
    <t xml:space="preserve">Pvd chemical catalysts
Pvd gas phase technology svcs</t>
  </si>
  <si>
    <t xml:space="preserve">Business Unit Catalysts
Energy, located in Munich,
Germany, provides catalysts
for chemical, petrochemical,
polymer, refinery and
automotive industries.
Lummus Novolen Technology
GmbH, located in Mannheim,
Germany, licenses the Novolen
gas-phase process, a low cost
and highly flexible process,
for the production of the full
range of polypropylene resins</t>
  </si>
  <si>
    <t xml:space="preserve">2819
7389</t>
  </si>
  <si>
    <t xml:space="preserve">Clariant AG
Chicago Bridge &amp; Iron Co Nv</t>
  </si>
  <si>
    <t xml:space="preserve">2899
1799</t>
  </si>
  <si>
    <t xml:space="preserve">BUSINESS UNIT CATALYSIS &amp; ENERGY/LUMMUS NOVOLEN TECHNOLOGY GMBH-STRATEGIC
ALLIANCE</t>
  </si>
  <si>
    <t xml:space="preserve">Business Unit Catalysis &amp; Energy (Catalysts) and Lummus Novolen Technology
GmbH (Lummus) formed a strategic alliance to develop improved polypropylene
catalyst and donor technologies. Catalysts and Lummus will invest SFR 65
mil (USD 70.4073 mil).</t>
  </si>
  <si>
    <t xml:space="preserve">Catalysts and Lummus will invest SFR 65 mil (USD 70.4073 mil).</t>
  </si>
  <si>
    <t xml:space="preserve">5A8407
5A8404</t>
  </si>
  <si>
    <t xml:space="preserve">ORC International
MOSAIQ Market Intelligence</t>
  </si>
  <si>
    <t xml:space="preserve">Pvd mkt research svcs
Pvd market research svcs</t>
  </si>
  <si>
    <t xml:space="preserve">ORC International, located in
London, England, provides
marketing research services.
The Company offers global data
collection using
CATI/online/mixed and
multi-mode interviewing, field
research including
CAPI/paper-based plus
multi-mode interviewing and
in-house, high quality, call
centre with full interview
recruitment, quality control
and experience across all
sectors and interviewing
experiences.
MOSAIQ Market Intelligence
Group, located in Fountain
Hills, Arizona, provides
market research services.</t>
  </si>
  <si>
    <t xml:space="preserve">Lake Capital Partners LP
MOSAIQ Market Intelligence</t>
  </si>
  <si>
    <t xml:space="preserve">6799
8732</t>
  </si>
  <si>
    <t xml:space="preserve">ORC INTERNATIONAL/MOSAIQ MARKET INTELLIGENCE GROUP-STRATEGIC ALLIANCE</t>
  </si>
  <si>
    <t xml:space="preserve">ORC International (ORC), a unit of Lake Capital Partners LP, and MOSAIQ
Market Intelligence Group (MOSAIQ Market) formed a strategic alliance to
provide market research services. The alliance was to conduct product or
concept testing with accuracy, efficiency and expert insights.</t>
  </si>
  <si>
    <t xml:space="preserve">67155X
5A6608</t>
  </si>
  <si>
    <t xml:space="preserve">Celanese Far East Ltd
PetroChina Co Ltd</t>
  </si>
  <si>
    <t xml:space="preserve">Mnfr chemicals
Crude Petroleum and Natural Gas Extraction</t>
  </si>
  <si>
    <t xml:space="preserve">Celanese Far East Ltd is a
chemical manufacturing firm,
headquartered in Causeway Bay,
Hong Kong.
PetroChina Co Ltd is engaged
in the crude petroleum and
natural gas services
business. The Company was
founded in November 1999 and
is located in Beijing,
China.</t>
  </si>
  <si>
    <t xml:space="preserve">Celanese Corp
CNPC</t>
  </si>
  <si>
    <t xml:space="preserve">2821
1311</t>
  </si>
  <si>
    <t xml:space="preserve">CELANESE FAR EAST LTD/PETROCHINA CO LTD-STRATEGIC ALLIANCE</t>
  </si>
  <si>
    <t xml:space="preserve">Celanese Far East Ltd (Celanese) and PetroChina Co Ltd (PetroChina) signed
a memorandum of understanding to form a strategic alliance to develop
synthetic fuel ethanol. The alliance will utilize Celanese s proprietary
TCX ethanol process technology in the development.</t>
  </si>
  <si>
    <t xml:space="preserve">6A7095
71646E</t>
  </si>
  <si>
    <t xml:space="preserve">Curemark Llc
VTT/MSI</t>
  </si>
  <si>
    <t xml:space="preserve">CureMark LLC is a
manufacturer of biological
products. The Company is
located in Rye, New York. It
is a biotechnology company
focused on treatment of
neurological and other
diseases by addressing
certain key
gastrointestinal/pancreatic
secretory deficiencies.
VTT/MSI Molecular Sciences
Institute provides research
and development services. The
company is headquartered in
Berkley, California. The
companys services includes
research on molecular and cell
biology, systems biology and
synthetic biology.</t>
  </si>
  <si>
    <t xml:space="preserve">CUREMARK LLC/VTT/MSI MOLECULAR SCIENCES INSTITUTE-STRATEGIC ALLIANCE</t>
  </si>
  <si>
    <t xml:space="preserve">Curemark LLC (Curemark) and VTT/MSI Molecular Institute (MSI) formed a
strategic alliance to provide research and development services. Under the
terms of the agreement, Curemark will utilize VTT/MSI's Centre for
bioengineering expertise for therapies for autism.</t>
  </si>
  <si>
    <t xml:space="preserve">23134X
7A6474</t>
  </si>
  <si>
    <t xml:space="preserve">Agenix Ltd
Arrayjet Ltd</t>
  </si>
  <si>
    <t xml:space="preserve">Mnfr,whl biotechnology prod
Dvlp microarray printing tech</t>
  </si>
  <si>
    <t xml:space="preserve">Agenix Ltd, headquartered in
Hawthorn, East Victoria,
Australia, manufactures
biological products. It is
engaged in the maintenance
of the ThromboView project,
a product in development
related to the detection of
blood clots, and development
of AGX-1009, an anti-viral
drug for the treatment of
hepatitis B, which is in
pre-clinical evaluation.
operates in two segments:
AGX-1009 and ThromboView.
AGX-1009 is a patented novel
targeted prodrug analog of
an existing compound,
Tenofovir, which is
undergoing pre-clinical
trials in China. ThromboView
is a monoclonal antibody
blood clots. The company has
two core businesses:
Innovative
Biopharmaceuticals and
Medical Diagnostics, with
operations in Australia, New
Zealand, North America,
Europe and Asia. The
company's subsidiaries
include Agenix
Biopharmaceutical (Shanghai)
Company Limited, Agen
Limited, Agen Biomedical
Limited and Agen Inc. It was
formed in 1982.
Arrayjet Ld, located in
Roslin, Scotland, develops
non-contact microarray
printing technology. The
company's products include
Ultra Marathon I and II
Microarrayers which provide
consistent results and fast
microarray production, ideal
for large scale manufacturing.
It was founded in 2000.</t>
  </si>
  <si>
    <t xml:space="preserve">2836
3555</t>
  </si>
  <si>
    <t xml:space="preserve">AGENIX LTD/ARRAYJET LTD-STRATEGIC ALLIANCE</t>
  </si>
  <si>
    <t xml:space="preserve">United Kingdom
Australia</t>
  </si>
  <si>
    <t xml:space="preserve">Agenix Ltd (Agenix) and Arrayjet Ltd (Arrayjet) formed a strategic alliance
to develop a Point of Care test based on Agenixs DiagnostIQ(R) human health
diagnostics platform. The alliance will combine Agenixs patented flow
through DiagnostIQ(R) POCT platform with the sensitivity, accuracy and
multiplexing ability of Arrayjet s planar microarray technology.</t>
  </si>
  <si>
    <t xml:space="preserve">00958Z
5A7514</t>
  </si>
  <si>
    <t xml:space="preserve">Applied Nanotech Holdings Inc
Sichuan Yinhe Chemical Co Ltd
Solexel Inc</t>
  </si>
  <si>
    <t xml:space="preserve">Pvd research,dvlp svcs
Mnfr chemicals
Mnfr solar cells,modules prods</t>
  </si>
  <si>
    <t xml:space="preserve">Nano Proprietary Inc, located
in Austin, Texeas, provides
research and development
services of novel applications
of carbon nanotube technology
particularly on the display
and sensor industries,
medical, x-ray, wireless
communication, and other
sectors.
Sichuan Yinhe Chemical Co Ltd,
located in China, is a
chemical manufacturing firm.
Solexel Inc, located in
Milpitas, California,
manufactures crystalline
silicon solar cells and
modules products for
photovoltaic (PV) electricity
generation to multiple market
segments, such as residential,
commercial, or utility-scale
power generation markets. The
Company was founded in 2005.</t>
  </si>
  <si>
    <t xml:space="preserve">8731
2899
3674</t>
  </si>
  <si>
    <t xml:space="preserve">United States
China
United States</t>
  </si>
  <si>
    <t xml:space="preserve">TX
FF
CA</t>
  </si>
  <si>
    <t xml:space="preserve">APPLIED NANOTECH HOLDINGS INC/SICHUAN YINHE CHEMICAL CO LTD/SOLEXEL
INC-STRATEGIC ALLIANCE</t>
  </si>
  <si>
    <t xml:space="preserve">Applied Nanotech Holdings Inc (Applied Nanotech), Sichuan Yinhe Chemical Co
Ltd (Sichuan Yinhe), and Solexel Inc (Solexel) formed a strategic alliance
to develop solar paste technology in China. The alliance was to complete
the development and commercialization of Applied Nanotech's aluminum paste
in Solexels thin silicon solar cells for an efficiency of over 22%. Applied
Nanotechs was to transfer the paste technology to Sichuan Yinhe to produce
the material for Solexel's products. Solexel was to start its production by
2014.</t>
  </si>
  <si>
    <t xml:space="preserve">03824B
5A7604
84284W</t>
  </si>
  <si>
    <t xml:space="preserve">Nauchno-proizvodstvennoe
NCC</t>
  </si>
  <si>
    <t xml:space="preserve">Manufacture gas turbine equipment
Pvd research,dvlp svcs</t>
  </si>
  <si>
    <t xml:space="preserve">Nauchno-proizvodstvennoe
ob''edinenie Saturn PAO,
located in Rybinsk, Russian
Federation, manufactures gas
turbine equipment for
aerospace and industries
that use energy equipment;
designs and produces engines
for air force and civilian
aircraft. The Company was
founded in 1916.
Nanotechnological Composite
Center, located in Moscow,
Russian Federation, provides
research and development
services. The company's
products and services include
development of composite
products, cost modelling of
products and factory
operations and laboratory
testing. It was founded in
2012.</t>
  </si>
  <si>
    <t xml:space="preserve">3511
8731</t>
  </si>
  <si>
    <t xml:space="preserve">Russian Fed
Russian Fed</t>
  </si>
  <si>
    <t xml:space="preserve">Nauchno-proizvodstvennoe
Rusnano JSC</t>
  </si>
  <si>
    <t xml:space="preserve">3511
6726</t>
  </si>
  <si>
    <t xml:space="preserve">OAO "NAUCHNO-PROIZVODSTVENNOYE OB''YEDINENIYE SATURN"/NANOTECHNOLOGICAL
COMPOSITE CENTER-JOINT VENTURE</t>
  </si>
  <si>
    <t xml:space="preserve">OAO "Nauchno-proizvodstvennoye ob''yedineniye Saturn" (NPO Saturn) and
Nanotechnological Composite Center Ltd (NCC Russia) planned to form a joint
venture to provide research and development services for the development of
gas turbine engine components made of composite materials.</t>
  </si>
  <si>
    <t xml:space="preserve">63177A
5A9019</t>
  </si>
  <si>
    <t xml:space="preserve">Liuzhou Wuling Motors Indl Co
Guangxi Liugong Mach Co Ltd</t>
  </si>
  <si>
    <t xml:space="preserve">Mnfr,whl motor vehicles,parts
Construction Machinery Manufacturing</t>
  </si>
  <si>
    <t xml:space="preserve">Liuzhou Wuling Motors
Industrial Co Ltd, located
in Liuzhou, China,
manufactures and wholesales
motor vehicles, car bodies,
parts and accessories.
Guangxi Liugong Machinery Co
Ltd is a manufacturer and
wholesaler of construction
machinery. The Company was
founded in 1958 and is
located in Liuzhou, China.</t>
  </si>
  <si>
    <t xml:space="preserve">3711
3531</t>
  </si>
  <si>
    <t xml:space="preserve">Liuzhou Wuling Motors Co Ltd
Guangxi Liugong Mach Co Ltd</t>
  </si>
  <si>
    <t xml:space="preserve">LIUZHOU WULING MOTORS INDUSTRIAL CO LTD/GUANGXI LIUGONG MACHINERY CO
LTD-JOINT VENTURE</t>
  </si>
  <si>
    <t xml:space="preserve">Liuzhou Wuling Motors Industrial Co Ltd (Liuzhou Wuling), a unit of Wuling
Motors Holdings Ltd, and Guangxi Liugong Machinery Co Ltd (Guangxi Liugong)
agreed to form a joint venture to provide research and design, production,
sales and after sales services of plate metal sheets and cooling systems.
The joint ventures products were to be used for engineering machinery and
other industrial vehicles such as forklift vehicles. The total investment
of the joint venture was to be CNY 180 mil. Lizhou Wuling was to contribute
CNY 25 mil (USD 4.084 mil). Liuzhou Wuling and Guangxi Liugong were to hold
50% each of the joint venture. The transaction is subject to regulatory
approvals. The period of the joint venture, after completion, was to be
thirty (30) years.</t>
  </si>
  <si>
    <t xml:space="preserve">53816C
Y29302</t>
  </si>
  <si>
    <t xml:space="preserve">Zealand Pharma A/S
Eli Lilly &amp; Co</t>
  </si>
  <si>
    <t xml:space="preserve">Biological Product (Except Diagnostic) Manufacturing
Manufactures,wholesales pharmaceuticals</t>
  </si>
  <si>
    <t xml:space="preserve">Zealand Pharma A/S is a
biopharmaceutical company
engaged in the discovery,
development and
commercialization of
peptide-based medicines. The
Company was founded in
October 1998 and is located
in Soborg, Denmark. The
Company''s pipeline
comprises two implementation
areas: Cardio-metabolic
diseases and Other
indications.The
Cardio-metabolic diseases
area includes medicines for
diabetes and obesity
treatment, such as Lyxumia
(Lixisenatide),
Lyxumia/Lantus, ZP2929 and
Danegaptide. The Other
indications area offers
ZP1848, Elsiglutide and
ZP1480 (ABT-719) drugs for
inflammatory bowel disease,
chemotherapy-induced
diarrhea and acute kidney
injury treatment.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</si>
  <si>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ZEALAND PHARMA A/S/ELI LILLY &amp; CO-STRATEGIC ALLIANCE</t>
  </si>
  <si>
    <t xml:space="preserve">Zealand Pharma A/S (Zealand) and Eli Lilly &amp; Co (Eli) planned to form a
strategic alliance to develop a drug. Both companies collectively design
and develop potentially novel therapeutic peptides for Type 2 diabetes and
obesity. The development will be supported on a novel approach discovered
by Lilly and the two companies will share risk and reward in this potential
multi-target collaboration which could also be expanded into other disease
areas.</t>
  </si>
  <si>
    <t xml:space="preserve">99018J
532457</t>
  </si>
  <si>
    <t xml:space="preserve">Vestin Realty Mortgage II Inc
Vestin Realty Mortgage I Inc
MVP REIT Inc</t>
  </si>
  <si>
    <t xml:space="preserve">Real estate investment trust
Reit
Real estate investment trust</t>
  </si>
  <si>
    <t xml:space="preserve">Vestin Realty Mortgage II Inc,
located in Las Vegas, Nevada,
a real estate investment trust
company that invest in
short-term secured loans to
commercial borrowers. The
company was founded in 2006.
Vestin Realty Mortgage I Inc
is real estate investment
trust company that invest in
loans secured by real estate
through deeds of trust or
mortgages. The company is
headquartered in Las Vegas,
Nevada.
MVP REIT Inc, located in Las
Vegas, Nevada, is a real
estate investment trust
focused on income producing
properties.</t>
  </si>
  <si>
    <t xml:space="preserve">6798
6798
6798</t>
  </si>
  <si>
    <t xml:space="preserve">NV
NV
NV</t>
  </si>
  <si>
    <t xml:space="preserve">VESTIN REALTY MORTGAGE II INC/VESTIN REALTY MORTGAGE I INC/MVP REIT
INC-JOINT VENTURE</t>
  </si>
  <si>
    <t xml:space="preserve">The company is a real estate
investment firm. It acquires
parking facilities.</t>
  </si>
  <si>
    <t xml:space="preserve">Vestin Realty Mortgage II Inc (VRMII), Vestin Realty Mortgage I Inc (VRMI)
and MVP REIT Inc (MVP) formed a joint venture to acquire six parking
facilities for USD 13.5 mil.</t>
  </si>
  <si>
    <t xml:space="preserve">51.00
44.00
5.00</t>
  </si>
  <si>
    <t xml:space="preserve">7A4479</t>
  </si>
  <si>
    <t xml:space="preserve">92549X
925490
1A0967</t>
  </si>
  <si>
    <t xml:space="preserve">Neutra Corp
Surface to Air Solutions LLC</t>
  </si>
  <si>
    <t xml:space="preserve">Ret nutraceutical prod
Manufactures clean air environment solutions</t>
  </si>
  <si>
    <t xml:space="preserve">Neutra Corp, located in
Sarasota, Florida, is a
development stage company that
intends to market and sell
nutraceutical supplement
products to health
practitioners. The company was
founded in 2011.
Surface to Air Solutions LLC,
located in Las Vegas, Nevada,
develops clean air environment
solutions. Its products
include hydroxyl generators
that help clean the air,
purteq photocatalyst that
keeps surfaces clear of mold,
germs and contaminants; and
nano gro which cleans plants.</t>
  </si>
  <si>
    <t xml:space="preserve">2833
3999</t>
  </si>
  <si>
    <t xml:space="preserve">FL
NV</t>
  </si>
  <si>
    <t xml:space="preserve">NEUTRA CORP/SURFACE TO AIR SOLUTIONS LLC-JOINT VENTURE</t>
  </si>
  <si>
    <t xml:space="preserve">The company develops and
manufacture health
supplements.</t>
  </si>
  <si>
    <t xml:space="preserve">Neutra Corp (Neutra) and Surface to Air Solutions LLC (Surface to Air)
formed a joint venture to develop and manufacture health supplement to the
nutraceuticals industry. Surface to air solutions (S2O2) acquired
Zero-Blast, a Texas-based company that specializes in advanced,
anti-microbial coatings for germ-infested environments, including hospitals
and locker rooms.</t>
  </si>
  <si>
    <t xml:space="preserve">7A4492</t>
  </si>
  <si>
    <t xml:space="preserve">64129C
7A1789</t>
  </si>
  <si>
    <t xml:space="preserve">M3 Inc
Illumina Inc</t>
  </si>
  <si>
    <t xml:space="preserve">Pvd med-related Internet svcs
Manufacture,wholesale science tools,systems</t>
  </si>
  <si>
    <t xml:space="preserve">M3 Inc, located in
Minato-Ku, Tokyo, provides
medical-related internet
services through the
operation of
membership-based medical
specialty website m3.com.
The Medical Portal segment
has three sectors. The
Medical Related Company
Marketing sector involves in
the development and
provision of marketing
support services under the
names MR-kun, m3MT and
m3.com to corporate clients
such as pharmaceutical
companies and
medical-related companies,
through the Internet. The
Survey sector involves in
the customized research
services and routine
research services. Others
sector provides QOL-kun
services, business partner
services and paid content
services, among others. The
Evidence Solution segment
provides large-scale
clinical research support
service and site management
organization (SMO) service.
The Overseas segment offers
marketing support and
research service. The
Company was founded in 2000.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</si>
  <si>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7375
3826</t>
  </si>
  <si>
    <t xml:space="preserve">M3 INC/ILLUMINA INC-JOINT VENTURE</t>
  </si>
  <si>
    <t xml:space="preserve">M3 Inc (M3), a unit of Sony Corp, and Illumina Inc (Illumina) was rumored
to be planning to form a joint venture to provide human genome analysis
services. M3 will hold the majority interest in the JV which will use
Illumina's devices to perform human genome analysis for drug makers and
research institutions.</t>
  </si>
  <si>
    <t xml:space="preserve">55158A
452327</t>
  </si>
  <si>
    <t xml:space="preserve">Selcia Ltd
Cantab Anti-infectives Ltd</t>
  </si>
  <si>
    <t xml:space="preserve">Testing Laboratories
Biotechnology company</t>
  </si>
  <si>
    <t xml:space="preserve">Selcia Ltd is a located in
Ongar, the United Kingdom,
is research organization. It
provides drug discovery,
medicinal chemistry, and 14C
radiolabeling services. Its
drug discovery services
include medicinal chemistry,
natural product chemistry
and structural biology,
assay development and
screening, ADME/PK, PPIase
services, and target class
and disease services.
Cantab Anti-infectives Ltd is
a biotechnology company
headquartered in Berkshire,
United Kingdom. It is focused
on discovery and development
of novel antibacterial agents
to treat bacterial infections.</t>
  </si>
  <si>
    <t xml:space="preserve">8734
2836</t>
  </si>
  <si>
    <t xml:space="preserve">Selcia Ltd
Celtic Pharmaceutical Holdings</t>
  </si>
  <si>
    <t xml:space="preserve">United Kingdom
Bermuda</t>
  </si>
  <si>
    <t xml:space="preserve">8734
6799</t>
  </si>
  <si>
    <t xml:space="preserve">SELCIA LTD/CANTAB ANTI-INFECTIVES LTD-STRATEGIC ALLIANC E</t>
  </si>
  <si>
    <t xml:space="preserve">Selcia Ltd (Selcia) and Cantab Anti-infectives Ltd (Cantab) formed a
strategic alliance to develop improved antibiotics for multidrug resistant
Gram-negative bacterial infections based on the polymyxin nucleus. Selcia
will provide medicinal chemistry resource to: Generate a range of
polymyxin-based entities to continue the optimisation of antibacterial
activity against MDR strains in vitro; optimise the most promising entities
to improve antibacterial activity in vivo; optimise therapeutic index;
optimise to give a clinical candidate meeting all aspects of the target
product profile.</t>
  </si>
  <si>
    <t xml:space="preserve">79005Z
5A9467</t>
  </si>
  <si>
    <t xml:space="preserve">Baxter International Inc
Coherus Biosciences Inc</t>
  </si>
  <si>
    <t xml:space="preserve">Baxter International Inc,
located in Deerfield,
Illinois, manufactures and
wholesale biological
products. The Company
manufactures and markets
products related to blood
and circulatory system
including biopharmaceutical
and blood collection and
separation products and
technologies, technologies
and systems to improve
intravenous medication
delivery, products and
services to treat end-stage
kidney disease, products and
services to treat late-stage
heart disease and vascular
disorders. The Company
operates through three
segments: BioScience,
Medication Delivery, and
Renal. The Company was
founded in 1931.
Coherus Biosciences Inc,
headquartered in Redwood
City, California, is a
biotechnology company
engaged on the global
biosimilar market. The
company is focused on
delivering biosimilar
therapeutics that will
expand patient access to
life changing medicines in
regulated markets worldwide.
The company's products
include CHS-0214 and CHS
1420 that focuses on
inflammatory and chronic
conditions, and CHS-1701
that promotes survival of
different types of white
blood cells. The company was
founded on 2010.</t>
  </si>
  <si>
    <t xml:space="preserve">BAXTER INTERNATIONAL INC/COHERUS BIOSCIENCES INC-STRATEGIC ALLIANCE</t>
  </si>
  <si>
    <t xml:space="preserve">Baxter International Inc (Baxter) and Coherus Biosciences Inc (Coherus)
formed a strategic alliance to develop and commercialize a biosimilar to
etanercept for Europe, Canada, Brazil and certain other markets. Baxter
will make a USD 30 mil upfront payment as well as up to USD 216 mil upon
the achievement of development and regulatory events. Coherus is in charge
of the development.</t>
  </si>
  <si>
    <t xml:space="preserve">071813
19249H</t>
  </si>
  <si>
    <t xml:space="preserve">Volvo Car Group
China Automotive Tech &amp;</t>
  </si>
  <si>
    <t xml:space="preserve">Mnfr,whl,motor vehicle parts
Research and Development in The Physical, Engineering and Lifesciences (Except Biotechnology)</t>
  </si>
  <si>
    <t xml:space="preserve">Volvo Car Group, located in
Goteberg, Sweden, manufactures
and wholesales motor vehicle
parts.
China Automotive Technology
&amp; Research Center Co Ltd is
a provider of auto testing
and certification research,
auto industry planning and
policies research,
standardization and
technical regulation,
quality systems
certification, engineering
design, and training and
consultation services.The
Company was founded in 1985
and is located in Tianjin,
China.</t>
  </si>
  <si>
    <t xml:space="preserve">3711
8731</t>
  </si>
  <si>
    <t xml:space="preserve">Sweden
China</t>
  </si>
  <si>
    <t xml:space="preserve">Zhejiang Geely Hldg Grp Co
China Automotive Tech &amp;</t>
  </si>
  <si>
    <t xml:space="preserve">VOLVO CAR GROUP/CHINA AUTOMOTIVE TECHNOLOGY AND RESEARCH CENTER-STRATEGIC
ALLIANCE</t>
  </si>
  <si>
    <t xml:space="preserve">Volvo Car Group (Volvo) and China Automotive Technology and Research Center
(CATARC) formed a strategic alliance to jointly develop auto technologies.</t>
  </si>
  <si>
    <t xml:space="preserve">5A8638
17071M</t>
  </si>
  <si>
    <t xml:space="preserve">Vela Laboratories
Evercyte GmbH</t>
  </si>
  <si>
    <t xml:space="preserve">Vela Laboratories provides
research and development
services. The company is
headquartered in Vienna,
Austria. Its services include
Analytical Development,
Quality Control, Quality
Assurance, Qualification &amp;
Validation, Business
Development, Research &amp;
Development, Project
Management and Intellectual
Property as well as additional
necessary expertise including
Controlling, Tax and Financial
aspects.
Evercyte GmbH provides
research and development
services. The company is
headquartered in Vienna,
Austria. It provides single
immortalized cell strains
including mesenchymal stem
cells that can be
differentiated to the cell
type of interest; cell panels
including sufficient cell
strains of different tissues
and/or donors of different
status (healthy, diseased,
young, old, etc) in order to
generate statistically
meaningful data that allow to
estimate drug efficiencies and
toxicity with high predictive
power. It will establish
customer-tailored immortalized
cell strains according to the
needs of specific customers.</t>
  </si>
  <si>
    <t xml:space="preserve">VELA LABORATORIES/EVERCYTE GMBH-STRATEGIC ALLIANCE</t>
  </si>
  <si>
    <t xml:space="preserve">Vela Laboratories (VelaLabs) and Evercyte GmbH (Evercyte) formed a
strategic alliance for the commercialization of immortalized target cells
for the characterization of biosimilars in a GMP environment. The alliance
will utilize Velas long-standing expertise in the characterization of
biosimilars and Evercytes know-how to immortalize relevant primary target
cells,</t>
  </si>
  <si>
    <t xml:space="preserve">6A5647
6A5652</t>
  </si>
  <si>
    <t xml:space="preserve">Covance Inc
Indiana CTSI</t>
  </si>
  <si>
    <t xml:space="preserve">Pvd medical research services
Pvd research,dvlp svcs</t>
  </si>
  <si>
    <t xml:space="preserve">Covance Inc, headquartered
in Princeton, New Jersey, is
a provider of medical
research services, health
economics and outcomes
services for managed care
organizations, hospitals and
other healthcare providers,
and laboratory testing
services to the chemical,
agrochemical and food
industries. The operations
of the group are carried out
through two segments. The
late-stage development
services segment includes
central laboratory, clinical
development,
commercialization and other
clinical support services.
The early development
services segment includes
preclinical and phase I
clinical service
capabilities. The operations
of this segment involve
evaluating a new compound
for safety and early
effectiveness as well as
evaluating the absorption,
distribution, metabolism and
excretion of the compound in
the human body. It has
global operations in more
than 30 countries. The
company was founded in 1997.
Indiana Clinical and
Translational Sciences
Institute (CTSI) provides
research and development
services. The company is
headquartered in Indianapolis,
Indiana. Its services include
Inpatient clinical research
study unit , Outpatient
clinical research study unit,
Subject recruitment, IRB
submissions support, Project
development guidance,
Biostatistics, Bioinformatics,
Technology cores and resources
(available across all
campuses) and pilot use
awards, A biorepository
storage facility, Training and
pilot program awards, A
Community Health Engagement
Program, An information site
based on the HUBzero, platform
to connect scientific
communities and coordinate
services. The company was
founded in 2008.</t>
  </si>
  <si>
    <t xml:space="preserve">COVANCE INC/THE INDIANA CLINICAL &amp; TRANSLATIONAL SCIENCES
INSTITUTE-STRATEGIC ALLIANCE</t>
  </si>
  <si>
    <t xml:space="preserve">The Indiana Clinical &amp; Translational Sciences Institute (Indiana CTSI) and
Covance Inc (Covance) planned to form a strategic alliance to conduct
clinical trials for new medicines on behalf of biotechnology and
pharmaceutical companies. This alliance provides a significant opportunity
to bring more Phase I clinical research to Indiana, through the clinical
research unit located within the IU School of Medicine in Indianapolis and
Covance's clinical research unit located in Evansville. Phase I clinical
research includes studies where investigational new drugs are administered
to humans for the first time.</t>
  </si>
  <si>
    <t xml:space="preserve">222816
6A0827</t>
  </si>
  <si>
    <t xml:space="preserve">Valeo SA
Safran SA</t>
  </si>
  <si>
    <t xml:space="preserve">Manufacture, wholesale automobile parts
Other Aircraft Parts and Auxiliary Equipment Manufacturing</t>
  </si>
  <si>
    <t xml:space="preserve">Valeo SA, located in Paris,
France, manufactures and
wholesale automobile parts,
components, integrated
systemsmodules for cars and
trucks. The products of the
Company include lighting,
wipers, security,
electronics and connective
systems, switches, motors &amp;
actuators, engine
management, compressors,
transmission, climate
control and engine cooling
equipment. The Company is
also a holding Company. The
Company was founded in 1923.
Safran SA, located in Paris,
France, manufactures and
wholesales aircraft
propulsion units, aircraft
equipment, mobile phones,
digital televisions, cables,
navigation and security
equipment. The Group
operates under four major
segments, Aerospace
propulsion, Defense
Security, Aircraft Equipment
and Communication and
Terminals. Under Aerospace
propulsion, the Group offers
aero engines for civil and
military airplanes. The
Company also offers
propulsion systems,
equipment for launchers,
satellites and space
vehicles. Under Defense
security, it offers security
and defense electronics such
as inertial navigation
systems, Optronics system,
information and command
control system and Biometric
identification systems.
Under Aircraft Equipment, it
offers aircraft engine
nacelles, landing gear,
wheels and carbon brakes and
aircraft wiring. Under
Communication and Terminals,
it offers printing
terminals, residential
terminals, digital TV
set-top boxes and broadband
networks and operates mainly
in Europe. The Company was
founded in 1904.</t>
  </si>
  <si>
    <t xml:space="preserve">3714
3728</t>
  </si>
  <si>
    <t xml:space="preserve">VALEO SA/SAFRAN SA-STRATEGIC ALLIANCE</t>
  </si>
  <si>
    <t xml:space="preserve">Valeo SA (Valeo) and Safran SA (Safran) formed a strategic alliance to
conduct research on driving aid and autonomous vehicles to speed up the
development of new products in assisted and self-driving solutions for
automobiles, military vehicles and aircraft.</t>
  </si>
  <si>
    <t xml:space="preserve">919134
6E5093</t>
  </si>
  <si>
    <t xml:space="preserve">Theorem Clinical Research Inc
Ximedica</t>
  </si>
  <si>
    <t xml:space="preserve">Pvd clinical research
Pvd research,dvlp svcs</t>
  </si>
  <si>
    <t xml:space="preserve">Theorem Clinical Research Inc
is a provider of research and
development services. The
company was founded in 2011
and is located in King Of
Prussia, Pennsylvania.
Ximedica LLC, headquartered in
Rhode Island, is a provider of
research and development
services. The company offers
research and strategy
services, such a commercial
landscape assessment, product
and brand strategy, market
segmentation studies,
contextual user research,
process/use task mapping,
in-use design optimization
studies, concept testing in
simulated settings, clinical
trial design and execution,
and formative and
summative/validation. It has
regional office in St. Paul,
Minnesota; and a satellite
office in Hong Kong. The
company was founded in 1985.</t>
  </si>
  <si>
    <t xml:space="preserve">PA
RI</t>
  </si>
  <si>
    <t xml:space="preserve">THEOREM CLINICAL RESEARCH INC/ XIMEDICA LLC-STRATEGIC ALLIANCE</t>
  </si>
  <si>
    <t xml:space="preserve">Theorem Clinical Research (Theorem) and Ximedica LLC (Ximedica) formed a
strategic alliance for clinical services. The strategic alliance aims to
provide clients with design solutions that meet the safety and use needs
and requirements of an exhaustive range of populations and environments,
thereby minimizing risk during the regulatory review process.</t>
  </si>
  <si>
    <t xml:space="preserve">0A6439
6A0269</t>
  </si>
  <si>
    <t xml:space="preserve">Plandai Biotechnology Inc
Northwest University</t>
  </si>
  <si>
    <t xml:space="preserve">Plandai Biotechnology Inc,
located in Goodyear, Arizons,
is a biotehcnology company
based on farm fruits and
vegetables. It focuses on the
farming of whole fruits,
vegetables and live plant
materials.
Northwest University, owns and
operates a college/university.
The college/university is
headquartered in Kirkland,
Washington. It was founded in
1934.</t>
  </si>
  <si>
    <t xml:space="preserve">AZ
WA</t>
  </si>
  <si>
    <t xml:space="preserve">PLANDAI BIOTECHNOLOGY INC/NORTHWEST UNIVERSITY-STRATEGIC ALLIANCE</t>
  </si>
  <si>
    <t xml:space="preserve">Plandai Biotechnology Inc (Plandai) and Northwest University (Northwest)
formed a strategic alliance to conduct clinical studies involving Phytofare
Pheroid Topical Catechin Complex (ph2), a new topical cream based on the
nano-entrapment technology developed by Prof Anne Grobler at NWU and
recently licensed to Plandai for human and animal use.</t>
  </si>
  <si>
    <t xml:space="preserve">72703D
66747T</t>
  </si>
  <si>
    <t xml:space="preserve">Grafoid Inc
ProScan Rx Pharma Inc</t>
  </si>
  <si>
    <t xml:space="preserve">Pvd invstmnt,rsrch,devt
Biotechnology company</t>
  </si>
  <si>
    <t xml:space="preserve">Grafoid Inc, located in
Ontario, Canada, is an
investment and research and
development focused on
producing high quality,
economically scalable
graphene. The company invest
in, manage, and develop
markets for processes that
produce economically scalable,
pristine graphene for polymer
and non-polymer, energy
storage and other
applications.
ProScan RX Pharma Inc is a
biotechnology company
headquartered in Montreal,
Canada. The company is focused
on the development of
molecular tools for clinical
management of patients
suffering from prostate
cancer.</t>
  </si>
  <si>
    <t xml:space="preserve">3624
2836</t>
  </si>
  <si>
    <t xml:space="preserve">GRAFOID INC/PROSCAN RX PHARMA INC-JOINT VENTURE</t>
  </si>
  <si>
    <t xml:space="preserve">Calevia Inc is a biotechnology
company headquartered in
Montreal, Canada. The company
is focused on the development
of new graphene-based
nanotechnology platform for
the precise targeting and
thermal eradication of solid
cancer tumors. Calevias first
target development, prostate
cancer, is based on two
well-characterized components:
MesoGraf(TM)Xide and our own
anti-PSMA antibody. It was
founded on September 2013.</t>
  </si>
  <si>
    <t xml:space="preserve">Grafoid Inc (Grafoid) and ProScan Rx Pharma Inc (ProScan) formed a joint
venture named Calevia Inc (JV) to develop new graphene-based nanotechnology
platform for the precise targeting and thermal eradication of solid cancer
tumours. The JV's first target will be prostate cancer using ProScan's
anti-PSMA antibody.</t>
  </si>
  <si>
    <t xml:space="preserve">6A6352</t>
  </si>
  <si>
    <t xml:space="preserve">36945M
6A6348</t>
  </si>
  <si>
    <t xml:space="preserve">Almac Discovery Ltd
CCRCB</t>
  </si>
  <si>
    <t xml:space="preserve">Almac Discovery Ltd provides
research and development
services. The company is
headquartered in Craigavon,
United Kingdom. It is focused
on the development of novel
and innovative approaches to
the treatment of cancer and
associated conditions. The
company was founded in 2008.
Centre for Cancer Research and
Cell Biology (CCRCB) provides
research and development
services. The company is
headquartered in Belfast,
United Kingdom. It is focused
on Cancer Cell &amp; Molecular
Biology and Clinical Research.</t>
  </si>
  <si>
    <t xml:space="preserve">Almac Group Ltd
CCRCB</t>
  </si>
  <si>
    <t xml:space="preserve">ALMAC DISCOVERY LTD/CENTRE FOR CANCER RESEARCH &amp; CELL BIOLOGY-STRATEGIC
ALLIANCE</t>
  </si>
  <si>
    <t xml:space="preserve">Almac Discovery Ltd (Almac) and Centre for Cancer Research &amp; Cell Biology
(CCRCB) to engage in an accelerated drug discovery for the treatment of
cancer. The alliance will have an investment capital of EUR 13 mil (USD
17.0536 mil).</t>
  </si>
  <si>
    <t xml:space="preserve">The alliance will have an investment capital of EUR 13 mil (USD 17.0536
mil).</t>
  </si>
  <si>
    <t xml:space="preserve">6A6116
6A6113</t>
  </si>
  <si>
    <t xml:space="preserve">ABB Ltd
Statoil ASA</t>
  </si>
  <si>
    <t xml:space="preserve">Manufacture and Wholesale Electronic Equipment
Oil,gas exploration,production company</t>
  </si>
  <si>
    <t xml:space="preserve">ABB Ltd, located in Zurich,
Switzerland, manufactures
and wholesales electronic
equipment. It also offers
electronic testing and
measuring equipment,
electrolyzers, diesel and
electric locomotives,
tramways, power generators,
monitoring systems,
switchgears, motors,
electric controllers, fiber
optic strands, diodes,
rectifiers and industrial
process furnaces.
Automotive, wind power,
water, oil and gas, and
minerals and mining are some
of the industries it serves,
with operations in about 100
countries. It also serves as
an investment holding
company. The Company was
founded in 1988.
Statoil ASA, located in
Stavanger, Norway, is an oil
and gas exploration and
production Company. Its
principal activities are to
explore, produce, transport,
refine and market petroleum
and petroleum-derived
products. The Group operates
through its division, namely
Exploration &amp; Production
Norway, International
Exploration and Production,
Natural Gas and
Manufacturing and Marketing.
Exploration and Production
Norway includes exploration,
development and production
of oil and gas on the
Norwegian continental shelf.
International Exploration
and Production includes all
upstream related activities
of exploration, development
and production operations
outside Norway. Natural Gas
division transports,
processes and markets oil
and gas from the NCS to
European destinations.
Manufacturing and Marketing
division comprises
downstream activities
including sales and trading
of crude oil, NGL and
petroleum products,
refining, methanol
production, retail and
industrial marketing of oil.
The Company was founded in
1972.</t>
  </si>
  <si>
    <t xml:space="preserve">3613
1311</t>
  </si>
  <si>
    <t xml:space="preserve">Switzerland
Norway</t>
  </si>
  <si>
    <t xml:space="preserve">ABB LTD/STATOIL ASA-STRATEGIC ALLIANCE</t>
  </si>
  <si>
    <t xml:space="preserve">ABB Ltd (ABB) and Statoil ASA (Statoil) formed a five-year strategic
alliance to develop solutions for transmission, distribution and power
conversion systems designed to power and control subsea pumps and gas
compressors at depths of 3,000 meters and over vast distances.</t>
  </si>
  <si>
    <t xml:space="preserve">000375
85771S</t>
  </si>
  <si>
    <t xml:space="preserve">Novartis AG
Regenerex LLC</t>
  </si>
  <si>
    <t xml:space="preserve">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
Regenerex LLC, is a
biotechnology company
headquartered in Louisville,
Kentucky. The company is
focused on better long term
results of organ
transplantation by inducing
tolerance through modified
stem cell transplants. It was
founded in 2001.</t>
  </si>
  <si>
    <t xml:space="preserve">FF
KY</t>
  </si>
  <si>
    <t xml:space="preserve">NOVARTIS AG/REGENEREX LLC-STRATEGIC ALLIANCE</t>
  </si>
  <si>
    <t xml:space="preserve">Novartis AG (Novartis) and Regenerex LLC (Regenerex) formed a strategic
alliance under which Novartis was granted license to Regenerex's novel
Facilitating Cell Therapy (FCRx) platform.</t>
  </si>
  <si>
    <t xml:space="preserve">66987V
5A9202</t>
  </si>
  <si>
    <t xml:space="preserve">Chemico Inter Corp Co Ltd
HelioScreen</t>
  </si>
  <si>
    <t xml:space="preserve">Whl cosmetics
Pvd product dvlp,testing svc</t>
  </si>
  <si>
    <t xml:space="preserve">Chemico Inter Corp Co Ltd,
located in Bangkok, Thailand,
wholesales beauty and personal
care products. The company is
founded in 1994.
HelioScreen, located in Creil,
France, provides product
development and testing
services by conducting In
Vitro evaluation for sun
products. The company was
founded in 1999.</t>
  </si>
  <si>
    <t xml:space="preserve">2844
8734</t>
  </si>
  <si>
    <t xml:space="preserve">Thailand
France</t>
  </si>
  <si>
    <t xml:space="preserve">CHEMICO INTER CORP CO LTD/HELIOSCREEN-JOINT VENTURE</t>
  </si>
  <si>
    <t xml:space="preserve">Chemico Inter Corporation Co Ltd (Chemico) and HelioScreen (HelioScreen)
planned to form a joint venture, HelioScreen Asia, to provide research and
development services by conducting In Vitro tests for sun products.</t>
  </si>
  <si>
    <t xml:space="preserve">5A9158
5A9159</t>
  </si>
  <si>
    <t xml:space="preserve">BIOGEN IDEC INC/ISIS PHARMACEUTICALS INC-STRATEGIC ALLIANCE</t>
  </si>
  <si>
    <t xml:space="preserve">Biogen Idec Inc (Biogen) and Isis Pharmaceuticals Inc (Isis) formed a
strategic alliance to advance the treatment of neurological diseases. The
alliance will combine Biogen's expertise in neurology with Isis' leadership
in antisense technology to develop novel therapies to treat neurological
disorders. Biogen will pay upfront payment of USD 100 mil for the exclusive
rights to the use of Isis' antisense technology to develop therapies for
neurological diseases. Isis is eligible to receive milestone payments,
license fees and royalty payments for all treatments developed through this
collaboration.</t>
  </si>
  <si>
    <t xml:space="preserve">Biogen will pay upfront payment of USD 100 mil</t>
  </si>
  <si>
    <t xml:space="preserve">Mayne Pharma Group Ltd
HedgePath Pharmaceuticals Inc</t>
  </si>
  <si>
    <t xml:space="preserve">Mnfr,dvlp pharmaceuticals
Pvd research,development svcs</t>
  </si>
  <si>
    <t xml:space="preserve">Mayne Pharma Group Ltd,
headquartered in Adelaide,
South Australia, is a
pharmaceutical company that
manufactures and develops
prescription pharmaceuticals
intended for final
consumption, including
biotech products and
antibiotics. It develops and
licenses generic
formulations known as
SuperGenerics or Improved
Chemical Entities. It
operates manufacturing
facilities in Salisbury,
Australia and Greenville,
USA. Its products include
SUBA- Itraconazole, which is
used to treat people with a
fungal infection of the
nail, either finger or toe
and is called onychomycosis.
HedgePath Pharmaceuticals Inc,
located in Tampa, Florida, is
a biopharmaceutical company
that is seeking to discover,
develop and commercialize
innovative therapeutics for
patients with certain cancers.
Its preliminary focus is on
the development of therapies
for skin, prostate and lung
cancers in the U.S. market.
The company was founded in
1992.</t>
  </si>
  <si>
    <t xml:space="preserve">MAYNE PHARMA GROUP LTD/HEDGEPATH PHARMACEUTICAL INC-STRATEGIC ALLIANCE</t>
  </si>
  <si>
    <t xml:space="preserve">Mayne Pharma Group (Mayne) Ltd and HedgePath Pharmaceutical Inc (HPPI)
signed an exclusive Supply and License Agreement to form an strategic
alliance, whereby HPPI will pursue clinical development, registration and
commercialisation of Mayne 's patented formulation of itraconazole, known
as SUBA-Itraconazole, for treatment of a variety of cancers in the United
States.</t>
  </si>
  <si>
    <t xml:space="preserve">40344F
42278K</t>
  </si>
  <si>
    <t xml:space="preserve">AstraZeneca PLC
Hadasit Med Research Svc</t>
  </si>
  <si>
    <t xml:space="preserve">Manufactures, wholesales pharmaceutical products
Pvd med research,dvlp svcs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</si>
  <si>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Hadasit Medical Research
Services &amp; Development Ltd,
located in Israel, provides
medical research and
development services. The
Company was founded in 1986.</t>
  </si>
  <si>
    <t xml:space="preserve">United Kingdom
Israel</t>
  </si>
  <si>
    <t xml:space="preserve">AstraZeneca PLC
Hadassah Medical Ltd</t>
  </si>
  <si>
    <t xml:space="preserve">ASTRAZENECA PLC/HADASIT MEDICAL RESEARCH SERVICES &amp; DEVELOPMENT
LTD-STRATEGIC ALLIANCE</t>
  </si>
  <si>
    <t xml:space="preserve">AstraZeneca PLC (AstraZeneca) and Hadasit Medical Research Services &amp;
Development Ltd (Hadasit) formed a strategic alliance to identify,
evaluate, and jointly develop new treatments for several diseases,
primarily focused on cancer, respiratory diseases, and diabetes.</t>
  </si>
  <si>
    <t xml:space="preserve">046353
40553P</t>
  </si>
  <si>
    <t xml:space="preserve">Bayer HealthCare LLC
Broad Institute</t>
  </si>
  <si>
    <t xml:space="preserve">Bayer HealthCare LLC, located
in Tarrytown, New York, is a
biotechnology company focused
on medical care. Its business
is comprised of blood glucose
meters, contrast-enhanced
diagnostic imaging equipment
together with the necessary
contrast agents, and
mechanical systems for
treating constricted or
blocked blood vessels. The
company was founded in 2002.
Broad Institute is a
manufacturer of biological
products. The Company was
founded in May 2004 and is
located in Cambridge,
Massachusetts.</t>
  </si>
  <si>
    <t xml:space="preserve">Bayer AG
Massachusetts Inst Of Tech</t>
  </si>
  <si>
    <t xml:space="preserve">BAYER HEALTHCARE LLC/BROAD INSTITUTE-STRATEGIC ALLIANCE</t>
  </si>
  <si>
    <t xml:space="preserve">Bayer HealthCare LLC (Bayer) and Broad Institute formed a five-year
strategic alliance to discover and develop therapeutic agents that
selectively target cancer genome alterations.</t>
  </si>
  <si>
    <t xml:space="preserve">07289V
11149Z</t>
  </si>
  <si>
    <t xml:space="preserve">Theorem Clinical Research Inc
Charles River Labs Intl Inc</t>
  </si>
  <si>
    <t xml:space="preserve">Pvd clinical research
Research and Development in Biotechnology</t>
  </si>
  <si>
    <t xml:space="preserve">Theorem Clinical Research Inc
is a provider of research and
development services. The
company was founded in 2011
and is located in King Of
Prussia, Pennsylvania.
Charles River Laboratories
International Inc, located
in Wilmington,
Massachusetts, provides
biotechnology research and
development services. It
also has offices in North
America, Europe and Asia.
The Company was founded in
1947.</t>
  </si>
  <si>
    <t xml:space="preserve">PA
MA</t>
  </si>
  <si>
    <t xml:space="preserve">THEOREM CLINICAL RESEARCH INC/CHARLES RIVER LABORATORIES INTERNATIONAL
INC-STRATEGIC ALLIANCE</t>
  </si>
  <si>
    <t xml:space="preserve">Theorem Clinical Research Inc (Theorem) and Charles River Laboratories
International Inc (Charles River) formed a strategic alliance to provide an
integrated solution from nonclinical testing and analysis through clinical
development and registration. The alliance will provide nonclinical testing
programs in the areas of bioanalysis, immunogenicity and immunology to
support clinical trials.</t>
  </si>
  <si>
    <t xml:space="preserve">0A6439
159864</t>
  </si>
  <si>
    <t xml:space="preserve">Bgi Tech Solutions Co Ltd
START</t>
  </si>
  <si>
    <t xml:space="preserve">Research and Development in Biotechnology
Research and Development in Biotechnology</t>
  </si>
  <si>
    <t xml:space="preserve">Bgi Tech Solutions Co Ltd is
a provider of biotechnology
research and development
services. The Company was
founded in April 2012 and is
located in Shenzhen, China.
South Texas Accelerated
Research Therapeutics
headquartered in San Antonio,
Texas, provides research and
development services for new
anticancer drugs.</t>
  </si>
  <si>
    <t xml:space="preserve">BGI Genomics Co Ltd
START</t>
  </si>
  <si>
    <t xml:space="preserve">BGI TECH SOLUTIONS CO LTD/SOUTH TEXAS ACCELERATED RESEARCH
THERAPEUTICS-STRATEGIC ALLIANCE</t>
  </si>
  <si>
    <t xml:space="preserve">BGI Tech Solutions Co Ltd ( BGI Tech) and South Texas Accelerated Research
( START) formed a strategic alliance to provide research and development
services for anticancer drugs.</t>
  </si>
  <si>
    <t xml:space="preserve">7A5429
7A5433</t>
  </si>
  <si>
    <t xml:space="preserve">Les Laboratoires Servier SAS
Shanghai Institute of Materia</t>
  </si>
  <si>
    <t xml:space="preserve">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
Provide research and
development services</t>
  </si>
  <si>
    <t xml:space="preserve">Les Laboratoires Servier SAS
Peoples Republic of China</t>
  </si>
  <si>
    <t xml:space="preserve">LES LABORATOIRES SERVIER/SHANGHAI INSTITUTE OF MATERIA MEDICA -STRATEGIC
ALLIANCE</t>
  </si>
  <si>
    <t xml:space="preserve">Les Laboratoires Servier (Servier), Shanghai Institute of Materia Medica,
Chinese Academy of Sciences (SIMM) formed a strategic alliance to develop
Lucitanib, an antitumor drug with antiangiogenic effects. Under the terms
of the agreement, the collaboration will provide evidence of clinical
benefits in specific Chinese indications.</t>
  </si>
  <si>
    <t xml:space="preserve">81764A
81932N</t>
  </si>
  <si>
    <t xml:space="preserve">Entegris Inc
Sematech Inc</t>
  </si>
  <si>
    <t xml:space="preserve">Manufactures microcontamination control products, specialty chemicals &amp; materials handling solutions
Pvd research,dvlp svcs</t>
  </si>
  <si>
    <t xml:space="preserve">Entegris Inc, headquartered
in Billerica, Massachusetts,
manufactures
microcontamination control
products, specialty
chemicals and materials
handling solutions for
manufacturing processes in
the semiconductor and other
high-technology industries.
It offers filtration
coatings, and shippers and
trays for protecting and
transporting disk drive
components. It operates
manufacturing, customer
service and research
facilities in the United
States, China, France,
Germany, Israel, Japan,
Malaysia, Singapore, South
Korea and Taiwan. The
Company was founded in 1966.
Sematech Inc, located in
Austin, Texas, provides
research and development
services for the improvement
of semiconductor manufacturing
technology. The company was
founded in 1987.</t>
  </si>
  <si>
    <t xml:space="preserve">ENTEGRIS INC/SEMATECH INC-STRATEGIC ALLIANCE</t>
  </si>
  <si>
    <t xml:space="preserve">Sematech Inc (Sematech) and Entegris Inc (Entegris) formed a strategic
alliance to develop advanced nanoscale particle removal processes and
cleaning technologies for next-generation wafers and devices. The alliance
will focus on integration of new materials and process technology for
sub-20 nm node manufacturing, next-generation lithography requirements and
the progression to 450 mm wafers.</t>
  </si>
  <si>
    <t xml:space="preserve">29362U
81685I</t>
  </si>
  <si>
    <t xml:space="preserve">Cancer Research Technology Ltd
Teva Pharm Inds Ltd</t>
  </si>
  <si>
    <t xml:space="preserve">Pvd research,dvlp svcs
Pharmaceutical Preparation Manufacturing</t>
  </si>
  <si>
    <t xml:space="preserve">Provide research and
development services for the
benefit of cancer patients
Teva Pharmaceutical
Industries Ltd is a
manufacturer of
pharmaceutical preparation.
The Company was founded in
1901 and is located in
Petach Tikva, Israel.</t>
  </si>
  <si>
    <t xml:space="preserve">Cancer Research UK
Teva Pharm Inds Ltd</t>
  </si>
  <si>
    <t xml:space="preserve">CANCER RESEARCH TECHNOLOGY LTD/TEVA PHARMACEUTICAL INDUSTRIES LTD-STRATEGIC
ALLIANCE</t>
  </si>
  <si>
    <t xml:space="preserve">Cancer Research Technology Ltd (CRT) and Teva Pharmaceutical Industries Ltd
(Teva) formed a strategic alliance to develop develop cancer drugs that
modulate DNA damage and repair response, or DDR, processes in cancer
cells.</t>
  </si>
  <si>
    <t xml:space="preserve">13737V
881624</t>
  </si>
  <si>
    <t xml:space="preserve">TenCate Advanced Composites
Kringlan Composites AG</t>
  </si>
  <si>
    <t xml:space="preserve">Mnfr composite materials
Mnfr thermoplastics</t>
  </si>
  <si>
    <t xml:space="preserve">TenCate Advanced Composites
USA Inc, located in Morgan
Hill, California, a
manufacturer of aerospace
grade thermosetting composite
materials.
kringlan composites AG,
located in Otelfingen,
Switzerland, manufactures
fiber reinforced
thermoplastics for use in
automotive, aerospace,
electric, paper, and the
mechanical industries. It was
founded in 2007.</t>
  </si>
  <si>
    <t xml:space="preserve">2821
3714</t>
  </si>
  <si>
    <t xml:space="preserve">Koninklijke Ten Cate NV
Kringlan Composites AG</t>
  </si>
  <si>
    <t xml:space="preserve">Netherlands
Switzerland</t>
  </si>
  <si>
    <t xml:space="preserve">2399
3714</t>
  </si>
  <si>
    <t xml:space="preserve">TENCATE ADVANCED COMPOSITES USA INC /KRINGLAN COMPOSITES AG-STRATEGIC
ALLIANCE</t>
  </si>
  <si>
    <t xml:space="preserve">TenCate Advanced Composites USA Inc and Kringlan Composites AG formed a
strategic alliance, to develop automotive part manufacturing.</t>
  </si>
  <si>
    <t xml:space="preserve">87003Z
6A5336</t>
  </si>
  <si>
    <t xml:space="preserve">Reinnervate Ltd
Roslin Cellab</t>
  </si>
  <si>
    <t xml:space="preserve">Mnfr,whl stem tools
Pvd research,dvlp svcs</t>
  </si>
  <si>
    <t xml:space="preserve">Reinnervate Ltd, located in
Durham, UK, manufacture and
wholesales stem tools used to
generate better in-vitro
models using 3D cell culture.
Its products include
Alvetex(R) a unique and
proprietary polystyrene
scaffold that enables routine
3D cell culture. The company
was founded in 2002.
Roslin Cellab provides
research and development
services. The company is
headquartered in Midlothian,
United Kingdom. Its services
include contract research,
product development work,
Human pluripotent stem cell
work, Hepatocyte
Differentiation, Stem Cell
Printing for Tissue
Regeneration, New Product
Development, Novel activity
Screening, 2D &amp; 3D Stem Cell
Culture and stem cell culture
training for academic and
commercial clients in the life
science, biotechnology and
pharmaceutical sectors. It was
founded in 2008.</t>
  </si>
  <si>
    <t xml:space="preserve">REINNERVATE LTD/ROSLIN CELLAB-STRATEGIC ALLIANCE</t>
  </si>
  <si>
    <t xml:space="preserve">Reinnervate Ltd (Reinnervate) and Roslin Cellab (Roslin) planned to form a
strategic alliance to develop 3D stem cell printing products and services
using Alvetex(R) technology.</t>
  </si>
  <si>
    <t xml:space="preserve">6A5094
6A5097</t>
  </si>
  <si>
    <t xml:space="preserve">XBiotech USA Inc
US Oncology Research Inc</t>
  </si>
  <si>
    <t xml:space="preserve">XBiotech USA Inc is a
biotechnology company
headquartered in Houston,
Texas. The company is focused
on the development of
monoclonal antibody (MABp1) to
inhibit chronic inflammation.
Chronic (sterile) inflammatory
responses are involved in the
progression of many serious
and common diseases.
US Oncology Research Inc
provides research and
development services. The
company is headquartered in
Houston, Texas. It is focused
on the research and
development of treatment for
cancer.</t>
  </si>
  <si>
    <t xml:space="preserve">XBiotech USA Inc
McKesson Corp</t>
  </si>
  <si>
    <t xml:space="preserve">2836
5122</t>
  </si>
  <si>
    <t xml:space="preserve">XBIOTECH USA INC/US ONCOLOGY RESEARCH INC-STRATEGIC ALLIANCE</t>
  </si>
  <si>
    <t xml:space="preserve">XBiotech USA Inc (XBiotech) and US Oncology Research Inc (US Oncology)
formed a strategic alliance to engage in Phase III clinical trial of
Xilonix, a first-in-class True Human antibody. XBiotech's Xilonix is
anticipated to improve the survival rate of colorectal cancer patients as
it blocks inflammation involved in tumour growth and metastasis. US
Oncology Research will utilize its affiliated oncology centres to for the
clinical trial.</t>
  </si>
  <si>
    <t xml:space="preserve">6A5148
6A5144</t>
  </si>
  <si>
    <t xml:space="preserve">Kyowa Hakko Kirin Co Ltd
Activiomics Ltd</t>
  </si>
  <si>
    <t xml:space="preserve">Mnfr,whl medical prod
Biotechnology company</t>
  </si>
  <si>
    <t xml:space="preserve">Kyowa Hakko Kirin Co Ltd,
based in Tokyo, Japan, is
mainly engaged in
manufacture and wholesale of
medical product. The medical
product segment is engaged
in the manufacture, sale and
sales promotion of ethical
drug and reagent for
clinical test, the
development of candidate
substances for new drugs, as
well as the research and
development of technologies
for antibody drug creation,
among others. The
biochemical segment
manufactures and sells
medical and industrial
materials, mainly amino and
nucleic acids, and
healthcare products. This
segment also designs and
constructs facilities. The
others segment is involved
in the logistics,
contracting, retail and
wholesale, and insurance
agency businesses, as well
as the manufacture and sale
of industrial alcohol. The
company is a holding
company. The company was
founded in 1949.
Activiomics Ltd, located in
London, UK, is a biotechnology
company. It has developed a
suite of advanced, label-free
mass spectrometry technologies
that enables it to identify
and quantify, directly from
clinical samples, proteins and
phosphoproteins that correlate
with the progression of
disease and/or the
administration of drugs.</t>
  </si>
  <si>
    <t xml:space="preserve">Kirin Holdings Co Ltd
Activiomics Ltd</t>
  </si>
  <si>
    <t xml:space="preserve">2082
2836</t>
  </si>
  <si>
    <t xml:space="preserve">KYOWA HAKKO KIRIN CO LTD/ACTIVIOMICS LTD-STRATEGIC ALLIANCE</t>
  </si>
  <si>
    <t xml:space="preserve">Kyowa Hakko Kirin Co Ltd and Activiomics Ltd planned to form a strategic
alliance to analyze and interpret cell signaling pathway activity resulting
from drug administration and/or disease progression, in the UK.</t>
  </si>
  <si>
    <t xml:space="preserve">J38296
6A5203</t>
  </si>
  <si>
    <t xml:space="preserve">GlaxoSmithKline PLC
BARDA</t>
  </si>
  <si>
    <t xml:space="preserve">Pharmaceutical Preparation Manufacturing
Mnfr biopharmaceuticals</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</si>
  <si>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Biomedical Advanced R&amp;D
Authority provides an
integrated, systematic
approach to the development
and purchase of the necessary
vaccines, drugs, therapies,
and diagnostic tools for
public health medical
emergencies. The Company
manages the procurement and
advanced development of
medical countermeasures for
chemical, biological,
radiological, and nuclear
agents, as well as the
advanced development and
procurement of medical
countermeasures for pandemic
influenza and other emerging
infectious diseases.</t>
  </si>
  <si>
    <t xml:space="preserve">GLAXOSMITHKLINE PLC/BIOMEDICAL ADVANCED RESEARCH &amp; DEVELOPMENT
AUTHORITY-STRATEGIC ALLIANCE</t>
  </si>
  <si>
    <t xml:space="preserve">GlaxoSmithKline PLC and Biomedical Advanced R&amp;D Authority formed a
strategic alliance to manufacture pharmaceutical products for the provision
of its inhalation anthrax treatment, in the USA. The alliance is for four
years.</t>
  </si>
  <si>
    <t xml:space="preserve">37733W
08933Y</t>
  </si>
  <si>
    <t xml:space="preserve">C4X Discovery Ltd
University of Southampton</t>
  </si>
  <si>
    <t xml:space="preserve">Pvd research,dvlp svcs
Pvd educational svcs</t>
  </si>
  <si>
    <t xml:space="preserve">C4X Discovery Ltd provides
research and development
services. The company is
headquartered in Manchester,
United Kingdom. The company
was founded in 2008.
University of Southampton,
located in Southampton, United
Kingdom, provides educational
services.</t>
  </si>
  <si>
    <t xml:space="preserve">C4X DISCOVERY LTD/UNIVERSITY OF SOUTHAMPTON-STRATEGIC ALLIANCE</t>
  </si>
  <si>
    <t xml:space="preserve">C4X discovery Ltd (C4XD) and University of Southampton (Southampton) formed
a strategic alliance to provide research and development services. Under
the terms of the agreement, C4XD's NMR technology will be used to analyse
active confirmation of inhibitors with drug-like properties following
Southampton's discovery of new blockers of a protein-protein interaction
for viral bidding.</t>
  </si>
  <si>
    <t xml:space="preserve">6A5342
91489Q</t>
  </si>
  <si>
    <t xml:space="preserve">Apollo Hosp Entrp Ltd
Saarum Innovations</t>
  </si>
  <si>
    <t xml:space="preserve">Own,operate hospitals
health science firm</t>
  </si>
  <si>
    <t xml:space="preserve">Apollo Hospitals Enterprise
Ltd is a hospital operator.
It is also a holding
Company. The Company and its
subsidiaries are involved in
the business of Healthcare,
Pharmacy and Others. The
Healthcare segment consists
of hospitals, hospital-based
pharmacies, and projects and
consultancy services. Its
tertiary care hospitals
provide care in over 50
specialties, including
cardiac sciences, oncology,
neurosciences, critical
care, orthopedics,
radiology, gastroenterology
and transplant. The tertiary
care hospitals has over
9,550 beds across
approximately 70 locations,
over 2,330 pharmacies,
approximately 170 primary
care and diagnostic clinics,
and over 150 telemedicine
units across approximately
10 countries. The Company
also provides project
consultancy services, health
insurance services,
education and training
programs, and research
services. It also operates
birthing centers, day
surgery centers and dental
clinics. The Company was
founded in 1983 and is
located in Chennai, India.
Saarum Innovations,
headquartered in India, is a
health science firm.</t>
  </si>
  <si>
    <t xml:space="preserve">8062
8099</t>
  </si>
  <si>
    <t xml:space="preserve">APOLLO HOSPITALS ENTERPRISE LTD/ SAARUM INNOVATIONS-JOINT VENTURE</t>
  </si>
  <si>
    <t xml:space="preserve">Sapien Biosciences,
headquartered in Hyderabad,
India, is a commercial
bio-bank. The bio-bank will
comprise of collections of
high-quality,
ethically-consented and
anonymized human samplesalong
with associated medical &amp;
sample-level data across
various diseases e.g., cancer,
cardiovascular and diabetes.</t>
  </si>
  <si>
    <t xml:space="preserve">Apollo Hospitals Enterprise Ltd (Apollo) and Saarum Innovations (Saarum)
formed a joint venture named Sapien Bioscience Pvt Ltd (JV), a commercial
bio-bank, which will provide cell-related research assistance to
pharmaceutical companies. Apollo with 70% stake in the venture will provide
the infrastructure, while Saarum Innovations with 30% will bring its
research expertise to the table.</t>
  </si>
  <si>
    <t xml:space="preserve">6A2276</t>
  </si>
  <si>
    <t xml:space="preserve">03757L
6A2265</t>
  </si>
  <si>
    <t xml:space="preserve">Karo Bio AB
4D Science GmbH</t>
  </si>
  <si>
    <t xml:space="preserve">Provide medical research svcs
Pvd research,dvlp svcs</t>
  </si>
  <si>
    <t xml:space="preserve">Karo Bio AB, located in
Huddinge, Sweden, provides
medical research services.
It specializes in clinical
testing of pharmaceuticals.
The company was founded in
1987.
4D Science GmbH provides
research and development
services. The company is
headquartered in Bayern,
Germany.</t>
  </si>
  <si>
    <t xml:space="preserve">KARA BIO AB/4D SCIENCE GMBH-STRATEGIC ALLIANCE</t>
  </si>
  <si>
    <t xml:space="preserve">Karo Bio AB (Karo) and 4D Science GmbH (4D) formed a strategic alliance to
provide research and development services. Under the terms of the
agreement, the companies will develop novel treatments for fibrotic
diseases.</t>
  </si>
  <si>
    <t xml:space="preserve">48576M
6A5155</t>
  </si>
  <si>
    <t xml:space="preserve">Sanofi SA
Gubra ApS</t>
  </si>
  <si>
    <t xml:space="preserve">Manufactures pharmaceuticals products
Biotechnology company</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</si>
  <si>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Gubra ApS is a manufacturer of
biological products. The
Company is located in
Horsholm, Denmark.</t>
  </si>
  <si>
    <t xml:space="preserve">SANOFI SA/GUBRA APS-STRATEGIC ALLIANCE</t>
  </si>
  <si>
    <t xml:space="preserve">Sanofi SA (Sanofi) and Gubra ApS (Gubra) formed a strategic alliance to
discover and develop peptide-based drugs for diabetes and obesity.</t>
  </si>
  <si>
    <t xml:space="preserve">80105N
6A2578</t>
  </si>
  <si>
    <t xml:space="preserve">Galapagos NV
AbbVie Inc</t>
  </si>
  <si>
    <t xml:space="preserve">Biopharmaceutical company
Manufactures and wholesales pharmaceutical products</t>
  </si>
  <si>
    <t xml:space="preserve">Galapagos NV, located in
Mechelen, Belgium, is a
biopharmaceutical company
focused on drug discovery
programs based on
proprietary, novel targets
in bone and joint diseases
such osteoarthritis,
osteoporosis and rheumatoid
arthritis. It also pursues
research on cancer
metastasis, cachexia,
infectious diseases and
Alzheimer's disease. The
company was founded in 1999.
AbbVie Inc, located in North
Chicago, Illinois,
manufactures and wholesales
pharmaceutical products. Its
products are focused on
treating conditions such as
chronic autoimmune diseases
in rheumatology,
gastroenterology and
dermatology; oncology,
including blood cancers;
virology, including
hepatitis C virus (HCV) and
human immunodeficiency virus
(HIV); neurological
disorders, such as
Parkinson's disease;
metabolic diseases,
including thyroid disease
and complications associated
with cystic fibrosis; pain
associated with
endometriosis; and other
serious health conditions.
Its brands include HUMIRA,
Kaltera, Lupron, Synagis,
Androgel, Zemplar,
Synthroid, Creon, TriCor,
Trilipix, Simcor, Niaspan
and among others. The
Company was founded in
10, 2012.
January 2013.</t>
  </si>
  <si>
    <t xml:space="preserve">GALAPAGOS NV/ABBVIE INC-STRATEGIC ALLIANCE</t>
  </si>
  <si>
    <t xml:space="preserve">Galapagos NV (Galapagos) and AbbVie Inc (AbbVie) formed a strategic
alliance to discover, develop and commercialize novel potentiator and
combination therapies in cystic fibrosis (CF). The alliance will focus on
the development of potentiators and correctors discovered by Galapagos and
expand the range of molecules, with the aim to initiate Phase 1 clinical
studies at the end of 2014. AbbVie will handle the commercial activities,
with Galapagos retaining exclusive rights in China and South Korea and
co-promotion rights in Belgium, the Netherlands, and Luxembourg. Galapagos
will receive USD 45 mil in upfront payments as well as up to USD 360 mil in
developmental and regulatory milestones, sales milestones upon the
achievement of minimum annual net sales thresholds and additional
double-digit royalty payments on net sales.</t>
  </si>
  <si>
    <t xml:space="preserve">36315X
00287Y</t>
  </si>
  <si>
    <t xml:space="preserve">Pacific Biosciences of CA Inc
Roche Diagnostics Corp</t>
  </si>
  <si>
    <t xml:space="preserve">Mnfr gene sequencing sys
Mnfr diagnostic equip,prod</t>
  </si>
  <si>
    <t xml:space="preserve">Pacific Biosciences of
California Inc, located in
Menlo Park, California,
designs, develops and
manufactures sequencing
systems to help scientists
resolve genetically complex
problems. The Company is
engaged in the development,
manufacturing and marketing
of an integrated platform
for genetic analysis. Its
Single Molecule, Real-Time
(SMRT) technology enables
single molecule, real-time
detection of biological
processes. It offers The
SMRT Cell, Phospholinked
nucleotides and The PacBio
RS II and Sequel
instruments. Its SMRT
technology enables the
observation of
deoxyribonucleic acid (DNA)
synthesis as it occurs in
real-time by harnessing the
natural process of DNA
replication, which is
actuated by the DNA
polymerase. Its
phospholinked nucleotides
have a fluorescent dye
attached to the phosphate
chain of the nucleotide
rather than to the base. The
PacBio RS II and Sequel
instruments include optics,
automated liquid handling, a
touch screen control
interface and computational
hardware and software. The
Company was founded in 2000.
Roche Diagnostics Corp,
located in Indianapolis,
Indiana, manufactures
diagnostic equipment, products
and hematology instruments.
These are used for early
detection, targeted screening,
evaluation and monitoring of
the diseases. The company was
founded in 1968.</t>
  </si>
  <si>
    <t xml:space="preserve">Pacific Biosciences of CA Inc
Roche Holdings AG</t>
  </si>
  <si>
    <t xml:space="preserve">PACIFIC BIOSCIENCES OF CALIFORNIA INC/ROCHE DIAGNOSTICS CORP-STRATEGIC
ALLIANCE</t>
  </si>
  <si>
    <t xml:space="preserve">Pacific Biosciences of California (Pacific Biosciences) and Roche
Diagnostics Corp (Roche) formed a strategic alliance to develop and
manufacture in vitro diagnostic products, including gene-sequencing systems
and products. Pacific Biosciences will develop and manufacture certain
products intended for clinical use, which it will sell exclusively to
Roche. Roche obtained worldwide rights to exclusively distribute these
products in the field of human in vitro diagnostics. Pacific Biosciences
will continue to market its current and future products for all fields
outside of human in vitro diagnostics, including research, plant, animal,
and applied markets. Pacific Biosciences is entitled to receive USD 35 mil
in upfront payments as well as additional USD 40 in development
milestones.</t>
  </si>
  <si>
    <t xml:space="preserve">69404D
77117P</t>
  </si>
  <si>
    <t xml:space="preserve">Adimab LLC
Novo Nordisk A/S</t>
  </si>
  <si>
    <t xml:space="preserve">Rsch, devlp human antibodies
Healthcare company</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</si>
  <si>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</si>
  <si>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Adimab LLC
Novo Nordisk Foundation</t>
  </si>
  <si>
    <t xml:space="preserve">ADIMAB LLC/NOVO NORDISK A/S-STRATEGIC ALLIANCE</t>
  </si>
  <si>
    <t xml:space="preserve">Adimab LLC and Novo Nordisk A/S extended their strategic alliance to enter
into licensing agreement for the discovery and optimization of
antibody-based protein therapeutics.</t>
  </si>
  <si>
    <t xml:space="preserve">02255X
670100</t>
  </si>
  <si>
    <t xml:space="preserve">Sun Pharm Inds Ltd
Intrexon Corp</t>
  </si>
  <si>
    <t xml:space="preserve">Manufacture,wholesale pharmaceutical products
Manufacture biological products</t>
  </si>
  <si>
    <t xml:space="preserve">Sun Pharmaceutical
Industries Ltd,
headquartered in Mumbai,
India, manufactures and
wholesales pharmaceutical
products. The Company's
products include tablets,
capsules, injections, nasal
sprays, aerosols, dry powder
inhalers, ophthalmic
preparations, creams and
ointments, melt tabs and
liposome-based products. The
operational facilities of
the group are located in
Vapi, Silvassa, Panoli,
Ahmednagar and Chennai. The
Group has international
operations in Bangladesh,
British Virgin Islands,
France, Germany, Italy,
Russia, Spain, Netherlands
and in the UK. The Company
was founded in 1983.
Intrexon Corp, located in
Blacksburg, Virginia,
manufactures biological
products. The Company is
focused on bio-molecular
tools that enable
researchers to modulate and
report the activity of
protein-protein interactions
in pre-determined
subcellular locations. It is
also involved in using DNA
technology as natural
control modality for
biological therapeutics. It
also has facilities located
in Maryland, North Carolina,
and California. The Company
was founded in 1998.</t>
  </si>
  <si>
    <t xml:space="preserve">SUN PHARMACEUTICAL INDUSTRIES LTD/INTREXON CORP-JOINT VENTURE</t>
  </si>
  <si>
    <t xml:space="preserve">The company is a
pharmaceutical manufacturing
firm, focused on the
development of treatment of
ocular disease. It was formed
on October 2013.</t>
  </si>
  <si>
    <t xml:space="preserve">Sun Pharmaceutical Industries Ltd (Sun Pharma) and Intrexon Corp (Intrexon)
formed a joint venture to develop and manufacture treatment for ocular
diseases. The JV will utilize Sun Pharma's global capabilities and
experience in developing and manufacturing complex dosage forms and
specialty pharmaceuticals for niche therapy areas to develop controllable
gene-based therapies for the treatment of ocular diseases that cause
partial or total blindness. The partners will share in the funding and
profit of the JV.</t>
  </si>
  <si>
    <t xml:space="preserve">6A4877</t>
  </si>
  <si>
    <t xml:space="preserve">86683C
46122T</t>
  </si>
  <si>
    <t xml:space="preserve">22nd Century Ltd, LLC
British American Tobacco PLC</t>
  </si>
  <si>
    <t xml:space="preserve">Manufacture biotech products
Produce,whl cigarettes,tobacco</t>
  </si>
  <si>
    <t xml:space="preserve">22nd Century Ltd, LLC, located
in the US, is engaged in
development of a prescription
smoking-cessation aid and
tobacco harm reduction
chemicals and products.
British American Tobacco PLC,
located in London, the United
Kingdom, produces and
wholesales cigarettes and
other tobacco products under
the brands Kent, Dunhill,
Lucky Strike, Pall Mall,
Vogue, Viceroy, Rothmans,
Kool, Benson &amp; Hedges, State
Express 555, Peter Stuyvesant,
Jockey Club, Derby, Winfield,
Star Filter, Hollywood, Free,
Du Maurier, Players, Matinee,
MS, Sax, Boots, Raleigh,
Montana, Wills Gold Flake,
Parisienne, Belmont, Consul,
Carlton and John Player Gold
Leaf operating in the UK,
Belgium, Cyprus, the Czech
Republic, Finland, France,
Germany, Greece, Hungary,
Italy, the Netherlands,
Poland, US, Russia, Serbia,
Spain, Switzerland, Ukraine,
Uzbekistan, Canada and Japan.
It is also a holding company.
The Company was founded in
1902.</t>
  </si>
  <si>
    <t xml:space="preserve">5191
2111</t>
  </si>
  <si>
    <t xml:space="preserve">22nd Century Group Inc
British American Tobacco PLC</t>
  </si>
  <si>
    <t xml:space="preserve">2111
2111</t>
  </si>
  <si>
    <t xml:space="preserve">22ND CENTURY LTD, LLC/BRITISH AMERICAN TOBACCO PLC-STRATEGIC ALLIANCE</t>
  </si>
  <si>
    <t xml:space="preserve">22nd Century Ltd, LLC and British American Tobacco PLC terminated their
strategic alliance agreement. Previously in October 2013, 22nd Century Ltd,
LLC licensed it's patented technology to British American Tobacco PLC to
collaborate on research efforts to further develop 22nd Century's patented
technology. Initially, the SA was to have an upfront payment of USD 7 mil.</t>
  </si>
  <si>
    <t xml:space="preserve">90995F
110448</t>
  </si>
  <si>
    <t xml:space="preserve">Xention Ltd
Les Laboratoires Servier SAS</t>
  </si>
  <si>
    <t xml:space="preserve">Xention Ltd, headquartered in
Cambridge, UK, is a
biopharmaceutical company
specializing in the discovery
and development of ion
channel-modulating drugs.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</si>
  <si>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XENTION LTD/LES LABORATOIRES SERVIER-STRATEGIC ALLIANCE</t>
  </si>
  <si>
    <t xml:space="preserve">Xention Ltd (Xention) &amp; Servier SAS (Servier) has entered into a multi-year
strategic alliance to develop and commercialize XEN-D0103 , a selective
Kv1.5 modulator discovered and developed by Xention for the treatment of
atrial fibrillation (AF). Under the terms of the agreement, Servier was
granted an option to acquire acquire certain intellectual property rights
and to further develop and commercialize XEN-D0103 in all territories
except the USA and Japan. All rights in the USA and Japan will be retained
by Xention. Xention is entitled to receive upfront payment and option fee
as well as a series of milestones up to EUR 120 mil (USD 162.97704 mil).</t>
  </si>
  <si>
    <t xml:space="preserve">Servier will pay an option fee as well as a series of milestones totalling
EUR 120 million.</t>
  </si>
  <si>
    <t xml:space="preserve">1A6090
81764A</t>
  </si>
  <si>
    <t xml:space="preserve">Ernst &amp; Young LLP
SAP AG</t>
  </si>
  <si>
    <t xml:space="preserve">Provides accounting services
Develop business software</t>
  </si>
  <si>
    <t xml:space="preserve">Ernst &amp; Young LLP, located
in New York, New York,
provides accounting, tax
preparation, management
consulting, and corporate
finance advisory services.
It serves various industries
including asset management,
consumer products, telecoms,
insurance, power &amp;
utilities, media,
entertainment and
pharmaceutical among others.
It has offices in Atlanta,
Austin, Boston, Chicago,
Cleveland, Dallas, Denver,
Miami, San Francisco, and
Seattle. The Company was
founded in 1989.
Systeme Anwendungen Produkte
AG {SAP AG}, headquartered
in Walldorf, Germany,
develops business software.
The company has offices in
over 130 countries. It
offers SAP Business Suite
software, SAP Business
All-in-One, SAP Business One
and SAP Business ByDesign.
It provides integrated
Internet-based supply chain
management, customer
relationship management,
product life-cycle
management and supplier
relationship management
software in the high
technology, retail,
financial services,
healthcare and the public
sector with products like
SAP, R/3, mySAP, mySAP.com,
xApps, and xApp. The company
was founded in 1988.</t>
  </si>
  <si>
    <t xml:space="preserve">8721
7372</t>
  </si>
  <si>
    <t xml:space="preserve">ERNST &amp; YOUNG LLP/SYSTEME ANWENDUNGEN PRODUKTE AG - STRATEGIC ALLIANCE</t>
  </si>
  <si>
    <t xml:space="preserve">Ernst &amp; Young LLP &amp; SAP today announced the formation of strategic alliance
for the implementation &amp; design service for solutions from SuccessFactors.</t>
  </si>
  <si>
    <t xml:space="preserve">Software Development Services
Services (NEC)
Research &amp; Development Services</t>
  </si>
  <si>
    <t xml:space="preserve">29585K
803054</t>
  </si>
  <si>
    <t xml:space="preserve">Sirona Biochem Corp
Bloom Burton &amp; Co</t>
  </si>
  <si>
    <t xml:space="preserve">Biotechnology company
Pvd bkg svcs</t>
  </si>
  <si>
    <t xml:space="preserve">Sirona Biochem Corp, located
in Vancouver, British
Columbia, is a biotechnology
company developing diabetes
and obesity therapeutics,
anti-aging cosmetic
ingredients and biological
ingredients. The Company was
founded in 2006.
Bloom Burton &amp; Co, located in
Toronto, Ontario, is a
provider of banking services.
The company also provides
advisory and research.</t>
  </si>
  <si>
    <t xml:space="preserve">SIRONA BIOCHEM CORP/BLOOM BURTON &amp; CO-JOINT VENTURE</t>
  </si>
  <si>
    <t xml:space="preserve">Sirona Biochem Corp (Sirona Biochem) and Bloom Burton &amp; Co (Bloom Burton)
signed a letter of intent to form a joint venture in Canada. Under the
terms of the agreement between Sirona Biochem and Bloom Burton will provide
research and development services in the newly formed JV. The purpose of
the joint venture was to conduct collaborative research to develop and
commercialize new therapeutics in the areas of inflammation and infectious
disease.</t>
  </si>
  <si>
    <t xml:space="preserve">82967M
09384K</t>
  </si>
  <si>
    <t xml:space="preserve">InClinition
Med Focus</t>
  </si>
  <si>
    <t xml:space="preserve">InClinition, located in
Maharashtra, India, provides
medical research and
development services.
Med Focus, located in Romania,
provides medical research and
development services.</t>
  </si>
  <si>
    <t xml:space="preserve">India
Romania</t>
  </si>
  <si>
    <t xml:space="preserve">MED FOCUS/INCLINITION-JOINT VENTURE</t>
  </si>
  <si>
    <t xml:space="preserve">Romania</t>
  </si>
  <si>
    <t xml:space="preserve">Med Focus and InClinition planned to form a joint venture to provide
medical research and development services, in Romania.</t>
  </si>
  <si>
    <t xml:space="preserve">6A6819
6A6821</t>
  </si>
  <si>
    <t xml:space="preserve">Cadila Healthcare Ltd
Pieris AG</t>
  </si>
  <si>
    <t xml:space="preserve">Manufactures pharmaceutical products
Pharmaceutical Preparation Manufacturing</t>
  </si>
  <si>
    <t xml:space="preserve">Cadila Healthcare Ltd,
located in Ahmedabad, India,
manufactures pharmaceutical
products. The Company''s
operations range from API to
formulations, animal health
products and cosmetics. It
has operations in four
continents spread across
USA, Europe, Japan, Brazil,
South Africa and 25 other
emerging markets. The
Company''s subsidiaries
include Zydus Wellness
Limited, Liva
Pharmaceuticals Limited,
Biochem Pharmaceutical
Industries Limited, Zydus
Technologies Limited, German
Remedies Limited,
Dialforhealth India Limited,
Dialforhealth Unity Limited
and Dialforhealth Greencross
Limited, among others. The
Company was founded in 1952.
Pieris AG, located in
Freising-Weihenstephan,
Germany, manufactures
pharmaceuticals. It is a
biopharmaceutical company
engaged in the discovery and
development of Anticalins (R),
a human proteins designed to
diagnose and treat serious
human disorders. The company
was founded in 2001.</t>
  </si>
  <si>
    <t xml:space="preserve">Zydus Family Trust
Pieris AG</t>
  </si>
  <si>
    <t xml:space="preserve">6733
2834</t>
  </si>
  <si>
    <t xml:space="preserve">ZYDUS CADILA/PIERIS AG-STRATEGIC ALLIANCE</t>
  </si>
  <si>
    <t xml:space="preserve">Zydus Cadila &amp; Pieris AG has entered into a strategic alliance to develop
and commercialize multiple novel Anticalin based protein therapeutics. The
collaboration is PRS-110 , which combines Pieris drug discovery and early
development capabilities with Zydus expertise in biologics development,
regulatory affairs and biologics manufacturing.Under the terms of agreement
Zydus will take the lead in advancing Anticalin drug candidates &amp; been
garanted exclusive marketing rights in India &amp; several othre emerging
markets, while Pieris retains exclusive marketing rights in key developed
markets.</t>
  </si>
  <si>
    <t xml:space="preserve">12741W
5C2221</t>
  </si>
  <si>
    <t xml:space="preserve">Qiagen NV
Clovis Oncology Inc</t>
  </si>
  <si>
    <t xml:space="preserve">Biotechnology company
Manufacture, wholesale biopharmaceutical products</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</si>
  <si>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Clovis Oncology Inc, located
in Boulder, Colorado, is a
biopharmaceutical company
focused on acquiring,
developing and
commercializing innovative
anti-cancer agents in the
United States, Europe and
additional international
markets. It currently have
two clinical development
programs and one drug
discovery program underway -
CO-1686, an orally
available, small molecule
epidermal growth factor
receptor, and Rucaparib, an
oral, potent inhibitor of
poly (ADP-ribose)
polymerase, or PARP, in
development for the
treatment of ovarian cancer
and is designed to inhibit
both the PARP-1 and PARP-2
genes. The Company was
founded on 2009.</t>
  </si>
  <si>
    <t xml:space="preserve">QIAGEN N V/CLOVIS ONCOLOGY INC-STRATEGIC ALLIANCE</t>
  </si>
  <si>
    <t xml:space="preserve">QIAGEN N.V((NASDAQ: QGEN; Frankfurt Prime Standard: QIA) &amp; Clovis Oncology
Corp (NASDAQ: CLVS) announced to form a strategic alliance to co-develop
and co-commercialize a companion diagnostic test to guide the use of
CO-1686.The terms of the agreement were not disclosed.</t>
  </si>
  <si>
    <t xml:space="preserve">N72482
189464</t>
  </si>
  <si>
    <t xml:space="preserve">Agilent Technologies Inc
Korean Advanced Inst,Science</t>
  </si>
  <si>
    <t xml:space="preserve">Manufactures life sciences, diagnostics, applied chemical products
Provide education services</t>
  </si>
  <si>
    <t xml:space="preserve">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
Korean Advanced Institute of
Science and Technology Co Ltd,
located in Daejeon, South
Korea, provides education
services.</t>
  </si>
  <si>
    <t xml:space="preserve">3826
8299</t>
  </si>
  <si>
    <t xml:space="preserve">AGILENT TECHNOLOGIES INC/KOREA ADVANCED INSTITUTE OF SCIENCE AND
TECHNOLOGY-STRATEGIC ALLIANCE</t>
  </si>
  <si>
    <t xml:space="preserve">Agilent Technologies Inc &amp; Korea Advanced Institute of Science and
Technology (KAIST) has announced it will collaborate the strategic alliance
to further the development of inorganic analytical technology through
research, education and knowledge-sharing in Korea. The new center will
focus on applications in energy, semiconductors, advanced materials and
nanotechnology.</t>
  </si>
  <si>
    <t xml:space="preserve">00846U
50065C</t>
  </si>
  <si>
    <t xml:space="preserve">Yara International ASA
Wilhelmsen Maritime Services</t>
  </si>
  <si>
    <t xml:space="preserve">Nitrogenous Fertilizer Manufacturing
Pvd maritime svcs</t>
  </si>
  <si>
    <t xml:space="preserve">Yara International ASA,
manufactures and wholesales
fertilizers and chemicals.
Its portfolio ranges from
single nutrient fertilizers
to complex compound and
micronutrients for feeding
plants. It also provides
industrial solutions
containing products and
integrated solutions for
optimizing industrial
processes, water treatment
and preventing air
pollution. It is also a
holding company. The Company
was founded in 1900 and is
located in Oslo, Norway.
Wilhelmsen Maritime Services
AS, located in Lysaker,
Norway, provides maritime
services including port
services, crewing, marine
logistics, safety and
refrigeration services,
consulting and offshore
solutions.</t>
  </si>
  <si>
    <t xml:space="preserve">2873
4499</t>
  </si>
  <si>
    <t xml:space="preserve">Norway
Norway</t>
  </si>
  <si>
    <t xml:space="preserve">Yara International ASA
Wilh Wilhelmsen Holding ASA</t>
  </si>
  <si>
    <t xml:space="preserve">2873
4412</t>
  </si>
  <si>
    <t xml:space="preserve">YARA INTERNATIONAL/WILHELMSEN MARITIME SERVICES-STRATAGIC ALLIANCE</t>
  </si>
  <si>
    <t xml:space="preserve">Yara international (YI) and Wilhelmsen Maritime Services (WMS) formed a
strategic alliance to focus on core strengths in reducing nitrogen oxides
(NOx) emissions to air from commercial vessels. Strategic alliance also
helps to lean and cost efficient global sales and distribution organization
to be established and also for building on Yara's existing sales and supply
structure and utilizing Wilhelmsen Maritime Services' worldwide network.</t>
  </si>
  <si>
    <t xml:space="preserve">Environmental Services
Research &amp; Development Services
Water Utility Services</t>
  </si>
  <si>
    <t xml:space="preserve">984851
96827X</t>
  </si>
  <si>
    <t xml:space="preserve">Novozymes Biopharma Dk As
Almac SA</t>
  </si>
  <si>
    <t xml:space="preserve">Biological Product (Except Diagnostic) Manufacturing
Mnfr mach tools</t>
  </si>
  <si>
    <t xml:space="preserve">Novozymes Biopharma DK A/S,
the company located in
Denmark. The company is a
biotechnology company.
Almac SA, located in La
Chaux-De-Fonds, Switzerland,
manufactures machine tools
including milling machines for
different sectors: medical,
jewellery, connector industry
and aeronautics. The company
was founded in 1987.</t>
  </si>
  <si>
    <t xml:space="preserve">2836
3545</t>
  </si>
  <si>
    <t xml:space="preserve">Novozymes A/S
Tornos SA</t>
  </si>
  <si>
    <t xml:space="preserve">2836
3541</t>
  </si>
  <si>
    <t xml:space="preserve">NOVOZYMES BIOPHARMA DK A/S/ALMAC SA-STRATEGIC ALLIANCE</t>
  </si>
  <si>
    <t xml:space="preserve">Novozymes Biopharma DK A/S (NBDAS) and Almac SA (ASA) formed a strategic
alliance to provide a combined service for drug development applications.
This Alliance will enables pharmaceutical companies to combine the two
companies' technologies for their peptide and small molecule drugs, and
this will allow clients to utilise Almacs world-class manufacturing assets
and protein conjugation capability and this collaboration offers to drug
developers the immediate benefit of continuity of service.</t>
  </si>
  <si>
    <t xml:space="preserve">9A7497
02036N</t>
  </si>
  <si>
    <t xml:space="preserve">Agilent Technologies
University of Washington</t>
  </si>
  <si>
    <t xml:space="preserve">Mnfr test,measuring equip
Own, operate university</t>
  </si>
  <si>
    <t xml:space="preserve">Manufacture test and measuring
equipment
University of Washington is a
college operator. The Company
is located in Seattle,
Washington.</t>
  </si>
  <si>
    <t xml:space="preserve">Hewlett Packard Co
United States of America</t>
  </si>
  <si>
    <t xml:space="preserve">AGILENT TECHNOLOGIES/UNIVERSITY OF WASHINGTON-STRATEGIC ALLINCE</t>
  </si>
  <si>
    <t xml:space="preserve">Agilent Technologies (AT) and University of Washington (UOW) planned to
form a strategic alliance to upgrade a laboratory in the school's
electrical engineering department with the industry's latest electronic
test equipment. This strategic alliance will also create a superior student
experience in the university's Embedded Systems teaching lab.</t>
  </si>
  <si>
    <t xml:space="preserve">Educational Services
Research &amp; Development Services
Communications Services</t>
  </si>
  <si>
    <t xml:space="preserve">00732W
91510P</t>
  </si>
  <si>
    <t xml:space="preserve">MWH Global Inc
Johns Hopkins University</t>
  </si>
  <si>
    <t xml:space="preserve">Pvd envi consulting svcs
Own,op college,university</t>
  </si>
  <si>
    <t xml:space="preserve">MWH Global Inc, located in
Broomfield, Colorado, provides
environmental consulting,
engineering, construction, and
management services in water,
natural resources, and
infrastructure industries. It
currently operates 187 offices
in 26 countries, including,
the US, Europe, Middle East,
Africa, China, and India. The
company was founded in 1920.
Johns Hopkins University,
located in Baltimore,
Maryland, owns and operates a
college/university. Founded in
1876.</t>
  </si>
  <si>
    <t xml:space="preserve">8748
8221</t>
  </si>
  <si>
    <t xml:space="preserve">MWH GLOBAL INC/JOHNS HOPKINS UNIVERSITY-STRATEGIC ALLIANCE</t>
  </si>
  <si>
    <t xml:space="preserve">MWH Global Inc (MWH) and Johns Hopkins University (Johns) planned to form a
strategic alliance to provide research &amp; development services. The Research
Group at MWH will relocate its laboratory to the Center for Water and
Health research facility within the Bloomberg School of Public Health in
Baltimore.This alliance will allow MWH to provide innovative, sustainable
solutions to global environmental issues and natural resource limitations
while our team members work side-by-side with Johns's staff on a variety of
research projects.</t>
  </si>
  <si>
    <t xml:space="preserve">55471P
47810P</t>
  </si>
  <si>
    <t xml:space="preserve">Alphatec Holdings Inc
Investor Group</t>
  </si>
  <si>
    <t xml:space="preserve">Mnfr,whl spine treatment prod
Investor group</t>
  </si>
  <si>
    <t xml:space="preserve">Alphatec Holdings Inc,
located in Carlsbad,
California, manufactures and
wholesales spine treatment
medical devices for spine
disorders. Their products
include thoracolumbar
fixation systems, Zodiac
Degenerative Fixation
System, CORE Lumber Plating
System, Deformity Fixation
System, and Zodiac Deformity
Fixation System. They offer
products for the cervical,
thoracolumbar,
intervertebral, minimally
invasive, vertebral
compression fracture,
osteoporotic bone, and
spinal stenosis markets. The
Company was founded in 1990.
Investor group</t>
  </si>
  <si>
    <t xml:space="preserve">ALPHATEC HOLDINGS INC/INVESTOR GROUP-STRATEGIC ALLIANCE</t>
  </si>
  <si>
    <t xml:space="preserve">Alphatec Holdings Inc (AH) and Investor Group(IG) formed a strategic
alliance to provide product development services through research."This
strategic alliance illustrates Alphatec's continued commitment to providing
physician-inspired solutions to treat conditions of the spine and help
enhance the quality of life for patients," said Les Cross, Alphatec Spine's
Chairman and CEO. "By leveraging the unique strengths of each partner, we
should significantly advance our product portfolio and product lifecycle
plans through the development of innovative products and effective
healthcare solutions."</t>
  </si>
  <si>
    <t xml:space="preserve">Research &amp; Development Services
Health &amp; Medical Services
Hospital &amp; Clinical Services</t>
  </si>
  <si>
    <t xml:space="preserve">02081G
46145M</t>
  </si>
  <si>
    <t xml:space="preserve">Sanquin Blood Supply
Koninklijke DSM NV</t>
  </si>
  <si>
    <t xml:space="preserve">Pvd blood supplies
All Other Miscellaneous Chemical Product and Preparation Manufacturing</t>
  </si>
  <si>
    <t xml:space="preserve">Provide blood supplies to the
Dutch people and promotes safe
transfusion medicine.
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t>
  </si>
  <si>
    <t xml:space="preserve">8099
2899</t>
  </si>
  <si>
    <t xml:space="preserve">ROYAL DSM NV/SANQUIN BLOOD SUPPLY FOUNDATION-STRATEGIC ALLIACNE</t>
  </si>
  <si>
    <t xml:space="preserve">Royal DSM NV and Sanquin Blood Supply Foundation (Sanquin) signed an
agrmeent to form a strategic alliance to provide commercial manufacture of
a monoclonal antibody used for the recovery and purification of coagulation
factor IX from human blood.</t>
  </si>
  <si>
    <t xml:space="preserve">79645V
N5017D</t>
  </si>
  <si>
    <t xml:space="preserve">Tonix Pharms Hldg Corp
ACPA</t>
  </si>
  <si>
    <t xml:space="preserve">Mnfr pharmaceuticals
All Other Miscellaneous Ambulatory Health Care Services</t>
  </si>
  <si>
    <t xml:space="preserve">Tonix Pharmaceuticals
Holding Corp, located in New
York, New York, manufactures
specialty pharmaceuticals.
The Company focuses on
developing products for
central nervous system (CNS)
conditions. The TNX-102, the
company's lead candidate,
is an optimized dosage form
of cyclobenzaprine developed
for the management of
fibromyalgia syndrome, a CNS
condition that is
characterized by diffuse
musculoskeletal pain,
increased pain sensitivity,
fatigue and disturbed sleep.
The company was incorporated
in Nevada on November 16,
2007.
The American Chronic Pain
Association company is
headquartered in United State
provides medical and health
services.ACPA support groups
meet across the US and in
Canada, Great Britain, and
many other countries.The ACPAs
unique materials are a primary
resource for individuals
seeking to improve the quality
of their lives and for the
professionals who help them.</t>
  </si>
  <si>
    <t xml:space="preserve">TONIX PHARMACEUTICALS HOLDING CORP/THE AMERICAN CHRONIC PAIN
ASSOCIATION-SRATEGIC ALLIANCE</t>
  </si>
  <si>
    <t xml:space="preserve">Tonix Pharmaceuticals Holding Corp and The American Chronic Pain
Association formed a strategic alliance, to provide an update the public
regarding the research and treatment for chronic pain and raise awareness
about fibromyalgia.</t>
  </si>
  <si>
    <t xml:space="preserve">Health &amp; Medical Services
Services (NEC)
Research &amp; Development Services</t>
  </si>
  <si>
    <t xml:space="preserve">890260
9A4392</t>
  </si>
  <si>
    <t xml:space="preserve">Abaxis Inc
Seeking Partner</t>
  </si>
  <si>
    <t xml:space="preserve">Mnfr,whl blood analysis sys
Investment firm</t>
  </si>
  <si>
    <t xml:space="preserve">Abaxis Inc, located in Union
City, California,
manufacture and wholesale
blood analysis systems which
provide clinicians with
rapid blood-constituent
measurements for both humans
and animals. The company was
founded on April 01, 1989.
Investment firm</t>
  </si>
  <si>
    <t xml:space="preserve">CA
</t>
  </si>
  <si>
    <t xml:space="preserve">ABAXIS INC/LAMDAGEN COPR-STRATEGIC ALLIANCE</t>
  </si>
  <si>
    <t xml:space="preserve">Abaxis Inc &amp; LamdaGen Corporation has announced the formation of strategic
alliance to integrate LamdaGen's high-sensitivity Plasmonic ELISA
technology on the Abaxis Piccolo and VetScan rotors.LamdaGen's patented
biosensor platform is based upon LSPR (Localized Surface Plasmon Resonance)
. Abaxis is a leader in the POC industry.</t>
  </si>
  <si>
    <t xml:space="preserve">002567
81575N</t>
  </si>
  <si>
    <t xml:space="preserve">Tauriga Sciences Inc
Bacterial Robotics LLC</t>
  </si>
  <si>
    <t xml:space="preserve">Tauriga Sciences Inc, located
in Danbury, Connecticut, is a
biotechnology company focused
on generating profitable
revenues through license
agreements and the development
of a proprietary technology
platform in the nano-robotics
space. It is engaged in the
acquisition of licenses,
equity stakes, rights in
exclusive and non-exclusive
basis, and entire businesses.
The company was founded in
2001.
Bacterial Robotics LLC,
located in Cincinnati, Ohio,
is a biotechnology company
engaged in programming
micro-organisms using
synthetic biology to produce
microscopic robots.</t>
  </si>
  <si>
    <t xml:space="preserve">CT
OH</t>
  </si>
  <si>
    <t xml:space="preserve">TAURIGA SCIENCES INC /BACTERIAL ROBOTICS LLC-STRATEGIC ALLIANCE</t>
  </si>
  <si>
    <t xml:space="preserve">Tauriga Sciences Inc (Tauringa) and Bacterial Robotics LLC (BRL) planned to
form a strategic alliance to provide research &amp; development services.Under
terms of the Agreement the companies will jointly develop a nuclear
industry-specific Bacterial Robot ("BactoBots"). BactoBots are ubiquitous
microscopic robots applicable to therapeutics, wastewater, and chemicals.
Specifically, BRL owns a family of intellectual property beginning with U.S
Patent # 8,354,267 B2 that relates generally to genetically enhanced
bacteria that conduct specific functions. BRL initial focus with Tauriga is
developing a proprietary BactoBot to remediate wastewater generated by
nuclear energy production.</t>
  </si>
  <si>
    <t xml:space="preserve">87669X
7A4359</t>
  </si>
  <si>
    <t xml:space="preserve">Transcosmos Inc
TransCosmos Technologies Inc
Vision Critical Japan Inc</t>
  </si>
  <si>
    <t xml:space="preserve">Provide outsourcing services
Dvlp info tech sys
Market research firm</t>
  </si>
  <si>
    <t xml:space="preserve">transcosmos inc, located in
Shibuya-Ku, Japan, provides
outsourcing services. The
Company provides call center
services, business process
outsourcing services and
digital marketing services,
including inbound and
outbound services,
fulfillment services,
support desk services,
business outsourcing
services, system solution
services, equipment design
support services, Internet
advertising services, Web
integration services,
marketing research services
and others. It is also an
holding company. The Company
with its subsidiaries offers
business to business and
business to consumer
services in domestic and
overseas market. The Company
was founded in June 1985.
TransCosmos Technologies Inc,
based in Yokohama, Japan,
develops information
technology system and provides
information technology
consulting services. The
company was founded in 2007.
Vision Critical Japan Inc,
located in Japan, is a market
research firm. It is a
subsidary of Vision Critical
Inc.</t>
  </si>
  <si>
    <t xml:space="preserve">7389
7373
8748</t>
  </si>
  <si>
    <t xml:space="preserve">Transcosmos Inc
Transcosmos Inc
Vision Critical Communications</t>
  </si>
  <si>
    <t xml:space="preserve">Japan
Japan
Canada</t>
  </si>
  <si>
    <t xml:space="preserve">7389
7389
7372</t>
  </si>
  <si>
    <t xml:space="preserve">TRANSCOMOS INC/TRANSCOMOS ANALYTICS INC/VISION CRITICAL JAPAN INC-STRATEGIC
ALLIANCE</t>
  </si>
  <si>
    <t xml:space="preserve">Transcosmos Inc,Transcosmos analytics Inc and Vision Critical Japan Inc
haved formed a strategic alliance to provide research and analysis services
using the next-generation research system known as Insight
Community.Targeted toward enterprises which are engaged in operations such
as direct marketing and membership-based businesses, the aim is to achieve
three trial introductions within fiscal year 2013 and 30 full-scale
introductions by fiscal year 2014.</t>
  </si>
  <si>
    <t xml:space="preserve">89443X
89925J
7A3210</t>
  </si>
  <si>
    <t xml:space="preserve">Universal Stainless &amp; Alloy
Haynes International Inc</t>
  </si>
  <si>
    <t xml:space="preserve">Mnfr,whl steel products
Mnfr electrometallurgical prod</t>
  </si>
  <si>
    <t xml:space="preserve">Universal Stainless &amp; Alloy
Products Inc is a steel
products manufacturer and
wholesaler, headquartered in
Bridgeville, Pennsylvania, US.
Its products are sold to
rerollers, forgers, service
centers, original equipment
manufacturers and wire
redrawers, used in different
industries such as aerospace,
power generation,
petrochemical, and heavy
equipment manufacturing. The
company was founded in 1994.
Haynes International Inc,
headquartered in Kokomo,
Indiana, is a leading
developer, manufacturer and
marketer of high-performance
nickel- and cobalt-based
alloys used in corrosion and
high-temperature
applications.</t>
  </si>
  <si>
    <t xml:space="preserve">3312
3356</t>
  </si>
  <si>
    <t xml:space="preserve">PA
IN</t>
  </si>
  <si>
    <t xml:space="preserve">UNIVERSAL STAINLESS &amp; ALLOY PRODUCTS INC/HAYNES INTERNATIONAL INC-STRATEGIC
ALLIANCE</t>
  </si>
  <si>
    <t xml:space="preserve">Universal Stainless &amp; Alloy Products Inc (USAPI) and Haynes International
Inc (HII) formed a strategic alliance to achieve the HII plan to leverage
the capabilities namely its VIM melting capacity and radial forge, while
enabling us to benefit from Haynes well-established expertise in producing
technologically advanced alloys, in line with the plan for North Jackson
and for Universal overall.</t>
  </si>
  <si>
    <t xml:space="preserve">913837
420877</t>
  </si>
  <si>
    <t xml:space="preserve">Epcylon Technologies Inc
MiiScan Inc</t>
  </si>
  <si>
    <t xml:space="preserve">Software Publishers
Pvd payment processing svc</t>
  </si>
  <si>
    <t xml:space="preserve">Epcylon Technologies Inc,
headquartered in Toronto,
Ontario, develops and
wholesales custom mobile
software and transaction
systems for lotteries, gaming,
transportation,
telecommunications, and
finance industries. Its
products offers secure
electronic transaction,
analytics, realistic game
play, and geolocation. The
Company was founded in 2009.
MiiScan Inc, headquartered in
Canada, is a provider of
payment processing services.</t>
  </si>
  <si>
    <t xml:space="preserve">7372
7374</t>
  </si>
  <si>
    <t xml:space="preserve">EPCYLON TECHNOLOGIES INC/MIISCAN INC-JOINT VENTURE</t>
  </si>
  <si>
    <t xml:space="preserve">Epsilon Technologies, Inc (ETI) and MiiScan Inc (MI) formed a joint
venture. ETI and MI will each hold approximately 50% interest in the joint
venture. The purpose of the joint venture is to development and
commercialization of MobiLotto products and services for the Charitable
Lottery and Gaming sector. This joint venture will helps to ETI to
deployment the complete suite of products into the Charitable Lotteries
sector and also this joint venture will helps to create a powerful
partnership for both companies. The winning combination will work directly
with various Charities and Foundations with a fully compliant mobile
solution to deploy a rich, full suite of products. This will significantly
benefit any Charity that is looking to increase market penetration, drive
more donations and ultimately realize more revenue and monies to directly
benefit the Charity.</t>
  </si>
  <si>
    <t xml:space="preserve">Research &amp; Development Services
Marketing Services
Advertising Services
Software Development Services</t>
  </si>
  <si>
    <t xml:space="preserve">8A7280
7A0196</t>
  </si>
  <si>
    <t xml:space="preserve">Transgene SA
Emergent Biosolutions Inc</t>
  </si>
  <si>
    <t xml:space="preserve">Biological Product (Except Diagnostic) Manufacturing
Manufactures biopharmaceuticals</t>
  </si>
  <si>
    <t xml:space="preserve">Transgene SA is a
manufacturer of biological
products. It focuses on
immunotherapy. The Company
was founded in Jan 1979 and
is located in
Illkirch-Graffenstaden,
France.
Emergent Biosolutions Inc is
a manufacturer of
biopharmaceuticals. The
Company focuses on
immunobiotics which includes
vaccines and immune
globulins, that induce or
assist the body's immune
system to prevent or treat
disease. It also
manufactures and markets
BioThrax, also referred to
as anthrax vaccine. It has
offices across the United
States; Munich, Germany;
Wokingham, the United
Kingdom and Singapore. The
Company was founded in 1998
and is located in
Gaithersburg, Maryland.</t>
  </si>
  <si>
    <t xml:space="preserve">Compagnie Merieux Alliance SAS
Emergent Biosolutions Inc</t>
  </si>
  <si>
    <t xml:space="preserve">TRANSGENE SA/EMERGENT BIOSOLUTIONS INC-STRATEGIC ALLIANCE</t>
  </si>
  <si>
    <t xml:space="preserve">Transgene Sa (Transgene) and Emergent Biosolutions Inc (EBI) formed a
strategic alliance to provide research and development including
manufacturing services.Transgene has entered into a collaboration with EBI
for cell line process development and manufacturing for Transgenes TB
development candidate. Emergent BioSolutions significant expertise in
process development and manufacturing complements Transgenes capabilities.</t>
  </si>
  <si>
    <t xml:space="preserve">Transgene SA (TNG.PA) (TNG.PA) announced today that it has been granted a
sub-award from Emergent BioSolutions Inc. (EBS) under its existing grant of
approximately $5 million from the U.S. National Institute of Allergy and
Infectious Diseases (NIAID), part of the U.S. National Institutes of Health
(NIH)1. The funding will be used to advance Transgenes tuberculosis (TB)
immunotherapy program.</t>
  </si>
  <si>
    <t xml:space="preserve">89365U
29089Q</t>
  </si>
  <si>
    <t xml:space="preserve">IBC Advanced Alloys Corp
Global Nuclear Fuel Americas
Ceramic Tubular Products LLC</t>
  </si>
  <si>
    <t xml:space="preserve">Mnfr,whl beryllium alloy prod
Mnfr,ret,whl nuclear fuel
Research and Development in The Social Sciences and Humanities</t>
  </si>
  <si>
    <t xml:space="preserve">IBC Advanced Alloys Corp,
located in Vancouver,
British Columbia,
manufactures and wholesales
beryllium based alloy
products and non ferrous
alloys for nuclear power,
oil and gas, defense,
electronics, and automotive
industries with beryllium
properties located in Uganda
and Brazil. The company was
founded in 2002.
Manufacture, retail and
wholesale nuclear fuel
Ceramic Tubular Products LLC,
Rockville, Maryland. The
company is in Engineering
services. The company was
founded on 2006.</t>
  </si>
  <si>
    <t xml:space="preserve">3339
2869
8731</t>
  </si>
  <si>
    <t xml:space="preserve">FF
UN
MD</t>
  </si>
  <si>
    <t xml:space="preserve">IBC Advanced Alloys Corp
Toshiba Corp
NovaTech</t>
  </si>
  <si>
    <t xml:space="preserve">Canada
Japan
United States</t>
  </si>
  <si>
    <t xml:space="preserve">3339
3651
7372</t>
  </si>
  <si>
    <t xml:space="preserve">IBC ADVANCED ALLOYS CORP/GLOBAL NUCLEAR FUEL AMERICAS LLC/CERAMIC TUBULAR
PRODUCTS LLC-STRATEGIC ALLIANCE</t>
  </si>
  <si>
    <t xml:space="preserve">IBC Advanced Alloys Corp (IBCAAC) and Global Nuclear Fuel Americas LLC
(GNFALLC) and Ceramic Tubular Products LLC (GTPLLC) has signed an MOU to
form a strategic alliance to explore opportunities to collaborate on
nuclear fuel research. The parties have also agreed to explore available
opportunities for government or industry partner funding for accident
tolerant fuel R&amp;D initiatives. Under the terms of the agreement, the
parties will enter into discussions regarding a potential joint
collaborative effort to develop and analyze the benefits of increased
cooperation and interaction regarding the development and commercialization
of the advanced beryllium oxide-silicon carbide fuel technology.</t>
  </si>
  <si>
    <t xml:space="preserve">44923T
37923H
9A8396</t>
  </si>
  <si>
    <t xml:space="preserve">National Technical Systems Inc
Meggitt PLC</t>
  </si>
  <si>
    <t xml:space="preserve">Pvd prod design,testing svcs
Other Aircraft Parts and Auxiliary Equipment Manufacturing</t>
  </si>
  <si>
    <t xml:space="preserve">National Technical Systems
Inc, based in Calabasas,
California, is a provider of
product design consulting,
testing and certifications,
and supply chain management
services to a variety of
industries including
aerospace, defense,
transportation, electronics,
power products, computers
and telecommunications. The
company was founded in 1961.
Meggitt PLC, located in
Dorset, the United Kingdom,
is a manufacturer of
aerospace, defense and
electronic systems
components such as wheels,
braking systems, sensor
processor and display,
autopilot, engine interface,
condition and vibration
monitoring system, air data
computing and data
acquisition product, polymer
seal, fire barrier,
electro-thermal de-icing
technology, fluid control,
fire and smoke detection,
cables, aerial, land and
marine target, command and
control system, electronic
scoring, ammunition handling
environmental control,
transducer, accelerometer,
audio column and tuning
control and climate
management systems. It has
manufacturing facilities in
Asia, Europe and North
America and regional bases
in Brazil, India and the
Middle East. The Company was
founded in 1947.</t>
  </si>
  <si>
    <t xml:space="preserve">8734
3728</t>
  </si>
  <si>
    <t xml:space="preserve">NATIONAL TECHNICAL SYSTEMS INC/MEGGITT PLC-STRATEGIC ALLIANCE</t>
  </si>
  <si>
    <t xml:space="preserve">National Technical Systems Inc (NTS) and Meggitt Plc (MPL) formed a
strategic alliance to outsourced services for MPL including testing,
program management and engineering.The five-year agreement allows NTS to be
a main provider of outsourced services for Meggitt including testing,
program management and engineering. MPL will regularly provide NTS with a
list of upcoming projects and details for work opportunities scheduled to
be outsourced.</t>
  </si>
  <si>
    <t xml:space="preserve">Consulting Services
Engineering Services
Defense Services
Research &amp; Development Services
Services (NEC)</t>
  </si>
  <si>
    <t xml:space="preserve">638104
58428Y</t>
  </si>
  <si>
    <t xml:space="preserve">Thales SA
Qatar University</t>
  </si>
  <si>
    <t xml:space="preserve">Manufacture,wholesale defense equipment
Own,operate university</t>
  </si>
  <si>
    <t xml:space="preserve">Thales SA is a manufacturer
of electronic systems for
the aeronautics, space,
defense, transportation and
security sectors. It also
functions as a holding
company. Its products
include SWARM Remote Weapon
Station, TopSky Air Traffic
Management solution,
Bushmaster armored vehicle,
Goalkeeper , CIWS Starstreak
missile. The company has
operations in 56 countries
worldwide. It was founded in
1893 and is located in
Paris, France.
Qatar University, located in
Doha, Qatar, owns and operates
a university. The university
departments include College of
Arts and Sciences, College of
Business and Economics,
College of Education, College
of Engineering, College of
Law, College of Pharmacy and
College of Sharia and Islamic
Studies. It was founded in
1973.</t>
  </si>
  <si>
    <t xml:space="preserve">3769
8221</t>
  </si>
  <si>
    <t xml:space="preserve">France
Qatar</t>
  </si>
  <si>
    <t xml:space="preserve">THALES SA/QATAR UNIVERSITY-STRATEGIC ALLIANCE</t>
  </si>
  <si>
    <t xml:space="preserve">Thales SA (THEL) and Qatar University (QU) signed a Memorandum of
Understanding (MoU) to form a strategic alliance (ST) to provide academic
development, research and training services in Qatar.</t>
  </si>
  <si>
    <t xml:space="preserve">88348N
7A1159</t>
  </si>
  <si>
    <t xml:space="preserve">Elsevier BV
Neuroscience Information</t>
  </si>
  <si>
    <t xml:space="preserve">Publishes scientific, technical, health info
Pvd web based neuroscience resources</t>
  </si>
  <si>
    <t xml:space="preserve">Elsevier BV, located in
Amsterdam, Netherlands,
publishes scientific,
technical and health
information products and
services. It also provides
web-based digital solutions
such as ScienceDirect,
Scopus, Elsevier Research
Intelligence, and
ClinicalKey; and publishes
nearly 2,200 journals,
including The Lancet and
Cell, and 25,000 book
titles, including a number
of iconic reference works.
The Company was founded in
1880.
Neuroscience Information
Framework, located in US is a
provider of web based
neuroscience resources.</t>
  </si>
  <si>
    <t xml:space="preserve">2731
7375</t>
  </si>
  <si>
    <t xml:space="preserve">Reed Elsevier PLC
Neuroscience Information</t>
  </si>
  <si>
    <t xml:space="preserve">2711
7375</t>
  </si>
  <si>
    <t xml:space="preserve">ELSEVIER BV/NEUROSCIENCE INFORMATION FRAMEWORK-STRATEGIC ALLIANCE</t>
  </si>
  <si>
    <t xml:space="preserve">Elsevier BV (Elsevier) and Neuroscience Information Framework
(Neuroscience) formed a strategic alliance to improve reporting of research
in neuroscience literature.</t>
  </si>
  <si>
    <t xml:space="preserve">29024T
7A1628</t>
  </si>
  <si>
    <t xml:space="preserve">Accelerate Long Island
Topspin Management Co LBO LLC</t>
  </si>
  <si>
    <t xml:space="preserve">Research and Development in The Social Sciences and Humanities
Private equity firm</t>
  </si>
  <si>
    <t xml:space="preserve">Accelerate Long Island,
located in Melville, New York,
provides research and
development services. The
company is a unique
collaboration among Long
Islands world class research
institutions and its business
community to commercialize
research and create an
entrepreneurial ecosystem.
Topspin Management Co LBO
LLC, located in Mamaroneck,
New York, is a private
equity firm. It specializes
in acquisition,
recapitalization,
turnaround, growth capital,
smaller-middle market, and
mature investments serving
the security services,
consumer products,
publishing and media, niche
manufacturing, food and
beverage and restaurant. The
Company was founded in 2001.</t>
  </si>
  <si>
    <t xml:space="preserve">8733
6799</t>
  </si>
  <si>
    <t xml:space="preserve">ACCELERATE LONG ISLAND/ TOPSPIN PARTNERS LBO LP-STRATEGIC ALLIANCE</t>
  </si>
  <si>
    <t xml:space="preserve">Accelerate Long Island and Topspin Partners LBO LP formed a strategic
alliance to fund and support startup technology companies on Long Island.
Accelerate Long Island announced that Leo Guthart, Topspins Founder and
Chief Executive Officer, and Steve Winick, Managing Director at Topspin,
were appointed to the Accelerate Long Island Board. The new alliance with
Accelerate Long Island will allow Topspin to connect with even more
research-based startup companies to help grow Long Islands innovation
economy and create successful companies.</t>
  </si>
  <si>
    <t xml:space="preserve">Funding Services
Personal Services
Services (NEC)
Research &amp; Development Services</t>
  </si>
  <si>
    <t xml:space="preserve">7A5161
89081P</t>
  </si>
  <si>
    <t xml:space="preserve">Mindpix Corp
Causora LLC</t>
  </si>
  <si>
    <t xml:space="preserve">Pvd music,video prodn svcs
Other Social Advocacy Organizations</t>
  </si>
  <si>
    <t xml:space="preserve">Mindpix Corp, located in
Orlando, Florida, is a
provider of music and home
videos production,
distribution and television
broadcasting services. It also
manufactures gifts, clothes
and collectibles for
distribution to wholesale and
retail markets. It operates a
collection of multimedia and
family entertainment content
through four main divisions:
eMax Music, eMax Studios, eMax
Networks, and eMax
Productions. eMax Media Inc.
owns the licensing rights to
manufacture and market a music
library catalog of worldwide
known songs from a list
consisting of over 17,500
music master recordings.
Causora LLC is located in Los
Angeles,California. The
company focuses on helping
charities and causes raise
more funds by rewarding
donations, and also It also
facilitates donors to redeem
rewards with select merchants.
The company was fiunded on
2012.</t>
  </si>
  <si>
    <t xml:space="preserve">7812
8399</t>
  </si>
  <si>
    <t xml:space="preserve">MINDPIX CORP/CAUSORA LLC-STRATEGIC ALLIANCE</t>
  </si>
  <si>
    <t xml:space="preserve">Mindpix Corporation (MC) and Causora LLC (CLLC) formed a strategic alliance
to implement the Causora's Products, Services and to bring new Technology
into Mindpix. This will help the MC to bring a robust nonprofit fundraising
technology tool streaming platform for Live and VOD events on-line, and
across smart phones and tablets and also helps to CLLC for funding process,
by this the users can able to enjoy the Live and VOD events and support
their favorite artist's cause and foundation at the same time.</t>
  </si>
  <si>
    <t xml:space="preserve">Funding Services
Research &amp; Development Services
Services (NEC)</t>
  </si>
  <si>
    <t xml:space="preserve">602673
9A6850</t>
  </si>
  <si>
    <t xml:space="preserve">Nibio
Aeras Global TB Vaccine
Create Vaccine Co Ltd</t>
  </si>
  <si>
    <t xml:space="preserve">Pvd medical research services
Pvd vaccine research,dvlp svcs
Mnfr TB vaccines</t>
  </si>
  <si>
    <t xml:space="preserve">National Institute of
Biomedical Innovation {Nibio],
headquartered in Osaka, Japan,
is a provider of medical
research services to create
innovative pharmaceuticals.
Aeras Global TB Vaccine
Foundation, headquartered in
Rockville, Maryland,
provides tuberculosis
vaccine research and
development services. The
Company was founded in 1997.
Create Vaccine Co Ltd,
headquartered in Japan, is a
manufacturer of TB vaccines.
It was founded in 2013.</t>
  </si>
  <si>
    <t xml:space="preserve">8731
8731
2836</t>
  </si>
  <si>
    <t xml:space="preserve">Japan
United States
Japan</t>
  </si>
  <si>
    <t xml:space="preserve">FF
MD
FF</t>
  </si>
  <si>
    <t xml:space="preserve">Nibio
Aeras Global TB Vaccine
Sumitomo Dainippon Pharma Co</t>
  </si>
  <si>
    <t xml:space="preserve">8731
8731
2834</t>
  </si>
  <si>
    <t xml:space="preserve">NATIONAL INSTITUTE OF BIOMEDICAL INNOVATION/AERAS GLOBAL TB VACCINE
FOUNDATION/CREATE VACCINES CO LTD-JOINT VENTURE</t>
  </si>
  <si>
    <t xml:space="preserve">National Institute of Biomedical Innovation {Nibio}, Aeras Global TB
Vaccine Foundation and Create Vaccines Co Ltd agreed to form a joint
venture to develop new TB vaccines by the end of December 2013. Under the
agreement, the three parties will work on the development of mucosal
vaccines, incorporating clinical application of the human para influenza
type-2 vector technology owned by NIBIO. If successfully developed, the
mucosal vaccine will be the world's first TB vaccine of its kind.</t>
  </si>
  <si>
    <t xml:space="preserve">7A1609
01069Q
7A1618</t>
  </si>
  <si>
    <t xml:space="preserve">BioFocus DPI PLC
Biogen Idec Inc</t>
  </si>
  <si>
    <t xml:space="preserve">BioFocus DPI PLC, located in
Essex, United Kingdom,
manufactures pharmaceuticals.
The company offers
biologically-focused discovery
platform with three
differentiators- target
discovery, compound libraries
and predictive drug discovery
tools.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</si>
  <si>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Galapagos NV
Biogen Idec Inc</t>
  </si>
  <si>
    <t xml:space="preserve">BIOFOCUS DPI PLC/ BIOGEN IDEC INC-STRATEGIC ALLIANCE</t>
  </si>
  <si>
    <t xml:space="preserve">BioFocus DPI PLC and Biogen Idec Inc signed a Strategic Alliance for 3 year
collaboration focused on the identification and validation of novel targets
in scleroderma for a total estimated value of USD 31 mil.</t>
  </si>
  <si>
    <t xml:space="preserve">USD 31 mil</t>
  </si>
  <si>
    <t xml:space="preserve">08987H
09062X</t>
  </si>
  <si>
    <t xml:space="preserve">Providence Resources PLC
ABT Oil &amp; Gas Ltd</t>
  </si>
  <si>
    <t xml:space="preserve">Oil,gas exploration,prodn co
Research and Development in The Physical, Engineering and Lifesciences (Except Biotechnology)</t>
  </si>
  <si>
    <t xml:space="preserve">Providence Resources PLC is
an oil and gas exploration
and production company,
headquartered in Dublin,
Ireland. It has operations
in Ireland, UK, Nigeria
(West Africa), the Gulf of
Mexico (US) and Indonesia.
The company was founded in
1997.
ABT Oil &amp; Gas Ltd, located in
United Kingdom, provides buoy
development services. The
company also provides
engineering services of buoy
technology used extensively in
the offshore oil and gas
industry.</t>
  </si>
  <si>
    <t xml:space="preserve">Providence Resources PLC
ABTechnology</t>
  </si>
  <si>
    <t xml:space="preserve">PROVIDENCE RESOURCES PLC/ABT OIL &amp; GAS LTD-JOINT VENTURE</t>
  </si>
  <si>
    <t xml:space="preserve">Providence Resources PLC and ABT Oil &amp; Gas Ltd (ABTOG) agreed to form a
joint venture. Providence Resources PL and ABTOG will each hold a 50%
interest in the JV. An existing subsidiary named Helvick and Dunmore oil
discoveries is spun off to be operated as the JV entity. The joint venture
was to farm in to the Helvick oil field and Dunmore oil discovery, located
in Standard Exploration License 2/07 in the North Celtic Sea Basin offshore
Ireland. Under the terms of the farm in, ABTOG will carry out a phased
three stage work programme. The first phase requires ABTOG to determine
commerciality over Dunmore and Helvick. Phase two is to prepare and apply
for a Petroleum Lease, with Phase three culminating in the submission of a
formal Plan of Development to first oil, using ABTOG's low cost development
solutions. The transaction was subject to the approval of the Minister of
State at the Department of Communications, Energy and Natural Resources.</t>
  </si>
  <si>
    <t xml:space="preserve">Research &amp; Development Services
Oil and Gas; Petroleum Services
Services (NEC)
Leasing &amp; Rental Services</t>
  </si>
  <si>
    <t xml:space="preserve">74381E
7A5993</t>
  </si>
  <si>
    <t xml:space="preserve">Qiagen NV
Maverix Biomics Inc</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</si>
  <si>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Maverix Biomics Inc, located
in San Mateo, California is a
biotechnology company.</t>
  </si>
  <si>
    <t xml:space="preserve">QIAGEN NV/MAVERIX BIOMICS INC-STRATEGIC ALLIANCE</t>
  </si>
  <si>
    <t xml:space="preserve">Qiagen NV (Qiagen) and Maverix Biomics Inc (Maverix) formed a strategic
alliance to streamline the interpretation of raw next-generation sequencing
data into meaningful and actionable insights.</t>
  </si>
  <si>
    <t xml:space="preserve">N72482
7A2252</t>
  </si>
  <si>
    <t xml:space="preserve">American Cryostem Corp
Protein Genomics</t>
  </si>
  <si>
    <t xml:space="preserve">Pvd pharmaceutical research services
Pvd DNA research svcs</t>
  </si>
  <si>
    <t xml:space="preserve">American Cryostem Corp,
headquartered in US, is a
marketer and global licensor
of patented a dipose tissue
based cellular technologies
for the Regenerative and
Personalized Medicine industry
.
Protein Genomics, located in
Princeton, in New Jersey,
provides DNA research analysis
by rapid progress in the
fields of genomics, the study
of the structure and function
of genetic material, and
proteomics, the systematic
analysis of protein expression
in healthy and diseased
tissue. These scientific tools
are being used to design
entirely unique products with
enhanced performance in the
areas of personal care and
wound healing. The Company was
founded in 1993.</t>
  </si>
  <si>
    <t xml:space="preserve">AMERICAN CRYOSTEM CORP/PROTEIN GENOMICS-JOINT VENTURE</t>
  </si>
  <si>
    <t xml:space="preserve">Autogenesis is focused on
continuing and accelerating
the R&amp;D of innovative new
products and biotechnologies.</t>
  </si>
  <si>
    <t xml:space="preserve">American Cryostem Corp (ACC) and Protein Genomics (PG) formed a joint
venture named Autogenesis Corp (ACV). ACC and PG will each hold a 50%
interest in the AC. Autogenesis is focused on continuing and accelerating
the R&amp;D of innovative new products and biotechnologies.</t>
  </si>
  <si>
    <t xml:space="preserve">9A7294</t>
  </si>
  <si>
    <t xml:space="preserve">025300
0A1807</t>
  </si>
  <si>
    <t xml:space="preserve">American Dehydrated Foods Inc
Rembrandt Enterprises Inc</t>
  </si>
  <si>
    <t xml:space="preserve">Rendering and Meat Byproduct Processing
Own,op egg prodn facility</t>
  </si>
  <si>
    <t xml:space="preserve">American Dehydrated Foods
Inc, located in Springfield,
Missouri, is a meat
byproduct processor. The
Company offers Spray-Dried
Chicken, powdered broths and
powdered meats from a USDA
inspected facility.
Rembrandt Enterprises Inc,
headquartered in Rembrandt,
Iowa, owns and operates an egg
production facility. The
company also produces corn
products. Founded in 2002.</t>
  </si>
  <si>
    <t xml:space="preserve">2013
0259</t>
  </si>
  <si>
    <t xml:space="preserve">MO
IA</t>
  </si>
  <si>
    <t xml:space="preserve">AMERICAN DEHYDRATED FOODS INC/REMBRANDT ENTERPRISES INC-JOINT VENTURE</t>
  </si>
  <si>
    <t xml:space="preserve">0279</t>
  </si>
  <si>
    <t xml:space="preserve">American Dehydrated Foods Inc (ADF) and Rembrandt Enterprises Inc (REI)
planned to form a joint venture IsoNova Technologies LLC.The purpose of the
joint venture was to provide research, development and manufacturing
services.By combining the experience and expertise of ADF and REI, they
will be able to even better serve their customers through an increased
focus on the research, development and manufacture of innovative egg
products for the petfood and animal feed industries.</t>
  </si>
  <si>
    <t xml:space="preserve">9A4870
76346C</t>
  </si>
  <si>
    <t xml:space="preserve">University of Guelph
SAP Canada Inc</t>
  </si>
  <si>
    <t xml:space="preserve">University
Dvlp entrp software</t>
  </si>
  <si>
    <t xml:space="preserve">University
Develop inter-enterprise
software delivering mySAP
Business Suite enabling
companies to increase
revenues, reduce costs, and
open the door to new business
opportunities</t>
  </si>
  <si>
    <t xml:space="preserve">8221
7372</t>
  </si>
  <si>
    <t xml:space="preserve">University of Guelph
SAP AG</t>
  </si>
  <si>
    <t xml:space="preserve">UNIVERSITY OF GUELPH/SAP CANADA INC-JOINT VENTURE</t>
  </si>
  <si>
    <t xml:space="preserve">University of Guelph (UOG) and SAP Canada Inc (SAPCI) planned to form a
joint venture green roofs. UOG and SPACI will each hold approximately 50%
interest in the joint venture. The purpose of the joint venture is to
create smart green roofs that perform better and require less hands-on
maintenance. By this strategic alliance two pilot smart green roofs have
recently been installed in Ontario. Under this strategic alliance Sensors
have been place throughout the roofs to capture information about humidity,
soil moisture, fire detection, temperature and light levels, and run-off
composition - variables that influence the maintenance of a healthy green
roof</t>
  </si>
  <si>
    <t xml:space="preserve">91428H
80334T</t>
  </si>
  <si>
    <t xml:space="preserve">CAMH
AssureRx Canada Ltd</t>
  </si>
  <si>
    <t xml:space="preserve">Pvd clinical care service
Pvd personalized medicine services</t>
  </si>
  <si>
    <t xml:space="preserve">Centre for Addiction and
Mental Health {CAMH},
headquartered in Canada, is a
provider of clinical care,
research, education, policy
development for people with
mental health and addiction
issues.
AssureRx Canada Ltd,
headquartered in Canada, is a
provider of personalized
medicine company dedicated to
help people with medical
conditions.</t>
  </si>
  <si>
    <t xml:space="preserve">8063
8071</t>
  </si>
  <si>
    <t xml:space="preserve">CAMH
Assurex Health Inc</t>
  </si>
  <si>
    <t xml:space="preserve">CENTRE FOR ADDICTION &amp; MENTAL/ASSURERX CANADA LTD-JOINT VENTURE</t>
  </si>
  <si>
    <t xml:space="preserve">Centre for Addiction &amp; Mental Health (CAMH) and AssureRx Canada Ltd (ArxC)
to provide personalized medicine for people with mental health problems.
Under the JV, CAMH holds a minority equity stake in AssureRx Canada and
will receive royalties on the sale of genetic tests that incorporate
CAMH-discovered genetic markers.</t>
  </si>
  <si>
    <t xml:space="preserve">7A4268
7A4274</t>
  </si>
  <si>
    <t xml:space="preserve">Martini Media Network Inc
Acxiom Corp
Ipsos SA</t>
  </si>
  <si>
    <t xml:space="preserve">Pvd advg svcs
Pvd info mgmt,mktg svcs
Research company</t>
  </si>
  <si>
    <t xml:space="preserve">Martini Media Network Inc,
provides advertising services.
The company is located in San
Francisco, California. It
specializes in affluent
consumers and has a website
focusing on lifestyle, sailing
&amp; yachting, travel, wine,
philanthropy, golf and arts.
Acxiom Corp, located in
Conway, Arkansas, provides
information management
services including Customer
Data Integration (CDI)
technology, data products,
database, IT outsourcing,
consulting and analytics,
and privacy leadership
services. It provides
marketing databases and data
warehouses, data integration
and customer-recognition
systems, marketing
applications, and list
processing; segmentation and
digital products, and fraud
and risk mitigation
products; and information
technology (IT) outsourcing
and transformational
solutions, such as managed
server outsourcing and
desktop virtualization. It
has clients all over the
world from located in USA,
Europe and Asia-Pacific. The
Company was founded in 1969.
Ipsos SA, located in Paris,
France, is a research
company. It offers
advertising research,
marketing, media, client
relationship management
services. It uses global
surveys and polls to explore
market potential and trends,
test products and
advertising mediums, study
audiences and audience
perceptions of various
media, and measure public
opinion trends. The Company
was founded in 1975.</t>
  </si>
  <si>
    <t xml:space="preserve">7319
7374
8732</t>
  </si>
  <si>
    <t xml:space="preserve">CA
AR
FF</t>
  </si>
  <si>
    <t xml:space="preserve">Venrock Inc
Acxiom Corp
Ipsos SA</t>
  </si>
  <si>
    <t xml:space="preserve">6799
7374
8732</t>
  </si>
  <si>
    <t xml:space="preserve">MARTINI MEDIA NETWORK INC/ACXIOM CORP/IPSOS SA-STRATEGIC ALLIANCE</t>
  </si>
  <si>
    <t xml:space="preserve">Martini Media Network Inc, Acxiom Corp and Ipsos SA formed a strategic
alliance was to Provide Brands With Comprehensive Affluent Audience
Insights and Research.</t>
  </si>
  <si>
    <t xml:space="preserve">Advertising Services
Marketing Services
Research &amp; Development Services</t>
  </si>
  <si>
    <t xml:space="preserve">57341Y
005125
46262H</t>
  </si>
  <si>
    <t xml:space="preserve">MJH Healthcare Holdings LLC
Wistar Institute</t>
  </si>
  <si>
    <t xml:space="preserve">Television Broadcasting
Pvd biomedical research svcs</t>
  </si>
  <si>
    <t xml:space="preserve">MJH Healthcare Holdings LLC,
located in Cranbury, New
Jersey, is a media company
that delivers news and
resources to healthcare
professionals. The Company
was founded in 2002.
Wistar Institute , located in
Philadelphia, Pennsylvania,
provides biological research
services with special
expertise in cancer research
and vaccine development. The
company was founded in 1892.</t>
  </si>
  <si>
    <t xml:space="preserve">4833
8731</t>
  </si>
  <si>
    <t xml:space="preserve">MJH HEALTHCARE HOLDINGS LLC/WISTAR INSTITUTE -STRATEGIC ALLIANCE</t>
  </si>
  <si>
    <t xml:space="preserve">MJH HEALTHCARE HOLDINGS LLC and Wistar Institute planned to form a
strategic alliance to provide research programs and initiatives, and the
discoveries made by its scientists to the nationwide oncology community.</t>
  </si>
  <si>
    <t xml:space="preserve">1E4909
97735E</t>
  </si>
  <si>
    <t xml:space="preserve">Panorama Consulting &amp; Engineer
TCG Lifesciences
AlfaGene Bioscience Inc</t>
  </si>
  <si>
    <t xml:space="preserve">Pvds Consulting services
Biotechnology company
Biotechnology company</t>
  </si>
  <si>
    <t xml:space="preserve">Panorama Consulting and
Engineering Inc, located in
Boston, Massachusetts,
provides consulting and
engineering services. The
company offers Design Build,
Engineering, Procurement,
Construction Management,
Commissioning and
Qualification services
(EPCMCQ) to the Life Sciences,
Nanotechnology, Industrial,
Healthcare and Education
areas.
Biotechnology company; The
company is engaged in the
research and development of
medical drugs.
AlfaGene Bioscience Inc,
located in Fords, New Jersey,
is a biotechnology company.
The company is lead by
experienced
executive/management and
research teams with a proven
record for creating and
operating successful
biopharmaceutical ventures.</t>
  </si>
  <si>
    <t xml:space="preserve">8748
2836
2836</t>
  </si>
  <si>
    <t xml:space="preserve">United States
India
United States</t>
  </si>
  <si>
    <t xml:space="preserve">MA
FF
NJ</t>
  </si>
  <si>
    <t xml:space="preserve">PANORAMA CONSULTING AND ENGINEERING INC/TCG LIFESCIENCES/ ALFAGENE
BIOSCIENCE INC-JOINT</t>
  </si>
  <si>
    <t xml:space="preserve">Panorama Consulting And Engineering Inc (Panorama), TCG Lifesciences (TCG)
and Alfagene Bioscience Inc (Alfagene) planned to form a joint venture
named Axcellerate Pharma LLC (Axcellerate). The newly formed joint venture
was to focus on small molecule and biologics production and development,
innovative technology platforms, filling vial and bag operations, peptide
synthesis, oligonucleotide production and related areas. Axcellerate
intends to leverage the strong scientific talent pool, end-to-end
capabilities and PR&amp;D/intermediate production facilities of TCG
Lifesciences Ltd to support its operations.</t>
  </si>
  <si>
    <t xml:space="preserve">Health &amp; Medical Services
Marketing Services
Research &amp; Development Services
Services (NEC)</t>
  </si>
  <si>
    <t xml:space="preserve">7A5033
87753N
7A5024</t>
  </si>
  <si>
    <t xml:space="preserve">Trio Resources AG Inc
Undisclosed JV Partner</t>
  </si>
  <si>
    <t xml:space="preserve">Silver mining company
Investment company</t>
  </si>
  <si>
    <t xml:space="preserve">Trio Resources AG Inc, located
in Toronto, Ontario, is a
silver mining company that
develops and operates the
Duncan Kerr project.
Investment company</t>
  </si>
  <si>
    <t xml:space="preserve">1044
6799</t>
  </si>
  <si>
    <t xml:space="preserve">Trio Resources Inc
Undisclosed JV Partner</t>
  </si>
  <si>
    <t xml:space="preserve">TRIO RESOURCES INC/UNDISCLOSED PARTNER-STRATEGIC ALLIANCE</t>
  </si>
  <si>
    <t xml:space="preserve">Trio Resources Inc and Consortium to form a strategic alliance to develop a
replacement for the silicon in photovoltaic cells with Gallium arsenide.The
Company will contribute to the consortium by developing environmental
improvements to capture arsenic from its ore bodies that can be used in the
development of the GaAs.</t>
  </si>
  <si>
    <t xml:space="preserve">2A3201
904JVP</t>
  </si>
  <si>
    <t xml:space="preserve">Tata Power Co Ltd
Astratel Nusantara PT</t>
  </si>
  <si>
    <t xml:space="preserve">Electric utility company
Pvd construction svcs</t>
  </si>
  <si>
    <t xml:space="preserve">Tata Power Co Ltd, located
in Mumbai, India, is an
electric utility company.
The company is engaged in
the generation,
transmission, and
distribution of electricity
in the states of
Maharashtra, Jharkhand and
Karnataka. It offers
services to central and
western railways, Mumbai
port, refineries, textile
mills, fertilizer factories,
BARC, municipal corporation
water pumping plants, and
other continuous processes
industries. The company was
founded in 1919.
Astratel Nusantara PT,
located in Jakarta,
Indonesia, is a provider of
construction services,
developing infrastructure
for various sector such as,
toll road, water, energy,
ports and logistics, and
telecommunication and media.
The Company was founded in
1993.</t>
  </si>
  <si>
    <t xml:space="preserve">4911
1629</t>
  </si>
  <si>
    <t xml:space="preserve">Tata Power Co Ltd
Jardine Matheson Holdings Ltd</t>
  </si>
  <si>
    <t xml:space="preserve">India
Hong Kong</t>
  </si>
  <si>
    <t xml:space="preserve">PT ASTRATEL NUSANTARA/TATA POWER CO LTD-JOINT VENTURE</t>
  </si>
  <si>
    <t xml:space="preserve">PT Astratel Nusantara and Tata Power Co Ltd formed a joint venture. PT
Astratel Nusantara and Tata Power Co Ltd will each hold a 50% interest in
the JV.The new JV has not yet named. The new JV will provide business of
electricity generation in Indonesia. PT Astratel Nusantara plans a USD 1.4
bil capital expenditure.</t>
  </si>
  <si>
    <t xml:space="preserve">USD 1.4 bil capital expenditure.</t>
  </si>
  <si>
    <t xml:space="preserve">87656F
04634M</t>
  </si>
  <si>
    <t xml:space="preserve">OncoMed Pharmaceuticals Inc
Celgene Corp</t>
  </si>
  <si>
    <t xml:space="preserve">Biotechnology company
Manufacture,wholesale biopharmaceutical products</t>
  </si>
  <si>
    <t xml:space="preserve">OncoMed Pharmaceuticals Inc,
located in Redwood City,
California, is a
biotechnology company
dedicated to improving
cancer treatment, by
developing monoclonal
antibodies that target the
biologic pathways critical
to tumor initiating cells,
also known as "cancer stem
cells". The Company was
founded on 2004.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</si>
  <si>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ONCOMED PHARMACEUTICALS INC/CELGENE CORP-STRATEGIC ALLIANCE</t>
  </si>
  <si>
    <t xml:space="preserve">OncoMed Pharmaceuticals Inc (OncoMed) and Celgene Corp (Celgene) planned to
form a strategic alliance to develop and advancing multiple anti-cancer
stem cell therapeutics to offer potential benefits to cancer patients.
OncoMed will control and conduct initial clinical studies at which point
Celgene has an option to license worldwide rights to up to six novel
anti-CSC therapeutic candidates. Under the terms of the agreement, OncoMed
will receive an upfront payment of USD 155 million, and Celgene will also
purchase approximately USD 22.25 million in a private placement of newly
issued shares of OncoMed's common stock at a price of USD 15.13 per share.</t>
  </si>
  <si>
    <t xml:space="preserve">Health &amp; Medical Services
Licensing Services
Research &amp; Development Services</t>
  </si>
  <si>
    <t xml:space="preserve">OncoMed to Receive $177.25 Million Upfront, Including a $22.25 Million
Equity Investment.</t>
  </si>
  <si>
    <t xml:space="preserve">68234X
151020</t>
  </si>
  <si>
    <t xml:space="preserve">Johnson Controls Inc
Hitachi Ltd
Hitachi Appliances Inc</t>
  </si>
  <si>
    <t xml:space="preserve">Mnfr industrial interior sys
Mnfr,whl electronic equipment
Mnfr,whl air conditioner</t>
  </si>
  <si>
    <t xml:space="preserve">Johnson Controls Inc,
located in Milwaukee,
Wisconsin, manufactures and
wholesales automatic
temperature regulation
systems for buildings. It
offers products, services
and solutions for energy
optimization and operational
efficiencies of buildings;
lead-acid automotive
batteries and advanced
batteries for hybrid and
electric vehicles; and
seating and interior systems
for automobiles. It also
designs, manufactures,
wholesales, and installs
integrated heating,
ventilating and air
conditioning (HVAC) systems,
building management systems,
controls, security and
mechanical equipment. The
company was founded in 1885.
Hitachi Ltd is located in
Tokyo, provides solutions to
customers in a range of
sectors, including
power/energy,
industry/distribution/water
and others. The Company
operates in eight segments.
The Information &amp;
Telecommunication Systems
segment provides system
integration, consulting,
cloud service and others.
The Social &amp; Industrial
Systems segment provides
industrial equipment and
plants, thermal power,
nuclear power and natural
energy power generation
systems and others. The
Electronic Systems &amp;
Equipment segment provides
semiconductor manufacturing
equipment and others. The
Construction Machinery
segment provides hydraulic
excavators, wheel loaders
and others. The High
Functional Materials segment
provides materials for
semiconductors and displays
and others. The Automotive
engine powertrain systems
and others. The Smart Life &amp;
Ecofriendly Systems segment
provides business air
conditioners and others. The
Others segment provides
optical disk drive products
and others. The company was
founded in 1910.
Hitachi Appliances Inc, based
in Tokyo, Japan, manufactures
and wholesales air
conditioners and other home
electric appliances. The
company was founded in 2006.</t>
  </si>
  <si>
    <t xml:space="preserve">3585
3577
3632</t>
  </si>
  <si>
    <t xml:space="preserve">WI
FF
FF</t>
  </si>
  <si>
    <t xml:space="preserve">Johnson Controls Inc
Hitachi Ltd
Hitachi Ltd</t>
  </si>
  <si>
    <t xml:space="preserve">3585
3577
3577</t>
  </si>
  <si>
    <t xml:space="preserve">JOHNSON CONTROLS INC/HITACHI LTD/HITACHI APPLIANCES INC-JOINT VENTURE</t>
  </si>
  <si>
    <t xml:space="preserve">Hitachi Appliances Inc, based
in Tokyo, Japan, manufactures
and wholesales air
conditioners and other home
electric appliances. The
company was founded in 2006.</t>
  </si>
  <si>
    <t xml:space="preserve">Johnson Controls Inc (Johnson Controls), Hitachi Ltd (Hitachi) and Hitachi
Appliances Inc signed an agreement to form a joint venture. Johnson
Controls will hold a 60% for a deal price of USD 2.5 bil and Hitachi will
hold 40% interest in the JV. The joint venture was to include key products
such as variable refrigerant flow (VRF) and inverter technologies
supporting both the commercial and residential markets and will combine
Johnson Controls' global reach with Hitachi's technology expertise. The
transaction was subject to regulatory approval.</t>
  </si>
  <si>
    <t xml:space="preserve">Electrical &amp; Electronic Services
Manufacturing Services
Advertising Services
Research &amp; Development Services</t>
  </si>
  <si>
    <t xml:space="preserve">60.00
40.00
</t>
  </si>
  <si>
    <t xml:space="preserve">Johnson Controls will hold a 60% for a deal price of USD 2.5 bil .Combined
with our existing $15 billion building technologies and services business,
this investment positions Johnson Controls as the world's largest
commercial air conditioning provider."</t>
  </si>
  <si>
    <t xml:space="preserve">43541M</t>
  </si>
  <si>
    <t xml:space="preserve">478366
433578
43541M</t>
  </si>
  <si>
    <t xml:space="preserve">Onyx Pharmaceuticals Inc
IMF</t>
  </si>
  <si>
    <t xml:space="preserve">Mnfr,whl cancer treatment prod
Non-Government Agency</t>
  </si>
  <si>
    <t xml:space="preserve">Onyx Pharmaceuticals Inc,
located in South San
Francisco, California, is a
biopharmaceutical company,
engaged in the development and
commercialization of
innovative therapies for
improving the lives of people
with cancer. The company has
built two franchise platforms:
one in kinase inhibition and
one in proteasome inhibition.
In its kinase inhibitor
franchise, its product,
Nexavar (sorafenib) tablets is
approved for unresectable
liver cancer and advanced
kidney cancer. unresectable
liver cancer and advanced
kidney cancer. In its
proteasome inhibitor
franchise, the company uses
Kyprolis for injection for the
treatment of patients with
multiple myeloma who have
received at least two prior
therapies, including
bortezomib and an
immunomodulatory agent (IMiD),
and have demonstrated disease
progression. It was
incorporated in California in
February 1992 and
reincorporated in Delaware in
May 1996.
International Myeloma
Foundation, located in North
Hollywood, United States, is
a non-profit organization.
The company provides support
and information for family
members, caregivers of
myeloma patients, physicians
and nurses. The organization
focuses on research,
education, support and
advocacy related to the
disease. It was founded in
1990.</t>
  </si>
  <si>
    <t xml:space="preserve">2836
999G</t>
  </si>
  <si>
    <t xml:space="preserve">Amgen Inc
IMF</t>
  </si>
  <si>
    <t xml:space="preserve">ONYX PHARMACEUTICALS INC/ INTERNATIONAL MYELOMA FOUNDATION-STRATEGIC
ALLIANCE</t>
  </si>
  <si>
    <t xml:space="preserve">Onyx Pharmaceuticals Inc and International Myeloma Foundation formed a
strategic alliance to support Black Swan Research Initiative(TM) by
improving treatment options for Myeloma patients and to support significant
research initiative.</t>
  </si>
  <si>
    <t xml:space="preserve">683399
8A6877</t>
  </si>
  <si>
    <t xml:space="preserve">Myriad Genetics Inc
Janssen Research &amp; Development</t>
  </si>
  <si>
    <t xml:space="preserve">Manufacture pharmaceuticals
Research and Development in The Physical, Engineering and Lifesciences (Except Biotechnology)</t>
  </si>
  <si>
    <t xml:space="preserve">Myriad Genetics Inc, located
in Salt Lake City, Utah,
manufactures
biopharmaceuticals, including
gene-based medicine to develop
novel therapeutic and
molecular diagnostic products
that aim to determine the risk
of breast cancer, ovarian
cancer, colon cancer,
endometrial cancer and
melanoma skin cancer in
individuals with a family
history of cancer. The Company
was founded in 1991.
Janssen Research &amp;
Development LLC is a
provider of research and
development services. The
Company is located in
Raritan, New Jersey.</t>
  </si>
  <si>
    <t xml:space="preserve">UT
NJ</t>
  </si>
  <si>
    <t xml:space="preserve">Myriad Genetics Inc
J&amp;J</t>
  </si>
  <si>
    <t xml:space="preserve">MYRIAD GENETICS INC/JANSSEN RESEARCH &amp; DEVELOPMENT LLC-STRATEGIC ALLIANCE</t>
  </si>
  <si>
    <t xml:space="preserve">Myriad Genetics Inc (Myriad) and Janssen Research &amp; Development LLC
(Janssen) formed a strategic alliance to use Myriad's BRACAnalysis test in
connection with its Phase 3 clinical trial of Yondelis(R) (trabectedin) in
the treatment of advanced-relapsed epithelial ovarian, primary peritoneal
or fallopian tube cancers (NCT01846611). Specific terms of the deal were
not disclosed.</t>
  </si>
  <si>
    <t xml:space="preserve">62855J
8A8125</t>
  </si>
  <si>
    <t xml:space="preserve">Life Technologies Corp
CCBD</t>
  </si>
  <si>
    <t xml:space="preserve">Biotechnology company
Research and Development in Biotechnology</t>
  </si>
  <si>
    <t xml:space="preserve">Life Technologies Corp,
located in Carlsbad,
California, is a biotechnology
company. It manufactures
biological products, research
tools in reagent and kit form,
and provides other research
services, including
informatics software, to
customers engaged in life
sciences research, drug
discovery, diagnostics and the
commercial manufacture of
biological products. It also
manufactures in-vitro
diagnostic products and
research use only-labeled
products. The company was
founded in 1987.
Canadian Centre for DNA
Bar-coding, located in Guelph,
Canada, provides DNA
identification and DNA
bar-coding services. The
company serves clients from
private, government &amp; academic
sectors by providing access to
easy, reliable and scalable
species identifications.</t>
  </si>
  <si>
    <t xml:space="preserve">Life Technologies Corp
University of Guelph</t>
  </si>
  <si>
    <t xml:space="preserve">LIFE TECHNOLOGIES CORP/CANADIAN CENTRE FOR DNA BARCODING-JOINT VENTURE</t>
  </si>
  <si>
    <t xml:space="preserve">Life Technologies Corp (Life Technologies) and Canadian Centre for DNA
Barcoding (CCDB) formed a joint venture. The purpose of the joint venture
was to provide DNA identification and DNA bar-coding services on species
biodiversity study. The partnership will enable International Barcode of
Life (iBOL) project leaders to sequence organisms from developing countries
where the threat of extinction is high and biodiversity is often the
richest, yet largely undocumented.</t>
  </si>
  <si>
    <t xml:space="preserve">Data Processing Services
Research &amp; Development Services</t>
  </si>
  <si>
    <t xml:space="preserve">53217V
8A7675</t>
  </si>
  <si>
    <t xml:space="preserve">Enzymotec Ltd
Polar Omega A/S</t>
  </si>
  <si>
    <t xml:space="preserve">Mnfr nutritional ingredients
Biological Product (Except Diagnostic) Manufacturing</t>
  </si>
  <si>
    <t xml:space="preserve">Enzymotec Ltd, located in
Israel, manufactures
nutritional ingredients and
medical foods. The Company
is a biotechnology company
that develops and produces
biofunctional ingredients to
address health needs
associated with the human
life cycle including:
functional foods, dietary
supplements and infant
nutrition. The Company was
founded in 1998.
Polar Omega A/S, located in
Esbjerg, Denmark, produces
marine phospholipids. The
company is specialized in the
production of marine
phospholipids from sustainable
fish sources and to better
preserve the natural nutrients
found in fish and enhance
their broad impact on general
health.</t>
  </si>
  <si>
    <t xml:space="preserve">Israel
Denmark</t>
  </si>
  <si>
    <t xml:space="preserve">ENZYMOTEC LTD/POLAR OMEGA A/S-JOINT VENTURE</t>
  </si>
  <si>
    <t xml:space="preserve">Enzymotec Ltd (Enzymotec) and Polar Omega A/S (Polar Omega) agreed to form
a joint venture. The Purpose of the Joint venture was for commercialization
of Omega PC, a new premium fish based omega-3 product and to better
preserve the natural nutrients found in fish and enhance their broad impact
on general health. Under the agreement, Enzymotec will be responsible for
global sales and marketing, research and development, and for the
intellectual property regarding Omega PC. Polar Omega will be responsible
for supply chain, including sourcing of raw materials and manufacturing
Omega PC.</t>
  </si>
  <si>
    <t xml:space="preserve">Exclusive Licensing Services
Licensing Services
Marketing Services
Research &amp; Development Services
Supply Services</t>
  </si>
  <si>
    <t xml:space="preserve">M4059L
8A7455</t>
  </si>
  <si>
    <t xml:space="preserve">Cellular Dynamics Intl Inc
The Hamner Institutes For</t>
  </si>
  <si>
    <t xml:space="preserve">Cellular Dynamics
International Inc, located in
Madison, Wisconsin, is a
biotechnology company focused
on the development and
production of human cells. Its
products include human cells
in multiple cell types (iCell
products), human induced
pluripotent stem cells (iPSCs)
and custom iPSCs and iCell
products (MyCell products). It
markets its products to be use
in life science in vitro
research and development as
well as applied product
testing, stem cell banking and
in vivo cellular therapeutics.
The company was founded in
2004.
The Hamner Institutes for
Health Sciences, lcoated in
Research Triangle Park, North
Carolina, provides non-profit
organization translational
biomedical research services.
Its services include
translational research in
biopharmaceutical safety,
oncology, and nanosafety.</t>
  </si>
  <si>
    <t xml:space="preserve">WI
NC</t>
  </si>
  <si>
    <t xml:space="preserve">CELLULAR DYNAMICS INTERNATIONAL INC/THE HAMNER INSTITUTES FOR HEALTH
SCIENCE-JOINT VENTURE</t>
  </si>
  <si>
    <t xml:space="preserve">Cellular Dynamics International Inc (CDI) and The Hamner Institutes for
Health Science (The Hamner) agreed to form a joint venture. The new JV
agreement was signed to develop predictive in vitro screening assays for
chemical, environmental and pharmaceutical toxicology assessments that
utilize CDIs human induced pluripotent stem (iPS) cell-derived hepatocytes.
Human iPS cell-derived hepatocytes could provide a consistent, reproducible
and limitless source of liver tissue that reflects native liver function
and may offer significant improvement over existing in vitro models.</t>
  </si>
  <si>
    <t xml:space="preserve">15117V
44223A</t>
  </si>
  <si>
    <t xml:space="preserve">Celon Laboratories Ltd
Aurobindo Pharma Ltd</t>
  </si>
  <si>
    <t xml:space="preserve">Celon Laboratories Ltd,
located in Hyderabad, India,
is a biopharmaceutical
company, which manufacturers
pharmaceutical products and
provides reasearch and
development for new drugs
pharmaceutical manufacturing
firm and other ancillary
products in India and abroad.
Aurobindo Pharma Ltd,
headquartered in Hyderabad,
India, is a pharmaceutical
company. It is engaged in
producing oral and
injectable generic
formulations and active
pharmaceutical ingredients
(APIs). Its product
portfolio is spread over
seven therapeutic/product
areas, including
antibiotics,
anti-retrovirals,
cardiovascular, central
nervous system,
gastroenterologicals,
anti-allergies and
anti-diabetics. The Company
was founded in 1986.</t>
  </si>
  <si>
    <t xml:space="preserve">CELON LABORATORIES LTD/AUROBINDO PHARMA LTD-JOINT VENTURE</t>
  </si>
  <si>
    <t xml:space="preserve">Celon Laboratories Ltd (Celon Laboratories ) and Aurobindo Pharma Ltd
(Aurobindo Pharma) agreed to form a joint venture named Eugia Pharma
Specialties Ltd. Celon Laboratories hold a 40% interest and Aurobindo
Pharma will hold 60% interest in the JV. Under the terms of the agreement,
Celon Laboratories will invest INR1, 800m (US$29.46m) and Aurobindo Pharma
will invest INR 2,000m (US$32.73m) into the joint venture in next two to
three years, with initial capital expenditure of INR900m (US$17.73m) spent
in the next 12 to 15 months.</t>
  </si>
  <si>
    <t xml:space="preserve">Research &amp; Development Services
Health &amp; Medical Services
Marketing Services
Manufacturing Services</t>
  </si>
  <si>
    <t xml:space="preserve">Under the terms of the agreement, Celon Laboratories will invest INR1, 800m
(US$29.46m) and Aurobindo Pharma will invest INR 2,000m (US$32.73m) into
the joint venture in next two to three years, with initial capital
expenditure of INR900m (US$17.73m) spent in the next 12 to 15 months.</t>
  </si>
  <si>
    <t xml:space="preserve">15198Q
05156J</t>
  </si>
  <si>
    <t xml:space="preserve">Novozymes A/S
Monsanto Co</t>
  </si>
  <si>
    <t xml:space="preserve">Mnfr,wholesale enzyme products
Pesticide and Other Agricultural Chemical Manufacturing</t>
  </si>
  <si>
    <t xml:space="preserve">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
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t>
  </si>
  <si>
    <t xml:space="preserve">NOVOZYMES A/S/MONSANTO CO-STRATEGIC ALLIANCE</t>
  </si>
  <si>
    <t xml:space="preserve">Novozymes A/S (Novozymes) and Monsanto Co (Monsanto) formed a strategic
alliance to develop bio-agricultural products which allow farmers to
increase crop yields. Monsanto will pay Novozymes an aggregate upfront
payment of USD 300 million net in recognition of Novozymes' ongoing
business and microbial capabilities, and for Novozymes to supply alliance
products. Novozymes will be responsible for production and supply of the
microbial solutions to Monsanto. Monsanto will serve as the lead for field
testing, registration and commercialization of all alliance products. The
transaction was granted the approval of the relevant national antitrust
authorities.</t>
  </si>
  <si>
    <t xml:space="preserve">Research &amp; Development Services
Agricultural, Forestry, &amp; Fishing Svcs
Marketing Services
Supply Services</t>
  </si>
  <si>
    <t xml:space="preserve">Monsanto will pay Novozymes an aggregate upfront payment of $300 million
net in recognition of Novozymes' ongoing business and microbial
capabilities, and for Novozymes to supply alliance products.</t>
  </si>
  <si>
    <t xml:space="preserve">67026F
61166W</t>
  </si>
  <si>
    <t xml:space="preserve">Johnson &amp; Johnson Innovation
NEOMED Institute
MaRS Innovation</t>
  </si>
  <si>
    <t xml:space="preserve">Venture Capital Firm
Provide research,dvlp svcs
Research and Development in Biotechnology</t>
  </si>
  <si>
    <t xml:space="preserve">Johnson &amp; Johnson Innovation
- JJDC Inc is a financial
sponsor. The Company was
founded in 1973 and is
located in New Brunswick,
New Jersey.
NEOMED Institute is a provider
of research and development
services. The company was
founded in 2012 and is located
in Canada.
MaRS Innovation is a provider
of biotechnology research and
development services. The
company was founded in 2008
and is located in Canada.</t>
  </si>
  <si>
    <t xml:space="preserve">United States
Canada
Canada</t>
  </si>
  <si>
    <t xml:space="preserve">NJ
FF
FF</t>
  </si>
  <si>
    <t xml:space="preserve">J&amp;J
NEOMED Institute
MaRS Innovation</t>
  </si>
  <si>
    <t xml:space="preserve">JOHNSON &amp; JOHNSON INNOVATION - JJDC INC/NEOMED INSTITUTE/MARS
INNOVATION-STRATEGIC ALLIANCE</t>
  </si>
  <si>
    <t xml:space="preserve">Johnson Johnson Innovation - JJDC Inc, NEOMED Institute and MaRS Innovation
formed a strategic alliance, to provide Drug Technology Development.</t>
  </si>
  <si>
    <t xml:space="preserve">4E3625
5E6163
5E6170</t>
  </si>
  <si>
    <t xml:space="preserve">Roche Holdings AG
Prothena Corp plc</t>
  </si>
  <si>
    <t xml:space="preserve">Manufactures, wholesales pharmaceuticals and medical instruments
Mnfr biological prod</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</si>
  <si>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Prothena Corp plc, located in
Dublin, Ireland, is a
biotechnology company that
manufactures biological
products. It is focused on the
discovery, development and
commercialization of novel
antibodies for the treatment
of a broad range of diseases
and provides biotechnological
clinical researches. The
company was founded in 2012.</t>
  </si>
  <si>
    <t xml:space="preserve">Switzerland
Ireland-Rep</t>
  </si>
  <si>
    <t xml:space="preserve">ROCHE HOLDING AG/ PROTHENA CORP PLC-STRATEGIC ALLIANCE</t>
  </si>
  <si>
    <t xml:space="preserve">Roche Holding AG and Prothena Corp PLC formed strategic alliance strategic
to collaborate on the development of PRX002 for Parkinsons disease and
potentially other synucleinopathies. The total worldwide upfront and
milestone payments may amount up to USD 600 mil.</t>
  </si>
  <si>
    <t xml:space="preserve">USD 600 mil</t>
  </si>
  <si>
    <t xml:space="preserve">77119M
1A1958</t>
  </si>
  <si>
    <t xml:space="preserve">Siemens Healthcare Diagnostics
Pfizer Inc</t>
  </si>
  <si>
    <t xml:space="preserve">Pvd med diagnostic svcs
Manufacture,wholesale pharmaceuticals</t>
  </si>
  <si>
    <t xml:space="preserve">Siemens Healthcare Diagnostics
Inc, located in Tarrytown, New
York, provides medical
diagnostic services. It also
offers products and services
for diagnosing medical
conditions and monitoring
patient therapy. Its services
include integrated chemistry,
immunoassay, routine
chemistry, automation,
hematology, homeostasis,
microbiology, diabetes,
urinalysis, blood gas
monitoring and molecular
testing. It has direct
operations in France, Germany,
Italy, Japan, Korea, the
Netherlands, Poland, Spain,
the UK, and the US. The
company was founded in 2007.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</si>
  <si>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Siemens AG
Pfizer Inc</t>
  </si>
  <si>
    <t xml:space="preserve">SIEMENS HEALTHCARE DIAGNOSTICS INC/PFIZER INC-STRATEGIC ALLIANCE</t>
  </si>
  <si>
    <t xml:space="preserve">Siemens Healthcare Diagnostics Inc and Pfizer Inc formed a strategic
alliance to develop new precision medicines. And to design, develop and
commercialise diagnostic tests for therapeutic products across Pfizers
pipeline. Under the agreement, Siemens will be one of Pfizers collaboration
partners to develop and provide in vitro diagnostic tests for use in
clinical studies and, potentially, eventual global commercialisation with
Pfizer products.</t>
  </si>
  <si>
    <t xml:space="preserve">Health &amp; Medical Services
Research &amp; Development Services
Manufacturing Services</t>
  </si>
  <si>
    <t xml:space="preserve">82802Y
717081</t>
  </si>
  <si>
    <t xml:space="preserve">Agila Biotech Pvt Ltd
Pieris AG</t>
  </si>
  <si>
    <t xml:space="preserve">Agila Biotech Pvt Ltd, is a
biotechnology company.
Pieris AG, located in
Freising-Weihenstephan,
Germany, manufactures
pharmaceuticals. It is a
biopharmaceutical company
engaged in the discovery and
development of Anticalins (R),
a human proteins designed to
diagnose and treat serious
human disorders. The company
was founded in 2001.</t>
  </si>
  <si>
    <t xml:space="preserve">Strides Arcolab Ltd
Pieris AG</t>
  </si>
  <si>
    <t xml:space="preserve">STELIS BIOPHARMA/PIERIS AG-STRATEGIC ALLIANCE</t>
  </si>
  <si>
    <t xml:space="preserve">Stelis Biopharma and Pieris AG formed a strategic alliance to focus on
clinical development and commercialization of multiple novel
Anticalin-based protein therapeutics worldwide, primarily focusing on
ophthalmology.</t>
  </si>
  <si>
    <t xml:space="preserve">3A4172
5C2221</t>
  </si>
  <si>
    <t xml:space="preserve">CRT Capital Group LLC
Furey Research Partners</t>
  </si>
  <si>
    <t xml:space="preserve">Securities brokerage firm
Portfolio Management</t>
  </si>
  <si>
    <t xml:space="preserve">CRT Capital Group LLC, located
in Stamford, Connecticut, is a
securities brokerage firm. It
offers mergers and
acquisition, private
placement, real estate loan,
debt and equity underwriting,
financial restructuring
advisory services, dealership
and distressed debt advisory
services to asset managers,
insurance companies, pension
funds and investment firms.
The company was founded in
1990.
Furey Research Partners is an
investment company,
headquartered in United State.
Founded in 2008, the companys
main divisions include
Research &amp; Investment.</t>
  </si>
  <si>
    <t xml:space="preserve">6211
6799</t>
  </si>
  <si>
    <t xml:space="preserve">Aquiline Capital Partners LLC
Furey Research Partners</t>
  </si>
  <si>
    <t xml:space="preserve">CRT CAPITAL GROUP LLC/FUREY RESEARCH PARTNERS, LLC-STRATEGIC ALLIANCE</t>
  </si>
  <si>
    <t xml:space="preserve">CRT Capital Group LLC and Furey Research Partners have entered into a
strategic alliance for trading and research distribution in US.</t>
  </si>
  <si>
    <t xml:space="preserve">Research &amp; Development Services
Security Trading/Trading Network Svcs</t>
  </si>
  <si>
    <t xml:space="preserve">12408Q
9A0656</t>
  </si>
  <si>
    <t xml:space="preserve">EnSync Inc
Lotte Chemical Corp</t>
  </si>
  <si>
    <t xml:space="preserve">Pvd power management svcs
Petrochemical Manufacturing</t>
  </si>
  <si>
    <t xml:space="preserve">EnSync Inc is an electric
power generation facility
operator. The company was
founded in 1988 and is located
in Menomonee Falls, Wisconsin.
Lotte Chemical Corp, located
in Seoul, South Korea,
manufactures petrochemical
products. The Company
produces three categories of
products: naphtha, monomers
and polymers. Its monomers
include ethylene, propylene,
butadiene, benzene, toluene
and xylenes (BTX), pure
terephthalic acid (PTA),
ethylene oxide adduct (EOA),
ethylene oxide glycol,
styrene monomer and others.
Its polymers include high
density polyethylene (HDPE),
low density polyethylene,
linear low density
polyethylene, polypropylene,
polyethylene terephthalate
(PET) and others. The
Company distributes its
products within domestic
market and to overseas
markets. The Company was
founded in 1976.</t>
  </si>
  <si>
    <t xml:space="preserve">4911
2869</t>
  </si>
  <si>
    <t xml:space="preserve">ZBB ENERGY CORP/ LOTTE CHEMICAL CORP(WAS Y3295A)-STRATEGIC ALLIANCE</t>
  </si>
  <si>
    <t xml:space="preserve">ZBB Energy Corp and LOTTE Chemical Corp formed a strategic alliance for new
research development and distribution purpose globally.Under the terms of
the strategic partnership, Lotte will acquire an expanded non-exclusive
license to sell the Company's zinc-bromide continuous flow battery globally
with the exception of the United States and China.</t>
  </si>
  <si>
    <t xml:space="preserve">98876R
Y5336U</t>
  </si>
  <si>
    <t xml:space="preserve">Stelis Biopharma Pvt Ltd
Pieris AG</t>
  </si>
  <si>
    <t xml:space="preserve">Research and Development in Biotechnology
Pharmaceutical Preparation Manufacturing</t>
  </si>
  <si>
    <t xml:space="preserve">Stelis Biopharma Pvt. ltd,
is located in Bangalore,
India, is a fully-owned
subsidiary of strides, is a
manufacturer of
biotherapeutic drugs and
development of
biotherapeutic drug. It was
founded in the year 2013.
Pieris AG, located in
Freising-Weihenstephan,
Germany, manufactures
pharmaceuticals. It is a
biopharmaceutical company
engaged in the discovery and
development of Anticalins (R),
a human proteins designed to
diagnose and treat serious
human disorders. The company
was founded in 2001.</t>
  </si>
  <si>
    <t xml:space="preserve">STELIS BIOPHARMA/PIERIS PROTEOLAB AG-STRATEGIC ALLIANCE</t>
  </si>
  <si>
    <t xml:space="preserve">Stelis Biopharma and Pieris Proteolab AG planned to form a strategic
alliance. The purpose was to provide the clinical development and
commercialization of multiple novel Anticalin-based protein therapeutics
worldwide, primarily focusing on ophthalmology.</t>
  </si>
  <si>
    <t xml:space="preserve">Health &amp; Medical Services
Manufacturing Services
Research &amp; Development Services</t>
  </si>
  <si>
    <t xml:space="preserve">9A1623
5C2221</t>
  </si>
  <si>
    <t xml:space="preserve">Millward Brown PLC
A/R/M/I-Marketing</t>
  </si>
  <si>
    <t xml:space="preserve">Provide market research services
Marketing Research and Public Opinion Polling</t>
  </si>
  <si>
    <t xml:space="preserve">Millward Brown PLC, located in
Lisle, Illinois, provides
market research services. It
specializes in advertising,
marketing communications,
media and brand equity
research. It operates 87
offices in 58 countries.
Additional practices include
Millward Brown's Global Media
Practice (media effectiveness
unit), Millward Brown Optimor
(focused on helping clients
maximize the returns on their
brand and marketing
investments) and Dynamic Logic
(the world leader in digital
marketing effectiveness). The
company was founded in 1973.
A/R/M/I-Marketing, located in
Moscow, Russian Federation, is
a provider of market research
services. It was founded in
1992.</t>
  </si>
  <si>
    <t xml:space="preserve">WPP PLC
A/R/M/I-Marketing</t>
  </si>
  <si>
    <t xml:space="preserve">United Kingdom
Russian Fed</t>
  </si>
  <si>
    <t xml:space="preserve">7311
8732</t>
  </si>
  <si>
    <t xml:space="preserve">MILLWARD BROWN PLC/ARMI-MARKETING-JOINT VANTURE</t>
  </si>
  <si>
    <t xml:space="preserve">Millward Brown (MB) and ARMI-Marketing planned to form a joint venture and
(MB) and ARMI-Marketing will each hold 70% and 30% interest in the JV. The
purpose of the JV to provide local expertise with MB extensive experience
and solutions in brand, communications and media research, and to utilizing
the latest research innovations to help the clients navigate todays complex
multi-channel world and measure the return on social media and mobile to
improve the ability to help the clients to evolve their marketing
strategies to combine traditional marketing with the most impactful new
digital channels.</t>
  </si>
  <si>
    <t xml:space="preserve">60150Q
7A9167</t>
  </si>
  <si>
    <t xml:space="preserve">Hiconics Drive Tech Co Ltd
Zhang Yong</t>
  </si>
  <si>
    <t xml:space="preserve">Mnfr semiconductors
Individual</t>
  </si>
  <si>
    <t xml:space="preserve">The company is located in
Beijng. Hiconics Drive
Technology Co Ltd, founded
in 2003, was principally
engaged in the R&amp;D,
production, wholesale of
high-voltage inverter.It has
approximately 300 employees.
Zhang Yong is an individual
investor, located in China.</t>
  </si>
  <si>
    <t xml:space="preserve">HICONICS DRIVE TECHNOLOGY CO/ZHANG YONG-JOINT VENTURE</t>
  </si>
  <si>
    <t xml:space="preserve">Hiconics Drive Technology Co Ltd and Zhang Yong planned to form an
82.2:17.8 joint venture. The JV was expected to have revenues of USD 6.0119
million to engaged in R&amp;D, manufacturing, sales and services of motors and
motor system products.</t>
  </si>
  <si>
    <t xml:space="preserve">Manufacturing Services
Research &amp; Development Services
Automotive Services</t>
  </si>
  <si>
    <t xml:space="preserve">82.20
17.80</t>
  </si>
  <si>
    <t xml:space="preserve">Joint venture with a registered capital of CNY 36.50 million($6.0119m)</t>
  </si>
  <si>
    <t xml:space="preserve">42923K
97963W</t>
  </si>
  <si>
    <t xml:space="preserve">CSA Group
Korea Inst of Med Device</t>
  </si>
  <si>
    <t xml:space="preserve">Provide testing,training services
Provide research,dvlp svcs</t>
  </si>
  <si>
    <t xml:space="preserve">CSA Group, located in Toronto,
Canada provides, testing, and
inspection services like
standards writing,
certification industry,
government, and the public,
through its three divisions:
Canadian Standards
Association, CSA International
and QMI. It works to
facilitate the exchange of
goods and services though the
determination and application
of consensus knowledge. In the
area of telecommunications, it
has responded to requests from
the Canadian Department of
Telecommunications and Stentor
Resource Centre to formulate
standards for the transmission
of voice, data, and video
signals in Canada. To this
end, and to ensure
compatibility with world
standards, CSA officials work
with provincial governments,
carriers, and industry
associations.
Korea Institute of Medical
Device Assessment is a
provider of research and
development services. The
company is located in South
Korea.</t>
  </si>
  <si>
    <t xml:space="preserve">CSA GROUP/KOREA INSTITUTE OF MEDICAL DEVICE ASSESSMENT-STRATEGIC ALLIANCE</t>
  </si>
  <si>
    <t xml:space="preserve">CSA Group and Korea Institute of Medical Device Assessment formed a
strategic alliance to provide medical devices testing and certification
services for localized manufacturers and provide more cost effective and
time saving services for the Korean market.</t>
  </si>
  <si>
    <t xml:space="preserve">13061R
6E0324</t>
  </si>
  <si>
    <t xml:space="preserve">Terramin Australia Ltd
NewFinance Capital LLP</t>
  </si>
  <si>
    <t xml:space="preserve">Base metal mining company
Pvd funds,hedge fund mgmt svcs</t>
  </si>
  <si>
    <t xml:space="preserve">Terramin Australia Ltd,
located in Adelaide,
Southern Australia, is a
base metal mining company.
It is engaged in the mining
of zinc and lead. The
company owns the Angas zinc
mine, Qued Amizour Zinc
Project, and Menninnie Zinc
Project. The company was
founded in 1993.
Provide funds and hedge funds
management services</t>
  </si>
  <si>
    <t xml:space="preserve">1031
6282</t>
  </si>
  <si>
    <t xml:space="preserve">Terramin Australia Ltd
Schroders PLC</t>
  </si>
  <si>
    <t xml:space="preserve">TERRAMIN AUSTRALIA LTD/NEWFINANCE CAPITAL LLP-JOINT VENTURE</t>
  </si>
  <si>
    <t xml:space="preserve">Algeria</t>
  </si>
  <si>
    <t xml:space="preserve">Terramin Australia Limited (TAL) and NFC formed a joint venture named Tala
Hamza project. TAL and NFC will each hold an approximately 50% interest in
the JV. The purpose of the joint venture was to provide technical
assistance in addressing these issues including the proposed mining method.
Terramin has agreed to issue to NFC, 12 million ordinary shares upon
execution of this Agreement and up to an additional 26 million ordinary
shares on completion of particular milestones.</t>
  </si>
  <si>
    <t xml:space="preserve">87805V
65133X</t>
  </si>
  <si>
    <t xml:space="preserve">AstraZeneca PLC
Molecular Profiles Ltd</t>
  </si>
  <si>
    <t xml:space="preserve">Manufactures, wholesales pharmaceutical products
Mnfr pharmaceutical product</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</si>
  <si>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Molecular Profiles Ltd,
located in Nottingham, UK,
manufacture pharmaceutical
products. It provides testing,
consulting and certification
of products for use in human
clinical trials.</t>
  </si>
  <si>
    <t xml:space="preserve">AstraZeneca PLC
Columbia Laboratories Inc</t>
  </si>
  <si>
    <t xml:space="preserve">ASTRAZENECA PLC/MOLECULAR PROFILES LTD-STRATEGIC ALLIANCE</t>
  </si>
  <si>
    <t xml:space="preserve">AstraZeneca PLC and Molecular Profiles Ltd planned to form a strategic
alliance to drive paediatric formulation development. Paediatric
formulation development is more complex than the associated adult
medicines. This project will address the need to improve the speed, cost
and quality of paediatric formulation development by drawing on the
combined expertise of the consortium members. The goal is to deliver a
novel, commercially available, regulatory-approved platform to identify the
most appropriate delivery strategy. The UK-wide consortium, led by Astra
Zeneca, received a (GBP)660k grant from the UK's innovation agency, the
Technology Strategy Board, to help fund a (GBP)1million project aimed at
accelerating paediatric formulation development through smart design and
predictive science. The consortium is comprised of pharmaceutical
analytical development specialist Molecular Profiles along with Pfizer,
Bristol Myers Squibb,GlaxoSmithKline and academic institutions including
University College London, University of Bath, University of Birmingham,
Aston University and the Academy of Pharmaceutical Sciences</t>
  </si>
  <si>
    <t xml:space="preserve">The UK-wide consortium, led by Astra Zeneca, received a (GBP)660k grant
from the UK's innovation agency, the Technology Strategy Board, to help
fund a (GBP)1million project aimed at accelerating paediatric formulation
development through smart design and predictive science.</t>
  </si>
  <si>
    <t xml:space="preserve">046353
6A1619</t>
  </si>
  <si>
    <t xml:space="preserve">DaVita HealthCare Partners Inc
Pacific Pharma Group LLC</t>
  </si>
  <si>
    <t xml:space="preserve">Pvd kidney dialysis services
Other Management Consulting Services</t>
  </si>
  <si>
    <t xml:space="preserve">DaVita HealthCare Partners
Inc, located in Denver,
Colorado, provides dialysis
and healthcare related
services for patients
suffering from chronic
kidney failure. The Company
operates 1,841 outpatient
dialysis centers in 42
states and the District of
Columbia, serving
approximately 103,000
patients. It also provides a
range of ancillary services
to ESRD patients, including
EPO and other
pharmaceuticals, ESRD
laboratory services and ESRD
clinical research programs.
The Company was founded in
1999.
Pacific Pharma Group LLC is a
provider of management
consulting services. The
company was founded in 2008
and is located in Kailua,
Hawaii.</t>
  </si>
  <si>
    <t xml:space="preserve">8092
8748</t>
  </si>
  <si>
    <t xml:space="preserve">CO
HI</t>
  </si>
  <si>
    <t xml:space="preserve">DAVITA HEAL THCARE PARTNERS INCORF/PACIFIC PHARMA GROUP LLC-STRATEGIC
ALLIANCE</t>
  </si>
  <si>
    <t xml:space="preserve">Davita Clinical Research (DCR) and Pacific Pharma Group, LLC (PPG) formed a
strategic alliance to provide consulting, program strategy and protocol
design support for DCRs clinical pharmacology studies. The Pacific Pharma
Group will collaborate with DCR to continue to expand DCRs Phase I research
capabilities. This SA intense focus on patient safety and scientific
integrity in complex clinical pharmacology services aligns well with this
collaboration and the needs of the customers.</t>
  </si>
  <si>
    <t xml:space="preserve">Research &amp; Development Services
Health &amp; Medical Services
Consulting Services</t>
  </si>
  <si>
    <t xml:space="preserve">23918K
9A2108</t>
  </si>
  <si>
    <t xml:space="preserve">Polaris Industries Inc
Ariens Co</t>
  </si>
  <si>
    <t xml:space="preserve">Mnfr,whl all-terrain vehicles
Mnfr,whl outdoor power equip</t>
  </si>
  <si>
    <t xml:space="preserve">Polaris Industries Inc,
located in Medina,
Minnesota, is a manufacturer
of automobiles. It offer
vehicles such as all terrain
vehicles (ATVs),
snowmobiles, motorcycles and
personal watercraft together
with related replacement
parts, garments and
accessories. The ATV
accessories include winches,
bumper, plows, racks,
mowers, tires, pull-behinds,
and oil. The snowmobiles
accessories include covers,
traction products, reverse
kits, electric starters,
tracks, bags, windshields,
oil and lubricants. The
motorcycle accessories
include products such as
saddle bags, handlebars,
backrests, exhaust,
windshields, seats and
various chrome accessories.
The group also markets a
full line of recreational
apparel such as helmets,
jackets, bibs and pants,
leathers and hats. The
products are marketed
through dealers and
distributors mainly in the
US, Canada, France, Great
Britain, and Australia. The
Company was founded in 1987.
Ariens Co, located in Brillon,
Wisconsin, manufactures and
wholesales outdoor power
equipment for the lawn and
garden industry. The Company
was founded in 1933.</t>
  </si>
  <si>
    <t xml:space="preserve">3711
3524</t>
  </si>
  <si>
    <t xml:space="preserve">MN
WI</t>
  </si>
  <si>
    <t xml:space="preserve">POLARIS INDUSTRIES INC/ARIENS CO-STRATEGIC ALLIANCE</t>
  </si>
  <si>
    <t xml:space="preserve">Ariens Company (Ariens) and Polaris Industries (Polaris) planed to form a
strategic alliance. The purpose of the strategic alliance was to research
development services and share technology. Ariens will produces outdoor
power equipment marketed under several brands, most notably Ariens and
Gravely. The new partnership will share technology and R&amp;D, with Polaris
also collaborating on a new work vehicle for the Gravely brand. it is going
to be enable Polaris to grow beyond our core powersports market, as we will
reach new customers with innovative, relevant new products.</t>
  </si>
  <si>
    <t xml:space="preserve">731068
04036X</t>
  </si>
  <si>
    <t xml:space="preserve">KannaLife Sciences Inc
Salvation Botanicals</t>
  </si>
  <si>
    <t xml:space="preserve">Mnfr diagnostic pharmaceutical
Coffee and Tea Manufacturing</t>
  </si>
  <si>
    <t xml:space="preserve">KannaLife Sciences Inc,
located in West Hills, New
York, manufactures
phyto-medical products.
Salvation Botaicals, Inc. is
located in Nanimo, Canada, is
a manufacturer of teas,
chocolates, veterinary food
additives for the pet food
industry and standadized
botanical extracts as raw
materials for various product
manufactures in North America.</t>
  </si>
  <si>
    <t xml:space="preserve">2835
2099</t>
  </si>
  <si>
    <t xml:space="preserve">KANNALIFE SCIENCES INC/ SALVATION BOTANICALS INC-JOINT VENTURE</t>
  </si>
  <si>
    <t xml:space="preserve">Foreign
New York</t>
  </si>
  <si>
    <t xml:space="preserve">KannaLife Sciences Inc (KN) and Salvation Botanicals Inc (SB) planned to
form a joint venture. The purpose was to expand the SB's botanical
medicaments and patient wellness in United States and Canada.</t>
  </si>
  <si>
    <t xml:space="preserve">Marketing Services
Research &amp; Development Services
Health &amp; Medical Services</t>
  </si>
  <si>
    <t xml:space="preserve">4A6375
9A2989</t>
  </si>
  <si>
    <t xml:space="preserve">Vuzix Corp
Uvex Safety Group GmbH &amp; Co KG</t>
  </si>
  <si>
    <t xml:space="preserve">Mnfr, whl personal viewers
Men'S and Boys' Cut and Sew Other Outerwear Manufacturing</t>
  </si>
  <si>
    <t xml:space="preserve">Vuzix Corp is a manufacturer
of computer peripheral
equipment. The Company was
founded in 1997 and is
located in West Henrietta,
New York , is engaged in the
design, manufacture,
marketing and sale of
devices that are worn like
eyeglasses and feature
built-in video screens that
enable the user to view
video and digital content,
such as movies, computer
data, the Internet or video
games. The company was
founded in 1997.
Uvex Safety Group GmbH &amp; Co KG
is a manufacturer of apparel.
The company was founded in
1926 and is located in Furth,
Germany.</t>
  </si>
  <si>
    <t xml:space="preserve">3577
2329</t>
  </si>
  <si>
    <t xml:space="preserve">Vuzix Corp
Uvex Winter Holding &amp; Co. KG</t>
  </si>
  <si>
    <t xml:space="preserve">VUZIX(DNU)/UVEX SAFTY GRUOP GMBH &amp; CO.KG-STRATEGIC ALLIANCE</t>
  </si>
  <si>
    <t xml:space="preserve">VUZIX Corp and Uvex Safety Group GmbH &amp; Co. KG (USGGCK) planned to form a
strategic alliance to explore marketing and co-development efforts
utilizing VUZIX experience and technology and USGGCK experience and the
personal protective eyewear to provide the Smart Glasses technology and to
develop integrated innovative solutions for enterprise users.</t>
  </si>
  <si>
    <t xml:space="preserve">92921W
9A3015</t>
  </si>
  <si>
    <t xml:space="preserve">Nimblegen Systems Inc
Kapa Biosystems Inc</t>
  </si>
  <si>
    <t xml:space="preserve">Mnfr,whl DNA microarrays
Biological Product (Except Diagnostic) Manufacturing</t>
  </si>
  <si>
    <t xml:space="preserve">Nimblegen Systems Inc, located
in Madison, Wisconsin,
manufactures and wholesales a
proprietary suite of DNA
microarrays, consumables,
instruments and services. It
produces high-density arrays
of long oligo probes that
provide greater information
content and higher data
quality necessary for studying
the full diversity of genomic
and epigenomic variation and
also provide scientists with
cost-effective,
high-throughput tools for
extracting and integrating
complex data on important
forms of genomic and
epigenomic variation not
previously accessible on a
genome-wide scale. The company
was founded in 1999.
Kapa Biosystems Inc.,located
in Massachusetts, United
States, manufactures reagents.
It provides platform for
evoluating technology for
currently being used to
optimize enzymes for DNA
amplification, DNA sequencing,
molecular diagnostic
applications. It was founded
in the year 2006.</t>
  </si>
  <si>
    <t xml:space="preserve">WI
MA</t>
  </si>
  <si>
    <t xml:space="preserve">Roche Holdings AG
Kapa Biosystems Inc</t>
  </si>
  <si>
    <t xml:space="preserve">NIMBLEGEN SYSTEMS INC/KAPA BIOSYSTEMS INC-STRATEGIC ALLIANCE</t>
  </si>
  <si>
    <t xml:space="preserve">Nimblegen Systems Inc and Kapa Biosystems Inc planned to form a strategic
alliance to provide optimized NGS target enrichment workflow solution.</t>
  </si>
  <si>
    <t xml:space="preserve">65439Y
9A3593</t>
  </si>
  <si>
    <t xml:space="preserve">Shandong Sinocera Functional
Foshan Kanglitai Inorganical</t>
  </si>
  <si>
    <t xml:space="preserve">All Other Basic Inorganic Chemical Manufacturing
All Other Basic Inorganic Chemical Manufacturing</t>
  </si>
  <si>
    <t xml:space="preserve">Shandong Sinocera Functional
Material Co Ltd is a
manufacturer and wholesaler
of inorganic chemicals. The
Company was founded in April
2005 and is located in
Dongying, China.
Foshan Kanglitai Inorganical
Chemical is a manufacturer of
inorganic chemicals. The
company is located in China.</t>
  </si>
  <si>
    <t xml:space="preserve">2819
2819</t>
  </si>
  <si>
    <t xml:space="preserve">SHANDONG SINOCERA FUNCTIONAL/FOSHAN KANGLITAI INORGANICAL CHEMICAL-JOINT
VENTURE</t>
  </si>
  <si>
    <t xml:space="preserve">Shandong Sinocera Functional Material Co Ltd and Foshan Kanglitai
Inorganical Chemical planned to form a 60:40 joint venture named Shandong
Sinocera Kanglitai New Material Co Ltd. The JV was expected to have
revenues of USD 1.6471 million.</t>
  </si>
  <si>
    <t xml:space="preserve">The JV registered capital of CNY 10 million($1.6471m)</t>
  </si>
  <si>
    <t xml:space="preserve">84180K
6E5798</t>
  </si>
  <si>
    <t xml:space="preserve">Intrexon Corp
Johnson &amp; Johnson Innovation
J&amp;J Consumer Products Co</t>
  </si>
  <si>
    <t xml:space="preserve">Manufacture biological products
Research and Development in The Physical, Engineering and Lifesciences (Except Biotechnology)
Mnfr,whl surgical equipment</t>
  </si>
  <si>
    <t xml:space="preserve">Intrexon Corp, located in
Blacksburg, Virginia,
manufactures biological
products. The Company is
focused on bio-molecular
tools that enable
researchers to modulate and
report the activity of
protein-protein interactions
in pre-determined
subcellular locations. It is
also involved in using DNA
technology as natural
control modality for
biological therapeutics. It
also has facilities located
in Maryland, North Carolina,
and California. The Company
was founded in 1998.
Johnson &amp; Johnson Innovation
is a provider of research
and development services.
The Company is located in
South San Francisco,
California.
Johnson &amp; Johnson Consumer
Products Co, located in
Skillman, New Jersey, is a
manufacturer and wholesaler of
surgical supplies. It also
manufactures and wholesales
toiletries.</t>
  </si>
  <si>
    <t xml:space="preserve">2836
8731
3841</t>
  </si>
  <si>
    <t xml:space="preserve">VA
CA
NJ</t>
  </si>
  <si>
    <t xml:space="preserve">Intrexon Corp
J&amp;J
J&amp;J</t>
  </si>
  <si>
    <t xml:space="preserve">INTREXON CORP/JOHNSON &amp; JOHNSON INNOVATION /JOHNSON &amp; JOHNSON CONSUMER
PRODUCT CO-SRATEGIC ALLIANCE</t>
  </si>
  <si>
    <t xml:space="preserve">Intrexon Corp(IC) and Johnson &amp; Johnson innovation(JI) and Johnson &amp;
Johnson consumer product (JCP) formed a strategic alliance to provide
research and development service. Through the collaboration, technical
experts at both companies will work together to explore, define, and test
new potential products for consumers.</t>
  </si>
  <si>
    <t xml:space="preserve">46122T
9A2766
47817L</t>
  </si>
  <si>
    <t xml:space="preserve">VOXX Electronics Corp
Eyelock Corp</t>
  </si>
  <si>
    <t xml:space="preserve">Radio, Television, and Other Electronics Stores
Other Electronic Component Manufacturing</t>
  </si>
  <si>
    <t xml:space="preserve">VOXX Electronics Corp,
headquartered in US, is a
wholesaler of mobile and
consumer electronic products,
Eyelock Corp, located in New
York, New York, is a
manufacturer of security
identification product that
uses iris scanning for
identity verification. The
company was founded in 2006.</t>
  </si>
  <si>
    <t xml:space="preserve">5065
3679</t>
  </si>
  <si>
    <t xml:space="preserve">Voxx International Corp
Eyelock Corp</t>
  </si>
  <si>
    <t xml:space="preserve">VOXX ELECTRONICS CORP/EYELOCK INC-STRATEGIC ALLIANCE</t>
  </si>
  <si>
    <t xml:space="preserve">VOXX Electronics Corp (VEC), a newly formed wholly-owned subsidiary of VOXX
International Corp and EyeLock Incplanned to form a strategic alliance to
deliver myris, a USB-enabled iris identity authenticator. myris uses
EyeLock's proven video based iris authentication technology, providing an
unprecedented level of security.</t>
  </si>
  <si>
    <t xml:space="preserve">8A3819
8A3980</t>
  </si>
  <si>
    <t xml:space="preserve">ClearPath Development Co
Astellas Pharma Inc</t>
  </si>
  <si>
    <t xml:space="preserve">Research and Development in Biotechnology
Manufactures and wholesales pharmaceutical</t>
  </si>
  <si>
    <t xml:space="preserve">ClearPath Development Co,
headquartered in US, is
involved in biopharmaceutical
sector. The company works with
leading biopharmaceutical
companies to expand product
pipeline opportunities with
complementary development and
finance capabilities.
Astellas Pharma Inc, located
in Chuo-Ku, Tokyo,
manufactures and wholesales
pharmaceutical. It is
involved in the manufacture
and sale of pharmaceutical
products in Japan, the
United States, Europe,
China, Korea, Taiwan and
other markets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osteoporosis, hypertension,
schizophrenia, rheumatoid
arthritis, atopic dermatitis
and other diseases. The
Company was founded in 1923.</t>
  </si>
  <si>
    <t xml:space="preserve">RRD International LLC
Astellas Pharma Inc</t>
  </si>
  <si>
    <t xml:space="preserve">ASTELLAS PHARMA INC/CLEARPATH DEVELOPMENT CO-STRATEGIC ALLIANCE</t>
  </si>
  <si>
    <t xml:space="preserve">Astellas Pharma Inc and Clearpath Development Co formed a strategic
alliance to support Astellas' goal of building a global vaccine franchise.</t>
  </si>
  <si>
    <t xml:space="preserve">8A2785
J03393</t>
  </si>
  <si>
    <t xml:space="preserve">Unicredit SpA
Kepler Cheuvreux SA</t>
  </si>
  <si>
    <t xml:space="preserve">Provide banking services
Miscellaneous Financial Investment Activities</t>
  </si>
  <si>
    <t xml:space="preserve">Unicredit SpA is a
commercial bank, with a
fully plugged in CIB,
delivering a unique Western,
Central and Eastern European
network to extensive client
franchise. It is a bank
which provides corporate,
retail, private and
investment banking services.
Its retail banking
operations are located in
Italy, Germany and Austria.
It has corporate banking
activities in the same
locations which include the
company''s asset management
arm while the investment
banking business are
available in Europe, Africa,
Asia, and Americas. Some of
its subsidiaries include
Bank Austria Creditanstalt,
HVB, Bank Pekao, CA IB, and
Koc Bank. The Company was
founded in 1998 and is
located in Milan, Italy.
Kepler Cheuvreux SA, located
in Paris, France, provides
financial services. Its core
business is equity
brokerage, including
research, sales and trading,
in addition to fixed income,
asset management and
corporate finance platforms.
It has offices in Amsterdam,
Frankfurt, Geneva, Madrid,
Milan, Paris, Zurich and New
York. The Company was
founded in 1997.</t>
  </si>
  <si>
    <t xml:space="preserve">6000
6289</t>
  </si>
  <si>
    <t xml:space="preserve">UNICREDIT SPA/KEPLER CAPITAL MARKETS SA-STRATEGIC ALLIANCE</t>
  </si>
  <si>
    <t xml:space="preserve">UniCredit SpA (US) and Kepler Capital Markets (KC) formed a strategic
alliance to provide cash equity research and execution services in the
Western Europe equities. Under the new terms, KC will distribute US' CEE
cash equity research as well as US' equity capital markets transactions
originated in the region to international institutional investors. US'
equity capital markets origination capability remains unchanged and very
much part of its core offering to clients in the region.</t>
  </si>
  <si>
    <t xml:space="preserve">904678
4E8437</t>
  </si>
  <si>
    <t xml:space="preserve">Theorem Clinical Research Inc
BioTelemetry Inc</t>
  </si>
  <si>
    <t xml:space="preserve">Pvd clinical research
Surgical Appliance and Supplies Manufacturing</t>
  </si>
  <si>
    <t xml:space="preserve">Theorem Clinical Research Inc
is a provider of research and
development services. The
company was founded in 2011
and is located in King Of
Prussia, Pennsylvania.
BioTelemetry Inc, based in
Conshohocken, Pennsylvania,
manufactures diagnostic and
monitoring devices. It also
provides monitoring services
and digital population
health management in a
healthcare setting and
centralized laboratory
services for clinical
research. The Company
operates through three
segments: Healthcare,
Technology and Research. It
offers the Mobile Cardiac
Outpatient Telemetry which
enables
heartbeat-by-heartbeat, ECG
monitoring, analysis and
response device for
arrhythmias or heart rhythm
disorders. It offers its
products and services
through its subsidiaries
CardioNet LLC, Heartcare
Corporation of America Inc,
Cardiocore LLC,
VirtualScopics Inc, Braemar
Manufacturing LLC, Universal
Medical Inc. The Company was
founded in 1999.</t>
  </si>
  <si>
    <t xml:space="preserve">THEOREM CLINICAL RESEARCH INC/BIOTELEMETRY IINC-STRATEGIC ALLIANCE</t>
  </si>
  <si>
    <t xml:space="preserve">Theorem Clinical Research Inc and BioTelemetry Corp planned to form a
strategic alliance to provide testing cardiovascular testing services. The
partnership complements BioTelemetrys unique position that spans from
clinical research through post-market surveillance and into clinical
practice. Both companies support trials in all clinical phases of
pharmaceutical and biotech development and will collaborate globally within
this alliance.</t>
  </si>
  <si>
    <t xml:space="preserve">0A6439
090672</t>
  </si>
  <si>
    <t xml:space="preserve">Valeant Pharmaceuticals Intl
Living Proof Inc</t>
  </si>
  <si>
    <t xml:space="preserve">Manufacture,wholesale specialty pharm prod
Toilet Preparation Manufacturing</t>
  </si>
  <si>
    <t xml:space="preserve">Valeant Pharmaceuticals
International Inc,
headquartered in Bridgewater,
New Jersey, is a manufacturer
and wholesaler of specialty
pharmaceutical products. Its
brands include Mestinon,
Tasmar, Virazole, Dermatix and
Kinerase, focusing in the
neurology and dermatology
therapeutic areas, while also
producing branded generics,
and consumer and cosmeceutical
products. The company was
founded on 1960.
Living Proof Inc, located in
Cambridge, Massachusetts,
manufactures hair products.
Its product portfolio includes
shampoo, oil, conditioner,
thickening cream, hairspray,
etc. The Company was founded
in 2004.</t>
  </si>
  <si>
    <t xml:space="preserve">2834
2844</t>
  </si>
  <si>
    <t xml:space="preserve">Valeant Pharms Intl Inc
Living Proof Inc</t>
  </si>
  <si>
    <t xml:space="preserve">VALEANT PHARMACEUTICALS INTERNATIONAL INC/LIVING PROOF INC-STRATEGIC
ALLIANCE</t>
  </si>
  <si>
    <t xml:space="preserve">Valeant Pharmaceuticals International Inc and Living Proof Inc formed a
strategic alliance to develop, distribute and commercialize products for
aesthetic dermatology.</t>
  </si>
  <si>
    <t xml:space="preserve">91911X
8A3385</t>
  </si>
  <si>
    <t xml:space="preserve">Nestle SA
Cellular Dynamics Intl Inc</t>
  </si>
  <si>
    <t xml:space="preserve">Produce, wholesale general food products
Biotechnology company</t>
  </si>
  <si>
    <t xml:space="preserve">Nestle SA, located in Vevey,
Switzerland, produces and
wholesales chocolate drinks,
cereals, baby foods, soups,
sauces and heat-and-serve
dishes, chocolate and
confectionery, frozen foods
and ice cream, and
refrigerated foods such as
yogurts, cheeses and cold
meats. The Company was
founded in 1860.
Cellular Dynamics
International Inc, located in
Madison, Wisconsin, is a
biotechnology company focused
on the development and
production of human cells. Its
products include human cells
in multiple cell types (iCell
products), human induced
pluripotent stem cells (iPSCs)
and custom iPSCs and iCell
products (MyCell products). It
markets its products to be use
in life science in vitro
research and development as
well as applied product
testing, stem cell banking and
in vivo cellular therapeutics.
The company was founded in
2004.</t>
  </si>
  <si>
    <t xml:space="preserve">NESTLA SA/CELLULAR DYNAMICS INTERNATIONAL INC-STRATEGIC ALLIANCE</t>
  </si>
  <si>
    <t xml:space="preserve">Nestle SA and Cellular Dynamics International Inc formed a strategic
alliance to Supply iCell and MyCell Products for Nutritional Research.</t>
  </si>
  <si>
    <t xml:space="preserve">641069
15117V</t>
  </si>
  <si>
    <t xml:space="preserve">Five Prime Therapeutics Inc
Adimab LLC</t>
  </si>
  <si>
    <t xml:space="preserve">Manufacture pharmaceuticals
Rsch, devlp human antibodies</t>
  </si>
  <si>
    <t xml:space="preserve">Five Prime Therapeutics Inc,
located in San Francisco,
California, manufactures
pharmaceuticals. The company
is a clinical-stage
biotechnology company
focused on discovering and
developing protein
therapeutics. The company
was founded in 2001.
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t>
  </si>
  <si>
    <t xml:space="preserve">CA
NH</t>
  </si>
  <si>
    <t xml:space="preserve">FIVE PRIME THERAPEUTICS INC/ADIMAB LLC-STRATEGIC ALLIANCE</t>
  </si>
  <si>
    <t xml:space="preserve">Five Prime Therapeutics Inc and Adimab LLC formed a strategic alliance to
discover and optimization of therapeutic monoclonal or bispecific
antibodies. This agreement will grant Five Prime the right to develop and
commercialize antibodies generated during the collaboration for potential
use as therapeutic products.</t>
  </si>
  <si>
    <t xml:space="preserve">33830X
02255X</t>
  </si>
  <si>
    <t xml:space="preserve">Aavid Thermalloy Ltd
GE Global Research</t>
  </si>
  <si>
    <t xml:space="preserve">Pvd engineering svcs
Pvd research,dvlp svcs</t>
  </si>
  <si>
    <t xml:space="preserve">Provide engineering services
GE Global Research,
headquartered in Niskayuna,
New York, provides research
and development services.</t>
  </si>
  <si>
    <t xml:space="preserve">Willis Stein &amp; Partners
General Electric Co</t>
  </si>
  <si>
    <t xml:space="preserve">6799
3612</t>
  </si>
  <si>
    <t xml:space="preserve">GENERAL ELECTRIC CO/AAVID THERMALLOY LLC-STRATEGIC ALLIANCE</t>
  </si>
  <si>
    <t xml:space="preserve">GE Global Research, a subsidiary of General Electric Co and Aavid
Thermalloy LLC formed a strategic alliance to commercialize GEs patented
Dual Piezoelectric Cooling Jets technology.</t>
  </si>
  <si>
    <t xml:space="preserve">00409F
36301X</t>
  </si>
  <si>
    <t xml:space="preserve">ImmunoGen Inc
CytomX Therapeutics Inc</t>
  </si>
  <si>
    <t xml:space="preserve">Pharmaceuticals company
Pharmaceutical Preparation Manufacturing</t>
  </si>
  <si>
    <t xml:space="preserve">ImmunoGen Inc, headquartered
in Waltham, Massachusetts,
is a pharmaceuticals company
targeting anticancer
therapeutics. The company
develops cancer-cell killing
agents attached to
antibodies for targeted
delivery to tumor cells. The
company was incorporated in
Massachusetts in March 1981.
CytomX Therapeutics Inc,
located in South San
Francisco, California, is an
oncology-focused
biopharmaceutical company
pioneering a novel class of
antibody therapeutics based
on its Probody technology
platform. The company was
founded in 2010.</t>
  </si>
  <si>
    <t xml:space="preserve">IMMUNOGEN INC/CYTOMX THERAPEUTICS INC-STRATEGIC ALLIANCE</t>
  </si>
  <si>
    <t xml:space="preserve">Immunogen Inc and Cytomx Therapeutics Inc formed a strategic alliance to
develop Probody-drug conjugate (PDC) therapies for the treatment of
cancer.</t>
  </si>
  <si>
    <t xml:space="preserve">45253H
8A3897</t>
  </si>
  <si>
    <t xml:space="preserve">UCSF
Quest Diagnostics Inc</t>
  </si>
  <si>
    <t xml:space="preserve">Own,op college,university
Provides diagnostic testing svcs</t>
  </si>
  <si>
    <t xml:space="preserve">University of California San
Francisco, owns and operates a
college/university. The
college/university is
headquartered in san
Francisco, California.
Quest Diagnostics Inc,
located in Madison, New
Jersey, provides routine and
esoteric clinical laboratory
testing services used by
physicians and medical
professionals in the
detection, diagnosis,
evaluation, monitoring and
treatment of diseases and
other medical conditions. It
offers blood tests,
healthcare screening tests,
gene-based testing provides
clinical testing including
gene-based and other
esoteric testing, anatomic
pathology services,
including dermatopathology
and testing for
drugs-of-abuse, and risk
assessment services for the
life insurance industry. It
also provides testing for
clinical trials. The Company
was founded in 1967.</t>
  </si>
  <si>
    <t xml:space="preserve">8221
8071</t>
  </si>
  <si>
    <t xml:space="preserve">UNIVERSITY OF CALIFORNIA SAN FRANCISCO/QUEST DIAGNOSTICS INC-STRATEGIC
ALLIANCE</t>
  </si>
  <si>
    <t xml:space="preserve">University of California San Francisco{UCSF} and Quest Diagnostic Inc
formed a strategic alliance to accelerate the translation of biomedical
research into advanced diagnostics in the field of precision medicine, for
improved patient care, treatment and outcomes.</t>
  </si>
  <si>
    <t xml:space="preserve">91411Q
74834L</t>
  </si>
  <si>
    <t xml:space="preserve">Biogen Idec Inc
Sangamo BioSciences Inc</t>
  </si>
  <si>
    <t xml:space="preserve">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
Sangamo BioSciences Inc,
located in Richmond,
California, is a
biopharmaceutical company
that provides research and
development of novel
DNA-binding proteins for
therapeutic gene regulation
and modification. The
Company's core competencies
enable the engineering of a
class of DNA-binding
proteins, known as zinc
finger DNA-binding proteins
which are being developed
and evaluated for safety and
clinical effects in patients
with diabetic neuropathy and
peripheral artery disease.
Its other therapeutic
development programs focus
on cancer and HIV/AIDS,
neuropathic pain, nerve
regeneration, Parkinson's
disease, and monogenic
diseases. The company was
founded in 1995.</t>
  </si>
  <si>
    <t xml:space="preserve">BIOGEN IDEC INC/SANGAMO BIOSCIENCES INC-STRATEGIC ALLIANCE</t>
  </si>
  <si>
    <t xml:space="preserve">Biogen Idec Inc (BIIB) and Sangamo BioSciences Inc (SGMO) agreed to form a
strategic alliance to develop therapeutics. The agreement will enable BIIB
to build up its expertise in non-malignant hematology by leveraging
Sangamo's genome-editing technology platform to develop treatments
targeting sickle cell disease and beta-thalassemia.</t>
  </si>
  <si>
    <t xml:space="preserve">Biogen will provide Sangamo with an upfront payment of $20 million and will
reimburse Sangamo for its research and development program-related costs.
Sangamo may also receive additional payments of about $300 million based on
certain milestones, as well as double digit royalties on product sales.</t>
  </si>
  <si>
    <t xml:space="preserve">09062X
800677</t>
  </si>
  <si>
    <t xml:space="preserve">Anavex Life Sciences Corp
Roskamp Management Co LLC</t>
  </si>
  <si>
    <t xml:space="preserve">Mnfr biopharmaceutical prod
Re dvlp firm</t>
  </si>
  <si>
    <t xml:space="preserve">Anavex Life Sciences Corp,
headquartered in New York,New
York, is a manufacturer of
biopharmaceutical products. It
is engaged in the discovery
and development of new drugs
for the treatment of cancer
and neurological diseases. The
company develops central
nervous system lead drug
candidates, including ANAVEX
2-73, a drug candidate that is
in phase I clinical trial for
the treatment of AD; and
ANAVEX 19-144, a drug
candidate that is in
preclinical stage to treat
epilepsy, as well as develops
ANAVEX 1-41, a sigma-1 agonist
and a lead compound for
depression and a back up
compound for AD. It was
founded in January 2004.
Roskamp Management Co LLC is a
real estate development firm
focused on senior living
communities. The company is
headquartered in Sarasota,
Florida.</t>
  </si>
  <si>
    <t xml:space="preserve">ANAVEX LIFE SCIENCES CORP/ROSKAMP MANAGEMENT CO LLC-STRATEGIC ALLIANCE</t>
  </si>
  <si>
    <t xml:space="preserve">Anavex Life Sciences Corp (ALSC) and Roskamp Management Co (RMC) formed a
strategic alliance to provide the clinical development of ANAVEX PLUS for
the treatment of Alzheimers disease. This strategic alliance will evaluate
the safety, tolerability, pharmacokinetics, and possible clinical benefits
of ANAVEX PLUS in Alzheimers disease patients and other diseases associated
with dementia and cognitive impairment. This alliance will also helps to
bring confidence in this new therapeutic approach for Alzheimers disease to
develop innovative treatments for the many unmet needs of patients with
this disorder.</t>
  </si>
  <si>
    <t xml:space="preserve">Health &amp; Medical Services
Research &amp; Development Services
Services (NEC)</t>
  </si>
  <si>
    <t xml:space="preserve">032797
77836T</t>
  </si>
  <si>
    <t xml:space="preserve">Affymetrix Inc
University of Bristol</t>
  </si>
  <si>
    <t xml:space="preserve">Mnfr,whl medical equipment
University</t>
  </si>
  <si>
    <t xml:space="preserve">Affymetrix Inc, located in
Santa Clara, California,
manufactures and wholesales
electromedical and
electrotherapeutic
apparatus, microarrays,
reagents and assays. The
company offers GeneChip
system consisting of
expression monitoring
arrays, DNA analysis arrays,
DNA analysis products. It
was incorporated in Delaware
in 1992.
University</t>
  </si>
  <si>
    <t xml:space="preserve">AFFYMETRIX INC/ UNIVERSITY OF BRISTOL-STRATEGIC ALLIANCE</t>
  </si>
  <si>
    <t xml:space="preserve">Affymetrix Inc (AI) and University Of Bristol (UB) planned to form a
strategic alliance to design a wheat genotyping array and analyzed data
from experiments as part of an effort to understand wheat genetics and
breeding with a goal of ensuring guaranteed sustainable production.Axiom
Wheat Genotyping Array (Axiom Wheat Array), consisting of 817,000 markers,
was designed for the UB as part of the Biotechnology and Biological
Sciences Research Council (BBSRC)-funded Wheat Improvement Strategic
Program (WISP). The aim of WISP is to produce new and novel wheat germplasm
via three complementary "pillars" (landraces, synthetics, and ancestral
gene introgression), each of which will broaden the pool of genetic
variation in elite wheat cultivars by a different route.</t>
  </si>
  <si>
    <t xml:space="preserve">00826T
91410M</t>
  </si>
  <si>
    <t xml:space="preserve">Genmab A/S
Eli Lilly &amp; Co</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</si>
  <si>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</si>
  <si>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GENMAB S/A/ELI LILLY &amp; CO</t>
  </si>
  <si>
    <t xml:space="preserve">Genmab A/S (GAS) and Eli Lilly and Co (EL&amp;C) planned to form a strategic
alliance to use and evaluate Genmab's DuoBody technology platform for the
creation of bispecific antibodies. Under the collaboration, Lilly will
initially evaluate the DuoBody technology platform in house. This alliance
will helps to attract strong interest of the pharmaceutical industry and
Lilly will evaluate the capabilities and strengths of our DuoBody platform
may consider entering a commercial license agreement if the evaluation is
successful.</t>
  </si>
  <si>
    <t xml:space="preserve">K3967W
532457</t>
  </si>
  <si>
    <t xml:space="preserve">GW Pharmaceuticals PLC
Ipsen SA</t>
  </si>
  <si>
    <t xml:space="preserve">Mnfr diagnostic pharma
Pharmaceutical Preparation Manufacturing</t>
  </si>
  <si>
    <t xml:space="preserve">GW Pharmaceuticals PLC, based
in Salisbury, Wiltshire, UK,
is a biopharmaceutical company
focused on discovering,
developing and commercializing
novel therapeutics from its
proprietary cannabinoid
product platform in a broad
range of disease areas. It has
commercialized cannabinoid
prescription drug, Sativex,
which is approved for the
treatment of spasticity due to
multiple sclerosis, or MS, in
20 countries outside the
United States. The company was
founded in 1998.
Ipsen SA, located in Paris,
France, is a manufacturer of
pharmaceutical preparation.
It manufactures prescription
pharmaceuticals used in
therapeutic areas in
Oncology, endocrinology and
neuromuscular disorders. Its
products include Decapeptyl,
Somatuline, NutropinAq,
Testim and Dysport. It also
offers products on primary
care which includes the
areas of gastroenterology,
cardiovascular and cognitive
disorders. The Company was
founded in 1929.</t>
  </si>
  <si>
    <t xml:space="preserve">GW Pharmaceuticals PLC
Mayroy SA</t>
  </si>
  <si>
    <t xml:space="preserve">United Kingdom
Luxembourg</t>
  </si>
  <si>
    <t xml:space="preserve">IPSEN SA/GW PHARMACEUTICALS PLC-STRATEGIC ALLIANCE</t>
  </si>
  <si>
    <t xml:space="preserve">Ipsen SA and GW Pharmaceuticals PLC formed a strategic alliance to promote
and distribute Sativex1, a sublingual cannabis extract spray intended for
the treatment of spasticity due to multiple sclerosis in Latin America.</t>
  </si>
  <si>
    <t xml:space="preserve">36197T
44837P</t>
  </si>
  <si>
    <t xml:space="preserve">3D Systems Corp
Hershey Co</t>
  </si>
  <si>
    <t xml:space="preserve">Develop 3D printing software
Produces chocolate products</t>
  </si>
  <si>
    <t xml:space="preserve">3D Systems Corp, located in
Rock Hill, South Carolina,
develops 3D printing,
prototyping and
manufacturing solutions
software. Its products
include stereo lithography
or SLA equipment, selective
laser sintering or SLS
equipment, and 3D modeling
equipment comprising
multi-jet and
layer-deposition equipment
and film transfer imaging
equipment. It has a network
of 10 service facilities in
over 80 countries. It has
offices located in
Australia, the Netherlands
and Italy. The Company was
founded in 1986.
Hershey Co, located in
Hershey, Pennsylvania,
produces chocolate products.
It offers confectionery,
snack, refreshment and
grocery. Its principal
product groups include:
confectionery and snack bar
goods, bagged items and
boxed items; refreshment
products sold in the form of
gum and mints; and grocery
products in the form of
baking ingredients,
chocolate drink mixes,
peanut butter, dessert
toppings and beverages. The
Company was founded in 1894.</t>
  </si>
  <si>
    <t xml:space="preserve">7372
2066</t>
  </si>
  <si>
    <t xml:space="preserve">SC
PA</t>
  </si>
  <si>
    <t xml:space="preserve">3D SYSTEMS CORP/HERSHEY FOODS CORP-STRATEGIC ALLIANCE</t>
  </si>
  <si>
    <t xml:space="preserve">3D Systems Corp and Hershey Foods Corp formed a strategic alliance to
explore and develop innovative opportunities for using 3D printing
technology in creating edible foods, including confectionery treats.</t>
  </si>
  <si>
    <t xml:space="preserve">88554D
427866</t>
  </si>
  <si>
    <t xml:space="preserve">TDG Mach Tech Co Ltd
Haining City Honghai Invest
Undisclosed JV Partner
Undisclosed JV Partner</t>
  </si>
  <si>
    <t xml:space="preserve">Mnfr machine tools
Miscellaneous Intermediation
Investment company
Investment company</t>
  </si>
  <si>
    <t xml:space="preserve">TDG Machinery Technology Co
Ltd, located in Jiaxing China,
manufactures and wholesales
intelligent high-end dedicated
machines. Its products include
powder metallurgic forming
machines, polishing machine,
disc dryer machine and seed
crystal cutting machine. The
Company was founded in
September 2002.
Haining City Honghai
Investment Co Ltd, located in
China, is an investment
company. It was founded in May
2011.
Investment company
Investment company</t>
  </si>
  <si>
    <t xml:space="preserve">3542
6799
6799
6799</t>
  </si>
  <si>
    <t xml:space="preserve">China
China
Unknown
Unknown</t>
  </si>
  <si>
    <t xml:space="preserve">TDG Holding Co Ltd
Haining City Honghai Invest
Undisclosed JV Partner
Undisclosed JV Partner</t>
  </si>
  <si>
    <t xml:space="preserve">3679
6799
6799
6799</t>
  </si>
  <si>
    <t xml:space="preserve">TDG MACHINERY TECHNOLOGY CO/HAINING CITY HONGHAI INVESTMENT CO
LTD/UNDISCLOSED PARTNER-JOINT VENTURE</t>
  </si>
  <si>
    <t xml:space="preserve">TDG Machinery Technology Co Ltd, Haining City Honghai Investment Co Ltd,
Undisclosed Joint Venture Partner and Undisclosed Joint Venture Partner
planned to form a 30:30:21:19 joint venture. The JV was expected to have
revenues of USD 3.3057 million to provide R&amp;D, manufacture and sales of
touch screen production line special equipment, 3D printing equipment and
robot driving and control systems</t>
  </si>
  <si>
    <t xml:space="preserve">30.00
30.00
21.00
19.00</t>
  </si>
  <si>
    <t xml:space="preserve">Joint venture with a registered capital of CNY 20 million ($3.3057m)</t>
  </si>
  <si>
    <t xml:space="preserve">88701F
2E9455
904JVP
904JVP</t>
  </si>
  <si>
    <t xml:space="preserve">Tetralogic Pharma Corp
Walter and Eliza Hall</t>
  </si>
  <si>
    <t xml:space="preserve">Pharmaceutical Preparation Manufacturing
Pvd education svcs</t>
  </si>
  <si>
    <t xml:space="preserve">TetraLogic Pharmaceuticals
Corp is a pharmaceutical
manufacturing firm,
headquartered in Malvern,
Pennsylvania. The Company
specializes in discovery and
development of small molecule
drugs called Smac mimetics for
the treatment of cancers.
Birinapant (formerly TL32711)
is the Company's lead Smac
mimetic drug. It was founded
in 2003.
Provide education services</t>
  </si>
  <si>
    <t xml:space="preserve">2834
8222</t>
  </si>
  <si>
    <t xml:space="preserve">TETRALOGIC PHARMACEUTICALS CORP/WALTER AND ELIZA HALL INSTUTE-STRATEGIC
ALLIANCE</t>
  </si>
  <si>
    <t xml:space="preserve">Tetralogic Pharmaceuticals Corp (Tetralogic) and Walter And Eliza Hall
Instute (WEHI) formed a strategic alliance to examine TetraLogic's
SMAC-Mimetic birinapant in viral infections.Tetralogic has entered into a
license agreement with WEHI for worldwide exclusive rights to a patent
application filed by the institute relating to a method of treating
intracellular infections involving the administration of an Inhibitor of
Apoptosis (IAP) antagonis.</t>
  </si>
  <si>
    <t xml:space="preserve">88165U
01469P</t>
  </si>
  <si>
    <t xml:space="preserve">Gene Techno Science Co Ltd
Sanwa Kagaku Kenkyusho Co Ltd</t>
  </si>
  <si>
    <t xml:space="preserve">Gene Techno Science Co Ltd,
based in Hokkaido, Japan, is
mainly engaged in engaged in
the development of
biopharmaceuticals including
biosimilars and new drugs.
The Biosimilars segment
develops biosimilars of
equal or superior quality to
existing biopharmaceuticals
with patents expired, and
conducts the nonclinical
studies. It builds in-house
or introduces from others
the cells that produce the
drug substances of
biopharmaceuticals. Its
primary product is
granulocyte colony
stimulating factor (G-CSF),
which promotes the
differentiation and growth
of neutrophils, one of the
white blood cells, and
increases neutrophils
function. The New
Biopharmaceuticals segment
is engaged in the research
and development of new
biopharmaceuticals,
cooperating with
universities and research
institutions. It primary
product is anti-9 integrin
antibody, which inhibits the
binding of 9 integrin and
osteopontin. The company was
founded in 2001.
Sanwa Kagaku Kenkyusho Co
Ltd is a provider of
pharmaceutical products
manufacturing, development
and wholesale. The company
was founded in December 1953
and is located in Nagoya-Shi
Aichi, Japan.</t>
  </si>
  <si>
    <t xml:space="preserve">Gene Techno Science Co Ltd
Suzuken Co Ltd</t>
  </si>
  <si>
    <t xml:space="preserve">GENE TECHNO SCIENCE CO LTD/SANWA KAGAKU KENKYUSHO CO LTD-STRATEGIC
ALLIANCE</t>
  </si>
  <si>
    <t xml:space="preserve">Gene Techno Science Co Ltd and Sanwa Kagaku Kenkyusho Co Ltd formed a
strategic alliance in Japan to enter into manufacturing and marketing
agreement for darbepoetin alpha biosimilars.</t>
  </si>
  <si>
    <t xml:space="preserve">Research &amp; Development Services
Manufacturing Services
Marketing Services
Health &amp; Medical Services</t>
  </si>
  <si>
    <t xml:space="preserve">J1770Q
80306F</t>
  </si>
  <si>
    <t xml:space="preserve">Illumina Inc
Laboratory Corp of America</t>
  </si>
  <si>
    <t xml:space="preserve">Manufacture,wholesale science tools,systems
Provides clinical trial services</t>
  </si>
  <si>
    <t xml:space="preserve">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
Laboratory Corp of America
Holdings, located in
Burlington, North Carolina,
provides diagnostic
laboratory services. It
offers general and specialty
laboratory testing services,
ambulatory monitoring
services, bone marrow
services, clinical trials,
drug testing services, DNA
identification services,
forensic/identity services,
hospital services, insurance
services, and paternity
testing services. Its
clients include physicians,
government agencies, managed
care organizations,
hospitals, clinical labs,
and pharmaceutical
companies. It is also
holding company. The Company
was founded in 1905.</t>
  </si>
  <si>
    <t xml:space="preserve">3826
8071</t>
  </si>
  <si>
    <t xml:space="preserve">ILLUMINA INC/LABORATORY CORP OF AMERICA HOLDINGS-STRATEGIC ALLINCE</t>
  </si>
  <si>
    <t xml:space="preserve">Illumina Inc (II) and Laboratory Corporation of America Holdings (LCAH)
formed a strategic alliance for the purpose of using Illumina
next-generation sequencing (NGS) and microarray equipment and supplies to
develop validate and introduce laboratory-developed tests to clinicians in
the United States and Canada. Under this agreement LCAH will be able to
purchase a broader range of Illumina products for the development of new
diagnostic tools in multiple specialties, including genetic testing,
oncology, transplant medicine and forensics, in addition to other
applications. This will helps for the flexibility to develop a wide range
of molecular tests and to offer more NGS-based tests such as its HLA
offering..</t>
  </si>
  <si>
    <t xml:space="preserve">452327
50540R</t>
  </si>
  <si>
    <t xml:space="preserve">BioNeutral Group Inc
Quip Laboratories Inc</t>
  </si>
  <si>
    <t xml:space="preserve">Biotech co
All Other Miscellaneous Chemical Product and Preparation Manufacturing</t>
  </si>
  <si>
    <t xml:space="preserve">BioNeutral Group Inc, located
in Newark, New Jersey, is a
biotechnology company focused
on combinational
chemistry-based technology,
which can neutralize harmful
environmental contaminants,
toxins and dangerous
micro-organisms, including
bacteria, viruses and even
spores. Its include
BioNeutralizers and
ChemoNeutralizers. The company
was founded in 2003.
Quip Laboratories Inc is a
chemical manufacturing firm,
headquartered in United
state.The companys brands
include Acid Cleaners,
Alkaline Cleaners, Hard
Surface Disinfectants,
Chlorine Dioxide Products
and ICS Iodine
Solutions.Microbial
monitoring is an essential
part of any quality
assurance program for
creating and maintaining an
environment free of microbes
that can effect animal
studies.</t>
  </si>
  <si>
    <t xml:space="preserve">BIONEUTRAL GROUP INC/QUIP LABORATORIES INC-STRATEGIC ALLIANCE</t>
  </si>
  <si>
    <t xml:space="preserve">Bioneutral Group Inc (BGI) and Quip Laboratories Inc (Quip) formed a
strategic alliance to provide Exclusive Distribution services along with
animal research and biomedical research.This relationship represents a
major step forward to expand distribution of YGIENE and OGIENE products to
important life science markets. Through Quip's team of industry experts and
highly trained sales professionals it gain direct access to decision makers
providing with an opportunity to make an immediate impact with accounts and
applications on the forefront of scientific research.</t>
  </si>
  <si>
    <t xml:space="preserve">Research &amp; Development Services
Retail &amp; Wholesale Services
Supply Services</t>
  </si>
  <si>
    <t xml:space="preserve">090621
0C0166</t>
  </si>
  <si>
    <t xml:space="preserve">Biocon Ltd
Advaxis Inc</t>
  </si>
  <si>
    <t xml:space="preserve">Biological Product (Except Diagnostic) Manufacturing
Mnfr biopharmaceuticals</t>
  </si>
  <si>
    <t xml:space="preserve">Biocon Ltd is a manufacturer
of biological products. The
Company focused on
biopharmaceuticals, contract
research, clinical research
and enzymes. It offers
active pharmaceutical
ingredients, including
anti-diabetic,
anti-inflammatory,
cardiovascular,
anti-obesity, hemostatic,
hepatoprotective, and
gastro-intestinal agents, as
well as anti-oxidants,
digestive-aid enzymes,
immunosuppressants, and
neutraceuticals. The Company
was founded on 29th November
1978 and is located in
Bangalore, India.
Advaxis Inc, located in
Princeton New Jersey, is a
clinical biotechnology company
focuses on the developing
immunotherapies for cancer and
infectious diseases. These
immunotherapies are based on a
platform technology under
license from the University of
Pennsylvania (Penn), which
utilizes live attenuated
Listeria monocytogenes
(Listeria or Lm) ,
bioengineered to secrete
antigen/adjuvant fusion
proteins. These Lm -LLO
strains use a fragment of the
protein listeriolysin (LLO),
fused to a tumor associated
antigen (TAA) or other antigen
of interest. It has focused
its initial development
efforts on therapeutic
immunotherapies targeting
human papillomavirus
(HPV)-associated diseases:
cervical intraepithelial
neoplasia (CIN 2/3), recurrent
or refractory cervical cancer,
and head and neck cancer. It
has also developed
immunotherapies for prostate
cancer, and HER2 expressing
cancers, such as breast,
gastric, bladder, brain,
pancreatic and ovarian cancer.
The company was founded in
2002.</t>
  </si>
  <si>
    <t xml:space="preserve">BIOCON LTD/ADVAXIS INC-STRATEGIC ALLIANCE</t>
  </si>
  <si>
    <t xml:space="preserve">Biocon Ltd (BL) and Advaxis Inc (AI) formed a strategic alliance to provide
the health services. This agreement will helps to provide Co-development
and commercialization of ADXS-HPV, a novel cancer Immunotherapy for the
treatment of human papillomavirus (HPV)-associated cervical Cancer in
women, for India and key emerging markets and also help to bring our
innovative cancer immunotherapy for cervical cancer to women with few
alternatives.</t>
  </si>
  <si>
    <t xml:space="preserve">Health &amp; Medical Services
Research &amp; Development Services
Hospital &amp; Clinical Services</t>
  </si>
  <si>
    <t xml:space="preserve">Y0905C
007624</t>
  </si>
  <si>
    <t xml:space="preserve">MJH Healthcare Holdings LLC
Winship Cancer Inst of Emory</t>
  </si>
  <si>
    <t xml:space="preserve">Television Broadcasting
General Medical and Surgical Hospitals</t>
  </si>
  <si>
    <t xml:space="preserve">MJH Healthcare Holdings LLC,
located in Cranbury, New
Jersey, is a media company
that delivers news and
resources to healthcare
professionals. The Company
was founded in 2002.
Winship Cancer Institute of
Emory University is a hospital
operator. The company is
located in Atlanta, Georgia.</t>
  </si>
  <si>
    <t xml:space="preserve">4833
8069</t>
  </si>
  <si>
    <t xml:space="preserve">MJH HEALTHCARE HOLDINGS LLC/WINSHIP CANCER INSTITUTE OF EMORY
UNIVERSITY-STRATEGIC ALLIANCE</t>
  </si>
  <si>
    <t xml:space="preserve">MJH HEALTHCARE HOLDINGS LLC and Winship Cancer Institute of Emory
University planned to form a strategic alliance to raise awareness and
enhance the outreach of its collaborative research programs aimed at cancer
prevention, prediction, biomarker and therapeutic target discovery, and
drug development.</t>
  </si>
  <si>
    <t xml:space="preserve">1E4909
5E6630</t>
  </si>
  <si>
    <t xml:space="preserve">MJH Healthcare Holdings LLC
Regional Cancer Care Assoc LLC</t>
  </si>
  <si>
    <t xml:space="preserve">Television Broadcasting
Provide medical,health svcs</t>
  </si>
  <si>
    <t xml:space="preserve">MJH Healthcare Holdings LLC,
located in Cranbury, New
Jersey, is a media company
that delivers news and
resources to healthcare
professionals. The Company
was founded in 2002.
Regional Cancer Care
Associates LLC is a provider
of ambulatory health care
services. The company is
located in Hackensack, New
Jersey.</t>
  </si>
  <si>
    <t xml:space="preserve">4833
8099</t>
  </si>
  <si>
    <t xml:space="preserve">MJH HEALTHCARE HOLDINGS LLC/REGIONAL CANCER CARE ASSOCIATES LLC-STRATEGIC
ALLIANCE</t>
  </si>
  <si>
    <t xml:space="preserve">MJH HEALTHCARE HOLDINGS LLC and Regional Cancer Care Associates LLC planned
to form a strategic alliance to raise awareness of RCCAs innovative
approach to cancer care and promote the research and scholarship of RCCA
clinicians.</t>
  </si>
  <si>
    <t xml:space="preserve">1E4909
5E6133</t>
  </si>
  <si>
    <t xml:space="preserve">SodaStream International Ltd
Welch Foods Inc</t>
  </si>
  <si>
    <t xml:space="preserve">Other Major Household Appliance Manufacturing
Produce canned food prod</t>
  </si>
  <si>
    <t xml:space="preserve">SodaStream International Ltd
is a manufacturer of major
household appliances. The
Company was founded in 1991
and is located in Airport
City, Israel.
Welch Foods Inc, located in
Concord, Massachusetts,
produces and markets canned
food products, specifically
grape-based products and
juices in the United States
and internationally. Its
product line includes juices
and drinks, refrigerated
cocktails, and frozen
concentrates; and food and
snacks, such as dried fruits
and fruit snacks, as well as
jellies, jams, and spreads. It
was founded in 1869.</t>
  </si>
  <si>
    <t xml:space="preserve">3639
2033</t>
  </si>
  <si>
    <t xml:space="preserve">SodaStream International Ltd
Natl Grape Co-Operative Assn</t>
  </si>
  <si>
    <t xml:space="preserve">3639
0172</t>
  </si>
  <si>
    <t xml:space="preserve">SODASTREAM INTERNATIONAL LTD/WELCH FOODS INC-STRATEGIC ALLIANCE</t>
  </si>
  <si>
    <t xml:space="preserve">Sodastream International Ltd and Welch Foods Inc formed a strategic
alliance to launch a line of sparkling drink concentrates co-developed
exclusively for the Sodastream International Ltd's home beverage
carbonation system.</t>
  </si>
  <si>
    <t xml:space="preserve">M9068E
94908W</t>
  </si>
  <si>
    <t xml:space="preserve">Baxter International Inc
Xenetic Biosciences Inc</t>
  </si>
  <si>
    <t xml:space="preserve">Surgical and Medical Instrument Manufacturing
Scenic and Sightseeing Transportation, Other</t>
  </si>
  <si>
    <t xml:space="preserve">Baxter International Inc,
located in Deerfield,
Illinois, manufactures and
wholesale biological
products. The Company
manufactures and markets
products related to blood
and circulatory system
including biopharmaceutical
and blood collection and
separation products and
technologies, technologies
and systems to improve
intravenous medication
delivery, products and
services to treat end-stage
kidney disease, products and
services to treat late-stage
heart disease and vascular
disorders. The Company
operates through three
segments: BioScience,
Medication Delivery, and
Renal. The Company was
founded in 1931.
Xenetic Biosciences Inc,
located in Lexington,
Massachusetts, provides
aircraft services such as
sightseeing tours and pilot
training. It was founded on
2011.</t>
  </si>
  <si>
    <t xml:space="preserve">3841
4522</t>
  </si>
  <si>
    <t xml:space="preserve">BAXTER INTERNATIONAL INC/XENETIC BIOSCIENCES INC-STRATEGIC ALLIANCE</t>
  </si>
  <si>
    <t xml:space="preserve">Baxter International Inc (BII) and Xenetic Biosciences Inc (XBI) planned to
form a strategic alliance for the development of a recombinant factor VIII
treatment for hemophilia. Under this agreement Baxter will make an equity
investment in the common stock of Xenetic and has agreed to make contingent
milestone payments as well as pay royalties on sales. This will helps to
the development of BAX 826, a recombinant Factor VIII treatment for
hemophilia A under investigation to assess its potential to extend the
half-life and duration of effectiveness and also for improving the
pharmacokinetic profile and extending the half-life of blood coagulation
factors, including Factor VIII. The transaction was subjected by regulatory
authority.</t>
  </si>
  <si>
    <t xml:space="preserve">Health &amp; Medical Services
Hospital &amp; Clinical Services
Research &amp; Development Services</t>
  </si>
  <si>
    <t xml:space="preserve">071813
984015</t>
  </si>
  <si>
    <t xml:space="preserve">Edison Pharmaceuticals Inc
Sumitomo Dainippon Pharma Co</t>
  </si>
  <si>
    <t xml:space="preserve">Biotechnology company
Manufacture, wholesale pharma production, chemical</t>
  </si>
  <si>
    <t xml:space="preserve">Biotechnology company that
provides development of drugs
to treat energy impairment
diseases also referred to as
mitochondrial disease
Sumitomo Dainippon Pharma Co
Ltd is a manufacturer of
pharmaceutical preparation.
The Company was founded in
May 1897 and is located in
Osaka-Shi Osaka, Japan.</t>
  </si>
  <si>
    <t xml:space="preserve">Edison Pharmaceuticals Inc
Sumitomo Chemical Co Ltd</t>
  </si>
  <si>
    <t xml:space="preserve">EDISON PHARMACEUTICALS INC/DAINIPPON SUMITOMO PHARMA CO LTD-STRATEGIC
ALLIANCE</t>
  </si>
  <si>
    <t xml:space="preserve">Edison Pharmaceuticals Inc and Dainippon Sumitomo Pharma Co Ltd formed a
strategic alliance to the development of drugs targeting cellular energy
metabolism. Under the terms of agreement DSP will gain select development
and commercialization rights in Japan and North America to jointly
discovered drugs in exchange for $10M upfront and $40M payment in R&amp;D
support.The strategic alliance is valued up to USD 4.3 bil.</t>
  </si>
  <si>
    <t xml:space="preserve">The strategic alliance is valued up to USD 4.3 bil.</t>
  </si>
  <si>
    <t xml:space="preserve">28091R
J10542</t>
  </si>
  <si>
    <t xml:space="preserve">Amgen Inc
Merck Sharp &amp; Dohme Corp</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</si>
  <si>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Merck Sharp &amp; Dohme Corp,
located in Kenilworth, New
Jersey, is a manufacturer of
pharmaceutical preparation.
It is focused on researching
on hepatitis C, HIV,
diabetes and
immuno-oncology. The Company
was founded in 1891.</t>
  </si>
  <si>
    <t xml:space="preserve">Amgen Inc
Merck &amp; Co Inc</t>
  </si>
  <si>
    <t xml:space="preserve">AMGEN INC/MERCK SHARP &amp; DOHME CORP-STRATEGIC ALLIANCE</t>
  </si>
  <si>
    <t xml:space="preserve">Amgen Inc (Amgen) and Merck Sharp &amp; Dohme Corp (Merck) formed a strategic
alliance to conduct clinical trial to evaluate novel combination
anti-cancer regimens with MK-3475, Merck's investigational anti-PD-1
immunotherapy. Amgen and Merck will evaluate MK-3475 in combination with
Amgens investigational oncolytic immunotherapy talimogene laherparepvec in
a Phase I/II study in patients with previously untreated advanced
melanoma.</t>
  </si>
  <si>
    <t xml:space="preserve">031162
U58933</t>
  </si>
  <si>
    <t xml:space="preserve">Advaxis Inc
GRU Cancer Center</t>
  </si>
  <si>
    <t xml:space="preserve">Mnfr biopharmaceuticals
General Medical and Surgical Hospitals</t>
  </si>
  <si>
    <t xml:space="preserve">Advaxis Inc, located in
Princeton New Jersey, is a
clinical biotechnology company
focuses on the developing
immunotherapies for cancer and
infectious diseases. These
immunotherapies are based on a
platform technology under
license from the University of
Pennsylvania (Penn), which
utilizes live attenuated
Listeria monocytogenes
(Listeria or Lm) ,
bioengineered to secrete
antigen/adjuvant fusion
proteins. These Lm -LLO
strains use a fragment of the
protein listeriolysin (LLO),
fused to a tumor associated
antigen (TAA) or other antigen
of interest. It has focused
its initial development
efforts on therapeutic
immunotherapies targeting
human papillomavirus
(HPV)-associated diseases:
cervical intraepithelial
neoplasia (CIN 2/3), recurrent
or refractory cervical cancer,
and head and neck cancer. It
has also developed
immunotherapies for prostate
cancer, and HER2 expressing
cancers, such as breast,
gastric, bladder, brain,
pancreatic and ovarian cancer.
The company was founded in
2002.
Georgia Regents University
Cancer Center, located in
Augusta, Georgia, is a cancer
care hospital. It provides
cancer care as a cooperative
organization for Georgia
Regents University. It was
founded in 2006.</t>
  </si>
  <si>
    <t xml:space="preserve">ADVAXIS INC/GEORGIA REGENTS UNIVERSITY CANCER CENTER-STRATEGIC ALLIANCE</t>
  </si>
  <si>
    <t xml:space="preserve">Advaxis Inc and Georgia Regents University Cancer Center formed a strategic
alliance to conduct four cancer immunotherapy clinical trials. The planned
trials will further develop Advaxis two lead immunotherapies: ADXS-HPV for
cervical cancer and ADXS-cHER2 for breast cancer.</t>
  </si>
  <si>
    <t xml:space="preserve">007624
9A7173</t>
  </si>
  <si>
    <t xml:space="preserve">Merck Sharp &amp; Dohme Corp
Incyte Corp</t>
  </si>
  <si>
    <t xml:space="preserve">Merck Sharp &amp; Dohme Corp,
located in Kenilworth, New
Jersey, is a manufacturer of
pharmaceutical preparation.
It is focused on researching
on hepatitis C, HIV,
diabetes and
immuno-oncology. The Company
was founded in 1891.
Incyte Corp is a
manufacturer of
pharmaceutical preparation.
The Company was founded in
1991 and is located in
Wilmington, Delaware. Incyte
is a global
biopharmaceutical company
that investment in strong
science and the relentless
pursuit of R&amp;D excellence
can translate into new
solutions that can
positively affect patients
lives.</t>
  </si>
  <si>
    <t xml:space="preserve">Merck &amp; Co Inc
Incyte Corp</t>
  </si>
  <si>
    <t xml:space="preserve">MERCK SHARP &amp; DOHME CORP/INCYTE CORP-STRATEGIC ALLIANCE</t>
  </si>
  <si>
    <t xml:space="preserve">Merck Sharp &amp; Dohme Corp (Merck) and Incyte Corp (Incyte) formed a
strategic alliance to conduct clinical trial to evaluate combination of two
novel immunotherapies. Under the terms of the agreement, Incyte and Merck
will collaborate on a Phase I/II study to evaluate the safety and efficacy
of the combination in previously treated metastatic and recurrent NSCLC,
and other advanced or metastatic cancers.</t>
  </si>
  <si>
    <t xml:space="preserve">U58933
45337C</t>
  </si>
  <si>
    <t xml:space="preserve">Pfizer Inc
Merck Sharp &amp; Dohme Corp</t>
  </si>
  <si>
    <t xml:space="preserve">Manufacture,wholesale pharmaceuticals
Mnfr,whl pharmaceutical prod</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</si>
  <si>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Merck Sharp &amp; Dohme Corp,
located in Kenilworth, New
Jersey, is a manufacturer of
pharmaceutical preparation.
It is focused on researching
on hepatitis C, HIV,
diabetes and
immuno-oncology. The Company
was founded in 1891.</t>
  </si>
  <si>
    <t xml:space="preserve">Pfizer Inc
Merck &amp; Co Inc</t>
  </si>
  <si>
    <t xml:space="preserve">PFIZER INC/MERCK SHARP &amp; DOHME CORP-STRATEGIC ALLIANCE</t>
  </si>
  <si>
    <t xml:space="preserve">Pfizer Inc (Pfizer) and Merck Sharp &amp; Dohme Corp (Merck) formed a strategic
alliance to conduct clinical trial on innovative anti-cancer combination
studies. Pfizer and Merck will evaluate in Phase I/II clinical studies the
safety and efficacy of MK-3475 in combination with Pfizers small molecule
kinase inhibitor axitinib (INLYTA) in patients with renal cell carcinoma,
and separately MK-3475 plus PF-05082566 (PF-2566), an investigational
immuno-oncology agent that targets the human 4-1BB receptor, in multiple
cancer types.</t>
  </si>
  <si>
    <t xml:space="preserve">717081
U58933</t>
  </si>
  <si>
    <t xml:space="preserve">AeroVironment Inc
Lockheed Martin Corp</t>
  </si>
  <si>
    <t xml:space="preserve">Manufacture aircraft
Mnfr aerospace sys,prod</t>
  </si>
  <si>
    <t xml:space="preserve">AeroVironment Inc,
headquartered in Simi
Valley, California, is a
manufacturer of aircrafts.
It designs, develops,
produces and supports an
advanced portfolio of
unmanned aircraft systems
(UAS) and electric
transportation solutions.
The Company was founded in
1971.
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t>
  </si>
  <si>
    <t xml:space="preserve">3721
3761</t>
  </si>
  <si>
    <t xml:space="preserve">AEOROVIRONMENT INC/LOCKHEED MARTIN CORP-STRATEGIC ALLIANCE</t>
  </si>
  <si>
    <t xml:space="preserve">AeroVironment Inc (AeroVironment) and Lockheed Martin Corp (Lockheed)
planned to form a strategic alliance to integrate Lockheed mission systems,
ground systems and technology with AeroVironment's Global Observer unmanned
aircraft system. The companies signed memorandum of understanding.</t>
  </si>
  <si>
    <t xml:space="preserve">Research &amp; Development Services
Manufacturing Services
Engineering Services</t>
  </si>
  <si>
    <t xml:space="preserve">008073
539830</t>
  </si>
  <si>
    <t xml:space="preserve">Areva SA
Schneider Electric SA</t>
  </si>
  <si>
    <t xml:space="preserve">Provide electric utility services
Mnfr,whl elec power equipment</t>
  </si>
  <si>
    <t xml:space="preserve">Areva SA, located in
Courbevoie, France, provides
electric utility services
via nuclear power plants
operations. Its principal
activity is to provide
solutions for carbon
dioxide-free power
generation and electricity
distribution. The Company's
business consists of uranium
ore exploration, mining,
conversion and enrichment.
It undertakes nuclear fuel
design and fabrication,
nuclear reactor design and
construction, as well as
treatment and recycling of
fuel, following its use in
nuclear power plants. It
also provides transmission
and distribution of medium
and high voltage electricity
and connectors. The Company
is also engaged in operating
wind electric power
generation facilities. The
group operates in Europe,
Asia/Pacific, Americas,
Africa and Middle East. It
was founded in 2001.
Schneider Electric SA,
located in Rueil-Malmaison,
France, manufactures and
wholesales low- and
medium-voltage electric
power equipment for
electrical distribution,
secured power and energy
performance management, such
as circuit breakers,
switches, safety lighting,
prefabricated busbar
trucking and modular
switchgear, under the Merlin
Gerin and Square D brands.
It also manufactures and
wholesales control and
automation systems such as
contactors, overload relays,
soft starters, speed drives,
sensors, operator terminals,
automation platforms and
support software, under the
Square D and Telemecanique
brands. The Company has
operations in Europe, Asia
Pacific and North America.
The Company was founded in
1846. 1846.</t>
  </si>
  <si>
    <t xml:space="preserve">4911
3612</t>
  </si>
  <si>
    <t xml:space="preserve">France
Schneider Electric SA</t>
  </si>
  <si>
    <t xml:space="preserve">999A
3612</t>
  </si>
  <si>
    <t xml:space="preserve">AREVA SA/SCHNEIDER ELECTRIC SA-STRATEGIC ALLIANCE</t>
  </si>
  <si>
    <t xml:space="preserve">Areva SA and Schneider Electric SA formed a strategic alliance to develop
energy management and storage solutions based on hydrogen fuel cell
technology. Under the terms of this agreement, both groups will combine
their expertise in order to design and propose energy storage solutions
that guarantee the reliability of electrical grids for isolated sites and
areas where access to power is limited.</t>
  </si>
  <si>
    <t xml:space="preserve">04012G
806879</t>
  </si>
  <si>
    <t xml:space="preserve">Rosneft Oil Co
General Electric Co</t>
  </si>
  <si>
    <t xml:space="preserve">Oil,gas exploration,production company
Manufacture,wholesale power generation equipment</t>
  </si>
  <si>
    <t xml:space="preserve">Rosneft Oil Co, located in
Moscow, the Russian
Federation, is an oil and
gas exploration and
production company. It also
wholesales crude oil, gas,
and petroleum products. The
Company was founded in 1993.
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t>
  </si>
  <si>
    <t xml:space="preserve">1311
3612</t>
  </si>
  <si>
    <t xml:space="preserve">Rosneftegaz AO
General Electric Co</t>
  </si>
  <si>
    <t xml:space="preserve">OAO NEFTYANAYA KOMPANIYA ROSNEFT/GENERAL ELECTRIC CO-JOINT VENTURE</t>
  </si>
  <si>
    <t xml:space="preserve">OAO Neftyanaya Kompaniya Rosneft (Rosneft) and General Electric Co (General
Electric) planned to form a joint venture named Research and Development
(R&amp;D) Center. Rosneft and General Electric will each hold an approximately
50% interest in the JV. The activity of the JV will be focused on the
development of joint technologies and upgrading of existing technologies of
the companies. Top-priority activity areas of the R&amp;D Center will be gas
monetization activities, refining and petrochemical, including GTL
technologies and new polymers, offshore and subsea projects, including
development of low temperature materials, and production enhancement. The
center will be responsible for providing an appropriate intellectual
property ownership and licensing structure for the know-how and new joint
technologies created as part of its activities. Rosneft and General
Electric will initially contribute a total of US$20 million to the centers
on a parity basis. Additional aggregate financing of US$50 million will be
made by the parties upon agreement on specific projects. Rosneft and GE
intend to jointly invest up to US$400 million in the centers through 2020.</t>
  </si>
  <si>
    <t xml:space="preserve">Rosneft and General Electric will initially contribute a total of US$20
million to the centers on a parity basis. Additional aggregate financing of
US$50 million will be made by the parties upon agreement on specific
projects. Rosneft and GE intend to jointly invest up to US$400 million in
the centers through 2020.</t>
  </si>
  <si>
    <t xml:space="preserve">77815J
369604</t>
  </si>
  <si>
    <t xml:space="preserve">Microsoft Corp
Fidelity Natl Info Svcs Inc</t>
  </si>
  <si>
    <t xml:space="preserve">Develops and wholesales computer software products
Financial Transactions Processing, Reserve, and Clearinghouse Activities</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</si>
  <si>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Fidelity National
Information Services Inc,
located in Jacksonville,
Florida, provides banking
and payment processing
services to retail and
institutional banking,
payments, capital markets,
asset management and wealth
and retirement markets. It
also offers financial
software and banking
solutions, including
consulting and outsourcing
services. Through its Capco
brand, it also offers
strategic consulting
services. The Company was
founded in 1968.</t>
  </si>
  <si>
    <t xml:space="preserve">7372
7389</t>
  </si>
  <si>
    <t xml:space="preserve">WA
FL</t>
  </si>
  <si>
    <t xml:space="preserve">MICROSOFT CORP/FIDELITY NATIONAL INFORMATION SERVICES INC-STRATEGIC
ALLLIANCE</t>
  </si>
  <si>
    <t xml:space="preserve">Microsoft Corp (Microsoft) and Fidelity National Information Services Inc
(FIS) formed a strategic alliance to fight against cyber crime and will
focus on making Internet-based banking and payments transactions safer for
businesses and their customers. Partnership follows FIS cyber security
research agreement with the Department of Homeland Security and Financial
Services Information Sharing and Analysis Center. Under the agreement, FIS
representatives will work hand-in-hand with forensic analysts, software
developers and researchers at the Microsoft Cyber crime Center, which
opened in November 2013. The partnership goal is to increase cooperative
action between international law enforcement and private industry in order
to help continuously improve the security of payments and financial
transactions worldwide and make the Internet a safer place to do business.</t>
  </si>
  <si>
    <t xml:space="preserve">Software Development Services
Banking Services
Internet Services
Research &amp; Development Services
Data Processing Services</t>
  </si>
  <si>
    <t xml:space="preserve">594918
31620M</t>
  </si>
  <si>
    <t xml:space="preserve">Vivione Biosciences Inc
Aribio Co Ltd</t>
  </si>
  <si>
    <t xml:space="preserve">Provide research,dvlp svcs
Pvd research,dvlp svcs</t>
  </si>
  <si>
    <t xml:space="preserve">Vivione Biosciences Inc,
located in Calgary, Canada, is
a life sciences diagnostic
company. The Company
collaborated with the Food and
Drug Administration's National
Center for Toxicological
Research (NCTR) to develop
RAPID-B. The Company's RAPID-B
system provides for the rapid
detection of bacterial
pathogens applicable to the
food safety, clinical
diagnostics and other markets
including agricultural, water
testing, pharmaceutical, and
medical device applications.
The Company's business is
centered on the
commercialization of the new
ultra high performance
RAPID-B, an integrated
diagnostic system consisting
of hardware, software and
wetware that tests bacteria in
key environments and provides
test results in seven hours or
less, including sample
preparation.
Aribio Co Ltd is a
manufacturer of cosmetics.
The Company was founded in
October 2010 and is located
in Seongnam, South Korea.</t>
  </si>
  <si>
    <t xml:space="preserve">VIVIONE BIOSCIENCES INC/ARIBIO INC-STRATEGIC ALLIANCE</t>
  </si>
  <si>
    <t xml:space="preserve">Vivione Biosciences Inc (Vivione) and AriBio Inc (AriBio) planned to form a
strategic alliance to combine the strengths of Vivione in the areas of
rapid diagnostics and its silico compound modeling technology with AriBios
experience in drug design and testing. The alliance also initiates
collaborative development efforts on Viviones retail food freshness
indicator currently branded as FQI (Food Quality Indicator).</t>
  </si>
  <si>
    <t xml:space="preserve">928544
4A8119</t>
  </si>
  <si>
    <t xml:space="preserve">CIENA Corp
Telefonaktiebolaget LM</t>
  </si>
  <si>
    <t xml:space="preserve">Mnfr,whl fiber optic cable sys
Provides telecommun services</t>
  </si>
  <si>
    <t xml:space="preserve">CIENA Corp is a manufacturer
and wholesaler of fiber
optic cable systems,
headquartered in Hanover,
Maryland. The Company offers
cable systems for the cable
television industry. The
Company also manufactures
and wholesales dense
wavelength division
multiplexing systems for
fiber optic communications
networks. The Group
specializes in transitioning
legacy communications
networks to converged,
next-generation
architectures, capable of
efficiently delivering a
broader mix of
high-bandwidth services. The
Group operates in North
America, Europe, Latin
America and Asia Pacific.
The Company was founded in
1992.
Telefonaktiebolaget LM
Ericsson, located in
Stockholm, Sweden, provides
telecommunications services to
operators. It also
manufactures and wholesales
related telecommunications,
avionics and missile
electronics, defense
communications, mobile data
communications, signaling and
safety equipment and systems
that are offered to rail
traffic, street and highway,
power cables, copper and
aluminum wires industries. It
has operations in Europe,
Middle East, Africa, Asia
Pacific, North America and
Latin America. The Company was
founded in 1876.</t>
  </si>
  <si>
    <t xml:space="preserve">3661
4812</t>
  </si>
  <si>
    <t xml:space="preserve">CIENA CORP/TELEFONSKTIEBOLAGET LM ERICSSON-STRATEGIC ALLIANCE</t>
  </si>
  <si>
    <t xml:space="preserve">CIENA Corp (CIENA) and Telefonsktiebolaget LM Ericsson (Ericsson) formed a
strategic alliance to develop joint transport solutions for IP-optical
convergence and service provider software-defined networking (SDN). As part
of this agreement, Ericsson offers Ciena's Converged Packet Optical
portfolio, including the 6500 Packet-Optical Platform and 5400 family. The
strategic agreement is effective immediately, and go-to-market activities
and solution integration efforts are underway.</t>
  </si>
  <si>
    <t xml:space="preserve">Electrical &amp; Electronic Services
Communications Services
Retail &amp; Wholesale Services
Research &amp; Development Services</t>
  </si>
  <si>
    <t xml:space="preserve">171779
294821</t>
  </si>
  <si>
    <t xml:space="preserve">Allergan Inc
Voyant Biotherapeutics LLC</t>
  </si>
  <si>
    <t xml:space="preserve">Mnfr eye care,skin care pharmaceutical products
Pharmaceutical Preparation Manufacturing</t>
  </si>
  <si>
    <t xml:space="preserve">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
Voyant Biotherapeutics LLC,
located in Salt Lake City,
Utah, is an early-stage life
sciences company. A major
focus of the company is to
facilitate collaborative
commercial partnerships
relating to the
identification, validation and
development of new therapeutic
targets for age-related
macular degeneration and other
ophthalmic disorders. It was
founded in 2012.</t>
  </si>
  <si>
    <t xml:space="preserve">ALLERGAN INC/VOYANT BIOTHERAPEUTICS LLC-STRATEGIC ALLIANCE</t>
  </si>
  <si>
    <t xml:space="preserve">Allergan Inc and Voyant Biotherapeutics LLC formed a strategic alliance to
provide research &amp; development services. The agreement provides for a
combination of upfront, research and milestone payments. Under the
agreement, the two companies will work together to identify
disease-associated pathways and targets for the development of new
therapeutic agents to treat ocular disease. A primary effort of this
collaboration will be centered on new treatments for age-related macular
degeneration (AMD), a leading cause of irreversible vision loss worldwide.</t>
  </si>
  <si>
    <t xml:space="preserve">018490
0C7276</t>
  </si>
  <si>
    <t xml:space="preserve">Kingworld (Hong Kong) Hldg Ltd
Wu Hu ZhangHengChun Medicine</t>
  </si>
  <si>
    <t xml:space="preserve">Manufacture pharmaceuticals
Pharmacies and Drug Stores</t>
  </si>
  <si>
    <t xml:space="preserve">Kingworld (Hong Kong) Holdings
Ltd is a manufacturer of
pharmaceutical preparation.
The company is located in Hong
Kong.
Wu Hu ZhangHengChun Medicine
Co Ltd, located in China,
wholesales medicines.</t>
  </si>
  <si>
    <t xml:space="preserve">Kingworld Medicines Group Ltd
Wu Hu ZhangHengChun Medicine</t>
  </si>
  <si>
    <t xml:space="preserve">5122
5122</t>
  </si>
  <si>
    <t xml:space="preserve">KINGWORLD (HONG KONG) HOLDINGS LTD/WU HU ZHANGHENGCHUN MEDICINE CO
LTD-JOINT VENTURE</t>
  </si>
  <si>
    <t xml:space="preserve">Kingworld (Hong Kong) Holdings Ltd and Wu Hu ZhangHengChun Medicine Co Ltd
planned to form a 55:45 joint venture. The JV was expected to have revenues
of USD 23.8047 million to provide manufacturing and sale of pharmaceutical
products; research and development, provision of technical advisory,
training and services of pharmaceutical products, plant extracts,
healthcare products, cosmetics and additives.</t>
  </si>
  <si>
    <t xml:space="preserve">The registered capital of the Joint Venture Company is intended to be
RMB145,000,000 ($23.8047m)</t>
  </si>
  <si>
    <t xml:space="preserve">6E4472
9A1659</t>
  </si>
  <si>
    <t xml:space="preserve">Altatech Semiconductor SAS
Helmholtz-Zentrum Berlin</t>
  </si>
  <si>
    <t xml:space="preserve">Manufacture semiconductors
Provide research,dvlp svcs</t>
  </si>
  <si>
    <t xml:space="preserve">Altatech Semiconductor SA,
located in Montbonnot Saint
Martin, France, manufactures
semiconductors. It was
founded in 2004.
Helmholtz-Zentrum Berlin is a
provider of research and
development services. The
company is located in Berlin,
Germany.</t>
  </si>
  <si>
    <t xml:space="preserve">Soitec SA
Helmholtz-Zentrum Berlin</t>
  </si>
  <si>
    <t xml:space="preserve">ALTATECH SEMICONDUCTOR SAS/HELMHOLTZ-ZENTRUM BERLIN-STRATEGIC ALLIANCE</t>
  </si>
  <si>
    <t xml:space="preserve">Altatech Semiconductor SAS and Helmholtz-Zentrum Berlin formed a strategic
alliance to research and develop materials for the next generation of
high-efficiency solar cells, including new classes of materials and
innovative device structures for photovoltaic and photocatalysis
applications.</t>
  </si>
  <si>
    <t xml:space="preserve">02195J
5E6326</t>
  </si>
  <si>
    <t xml:space="preserve">Critical Outcome Tech Inc
Portage Biotech Inc</t>
  </si>
  <si>
    <t xml:space="preserve">Manufacture pharmaceutical products
Mnfr biopharmaceuticals</t>
  </si>
  <si>
    <t xml:space="preserve">Critical Outcome Technologies
Inc, located in London,
Ontario, manufactures
pharmaceutical products that
target small cell lung cancer,
multiple sclerosis, HIV
integrase, colorectal cancer
and adult acute leukemia. The
company uses a copyrighted
proprietary technology called
CHEMSAS. The company was
incorporated in Ontario on
October 13, 2006.
Portage Biotech Inc, located
in Toronto, Ontario, is a
biopharmaceuticals company.
The Company was founded in
1973.</t>
  </si>
  <si>
    <t xml:space="preserve">CRITICAL OUTCOME TECHNOLOGIES INC/PORTAGE BIOTECH INC-JOINT VENTURE</t>
  </si>
  <si>
    <t xml:space="preserve">Critical Outcome Technologies Inc (Critical Outcome Technologies) and
Portage Biotech Inc (Portage Biotech) signed Letter of Intent to form a
joint venture. Critical Outcome Technologies and Portage Biotech will each
hold a 50% interest in the JV. The formation of this joint venture will
bring substantial technical and industry expertise to the development of
COTI-2, and should enable to move into clinical trials and provide the
human data validation that is of primary interest to many potential
licensing partners. Upon signing the LOI and successful completion of the
remaining due diligence, Portage and COTI will enter into negotiations of a
definitive plan and agreement of joint venture, and an exclusive limited
licence agreement in respect of COTI-2.</t>
  </si>
  <si>
    <t xml:space="preserve">Research &amp; Development Services
Investment Services
Exclusive Licensing Services
Licensing Services</t>
  </si>
  <si>
    <t xml:space="preserve">22675B
G7185A</t>
  </si>
  <si>
    <t xml:space="preserve">Gene Techno Science Co Ltd
Global Pharm Holdings Grp Inc</t>
  </si>
  <si>
    <t xml:space="preserve">Research and Development in Biotechnology
Mnfr,whl pharm prod</t>
  </si>
  <si>
    <t xml:space="preserve">Gene Techno Science Co Ltd,
based in Hokkaido, Japan, is
mainly engaged in engaged in
the development of
biopharmaceuticals including
biosimilars and new drugs.
The Biosimilars segment
develops biosimilars of
equal or superior quality to
existing biopharmaceuticals
with patents expired, and
conducts the nonclinical
studies. It builds in-house
or introduces from others
the cells that produce the
drug substances of
biopharmaceuticals. Its
primary product is
granulocyte colony
stimulating factor (G-CSF),
which promotes the
differentiation and growth
of neutrophils, one of the
white blood cells, and
increases neutrophils
function. The New
Biopharmaceuticals segment
is engaged in the research
and development of new
biopharmaceuticals,
cooperating with
universities and research
institutions. It primary
product is anti-9 integrin
antibody, which inhibits the
binding of 9 integrin and
osteopontin. The company was
founded in 2001.
Global Pharm Holdings Group
Inc, located in China,
manufactures and wholesales
pharmaceutical products.</t>
  </si>
  <si>
    <t xml:space="preserve">8731
5122</t>
  </si>
  <si>
    <t xml:space="preserve">GENE TECHNO SCIENCE CO LTD/GLOBAL PHARM HOLDINGS GROUP INC-STRATEGIC
ALLIANCE</t>
  </si>
  <si>
    <t xml:space="preserve">Gene Techno Science Co Ltd and Global Pharm Holdings Group Inc planned to
form a strategic alliance to provide value-added healthcare related
products through distribution network of Global Pharm Holdings utilizing
know-how of Gene Techno Science.</t>
  </si>
  <si>
    <t xml:space="preserve">J1770Q
37846N</t>
  </si>
  <si>
    <t xml:space="preserve">Southern ITS International Inc
Emap Inc</t>
  </si>
  <si>
    <t xml:space="preserve">Mnfr digital video recording systems
Pvd communication services</t>
  </si>
  <si>
    <t xml:space="preserve">Southern ITS International
Inc, located in D'Iberville,
Mississippi, manufactures and
designs digital video
recording systems. It produces
mobile DVR, point of sale
integrated systems, and custom
casino surveillance systems.
The company also offers
consulting services, custom
software development, hardware
and software servicing
agreements.
Provide communication services</t>
  </si>
  <si>
    <t xml:space="preserve">3651
7375</t>
  </si>
  <si>
    <t xml:space="preserve">MS
NY</t>
  </si>
  <si>
    <t xml:space="preserve">SOUTHERN ITS INTERNATIONAL INC/EMAP INC-STRATEGIC ALLIENCE</t>
  </si>
  <si>
    <t xml:space="preserve">SITS and Emap Inc formed a strategic alliance to commercialize their new
tracking and monitoring GPS tracking ankle bracelets for house arrest,
parole, and other types of offenders that require monitoring.</t>
  </si>
  <si>
    <t xml:space="preserve">Internet Services
Software Development Services
Research &amp; Development Services
Marketing Services</t>
  </si>
  <si>
    <t xml:space="preserve">1C0854
26862Q</t>
  </si>
  <si>
    <t xml:space="preserve">Myanmar Marketing Research
Nielsen Holdings NV</t>
  </si>
  <si>
    <t xml:space="preserve">Marketing Consulting Services
Data Processing, Hosting, and Related Services</t>
  </si>
  <si>
    <t xml:space="preserve">Myanmar Marketing Research &amp;
Development Co Ltd, located in
Yangon, Myanmar is a provider
of marketing consulting
services. The company was
founded in 1992.
Nielsen Holdings BV, based in
New York, New York, provides
information and measurement
services on consumers and
consumer behavior. The company
delivers media and marketing
information, analytics and
industry expertise about what
consumers watch and what
consumers buy on a global and
local basis. The company was
founded in 1923.</t>
  </si>
  <si>
    <t xml:space="preserve">8742
7374</t>
  </si>
  <si>
    <t xml:space="preserve">Myanmar(Burma)
United States</t>
  </si>
  <si>
    <t xml:space="preserve">NIELSEN HOLDINGS NV/MYANMAR MARKETING RESEARCH &amp; DEVELOPMENT CO LTD-JOINT
VENTURE</t>
  </si>
  <si>
    <t xml:space="preserve">Myanmar(Burma)</t>
  </si>
  <si>
    <t xml:space="preserve">Nielsen Holdings NV and Myanmar Marketing Research &amp; Development Co Ltd
formed a joint venture named Nielsen MMRD to enter the market to understand
the unique market and consumer dynamics.</t>
  </si>
  <si>
    <t xml:space="preserve">Marketing Services
Advertising Services
Research &amp; Development Services</t>
  </si>
  <si>
    <t xml:space="preserve">9A3653
65410B</t>
  </si>
  <si>
    <t xml:space="preserve">SSE PLC
Copenhagen Infrastructure
Repsol SA</t>
  </si>
  <si>
    <t xml:space="preserve">Hydroelectric Power Generation
Infrastructure Fund
Petroleum Refineries</t>
  </si>
  <si>
    <t xml:space="preserve">SSE PLC is a hydroelectric
power generation facility
operator. The Company is
engaged in production,
distribution, transmission
and supply of electricity,
gas and other energy related
services which includes gas
storage, exploration and
production. It also operates
in Ireland. It is also a
holding company. The Company
was founded in 1998 and is
located in Perth, the United
Kingdom.
Copenhagen Infrastructure
Partners Ks is an
infrastructure fund. The
Company is located in
Copenhagen, Denmark.
Repsol SA, located in
Madrid, Spain, is a
petroleum refining services
provider and an oil and gas
exploration and production
company. It is engaged in
the exploration, development
and production of crude oil
and natural gas and in the
transportation of petroleum
products, liquid petroleum
gas (LPG) and natural gas.
It wholesales gasoline under
the Repsol, Campsa and
Petronor brands. It is also
involved in the electricity
generation business.The
Company's segments include
Upstream, Downstream, and
Corporation and others. The
Upstream segment carries out
oil and natural gas
activities, and manages its
project portfolio. The
Downstream segment includes
covers the supply and
trading of crude oil and
other products; oil refining
and marketing of oil
products, and the production
and marketing of chemicals.
It owns and operates five
refineries in Spain
(Cartagena, A Coruna,
Bilbao, Puertollano and
Tarragona) with a combined
distillation capacity of
approximately 900 thousand
barrels of oil per day. The
Company operates La Pampilla
refinery in Peru, which has
an installed capacity of
approximately 120 thousand
barrels of oil per day. Its
Chemicals division produces
and commercializes a range
of products, and its
activities range from basic
petrochemicals to
derivatives.The Company was
founded in 1986.</t>
  </si>
  <si>
    <t xml:space="preserve">4911
6722
2911</t>
  </si>
  <si>
    <t xml:space="preserve">United Kingdom
Denmark
Spain</t>
  </si>
  <si>
    <t xml:space="preserve">SSE PLC/COPENHAGEN INFRASTRUCTURE PARTNERS/REPSOL SA-JOINT VENTURE</t>
  </si>
  <si>
    <t xml:space="preserve">SSE PLC, Copenhagen Infrastructure Partners and Repsol SA formed a 40:35:25
joint venture named Beatrice offshore.</t>
  </si>
  <si>
    <t xml:space="preserve">Construction Services
Research &amp; Development Services</t>
  </si>
  <si>
    <t xml:space="preserve">40.00
35.00
25.00</t>
  </si>
  <si>
    <t xml:space="preserve">79006L
8A9650
76026T</t>
  </si>
  <si>
    <t xml:space="preserve">OHR Pharmaceutical Inc
Cold Spring Harbor Laboratory</t>
  </si>
  <si>
    <t xml:space="preserve">OHR Pharmaceutical Inc,
located in Salt Lake City,
Utah, is a pharmaceutical
company dedicated to the
clinical development of new
drugs for underserved
therapeutic needs in large
and growing markets. It was
founded in 2002.
Cold Spring Harbor
Laboratory is a provider of
research and development
services. The Company was
founded in 1890 and is
located in New York, New
York.</t>
  </si>
  <si>
    <t xml:space="preserve">UT
NY</t>
  </si>
  <si>
    <t xml:space="preserve">OHR PHARMACEUTICAL INC/COLD SPRING HARBOR LABORATORY-JOINT VENTURE</t>
  </si>
  <si>
    <t xml:space="preserve">Ohr Pharmaceutical Inc (Ohr) and Cold Spring Harbor Laboratory (Cold)
formed a joint venture named DepYmed Inc (DepYmed ) to develop
trodusquemine and related analogs. Under terms of the agreement, Ohr was to
hold a 50% interest in DepYmed while Cold was to hold the remaining 50%
stake.</t>
  </si>
  <si>
    <t xml:space="preserve">Research &amp; Development Services
Hospital &amp; Clinical Services</t>
  </si>
  <si>
    <t xml:space="preserve">67778H
19286R</t>
  </si>
  <si>
    <t xml:space="preserve">Cardium Therapeutics Inc
Shanxi Taxus Pharmaceuticals</t>
  </si>
  <si>
    <t xml:space="preserve">Cardium Therapeutics Inc,
based in San Diego,
California, is a biotechnology
company focused on the
acquisition and strategic
development of new and
innovative biomedical product
opportunities and businesses
that have the potential to
address signification unmet
medical needs and definable
pathways to commercialization.
The company's Cardium
Biologics subsidiary has three
growth factor-based drug
candidates aimed at treating
ischemic heart disease (such
as angina), and restoring
heart functioning after a
heart attack. Lead candidate
Generx works by stimulating
the growth of new blood
vessels (called angiogenesis)
in angina patients. Cardium
Therapeutics' Innercool
Therapies subsidiary makes the
Celsius Control, CoolBlue and
Rapid Blue systems which help
warm or cool patients with
catheters or wraps.
Temperature modulation is used
both to reduce fevers and to
reduce cell damage during
surgery. The company was
founded in 2003.
Shanxi Taxus Pharmaceuticals
Co Ltd, located in Jinzhong
City, China, is a
pharmaceutical manufacturing
firm. The company is engaged
in research and development
focused on the natural
resource cultivation and
manufacture of paclitaxel, an
anti-cancer medication. The
company has several lines of
business including natural
resource management, retail
pharmacy and healthcare
product manufacturing.</t>
  </si>
  <si>
    <t xml:space="preserve">CARDIUM THERAPEUTICS INC/SHANXI TAXUS PHARMACEUTICALS CO LTD-STRATEGIC
ALLIANCE</t>
  </si>
  <si>
    <t xml:space="preserve">Cardium Therapeutics Inc (Cardium) and Shanxi Taxus Pharmaceuticals Co Ltd
formed a strategic alliance to support the worldwide clinical and
commercial development of Cardium's advanced regenerative medicine
therapeutics products, including Generx(R) product candidate and
Excellagen(R), FDA-cleared advanced wound care product. The Company's name
will be changed to Taxus Cardium Pharmaceuticals Group in connection with
the strategic collaboration. The strategic collaboration is designed to
support the commercial development of Generx and Excellagen by Cardium, and
also provide new opportunities to explore the commercialization of these
products for the emerging and rapidly growing advanced healthcare market in
the People's Republic China, and Taxus oncology-focused product
opportunities for the U.S. market. The deal includes funding in the form of
direct investments in Cardium of up to $5.0 million to support the
commercialization of Cardium's products.</t>
  </si>
  <si>
    <t xml:space="preserve">Health &amp; Medical Services
Research &amp; Development Services
Funding Services</t>
  </si>
  <si>
    <t xml:space="preserve">The deal includes funding in the form of direct investments in Cardium of
up to $5.0 million to support the commercialization of Cardium's products.</t>
  </si>
  <si>
    <t xml:space="preserve">141916
1C1042</t>
  </si>
  <si>
    <t xml:space="preserve">Jubilant Biosys Ltd
Janssen Pharmaceutica NV</t>
  </si>
  <si>
    <t xml:space="preserve">Jubilant Biosys Ltd, based in
Bangalore, India, provides
drug discovery services that
include pre-clinical, in-vivo
and formulation services such
as proprietary products,
exclusive synthesis, active
pharmaceutical ingredients,
sterile injectables (liquids
and lyophilized) products, and
non-steriles (ointments,
creams and liquids)
pharmaceuticals.. It
specializes in
multi-disciplines including
biology, chemistry, structural
biology, pharmacology,
molecular modeling,
crystallography and
information technology. The
company also develops and
distributes ePathArt,
eMolSign, TAS, Anti Bacterial
Database, Antibody database
and Phosphodiesterase
ChemBiobase web-based
software. It has operations in
USA, Europe and Japan. Founded
in 2001.
Janssen Pharmaceutica NV,
located in Beerse, Belgium,
manufactures prescription
pharmaceuticals intended for
final consumption, including
biotech products and
antibiotics.</t>
  </si>
  <si>
    <t xml:space="preserve">India
Belgium</t>
  </si>
  <si>
    <t xml:space="preserve">Jubilant Life Sciences Ltd
J&amp;J</t>
  </si>
  <si>
    <t xml:space="preserve">JUBILANT BIOSYS LTD/JANSSEN PHARMACEUTICA NV-STRATEGIC ALLIANCE</t>
  </si>
  <si>
    <t xml:space="preserve">Jubilant Biosys Ltd (Jubilant) and Janssen Pharmaceutical NV (Janssen)
formed a strategic alliance to carry out research services and will deliver
preclinical candidates to Janssen for potential development and
commercialization on its drug discovery. The collaboration between the two
organizations has been expanded to leverage Jubilant's drug discovery
capabilities on selected drug discovery targets to advance programs in
multiple disease areas.</t>
  </si>
  <si>
    <t xml:space="preserve">48119C
47088B</t>
  </si>
  <si>
    <t xml:space="preserve">Legend Gold Corp
Randgold Resources(Mali)SARL</t>
  </si>
  <si>
    <t xml:space="preserve">Gold mining company
Gold mining</t>
  </si>
  <si>
    <t xml:space="preserve">Legend Gold Corp, is a gold
mining company,
headquartered in Toronto,
Ontario, Canada. It is
focused on the acquisition,
exploration and development
of mining prospects in the
Republic of Mali, West
Africa. Projects include the
Tiekoumala Gold Project, the
Company's most advance
project, Lakanfla project
and the recently acquired
Mougnina project. The
Company was founded in May
8, 1997.
Randgold Resources(Mali)SARL,
is a gold mining company,
headquartered in Bamako, Mali.</t>
  </si>
  <si>
    <t xml:space="preserve">1041
1041</t>
  </si>
  <si>
    <t xml:space="preserve">Canada
Mali</t>
  </si>
  <si>
    <t xml:space="preserve">Legend Gold Corp
Randgold Resources Ltd</t>
  </si>
  <si>
    <t xml:space="preserve">Canada
Jersey</t>
  </si>
  <si>
    <t xml:space="preserve">LEGEND GOLD CORP/RANDGOLD RESOURCES(MALI)SARL-JOINT VENTURE</t>
  </si>
  <si>
    <t xml:space="preserve">Mali</t>
  </si>
  <si>
    <t xml:space="preserve">Legend Gold Corp (Legend) and Randgold Resources(Mali)SARL (Randgold)
planned to form a joint venture. Legend will hold 49% and Randgold will
hold a 51% interest in the JV. Under the terms of the agreement, the Joint
Venture will conduct prospecting activities with respect to the permits in
accordance with the requirements of the Mining Code of Mali and/or the
Conventions signed with the Government of Mali for the specific permit
areas. The Joint Venture will have a Management Committee composed of three
members from Randgold and two members from Legend Gold and will be
responsible for oversight of the prospecting activities. The transaction
was subject to regulatory approval.</t>
  </si>
  <si>
    <t xml:space="preserve">49.00
51.00</t>
  </si>
  <si>
    <t xml:space="preserve">52471L
4A8189</t>
  </si>
  <si>
    <t xml:space="preserve">Eisai Co Ltd
Biogen Idec Inc</t>
  </si>
  <si>
    <t xml:space="preserve">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1941.
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t>
  </si>
  <si>
    <t xml:space="preserve">EISAI CO LTD/BIOGEN IDEC INC-STRATEGIC ALLIANCE</t>
  </si>
  <si>
    <t xml:space="preserve">Eisai Co Ltd and Biogen Idec Inc formed a strategic alliance to develop and
commercialize alzheimers disease treatments. The agreement was signed to
enhance R&amp;D capabilities and pipeline aimed at creating new therapies to
suppress Alzheimers disease progression.</t>
  </si>
  <si>
    <t xml:space="preserve">282579
09062X</t>
  </si>
  <si>
    <t xml:space="preserve">NeoStem Inc
Schepens Eye Research</t>
  </si>
  <si>
    <t xml:space="preserve">NeoStem Inc, located in New
York, New York, is a
biotechnology company
engaged in the collection,
processing, and storage of
adult stem cells for
autologous use in the United
States. The company provides
adult stem cells for
autologous use in the
treatment of cardiac
disease, degenerative,
autoimmune, neurological,
and age-related
musculoskeletal disorders,
as well as diabetes, breast
cancer, and wound healing.
Progenitor Cell Therapy LLC
is the company's
subsidiary. The company was
founded in 2002.
Schepens Eye Research
Institute provides research
and development services for
fighting blindness by
developing new technologies,
therapies and knowledge to
retain and restore vision. The
company is headquartered in
Boston, Massachusetts. The
company is a basic research
institute with about 200
scientists and other employees
whose specialties include
ocular surface disease,
immunology, and stem-cell
therapies and who publish 100
scientific papers annually.
The company was founded in
1950.</t>
  </si>
  <si>
    <t xml:space="preserve">NeoStem Inc
MA Eye &amp; Ear Infirmary</t>
  </si>
  <si>
    <t xml:space="preserve">NEOSTEM INC/SCHEPENS EYE RESEARCH INSTITUTE-STRATEGIC ALLIANCE</t>
  </si>
  <si>
    <t xml:space="preserve">NeoStem Inc (NeoStem) and Schepens Eye Research Institute (Schepens) formed
a strategic alliance to sponsor research in the laboratory to investigate
the role of very small embryonic-like stem cells. In this collaboration,
NeoStem will sponsor research in the laboratory of principal investigator
Michael Young, Ph.D., Director of the Ocular Regenerative Medicine
Institute at Mass. Eye and Ear in Boston. The objective of the research is
to investigate the role of very small embryonic-like stem cells (VSELs), as
well as CD34+ cells, in a study that will compare the efficacy of these two
cell types for retinal repair.</t>
  </si>
  <si>
    <t xml:space="preserve">640650
80651K</t>
  </si>
  <si>
    <t xml:space="preserve">Life Length SL
Yamada Bee Co</t>
  </si>
  <si>
    <t xml:space="preserve">Biotechnology company
All Other Animal Production</t>
  </si>
  <si>
    <t xml:space="preserve">Life Length, located in
Madrid, Spain, is a
biotechnology company.
Yamada Bee Co, located in
Okayama, Japan, is engaged in
raising bees, as well as
stocking raw materials,
researching, developing,
manufacturing and selling the
products of bees. The company
was founded in 1948.</t>
  </si>
  <si>
    <t xml:space="preserve">2835
0279</t>
  </si>
  <si>
    <t xml:space="preserve">Spain
Japan</t>
  </si>
  <si>
    <t xml:space="preserve">LIFE LENGTH SL/YAMADA BEE CO- JOINT VENTURE</t>
  </si>
  <si>
    <t xml:space="preserve">Life Length Sl and Yamada Bee Co formed a joint venture in Japan. Life
Length will hold 51% and Yamada Bee Co will hold a 49% interest in the JV.
Life Length is an leading telomere testing company announced that it has
closed a USD 4.16 mil investment in the Yamada Bee Co. The JV will be
commercialization of Life Lengths telomere testing and measurement services
in Japan.</t>
  </si>
  <si>
    <t xml:space="preserve">Life Length is an leading telomere testing company announced that it has
closed a USD 4.16 mil investment in the Yamada Bee Co.</t>
  </si>
  <si>
    <t xml:space="preserve">0A4126
9A6127</t>
  </si>
  <si>
    <t xml:space="preserve">Ceres Power Holdings PLC
Cummins Power Generation</t>
  </si>
  <si>
    <t xml:space="preserve">Support Activities For Oil and Gas Operations
Distn natural gas</t>
  </si>
  <si>
    <t xml:space="preserve">Ceres Power Holdings PLC is
a provider of support
services for oil and gas
operations. It provides
development and
commercialization services
of a core fuel cell product
to bring cleaner and cheaper
energy to businesses, homes
and vehicles. The Company
was founded in May 2001 and
is located in Horsham, the
United Kingdom with offices
in Japan and South Korea.
Distribution natural gas</t>
  </si>
  <si>
    <t xml:space="preserve">1382
4924</t>
  </si>
  <si>
    <t xml:space="preserve">CERES POWER HOLDINGS PLC/CUMMINS POWER GENERATION INC-STRATEGIC ALLIANCE</t>
  </si>
  <si>
    <t xml:space="preserve">Ceres Power Holdings Plc (Ceres) and Cummins Power Generation Inc (Cummins)
formed a strategic alliance to work together on a non-exclusive basis,
combining their complementary technical capabilities and market know-how
with Ceres assuming responsibility for the Steel Cell fuel cell system
technology and Cummins providing system integration expertise, focusing on
the assessment of applications for Cummins core markets of larger scale
back-up power and prime power applications.</t>
  </si>
  <si>
    <t xml:space="preserve">15699V
23103X</t>
  </si>
  <si>
    <t xml:space="preserve">WuXi PharmaTech(Cayman)Inc
Grandparents.com Inc</t>
  </si>
  <si>
    <t xml:space="preserve">Manufacture pharmaceutical
Pvd online svcs</t>
  </si>
  <si>
    <t xml:space="preserve">WuXi PharmaTech (Cayman) Inc,
based in Shanghai, China, is a
pharmaceutical manufacturing,
biotechnology, and medical
device R&amp;D outsourcing
company. Its core lab services
business offers research and
development, discovery
chemistry, service biology,
and pharmaceutical development
services. Its ancillary
manufacturing operations
mainly produce advanced
intermediate drugs and active
drug ingredients. The company
was founded in 2000.
Grandparents.com Inc, located
in New York, New York,
provides an online resource
for grandapents providng them
with information and advice
regarding health, money,
travel and retirement. The
company was founded in 1989.</t>
  </si>
  <si>
    <t xml:space="preserve">2834
7374</t>
  </si>
  <si>
    <t xml:space="preserve">WUXI PHARMATECH(CAYMAN)INC/ PACIFIC BIOMARKERS INC-STRATEGIC ALLIANCE</t>
  </si>
  <si>
    <t xml:space="preserve">WuXi PharmaTech(Cayman)Inc (WuXi) and Pacific Biomarkers Inc (PBI) formed a
strategic alliance to provide bioanalysis and central laboratory services
for pharmaceutical and biotech companies performing clinical drug
development in China. In a new agreement, PBI will provide access to its
extensive menu of validated biomarker assays to support WuXi's integrated
clinical trial testing services.</t>
  </si>
  <si>
    <t xml:space="preserve">929352
386617</t>
  </si>
  <si>
    <t xml:space="preserve">AnaptysBio Inc
Tesaro Inc</t>
  </si>
  <si>
    <t xml:space="preserve">dvlp therapeutic antibody prod
Pharmaceutical Preparation Manufacturing</t>
  </si>
  <si>
    <t xml:space="preserve">AnaptysBio Inc, a
biopharmaceutical product
company, develops therapeutic
antibody products. It offers
SHM-Platform, an antibody
platform that generates
therapeutic antibodies; and
somatic hypermutation for
antibody discovery and protein
optimization. The company is
located at California and was
founded in 2005.
Tesaro Inc, located in
Waltham, Massachusetts,
manufactures
biopharmaceuticals focused
on oncology. Its products
include Zejula (niraparib),
an oral poly ADP ribose
polymerase (PARP) inhibitor
currently approved for use
in ovarian cancer. It also
has several oncology assets
in its pipeline including
antibodies directed against
PD-1, TIM-3 and LAG-3
targets. The Company was
founded in 2010.</t>
  </si>
  <si>
    <t xml:space="preserve">ANAPTYSBIO INC/ TESARO INC-STRATEGIC ALLIANCE</t>
  </si>
  <si>
    <t xml:space="preserve">Anaptysbio Inc and Tesaro Incplanned to form a strategic alliance to
immuno-oncology antibody collaboration.Under the terms of this agreement,
TESARO will pay an upfront license fee of USD 17 mil, as well as provide
funding of costs incurred by AnaptysBio related to the development
programs, AnaptysBio will receive payments of USD 18 mil and an additional
USD 90 mil associated with certain U.S. and ex-U.S. regulatory submissions
and approvals in multiple indications.</t>
  </si>
  <si>
    <t xml:space="preserve">Under the terms of this agreement, TESARO will pay an upfront license fee
of USD 17 mil, as well as provide funding of costs incurred by AnaptysBio
related to the development programs, AnaptysBio will receive payments of
USD 18 mil and an additional USD 90 mil associated with certain U.S. and
ex-U.S. regulatory submissions and approvals in multiple indications.</t>
  </si>
  <si>
    <t xml:space="preserve">03146X
881569</t>
  </si>
  <si>
    <t xml:space="preserve">Simulations Plus Inc
Research Inst for liver</t>
  </si>
  <si>
    <t xml:space="preserve">Design,dvlp comp software
Provide research,dvlp svcs</t>
  </si>
  <si>
    <t xml:space="preserve">Simulations Plus Inc,
located in Lancaster,
California, designs and
develops computer software.
The company develops series
of simulation software
products for the school,
home, and pharmaceutical
study markets. The company
offers four software
products for pharmaceutical
research: Admet
Predictor/Admet Modeler,
ClassPharmer, DDDplus, and
GastroPlus. It also develops
and sells interactive,
educational software
programs in highschool
science classes. It markets
its products in US,
Australia, New Zealand,
Canada, England, Norway,
Finland, The Netherlands,
France, Israel, Japan,
Korea, Mexico, and Malaysia.
The company was founded in
1996.
Research Institute for liver
diserses is a provider of
research and development
services. The company is
located in Shanghai, China.</t>
  </si>
  <si>
    <t xml:space="preserve">SIMULATIONS PLUS INC/RESEARCH INSTITUTE FOR LIVER DISERSES-STRATEGIC
ALLIANCE</t>
  </si>
  <si>
    <t xml:space="preserve">Simulations Plus Inc and Research Institute for liver diserses formed a
strategic alliance to leveraging his connections with researchers at
regulatory agencies and local companies to continue penetrating this
growing market.</t>
  </si>
  <si>
    <t xml:space="preserve">829214
5E4732</t>
  </si>
  <si>
    <t xml:space="preserve">New York Genome Center
IBM Watson Group</t>
  </si>
  <si>
    <t xml:space="preserve">Provide research,dvlp svcs
Software Publishers</t>
  </si>
  <si>
    <t xml:space="preserve">New York Genome Center is a
provider of research and
development services. The
company is located in New
York.
IBM Watson Group is a software
publisher focused in the
development and
commercialization of
cloud-delivered cognitive
innovations. The company is
located in New York.</t>
  </si>
  <si>
    <t xml:space="preserve">New York Genome Center
IBM Corp</t>
  </si>
  <si>
    <t xml:space="preserve">8731
3571</t>
  </si>
  <si>
    <t xml:space="preserve">NEW YORK GENOME CENTER/IBM WATSON GROUP-STRATEGIC ALLIANCE</t>
  </si>
  <si>
    <t xml:space="preserve">New York Genome Center and IBM Watson Group planned to form a strategic
alliance to accelerate a new era of genomic medicine</t>
  </si>
  <si>
    <t xml:space="preserve">5E4390
3E6298</t>
  </si>
  <si>
    <t xml:space="preserve">Lockheed Martin Corp
Warsaw Univ of Tech</t>
  </si>
  <si>
    <t xml:space="preserve">Mnfr aerospace sys,prod
Research and Development in The Social Sciences and Humanities</t>
  </si>
  <si>
    <t xml:space="preserve">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
Warsaw University of
Technology is a provider of
social sciences research and
development services. The
company is located in Warsaw,
Poland.</t>
  </si>
  <si>
    <t xml:space="preserve">3761
8732</t>
  </si>
  <si>
    <t xml:space="preserve">LOCKHEED MARTIN CORP/WARSAW UNIVERSITY OF TECHNOLOGY-STRATEGIC ALLIANCE</t>
  </si>
  <si>
    <t xml:space="preserve">Lockheed Martin Corp and Warsaw University of Technology planned to form a
strategic alliance to conduct an advanced applied research program in the
field of integration between manned and unmanned airborne platform
systems.</t>
  </si>
  <si>
    <t xml:space="preserve">539830
5E4108</t>
  </si>
  <si>
    <t xml:space="preserve">In Vitro ADMET Labs LLC
Taconic Farms Inc</t>
  </si>
  <si>
    <t xml:space="preserve">Manufacture pharmaceuticals
Own,op lab animal breeding ctr</t>
  </si>
  <si>
    <t xml:space="preserve">In Vitro ADMET Laboratories
LLC is a manufacturer of
pharmaceutical preparation.
The company is located in
Columbia, Maryland.
Taconic Farms Inc, located
in Hudson, New York, owns
and operates laboratory
animals breeding center. It
offers rat and mouse models.
The company offers contract
breeding solutions, animal
models, transgenic exchange,
KO repository, custom model
generation, phenotyping
services, contract research
solutions, testing
solutions, testing
solutions, surgical
modifications, animal care
products, and research
applications. The company
was founded in 1952.</t>
  </si>
  <si>
    <t xml:space="preserve">2834
0279</t>
  </si>
  <si>
    <t xml:space="preserve">IN VITRO ADMET LABORATORIES LLC/TACONIC BIOSCIENCES INC-STRATEGIC ALLIANCE</t>
  </si>
  <si>
    <t xml:space="preserve">In Vitro ADMET Laboratories LLC and Taconic Biosciences Inc formed a
strategic alliance to Offer Humanized and Knock-out Mouse Hepatocytes</t>
  </si>
  <si>
    <t xml:space="preserve">5E3917
87356W</t>
  </si>
  <si>
    <t xml:space="preserve">WABCO Holdings Inc
Smartdrive Systems Inc</t>
  </si>
  <si>
    <t xml:space="preserve">Manufactures and wholesales electromechanical products
Pvd waste mgmt,disposal svcs</t>
  </si>
  <si>
    <t xml:space="preserve">WABCO Holdings Inc,
headquartered in Auburn
Hills, Michigan,
manufactures and wholesales
electromechanical products
for commercial truck,
trailer, bus and passenger
car manufacturers. It offers
control systems, including
advanced braking, stability,
suspension, transmission
control and air compressing
and processing systems. Its
products also include
pneumatic anti-lock braking
systems (ABS), electronic
braking systems (EBS),
automated manual
transmission systems, air
disk brakes and a range of
conventional mechanical
products, such as actuators,
air compressors and air
control valves for heavy-
and medium-sized trucks,
trailers and buses. The
Company was founded in 1869.
SmartDrive Systems Inc is a
provider of hazardous waste
treatment and disposal
services. The Company is
located in San Diego,
California.</t>
  </si>
  <si>
    <t xml:space="preserve">3711
4953</t>
  </si>
  <si>
    <t xml:space="preserve">3714
4953</t>
  </si>
  <si>
    <t xml:space="preserve">WABCO HOLDINGS INC/SMARTDRIVE SYSTEMS INC-STRATEGIC ALLIANCE</t>
  </si>
  <si>
    <t xml:space="preserve">WABCO Holdings Inc and SmartDrive Systems Inc formed a strategic alliance
to extend innovative safety and efficiency solutions.</t>
  </si>
  <si>
    <t xml:space="preserve">92927K
5E2952</t>
  </si>
  <si>
    <t xml:space="preserve">BioCision LLC
Brooks Automation Inc</t>
  </si>
  <si>
    <t xml:space="preserve">Provide research,dvlp svcs
Manufactures tool automation products</t>
  </si>
  <si>
    <t xml:space="preserve">BioCision LLC is a provider of
research and development
services. The company is
located in San Rafael,
California.
Brooks Automation Inc,
located in Chelmsford,
Massachusetts, manufactures
tool and factory automation
products. It provides
automation, vacuum, and
instrumentation solutions to
semiconductor industries. It
also develops software. The
Company was founded in 1978.</t>
  </si>
  <si>
    <t xml:space="preserve">BIOCISION LLC/BROOKS AUTOMATION INC-STRATEGIC ALLIANCE</t>
  </si>
  <si>
    <t xml:space="preserve">BioCision LLC and Brooks Automation Inc planned to form a strategic
alliance to develop new automated and temperature-controlled systems.</t>
  </si>
  <si>
    <t xml:space="preserve">5E3807
114340</t>
  </si>
  <si>
    <t xml:space="preserve">Polpharma SA
Santo Holding(Deutschland)GmbH</t>
  </si>
  <si>
    <t xml:space="preserve">Polpharma SA, located in
Starogard Gdanski, Poland, is
a manufacturer of
pharmaceutical drugs and
active pharmaceutical
ingredients focused in
cardiological, gastrological
and neurological and
therapeutic drugs used to
treat patients with ischemic
heart disease and type 2
diabetes mellitus, as well as
medicines for
gastroenterology, neurology,
pulmonology, anti-infective
drugs and dermatology. The
company was founded in 1935.
Santo Holding (Deutschland)
GmbH, located in
Holzkirchen, Germany,
manufactures and develops
pharmaceuticals. It operates
also as an investment
holding company.</t>
  </si>
  <si>
    <t xml:space="preserve">Poland
Germany</t>
  </si>
  <si>
    <t xml:space="preserve">Genefar BV
Santo Holding AG</t>
  </si>
  <si>
    <t xml:space="preserve">POLPHARMA SA/SANTO HOLDING DEUTSCHLAND GMBH-JOINT VENTURE</t>
  </si>
  <si>
    <t xml:space="preserve">Polpharma Sa and Santo Holding Deutschland Gmbh formed a joint venture in
Germany. Polpharma and Santo now have a joint venture for the joint
development and marketing of biosimilars closed. The formycon biosimilar
FYB201 will be integrated into this joint venture.</t>
  </si>
  <si>
    <t xml:space="preserve">73087N
80329P</t>
  </si>
  <si>
    <t xml:space="preserve">NeuroVive Pharmaceutical AB
A1M Pharma AB</t>
  </si>
  <si>
    <t xml:space="preserve">Biological Product (Except Diagnostic) Manufacturing
Pharmaceutical Preparation Manufacturing</t>
  </si>
  <si>
    <t xml:space="preserve">NeuroVive Pharmaceutical AB
is a biotechnology company
engaged in mitochondrial
medicine. The Company was
founded in 2000 and is
located in Lund, Sweden. Its
primary projects are
NeuroSTAT and KL1333.
NeuroSTAT aims to prevent
moderate to severe traumatic
brain injury, while KL1333
aims to treat genetic
mitochondrial disease.
NeuroSTAT is in clinical
phase II and KL1333 is in
clinical phase I. The
Company possesses the
research and development
(R&amp;D) portfolio, which
consists of several late
stage research programs in
such areas as genetic
mitochondrial disorders,
cancer and metabolic
diseases, among others. In
R&amp;D work the Company
partners with Skane
University Hospital in
Sweden, Copenhagen
University Hospital in
Denmark, University of
Pennsylvania in the United
States, as well as with a
range of contract research
organizations.
A1M Pharma AB is a
manufacturer of
pharmaceutical preparation.
The Company was founded in
2008 and is located in Lund,
Sweden. It conducts
development and
commercialization of
treatment and diagnostics
based on the
alpha-1-microglobulin (A1M)
protein.</t>
  </si>
  <si>
    <t xml:space="preserve">NEUROVIVE PHARMACEUTICAL AB/A1M PHARMA AB-STRATEGIC ALLIANCE</t>
  </si>
  <si>
    <t xml:space="preserve">Neurovive Pharmaceutical Ab (NeuroVive) and A1M Pharma Ab (A1M) formed a
strategic alliance to to utilize the companies complementary scientific
platforms within the framework of ongoing research projects. The two
companies are initiating a research collaboration in mitochondrial
medicine. The companies will evaluate results achieved to date, then
explore the potential for a closer collaboration focusing on bringing
products to market in a time-efficient manner.Both companies will retain
exclusive ownership rights to existing registered intellectual property.
However, any inventions arising from the collaboration will be jointly
owned by NeuroVive and A1M Pharma.</t>
  </si>
  <si>
    <t xml:space="preserve">W5943E
0C0802</t>
  </si>
  <si>
    <t xml:space="preserve">Northrop Grumman Corp
Defence Science and Tech Grp</t>
  </si>
  <si>
    <t xml:space="preserve">Manufactures aircraft,aerospace equip
Provide research,dvlp svcs</t>
  </si>
  <si>
    <t xml:space="preserve">Northrop Grumman Corp,
headquartered in Falls
Church, Virginia,
manufactures aircraft,
airframe assemblies,
communication and electronic
systems, advanced weaponry
and space equipment. It also
provides services and
solutions in defense and
commercial electronics to
government and commercial
customers worldwide. Its
business units include
Information and Services,
under which are mission
systems, information
technology, and technical
services; Aerospace, holds
integrated systems and space
technology segments; and
Electronics and Ships
segments. The Company was
founded in 1939.
Defence Science and Technology
Group is a provider of
research and development
services. The company is
located in Canberra Airport,
Australia.</t>
  </si>
  <si>
    <t xml:space="preserve">NORTHROP GRUMMAN CORP/DEFENCE SCIENCE AND TECHNOLOGY GROUP-STRATEGIC
ALLIANCE</t>
  </si>
  <si>
    <t xml:space="preserve">Northrop Grumman Corp and Defence Science and Technology Group formed a
strategic alliance to conduct collaborative research in a range of advanced
defence technologies.</t>
  </si>
  <si>
    <t xml:space="preserve">666807
5E3242</t>
  </si>
  <si>
    <t xml:space="preserve">Evotec AG
Panion Ltd</t>
  </si>
  <si>
    <t xml:space="preserve">Mnfr small molecule drugs
Pharmaceutical Preparation Manufacturing</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</si>
  <si>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Panion Ltd is a pharmaceutical
company , headquartered in UK.
It is an subsidary of
Convergence Pharmaceuticals
Holdings Ltd.</t>
  </si>
  <si>
    <t xml:space="preserve">Evotec AG
Convergence Pharmaceuticals</t>
  </si>
  <si>
    <t xml:space="preserve">EVOTEC AG/ PANION LTD-STRATEGIC ALLIANCE</t>
  </si>
  <si>
    <t xml:space="preserve">Evotec Ag and Panion Ltd formed a strategic alliance to form integrated
pain alliance.</t>
  </si>
  <si>
    <t xml:space="preserve">D1646D
9A8356</t>
  </si>
  <si>
    <t xml:space="preserve">Xerox Canada Inc
Authentix Inc</t>
  </si>
  <si>
    <t xml:space="preserve">Mnfr bus mach;dvlp software
Pvd authentication svcs</t>
  </si>
  <si>
    <t xml:space="preserve">Xerox Canada Inc, located in
Toronto, Ontario, manufactures
business machines and
equipment including monochrome
and color systems, color
laser, solid ink and others.
The company also develops
software.
Authentix Inc, headquartered
in Addison, Texas, is a
provider of authentication
and brand protection
services. It has locations
in UK, India and South
Africa. It develops
nanoscale-engineered
markers, opto-electronic and
nanophotonic detection
devices and software.</t>
  </si>
  <si>
    <t xml:space="preserve">3579
7389</t>
  </si>
  <si>
    <t xml:space="preserve">Xerox Corp
Authentix Inc</t>
  </si>
  <si>
    <t xml:space="preserve">XEROX RESEARCH CENTRE CANADA/AUTHENTIX INC-STRATEGIC ALLAINCE</t>
  </si>
  <si>
    <t xml:space="preserve">Xerox Research Centre Canada and Authentix Inc formed a strategic alliance
to provide secure materials research services.</t>
  </si>
  <si>
    <t xml:space="preserve">98391C
05316N</t>
  </si>
  <si>
    <t xml:space="preserve">STMicroelectronics NV
Istituto Italiano di</t>
  </si>
  <si>
    <t xml:space="preserve">Semiconductor and Related Device Manufacturing
Research and Development in Biotechnology</t>
  </si>
  <si>
    <t xml:space="preserve">STMicroelectronics NV,
headquartered in Geneva,
Switzerland, manufactures
semiconductor, integrated
circuits and discrete
devices as well as provides
marketing services. The
Group operates under three
major segments: Application
specific products,
Industrial and Multi-segment
and Flash Memory. Under
Application specific
products, the Group offers
conductors for audio, home
video and mobile systems
such as audio decoders,
processor ICs, digital and
analog processors,
converters, multimedia
processors and audio
amplifiers. Under Industrial
and Multi-segment, it
develops and manufactures
discrete power devices,
(power transistors and other
discrete power devices),
standard linear and logic
ICs, and radio frequency
products. It also maintains
and develops high-end analog
products and microcontroller
applications. Under Flash
Memory, it conducts research
and development and
product-related activities,
front and back-end
manufacturing, marketing and
sales. The Group operates
mainly in Europe, the United
States and Asia Pacific
region. The Company also
provides private equity (PE)
investment services, through
its PE arm. The Company was
founded in 1987.
Istituto Italiano di
Tecnologia is a provider of
biotechnology research and
development services. The
company is located in Italy.</t>
  </si>
  <si>
    <t xml:space="preserve">STMICROELECTRONICS NV/ISTITUTO ITALIANO DI TECNOLOGIA-STRATEGIC ALLIANCE</t>
  </si>
  <si>
    <t xml:space="preserve">STMicroelectronics NV and Istituto Italiano di Tecnologia formed a
strategic alliance The cooperation uses multiple Joint Research Programs to
exploit the synergies between IIT's high-level expertise in long-term
megatrends such as robotics, nanotechnology, pattern analysis, and computer
vision and ST's leading-edge know-how in semiconductor technology and
design.</t>
  </si>
  <si>
    <t xml:space="preserve">861012
5E4143</t>
  </si>
  <si>
    <t xml:space="preserve">Roche Holdings AG
Oryzon Genomics SA</t>
  </si>
  <si>
    <t xml:space="preserve">Manufactures, wholesales pharmaceuticals and medical instruments
Pvd biological research svcs</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</si>
  <si>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Oryzon Genomics SA, located
in Cornella de Llobregat,
Barcelona, Spain, is a
functional genomics company,
providing biological
research services. It
focuses on biomedicine for
cancer and agro biotech and
offers third-party services.
The company was founded on
June 2, 2000.</t>
  </si>
  <si>
    <t xml:space="preserve">Switzerland
Spain</t>
  </si>
  <si>
    <t xml:space="preserve">ROCHE HOLDING AG/ORYZON GENOMICS SA-STRATEGIC ALLIANCE</t>
  </si>
  <si>
    <t xml:space="preserve">Roche Holding AG and Oryzon Genomics SA formed a strategic alliance to
research, develop and commercialize inhibitors of Lysine Specific
Demethylase-1, Worldwide. They have extended their partnership from May 18,
2016 to March 2017.</t>
  </si>
  <si>
    <t xml:space="preserve">77119M
68765T</t>
  </si>
  <si>
    <t xml:space="preserve">Majestic MRSS Ltd
SENSANALYSIS</t>
  </si>
  <si>
    <t xml:space="preserve">Research and Development in The Social Sciences and Humanities
Provide research,dvlp svcs</t>
  </si>
  <si>
    <t xml:space="preserve">Majestic MRSS Ltd, located in
Mumbai, India, is a provider
of market research services.
The company has presence in 18
countries of Middle East and
Asia Pacific region.
SENSANALYSIS is a provider of
research and development
services. The company is
located in Frankfurt, Germany.</t>
  </si>
  <si>
    <t xml:space="preserve">8732
8731</t>
  </si>
  <si>
    <t xml:space="preserve">Majestic Market Research Suppo
SENSANALYSIS</t>
  </si>
  <si>
    <t xml:space="preserve">MAJESTIC MRSS LTD/SENSANALYSIS-JOINT VENTURE</t>
  </si>
  <si>
    <t xml:space="preserve">MRSS India and Sensanalysis planned to form a joint venture Named SA#M to
provide strong experience in sensorial research and testing, robust data
collection processes and facilities, international quality qualitative and
quantitative skillsets</t>
  </si>
  <si>
    <t xml:space="preserve">9A6837
6E0410</t>
  </si>
  <si>
    <t xml:space="preserve">Jourdan Resources Inc
Process Research ORTECH Inc</t>
  </si>
  <si>
    <t xml:space="preserve">Mineral mining company
Provide research,dvlp svcs</t>
  </si>
  <si>
    <t xml:space="preserve">Jourdan Resources Inc, located
in Mississauga, Ontario, is a
mineral mining company. It is
engaged in the acquisition and
exploration of mining
properties in strategic
uranium, precious and base
metal sectors of eastern
Canada. It holds interests in
Dissimieux Lake Phosphate
Project, Pivert-Stairs
Tantalum, Lithium and
Beryllium Property, Valle
Lithium Properties, Baillarge
Molybednum Property and Windy
Gold Property. The Company was
founded in 1970.
Process Research ORTECH Inc is
a provider of research and
development services. The
company is located in Canada.</t>
  </si>
  <si>
    <t xml:space="preserve">1021
8731</t>
  </si>
  <si>
    <t xml:space="preserve">JOURDAN RESOURCES INC/PROCESS RESEARCH ORTECH INC-JOINT VENTURE</t>
  </si>
  <si>
    <t xml:space="preserve">Jourdan Resources Inc and Process Research ORTECH Inc planned to form a
50:50 joint venture TO DEVELOP TECHNOLOGY FOR ON DEMAND AMMONIA PRODUCTION</t>
  </si>
  <si>
    <t xml:space="preserve">480901
5E9282</t>
  </si>
  <si>
    <t xml:space="preserve">Baker Hughes Inc
Aker Solutions ASA</t>
  </si>
  <si>
    <t xml:space="preserve">Mnfr oil,natural gas machinery
Mnfr,whl oilfield machinery</t>
  </si>
  <si>
    <t xml:space="preserve">It also provides services
for drilling, formation
evaluation, completion and
production. It also offers
machinery and equipment
leasing. It operates in two
segments, Drilling and
Evaluation,Completion
Production. The Drilling and
Evaluation segment provides
products and services used
to drill and evaluate oil
and natural gas wells. Its
products include
drillingcompletion fluids,
and drill bits. The
Completion and Production
segment provides equipment
and services used from the
completion phase through the
productive life of oil and
natural gas wells. The
Company was founded in 1987.
Baker Hughes Inc, located in
Houston, Texas, manufactures
oil and natural gas
machinery.
Aker Solutions ASA, located
in Fornebu, Norway,
manufactures and wholesales
oilfield machinery. It also
provides services for
drilling, field development,
and production in the oil
and gas industry worldwide.
It offers drilling
technologies, including
drilling equipment and
lifecycle services; and
engineering services,
including studies and front
end services. The company
was founded in 1971.</t>
  </si>
  <si>
    <t xml:space="preserve">3533
3533</t>
  </si>
  <si>
    <t xml:space="preserve">AKER SOLUTIONS ASA/BAKER HUGHES INC-STRATEGIC ALLIANCE</t>
  </si>
  <si>
    <t xml:space="preserve">Aker Solutions ASA and Baker Hughes Inc planned to form a strategic
alliance to mitigate risk, accelerate output and extend the life of subsea
fields. The alliance team also will focus on advancing the industry's
well-intervention capabilities to further optimize efficiency and reduce
risks in subsea developments and to capitalize on subsea production-related
opportunities</t>
  </si>
  <si>
    <t xml:space="preserve">Research &amp; Development Services
Engineering Services
Oil and Gas; Petroleum Services</t>
  </si>
  <si>
    <t xml:space="preserve">057224
00973A</t>
  </si>
  <si>
    <t xml:space="preserve">AirVend
Fresh Healthy Vending Intl Inc</t>
  </si>
  <si>
    <t xml:space="preserve">Computer and Software Stores
Vending Machine Operators</t>
  </si>
  <si>
    <t xml:space="preserve">AirVend is a computer and
software retailer. The company
is located in Utah.
Fresh Healthy Vending
International Inc, located
in San Diego, California,
owns and operates vending
machines. It operates 1,775
vending machines offering
natural, organic and healthy
food and beverage products.
The company was founded in
2011.</t>
  </si>
  <si>
    <t xml:space="preserve">5734
5962</t>
  </si>
  <si>
    <t xml:space="preserve">AIRVEND/FRESH HEALTHY VENDING INTERNATIONAL INC-STRATEGIC ALLIANCE</t>
  </si>
  <si>
    <t xml:space="preserve">AirVend and Fresh Healthy Vending International Inc formed a strategic
alliance, to innovation and technology, consistently increasing the value
of our machines for both existing and future franchisees, as well as
locations nationwide.</t>
  </si>
  <si>
    <t xml:space="preserve">6E0892
9A0824</t>
  </si>
  <si>
    <t xml:space="preserve">USG Corp
XL Brands</t>
  </si>
  <si>
    <t xml:space="preserve">Gypsum Product Manufacturing
Flooring Contractors</t>
  </si>
  <si>
    <t xml:space="preserve">USG Corp, located in
Chicago, Illinois, is a
manufacturer and wholesaler
of building materials and a
holding company. Its
products are used in new
residential and
nonresidential repair and
remodel construction,
including gypsum and
interior systems products.
Some of its products include
Durock Br Tile Membrane and
Durock Tile Membrane
Adhesive, acoustical ceiling
tiles with brand names USG
Ceilings Frost, USG Ceilings
Fresco and USG Ceilings
Brio, drywall suspension
systems, and interior
finishing systems such as
Sheetrock Brand Joint tapes,
Beadex Brand drywall tape,
Sheetrock Brand Fiberglass
drywall tape, Durock brand
joint tapes and Sheetrock
brand durabond joint
compound. The Company was
founded in 1902.
XL Brand, located in Dalton,
Georgia, is a flooring
contractor. It manufactures
and distributes installation
related products for the
commercial floor covering
industry.</t>
  </si>
  <si>
    <t xml:space="preserve">3275
1752</t>
  </si>
  <si>
    <t xml:space="preserve">IL
GA</t>
  </si>
  <si>
    <t xml:space="preserve">USG CORP/XL BRANDS-STRATEGIC ALLIANCE</t>
  </si>
  <si>
    <t xml:space="preserve">In January 1, USG Corp and XL Brands were seeking partners to form an
alliance to develop new technologies for the flooring industry</t>
  </si>
  <si>
    <t xml:space="preserve">903293
5E9284</t>
  </si>
  <si>
    <t xml:space="preserve">Raybiotech Inc
XCellCure, LLC</t>
  </si>
  <si>
    <t xml:space="preserve">Biotechnology company
Medical, Dental, and Hospital Equipment and Supplies Merchant Wholesalers</t>
  </si>
  <si>
    <t xml:space="preserve">Raybiotech Inc is a
manufacturer of biological
products. The Company is
located in Georgia.
XCellCure LLC is a medical
equipment and supplies
wholesaler. The company is
located in Missouri.</t>
  </si>
  <si>
    <t xml:space="preserve">2836
5047</t>
  </si>
  <si>
    <t xml:space="preserve">GA
MO</t>
  </si>
  <si>
    <t xml:space="preserve">RAYBIOTECH, INC/XCELLCURE, LLC-STRATEGIC ALLIANCE</t>
  </si>
  <si>
    <t xml:space="preserve">RayBiotech, Inc and XCellCure, LLC planned to form a strategic alliance for
development of cardiovascular disease diagnostic kit</t>
  </si>
  <si>
    <t xml:space="preserve">5E4597
5E4596</t>
  </si>
  <si>
    <t xml:space="preserve">Janssen Pharmaceutica NV
Prometheus Laboratories Inc</t>
  </si>
  <si>
    <t xml:space="preserve">Manufacture pharmaceuticals
Mnfr,whl pharmaceutical</t>
  </si>
  <si>
    <t xml:space="preserve">Janssen Pharmaceutica NV,
located in Beerse, Belgium,
manufactures prescription
pharmaceuticals intended for
final consumption, including
biotech products and
antibiotics.
Prometheus Laboratories Inc,
located in San Diego,
California, manufactures and
wholesales specialty
pharmaceutical drugs. It
primarily focuses on the
treatment, diagnosis and
detection of
gastrointestinal, autoimmune
and inflammatory diseases
and disorders. The Company
was founded in 1995.</t>
  </si>
  <si>
    <t xml:space="preserve">J&amp;J
Nestle SA</t>
  </si>
  <si>
    <t xml:space="preserve">JANSSEN PHARMACEUTICA NV/PROMETHEUS LABORATORIES INC-JOINT VENTURE</t>
  </si>
  <si>
    <t xml:space="preserve">Janssen Pharmaceutica Nv and Prometheus Laboratories Inc formed a Joint
Venture to identify the biological triggers that cause or lead to the
development of inflammatory bowel disease (IBD) in united state of America.
Janssen Pharmaceutica Nv was held a 50% interest in the JV while Prometheus
Laboratories Inc was to held the remaining 50% stake.</t>
  </si>
  <si>
    <t xml:space="preserve">47088B
74478R</t>
  </si>
  <si>
    <t xml:space="preserve">Synthetic Genomics Inc
Lung Biotechnology PBC</t>
  </si>
  <si>
    <t xml:space="preserve">Synthetic Genomics Inc, La
Jolla, California, provides
research and development
services to address global
energy and environmental
issues. It is mainly focused
on bioenergy areas, like
biofuels, biofeeedstocks,
hydrocarbons, and
photosynthetic organisms,
serving the chemical,
pharmaceutical and energy
industries. The company was
founded in 2005.
Lung Biotechnology PBC is a
manufacturer of pharmaceutical
preparation. The company is
located in Maryland.</t>
  </si>
  <si>
    <t xml:space="preserve">SYNTHETIC GENOMICS INC/LUNG BIOTECHNOLOGY PBC-STRATEGIC ALLIANCE</t>
  </si>
  <si>
    <t xml:space="preserve">Synthetic Genomics Inc and Lung Biotechnology PBC planned to form a
strategic alliance to develop humanized pig organs using synthetic genomic
advances.Collaboration will focus upon developing organs for human patients
in need of transplantation, with an initial focus on lung diseases</t>
  </si>
  <si>
    <t xml:space="preserve">87720P
5E3943</t>
  </si>
  <si>
    <t xml:space="preserve">GE Oil &amp; Gas UK Ltd
Devon Energy Corp</t>
  </si>
  <si>
    <t xml:space="preserve">Manufactures advanced technology turbo machinery
Crude Petroleum and Natural Gas Extraction</t>
  </si>
  <si>
    <t xml:space="preserve">GE Oil &amp; Gas UK Ltd, located
in Aberdeen, the United
Kingdom, manufactures
advanced technology turbo
machinery, including
compressors and turbines.
Its products and services
include turbo machinery
solutions, subsea systems &amp;
drilling, measurement &amp;
controls, surface, and
downstream technology
solutions. The Company was
founded on October 9, 1980.
Devon Energy Corp, located
in Oklahoma City, Oklahoma,
is an oil and gas
exploration and production
company with operations in
North America, Brazil, West
Africa, the Middle East and
China. It owns oil and gas
properties principally in
the Permian Basin, the
Mid-Continent, the Rocky
Mountains, and onshore and
offshore Gulf Coast regions
in the United States, as
well as in the western
Canadian sedimentary basin
in Alberta and British
Columbia. The Company was
founded in 1971.</t>
  </si>
  <si>
    <t xml:space="preserve">3533
1311</t>
  </si>
  <si>
    <t xml:space="preserve">FF
OK</t>
  </si>
  <si>
    <t xml:space="preserve">General Electric Co
Devon Energy Corp</t>
  </si>
  <si>
    <t xml:space="preserve">3612
1311</t>
  </si>
  <si>
    <t xml:space="preserve">GE OIL &amp; GAS/DEVON ENERGY CORP-STRATEGIC ALLIANCE</t>
  </si>
  <si>
    <t xml:space="preserve">GE Oil Gas and Devon Energy Corp planned to form a strategic alliance to
accelerate the development and testing of products in the field to enhance
the performance and economics of unconventional oil and gas projects</t>
  </si>
  <si>
    <t xml:space="preserve">36952V
25179M</t>
  </si>
  <si>
    <t xml:space="preserve">New Colombia Resources Inc
Farmatech S.A.</t>
  </si>
  <si>
    <t xml:space="preserve">Coal mining
Pharmaceutical Preparation Manufacturing</t>
  </si>
  <si>
    <t xml:space="preserve">New Colombia Resources Inc,
headquartered in Sunny Isles
Beach, Florida, Us, is a coal
mining company that is focused
on the acquisition and
development of coal properties
in Colombia.
Farmatech S.A. is a
manufacturer of pharmaceutical
preparation. The company is
located in Colombia.</t>
  </si>
  <si>
    <t xml:space="preserve">1221
2834</t>
  </si>
  <si>
    <t xml:space="preserve">United States
Colombia</t>
  </si>
  <si>
    <t xml:space="preserve">NEW COLOMBIA RESOURCES INC/FARMATECH S.A.-STRATEGIC ALLIANCE</t>
  </si>
  <si>
    <t xml:space="preserve">Colombia</t>
  </si>
  <si>
    <t xml:space="preserve">New Colombia Resources Inc and Farmatech S.A. formed a strategic alliance
for Research and Development of Topical Cannabis Based Medicines in
Colombia</t>
  </si>
  <si>
    <t xml:space="preserve">64359T
5E3282</t>
  </si>
  <si>
    <t xml:space="preserve">Biotech Development Co
Proteo Biotech AG</t>
  </si>
  <si>
    <t xml:space="preserve">Provide research services
Biotechnology company</t>
  </si>
  <si>
    <t xml:space="preserve">8733
2836</t>
  </si>
  <si>
    <t xml:space="preserve">Biotech Development Co
Proteo Inc(Proteo Mkgt Inc)</t>
  </si>
  <si>
    <t xml:space="preserve">PROTEO BIOTECH AG/BIOTECH DEVELOPMENT CORP-STRATEGIC ALLIANCE</t>
  </si>
  <si>
    <t xml:space="preserve">Proteo Biotech AG and Biotech Development Corp formed a strategic alliance
to develop orphan medicinal product Tiprelestat for prophylactic treatment
of acute postoperative inflammatory complications after resection of
esophageal cancer in the European Union.</t>
  </si>
  <si>
    <t xml:space="preserve">09068K
73987F</t>
  </si>
  <si>
    <t xml:space="preserve">Teledyne Brown Engineering Inc
DLR</t>
  </si>
  <si>
    <t xml:space="preserve">Pvd sys engineering svcs
Space Research and Technology</t>
  </si>
  <si>
    <t xml:space="preserve">Provide systems engineering
services; provide software and
engineering services, as well
as hardware development for
many other programs of the
U.S. Army, Air Force, Navy,
Marines, and Coast Guard
German Aerospace Center is a
space research establishment.
The company was founded in
1969 and is located in
Cologne, Germany.</t>
  </si>
  <si>
    <t xml:space="preserve">8711
9661</t>
  </si>
  <si>
    <t xml:space="preserve">AL
FF</t>
  </si>
  <si>
    <t xml:space="preserve">Allegheny Technologies Inc
DLR</t>
  </si>
  <si>
    <t xml:space="preserve">3317
9661</t>
  </si>
  <si>
    <t xml:space="preserve">TELEDYNE BROWN ENGINEERING INC/GERMAN AEROSPACE CENTER-STRATEGIC ALLIANCE</t>
  </si>
  <si>
    <t xml:space="preserve">Teledyne Brown Engineering Inc and German Aerospace Center announced a
strategic alliance to use the International Space Station (ISS) for Earth
observation with the signing of an Implementation Agreement at the ILA
Berlin Air Show IN Berlin, Germany.</t>
  </si>
  <si>
    <t xml:space="preserve">87933D
1E3636</t>
  </si>
  <si>
    <t xml:space="preserve">Magellan Aerospace Corp
University of Manitoba</t>
  </si>
  <si>
    <t xml:space="preserve">Other Aircraft Parts and Auxiliary Equipment Manufacturing
University</t>
  </si>
  <si>
    <t xml:space="preserve">Magellan Aerospace Corp,
located in Mississauga,
Ontario, manufactures
aircraft parts, radar
equipment, and satellite
structures. It has four
product areas -
Aero-engines,
Aero-structures, Defense and
Space, and Specialty
Products. The Aero-engines
business manufactures
complex cast, fabricated and
machined gas turbine engine
components, both static and
rotating. The
Aero-structures business
supplies products to an
international customer base
in the civil and defense
markets. Design engineering,
precision casting,
conventional and high speed
automated machining centers,
composite parts
capabilities, surface
treatment capabilities, and
complex sheet metal
fabrication are all
available in an integrated
single source environment.
The Rockets and Space
business unit manufactures
solid propellant rocket
motors and hardware, small
satellites, and space
science payloads. And
lastly, the Specialty
Products business unit is
comprised of the company's
proprietary products and
non-aerospace products where
it has applied aerospace
technologies and processes
to other industries
including oil field drilling
products and land based
power generation units. The
Company was founded in
February 1996.
University</t>
  </si>
  <si>
    <t xml:space="preserve">3728
8221</t>
  </si>
  <si>
    <t xml:space="preserve">MAGELLAN AEROSPACE CORP/UNIVERSITY OF MANITOBA - JOINT VENTURE</t>
  </si>
  <si>
    <t xml:space="preserve">Magellan Aerospace Corp (MAC) and University Of Manitoba (UOM) formed a
joint venture named Advanced Satellite Integration Facility (Asif) located
in Winnipeg Manitoba. Magellan Aerospace Corp and University Of Manitoba
will each hold a 50% interest in the JV. The purpose of the JV is alliance
to create a hub where industry and academia can join together in the
research, development, and the construction and testing of satellite buses
and components.</t>
  </si>
  <si>
    <t xml:space="preserve">Magellan will invest more than Cdn. $2 million in the project that will
contribute to the construction of the facility, multi-year program funding,
and the establishment of an Industrial Research Chair in the area of
satellite development within the Faculty of Engineering at the University
of Manitoba.</t>
  </si>
  <si>
    <t xml:space="preserve">558912
91439F</t>
  </si>
  <si>
    <t xml:space="preserve">Total SA
Oil Co LUKOIL PJSC</t>
  </si>
  <si>
    <t xml:space="preserve">Oil and gas company
Manufacture petroleum products</t>
  </si>
  <si>
    <t xml:space="preserve">Total SA, located in Paris,
France, is an oil and gas
company. Its operations
include petroleum products
distribution, electricity
generation, refining and
chemistry, via 18
international refineries,
manufacturing of basic and
special chemistry products
(olefins, aromatics, rubber,
resins) and hydrocarbon
production with operations
in Europe, Africa, Middle
East, South and North
America and Asia Pacific.
Its products are also used
in aviation, heating and
marine sectors. It also has
operations in
transportation, storage and
sales of gas, LNG, LPG and
carbon. It is also a holding
company. The Company was
founded on March 28, 1924.
Oil Co LUKOIL PJSC is a
petroleum refinery operator.
The primary activities of
the Company and its
subsidiaries are oil
exploration, production,
refining, marketing and
distribution. Its segments
include Exploration and
Production,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
The Company was founded in
November 1991 and is located
in Moscow, the Russian
Federation.</t>
  </si>
  <si>
    <t xml:space="preserve">TOTAL SA/OAO NEFTYANAYA KOMPANIYA LUKOIL-JOINT VENTURE</t>
  </si>
  <si>
    <t xml:space="preserve">Total SA(Total) and Lukoil (Lukoil) Agreed to form a joint venture to
develop the Bazhen tight oil play in Western Siberia in Paris. Under terms
of the agreement, Total was to hold a 49% interest while Lukoil was to hold
the remaining 51% interest</t>
  </si>
  <si>
    <t xml:space="preserve">89151E
677862</t>
  </si>
  <si>
    <t xml:space="preserve">Qatar Petrochemical Co QSC
Materia Inc</t>
  </si>
  <si>
    <t xml:space="preserve">Mnfr ethylene chemicals
Dvlp software</t>
  </si>
  <si>
    <t xml:space="preserve">Qatar Petrochemical Co QSC,
located in Doha, Qatar,
manufactures ethylene, sulphur
chemicals and other
petrochemical products. It was
founded in 1974.
Materia Inc is a software.
The Company was founded in
1997 and is located in
Pasadena, California.</t>
  </si>
  <si>
    <t xml:space="preserve">2911
7372</t>
  </si>
  <si>
    <t xml:space="preserve">Qatar
United States</t>
  </si>
  <si>
    <t xml:space="preserve">Qatar Petroleum Corp
Materia Inc</t>
  </si>
  <si>
    <t xml:space="preserve">1311
7372</t>
  </si>
  <si>
    <t xml:space="preserve">QATAR PETROCHEMICAL CO QSC/MATERIA INC-STRATEGIC ALLIANCE</t>
  </si>
  <si>
    <t xml:space="preserve">Qatar Petrochemical Co QSC and Materia Inc formed a strategic alliance, to
provide research and development services.</t>
  </si>
  <si>
    <t xml:space="preserve">74690R
57672Q</t>
  </si>
  <si>
    <t xml:space="preserve">Swisscom AG
Tamedia AG</t>
  </si>
  <si>
    <t xml:space="preserve">Provide telecommunication svcs
Internet Service Providers</t>
  </si>
  <si>
    <t xml:space="preserve">Swisscom AG is a wired
telecommunications carrier.
The Company provides
telecommunications services,
offering a comprehensive
range of services to
residential and business
customers. It includes
voice, mobile and integrated
communication services, as
well as business ecommerce,
B2B electronic marketplace
and broadcasting solution
services. The Company was
founded in 1852 and is
located in Bern,
Switzerland.
Tamedia AG is an internet
service provider. The
Company was founded in March
1893 and is located in
Zurich, Switzerland. It is a
Swiss media group.</t>
  </si>
  <si>
    <t xml:space="preserve">4813
7375</t>
  </si>
  <si>
    <t xml:space="preserve">SWISSCOM AG/ TAMEDIA AG-JOINT VENTURE</t>
  </si>
  <si>
    <t xml:space="preserve">Swisscom and Tamedia reached an agreement to form a joint venture.Swisscom
will hold 69 % interest and Tamedia AG will hold the remaining 31% interest
in JV. The JV will form directories joint venture.They want to work
together to develop their directory business into a strong Swiss
alternative to Google.The transaction was subject to regulatory approval.</t>
  </si>
  <si>
    <t xml:space="preserve">69.00
31.00</t>
  </si>
  <si>
    <t xml:space="preserve">871013
8E1371</t>
  </si>
  <si>
    <t xml:space="preserve">Bristol-Myers Squibb Co
CytomX Therapeutics Inc</t>
  </si>
  <si>
    <t xml:space="preserve">Manufactures pharmaceuticals and medical products
Pharmaceutical Preparation Manufacturing</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</si>
  <si>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CytomX Therapeutics Inc,
located in South San
Francisco, California, is an
oncology-focused
biopharmaceutical company
pioneering a novel class of
antibody therapeutics based
on its Probody technology
platform. The company was
founded in 2010.</t>
  </si>
  <si>
    <t xml:space="preserve">BRISTOL-MYERS SQUIBB CO/CYTOMX THERAPEUTICS INC-STRATEGIC ALLIANCE</t>
  </si>
  <si>
    <t xml:space="preserve">Bristol-Myers Squibb Company (Bristol-Myers) and Cytomx Therapeutics INC
(Cytomx) formed a strategic alliance to discover and develop
immuno-oncology which will unlock new ways of treating various cancers. The
strategic alliance also says that their innovative Probody Platform has the
potential to enable novel therapies in this transformational area of cancer
research and development.the toatal worth of the deal is $1.2 billion.it is
pending for regulatory approvals.</t>
  </si>
  <si>
    <t xml:space="preserve">BMS is paying $50 million up front, plus research funding, for which it
will gain exclusive worldwide rights to develop and commercialise Probodies
for up to four oncology targets. These include immune inhibitory checkpoint
receptor CTLA-4 and at a possible $298 million in milestones for each, the
deal could be worth more than $1.2 billion to CytomX, before royalties are
taken into account.</t>
  </si>
  <si>
    <t xml:space="preserve">110122
8A3897</t>
  </si>
  <si>
    <t xml:space="preserve">Qiagen NV
Eli Lilly &amp; Co</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</si>
  <si>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</si>
  <si>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QIAGEN NV/ELI LILLY &amp; CO-STRATEGIC ALLIANCE</t>
  </si>
  <si>
    <t xml:space="preserve">Qiagen NV and Eli Lilly &amp; Co planned to form a strategic alliance to
co-develop universal and modular assay panels for the simultaneous analysis
of DNA and RNA biomarkers targeting multiple cellular pathways involved in
common cancer types in US.</t>
  </si>
  <si>
    <t xml:space="preserve">N72482
532457</t>
  </si>
  <si>
    <t xml:space="preserve">King Abdullah City for Atomic
Abu Dhabi Future Energy Co</t>
  </si>
  <si>
    <t xml:space="preserve">National agency
Own,op cogeneration plants</t>
  </si>
  <si>
    <t xml:space="preserve">King Abdullah City for Atomic
&amp; Renewable Energy, located in
Riyadh, Saudi Arabia, is a
national agency. It was
founded in 2010.
Abu Dhabi Future Energy Co
PJSC is an alternative
energy sources
establishment. It owns and
operates cogeneration
plants. It is a
government-owned
organization mandated to
develop and execute the
Masdar Initiative, which is
a global cooperative
platform for open engagement
in the search for solutions
to some of mankind''s most
pressing issues: energy
security, climate change and
truly sustainable human
development. The Company was
founded in April 2006 and is
located in Abu Dhabi, the
United Arab Emirates.</t>
  </si>
  <si>
    <t xml:space="preserve">999B
499A</t>
  </si>
  <si>
    <t xml:space="preserve">Saudi Arabia
Utd Arab Em</t>
  </si>
  <si>
    <t xml:space="preserve">King Abdullah City for Atomic
United Arab Emirates</t>
  </si>
  <si>
    <t xml:space="preserve">999B
999A</t>
  </si>
  <si>
    <t xml:space="preserve">ABU DHABI FUTURE ENERGY CO PJSC/KING ABDULLAH CITY FOR ATOMIC &amp; RENEWABLE
ENERGY-STRATEGIC ALLIANCE</t>
  </si>
  <si>
    <t xml:space="preserve">King Abdullah City for Atomic &amp; Renewable Energy (KING) and Abu Dhabi
Future Energy Co PJSC (MASDAR) signed an agreement to form a strategic
alliance (ST) to provide research and development services renewable
energy, clean electricity projects and green technology investment funds in
Saudi Arabia and United Arab Emirates.</t>
  </si>
  <si>
    <t xml:space="preserve">49563A
01280A</t>
  </si>
  <si>
    <t xml:space="preserve">Mercer International Inc
Resolute Forest Products Inc</t>
  </si>
  <si>
    <t xml:space="preserve">Mnfr,whl pulp,paper mills
Newsprint Mills</t>
  </si>
  <si>
    <t xml:space="preserve">Mercer International Inc,
located in Vancouver, British
Columbia manufactures and
wholesales pulp and paper
mills. The Company produces
northern bleached softwood
kraft pulp, kraft pulp, and
market pulp. It was founded in
1968.
Resolute Forest Products
Inc, headquartered in
Montreal, Quebec,
manufactures and wholesales
newsprint, coated
publication paper, market
pulp and wood products. It
offers newspapers and
newsprint for various
advertising inserts, flyers,
brochures, circulars,
magazines, telephone and
other directories, and
commercial guides. It also
owns and operates lumberyard
facilities located in the
United States, Canada, the
United Kingdom, and South
Korea. The Company was
founded on January 25, 2007.</t>
  </si>
  <si>
    <t xml:space="preserve">2611
2621</t>
  </si>
  <si>
    <t xml:space="preserve">MERCER INTERNATIONAL INC/RESOLUTE FOREST PRODUCTS INC-JOINT VENTURE</t>
  </si>
  <si>
    <t xml:space="preserve">Mercer International Inc(Mercer) and Resolute Forest Products Inc(Mercer)
formed a joint venture named Performance BioFilaments Inc. Mercer and
Mercer will each hold a 50% interest in the JV. The purpose of JV is to
establishment of commercialize an innovative biomaterial derived from wood
fiber called cellulose filaments.</t>
  </si>
  <si>
    <t xml:space="preserve">Performance BioFilaments will build upon the significant investment made by
FPInnovations in technology development and production through its current
C$43.1 m(US$40.182m)illion cellulose filaments project.</t>
  </si>
  <si>
    <t xml:space="preserve">588056
76117W</t>
  </si>
  <si>
    <t xml:space="preserve">Chalco Hong Kong Ltd
Hangzhou Jinjiang Group Co Ltd</t>
  </si>
  <si>
    <t xml:space="preserve">Mnfr alumina,aluminum prods
Nonferrous Forging</t>
  </si>
  <si>
    <t xml:space="preserve">Chalco Hong Kong Ltd,
manufactures alumina and
aluminum products, located in
Hong Kong. The company is a
wholly owned subsidiary of
Aluminum Corporation of China
Ltd{CHALCO}.
Hangzhou Jinjiang Group Co
Ltd is a manufacturer of
nonferrous forgings. The
Company is also a
manufacturer of chemical
products and is an electric
power generation facility
operator. The Company was
founded in March 1993 and is
located in Hangzhou, China.</t>
  </si>
  <si>
    <t xml:space="preserve">3334
3369</t>
  </si>
  <si>
    <t xml:space="preserve">Aluminum Corp of China Ltd
Hangzhou Jinjiang Group Co Ltd</t>
  </si>
  <si>
    <t xml:space="preserve">CHALCO HONG KONG LTD/HANGZHOU JINJIANG GROUP CO LTD - JOINT VENTURE</t>
  </si>
  <si>
    <t xml:space="preserve">Chalco hong kong ltd (CHL) and hangzhou jinjiang group co ltd (HJCL)
planned to form a joint venture named GUIZHOU HUAJIN ALUMINUM CO LTD
(GHAL).Chalco hong kong ltd and hangzhou jinjiang group co ltd will each
hold a 60% and 40% interest in the JV. CHALCO and Jinjiang Group will
contribute Rmb600 million and Rmb400 million. Upon the establishment of
Huajin Aluminum, CHALCO and Jinjiang Group. The construction of Qingzhen
Alumina Project involves an investment of about Rmb3.8 billion, among which
Rmb1 billion will be financed by Huajin Aluminum by internal funds while
the remaining investment will be made by Huajin Aluminum through the
application of bank loans.</t>
  </si>
  <si>
    <t xml:space="preserve">CHALCO and Jinjiang Group will contribute Rmb600 million and Rmb400
million. Upon the establishment of Huajin Aluminum</t>
  </si>
  <si>
    <t xml:space="preserve">15804K
41039J</t>
  </si>
  <si>
    <t xml:space="preserve">Distribution &amp; Warehousing
Grohe AG</t>
  </si>
  <si>
    <t xml:space="preserve">Mnfr,whl hardware
Plumbing Fixture Fitting and Trim Manufacturing</t>
  </si>
  <si>
    <t xml:space="preserve">Distribution &amp; Warehousing
Network Ltd is manufactures
and wholesales plumbing
products. Its products
includes hardware,
sanitaryware, plumbing,
kitchen, engineering and civil
products. It also provides
warehousing and logistics
services through its
subsidiaries. The Company was
founded in 1984 and is located
in Germiston, South Africa.
Grohe AG is a manufacturer of
plumbing fixture fittings and
trims. The Company was founded
in 1936 and is located in
Dusseldorf, Germany.</t>
  </si>
  <si>
    <t xml:space="preserve">3494
3432</t>
  </si>
  <si>
    <t xml:space="preserve">South Africa
Germany</t>
  </si>
  <si>
    <t xml:space="preserve">Distribution &amp; Warehousing
LIXIL Group Corp</t>
  </si>
  <si>
    <t xml:space="preserve">South Africa
Japan</t>
  </si>
  <si>
    <t xml:space="preserve">3494
3442</t>
  </si>
  <si>
    <t xml:space="preserve">DISTRIBUTION AND WAREHOUSING NETWORK/GROHE AG-JOINT VENTURE</t>
  </si>
  <si>
    <t xml:space="preserve">Distribution and Warehousing Network (DAWN) and Grohe ag (Grohe) planned to
form a joint venture named Grohe Dawn Watertech Holdings (Grohe Dawn
Watertech) to expand the market in South Africa. The JV was to be formed
through Grohe ag acquisition of a 51% stake in DAWN subsidiary Watertech
unit.</t>
  </si>
  <si>
    <t xml:space="preserve">25566Y
39925R</t>
  </si>
  <si>
    <t xml:space="preserve">ADDF
Novartis AG</t>
  </si>
  <si>
    <t xml:space="preserve">Non-profit organization
Pharmaceutical Preparation Manufacturing</t>
  </si>
  <si>
    <t xml:space="preserve">Alzheimers Drug Discovery
Foundation, located in New
York, New York, is not for
profit organization focused on
the development of treatment
for Alzheimers disease.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</si>
  <si>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NOVARTIS AG/ALZHEIMERS DRUG DISCOVERY FOUNDATION-JOINT VENTURE</t>
  </si>
  <si>
    <t xml:space="preserve">Novartis AG and Alzheimers Drug Discovery Foundation formed a joint venture
to study to see whether two experimental drugs that attack amyloids can
prevent or delay Alzheimer's symptoms in people who are at high risk of
developing the incurable disease.</t>
  </si>
  <si>
    <t xml:space="preserve">02293Z
66987V</t>
  </si>
  <si>
    <t xml:space="preserve">Global Bio-chem Tech Grp Co
EdenIQ Inc</t>
  </si>
  <si>
    <t xml:space="preserve">Mnfr,whl corn prod
Pvd research,dvlp svcs</t>
  </si>
  <si>
    <t xml:space="preserve">Global Bio-chem Technology
Group Co Ltd, headquartered
in Admiralty, Hong Kong,
manufactures and wholesales
corn-based and corn-refined
products. The company's
corn-refined products
include corn germ cakes,
corn gluten feed pellets,
corn gluten meals, corn
crude oils, corn starch, and
corn steep liquor meals. Its
corn-based biochemical
products are amino acids,
which include lysine,
protein lysine, glutamic
acid, and threonine; corn
sweeteners, such as
glucose/maltose, high
fructose corn syrups, and
sorbitol; modified starch;
and polyol chemical products
are used in food and
beverages, cosmetics,
textiles, pharmaceuticals,
and nutritional
applications. It operates in
Asia, Europe, North America,
South America, and Africa.
The company was founded in
1994.
EdenIQ Inc is a provider of
research and development
services, headquartered in
Visalia, California. The
company is engaged in the
research and development of
Microbiology Biofuels for the
energy industry.</t>
  </si>
  <si>
    <t xml:space="preserve">5441
8731</t>
  </si>
  <si>
    <t xml:space="preserve">GLOBAL BIO-CHEM TECHNOLOGY GROUP CO LTD/EDENIQ INC-JOINT VENTURE</t>
  </si>
  <si>
    <t xml:space="preserve">Global Bio-chem Technology Group Co Ltd and EdenIQ Inc was planning to form
a joint venture was to develop and commercialise the processes to convert
corn stover to industrial sugars for use in the production of chemicals,
fuels, and other bio-based products. And also to integrate their
technologies in a commercial demonstration plant at Global Bio-chem.s
facility in the Jilin Province of China.</t>
  </si>
  <si>
    <t xml:space="preserve">37919Z
27970P</t>
  </si>
  <si>
    <t xml:space="preserve">Astute Medical Inc
Ortho-Clinical Diagnostics Inc</t>
  </si>
  <si>
    <t xml:space="preserve">Surgical and Medical Instrument Manufacturing
Surgical and Medical Instrument Manufacturing</t>
  </si>
  <si>
    <t xml:space="preserve">Astute Medical Inc, located
in San Diego, California, is
a developer of
biomarker-based medical
diagnostics. It offers
NephroCheck Test and
Astute140 Meter which are
utilized to assess the
condition of a patient.
Ortho-Clinical Diagnostics
Inc, located in Rochester, New
York, is a manufacturer of
clinical laboratory equipments
and diagnostic substances for
hospitals, laboratories and
blood centers.</t>
  </si>
  <si>
    <t xml:space="preserve">Astute Medical Inc
The Carlyle Group LP</t>
  </si>
  <si>
    <t xml:space="preserve">ASTUTE MEDICAL INC/ORTHO-CLINICAL DIAGNOSTICS INC-STRATEGIC ALLIANCE</t>
  </si>
  <si>
    <t xml:space="preserve">Astute Medical Inc and Ortho-Clinical Diagnostics Inc extended their joint
venture to commercialise and develop innovative acute kidney injury tests.</t>
  </si>
  <si>
    <t xml:space="preserve">Supply Services
Research &amp; Development Services
Licensing Services
Health &amp; Medical Services</t>
  </si>
  <si>
    <t xml:space="preserve">1F2028
68753Y</t>
  </si>
  <si>
    <t xml:space="preserve">Catylix Inc
Aspira Scientific Inc</t>
  </si>
  <si>
    <t xml:space="preserve">All Other Miscellaneous Chemical Product and Preparation Manufacturing
Biological Product (Except Diagnostic) Manufacturing</t>
  </si>
  <si>
    <t xml:space="preserve">Catylix Inc, located in
Wilmington, Delaware, is a
chemical manufacturing firm.
The company is specializing in
the development of novel
catalysts and reagents for
chemical synthesis, with a
focus on easier incorporation
of fluorinated functionality
to improve the effectiveness
of biologically-active
compounds. It was founded in
2011.
Aspira Scientific Inc, located
in California, US, provide
highly cost-efficient research
and development solutions
while meeting the
market-expected quality
standards and greater access
to novel research tools
through participation in a
truly global innovation
ecosystem. Through this
collaborative relationship, we
aim to foster a thriving
research environment and
deliver the next scientific
breakthroughs for the
betterment of humanity.</t>
  </si>
  <si>
    <t xml:space="preserve">CATYLIX INC/ASPIRA SCIENTIFIC INC-JOINT VENTURE</t>
  </si>
  <si>
    <t xml:space="preserve">Catylix Inc (Catylix) and Aspira Scientific Inc (Aspira) formed a joint
venture. Catylix and Aspira will each hold an approximately 50% interest in
the JV. The joint venture is to offer new fluorine-containing building
blocks and reagents to customers in the pharmaceutical, agricultural, and
specialty chemical industries.</t>
  </si>
  <si>
    <t xml:space="preserve">3C1688
3C2035</t>
  </si>
  <si>
    <t xml:space="preserve">Landcatch Ltd
Troutlodge Inc
Hendrix Genetics BV</t>
  </si>
  <si>
    <t xml:space="preserve">Own,operate fish farms
Commercial Fishing
Pvd animal breeding svcs</t>
  </si>
  <si>
    <t xml:space="preserve">Landcatch Ltd, located in
Argyll, UK, owns and operates
fish farms. Landcatch Ltd is a
leading supplier of salmon
eggs and juveniles The company
was founded in 1980.
Troutlodge Inc., headquartered
in Bonney Lake, Washington,
is a producer of pathogen-free
rainbow trout eggs. The
companys products include eyed
eggs and live fish. It offers
technical services, such as
hatching and early rearing,
technical bulletins, and
research and development
services. The company operates
15 hatcheries located in the
United States, the Isle of
Man, and Chile. It was founded
in 1945.
Hendrix Genetics BV, located
in Boxmeer, Netherlands,
provides animal breeding
services. Company with 5
divisions layer breeding
(ISA), pig breeding (HYPOR),
turkey breeding (HYBRID),
poultry distribution (SFPA,
INTEGRA, JOICE AND HILL) and
aquaculture breeding*
(LANDCATCH and LNS). , pig
breeding, turkey breeding and
poultry distribution. Its main
locations we are operating
from are Canada, France and
the Netherlands.</t>
  </si>
  <si>
    <t xml:space="preserve">0279
0919
0751</t>
  </si>
  <si>
    <t xml:space="preserve">United Kingdom
United States
Netherlands</t>
  </si>
  <si>
    <t xml:space="preserve">FF
WA
FF</t>
  </si>
  <si>
    <t xml:space="preserve">Thijs Hendrix Beheer BV
Troutlodge Inc
Thijs Hendrix Beheer BV</t>
  </si>
  <si>
    <t xml:space="preserve">Netherlands
United States
Netherlands</t>
  </si>
  <si>
    <t xml:space="preserve">0751
0919
0751</t>
  </si>
  <si>
    <t xml:space="preserve">LANDCATCH LTD/TROUTLODGE INC/HENDRIX GENETICS BV-JOINT VENTURE</t>
  </si>
  <si>
    <t xml:space="preserve">Landcatch Ltd, Troutlodge Inc and Hendrix Genetics BV planned to form a
33.3:33.3:33.3 joint venture named Landcatch-Troutlodge Chile SA to
establish an independent Atlantic salmon breeding programme, backed by
genetics research</t>
  </si>
  <si>
    <t xml:space="preserve">51466C
2C5764
42546K</t>
  </si>
  <si>
    <t xml:space="preserve">Allied Minds PLC
Bristol-Myers Squibb Co</t>
  </si>
  <si>
    <t xml:space="preserve">Financial Sponsor
Manufactures pharmaceuticals and medical products</t>
  </si>
  <si>
    <t xml:space="preserve">Allied Minds PLC, located in
London, the United Kingdom,
is a financial sponsor. It
invests in and advance
innovation developed in
universities in the United
States. The Company's
business model is to form,
fund, manage and build
start-up companies to
undertake research and
product development and to
commercialize scientific
research and innovations
emerging from universities
in the United States, and
scientific research and
innovations emerging from
the United States federal
research institutions and
laboratories.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</si>
  <si>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ALLIED MINDS PLC/BRISTOL-MYERS SQUIBB CO-JOINT VENTURE</t>
  </si>
  <si>
    <t xml:space="preserve">Allied Minds PLC and Bristol-Myers Squibb Co planned to form a joint
venture named ALLIED-BRISTOL LIFE SCIENCES LLC to identify and foster
research and pre-clinical development of biopharmaceutical.</t>
  </si>
  <si>
    <t xml:space="preserve">0C6790
110122</t>
  </si>
  <si>
    <t xml:space="preserve">Doehler GmbH
Afriplex Pty Ltd</t>
  </si>
  <si>
    <t xml:space="preserve">Produce natural ingredients
Biological Product (Except Diagnostic) Manufacturing</t>
  </si>
  <si>
    <t xml:space="preserve">Doehler GmbHis a producer of
natural ingredients. Its
products include flavors,
colors, alcoholic bases,
non-alcoholic bases, cereal
ingredients, dairy
ingredients, emulsions, tea
and coffee ingredients, NFC
juices, fruit ingredients,
multi fruit and vegetable
blends. It operates in 130
countries in Africa, Asia,
Europe, North and South
America. The Company was
founded in 1838 and is
located in Darmstadt,
Germany.
Afriplex Pty Ltd, located in
Paarl, South Africa is a
producer and wholesaler of
biological products.</t>
  </si>
  <si>
    <t xml:space="preserve">2087
2836</t>
  </si>
  <si>
    <t xml:space="preserve">Germany
South Africa</t>
  </si>
  <si>
    <t xml:space="preserve">DOEHLER GROUP/AFRIPLEX PTY LTD-JOINT VENTURE</t>
  </si>
  <si>
    <t xml:space="preserve">DOHLER SOUTH AFRICA PTY LTD is
a provider of social sciences
research and development
services. The company is
located in Paarl, South
Africa.</t>
  </si>
  <si>
    <t xml:space="preserve">DOEHLER GmbH and Afriplex Pty Ltd formed a 50:50 joint venture named DOHLER
SOUTH AFRICA PTY LTD to deliver integrated ingredient solutions that are
tailored to the needs of Southern African markets in terms of taste
preferences, technological and regulatory requirements</t>
  </si>
  <si>
    <t xml:space="preserve">3E7743</t>
  </si>
  <si>
    <t xml:space="preserve">25656X
2C9321</t>
  </si>
  <si>
    <t xml:space="preserve">Ernie Green Industries
The Powder Coating Research Gr</t>
  </si>
  <si>
    <t xml:space="preserve">Provide research,dvlp svcs
Metal Service Centers</t>
  </si>
  <si>
    <t xml:space="preserve">Ernie Green Industries is a
provider of research and
development services. The
company was founded in 1981
and is located in Columbus,
Ohio.
The Powder Coating Research
Group is a provider of metal
coating and surfacing
services. The company was
founded in April 2007 and is
located in Columbus, United
States.</t>
  </si>
  <si>
    <t xml:space="preserve">8731
3479</t>
  </si>
  <si>
    <t xml:space="preserve">ERNIE GREEN INDUSTRIES/THE POWDER COATING RESEARCH GROUP-JOINT VENTURE</t>
  </si>
  <si>
    <t xml:space="preserve">Ernie Green Industries and The Powder Coating Research Group planned to
form a joint venture to produces and supplies unique custom powder coating
technology</t>
  </si>
  <si>
    <t xml:space="preserve">29582F
9C3657</t>
  </si>
  <si>
    <t xml:space="preserve">TJ Inst of Pharm
HUYA Bioscience Intl LLC</t>
  </si>
  <si>
    <t xml:space="preserve">Research and Development in The Physical, Engineering and Lifesciences (Except Biotechnology)
Manufacture pharmaceuticals</t>
  </si>
  <si>
    <t xml:space="preserve">Tianjin Institute of
Pharmaceutical Research,
located in Tianjin, China is
an institute of research and
development. The company was
founded in 1959.
HUYA Bioscience
International LLC,
headquartered in San Diego,
California, is a
pharmaceutical manufacturing
firm. The company has an
office in Shanghai, China.
The company focuses on
biopharmaceutical
innovations originating from
China. They cooperate with
various Chinese
biopharmaceutical companies
and organization for
research and development of
China-sourced pharmaceutical
products. The company was
founded in 2004.</t>
  </si>
  <si>
    <t xml:space="preserve">HUYA BIOSCIENCE INTERNATIONAL LLC/TIANJIN INSTITUTE OF PHARMACEUTICAL
RESEARCH-JOINT VENTURE</t>
  </si>
  <si>
    <t xml:space="preserve">Huya Bioscience International LLC and Tianjin Institute of Pharmaceutical
Research formed a joint venture named TIPR-HUYA Advancing Innovative
Medicines to develop medical technologies and therapies, originating in
both China and the western world, for global markets.</t>
  </si>
  <si>
    <t xml:space="preserve">2C9226
44430R</t>
  </si>
  <si>
    <t xml:space="preserve">Sigma-Aldrich Corp
University of Michigan</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</si>
  <si>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University of Michigan,
located in Ann Arbor,
Michigan, is an owner and
operator of a college and
university that offers
degree programs for
undergraduate and graduate
students.</t>
  </si>
  <si>
    <t xml:space="preserve">SIGMA-ALDRICH CORP/UNIVERSITY OF MICHIGAN-STRATEGIC ALLIANCE</t>
  </si>
  <si>
    <t xml:space="preserve">Sigma-Aldrich Corp (SAC) and University of Michigan (UC) formed a strategic
alliance. The purpose of the alliance is to accelerate gene editing-based
research at the U-M Medical School. The Sigma-Aldrich CRISPR Core
partnership helps accelerate the pace of translational research, removing
the design and production hurdles with CRISPR or Zinc Finger Nucleases,
hence allowing scientists to focus on their research.</t>
  </si>
  <si>
    <t xml:space="preserve">826552
91445Q</t>
  </si>
  <si>
    <t xml:space="preserve">TFChem SAS
Biogalenys</t>
  </si>
  <si>
    <t xml:space="preserve">Pvd drug research svcs
Laboratory Equipment Supplier</t>
  </si>
  <si>
    <t xml:space="preserve">TFChem SAS, located in
Val-De-Reuil, France, provides
drug research services. The
company specializes in the
synthesis and stabilization of
carbohydrate-based molecules.
Biogalenys is a Laboratory
Equipment Supplier. The
company is located in Miserey,
France.</t>
  </si>
  <si>
    <t xml:space="preserve">TFCHEM SAS/BIOGALENYS-JOINT VENTURE</t>
  </si>
  <si>
    <t xml:space="preserve">TFChem SAS and Biogalenys planned to form a joint venture.</t>
  </si>
  <si>
    <t xml:space="preserve">90071P
5E2637</t>
  </si>
  <si>
    <t xml:space="preserve">The Nielsen Co
Simulmedia Inc</t>
  </si>
  <si>
    <t xml:space="preserve">Pvd audience measurement svcs
Radio and Television Broadcasting and Wireless Communications Equipment Manufacturing</t>
  </si>
  <si>
    <t xml:space="preserve">The Nielsen Company, based
in New York, New York,
provides audience
measurement and marketing
information services. The
company offers information,
insight, analysis and advice
about consumers to packaged
goods manufacturers and
retailers and for other
consumer service industries.
The company provides
television audience
measurement, print
readership measurement,
internet audience
measurement, advertising
expenditure and content
information, entertainment
information and services,
media planning services,
advertising rate and
circulation data,
point-of-sale retail
measurement, consumer
panels, customized research,
new product sales
forecasting, consumer
segmentation and targeting,
marketing campaign tracking,
analysis and consulting and
publications, trade shows
and digital
business-to-business
products and services. The
company was founded in 1923.
Simulmedia Inc, located in
New York, New York, is a
marketing technology company
that uses television as an
advertising medium. Its
Simulmedias Performance TV
platform that provides
data-driven TV campaigns for
national advertisers. The
Company was founded in 2008.</t>
  </si>
  <si>
    <t xml:space="preserve">7311
3663</t>
  </si>
  <si>
    <t xml:space="preserve">THE NIELSEN COMPANY/SIMULMEDIA INC-STRATEGIC ALLIANCE</t>
  </si>
  <si>
    <t xml:space="preserve">The Nielsen Company and Simulmedia Inc formed a strategic alliance to
research "long tail" TV network measurement</t>
  </si>
  <si>
    <t xml:space="preserve">65417K
2E7858</t>
  </si>
  <si>
    <t xml:space="preserve">Insecticides(India)Ltd
OAT Agrio Co Ltd</t>
  </si>
  <si>
    <t xml:space="preserve">Manufacture pesticides
Nitrogenous Fertilizer Manufacturing</t>
  </si>
  <si>
    <t xml:space="preserve">Insecticides (India) Ltd,
headquartered in Delhi, India,
manufactures pesticides. The
company's products include
insecticides, fungicides,
herbicides, rodenticides,
weedicides, fumigants,
nematocides, and plant growth
regulators.
OAT Agrio Co Ltd, located in
Tokyo Japan, formerly Otsuka
Agritechno Co Ltd,
manufactures and sells
agricultural chemicals and
fertilizers. The Company is
engaged in research and
development, manufacture and
sale of herbicides,
fungicides, insecticides,
and plant regulators for
crop protection, as well as
fertilizers for use in
agriculture and soilless
culture for crop production.
The Company's products
include the insecticide-
nematicide Oncol
(Benfuracarb) which is used
on many crops in over 60
countries around the world,
the insecticide Orion
(Alanycarb) and Hachi- Hachi
(Tolfenpyrad) for fruit. The
Company develops and
commercializes fertilizers
for horticulture such as
soilless culture,
agriculture in general and
cut- flowers. The Company
also develops drip
fertigation system for use
in soil- cultivated crops in
greenhouses. The company was
founded in 2010.</t>
  </si>
  <si>
    <t xml:space="preserve">INSECTICIDES(INDIA)LTD/OAT AGRIO CO LTD-JOINT VENTURE</t>
  </si>
  <si>
    <t xml:space="preserve">OAT &amp; IIL INDIA LABORATORIES
PVT LTD is a provider of
research and development
services. The company was
founded in September 2014 and
is located in.</t>
  </si>
  <si>
    <t xml:space="preserve">Insecticides India Ltd (IIL) and OAT Agrio Co Ltd formed a joint venture
named OAT &amp; IIL India Laboratories Pvt Ltd for provide scientists of India
and Japan under one roof to research and invent 2-3 agrochemical molecules
to control pests, weeds, and diseases affecting important crops like
soybean, cotton, wheat and rice across globe in next 3 years in India.Under
the terms of agreement IIL hold 50% stake while reaming 50% stake hold by
OAT Agrio.</t>
  </si>
  <si>
    <t xml:space="preserve">2E0008</t>
  </si>
  <si>
    <t xml:space="preserve">Y40852
1C1922</t>
  </si>
  <si>
    <t xml:space="preserve">Takeda Pharmaceutical Co Ltd
MacroGenics Inc</t>
  </si>
  <si>
    <t xml:space="preserve">Mnfr pharmaceutical products
Biopharmaceutical company</t>
  </si>
  <si>
    <t xml:space="preserve">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
MacroGenics Inc, located in
Rockville, Maryland, is a
biopharmaceutical company
focused on discovering and
developing innovative
monoclonal antibody-based
therapeutics for the
treatment of cancer and
autoimmune diseases. The
company was founded in 2000.</t>
  </si>
  <si>
    <t xml:space="preserve">MACROGENICS INC/TAKEDA PHARMACEUTICAL CO LTD-STRATEGIC ALLIANCE</t>
  </si>
  <si>
    <t xml:space="preserve">Macrogenics Inc and Takeda Pharmaceutical Co Ltd formed a strategic
alliance to develop and commercialize up to four product candidates.</t>
  </si>
  <si>
    <t xml:space="preserve">874058
556099</t>
  </si>
  <si>
    <t xml:space="preserve">Bacterial Robotics LLC
Bacmine SL</t>
  </si>
  <si>
    <t xml:space="preserve">Biotechnology company
Other Biotechnology &amp; Medical Research</t>
  </si>
  <si>
    <t xml:space="preserve">Bacterial Robotics LLC,
located in Cincinnati, Ohio,
is a biotechnology company
engaged in programming
micro-organisms using
synthetic biology to produce
microscopic robots.
Bacmine SL, headquartered in
Madrid, Spain, is a synthetic
biology company. The company
develops tools for the next
generation of synthetic
biology. Its product includes
plug-and-play genetic
circuitry that is used in
industrial strains for
optimization of metabolic
pathways. The company offers
solutions for manufacturing
industry, including metabolic
engineering, design and
synthesis of novel
biologicals, and generation
and screening of large
libraries of antibody.</t>
  </si>
  <si>
    <t xml:space="preserve">BACTERIAL ROBOTICS LLC/BACMINE SL-STRATEGIC ALLIANCE</t>
  </si>
  <si>
    <t xml:space="preserve">Bacterial Robotics LLC and Bacmine SL formed a strategic alliance to
develop new and novel organisms and synthetic biology technologies.</t>
  </si>
  <si>
    <t xml:space="preserve">7A4359
3C5012</t>
  </si>
  <si>
    <t xml:space="preserve">Zhejiang Qianjiang Motorcycle
Zhejiang New Energy Technology
Cao Zhenhua</t>
  </si>
  <si>
    <t xml:space="preserve">Mnfr,whl motorcycle
Pvd info tech svcs
Financial Sponsor</t>
  </si>
  <si>
    <t xml:space="preserve">Zhejiang Qianjiang Motorcycle
Co Ltd is a manufacturer and
wholesaler of motorcycles,
bicycles and parts. The
company was founded in March
1999 and is located in
Wenling, China.
Zhejiang New Energy Technology
Co Ltd, located in China,
provides information
technology services.
Cao Zhenhua, located in China,
is an individual investor.</t>
  </si>
  <si>
    <t xml:space="preserve">3751
7376
6799</t>
  </si>
  <si>
    <t xml:space="preserve">ZHEJIANG QIANJIANG MOTORCYCLE/ZHEJIANG NEW ENERGY TECHNOLOGY/CAO
ZHENHUA-JOINT VENTURE</t>
  </si>
  <si>
    <t xml:space="preserve">Zhejiang Qianjiang Motorcycle Co Ltd, Zhejiang New Energy Technology Co Ltd
and Cao Zhenhua planned to form a 50:25:25 joint venture engaged in R&amp;D and
sales of lithium batteries.</t>
  </si>
  <si>
    <t xml:space="preserve">The joint venture will be set up with a registered capital of USD 4.8933
million (CNY 30 million).</t>
  </si>
  <si>
    <t xml:space="preserve">98972P
99187A
3E6840</t>
  </si>
  <si>
    <t xml:space="preserve">JIC Capital Mgmt (Tianjin) Co
SunEdison Inc</t>
  </si>
  <si>
    <t xml:space="preserve">Financial Sponsor
Manufacture, wholesale photovoltaic energy systems</t>
  </si>
  <si>
    <t xml:space="preserve">JIC Capital Management
(Tianjin) Co Ltd located in
Beijing, China is a
financial sponsor. The
Company was founded in
February 2011.
SunEdison Inc, located in
Maryland Heights, Missouri,
is a manufacturer and
wholesaler of photovoltaic
energy systems, an owner and
operator of clean power
generation assets, and a
developer and manufacturer
of silicon wafers. The
Company operates in three
segments: Solar Energy,
TerraForm Power and
through SunEdison
Semiconductor Ltd. (SSL).
The Company's Solar Energy
segment provides solar
energy services that
integrate the design,
installation, financing,
monitoring, operations and
maintenance portions of the
downstream solar market for
the Company's customers.
The Company's TerraForm
Power segment owns and
operates clean power
generation assets, both
developed by the Solar
Energy segment and acquired
through third party
acquisitions that sell
electricity through
long-term power purchase
agreements to utility,
commercial, and residential
customers. The Company's
Semiconductor Materials
segment includes the
manufacture and sale of
silicon wafers to the
semiconductor industry. The
Company was founded in 1959.</t>
  </si>
  <si>
    <t xml:space="preserve">Peoples Republic of China
SunEdison Inc</t>
  </si>
  <si>
    <t xml:space="preserve">JIC CAPITAL MANAGEMENT/SUNEDISON INC-JOINT VENTURE</t>
  </si>
  <si>
    <t xml:space="preserve">JIC Capital Management (JIC Capital)and SunEdison Inc (SunEdison) agreed to
form a joint venture to facilitate nonrecourse financing and develop,
construct and own up to 1 GW of utility-scale solar photovoltaic (PV)
projects, and facilitating and structuring nonrecourse financing for solar
PV plants in China.</t>
  </si>
  <si>
    <t xml:space="preserve">Funding Services
Research &amp; Development Services</t>
  </si>
  <si>
    <t xml:space="preserve">8C0898
86732Y</t>
  </si>
  <si>
    <t xml:space="preserve">COREwafer Industries Inc
hopskoch inc</t>
  </si>
  <si>
    <t xml:space="preserve">Pvd logistic info tech svcs
Marketing Consulting Services</t>
  </si>
  <si>
    <t xml:space="preserve">COREwafer Industries Inc,
located in Orlando, Florida,
provides logistics,
transportation, software and
technology services. The
company was founded in 1977.
hopskoch inc is a provider of
marketing consulting services.
The company was founded in
2009 and is located in New
York.</t>
  </si>
  <si>
    <t xml:space="preserve">COREWAFER INDUSTRIES INC/HOPSKOCH INC-JOINT VENTURE</t>
  </si>
  <si>
    <t xml:space="preserve">COREwafer Industries Inc and hopskoch inc planned to form a 50:50 joint
venture to provide future product development and business opportunities</t>
  </si>
  <si>
    <t xml:space="preserve">21871B
2E4066</t>
  </si>
  <si>
    <t xml:space="preserve">Hunan Corun New Energy Co Ltd
Zhejiang Geely Hldg Grp Co</t>
  </si>
  <si>
    <t xml:space="preserve">Storage Battery Manufacturing
Mnf,whlr motor vehicles,parts</t>
  </si>
  <si>
    <t xml:space="preserve">Hunan Corun New Energy Co
Ltd is a manufacturer and
wholesaler of storage
batteries. The Company was
founded in January 1998 and
is located in Changsha,
China.
Zhejiang Geely Holding Group
Co Ltd is a manufacturer of
automobiles. The Company was
founded in November 1986 and
is located in Hangzhou,
China.</t>
  </si>
  <si>
    <t xml:space="preserve">3691
3711</t>
  </si>
  <si>
    <t xml:space="preserve">HUNAN CORUN NEW ENERGY CO LTD/ZHEJIANG GEELY HOLDING GROUP CO LTD-JOINT
VENTURE</t>
  </si>
  <si>
    <t xml:space="preserve">Hunan Corun New Energy Co Ltd and Zhejiang Geely Holding Group Co Ltd
formed a 51:49 joint venture. The JV was to have a cost of USD 101.72
million to be mainly engaged in research &amp; development, production, sale of
power train and components for energy saving</t>
  </si>
  <si>
    <t xml:space="preserve">capital of 101.72 million(659 million yuan)</t>
  </si>
  <si>
    <t xml:space="preserve">44536P
36882R</t>
  </si>
  <si>
    <t xml:space="preserve">BASF SE
Toda Kogyo Corp</t>
  </si>
  <si>
    <t xml:space="preserve">All Other Basic Inorganic Chemical Manufacturing
Mnfr,whl electronic materials</t>
  </si>
  <si>
    <t xml:space="preserve">BASF SE is a manufacturer
and wholesaler of inorganic
chemicals. The Company's
portfolio is organized into
six segments: Chemicals,
Materials, Industrial
Solutions, Surface
Technologies, Nutrition &amp;
Care and Agricultural
Solutions. BASF generated
sales of around 63 billion
in 2018. The BASF Group
comprises subsidiaries and
joint ventures in more than
80 countries and operates
six integrated production
sites and 390 other
production sites in Europe,
Asia, Australia, the
Americas and Africa. It also
acts as a holding company.
The Company was founded in
April 1865 and is located in
Ludwigshafen, Germany.
Toda Kogyo Corp, based in
Hiroshima, Japan, is engaged
in manufacture and wholesale
of electronic materials. It
has three segments. The
Functional Pigment segment is
engaged in the manufacture and
sale of color pigment and
functional pigment. The
Electronic Materials segment
is engaged in the manufacture
and sale of lithium-ion
battery positive-electrode
materials, lithium-ion and
nickel hydride materials,
ferrite materials and
compounds, as well as electric
components. The Engineering
segment is engaged in the
environmental engineering
business, such as treatment of
discharged water, exhaust gas
and waste materials, as well
as related business, including
the production, sale and
reforming of groundwater
contamination detergents,
water treatment adsorbents and
gas processing catalytic
agents.The company was founded
in 1933.</t>
  </si>
  <si>
    <t xml:space="preserve">2869
3264</t>
  </si>
  <si>
    <t xml:space="preserve">BASF SE/TODA KOGYO CORP-JOINT VENTURE</t>
  </si>
  <si>
    <t xml:space="preserve">BASF SE and Toda Kogyo Corp planned to form a joint venture named BASF TODA
Battery Materials LLC. BASF SE and Toda Kogyo Corp each will hold 66% and
34% interest respectively in the JV. The purpose of the joint venture was
to focus on R&amp;D, production, marketing and sales of a broad range of
cathode materials including Nickel Cobalt Aluminum Oxide (NCA), Lithium
Manganese Oxide (LMO) and Nickel Cobalt Manganese (NCM) in Japan. These
materials are used in lithium-ion batteries for the automotive, consumer
electronics and stationary storage markets.</t>
  </si>
  <si>
    <t xml:space="preserve">66.00
34.00</t>
  </si>
  <si>
    <t xml:space="preserve">055262
88889Q</t>
  </si>
  <si>
    <t xml:space="preserve">Baylor College of Medicine
Miraca Holdings Inc</t>
  </si>
  <si>
    <t xml:space="preserve">Own,operate college,university
Mnfr,whl diagnostic chem</t>
  </si>
  <si>
    <t xml:space="preserve">Baylor College of Medicine,
owns and operates a
university. The university is
headquartered in Houston,
Texas. The company provides
research and development
services for Neurology,
Neuroscience, Neurosurgery,
Obstetrics and Gynecology,
Opthalmology, Orthopedic
surgery and Development
Biology departments.
Miraca Holdings Inc, located
in Shinjuku-Ku Tokyo, Japan,
operates in three business
segments. The Clinical
Diagnostic segment is
engaged in the manufacture
and sale of clinical
diagnostics. The Entrusted
Clinical Examination segment
is involved in the special
clinical examination, the
general clinical
examination, as well as the
maintenance, management and
development of clinical
testing systems. The
Healthcare segment is
engaged in the provision of
sterilization services and
clinical trial services. In
addition, the company
involves in the operation of
medical offices, as well as
the provision of rental of
nursing care products. On
November 24, 2011, the
company announced the
completion of the
acquisition of Caris
Diagnostics, Inc. and the
related subsidiaries. The
company was founded in 1950.</t>
  </si>
  <si>
    <t xml:space="preserve">BAYLOR COLLEGE OF MEDICINE/MIRACA HOLDINGS INC-JOINT VENTURE</t>
  </si>
  <si>
    <t xml:space="preserve">Baylor Miraca Genetics
Laboratories LLC is a medical
laboratory operator. The
Company was founded in
November 2014 and is located
in Houston, Texas.</t>
  </si>
  <si>
    <t xml:space="preserve">Baylor College Of Medicine and Miraca Holdings Inc planned to form a joint
venture. The purpose of the joint venture was to focus on clinical
diagnostics and laboratory tests. The transaction was subject to regulatory
approval and other customary closing conditions.</t>
  </si>
  <si>
    <t xml:space="preserve">3F2661</t>
  </si>
  <si>
    <t xml:space="preserve">07283T
60460M</t>
  </si>
  <si>
    <t xml:space="preserve">Exscientia Ltd
Sunovion Pharmaceuticals Inc</t>
  </si>
  <si>
    <t xml:space="preserve">In-Vitro Diagnostic Substance Manufacturing
Mnfr,whl pharmaceuticals</t>
  </si>
  <si>
    <t xml:space="preserve">Exscientia Ltd is a
manufacturer of in-vitro
diagnostic substances. It
focused on Artificial
Intelligence ("AI")-driven
drug discovery and design..
The Company was founded in
July 2012 and is located in
Dundee, the United Kingdom.
Sunovion Pharmaceuticals
Inc, located in Marlborough,
Massachusetts, manufactures
and wholesales
pharmaceuticals,
specializing in CNS and
respiratory disorders. Its
major products include
XOPENEX(R) (levalbuterol
HCl) Inhalation Solution,
for the treatment of
bronchospasm. XOPENEX HFAO
(levalbuterol tartrate)
Inhalation Aerosol, a
hydrofluoroalkane,
metered-dose inhaler for the
treatment of bronchospasm.
LUNESTAO (eszopiclone), for
the treatment of insomnia.
Its products are marketed to
primary care physicians,
allergists, pulmonologists,
pediatricians, hospitals,
psychiatrists and sleep
specialists. The Company was
founded on January 27, 1984.</t>
  </si>
  <si>
    <t xml:space="preserve">Exscientia Ltd
Sumitomo Chemical Co Ltd</t>
  </si>
  <si>
    <t xml:space="preserve">2835
2821</t>
  </si>
  <si>
    <t xml:space="preserve">EX SCIENTIA LTD/SUNOVION PHARMACEUTICALS INC- STRATEGIC ALLIANCE</t>
  </si>
  <si>
    <t xml:space="preserve">Food and Drug Administration (FDA) approved Aptiom (eslicarbazepine
acetate) tablets, an antiepileptic drug (AED), for use as adjunctive
treatment. The clinical efficacy and safety of a drug is determined by its
activity profile across many proteins in the proteome.</t>
  </si>
  <si>
    <t xml:space="preserve">4C8826
93551Q</t>
  </si>
  <si>
    <t xml:space="preserve">Merck KGaA
Pfizer Inc</t>
  </si>
  <si>
    <t xml:space="preserve">Manufactures and wholesales pharmaceuticals, specialty chemicals, and cosmetic pigments
Manufacture,wholesale pharmaceuticals</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</si>
  <si>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</si>
  <si>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PFIZER INC/MERCK KGAA-STRATEGIC ALLIANCE</t>
  </si>
  <si>
    <t xml:space="preserve">Pfizer Inc and Merck KGaA formed a strategic alliance to jointly develop
and commercialize MSB0010718C, an investigational anti-PD-L1 antibody
currently in development as a potential treatment for multiple tumors.</t>
  </si>
  <si>
    <t xml:space="preserve">589339
717081</t>
  </si>
  <si>
    <t xml:space="preserve">Allied-Bristol Life Sciences,
Synergy Partners</t>
  </si>
  <si>
    <t xml:space="preserve">Research and Development in The Physical, Engineering and Lifesciences (Except Biotechnology)
Biological Product (Except Diagnostic) Manufacturing</t>
  </si>
  <si>
    <t xml:space="preserve">Allied-Bristol Life Sciences,
LLC is located in united
states provides reasearch and
development
Synergy Partners R&amp;D Solutions
is located in new
jersey,united states, is an
extensive network of
scientists with proven
expertise in pharmaceutical
drug discovery and
development.</t>
  </si>
  <si>
    <t xml:space="preserve">Allied Minds PLC
Synergy Partners</t>
  </si>
  <si>
    <t xml:space="preserve">AlLLIED-BRISTOL LIFE SCIENCES, LLC/ SYNERGY PARTNERS R&amp;D
SOLUTIONSLLC-STRATEGIC ALLIANCE</t>
  </si>
  <si>
    <t xml:space="preserve">Synergy Partners R&amp;D Solutions is an extensive network of scientists with
proven expertise in pharmaceutical drug discovery and development.
Allied-Bristol Life Sciences was promising therapeutic and commercial
potential, and to drive these early-stage innovations from initial
feasibility to pre-clinical candidac.</t>
  </si>
  <si>
    <t xml:space="preserve">4C4914
4C4964</t>
  </si>
  <si>
    <t xml:space="preserve">Panacea Biotec Ltd
Apotex Inc</t>
  </si>
  <si>
    <t xml:space="preserve">Panacea Biotec Ltd is a
manufacturer of
pharmaceutical preparation.
It manufactures and
wholesales vaccines,
pharmaceutical and
biotechnology based
products. The products are
used in various segments
like, pediatric vaccines,
pain management, diabetes
management and organ
transplantation. It operates
in three segments such as
Vaccines, Formulations and
Research and Development.
The Company was founded in
1984 and is located in New
Delhi, India.
Apotex Inc, located in
Toronto, Ontario,
manufactures and wholesales
pharmaceutical products. The
Company was founded in 1974.</t>
  </si>
  <si>
    <t xml:space="preserve">PANACEA BIOTEC LTD/APOTEX INC-STRATEGIC ALLIANCE</t>
  </si>
  <si>
    <t xml:space="preserve">Panacea Biotec Ltd and Apotex Inc planned to form a strategic alliance to
provide research, development, licence and supply of two drug delivery
based generic products to US, Canada, Australia and New Zealand markets.</t>
  </si>
  <si>
    <t xml:space="preserve">Research &amp; Development Services
Licensing Services
Supply Services</t>
  </si>
  <si>
    <t xml:space="preserve">Y6695F
03763Q</t>
  </si>
  <si>
    <t xml:space="preserve">Saudi Specialized Labs Co
AsureQuality Ltd</t>
  </si>
  <si>
    <t xml:space="preserve">Research and Development in The Social Sciences and Humanities
Pvd quality assurance svcs</t>
  </si>
  <si>
    <t xml:space="preserve">Saudi Specialized Laboratories
Co, located in Riyadh, Saudi
Arabia, provides laboratory
testing services.
AsureQuality Ltd is a
provider of research and
development services. The
Company was founded in
October 2007 and is located
in Auckland, New Zealand.</t>
  </si>
  <si>
    <t xml:space="preserve">Saudi Arabia
New Zealand</t>
  </si>
  <si>
    <t xml:space="preserve">SAUDI SPECIALIZED LABORATORIES CO/ASUREQUALITY LTD-JOINT VENTURE</t>
  </si>
  <si>
    <t xml:space="preserve">Saudi Specialized Laboratories Co and AsureQuality Ltd planned to form a
joint venture to provide food assurance services, in Saudi Arabia.</t>
  </si>
  <si>
    <t xml:space="preserve">7C5438
04702Z</t>
  </si>
  <si>
    <t xml:space="preserve">Biogen Idec Inc
Columbia Univ Med Center</t>
  </si>
  <si>
    <t xml:space="preserve">Biogen Idec Inc, located in
Weston, Massachusetts, is a
biotechnology company
specializing in
manufacturing and developing
oncology, neurology and
immunology products for
treatment of cancer and
autoimmune and inflammatory
diseases, and products
include Rituxan, Zevalin,
Anti-CD80 mAb, Volociximab,
Anti-CD23 mAb, Interferon
Beta Gene Delivery,
Anti-Lymphotoxin Beta
Receptor mAb, Anti-BR3,
Anti-Cripto, Avonex,
Tysabri, Daclimuzab,
BG-12/Oral Fumarate,
V2006/BIIB014, Neublastin,
Amevive, Fontolizumab,
Humanized Anti-CD20 mAb,
BAFF-R(BR 3) Soluble
Receptor. It has offices in
Canada, Australia, Japan and
throughout Europe. The
company was founded in 1978.
Own and operate college and
university; provide
international leadership in
pre-clinical and clinical
research services</t>
  </si>
  <si>
    <t xml:space="preserve">Biogen Idec Inc
Columbia University</t>
  </si>
  <si>
    <t xml:space="preserve">BIOGEN IDEC INC/COLUMBIA UNIVERSITY MEDICAL -STRATEGIC ALLIANCE</t>
  </si>
  <si>
    <t xml:space="preserve">Biogen Idec Inc and Columbia University Medical Center formed a strategic
alliance. The SA was expected to have revenues of USD 30 million to conduct
genetics discovery research on the underlying causes of disease and to
identify new treatment approaches</t>
  </si>
  <si>
    <t xml:space="preserve">invested $30 million</t>
  </si>
  <si>
    <t xml:space="preserve">09062X
19865M</t>
  </si>
  <si>
    <t xml:space="preserve">Lockheed Martin Corp
Illumina Inc</t>
  </si>
  <si>
    <t xml:space="preserve">Mnfr aerospace sys,prod
Manufacture,wholesale science tools,systems</t>
  </si>
  <si>
    <t xml:space="preserve">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</si>
  <si>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3761
3826</t>
  </si>
  <si>
    <t xml:space="preserve">LOCKHEED MARTIN CORP/ILLUMINA INC-STRATEGIC ALLIANCE</t>
  </si>
  <si>
    <t xml:space="preserve">Lockheed Martin Corp and Illumina Inc formed a strategic alliance to
collaborate on scalable and affordable genomics solutions to provide
personalized health care for national populations.</t>
  </si>
  <si>
    <t xml:space="preserve">539830
452327</t>
  </si>
  <si>
    <t xml:space="preserve">Sigma-Aldrich Corp
VIB</t>
  </si>
  <si>
    <t xml:space="preserve">Mnfr,whl chemicals
Pvd research,dvlp svcs</t>
  </si>
  <si>
    <t xml:space="preserve">Sigma-Aldrich Corp, located in
St Louis, Missouri, develops,
manufactures and wholesales
biochemical, organic
chemicals, chromatography
products and diagnostic
reagents. The company operates
in 37 countries through three
segments such as scientific
research, biotechnology and
fine chemicals. The chemical
products and kits are used in
scientific and genomic
research, biotechnology,
chemical industry and
pharmaceutical development and
for the diagnosis of diseases.
The company's products are
sold under various brand names
such as, Sigma, Aldrich,
Fluka, Riedel-de Haen and
Supelco. The company was
founded in 1951.
Flanders Interuniversity
Institute for Biotechnology
(Flanders) is a provider of
biotechnology research and
development services. The
Company was founded in 1995
and is located in Gent,
Belgium.</t>
  </si>
  <si>
    <t xml:space="preserve">SIGMA-ALDRICH CORP/FLANDERS INTERUNIVERSITY -JOINT VENTURE</t>
  </si>
  <si>
    <t xml:space="preserve">Sigma-Aldrich Corp and Flanders Interuniversity Institute for Biotechnology
{VIB}(Flanders) planned to form a 50:50 joint venture to focused on
translational research in medical, agricultural and industrial
applications. The alliance will focus on the commercialization and supply
of new tools and technologies to help meet the evolving needs of
translational researchers.</t>
  </si>
  <si>
    <t xml:space="preserve">826552
33893H</t>
  </si>
  <si>
    <t xml:space="preserve">Regenerx Biopharms Inc
G-treeBNT Co Ltd</t>
  </si>
  <si>
    <t xml:space="preserve">Biopharmaceutical company
Software Publishers</t>
  </si>
  <si>
    <t xml:space="preserve">RegeneRX Biopharmaceuticals
Inc, located in Rockville,
Maryland, is pharmaceutical
company focuses on the
discovery and development of
molecules to promote tissue
and organ protection, repair
and regeneration, with an
extensive portfolio of
product candidates for
first-in-class therapeutic
peptides. The company had
formulated three product
candidates based on Thymosin
beta 4 (Tb4), a 43-amino
acid peptide, which are in
clinical development. First
is the RGN-137 is a
topically applied for
chronic dermal wounds and
reduction of scar tissue,
second the RGN-259 is a
sterile, preservative-free
topical eye drop for
ophthalmic indications, and
RGN-352, a parenteral or
injectable formulation for
systemic delivery to treat
cardiovascular diseases,
central nervous system
diseases, and other medical
indications that require
administration by injection.
The company was founded in
1982.
G-treeBNT Co Ltd is a
Korea-based company engaged
in the research and
development of optimized
multimedia software for
various digital appliances
including cellular phones.
Along with its affiliates,
the Company operates
solution business segment,
which provides embedded
graphic user interface (GUI)
software solutionswell as
wired and wireless
integration multimedia
platform solutions. Its
embedded GUI products
include FXUI-two-dimensional
(2D), FXUI-three-dimensional
(3D) and FX Studio, which
are used for cellular phones
and embedded equipment. Its
platform products include
FX-Flash and others, which
and other mobile devices;
electronic components
manufacturing business
segment, which provides
transformers, pumps, motors
and others, as well as
educational and bio
pharmaceutical business
segments. The Company was
founded in June 2000 and is
located in Seongnam, South
Korea.</t>
  </si>
  <si>
    <t xml:space="preserve">REGENERX BIOPHARMACEUTICALS INC/G-TREEBNT CO LTD-JOINT VENTURE</t>
  </si>
  <si>
    <t xml:space="preserve">RegeneRX Biopharmaceuticals Inc and G-treeBNT Co Ltd planned to form a
joint venture to develop RGN-259 for dry eye syndrome and neurotrophic
keratitis</t>
  </si>
  <si>
    <t xml:space="preserve">75886X
0C2895</t>
  </si>
  <si>
    <t xml:space="preserve">MBtech Group GmbH &amp; Co KGaA
BAIC Motor Corp Ltd</t>
  </si>
  <si>
    <t xml:space="preserve">Manufacture motor vehicle part
Automobile Manufacturing</t>
  </si>
  <si>
    <t xml:space="preserve">MBtech Group GmbH &amp; Co KGaA,
located in Sindelfingen,
Germany, manufactures motor
vehicle parts. The company was
founded in 1995.
BAIC Motor Corp Ltd is a
manufacturer and wholesaler
of automobiles. The Company
was founded in September
2010 and is located in
Beijing, China.</t>
  </si>
  <si>
    <t xml:space="preserve">Akka Technologies SE
BAIC Motor Corp Ltd</t>
  </si>
  <si>
    <t xml:space="preserve">Belgium
China</t>
  </si>
  <si>
    <t xml:space="preserve">7376
3711</t>
  </si>
  <si>
    <t xml:space="preserve">MBTECH GROUP GMBH &amp; CO KGAA/BAIC MOTOR CORP LTD-JOINT VENTURE</t>
  </si>
  <si>
    <t xml:space="preserve">Mbtech Group Gmbh &amp; Co Kgaa(Mbtech) and Baic Motor Corp Ltd(BAIC) planned
to form a joint venture to engage in research and development of full
passenger vehicles for the Chinese market as well as the parts and
components, automotive technology research and application in Beijing and
Germany. Under terms of the agreement, Mbtech was to hold a 49% interest
while BAIC was to hold the remaining 51% stake.</t>
  </si>
  <si>
    <t xml:space="preserve">55568L
0A2439</t>
  </si>
  <si>
    <t xml:space="preserve">FORMA Therapeutics Inc
Cancer Research Campaign Tech</t>
  </si>
  <si>
    <t xml:space="preserve">Biotechnology company
Manufacture anti cancer drugs</t>
  </si>
  <si>
    <t xml:space="preserve">FORMA Therapeutics Inc,
located in Cambridge,
Massachusetts, is a
biotechnology company that
aims at integrating
transformative chemistry and
biology to unlock the best
targets and pathways that
genomics medicine has
revealed. It has additional
research operations in
Connecticut, Singapore and
Beijing. The Company was
founded in 2007.
Cancer Research Technology Ltd
manufactures anti cancer
drugs. The company is
headquartered in London,
United Kingdom.</t>
  </si>
  <si>
    <t xml:space="preserve">FORMA THERAPEUTICS INC/CANCER RESEARCH TECHNOLOGY LTD-STRATEGIC ALLIANCE</t>
  </si>
  <si>
    <t xml:space="preserve">Forma Therapeutics Inc (Forma) and Cancer Research Technology Ltd (CRT)
formed a strategic alliance to discover therapeutic drugs against protein
homeostasis regulators called, deubiquitinating enzymes (DUBs).</t>
  </si>
  <si>
    <t xml:space="preserve">34652L
13738A</t>
  </si>
  <si>
    <t xml:space="preserve">Navidea Biopharmaceuticals Inc
Norgine BV</t>
  </si>
  <si>
    <t xml:space="preserve">Manufacture biomedical product
Pharmaceutical Preparation Manufacturing</t>
  </si>
  <si>
    <t xml:space="preserve">Navidea Biopharmaceuticals
Inc, located in Dublin, Ohio,
is a biomedical technology
company that provides
innovative surgical and
diagnostic oncology products
that meet the critical
interoperative, diagnostic and
therapeutics treatment needs
such as gamma detection
devices, blood flow
measurement and
investigational initiatives.
The company operates in the US
and Europe. It also focuses to
explore the development of its
activated cellular therapy
technology for
patient-specific disease
treatment through its
subsidiary, Cira Biosciences
Inc. The company was founded
in 1984.
Norgine BV is a manufacturer
of pharmaceutical
preparation. The Company was
founded in 1906 and is
located in Amsterdam, the
Netherlands.</t>
  </si>
  <si>
    <t xml:space="preserve">NAVIDEA BIOPHARMACEUTICALS INC/NORGINE BV-STRATEGIC ALLIANCE</t>
  </si>
  <si>
    <t xml:space="preserve">Navidea Biopharmaceuticals Inc and Norgine BV terminated their alliance
prior to the expiration date.</t>
  </si>
  <si>
    <t xml:space="preserve">Health &amp; Medical Services
Research &amp; Development Services
Licensing Services</t>
  </si>
  <si>
    <t xml:space="preserve">The alliance to have a cost of USD 2 million.</t>
  </si>
  <si>
    <t xml:space="preserve">63937X
65601N</t>
  </si>
  <si>
    <t xml:space="preserve">Nano Labs Corp
DerTek Technology</t>
  </si>
  <si>
    <t xml:space="preserve">Wholesale,retail tile
Biodiesel</t>
  </si>
  <si>
    <t xml:space="preserve">Nano Labs Corp, located in
Detroit, Michigan is a tile
supplier. It sells a variety
of products including ceramic
and porcelain tile, natural
stone, glass, metal accents,
hardwood flooring, rubber and
leather flooring, and
engineered counter surfaces.
It also offers installation
and design services. The
company is founded in 1995.
DerTek Technology is a
manufacturer of organic
chemicals. The company is
located in Mexico.</t>
  </si>
  <si>
    <t xml:space="preserve">3281
2869</t>
  </si>
  <si>
    <t xml:space="preserve">NANO LABS CORP/DERTEK TECHNOLOGY-JOINT VENTURE</t>
  </si>
  <si>
    <t xml:space="preserve">Nano Labs Corp ( Nano Labs) and DerTek Technology ( DerTek Technology )
planned to form a joint venture named FireFly Networks to launch a research
and development, marketing, and manufacturing program to produce Biofuels.
Under terms of the agreement, Nano Labs was to hold a 50% while DerTek
Technology was to hold the remaining 50% stake.</t>
  </si>
  <si>
    <t xml:space="preserve">63009Q
9C2165</t>
  </si>
  <si>
    <t xml:space="preserve">Alexela Oil AS
Haminan Energia Oy</t>
  </si>
  <si>
    <t xml:space="preserve">Retail fuel
Pvd natural gas distn scvs</t>
  </si>
  <si>
    <t xml:space="preserve">Alexela Oil AS is an
operator of gasoline
stations with convenience
stores. The Company was
founded in 1993 and is
located in Tallinn, Estonia.
Haminan Energia Oy, located
in Haminan, Finland,
provides natural gas,
electricity and other energy
distribution and production
services.</t>
  </si>
  <si>
    <t xml:space="preserve">5541
5984</t>
  </si>
  <si>
    <t xml:space="preserve">Estonia
Finland</t>
  </si>
  <si>
    <t xml:space="preserve">Kadaka Varahalduse AS
Haminan Energia Oy</t>
  </si>
  <si>
    <t xml:space="preserve">6282
5984</t>
  </si>
  <si>
    <t xml:space="preserve">ALEXELA OIL AS/HAMINAN ENERGIA OY-JOINT VENTURE</t>
  </si>
  <si>
    <t xml:space="preserve">Alexela Oil AS and Haminan Energia Oy planned to form a joint venture.</t>
  </si>
  <si>
    <t xml:space="preserve">01474X
40816N</t>
  </si>
  <si>
    <t xml:space="preserve">Yongsheng Advanced Materials
Hangzhou Shining 3D Tech Co</t>
  </si>
  <si>
    <t xml:space="preserve">Broadwoven Fabric Finishing Mills
Mnfr,whl 3D digitizing prod</t>
  </si>
  <si>
    <t xml:space="preserve">Yongsheng Advanced Materials
Co Ltd is a broadwoven
fabric finishing mill
operator. The Company was
founded in 1997 and is
located in Hong Kong.
Hangzhou Shining 3D Tech Co
Ltd, headquartered in China,
develops, manufactures and
wholesales three dimensions
(3D) digitizing products.
The company was founded in
2004.</t>
  </si>
  <si>
    <t xml:space="preserve">2231
3823</t>
  </si>
  <si>
    <t xml:space="preserve">Ever Thrive Global Ltd
Hangzhou Shining 3D Tech Co</t>
  </si>
  <si>
    <t xml:space="preserve">6282
3823</t>
  </si>
  <si>
    <t xml:space="preserve">YONGSHENG ADVANCED MATERIALS COMPANY LTD/HANGZHOU SHINING 3D TECH CO-JOINT
VENTURE</t>
  </si>
  <si>
    <t xml:space="preserve">Yongsheng Advanced Materials Company Ltd and Hangzhou Shining 3D Tech Co
Ltd formed a 60:40 joint venture. The JV was to engaging in the research,
production and sales of PLA and ABS 3D printing filament materials.</t>
  </si>
  <si>
    <t xml:space="preserve">7A2301
41087T</t>
  </si>
  <si>
    <t xml:space="preserve">Aptuit LLC
Axxam SpA</t>
  </si>
  <si>
    <t xml:space="preserve">Provide drug development svcs
Research and Development in Biotechnology</t>
  </si>
  <si>
    <t xml:space="preserve">Aptuit LLC, located in
Greenwich, Connecticut, is a
provider of biotechnology
research and development
services. It provides drug
development process services
for biotechnology and
pharmaceutical innovators. It
offers drug design and
discovery, pre-clinical
biosciences, API development
and manufacturing, solid state
chemistry, solid and oral
dosage dorm development and
manufacturing, and physical
and analytical chemistry
services. The Company was
founded in 2004.
Axxam SpA is a provider of
biotechnology research and
development services. The
Company is located in Bresso,
Italy.</t>
  </si>
  <si>
    <t xml:space="preserve">Catalent Inc
Axxam SpA</t>
  </si>
  <si>
    <t xml:space="preserve">APTUIT INC/AXXAM SPA-STRATEGIC ALLIANCE</t>
  </si>
  <si>
    <t xml:space="preserve">Aptuit Inc and Axxam Spa planned to form a strategic alliance to provide
comprehensive and integrated services from gene to high quality candidates
and beyond. This partnership will allow the companies to offer the
best-in-class fully integrated drug discovery and development services,
supported by a culture of scientific excellence and innovation.</t>
  </si>
  <si>
    <t xml:space="preserve">03887V
2E7869</t>
  </si>
  <si>
    <t xml:space="preserve">Oculos Clinical Research
Iris Pharma</t>
  </si>
  <si>
    <t xml:space="preserve">Other Biotechnology &amp; Medical Research
Pvd contract research svcs</t>
  </si>
  <si>
    <t xml:space="preserve">Oculos Clinical Research is a
provider of research and
development services. The
company was founded in
February 2011 and is located
in Tampa, United States.
Iris Pharma, located in La
Gaude, France, provides
contract research services.
The company provides non
clinical research services in
ophthalmology. The company
also provides drug development
services to biotechnology and
pharmaceutical industries, and
research institutes. The
company was founded in 1989.</t>
  </si>
  <si>
    <t xml:space="preserve">3721
8071</t>
  </si>
  <si>
    <t xml:space="preserve">OCULOS CLINICAL RESEARCH/IRIS PHARMA-STRATEGIC ALLIANCE</t>
  </si>
  <si>
    <t xml:space="preserve">Oculos Clinical Research and Iris Pharma planned to form a strategic
alliance to Offer International Specialized Services to the Ophthalmic
Market.</t>
  </si>
  <si>
    <t xml:space="preserve">9C5357
44735N</t>
  </si>
  <si>
    <t xml:space="preserve">Synthos SA
Pirelli &amp; C SpA
Rosneft Oil Co</t>
  </si>
  <si>
    <t xml:space="preserve">Mnfr,whl synthetic rubber prod
Tire Manufacturing (Except Retreading)
Oil,gas exploration,production company</t>
  </si>
  <si>
    <t xml:space="preserve">Synthos SA, located in
Oswiecim, Poland, manufactures
and wholesales synthetic
rubber products, styrene
plastics, and vinyl and
copolymer dispersions. Its
products include emulsion
synthetic rubber,
styrene-butadiene rubber,
polybutadiene rubber, high
styrene rubber, nitride
rubber, synthetic latex, rosin
emulsifier, polystyrene, and
expandable polystyrene. The
Company was founded in 1945.
Pirelli &amp; Co SpA,
headquartered in Milan,
Italy, manufactures tires
and provides real estate
management services. The
company focuses on the tire
sector through its Pirelli
Tyre subsidiary as well as
in the real estate field
with its Pirelli RE unit.
The Pirelli Group also
features two start-ups born
early in 2005: Pirelli
Broadband Solutions, active
in the fields of broadband
access and second generation
photonics, and Pirelli
Ambiente, specialized in
sustainable development
projects such as the Gecam
TM low environmental impact
fuel, antismog filters,
pollution and traffic
monitoring sensors and
waste-derived fuel. The
Group's 'innovation
engine' is represented by
Pirelli Labs, the advanced
research centre which works
for all the Pirelli
businesses. Pirelli Labs are
primarily focused on second
generation photonics, new
materials, environmental
issues and innovation in
productive processes.
Pirelli is also the largest
shareholder of Olimpia,
which in turn is the largest
shareholder of Telecom
Italia.
Rosneft Oil Co, located in
Moscow, the Russian
Federation, is an oil and
gas exploration and
production company. It also
wholesales crude oil, gas,
and petroleum products. The
Company was founded in 1993.</t>
  </si>
  <si>
    <t xml:space="preserve">2822
3011
1311</t>
  </si>
  <si>
    <t xml:space="preserve">Poland
Italy
Russian Fed</t>
  </si>
  <si>
    <t xml:space="preserve">FTF Galleon SA
Pirelli &amp; C SpA
Rosneftegaz AO</t>
  </si>
  <si>
    <t xml:space="preserve">Luxembourg
Italy
Russian Fed</t>
  </si>
  <si>
    <t xml:space="preserve">6799
3011
1311</t>
  </si>
  <si>
    <t xml:space="preserve">SYNTHOS SA/PIRELLI &amp; C SPA/NEFTIANAIA KOMPANIIA ROSNEFT' OAO-JOINT VENTURE</t>
  </si>
  <si>
    <t xml:space="preserve">Synthos SA, Pirelli C SpA and Neftianaia Kompaniia Rosneft' OAO planned to
form a joint venture.</t>
  </si>
  <si>
    <t xml:space="preserve">88270W
72424N
77815J</t>
  </si>
  <si>
    <t xml:space="preserve">BAIC Motor Corp Ltd
Baosteel Metal Co Ltd
Beijing Hua Sheng Rong</t>
  </si>
  <si>
    <t xml:space="preserve">Automobile Manufacturing
Mnfr steel prod
Investment holding company</t>
  </si>
  <si>
    <t xml:space="preserve">BAIC Motor Corp Ltd is a
manufacturer and wholesaler
of automobiles. The Company
was founded in September
2010 and is located in
Beijing, China.
Baosteel Metal Co Ltd is a
manufacturer of fabricated
metal products. The Company
was founded in December 1994
and is located in Shanghai,
China.
Beijing Hua Sheng Rong
Magnesium Technology Co. Ltd
is a provider of financial
investment services. The
company is located in Hong
Kong.</t>
  </si>
  <si>
    <t xml:space="preserve">3711
3449
6799</t>
  </si>
  <si>
    <t xml:space="preserve">BAIC Motor Corp Ltd
Baosteel Group Corp
Beijing Hua Sheng Rong</t>
  </si>
  <si>
    <t xml:space="preserve">3711
3325
6799</t>
  </si>
  <si>
    <t xml:space="preserve">BAIC MOTOR CORP LTD/BAOSTEEL METAL CO LTD/BEIJING HUA SHENG RONG MAGNESIUM
TECHNOLOGY CO., LTD-JOINT VENTURE</t>
  </si>
  <si>
    <t xml:space="preserve">BAIC Motor Corp Ltd, Baosteel Metal Co Ltd and Beijing Hua Sheng Rong
Magnesium Technology Co. Ltd planned to form a 33.3:33.3:33.3 joint venture
to provide the Company will establish a comprehensive network of
technological innovation and product development in order to enhance the
core competitiveness of the Company</t>
  </si>
  <si>
    <t xml:space="preserve">0A2439
06801F
5E2741</t>
  </si>
  <si>
    <t xml:space="preserve">OphthaliX Inc
Resdevco Ltd</t>
  </si>
  <si>
    <t xml:space="preserve">OphthaliX Inc, located in
Petach Tikva, Israel, is an
advanced clinical-stage
biopharmaceutical Company
focused on developing
therapeutic products for the
treatment of ophthalmic
disorders. The Company was
founded in 2001.
in Jerusalem, Israel.</t>
  </si>
  <si>
    <t xml:space="preserve">Can-Fite Biopharma Ltd
Resdevco Ltd</t>
  </si>
  <si>
    <t xml:space="preserve">WIZE PHARMA INC/RESDEVCO LTD-STRATEGIC ALLIANCE</t>
  </si>
  <si>
    <t xml:space="preserve">Wize Pharma Inc and Resdevco Ltd formed joint venture.</t>
  </si>
  <si>
    <t xml:space="preserve">683736
9H9197</t>
  </si>
  <si>
    <t xml:space="preserve">KZJ New Materials Group Co Ltd
First Tropicana Sun Dvlp Inc</t>
  </si>
  <si>
    <t xml:space="preserve">Engineering Services
Land Subdivision</t>
  </si>
  <si>
    <t xml:space="preserve">KZJ New Materials Group Co Ltd
is a provider of engineering
services. The company was
founded in 2004 and is located
in Xiamen, China.
First Tropicana Sun
Development Inc is a provider
of land subdivision services.
The company is located in the
Philippines.</t>
  </si>
  <si>
    <t xml:space="preserve">8711
6552</t>
  </si>
  <si>
    <t xml:space="preserve">China
Philippines</t>
  </si>
  <si>
    <t xml:space="preserve">Xiamen Academy of Bldg
First Tropicana Sun Dvlp Inc</t>
  </si>
  <si>
    <t xml:space="preserve">3272
6552</t>
  </si>
  <si>
    <t xml:space="preserve">KZJ NEW MATERIALS GROUP CO LTD/FIRST TROPICANA SUN DEVELOPMENT INC-JOINT
VENTURE</t>
  </si>
  <si>
    <t xml:space="preserve">KZJ New Materials Group Co Ltd and First Tropicana Sun Development Inc
planned to form a 40:60 joint venture.</t>
  </si>
  <si>
    <t xml:space="preserve">The two sides will set up a joint venture with an investment of US$ 0.1901
million.</t>
  </si>
  <si>
    <t xml:space="preserve">5E2582
5E2592</t>
  </si>
  <si>
    <t xml:space="preserve">DeNA Co Ltd
ZMP Inc</t>
  </si>
  <si>
    <t xml:space="preserve">Pvd internet svcs
Custom Computer Programming Services</t>
  </si>
  <si>
    <t xml:space="preserve">DeNA Co Ltd, located in
Shibuya-Ku Tokyo, Japan,
mainly provides PC and
mobile internet services.
The Social Media segment
offers social media and
Internet marketing related
services, including mobile
game Website Mobage, social
game platform Yahoo! Mobage
and affiliate network Pocket
Affiliate. The E-commerce
(EC) segment offers EC
related services, including
the operation of auction
shopping Website under the
name bidders; cellular
phone-targeted integrated
shopping Websites under the
names au Shopping; cellular
phone auction Websites under
the names Mobaoku and au one
Mobaoku, as well as
settlement escrow services
under the name Mobapei. The
Others segment offers
services related to sports
and some new services like
health care. The Company was
founded in 1999.
ZMP Inc, located in Tokyo,
Japan, develops robot
technology solutions. It
operates autonomous
navigation robot technology
business. Its division
include automatic operation
platform and sensor system
provides car robotics
platform and sensor system;
actual vehicle experiment
travelling services provide
vehicle travelling
experiment, and controller
area network information and
cameras and laser sensors
information collection
services; customization and
incubation provides
customized system to
automobile industry; and
CarriRo provides robot
CarriRo for logistics
supporting. The Company was
founded in 2001.</t>
  </si>
  <si>
    <t xml:space="preserve">7371
7371</t>
  </si>
  <si>
    <t xml:space="preserve">DENA CO LTD/ZMP INC-JOINT VENTURE</t>
  </si>
  <si>
    <t xml:space="preserve">Dena Company Limited (Dena) ZMP Inc (ZMP) agreed to form a joint venture
named Robot Taxi to engage in building a driverless transportation
business, realize robot taxis and buses.</t>
  </si>
  <si>
    <t xml:space="preserve">66.60
</t>
  </si>
  <si>
    <t xml:space="preserve">248215
98013J</t>
  </si>
  <si>
    <t xml:space="preserve">CureCell Co.Ltd.
MaSTherCell SA
Orgenesis Inc</t>
  </si>
  <si>
    <t xml:space="preserve">Diagnostic Imaging Centers
Biological Product (Except Diagnostic) Manufacturing
Manufactures biological products</t>
  </si>
  <si>
    <t xml:space="preserve">CureCell Co.Ltd. is a
diagnostic imaging center
operator. The company is
located in South Korea.company
focused on developing
innovative regenerative
therapies for both Korean and
international markets.
MaSTherCell SA, located in
Gosselies, Belgium,
manufactures biotechnology
products. The Company is
engaged in the cell therapy
manufacturing services. It
is a Contract Development
and Manufacturing
Organisation (CDMO)
specialised in the
industrialisation of cell
therapy products. Its
services includes cell
therapy services, production
facilities, quality
management systems, project
management, technology
transfer, process and Assay
development, process and
Assay validation,
manufacturing, testing,
quality support and
regulatory support. It was
founded in 2011.
Orgenesis Inc, located in
Germantown, Maryland,
manufactures biological
products. It develops,
manufactus and processes
technologies and services in
the cell and gene therapy
industry. It operates a
point-of-care (POCare) cell
therapy platform (POC). The
POC platform develops
Advanced Therapy Medicinal
Products (ATMPs) through
collaborations and
in-licensing with other
pre-clinical and
clinical-stage
biopharmaceutical companies
and research and healthcare
institutes to bring such
ATMPs to patient. The POC
platform include a multitude
of cell therapies, including
autoimmune, oncologic,
neurologic and metabolic
diseases and other
indications. The Company was
founded in June 2008.</t>
  </si>
  <si>
    <t xml:space="preserve">8071
2836
2836</t>
  </si>
  <si>
    <t xml:space="preserve">South Korea
Belgium
United States</t>
  </si>
  <si>
    <t xml:space="preserve">CureCell Co.Ltd.
Orgenesis Inc
Orgenesis Inc</t>
  </si>
  <si>
    <t xml:space="preserve">South Korea
United States
United States</t>
  </si>
  <si>
    <t xml:space="preserve">CURECELL CO.LTD./MASTHERCELL SA/ORGENESIS INC-JOINT VENTURE</t>
  </si>
  <si>
    <t xml:space="preserve">CureCell Co.Ltd. MaSTherCell SA and Orgenesis Inc planned to form a joint
venture. The purpose was to do collaborative research in cell therapy that
aims to contribute to the regenerative medicine and industry growth in
Korea.</t>
  </si>
  <si>
    <t xml:space="preserve">6E3315
5C2375
68619K</t>
  </si>
  <si>
    <t xml:space="preserve">Amata VN PCL
Tuan Chau Group</t>
  </si>
  <si>
    <t xml:space="preserve">Real estate development firm
Investment holding company</t>
  </si>
  <si>
    <t xml:space="preserve">Amata VN PCL, located in
Thailand, is a holding company
for Amata (Vietnam) Joint
Stock Company that provides
industrial estate development
services. The company was
founded in 2012.
Tuan Chau Group is an
investment holding company,
headquartered in Ha Long,
Vietnam. The company owns
subsidiaries engaged in
operating resorts; marinas;
port terminals; food services;
holiday villas; realty;
entertainment and others.</t>
  </si>
  <si>
    <t xml:space="preserve">6552
6799</t>
  </si>
  <si>
    <t xml:space="preserve">Thailand
Vietnam</t>
  </si>
  <si>
    <t xml:space="preserve">Amata Corp PCL
Tuan Chau Group</t>
  </si>
  <si>
    <t xml:space="preserve">AMATA VN PCL/TUAN CHAU GROUP-JOINT VENTURE</t>
  </si>
  <si>
    <t xml:space="preserve">Vietnam</t>
  </si>
  <si>
    <t xml:space="preserve">Amata VN PCL and Tuan Chau Group formed a 70:30 joint venture named Amata
City Halong JCS. The JV was to be capitalized at USD 60 million.</t>
  </si>
  <si>
    <t xml:space="preserve">The JV was to be capitalized at USD 60 million.</t>
  </si>
  <si>
    <t xml:space="preserve">1A2570
0A7517</t>
  </si>
  <si>
    <t xml:space="preserve">Zhejiang Radio &amp; TV Group
China Music Corp</t>
  </si>
  <si>
    <t xml:space="preserve">Television Broadcasting
Software Publishers</t>
  </si>
  <si>
    <t xml:space="preserve">Zhejiang Radio &amp; TV Group
located in Hangzhou, China
is a television broadcaster.
The Company was founded in
November 2001.
China Music Corp, located in
China, develops music
distribution platform
promoting the consumption
and monetization of
legitimate digital content
through a transparent
licensing and monitoring
platform and further
distinguishes itself through
its music domain expertise
in digital music licensing
and distribution, piracy
monitoring and marketing
services.</t>
  </si>
  <si>
    <t xml:space="preserve">3663
7372</t>
  </si>
  <si>
    <t xml:space="preserve">4833
7372</t>
  </si>
  <si>
    <t xml:space="preserve">ZHEJIANG RADIO &amp; TV GROUP/CHINA MUSIC CORP-STRATEGIC ALLIANCE</t>
  </si>
  <si>
    <t xml:space="preserve">Zhejiang Radio Tv Group and Tencent Music Entertainment Group extended
their strategic alliance. The purpose of strategic alliance was to bring
diverse servicesand upgraded interactive features to users and to carry out
experiments oncreating songs for movies and television and produce various
original music shows, using the advantages of both platforms to help music
brands grow.</t>
  </si>
  <si>
    <t xml:space="preserve">Multi-media Services
Research &amp; Development Services</t>
  </si>
  <si>
    <t xml:space="preserve">1J3088
1C4196</t>
  </si>
  <si>
    <t xml:space="preserve">OptiBiotix Health PLC
Venture Life Group PLC</t>
  </si>
  <si>
    <t xml:space="preserve">OptiBiotix Health PLC is a
manufacturer of biological
products and operating in
one of the most progressive
areas of biotechnological
research - the modulation of
the Human Microbiome. The
company was founded in March
2012 and is located in York,
the United Kingdom.
Venture Life Group PLC is a
manufacturer of
pharmaceutical preparation.
The Company is an
international consumer
self-care company focused on
developing, manufacturing
and commercialising products
for the global self-care
market. The Company was
founded in 2010 and is
located in Bracknell, the
United Kingdom.</t>
  </si>
  <si>
    <t xml:space="preserve">OPTIBIOTIX HEALTH PLC/VENTURE LIFE GROUP PLC-STRATEGIC ALLIANCE</t>
  </si>
  <si>
    <t xml:space="preserve">Optibiotix Health PLC and Venture Life Group PLC signed to letter of intent
to form a strategic alliance to bring together OptiBiotix's research and
development expertise in developing micro biome modulators to improve
health and Venture Life's formulation, manufacturing and international
distribution capabilities.</t>
  </si>
  <si>
    <t xml:space="preserve">2C1942
8A1931</t>
  </si>
  <si>
    <t xml:space="preserve">Fiyta Holdings Ltd
Beijing Watch Factory Co Ltd</t>
  </si>
  <si>
    <t xml:space="preserve">Watch, Clock, and Part Manufacturing
Watch, Clock, and Part Manufacturing</t>
  </si>
  <si>
    <t xml:space="preserve">Fiyta Holdings Ltd,
headquartered in China,
manufactures and wholesales
watches. The company was
founded in 1987.
Beijing Watch Factory Co Ltd
is a manufacturer of clockwork
and parts. The company is
located in Beijing, China.</t>
  </si>
  <si>
    <t xml:space="preserve">3873
3873</t>
  </si>
  <si>
    <t xml:space="preserve">FIYTA HOLDINGS LTD/BEIJING WATCH FACTORY CO LTD-JOINT VENTURE</t>
  </si>
  <si>
    <t xml:space="preserve">Fiyta Holdings Ltd and Beijing Watch Factory Co Ltd terminated their joint
venture prior to the expiration date named North-table (Beijing) Co Ltd in
China..</t>
  </si>
  <si>
    <t xml:space="preserve">7C3157
9E7206</t>
  </si>
  <si>
    <t xml:space="preserve">Fast Retailing Co Ltd
Accenture Japan Ltd</t>
  </si>
  <si>
    <t xml:space="preserve">Family Clothing Stores
Pvd consulting services</t>
  </si>
  <si>
    <t xml:space="preserve">Fast Retailing Co Ltd is a
clothing retailer. The
Company was founded in May
1963 and is located in
Yamaguchi-Shi Yamaguchi,
Japan.
Accenture Japan Ltd provides
consulting services,
technology services, and
outsourcing services. The
company was founded in 1995.</t>
  </si>
  <si>
    <t xml:space="preserve">5651
8748</t>
  </si>
  <si>
    <t xml:space="preserve">Fast Retailing Co Ltd
Accenture PLC</t>
  </si>
  <si>
    <t xml:space="preserve">Japan
Ireland-Rep</t>
  </si>
  <si>
    <t xml:space="preserve">5651
7379</t>
  </si>
  <si>
    <t xml:space="preserve">FAST RETAILING CO LTD/ACCENTURE JAPAN LTD-JOINT VENTURE</t>
  </si>
  <si>
    <t xml:space="preserve">Fast Retailing Co Ltd and Accenture Japan Ltd planned to form a joint
venture named Wearex Co Ltd to Advance Digital Innovation in customer
service in Japan.</t>
  </si>
  <si>
    <t xml:space="preserve">31186V
01290R</t>
  </si>
  <si>
    <t xml:space="preserve">22nd Century Group Inc
Crede Capital Group LLC</t>
  </si>
  <si>
    <t xml:space="preserve">Plant biotechnology company
Financial Sponsor</t>
  </si>
  <si>
    <t xml:space="preserve">22nd Century Group Inc,
located in Clarence, New York,
is a plant biotechnology
company whose proprietary
technology allows for the
level of nicotine (and other
nicotinic alkaloids) in the
tobacco plant to be decreased
or increased through genetic
engineering and breeding. It
owns or exclusively controls
107 issued patents in 78
countries where at least 75%
of the worlds smokers reside.
Its business segments are
primarily smoking cessation
products and modified risk
tobacco products. Its products
include X-22, a prescription
smoking cessation aid, which
is a tobacco-based botanical
medical product for use as a
smoking cessation therapy; and
RED SUN and MAGIC
super-premium priced cigarette
brands. The company was
founded in 1998.
Crede Capital Group LLC is a
financial sponsor. The company
was founded in 2009 and is
located in Los Angeles,
California.</t>
  </si>
  <si>
    <t xml:space="preserve">2111
6799</t>
  </si>
  <si>
    <t xml:space="preserve">22ND CENTURY GROUP INC/CREDE CAPITAL GROUP LLC-JOINT VENTURE</t>
  </si>
  <si>
    <t xml:space="preserve">22nd Century Group Inc and Crede Capital Group LLC terminated their joint
venture prior to the expiration date.</t>
  </si>
  <si>
    <t xml:space="preserve">90137F
3E8587</t>
  </si>
  <si>
    <t xml:space="preserve">SMIC Shanghai
Huawei Communications Tech
IMEC
Qualcomm Global Trading Pte</t>
  </si>
  <si>
    <t xml:space="preserve">Mnfr semiconductors
Mnfr wireless telecom prod
Pvd research,dvlp svcs
Radio and Television Broadcasting and Wireless Communications Equipment Manufacturing</t>
  </si>
  <si>
    <t xml:space="preserve">Manufacture semiconductors
Huawei Communications Co Ltd
manufactures wireless
telecommunications products
which include switching
network, access network,
optical network, data and
video communication and fixed
network terminals. The company
is based in China and is a
unit of Chinese
telecommunications giant,
Huawei Technologies.
IMEC VZW, headquartered in
Leuven, Belgium, provides
research and development
services for microelectronics,
nomadic embedded systems,
wireless autonomous transducer
solutions, biomedical
electronics, photovoltaic,
organic electronics and GaN
power electronics. Founded in
1982.
Qualcomm Global Trading Pte
Ltd, located in Singapore,
manufactures and wholesales
wireless communication
equipment. It designs,
manufactures and supplies
integrated circuit products
for wireless voice and data
communications. It is also
an investment holding
company. The Company was
founded in 2011.</t>
  </si>
  <si>
    <t xml:space="preserve">3674
3661
8733
3663</t>
  </si>
  <si>
    <t xml:space="preserve">China
China
Belgium
Singapore</t>
  </si>
  <si>
    <t xml:space="preserve">SMIC Shanghai
Bain Capital LLC
IMEC
Qualcomm Inc</t>
  </si>
  <si>
    <t xml:space="preserve">China
United States
Belgium
United States</t>
  </si>
  <si>
    <t xml:space="preserve">3674
6799
8733
3674</t>
  </si>
  <si>
    <t xml:space="preserve">SMIC/HUAWEI/IMEC/QUALCOMM GLOBAL TRADING PTE LTD-JOINT VENTURE</t>
  </si>
  <si>
    <t xml:space="preserve">Semiconductor Manufacturing International Corp (SMIC), Huawei, Imec and
Qualcomm planned to form a joint venture named SMIC Advanced Technology
Research &amp; Development Corp in shanghai to focus on R&amp;D towards next
generation CMOS logic technology and build China's most advanced integrated
circuit (IC) development R&amp;D platform.</t>
  </si>
  <si>
    <t xml:space="preserve">78789T
44312L
45248J
3C5488</t>
  </si>
  <si>
    <t xml:space="preserve">Actelion Ltd
Max Planck Society</t>
  </si>
  <si>
    <t xml:space="preserve">Mnfr,wholesale pharmaceuticals
Non-profit research org</t>
  </si>
  <si>
    <t xml:space="preserve">Actelion Ltd, located in
Allschwil, Switzerland,
manufactures and wholesales
pharmaceuticals to treat and
prevent diseases related to
the endothelium. The Company
specializes in the field of
pulmonary arterial
hypertension (PAH), a chronic,
life-threatening disorder
characterized by abnormally
high blood pressure in the
arteries between the heart and
lungs. Its portfolio of PAH
treatments includes Opsumit
(macitentan), Tracleer
(bosentan), Uptravi
(selexipag), Veletri
(epoprostenol for injection)
and Ventavis (iloprost). It
has operative affiliates in
over 30 countries. The Company
was founded in December 1997.
Max Planck Society is a
non-profit research
organization.</t>
  </si>
  <si>
    <t xml:space="preserve">ACTELION LTD/MAX PLANCK SOCIETY-JOINT VENTURE</t>
  </si>
  <si>
    <t xml:space="preserve">Actelion Ltd and Max Planck Society agreed to form a joint venture named
Vaxxilon AG to discover, develop, and commercialize synthetic carbohydrate
vaccines. The JV was to be funded EUR 30 mil (USD 33.505 mil).</t>
  </si>
  <si>
    <t xml:space="preserve">The JV was to be funded EUR 30 mil (USD 33.505 mil)</t>
  </si>
  <si>
    <t xml:space="preserve">00516Q
57772Y</t>
  </si>
  <si>
    <t xml:space="preserve">IP Technology Exchange Inc
FLORIDA INSTITUTE</t>
  </si>
  <si>
    <t xml:space="preserve">Other Professional Information Services
Education &amp; Training Information Providers</t>
  </si>
  <si>
    <t xml:space="preserve">IP Technology Exchange Inc is
a provider of professional
services. The company was
founded in August 2012 and is
located in Tampa, United
States.
FLORIDA INSTITUTE FOR THE
COMMERCIALIZATION OF PUBLIC
RESEARCH is a provider of
professional services. The
company is located in Boca
Raton, United States.</t>
  </si>
  <si>
    <t xml:space="preserve">4499
4499</t>
  </si>
  <si>
    <t xml:space="preserve">FL
FL</t>
  </si>
  <si>
    <t xml:space="preserve">IP TECHNOLOGY INC/FLORIDA INSTITUTE FOR THE COMMERCIALIZATION OF PUBLIC
RESEARCH-STRATEGIC ALLIANCE</t>
  </si>
  <si>
    <t xml:space="preserve">Ip Technology Inc and Florida Institute For The Commercialization Of Public
Research formed/ a strategic alliance to the Institute will begin to offer
enhanced services to our growing portfolio of companies, providing them
with access to investor networks and other resources that are critical to
their long term growth and success in US.</t>
  </si>
  <si>
    <t xml:space="preserve">9C1014
9C1012</t>
  </si>
  <si>
    <t xml:space="preserve">MJH Healthcare Holdings LLC
Sarah Cannon Research</t>
  </si>
  <si>
    <t xml:space="preserve">Television Broadcasting
Biotech co</t>
  </si>
  <si>
    <t xml:space="preserve">MJH Healthcare Holdings LLC,
located in Cranbury, New
Jersey, is a media company
that delivers news and
resources to healthcare
professionals. The Company
was founded in 2002.
Sarah Cannon Research
Institute is a manufacturer of
biological products. The
Company is located in
Nashville, Tennessee.</t>
  </si>
  <si>
    <t xml:space="preserve">4833
2836</t>
  </si>
  <si>
    <t xml:space="preserve">NJ
TN</t>
  </si>
  <si>
    <t xml:space="preserve">MJH HEALTHCARE HOLDINGS LLC/SARAH CANNON RESEARCH-STRATEGIC ALLIANCE</t>
  </si>
  <si>
    <t xml:space="preserve">MJH HEALTHCARE HOLDINGS LLC and Sarah Cannon Research Institute planned to
form a strategic alliance to raising awareness of cancer treatment and
research</t>
  </si>
  <si>
    <t xml:space="preserve">1E4909
80295T</t>
  </si>
  <si>
    <t xml:space="preserve">Affymetrix Inc
BIOREALM LLC
RUCDR Infinite Biologics</t>
  </si>
  <si>
    <t xml:space="preserve">Mnfr,whl medical equipment
Pharmaceutical Preparation Manufacturing
Research and Development in Biotechnology</t>
  </si>
  <si>
    <t xml:space="preserve">Affymetrix Inc, located in
Santa Clara, California,
manufactures and wholesales
electromedical and
electrotherapeutic
apparatus, microarrays,
reagents and assays. The
company offers GeneChip
system consisting of
expression monitoring
arrays, DNA analysis arrays,
DNA analysis products. It
was incorporated in Delaware
in 1992.
BIOREALM LLC is a manufacturer
of pharmaceutical preparation.
The company is located in
Walnut, California.
RUCDR Infinite Biologics is a
provider of biotechnology
research and development
services. The company is
located in Piscataway, New
Jersey.</t>
  </si>
  <si>
    <t xml:space="preserve">3826
2834
8731</t>
  </si>
  <si>
    <t xml:space="preserve">CA
CA
NJ</t>
  </si>
  <si>
    <t xml:space="preserve">AFFYMETRIX INC/BIOREALM LLC/RUCDR INFINITE BIOLOGICS-STRATEGIC ALLIANCE</t>
  </si>
  <si>
    <t xml:space="preserve">Affymetrix Inc, BIOREALM LLC and RUCDR Infinite Biologics planned to form a
strategic alliance to Help Study the Genetics of Addiction</t>
  </si>
  <si>
    <t xml:space="preserve">00826T
3E3353
3E3357</t>
  </si>
  <si>
    <t xml:space="preserve">Nrthn New Energy Dvlp Ltd
Tianjin Xinping Runchi</t>
  </si>
  <si>
    <t xml:space="preserve">Northern New Energy
Development Ltd is a provider
of financial investment
services. The company is
located in Hong Kong.
Tianjin Xinping Runchi is a
provider of financial
investment services. The
company is located in China.</t>
  </si>
  <si>
    <t xml:space="preserve">Noble House (China) Holdings
Tianjin Xinping Runchi</t>
  </si>
  <si>
    <t xml:space="preserve">5812
6799</t>
  </si>
  <si>
    <t xml:space="preserve">NORTHERN NEW ENERGY DEVELOPMENT LTD/TIANJIN XINPING RUNCHI-JOINT VENTURE</t>
  </si>
  <si>
    <t xml:space="preserve">Northern New Energy Development Ltd and Tianjin Xinping Runchi formed a
50:50 joint venture named Hua Xia Northern New Energy Technology
Development (Tianjin) Limited.</t>
  </si>
  <si>
    <t xml:space="preserve">4E8822
4E8825</t>
  </si>
  <si>
    <t xml:space="preserve">IDGLOBAL Corp
Cannaworx Inc</t>
  </si>
  <si>
    <t xml:space="preserve">Pvd brand protection svcs
Manufactures pharmaceutical and medicinal consumer products</t>
  </si>
  <si>
    <t xml:space="preserve">IDGLOBAL Corp, based in
Kelowna, British Columbia,
provides integrated brand
protections services with
solutions that are focused on
preventing revenue loss from
counterfeiting, product
diversion and gray market
activities at all points in
the supply chain. Its
solutions are offered through
its integrated Nano-Molecular
Marker and Track N Trace
technologies. The company was
founded in 2005.
Cannaworx Inc, located in
Ridgefield, New Jersey,
manufactures pharmaceutical
and medicinal consumer
products. It also offers
nutraceuticals and
agricultural/veterinary
products. The Company was
founded in 2019.</t>
  </si>
  <si>
    <t xml:space="preserve">8748
2833</t>
  </si>
  <si>
    <t xml:space="preserve">ID GLOBAL CORP/CANNAWORX INC-STRATEGIC ALLIANCE</t>
  </si>
  <si>
    <t xml:space="preserve">IDGLOBAL Corp and Cannaworx Inc formed a strategic alliance to focus on
Medical Marijuana and Extracts and in year two we will greatly expand our
products lines, including edibles, capsules, CBD's,etc.</t>
  </si>
  <si>
    <t xml:space="preserve">46919Y
9C7959</t>
  </si>
  <si>
    <t xml:space="preserve">Chongqing Machine Tool (Group)
Zhejiang Shuanghuan Driveline
Kapp GmbH Werkzeugmaschinen</t>
  </si>
  <si>
    <t xml:space="preserve">Mnfr gear producing machines
Mnfr,whl gears and shafts
Mnfr metal cutting tools</t>
  </si>
  <si>
    <t xml:space="preserve">Chongqing Machine Tool (Group)
Co Ltd is a manufacturer and
wholesaler of metal cutting
machine tools. The Company was
founded in March 1940 and is
located in Chongqing, China.
Zhejiang Shuanghuan
Driveline Co Ltd is a
manufacturer of motor
vehicle bodies. The Company
was founded in June 2006 and
is located in Hangzhou,
China.
Manufacture metal cutting
tools and equipment</t>
  </si>
  <si>
    <t xml:space="preserve">3541
3714
3541</t>
  </si>
  <si>
    <t xml:space="preserve">China
China
Germany</t>
  </si>
  <si>
    <t xml:space="preserve">Chongqing Mach &amp; Electn Hldg
Zhejiang Shuanghuan Driveline
Kapp GmbH Werkzeugmaschinen</t>
  </si>
  <si>
    <t xml:space="preserve">6799
3714
3541</t>
  </si>
  <si>
    <t xml:space="preserve">CHONGQING MACHINE TOOL GROUP/ZHEJIANG SHUANGHUAN DRIVELINE/KAPP GMBH
WERKZEUGMASCHINEN--JOINT VENTURE</t>
  </si>
  <si>
    <t xml:space="preserve">Chongqing Machine Tool Group Co Ltd, Zhejiang Shuanghuan Driveline Co Ltd
and Kapp GmbH Werkzeugmaschinen- fabrik planned to form a joint venture
named Chongqing Sino-German joint venture Intelligent Manufacturing Ltd.
The JV was expected to have revenues of USD 46.94 million.</t>
  </si>
  <si>
    <t xml:space="preserve">40.00
30.00
30.00</t>
  </si>
  <si>
    <t xml:space="preserve">The total investment of the joint venture is 300 million Yuan (46.94
million dollar).</t>
  </si>
  <si>
    <t xml:space="preserve">16798H
99329N
48559F</t>
  </si>
  <si>
    <t xml:space="preserve">PTT Global Chemical PCL
Toyota Tsusho Corp
Sanyo Chemical Industries Ltd</t>
  </si>
  <si>
    <t xml:space="preserve">All Other Miscellaneous Chemical Product and Preparation Manufacturing
Wholesale steel prod
Mnfr, whl chemical product</t>
  </si>
  <si>
    <t xml:space="preserve">PTT Global Chemical PCL is a
manufacturer and wholesaler
of petrochemical products
and byproducts. Its core
products are ethylene and
propylene, which are
collectively called olefins.
The Company has ten (10)
other offices in Thailand.
The Group also offers
chemical and
petrochemical-related
services like jetty and
buffer tank farm and its
liquid chemical storage and
transport facilities, built
to serve downstream
petrochemical firms. It is
also a holding company. The
Company was founded in
October 2011 and is located
in Bangkok, Thailand.
Toyota Tsusho Corp is a
metal wholesaler. The
Company was founded in July
1948 and is located in
Nagoya-Shi Aichi, Japan.
Sanyo Chemical Industries
Ltd, located in Kyoto,
Japan, is mainly engaged in
the manufacture and sale of
chemicals and related
products. The Company
operates in two business
segments. The Chemical
Products segment
manufactures and sells the
surfactants for living and
health industry, the
polyurethane foam materials
for petroleum oil and
transportation equipment
industry, the permanent
antistat, pigment dispersant
and resin modifier for
plastic and resin industry,
the toner binders for
copiers in information and
electronics industry, as
well as the polymer
flocculants for wastewater
treatment in environment and
housing industry. The Others
segment is involved in the
provision of delivery and
warehousing services,
insurance and travel agency
services, as well as the
residential real estate
trading. The company was
founded in 1949.</t>
  </si>
  <si>
    <t xml:space="preserve">2869
5051
2821</t>
  </si>
  <si>
    <t xml:space="preserve">Thailand
Japan
Japan</t>
  </si>
  <si>
    <t xml:space="preserve">PTT GLOBAL CHEMICAL PCL/TOYOTA TSUSHO CORP/SANYO CHEMICAL INDUSTRIES
LTD-JOINT VENTURE</t>
  </si>
  <si>
    <t xml:space="preserve">PTT Global Chemical PCL, Toyota Tsusho Corp and Sanyo Chemical Industries
Ltd planned to form a joint venture. The JV was expected to have revenues
of USD 1000 million.</t>
  </si>
  <si>
    <t xml:space="preserve">Investment is approximately USD 1 Billion.</t>
  </si>
  <si>
    <t xml:space="preserve">Y7150W
J92719
80304B</t>
  </si>
  <si>
    <t xml:space="preserve">Michelin
Fives SA</t>
  </si>
  <si>
    <t xml:space="preserve">Tire Manufacturing (Except Retreading)
Manufacture,wholesale industrial machinery,equipment</t>
  </si>
  <si>
    <t xml:space="preserve">Compagnie Generale des
Etablissements Michelin SCA
is a manufacturer and
wholesaler of tires. It
offers tires and tubes for
various types of vehicles,
such as cars, vans, trucks,
buses, farm machinery,
earthmovers, mining and
handling equipment,
tramways, metros, aircraft,
motorcycles, scooters and
bicycles. The Company also
provides digital services,
maps and guides to help
trips and travels. The
Company is present in 170
countries and operates 68
production facilities in 17
countries. It also offers
travel assistance products
and services, through its
digital and printed maps and
guides. The Company produces
a number of lifestyle
products, such as car and
bike accessories, work,
sport and leisure gear and
collectibles. The Company
was founded in 1889 and is
located in Clermont-Ferrand,
France.
Fives SA, located in Paris,
France, manufactures and
wholesales industrial
machinery and equipment. It
is also a holding company.
The Company was founded in
1812.</t>
  </si>
  <si>
    <t xml:space="preserve">3011
3559</t>
  </si>
  <si>
    <t xml:space="preserve">Michelin
Novafives SAS</t>
  </si>
  <si>
    <t xml:space="preserve">3011
6159</t>
  </si>
  <si>
    <t xml:space="preserve">MANUFACTURE FRANCAISE DES PNEUMATIQUES MICHELIN SCA/FIVES SA-JOINT VENTURE</t>
  </si>
  <si>
    <t xml:space="preserve">Manufacture Francaise des Pneumatiques Michelin SCA (Michelin) and Fives SA
(Fives ) planned to form a joint venture named Fives Michelin Additive
Solutions to develop and sell industrial machines through metal additive
manufacturing in France. Under terms of the agreement, Michelin was to hold
a 50% interest while Fives was to hold the remaining 50% stake.The JV was
to be capitalized at USD 28 million.</t>
  </si>
  <si>
    <t xml:space="preserve">The JV was to be capitalized at USD28 Million.</t>
  </si>
  <si>
    <t xml:space="preserve">594100
17180M</t>
  </si>
  <si>
    <t xml:space="preserve">Spectral Medical Inc
Toray Medical Co Ltd
ESTOR SpA</t>
  </si>
  <si>
    <t xml:space="preserve">Biological Product (Except Diagnostic) Manufacturing
Mnfr medical equip
Whl diagnostic tech</t>
  </si>
  <si>
    <t xml:space="preserve">Spectral Medical Inc,
located in Toronto, Ontario,
is a biotechnology company
specialized in the
development and
commercialization of
innovative diagnostic
solutions that will improve
patient management. Its
products include EAA
Endotoxin Activity Assay and
RapidWN West Nile Virus IgM
Test. The company was
founded in 1991.
Manufacture medical equipments
Wholesale and distribute in
vitro diagnostic technologies</t>
  </si>
  <si>
    <t xml:space="preserve">2836
3841
5047</t>
  </si>
  <si>
    <t xml:space="preserve">Canada
Japan
Italy</t>
  </si>
  <si>
    <t xml:space="preserve">GDI Integrated Facility
Toray Inds Inc
ESTOR SpA</t>
  </si>
  <si>
    <t xml:space="preserve">6289
2269
5047</t>
  </si>
  <si>
    <t xml:space="preserve">SPECTRAL MEDICAL INC/TORAY MEDICAL CO LTD-STRATEGIC ALLIANCE</t>
  </si>
  <si>
    <t xml:space="preserve">ESTOR SpA, Toray Medical Co Ltd and Spectral Medical Inc formed a strategic
alliance for Spectral's rapid test for the assessment of endotoxin activity
in human whole blood,The diagnostic will be sold primarily in conjunction
with the Toraymyxin (PMX) hemoperfusion cartridge, which removes endotoxin
from the bloodstream and is currently approved for use in many countries
outside of the United States.</t>
  </si>
  <si>
    <t xml:space="preserve">847577
89092C
29724N</t>
  </si>
  <si>
    <t xml:space="preserve">WME IMG Holdings Inc
AGT International Inc</t>
  </si>
  <si>
    <t xml:space="preserve">Sports Teams and Clubs
Dvlp software</t>
  </si>
  <si>
    <t xml:space="preserve">WME IMG Holdings Inc, located
in New York, US, is a provider
of sports, entertainment,
media and fashion management
and representation services.
AGT International Inc,
located in Zurich,
Switzerland, develops
Internet of Things software.</t>
  </si>
  <si>
    <t xml:space="preserve">7941
7372</t>
  </si>
  <si>
    <t xml:space="preserve">Silver Lake Management LLC
AGT International Inc</t>
  </si>
  <si>
    <t xml:space="preserve">6799
7372</t>
  </si>
  <si>
    <t xml:space="preserve">WME IMG HOLDINGS INC/AGT INTERNATIONAL INC-JOINT VENTURE</t>
  </si>
  <si>
    <t xml:space="preserve">WME IMG Holdings Inc and AGT International Inc planned to form a joint
venture to develop physical and app-based experiences for attendees of the
many live events they produce in US.</t>
  </si>
  <si>
    <t xml:space="preserve">9A2364
01152M</t>
  </si>
  <si>
    <t xml:space="preserve">CRISPR Therapeutics AG
Vertex Pharmaceuticals Inc</t>
  </si>
  <si>
    <t xml:space="preserve">CRISPR Therapeutics AG is a
manufacturer of biological
products. The Company was
founded in 2013 and is located
in Basel, Switzerland.
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t>
  </si>
  <si>
    <t xml:space="preserve">CRISPR THERAPEUTICS AG/VERTEX PHARMACEUTICALS INC-STRATEGIC ALLIANCE</t>
  </si>
  <si>
    <t xml:space="preserve">CRISPR Therapeutics AG and Vertex Pharmaceuticals Inc formed a strategic
alliance. The purpose of strategic alliance was to discover and develop
potential new treatments aimed at the underlying genetic causes of human
disease.</t>
  </si>
  <si>
    <t xml:space="preserve">The alliance to have a cost of USD 105 million.</t>
  </si>
  <si>
    <t xml:space="preserve">H17182
92532F</t>
  </si>
  <si>
    <t xml:space="preserve">Alpine Immune Sciences Inc
Kite Pharma Inc</t>
  </si>
  <si>
    <t xml:space="preserve">Alpine Immune Sciences Inc,
located in Seattle,
Washington, provides
biotechnology research and
development services. It is
focused on developing novel
protein-based immunotherapies
using its proprietary variant
immunoglobulin domain platform
technology. The Company was
founded in 2015.
Kite Pharma Inc,
headquartered in Santa
Monica, California, is
clinical-stage
biopharmaceutical company.
It is focused on the
development and
commercialization of cancer
immunotherapy products
designed to harness the
power of a patients own
immune system to eradicate
cancer cells. Its
therapeutic
platform-engineered
Autologous Cell Therapy
(eACT) functions where a
patients own T cells, or
white blood cells, are
engineered to recognize and
destroy their cancer. Its
eACT technology includes the
genetic engineering of T
cells to express either
chimeric antigen receptors
(CARs), or T cell receptors
(TCRs). The Company was
founded in 2009.</t>
  </si>
  <si>
    <t xml:space="preserve">ALPINE IMMUNE SCIENCES INC/KITE PHARMA INC-STRATEGIC ALLIANCE</t>
  </si>
  <si>
    <t xml:space="preserve">Alpine Immune Sciences Inc and Kite Pharma Inc extended their joint venture
to discover and develop protein-based immunotherapies targeting the immune
synapse to treat cancer.</t>
  </si>
  <si>
    <t xml:space="preserve">4F4833
49803L</t>
  </si>
  <si>
    <t xml:space="preserve">MRCB Land Sdn Bhd
Cyberview Sdn Bhd</t>
  </si>
  <si>
    <t xml:space="preserve">Land Subdivision
Land Subdivision</t>
  </si>
  <si>
    <t xml:space="preserve">MRCB Land Sdn Bhd provides
real estate development
services. The company develops
residential and commercial
properties, retail complexes,
and transportation hubs. The
Company is located in Kuala
Lumpur, Malaysia.
Cyberview Sdn Bhd is a
provider of land subdivision
services. The Company was
founded in October 1996 and
is located in Cyberjaya,
Malaysia.</t>
  </si>
  <si>
    <t xml:space="preserve">Malaysian Resources Corp Bhd
Cyberview Sdn Bhd</t>
  </si>
  <si>
    <t xml:space="preserve">MRCB LAND SDN BHD/CYBERVIEW SDN BHD-JOINT VENTURE</t>
  </si>
  <si>
    <t xml:space="preserve">MRCB Land Sdn Bhd and Cyberview Sdn Bhd planned to form a 70:30 joint
venture.</t>
  </si>
  <si>
    <t xml:space="preserve">5E9982
23247J</t>
  </si>
  <si>
    <t xml:space="preserve">VMware Inc
Dawning Info Ind Co Ltd</t>
  </si>
  <si>
    <t xml:space="preserve">Develops virtualization software.
Computer Systems Design Services</t>
  </si>
  <si>
    <t xml:space="preserve">VMware Inc, located in Palo
Alto, California, develops
virtualization software. It
is engaged in development
and application of
virtualization technologies
with x86 server-based
computing, separating
application software from
the underlying hardware. It
offers various products,
which allow organizations to
manage IT resources across
private clouds and
multi-cloud, multi-device
environments by leveraging
synergies across three
product categories:
Software-Defined Data Center
(SDDC), Hybrid Cloud
Computing and End-User
Computing (EUC). It provides
many storage and
availability products to
offer data storage and
protection options to all
applications running on the
vSphere platform. The
Company was founded in 1998.
Dawning Information Industry
Co Ltd is a provider of
computer systems design
services. The Company is
located in Tianjin, China.</t>
  </si>
  <si>
    <t xml:space="preserve">EMC Corp
Dawning Info Ind Co Ltd</t>
  </si>
  <si>
    <t xml:space="preserve">3572
7373</t>
  </si>
  <si>
    <t xml:space="preserve">VMWARE INC/DAWNING INFORMATION INDUSTRY CO LTD-JOINT VENTURE</t>
  </si>
  <si>
    <t xml:space="preserve">VMware Inc and Dawning Information Industry Co Ltd formed a 49:51 joint
venture.</t>
  </si>
  <si>
    <t xml:space="preserve">928563
82557C</t>
  </si>
  <si>
    <t xml:space="preserve">Premier Evolvics Pvt Ltd
Saurer AG</t>
  </si>
  <si>
    <t xml:space="preserve">Provide research,dvlp svcs
Manufacture textile machinery</t>
  </si>
  <si>
    <t xml:space="preserve">Premier Evolvics Pvt Ltd is a
provider of research and
development services. The
company was founded in January
1983 and is located in
Coimbatore, India.
Saurer AG, located in Wattwil,
Switzerland, manufactures
textile machinery,
refrigeration and heating
equipment. It also owns and
operates automotive and home
supply stores and provides
electrical and electronic
repair services. The Company
was founded in 1929.</t>
  </si>
  <si>
    <t xml:space="preserve">8731
3552</t>
  </si>
  <si>
    <t xml:space="preserve">Premier Evolvics Pvt Ltd
Oc Oerlikon Corp AG</t>
  </si>
  <si>
    <t xml:space="preserve">PREMIER EVOLVICS PVT LTD/SAURER AG-JOINT VENTURE</t>
  </si>
  <si>
    <t xml:space="preserve">Premier Evolvics Pvt Ltd and Saurer AG formed a joint venture named Saurer
Premier Technologies Private Limited to develop and manufacture the new
generation of yarn clearers in india.</t>
  </si>
  <si>
    <t xml:space="preserve">2E1307
80451N</t>
  </si>
  <si>
    <t xml:space="preserve">Winshine Ent &amp; Media Hldg Co
Novetide Ltd</t>
  </si>
  <si>
    <t xml:space="preserve">Doll and Stuffed Toy Manufacturing
Dvlp peptide synthesis technologies</t>
  </si>
  <si>
    <t xml:space="preserve">Winshine Entertainment &amp;
Media Holding Co Ltd,
located in Hong Kong,
manufactures and wholesales
toys. The company
manufactures and sells a
range of hard toys and
stuffed toys on an OEM
basis. The company was
founded in 1980.
Novetide Ltd is a manufacturer
of in-vitro diagnostic
substances. The company is
located in Haifa Bay, Israel.</t>
  </si>
  <si>
    <t xml:space="preserve">3942
2835</t>
  </si>
  <si>
    <t xml:space="preserve">WINSHINE ENTERTAINMENT &amp; MEDIA HOLDING CO LTD/NOVETIDE LTD-JOINT VENTURE</t>
  </si>
  <si>
    <t xml:space="preserve">Winshine Entertainment Media Holding Co Ltd and Novetide Ltd formed a 55:45
joint venture was to engage in the business of research and development of
the Peptide Secretion Technology for malignant tumor treatment through the
wholly foreign owned enterprises and the structured contracts.</t>
  </si>
  <si>
    <t xml:space="preserve">7C1618
4E4470</t>
  </si>
  <si>
    <t xml:space="preserve">Xiamen Xiagong Mechanical
Avic Xi'An Aero-Engine(Grp)Ltd
China Natl Aero-Tech Beijing
Xiamen Moyi Mgmt Consultation</t>
  </si>
  <si>
    <t xml:space="preserve">Constr co
Mnfr gas turbines,jet engines
Mnfr,whl plant machinery
Other Management Consulting Services</t>
  </si>
  <si>
    <t xml:space="preserve">Xiamen Xiagong Mechanical
Construction Co Ltd, located
in Xiamen, is a construction
company.
Avic Xi'An Aero-Engine (Group)
Ltd, located in China,
manufactures gas turbines, jet
engines and tool machinery.
The company was founded on
March 12, 1998.
China National Aero-Technology
Beijing Co Ltd, located in
Beijing, China, manufactures
and wholesales plant
machinery. The company was
founded in 1992
Xiamen Moyi Management
Consultation Co Ltd is a
provider of management
consulting services. The
company is located in China.</t>
  </si>
  <si>
    <t xml:space="preserve">1522
3724
3559
8748</t>
  </si>
  <si>
    <t xml:space="preserve">Xiamen Xiagong Mechanical
Aviation Ind Corp Of China
AVIC Intl Hldg Ltd
Xiamen Moyi Mgmt Consultation</t>
  </si>
  <si>
    <t xml:space="preserve">1522
3721
3679
8748</t>
  </si>
  <si>
    <t xml:space="preserve">XIAMEN XIAGONG MECHANICAL/AVIC XI'AN/CHINA NATL-TECH/XIAMEN MOYI MGMT-JOINT
VENTURE</t>
  </si>
  <si>
    <t xml:space="preserve">Xiamen Xiagong Mechanical Mechanical Construction Co Ltd, Avic Xi'An
Aero-Engine(Group) Ltd, China National Aero- Technology Beijing Co Ltd and
Xiamen Moyi Management Consultation Co Ltd planned to form a 42:38:11:9
joint venture to engage in the research and development, manufacturing,
sale, maintenance and other relevant services of the machines, electricity
and liquid control system and parts as well as engineering robot systems
and parts..</t>
  </si>
  <si>
    <t xml:space="preserve">Manufacturing Services
Research &amp; Development Services
Engineering Services</t>
  </si>
  <si>
    <t xml:space="preserve">42.00
38.00
11.00
9.00</t>
  </si>
  <si>
    <t xml:space="preserve">98651W
98392K
05018E
4E9711</t>
  </si>
  <si>
    <t xml:space="preserve">Stephane Richard
Elizabeth Borne
Guillaume Pepy
Olivier Piou</t>
  </si>
  <si>
    <t xml:space="preserve">Individual
Individual
Individual
Individual</t>
  </si>
  <si>
    <t xml:space="preserve">Stephane Richard is a private
investor located in France.
Elizabeth Borne, located in
France, is an individual
investor.
Guillaume Pepy, located in
France, is an individual
investor.
Olivier Piou, located in
France, is an individual
investor.</t>
  </si>
  <si>
    <t xml:space="preserve">6799
6799
6799
6799</t>
  </si>
  <si>
    <t xml:space="preserve">France
France
France
France</t>
  </si>
  <si>
    <t xml:space="preserve">STEPHANE RICHARD/ELIZABETH BORNE/GUILLAUME PEPY/OLIVIER PIOU-JOINT VENTURE</t>
  </si>
  <si>
    <t xml:space="preserve">Stephane Richard, Elizabeth Borne, Guillaume Pepy and Olivier Piou planned
to form a joint venture named Wizway Solutions.</t>
  </si>
  <si>
    <t xml:space="preserve">85879C
5E7993
5E7995
5E8003</t>
  </si>
  <si>
    <t xml:space="preserve">Medtronic PLC
Samsung Electns America Inc</t>
  </si>
  <si>
    <t xml:space="preserve">Manufactures and wholesales medical and surgical devices
Whl consumer electronics,appliances</t>
  </si>
  <si>
    <t xml:space="preserve">Medtronic PLC is a
manufacturer of
navigational, measuring,
electromedical and control
instruments. The Company
manufactures and wholesales
medical and surgical
devices. Its products
include neurostimulation
systems, drug delivery
systems, neurosurgical
implant devices, surgical
access products, diagnostic
and therapeutic systems for
chronic pain, neurological,
urologic, and
gastrointestinal disorders
and coronary stents, stent
grafts, angioplasty
balloons, guiding catheters,
guide wires and surgical
instruments for treating
ear, nose, throat and eye
disorders and diseases. It
markets its products in 120
nations. The Company was
founded in 1949 and is
located in Dublin, the
Republic of Ireland.
Samsung Electronics America
Inc, located in Ridgefield
Park, New Jersey, wholesales
consumer electronics and
appliances. Its divisions
include consumer business,
which offers home theater
systems, camcorders and TVs,
and enterprise business, which
includes LFDs, monitors and
mobile computing products,
color and mono laser printers
and copiers, solid state
drives, set top boxes and
Virtual Desktop
Infrastructure. The Company
was founded in 1975.</t>
  </si>
  <si>
    <t xml:space="preserve">3845
5064</t>
  </si>
  <si>
    <t xml:space="preserve">Medtronic PLC
Samsung Electronics Co Ltd</t>
  </si>
  <si>
    <t xml:space="preserve">Ireland-Rep
South Korea</t>
  </si>
  <si>
    <t xml:space="preserve">3845
3663</t>
  </si>
  <si>
    <t xml:space="preserve">MEDTRONIC PLC/SAMSUNG ELECTRONICS AMERICA-STRATEGIC ALLIANCE</t>
  </si>
  <si>
    <t xml:space="preserve">Medtronic PLC and Samsung Electronics America Inc formed strategic alliance
to accelerate the development of digital health solutions for the people
suffering from chronic pain, movement disorders, incontinence, and other
conditions who could benefit from neuromodulation therapy in USA.</t>
  </si>
  <si>
    <t xml:space="preserve">5C9265
79604A</t>
  </si>
  <si>
    <t xml:space="preserve">AstraZeneca PLC
WuXi AppTec Inc</t>
  </si>
  <si>
    <t xml:space="preserve">Manufactures, wholesales pharmaceutical products
Pvd lab testing svcs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</si>
  <si>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AppTec Laboratory Services
Inc, located in St Paul,
Minnesota, is a provider of
laboratory testing, contract
R&amp;D, and cGMP manufacturing
services for the
biopharmaceutical and medical
device industries.</t>
  </si>
  <si>
    <t xml:space="preserve">AstraZeneca PLC
New Wuxi Life Science Hldg Ltd</t>
  </si>
  <si>
    <t xml:space="preserve">ASTRAZENECA PLC/WUXI APPTEC INC-STRATEGIC ALLIANCE</t>
  </si>
  <si>
    <t xml:space="preserve">AstraZeneca PLC and WuXi AppTec Inc (WAS 03810A) formed a strategic
alliance to Expedite Development of AstraZeneca's Innovative Biologics
Portfolio in China.</t>
  </si>
  <si>
    <t xml:space="preserve">046353
06569E</t>
  </si>
  <si>
    <t xml:space="preserve">DreamWorks LLC
Reliance Media &amp; Ent Pvt Ltd</t>
  </si>
  <si>
    <t xml:space="preserve">Pvd motion picture distn svcs
Own,op radio,TV stations</t>
  </si>
  <si>
    <t xml:space="preserve">Provide motion picture
production and distribution
services
Reliance Media &amp; Entertainment
Pvt Ltd, owns and operates
radio and TV stations. The
company is headquartered in
India. The company also
provides key content
initiatives across movies,
music, sports, gaming,
internet and mobile portals
leading to direct
opportunities in delivery
across the emerging digital
distribution platforms such as
digital cinema and mobile
television. The company also
owns 12 radio stations across
the country</t>
  </si>
  <si>
    <t xml:space="preserve">7812
4832</t>
  </si>
  <si>
    <t xml:space="preserve">DREAMWORKS LLC/RELIANCE MEDIA &amp; ENTERTAINMENT-JOINT VENTURE</t>
  </si>
  <si>
    <t xml:space="preserve">DreamWorks LLC and Reliance Media Entertainment Pvt Ltd planned to form a
joint venture.</t>
  </si>
  <si>
    <t xml:space="preserve">26131M
75840L</t>
  </si>
  <si>
    <t xml:space="preserve">South West Eco Development Ltd
Shanghai Xiangfu Asset Mgmt</t>
  </si>
  <si>
    <t xml:space="preserve">Land Subdivision
Investment holding company</t>
  </si>
  <si>
    <t xml:space="preserve">South West Eco Development
Ltd, located in Hong Kong,
is a real estate development
firm. The company is
principally engaged in the
businesses of property
development, property
leasing, property management
and consultancy businesses.
The company was founded in
1993.
Shanghai Xiangfu Asset
Management Co Ltd is a
provider of financial
investment services. The
company is located in China.</t>
  </si>
  <si>
    <t xml:space="preserve">Xiamen C&amp;D Inc
Shanghai Xiangfu Asset Mgmt</t>
  </si>
  <si>
    <t xml:space="preserve">5099
6799</t>
  </si>
  <si>
    <t xml:space="preserve">SOUTH WEST ECO DEVELOPMENT LTD/SHANGHAI XIANGFU ASSET MANAGEMENT CO
LTD-JOINT VENTURE</t>
  </si>
  <si>
    <t xml:space="preserve">South West Eco Development Ltd and Shanghai Xiangfu Asset Management Co Ltd
planned to form a 55:45 joint venture. The JV was to be capitalized at USD
4.64 million.</t>
  </si>
  <si>
    <t xml:space="preserve">The JV was to be capitalized at USD 4.64 million.</t>
  </si>
  <si>
    <t xml:space="preserve">0A6435
5E0356</t>
  </si>
  <si>
    <t xml:space="preserve">BAIC Motor Corp Ltd
Guoxuan High-tech Co Ltd</t>
  </si>
  <si>
    <t xml:space="preserve">Automobile Manufacturing
All Other Miscellaneous Electrical Equipment and Component Manufacturing</t>
  </si>
  <si>
    <t xml:space="preserve">BAIC Motor Corp Ltd is a
manufacturer and wholesaler
of automobiles. The Company
was founded in September
2010 and is located in
Beijing, China.
Guoxuan High-tech Co Ltd is
a manufacturer and
wholesaler of electrical
equipment. The company was
founded in January 1995 and
is located in Nantong,
China.</t>
  </si>
  <si>
    <t xml:space="preserve">3711
3629</t>
  </si>
  <si>
    <t xml:space="preserve">BAIC Motor Corp Ltd
Zhuhai Guoxuan Trading Co Ltd</t>
  </si>
  <si>
    <t xml:space="preserve">BAIC MOTOR CORP LTD/GUOXUAN HIGH-TECH CO LTD-JOINT VENTURE</t>
  </si>
  <si>
    <t xml:space="preserve">BAIC Motor Corp Ltd and Guoxuan High-tech Co Ltd planned to form a joint
venture.</t>
  </si>
  <si>
    <t xml:space="preserve">0A2439
1E6521</t>
  </si>
  <si>
    <t xml:space="preserve">Hyundai C&amp;F Inc
Seeking Partner</t>
  </si>
  <si>
    <t xml:space="preserve">Electrical and Electronic Appliance, Television, and Radio Set Merchant Wholesalers
Investment firm</t>
  </si>
  <si>
    <t xml:space="preserve">Hyundai C&amp;F Inc, based in
Seoul, South Korea, is a
wholesaler of goods. The
Company mainly wholesales
household appliances such as
mobile phones, air conditions
and sound equipment; hardware;
meat including beef and pork,
grain and others. The company
was founded in October 2015
and is located in Seoul, South
Korea.
Investment firm</t>
  </si>
  <si>
    <t xml:space="preserve">HYUNDAI C&amp;F INC/SEEKING JV PARTNER -JOINT VENTURE</t>
  </si>
  <si>
    <t xml:space="preserve">Hyundai CF Inc planned to form a joint venture.</t>
  </si>
  <si>
    <t xml:space="preserve">Research &amp; Development Services
Funding Services
Services (NEC)</t>
  </si>
  <si>
    <t xml:space="preserve">2E3157
81575N</t>
  </si>
  <si>
    <t xml:space="preserve">Diebold Nixdorf Inc
Inspur Group Co Ltd</t>
  </si>
  <si>
    <t xml:space="preserve">Manufactures and wholesales automated teller machines
Provide information tech svcs</t>
  </si>
  <si>
    <t xml:space="preserve">Diebold Nixdorf Inc, located
in North Canton, Ohio,
manufactures and wholesales
automated teller machines.
It offers also electronic
and physical security
systems for various products
used to equip bank
facilities software and
integrated systems for
global financial markets. It
operates under three
segments. Financial
self-service product segment
offers an integrated line of
self-service banking
products and Automated
Teller Machines. Physical
Security and Facility
Products division designs
and manufactures financial
service solutions offerings,
including the Remote Teller
SystemTM, safe deposit boxes
and safes and drive up
banking equipment. Election
systems/lottery segment
provides electronic voting
systems and lottery
machines. It operates in the
United States, Asia-Pacific,
Europe, Middle East and
Africa. The Company was
founded in 1859.
Inspur Group Co Ltd is a
software publisher. The
Company was founded in
February 1998 and is located
in Jinan, China.</t>
  </si>
  <si>
    <t xml:space="preserve">3578
7376</t>
  </si>
  <si>
    <t xml:space="preserve">DIEBOLD INC/INSPUR GROUP CO LTD-JOINT VENTURE</t>
  </si>
  <si>
    <t xml:space="preserve">Diebold Inc (Diebold ) and Inspur Group Co Ltd (Inspur) planned to form a
joint venture named Inspur Financial Information Systems Ltd to develop,
manufacture and distribute financial self-service solutions in China.Under
terms of the agreement, Diebold was to hold a 49% interest in Inspur
Financial Information Systems Ltd while Inspur was to hold the remaining
51% stake.</t>
  </si>
  <si>
    <t xml:space="preserve">253651
51569P</t>
  </si>
  <si>
    <t xml:space="preserve">The Carlyle Group LP
Hilcorp Energy Co</t>
  </si>
  <si>
    <t xml:space="preserve">Private equity firm
Independent exploration and production company</t>
  </si>
  <si>
    <t xml:space="preserve">The Carlyle Group LP,
located in Washington DC,
Washington DC, is a private
equity firm. It operates in
four segments: Corporate
Private Equity, Real Assets,
Global Credit and Investment
Solutions. The Corporate
Private Equity segment is
comprised of the operations
that advise a diverse group
of funds that invest in
buyout, middle market and
growth capital transactions
that focus on either a
geography or a particular
industry. The Real Assets
segment is comprised of the
operations that advise
United States and
international funds focused
on real estate,
infrastructure, energy and
renewable energy
transactions. The Global
Credit segment advises a
group of 64 active funds
that pursue investment
strategies that span the
credit spectrum: liquid
credit, illiquid credit, and
real assets credit. The
Investment Solutions segment
provides investment
opportunities and resources
for its investors and
clients to build private
equity and real estate
portfolios through fund of
funds, secondary purchases
of existing portfolios and
managed co-investment
programs. The Company was
founded in 1987.
Hilcorp Energy Co, located
in Houston, Texas, is an
independent exploration and
production company. It
produces oil and natural gas
in the United States. It has
operations in Alabama,
Alaska, Colorado, Louisiana,
New Mexico, Ohio,
Pennsylvania, Texas, and
Wyoming. The Company was
founded in 1989.</t>
  </si>
  <si>
    <t xml:space="preserve">6799
1311</t>
  </si>
  <si>
    <t xml:space="preserve">DC
TX</t>
  </si>
  <si>
    <t xml:space="preserve">THE CARLYLE GROUP LP/HILCORP ENERGY CO-JOINT VENTURE</t>
  </si>
  <si>
    <t xml:space="preserve">The Carlyle Group LP and Hilcorp Energy Co formed a joint venture named
Hilcorp Energy Development. The JV was expected to have revenues of USD
1.24 million.</t>
  </si>
  <si>
    <t xml:space="preserve">The JV was to be capitalized at USD 1.24 million</t>
  </si>
  <si>
    <t xml:space="preserve">14309L
43121L</t>
  </si>
  <si>
    <t xml:space="preserve">Manila Electric Co
Repower Energy Dvlp Corp</t>
  </si>
  <si>
    <t xml:space="preserve">Electric utility company
Alternative Energy Sources</t>
  </si>
  <si>
    <t xml:space="preserve">Manila Electric Co is an
electric utility company. It
covers twenty-five cities
and eighty-six
municipalities in Metro
Manila and in six provinces
surrounding Metro Manila. It
is also involved in
industrial construction and
engineering, business
process reengineering, power
generation, information
technology consultancy,
e-business, energy-related
solutions, real estate
development, and energy
management. The Company was
founded in March 1903 and is
located in Pasig, the
Philippines.
Repower Energy Development
Corp, located in the
Philippines, provides
renewable energy production
services.</t>
  </si>
  <si>
    <t xml:space="preserve">4911
499A</t>
  </si>
  <si>
    <t xml:space="preserve">MANILA ELECTRIC CO/REPOWER ENERGY DEVELOPMENT CORP-JOINT VENTURE</t>
  </si>
  <si>
    <t xml:space="preserve">Manila Electric Co (Meralco) and Repower Energy Development Corp planned to
form a joint venture to build and to develop mini-hydropower plants in some
parts of the Philippines, which will be operational by 2019 in
Philippines.Under terms of the agreement, Meralco was to hold a 49%
interest while Repower Energy was to hold the remaining 51% stake.</t>
  </si>
  <si>
    <t xml:space="preserve">563245
1E7435</t>
  </si>
  <si>
    <t xml:space="preserve">CRISPR Therapeutics AG
Bayer AG</t>
  </si>
  <si>
    <t xml:space="preserve">Biological Product (Except Diagnostic) Manufacturing
Manufacture and Wholesale Chemicals &amp; Pharmaceuticals</t>
  </si>
  <si>
    <t xml:space="preserve">CRISPR Therapeutics AG is a
manufacturer of biological
products. The Company was
founded in 2013 and is located
in Basel, Switzerland.
Bayer AG, located in
Leverkusen, Germany,
manufactures organic
chemicals. The Company was
founded in August 1863.</t>
  </si>
  <si>
    <t xml:space="preserve">CRISPR THERAPEUTICS AG/BAYER AG-JOINT VENTURE</t>
  </si>
  <si>
    <t xml:space="preserve">Casebia Therapeutics is a
manufacturer of biological
products. The company was
founded in 2016 and is located
in Massachusetts.</t>
  </si>
  <si>
    <t xml:space="preserve">CRISPR Therapeutics AG and Bayer AG formed a 50:50 joint venture named
Casebia Therapeutics to discover, develop and commercialize new
breakthrough therapeutics to cure blood disorders, blindness, and
congenital heart disease in US. The JV was to have a cost of USD 335
million.</t>
  </si>
  <si>
    <t xml:space="preserve">The JV was to have a cost of USD 335 million.</t>
  </si>
  <si>
    <t xml:space="preserve">0F6702</t>
  </si>
  <si>
    <t xml:space="preserve">H17182
072730</t>
  </si>
  <si>
    <t xml:space="preserve">Swiber Holdings Ltd
ALAM Maritim(M)Sdn Bhd</t>
  </si>
  <si>
    <t xml:space="preserve">Provide offshore engineering services
Own,op marinas</t>
  </si>
  <si>
    <t xml:space="preserve">Swiber Holdings Ltd, located
in Singapore, provides
offshore engineering
services. It provides
engineering, procurement,
installation, and
construction (EPIC); marine
and subsea support services
to provide for the entire
spectrum of offshore oil and
gas exploration projects. It
comprises of four main
business units: Swiber
Offshore Construction
Services, Newcruz Offshore
Marine Services, Kreuz
Offshore Subsea Services and
Equatoriale Offshore
Development Services. The
Company was founded in 1996.
ALAM Maritim (M) Sdn Bhd,
located in Kuala Lumpur, owns
and operates marinas/docks.
The company also has services
such as chartering, hiring,
catering and shipping related
activities. Company also
manages and has own ships. The
company was founded in 1996.</t>
  </si>
  <si>
    <t xml:space="preserve">8711
4491</t>
  </si>
  <si>
    <t xml:space="preserve">Singapore
Malaysia</t>
  </si>
  <si>
    <t xml:space="preserve">Swiber Holdings Ltd
Alam Maritim Resources Bhd</t>
  </si>
  <si>
    <t xml:space="preserve">8711
4412</t>
  </si>
  <si>
    <t xml:space="preserve">SWIBER HOLDINGS LTD/ALAM MARITIM(M)SDN BHD-JOINT VENTURE</t>
  </si>
  <si>
    <t xml:space="preserve">Swiber Holdings Ltd and ALAM Maritim(M)Sdn Bhd formed a joint venture, to
Gas Development Project in Malaysia.</t>
  </si>
  <si>
    <t xml:space="preserve">87703L
01074P</t>
  </si>
  <si>
    <t xml:space="preserve">Fujifilm Corp
Anicom Holdings Inc</t>
  </si>
  <si>
    <t xml:space="preserve">Mnfr,whl photo film,camera
Other Direct Insurance (Except Life, Health, and Medical) Carriers</t>
  </si>
  <si>
    <t xml:space="preserve">Fujifilm Corp, located in
Tokyo, Japan, manufactures
and wholesales color films,
conventional cameras,
digital cameras, lab
equipment, color paper and
chemicals and provides
photofinishing services. The
Company was founded in 2006.
Anicom Holdings Inc, located
in Shinjuku-Ku Tokyo, Japan,
is a holding company,
engaged in insurance
business. The Company
operates in two business
segments. The Casualty
Insurance segment is engaged
in the provision of casualty
insurance for pets. The
others segment is engaged in
the pet hospitals support
business, which includes
development, sale and
support services of chart
management systems;
insurance agency business;
The other business includes
pets health consultation
services, dental examination
and operation support of
tooth-cleaning courses, as
well as the operation of
Website Anicom memorial. The
Company was founded in 5
July 2000.</t>
  </si>
  <si>
    <t xml:space="preserve">3861
6399</t>
  </si>
  <si>
    <t xml:space="preserve">FUJIFILM Holdings Corp
Anicom Holdings Inc</t>
  </si>
  <si>
    <t xml:space="preserve">FUJIFILM CORP/ANICOM HOLDINGS INC-JOINT VENTURE</t>
  </si>
  <si>
    <t xml:space="preserve">Fujifilm Corp (Fujifilm ) and Anicom Holdings Inc (Anicom ) planned to form
a joint venture to develop and provide cutting-edge veterinary technologies
and services with the focus on regenerative medicine in Japan.Under terms
of the agreement, Fujifilm was to hold a 51% interest while Anicom was to
hold the remaining 49% stake.</t>
  </si>
  <si>
    <t xml:space="preserve">35899H
03499E</t>
  </si>
  <si>
    <t xml:space="preserve">USI
Shenzhen Pengdao Invest Co Ltd</t>
  </si>
  <si>
    <t xml:space="preserve">Mnfr,whl electronic components
Investment company</t>
  </si>
  <si>
    <t xml:space="preserve">Universal Scientific
Industrial (Shanghai) Co Ltd
is a manufacturer of printed
circuit assemblies. Its main
products are wireless
communications components,
flat LCD display components
and storage products. The
Company was founded in
January 2003 and is located
in Shanghai, China.
Shenzhen Pengdao Investment Co
Ltd, located in China, is an
investment company.</t>
  </si>
  <si>
    <t xml:space="preserve">Huancheng Technology Co Ltd
Shenzhen Pengdao Invest Co Ltd</t>
  </si>
  <si>
    <t xml:space="preserve">UNIVERSAL SCIENTIFIC/SHENZHEN PENGDAO INVESTMENT CO-JOINT VENTURE</t>
  </si>
  <si>
    <t xml:space="preserve">Universal Scientific Industrial(Shanghai)Co Ltd (Universal Scientific) and
Shenzhen Pengdao Investment Co Ltd (Shenzhen) planned to form a joint
venture to develop and the operation in China.Under terms of the agreement,
Universal Scientific was to hold a 51% interest while Shenzhen was to hold
the remaining 49% stake.The JV was to be capitalized at 32.41 USD Million.</t>
  </si>
  <si>
    <t xml:space="preserve">The JV was to be capitalized at 32.41 USD Million.</t>
  </si>
  <si>
    <t xml:space="preserve">91641F
3A3530</t>
  </si>
  <si>
    <t xml:space="preserve">Shenzhen Guilian Printing Ltd
Tianjin Rongcai Tech Co Ltd</t>
  </si>
  <si>
    <t xml:space="preserve">Pvd Printing svcs
Software Publishers</t>
  </si>
  <si>
    <t xml:space="preserve">Shenzhen Guilian Printing Ltd
is a provider of books
printing services. The company
is located in China.
Tianjin Rongcai Technology Co
Ltd is a software publisher.
The company was founded in
July 2011 and is located in
Tianjin, China.</t>
  </si>
  <si>
    <t xml:space="preserve">2732
7372</t>
  </si>
  <si>
    <t xml:space="preserve">Brilliant Circle Hldg Intl Ltd
Masterwork Machinery Co Ltd</t>
  </si>
  <si>
    <t xml:space="preserve">2732
3555</t>
  </si>
  <si>
    <t xml:space="preserve">SHENZHEN GUILIAN PRINTING LTD/TIANJIN RONGCAI TECHNOLOGY CO LTD-JOINT
VENTURE</t>
  </si>
  <si>
    <t xml:space="preserve">Brilliant Circle Holdings International Ltd and Tianjin Rongcai Technology
Co Ltd planned to form a 40:60 joint venture named Tianjin Rong Lian Hui
Zhi Intelligence Packaging Technology Co Ltd. The JV was to be capitalized
at USD 4.62 million.</t>
  </si>
  <si>
    <t xml:space="preserve">Research &amp; Development Services
Printing &amp; Publishing Services</t>
  </si>
  <si>
    <t xml:space="preserve">The JV was to be capitalized at USD 4.62 million.</t>
  </si>
  <si>
    <t xml:space="preserve">5E4226
3E7147</t>
  </si>
  <si>
    <t xml:space="preserve">China National Nuclear Corp
China Gen Nuclear Power Corp</t>
  </si>
  <si>
    <t xml:space="preserve">Nuclear Electric Power Generation
Electric Power Distribution</t>
  </si>
  <si>
    <t xml:space="preserve">China National Nuclear Corp,
located in Beijing, China,
is a nuclear electric power
generation facility
operator. The Company was
founded in June 29, 1999.
China General Nuclear Power
Corp is an electric power
distributor. It operates
wind, solar, hydro,
gas-fired, biomass,
oil-fired, combined heat,
and fuel cell power
generation plants. It also
provides various finance
services, including fund
settlement, management risk
of debt, credit financing,
financial asset management,
investment banking,
insurance brokerage,
financial leasing, and
direct investment, as well
as centralized management of
domestic and foreign funds.
The Company was founded in
September 1994 and is
located in Shenzhen, China.</t>
  </si>
  <si>
    <t xml:space="preserve">CHINA NATIONAL NUCLEAR CORP/CHINA GENERAL NUCLEAR POWER CORP-JOINT VENTURE</t>
  </si>
  <si>
    <t xml:space="preserve">China National Nuclear Corp and China General Nuclear Power Corp formed a
50:50 joint venture named Hualong International Nuclear Technology Co Ltd.
The JV was expected to have revenues of USD 77 million.</t>
  </si>
  <si>
    <t xml:space="preserve">The JV was to be capitalized at USD 77 million.</t>
  </si>
  <si>
    <t xml:space="preserve">16946V
5A2208</t>
  </si>
  <si>
    <t xml:space="preserve">Undisclosed JV Partner
Tecogen Inc</t>
  </si>
  <si>
    <t xml:space="preserve">Investment company
Air-Conditioning and Warm Air Heating Equipment and Refrigeration Equipment Manufacturing</t>
  </si>
  <si>
    <t xml:space="preserve">Investment company
Tecogen Inc, headquartered
in Waltham, Massachusetts,
manufactures cogeneration
products. It designs,
manufactures and sells
industrial and commercial
cogeneration systems that
produce combinations of
electricity, hot water and
air conditioning using
automobile engines that have
been specially adapted to
burn natural gas. It
supports two types of CHP
products cogeneration units
that supply electricity and
heat, and chillers that
provide air-conditioning and
heat or hot water. The
Company was founded on
September 15, 2000.</t>
  </si>
  <si>
    <t xml:space="preserve">6799
3585</t>
  </si>
  <si>
    <t xml:space="preserve">Unknown
United States</t>
  </si>
  <si>
    <t xml:space="preserve">TECOGEN INC/UNDISCLOSED PARTNER-JOINT VENTURE</t>
  </si>
  <si>
    <t xml:space="preserve">Undisclosed Joint Venture Partner and Tecogen Inc planned to form a joint
venture named Ultra Emissions Technologies Ltd.</t>
  </si>
  <si>
    <t xml:space="preserve">904JVP
87876P</t>
  </si>
  <si>
    <t xml:space="preserve">MPX International Corp
Volteface Ltd</t>
  </si>
  <si>
    <t xml:space="preserve">Medicinal and Botanical Manufacturing
Other Management Consulting Services</t>
  </si>
  <si>
    <t xml:space="preserve">MPX International Corp,
located in Toronto, Canada,
is a cannabis company. It is
focused on developing and
operating assets across the
global cannabis industry
with an emphasis on
cultivating, manufacturing
and marketing products,
which include cannabinoids
as their primary active
ingredient. The Company was
founded on October 27, 2018.
Volteface Ltd is a provider
of management consulting
services. The Company is
located in the United
Kingdom.</t>
  </si>
  <si>
    <t xml:space="preserve">MPX INTERNATIONAL CORP/VOLTEFACE LTD-STRATEGIC ALLIANCE</t>
  </si>
  <si>
    <t xml:space="preserve">MPX International Corp and Volteface Ltd extended their strategic alliance
around the world for the aim of providing a new focus on drug policy
reform.</t>
  </si>
  <si>
    <t xml:space="preserve">0J7492
4J3751</t>
  </si>
  <si>
    <t xml:space="preserve">Iowa City Area Dvlp Grp
Cedar Rapids Metro Econ</t>
  </si>
  <si>
    <t xml:space="preserve">Develop software
Provide consulting services</t>
  </si>
  <si>
    <t xml:space="preserve">Iowa City Area Development
Group is a software publisher.
The company was founded in
1984 and is located in
Missouri.
Cedar Rapids Metro Economic
Alliance is a provider of
management consulting
services. The company was
founded in 2012 and is located
in Missouri.</t>
  </si>
  <si>
    <t xml:space="preserve">7372
8748</t>
  </si>
  <si>
    <t xml:space="preserve">IOWA CITY AREA DEVELOPMENT GROUP/CEDAR RAPIDS METRO ECONOMIC ALLIANCE-JOINT
VENTURE</t>
  </si>
  <si>
    <t xml:space="preserve">Iowa City Area Development Group and Cedar Rapids Metro Economic Alliance
planned to form a 50:50 joint venture to provide focus for workforce and
business recruitment efforts</t>
  </si>
  <si>
    <t xml:space="preserve">4E1384
4E1392</t>
  </si>
  <si>
    <t xml:space="preserve">Stone Resources Australia
MHM Metals Ltd</t>
  </si>
  <si>
    <t xml:space="preserve">Gold mining
Gold,copper,nickel,zinc mining</t>
  </si>
  <si>
    <t xml:space="preserve">Stone Resources Australia
Ltd, located in Belmont,
Australia, is a gold ore
mine operator. The Company
operates in the mineral
exploration segment. It
focuses on the drilling and
exploration on its Northern
leases on the Ben Hur
M38/339 (approximately
19,550 meters) and Cork Tree
Well M38/346 (approximately
12,565 meters) areas. The
Company has resources in
Alpha and Beta in the
Southern tenement, and
Epsilon and Delta in the
Northern tenements. Its Cork
Tree Well project includes
about 150 square kilometers
of tenements around the old
Cork Tree Well Mine. It owns
and controls the Alpha gold
deposit, which is contained
in the tenement package of
M38/1058, M38/1056,
M38/1057, M38/968 and
P38/3834, located
approximately 40 kilometers
East South-East of Laverton
in Western Australia. Its
Ben Hur deposit is situated
inside the M38/339 lease,
which is a northern tenement
of the Company. The Company
has not generated any
revenues. The Company was
founded in May 2002.
2007.</t>
  </si>
  <si>
    <t xml:space="preserve">Stone Resources Ltd
MHM Metals Ltd</t>
  </si>
  <si>
    <t xml:space="preserve">1481
1041</t>
  </si>
  <si>
    <t xml:space="preserve">STONE RESOURCES AUSTRALIA/MHM METALS LTD-JOINT VENTURE</t>
  </si>
  <si>
    <t xml:space="preserve">Stone Resources Australia Ltd and MHM Metals Ltd planned to form a joint
venture named Brightstar Gold Project.</t>
  </si>
  <si>
    <t xml:space="preserve">Research &amp; Development Services
Mining Services
Exploration Services</t>
  </si>
  <si>
    <t xml:space="preserve">85904W
55133Q</t>
  </si>
  <si>
    <t xml:space="preserve">Makok International Sdn Bhd
O&amp;C Resources Bhd</t>
  </si>
  <si>
    <t xml:space="preserve">Land Subdivision
Resilient Floor Covering Manufacturing</t>
  </si>
  <si>
    <t xml:space="preserve">Makok Intl Sdn Bhd is a
provider of land subdivision
services. The company was
founded in February 2011 and
is located in Malaysia.
O&amp;C Resources Bhd, located in
Ledang, Malaysia, is a
manufacturer of fabricated
rubber products, baby products
&amp; toys. Its baby products
include bottles, nipples,
sipper spouts, soothers,
teethers, brush/cover
set/grippers, bath
thermometers, powder with
cornstarch, cotton buds, nappy
pins, wipes, diaper liners,
rubber cot sheets, feeding
bottle sterilizers, breast
pumps, nose cleaners, twin
warmers, safety scissors and
baby nail clippers, warmer
bags, spill proof cups, baby
mugs, straw mugs, standard
mugs, training mug
accessories, milk powder
containers, tie-pants, nasal
aspirator kits, nursery bags,
and baby carriers. The Company
offers various types of
medical contraceptive condoms.
The Company was founded in
1997.</t>
  </si>
  <si>
    <t xml:space="preserve">6552
3069</t>
  </si>
  <si>
    <t xml:space="preserve">MAKOK INTERNATIONAL SDN BHD/O&amp;C RESOURCES BHD-JOINT VENTURE</t>
  </si>
  <si>
    <t xml:space="preserve">Makok International Sdn Bhd and OC Resources Bhd planned to form a joint
venture. The JV was to have a cost of USD 46.68 million.</t>
  </si>
  <si>
    <t xml:space="preserve">Research &amp; Development Services
Real Estate Investment Services</t>
  </si>
  <si>
    <t xml:space="preserve">The JV was to be capitalized at 46.68.</t>
  </si>
  <si>
    <t xml:space="preserve">1E2262
1E2281</t>
  </si>
  <si>
    <t xml:space="preserve">Guizhou Province
Qualcomm Inc</t>
  </si>
  <si>
    <t xml:space="preserve">City government
Semiconductor and Related Device Manufacturing</t>
  </si>
  <si>
    <t xml:space="preserve">City government
Qualcomm Inc, located in San
Diego, California,
manufactures and wholesales
semiconductors and related
devices. Its products
consist of integrated
circuits (chips or chipsets)
and system software used in
mobile devices and in
wireless networks. It also
develops and commercializes
a range of other
technologies used in
handsets and tablets that
contribute to end user
demand. Its operations are
carried out in the United
States, South Korea, China
and Japan. Its business
includes Qualcomm Mobile &amp;
Computing, Qualcomm
Government Technologies,
Qualcomm Internet Services
and Qualcomm Ventures. Its
subsidiaries include Atheros
Inc, Qualcomm Innovation
Center, Qualcomm Life Inc
and others. It is also a
holding company. The Company
was founded in July 1985.</t>
  </si>
  <si>
    <t xml:space="preserve">999C
3674</t>
  </si>
  <si>
    <t xml:space="preserve">Peoples Republic of China
Qualcomm Inc</t>
  </si>
  <si>
    <t xml:space="preserve">GUIZHOU PROVINCE/QUALCOMM INC-JOINT VENTURE</t>
  </si>
  <si>
    <t xml:space="preserve">Guizhou Province and Qualcomm Inc planned to form a 55:45 joint venture
named Guizhou Huaxintong Semi-Conductor Technology Co. The JV was expected
to have revenues of USD 280 million to develop chips for server systems in
a move that will diversify QCOM's revenue from selling semiconductors for
smartphones.</t>
  </si>
  <si>
    <t xml:space="preserve">The JV was to be capitalized at USD 280 Million.</t>
  </si>
  <si>
    <t xml:space="preserve">40214Q
747525</t>
  </si>
  <si>
    <t xml:space="preserve">Maruho Co Ltd
Galderma Pharma SA</t>
  </si>
  <si>
    <t xml:space="preserve">Mnfr,whl pharmaceuticals
Manufacture skin care products</t>
  </si>
  <si>
    <t xml:space="preserve">Maruho Co Ltd is a
manufacturer of
pharmaceutical preparation.
The Company was founded in
July 1915 and is located in
Osaka-Shi Osaka, Japan.
Galderma Pharma SA, located
in company was founded in
1981. Lausanne, Switzerland,
manufactures skin care
products such as treatment
for major skin conditions,
acne, rosacea, fungal nail
infections, psoriasis,
seborrheic dermatitis,
non-melanoma skin cancer and
photodamage, and
hyperpigmentation disorders.
Its products are distributed
in over 70 countries. The
company was founded in 1981.</t>
  </si>
  <si>
    <t xml:space="preserve">Japan
Switzerland</t>
  </si>
  <si>
    <t xml:space="preserve">Maruho Co Ltd
Nestle SA</t>
  </si>
  <si>
    <t xml:space="preserve">MARUHO CO LTD/GALDERMA PHARMA SA-STRATEGIC ALLIANCE</t>
  </si>
  <si>
    <t xml:space="preserve">Maruho Co Ltd and Galderma Pharma SA planned to form a strategic alliance.</t>
  </si>
  <si>
    <t xml:space="preserve">Hospital &amp; Clinical Services
Health &amp; Medical Services
Research &amp; Development Services</t>
  </si>
  <si>
    <t xml:space="preserve">56617V
36319A</t>
  </si>
  <si>
    <t xml:space="preserve">Honda R&amp;D Co Ltd
Ceres Power Holdings PLC</t>
  </si>
  <si>
    <t xml:space="preserve">Research and Development in The Physical, Engineering and Lifesciences (Except Biotechnology)
Support Activities For Oil and Gas Operations</t>
  </si>
  <si>
    <t xml:space="preserve">Honda R&amp;D Co Ltd, located in
Chome Waku, Japan, is a
provider of research and
development services.
Ceres Power Holdings PLC is
a provider of support
services for oil and gas
operations. It provides
development and
commercialization services
of a core fuel cell product
to bring cleaner and cheaper
energy to businesses, homes
and vehicles. The Company
was founded in May 2001 and
is located in Horsham, the
United Kingdom with offices
in Japan and South Korea.</t>
  </si>
  <si>
    <t xml:space="preserve">3721
1382</t>
  </si>
  <si>
    <t xml:space="preserve">Honda Motor Co Ltd
Ceres Power Holdings PLC</t>
  </si>
  <si>
    <t xml:space="preserve">3711
1382</t>
  </si>
  <si>
    <t xml:space="preserve">HONDA RESEARCH &amp; DEVELOPMENT/CERES POWER HOLDINGS PLC-JOINT VENTURE</t>
  </si>
  <si>
    <t xml:space="preserve">Honda Research Development Co(Honda Motor Co) and Ceres Power Holdings PLC
planned to form a joint venture.</t>
  </si>
  <si>
    <t xml:space="preserve">43812F
15699V</t>
  </si>
  <si>
    <t xml:space="preserve">Goliath Wind Ltd
Steelite Engineering Ltd</t>
  </si>
  <si>
    <t xml:space="preserve">Mnfr wind tubine
Mnfr, whl cable prod</t>
  </si>
  <si>
    <t xml:space="preserve">Goliath Wind Ltd, located in
Tartu, Estonia, manufactures
wind turbines. The company was
founded in 1980.
Steelite Engineering Ltd is
engaged in the steel wire
services business. The Company
is involved in manufacturing
and selling of cable support
system which includes of
Ladder &amp; Perforated Type Cable
Trays, Supports &amp; Accessories
and Hot Dip Galvanizers
products. The Company is
located in Mumbai, India.</t>
  </si>
  <si>
    <t xml:space="preserve">3511
3315</t>
  </si>
  <si>
    <t xml:space="preserve">Estonia
India</t>
  </si>
  <si>
    <t xml:space="preserve">GOLIATH WIND LTD/STEELITE ENGINEERING LTD-JOINT VENTURE</t>
  </si>
  <si>
    <t xml:space="preserve">Steelite Capella Wind Pvt Ltd
is an electric power
distributor. The Company was
founded in July 2016 and is
located in Mumbai, India.</t>
  </si>
  <si>
    <t xml:space="preserve">Goliath Wind Ltd and Steelite Engineering Ltd formed a joint venture named
Steelite Capella Wind Pvt Ltd to manufacturing and R&amp;D facilities in
Western India.</t>
  </si>
  <si>
    <t xml:space="preserve">Electric Utility Services
Manufacturing Services
Research &amp; Development Services</t>
  </si>
  <si>
    <t xml:space="preserve">1F3591</t>
  </si>
  <si>
    <t xml:space="preserve">38227M
85806R</t>
  </si>
  <si>
    <t xml:space="preserve">Saint-Gobain Sekurit
Corning Inc</t>
  </si>
  <si>
    <t xml:space="preserve">Mnfr glass
Mnfr,whl optical fiber,cable</t>
  </si>
  <si>
    <t xml:space="preserve">Manufacture glass
Corning Inc, located in New
York, manufactures and
wholesales optical fiber,
cable, optical hardware and
equipment and photonics
components used in the
worldwide telecommunications
industry, environmental
products, scientific
products, semiconductor
materials, optical and
lighting products and glass
ceramic cook tops,
information display products
such as glass panels and
funnels for televisions and
cathode-ray tubes,
projection video lens
assemblies, and liquid
crystal display glass for
flat panel displays. The
Company was founded in 1851.</t>
  </si>
  <si>
    <t xml:space="preserve">3211
3357</t>
  </si>
  <si>
    <t xml:space="preserve">Cie de Saint-Gobain SA
Corning Inc</t>
  </si>
  <si>
    <t xml:space="preserve">3231
3357</t>
  </si>
  <si>
    <t xml:space="preserve">SAINT-GOBAIN SEKURIT/CORNING INC-JOINT VENTURE</t>
  </si>
  <si>
    <t xml:space="preserve">Saint-Gobain Sekurit and Corning Inc planned to form a 50:50 joint
venture.</t>
  </si>
  <si>
    <t xml:space="preserve">78718V
219350</t>
  </si>
  <si>
    <t xml:space="preserve">Praxair Surface Technologies
GE Aviation Systems LLC</t>
  </si>
  <si>
    <t xml:space="preserve">Mnfr metallic,ceramic coatings
Aircraft Manufacturing</t>
  </si>
  <si>
    <t xml:space="preserve">Praxair Surface Technologies
Inc is a manufacturer of
metallic, ceramic coatings and
powders, headquartered in
Indianapolis, Indiana. The
company manufactures coatings
and powders to metal surfaces
in order to resist wear, high
temperatures, and corrosion
serving people in production,
maintenance and engineering,
solve problems caused by
abrasion, erosion and
corrosion for a wide variety
of wear problems.
GE Aviation Systems LLC is a
manufacturer of aircrafts.
The Company manufactures
aircraft engines and parts
designed for commercial and
military applications. The
Company also manufactures
aircraft-derived engines for
marine and aviation
applications. Their services
include maintenance, on-wing
support, and asset
management. The Company was
founded in 1948 and is
located in Cincinnati, Ohio.</t>
  </si>
  <si>
    <t xml:space="preserve">3479
3721</t>
  </si>
  <si>
    <t xml:space="preserve">IN
OH</t>
  </si>
  <si>
    <t xml:space="preserve">Praxair Inc
General Electric Co</t>
  </si>
  <si>
    <t xml:space="preserve">2813
3612</t>
  </si>
  <si>
    <t xml:space="preserve">PRAXAIR SURFACE TECHNOLOGIES/GE AVIATION SYSTEMS LLC-JOINT VENTURE</t>
  </si>
  <si>
    <t xml:space="preserve">Praxair Surface Technologies Inc and GE Aviation Systems LLC planned to
form a joint venture. the Joint venture is made for the development,
support and application of specialized coatings.</t>
  </si>
  <si>
    <t xml:space="preserve">74005K
36525K</t>
  </si>
  <si>
    <t xml:space="preserve">GlaxoSmithKline PLC
Qualcomm Inc</t>
  </si>
  <si>
    <t xml:space="preserve">Pharmaceutical Preparation Manufacturing
Semiconductor and Related Device Manufacturing</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</si>
  <si>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Qualcomm Inc, located in San
Diego, California,
manufactures and wholesales
semiconductors and related
devices. Its products
consist of integrated
circuits (chips or chipsets)
and system software used in
mobile devices and in
wireless networks. It also
develops and commercializes
a range of other
technologies used in
handsets and tablets that
contribute to end user
demand. Its operations are
carried out in the United
States, South Korea, China
and Japan. Its business
includes Qualcomm Mobile &amp;
Computing, Qualcomm
Government Technologies,
Qualcomm Internet Services
and Qualcomm Ventures. Its
subsidiaries include Atheros
Inc, Qualcomm Innovation
Center, Qualcomm Life Inc
and others. It is also a
holding company. The Company
was founded in July 1985.</t>
  </si>
  <si>
    <t xml:space="preserve">2834
3674</t>
  </si>
  <si>
    <t xml:space="preserve">GLAXOSMITHKLINE PLC/QUALCOMM INC-JOINT VENTURE</t>
  </si>
  <si>
    <t xml:space="preserve">GlaxoSmithKline PLC and Qualcomm Inc planned to form a joint venture.</t>
  </si>
  <si>
    <t xml:space="preserve">37733W
747525</t>
  </si>
  <si>
    <t xml:space="preserve">Strategic Capital Partners LLC
Berkshire Group Inc</t>
  </si>
  <si>
    <t xml:space="preserve">Real estate investment firm
Real estate development firm</t>
  </si>
  <si>
    <t xml:space="preserve">Strategic Capital Partners LLC
is a real estate investment
firm. The company is
headquartered in Chicago,
Illinois and with locations in
Indianapolis and New York. The
company was founded in 2005.
Real estate development firm</t>
  </si>
  <si>
    <t xml:space="preserve">6798
6552</t>
  </si>
  <si>
    <t xml:space="preserve">STRATEGIC CAPITAL PARTNERS LLC/BERKSHIRE GROUP INC-STRATEGIC ALLIANCE</t>
  </si>
  <si>
    <t xml:space="preserve">Strategic Capital Partners LLC and Berkshire Group Inc planned to form a
strategic alliance.</t>
  </si>
  <si>
    <t xml:space="preserve">91166J
08465A</t>
  </si>
  <si>
    <t xml:space="preserve">Nextremity Solutions Inc
BESPA GLOBAL</t>
  </si>
  <si>
    <t xml:space="preserve">Provide medical,health svcs
Provide medical,health svcs</t>
  </si>
  <si>
    <t xml:space="preserve">Nextremity Solutions Inc is a
provider of ambulatory health
care services. The company is
located in Indiana.
BESPA GLOBAL is a provider of
ambulatory health care
services. The company was
founded in 2005 and is located
in Texas.</t>
  </si>
  <si>
    <t xml:space="preserve">NEXTREMITY SOLUTIONS INC/BESPA GLOBAL-STRATEGIC ALLIANCE</t>
  </si>
  <si>
    <t xml:space="preserve">Nextremity Solutions Inc and BESPA GLOBAL planned to form a strategic
alliance to provide commercializing products and surgical techniques in the
foot and ankle segment of the orthopedic market place on a worldwidebasis</t>
  </si>
  <si>
    <t xml:space="preserve">4E4317
4E4328</t>
  </si>
  <si>
    <t xml:space="preserve">iPoint-systems GmbH
Japan Environmental Management</t>
  </si>
  <si>
    <t xml:space="preserve">Software Publishers
Business assoc;research firm</t>
  </si>
  <si>
    <t xml:space="preserve">iPoint-systems GmbH is a
software publisher. The
company was founded in 2001
and is located in Reutlingen,
Germany.
Business association; provide
research and analysis on
environmental issues</t>
  </si>
  <si>
    <t xml:space="preserve">7372
8611</t>
  </si>
  <si>
    <t xml:space="preserve">IPOINT-SYSTEMS GMBH/JAPAN ENVIRONMENTAL MANAGEMENT-STRATEGIC ALLIANCE</t>
  </si>
  <si>
    <t xml:space="preserve">iPoint-systems GmbH and Japan Environmental Management Association for
Industry formed a strategic alliance.</t>
  </si>
  <si>
    <t xml:space="preserve">3E0196
47114Y</t>
  </si>
  <si>
    <t xml:space="preserve">Gamesa Corp Tecnologica SA
SunEdison Inc</t>
  </si>
  <si>
    <t xml:space="preserve">Manufacture wind turbines
Manufacture, wholesale photovoltaic energy systems</t>
  </si>
  <si>
    <t xml:space="preserve">Gamesa Corporacion
Tecnologica SA, located in
Zamudio, Spain, manufactures
wind turbines. It provides
installation of wind
turbines in the US, Italy,
France, Germany, Portugal,
Greece, United Kingdom,
Ireland, China, Japan,
Vietnam, Taiwan, Tunisia,
India, Egypt, Morocco,
Argentina, Mexico, Korea,
Spain, Hungary, Poland and
Denmark through Gamesa
Eolica SL, and owns a
photovoltaic panel
manufacturing plant in
Seville, Spain. The Company
also develops, constructs
and owns wind farms and
solar energy generation
facilities through Gamesa
Energy SA and Gamesa Solar
SA, respectively. The
Company was founded in 1976.
SunEdison Inc, located in
Maryland Heights, Missouri,
is a manufacturer and
wholesaler of photovoltaic
energy systems, an owner and
operator of clean power
generation assets, and a
developer and manufacturer
of silicon wafers. The
Company operates in three
segments: Solar Energy,
TerraForm Power and
through SunEdison
Semiconductor Ltd. (SSL).
The Company's Solar Energy
segment provides solar
energy services that
integrate the design,
installation, financing,
monitoring, operations and
maintenance portions of the
downstream solar market for
the Company's customers.
The Company's TerraForm
Power segment owns and
operates clean power
generation assets, both
developed by the Solar
Energy segment and acquired
through third party
acquisitions that sell
electricity through
long-term power purchase
agreements to utility,
commercial, and residential
customers. The Company's
Semiconductor Materials
segment includes the
manufacture and sale of
silicon wafers to the
semiconductor industry. The
Company was founded in 1959.</t>
  </si>
  <si>
    <t xml:space="preserve">3511
3674</t>
  </si>
  <si>
    <t xml:space="preserve">Spain
United States</t>
  </si>
  <si>
    <t xml:space="preserve">GAMESA CORPORACION TECNOLOGICA SA/SUNEDISON INC-JOINT VENTURE</t>
  </si>
  <si>
    <t xml:space="preserve">Gamesa Corporacion Tecnologica SA and SunEdison Inc planned to form a joint
venture.</t>
  </si>
  <si>
    <t xml:space="preserve">36495P
86732Y</t>
  </si>
  <si>
    <t xml:space="preserve">Asia Media Grp Bhd
Sarawak</t>
  </si>
  <si>
    <t xml:space="preserve">Own,operate television stations
State government</t>
  </si>
  <si>
    <t xml:space="preserve">Asia Media Group Bhd,
located in Puchong,
Malaysia, owns and operates
television stations. The
Company is a media provider,
offering high-quality
infotainment and targeted
advertising through the use
of digital electronic
displays installed in
various outdoor premises.
The Company was founded in
2007.
State government</t>
  </si>
  <si>
    <t xml:space="preserve">4833
999C</t>
  </si>
  <si>
    <t xml:space="preserve">Asia Media Grp Bhd
Malaysia</t>
  </si>
  <si>
    <t xml:space="preserve">4833
999A</t>
  </si>
  <si>
    <t xml:space="preserve">ASIA MEDIA GROUP BHD/SARAWAK-MALAYSIA-JOINT VENTURE</t>
  </si>
  <si>
    <t xml:space="preserve">Asia Media Group Bhd and Sarawak-Malaysia planned to form a joint venture.</t>
  </si>
  <si>
    <t xml:space="preserve">04751Z
80358J</t>
  </si>
  <si>
    <t xml:space="preserve">St. Michael's Hospital
Ryerson University</t>
  </si>
  <si>
    <t xml:space="preserve">General Medical and Surgical Hospitals
Own,operate college,university</t>
  </si>
  <si>
    <t xml:space="preserve">St. Michael's Hospital is a
hospital operator. The company
is located in Toronto, Canada.
Ryerson University is a
college operator. The company
is located in Toronto, Canada.</t>
  </si>
  <si>
    <t xml:space="preserve">ST. MICHAEL'S HOSPITAL/RYERSON UNIVERSITY-JOINT VENTURE</t>
  </si>
  <si>
    <t xml:space="preserve">Institute for Biomedical
Engineering Science and
Technology is a manufacturer
of biological products. The
company is located in Toronto,
Canada.</t>
  </si>
  <si>
    <t xml:space="preserve">St. Michael's Hospital and Ryerson University formed a 50:50 joint venture
to share research facilities and create a new business incubator, both
designed to help translate science into improvements in care and hasten
their use for patients.</t>
  </si>
  <si>
    <t xml:space="preserve">6E4800</t>
  </si>
  <si>
    <t xml:space="preserve">6E4798
6E4799</t>
  </si>
  <si>
    <t xml:space="preserve">Athabasca Oil Corp
Murphy Oil Co Ltd</t>
  </si>
  <si>
    <t xml:space="preserve">Oil sands exploration,prodn co
Oil and gas exploration,prodn</t>
  </si>
  <si>
    <t xml:space="preserve">Athabasca Oil Corp, located
in Calgary, Alberta, is an
oil sands exploration and
production company focused
on the development of oil
sands resources in the
Athabasca region of northern
Alberta, Canada. Its project
areas are centered in three
regions namely, Dover,
Thickwood/MacKay and
Hangingstone. The Company
was founded in August 23,
2006.
Murphy Oil Co Ltd is engaged
in the crude petroleum and
natural gas services business.
The company is located in
Calgary, Canada.</t>
  </si>
  <si>
    <t xml:space="preserve">Athabasca Oil Corp
Murphy Oil Corp</t>
  </si>
  <si>
    <t xml:space="preserve">ATHABASCA OIL CORP/MURPHY OIL CO LTD-JOINT VENTURE</t>
  </si>
  <si>
    <t xml:space="preserve">Expired</t>
  </si>
  <si>
    <t xml:space="preserve">Athabasca Oil Corp and Murphy Oil Co Ltd planned to form a 30:70 joint
venture. The JV was expected to have revenues of USD 336.45 million.</t>
  </si>
  <si>
    <t xml:space="preserve">The JV was to be capitalized at USD 336.45 million.</t>
  </si>
  <si>
    <t xml:space="preserve">04682R
626728</t>
  </si>
  <si>
    <t xml:space="preserve">Eurofarma Laboratorios SA
Biolab Sanus Farmaceutica LTDA</t>
  </si>
  <si>
    <t xml:space="preserve">Manufacture,whl pharm products
Mnfr pharmaceuticals</t>
  </si>
  <si>
    <t xml:space="preserve">Eurofarma Laboratorios SA,
headquartered in Sao Paulo,
Brazil, manufactures and
wholesales pharmaceutical
products. It offers a
pharmaceutical manufacturing
and wholesaling firm that
operates 8 business
divisions, namely: Pharma
(Medical Prescription),
Hospital, Generic Drugs,
Oncology, Pearson
(Veterinary), Third Parties,
Export and Euroglass. Their
products are for human and
veterinary use. The Company
was founded in 1972.
Biolab Sanus Farmaceutica
LTDA is a manufacturer of
pharmaceutical preparation.
The Company was founded in
1997 and is located in Sao
Paulo, Brazil.</t>
  </si>
  <si>
    <t xml:space="preserve">Brazil
Brazil</t>
  </si>
  <si>
    <t xml:space="preserve">Eurofarma Laboratorios SA
Pfizer Inc</t>
  </si>
  <si>
    <t xml:space="preserve">EUROFARMA LABORATORIOS LTDA/BIOLAB INDUSTRIAS-JOINT VENTURE</t>
  </si>
  <si>
    <t xml:space="preserve">Eurofarma Laboratorios Ltda and Biolab Industrias Farmaceuticas
SA(Norquisa, GD Searlle) planned to form a 50:50 joint venture named Orygen
Biotecnologia Ltda to provide development of biological medicines for the
treatment of diseases such as cancer and other autoimmune disorders</t>
  </si>
  <si>
    <t xml:space="preserve">29836P
09070E</t>
  </si>
  <si>
    <t xml:space="preserve">Allergan Plc
AstraZeneca PLC</t>
  </si>
  <si>
    <t xml:space="preserve">Pharmaceutical Preparation Manufacturing
Manufactures, wholesales pharmaceutical products</t>
  </si>
  <si>
    <t xml:space="preserve">Allergan PLC is a specialty
pharmaceutical company. The
Company is engaged in the
development, manufacturing,
marketing and distribution
of brand name pharmaceutical
products, medical
aesthetics, biosimilar and
over-the-counter
pharmaceutical products. The
Company operates through
three segments: US
Specialized Therapeutics, US
General Medicine and
International. The US
Specialized Therapeutics
segment includes sales
relating to branded products
within the United States,
including Medical
Aesthetics, Medical
Dermatology, Eye Care,
Neurosciences and Urology
therapeutic products. The US
General Medicine segment
includes sales relating to
branded products within the
United States that do not
fall into the US Specialized
Therapeutics business units,
including Central Nervous
System, Gastrointestinal,
Women's Health,
Anti-Infectives and
Diversified Brands. The
International segment
products sold outside the
United States. The Company
was founded in 1983 and is
located in Parsippany, New
Jersey.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</si>
  <si>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ALLERGAN PLC/ASTRAZENECA PLC-JOINT VENTURE</t>
  </si>
  <si>
    <t xml:space="preserve">Allergan PLC and AstraZeneca PLC planned to form a joint venture.</t>
  </si>
  <si>
    <t xml:space="preserve">G0177J
046353</t>
  </si>
  <si>
    <t xml:space="preserve">Evolent Health Inc
University Health Care Inc</t>
  </si>
  <si>
    <t xml:space="preserve">Provides population health management services
Own,op HMO</t>
  </si>
  <si>
    <t xml:space="preserve">Evolent Health Inc, located
in Arlington, Virginia,
provides population health
management services. It
offers population health
model deployment support,
case management, network
administration, outsourced
plan management, claims
payment, customer care, and
sales and marketing. It was
founded in 2011.
University Health Care Inc,
located in Madison, Wisconsin,
owns and operates HMO medical
center engaged in adult
primary care, adult specialty
care, pediatric, and other
services.</t>
  </si>
  <si>
    <t xml:space="preserve">8741
8011</t>
  </si>
  <si>
    <t xml:space="preserve">EVOLENT HEALTH INC/UNIVERSITY HEALTH CARE INC-STRATEGIC ALLIANCE</t>
  </si>
  <si>
    <t xml:space="preserve">Evolent Health Inc and University Health Care Inc planned to form a
strategic alliance.</t>
  </si>
  <si>
    <t xml:space="preserve">30050B
91427R</t>
  </si>
  <si>
    <t xml:space="preserve">Cooper-Standard Holdings Inc
Inoac Corp</t>
  </si>
  <si>
    <t xml:space="preserve">Motor Vehicle Transmission and Power Train Parts Manufacturing
Mnfr plastic interior prod</t>
  </si>
  <si>
    <t xml:space="preserve">Cooper-Standard Holdings
Inc, located in Novi,
Michigan, manufactures and
wholesales automotive
supplies through its
subsidiaries. It offers
fuel, brake, emissions,
thermal management, body
sealing, and anti-vibration
system products. Its
products include fuel and
vapor lines, brake lines,
bundles, fuel rails, cooler,
tubes, and modules, heater,
radiator, and turbo hose,
static and dynamic sealing,
mounts, spring seats, and
bumpers. The Company was
founded in 1960.
Inoac Corp, headquartered in
Nagoya, Japan, manufactures
plastic interior trim
products, such as automotive
instrument panels, seat
cushions and other automotive
parts. The company was founded
in 1926.</t>
  </si>
  <si>
    <t xml:space="preserve">3714
3089</t>
  </si>
  <si>
    <t xml:space="preserve">COOPER-STANDARD HOLDINGS INC/INOAC CORP-JOINT VENTURE</t>
  </si>
  <si>
    <t xml:space="preserve">Cooper-Standard Holdings Inc and Inoac Corp formed a 51:49 joint venture
named Cooper Standard Inoac Pte Ltd.</t>
  </si>
  <si>
    <t xml:space="preserve">U2060R
45770Q</t>
  </si>
  <si>
    <t xml:space="preserve">Hefei Guoxuan High-tech Power
China Energine Intl(Hldgs)Ltd</t>
  </si>
  <si>
    <t xml:space="preserve">Storage Battery Manufacturing
Turbine and Turbine Generator Set Units Manufacturing</t>
  </si>
  <si>
    <t xml:space="preserve">Hefei Guoxuan High-tech
Power Energy Co Ltd is a
manufacturer and whoelsaler
of storage batteries. The
Company was founded in May
2006 and is located in
Hefei, China.
China Energine International
(Holdings) Ltd, located in
Hong Kong, manufactures and
wholesales turbines and
turbine generator set units,
and telecommunications
equipment. It is also a
lithium battery manufacturer.</t>
  </si>
  <si>
    <t xml:space="preserve">3691
3511</t>
  </si>
  <si>
    <t xml:space="preserve">Zhuhai Guoxuan Trading Co Ltd
China Aerospace Science &amp;</t>
  </si>
  <si>
    <t xml:space="preserve">6799
3721</t>
  </si>
  <si>
    <t xml:space="preserve">HEFEI GUOXUAN HIGH-TECH POWER/CHINA ENERGINE-JOINT VENTURE</t>
  </si>
  <si>
    <t xml:space="preserve">Hefei Guoxuan High-tech Power Energy Co Ltd and China Energine
International(Holdings)Ltd formed a 51:49 joint venture named Energine
Guoxuan (Tangshan) New Energy Technology Co Ltd was to engage in the
research and development and manufacture of power battery, research and
development.</t>
  </si>
  <si>
    <t xml:space="preserve">Electrical &amp; Electronic Services
Manufacturing Services
Research &amp; Development Services</t>
  </si>
  <si>
    <t xml:space="preserve">42873H
16860L</t>
  </si>
  <si>
    <t xml:space="preserve">GeckoSystems International
IC Engineering Corp</t>
  </si>
  <si>
    <t xml:space="preserve">Pvd mobile service robots sol
Engineering Services</t>
  </si>
  <si>
    <t xml:space="preserve">GeckoSystems International
Corp, headquartered in
Conyers, Georgia, provides
mobile service robots
solutions specializing in
safety, security and service.
Its products include GeckoNav,
GeckoChat, CareBot and
GeckoTrak. It was founded in
1997.
IC Engineering Corp The
company is located in Japan.</t>
  </si>
  <si>
    <t xml:space="preserve">7372
8711</t>
  </si>
  <si>
    <t xml:space="preserve">GECKOSYSTEMS INTERNATIONAL/IC ENGINEERING CORP-JOINT VENTURE</t>
  </si>
  <si>
    <t xml:space="preserve">GeckoSystems International Corp and IC Engineering Corp formed a joint
venture.The purpose of the JV is to develop eldercare robots in Japan.</t>
  </si>
  <si>
    <t xml:space="preserve">36840U
6E4084</t>
  </si>
  <si>
    <t xml:space="preserve">Valneva SE
GlaxoSmithKline PLC</t>
  </si>
  <si>
    <t xml:space="preserve">Valneva SE, located in Lyon,
France, is a biotechnology
company that provides
cell-based solutions to the
pharmaceutical industry for
the manufacture of vaccines
and proteins, and developes
drugs for the prevention and
treatment of viral diseases.
It specializes in the field
of embryonic stem cells and
their use for practical
applications in human and
animal health. It
commercialized its
proprietary EB66 platform, a
series of documented cells
lines derived from chicken
and duck embryonic stem
cells. The Company was
founded in 1999.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</si>
  <si>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VALNEVA SE/GLAXOSMITHKLINE PLC-STRATEGIC ALLIANCE</t>
  </si>
  <si>
    <t xml:space="preserve">Valneva SE and GlaxoSmithKline PLC terminated their alliance prior to the
expiration date.The purpose of strategic alliance was to End Strategic
Alliance Agreement; Regains Control of R&amp;D.</t>
  </si>
  <si>
    <t xml:space="preserve">4A0891
37733W</t>
  </si>
  <si>
    <t xml:space="preserve">S&amp;C Electric Co
Tantalus Systems Corp</t>
  </si>
  <si>
    <t xml:space="preserve">Mnfr electric power controls
Other Communications Equipment Manufacturing</t>
  </si>
  <si>
    <t xml:space="preserve">S&amp;C Electric Co, headquartered
in Chicago, Illinois, US, is a
manufacturer of electric power
controls. It manufactures all
types of switching and
protection equipment for
substations and overhead and
underground distribution
systems, distribution
automation products, power
quality products, epoxy
components, sensors, and
electronic controls.
Tantalus Systems Corp,
headquartered in Raleigh,
North Carolina, develops,
manufactures and markets
two-way, real-time wireless
data communications networks
for electric, water and gas
utilities. The Company was
founded in 1989.</t>
  </si>
  <si>
    <t xml:space="preserve">3823
4812</t>
  </si>
  <si>
    <t xml:space="preserve">IL
NC</t>
  </si>
  <si>
    <t xml:space="preserve">3823
3669</t>
  </si>
  <si>
    <t xml:space="preserve">S&amp;C ELECTRIC CO/TANTALUS SYSTEMS CORP-STRATEGIC ALLIANCE</t>
  </si>
  <si>
    <t xml:space="preserve">SC Electric Co and Tantalus Systems Corp planned to form a strategic
alliance.</t>
  </si>
  <si>
    <t xml:space="preserve">78543P
87595E</t>
  </si>
  <si>
    <t xml:space="preserve">Ministry of Railways
Telangana Government</t>
  </si>
  <si>
    <t xml:space="preserve">Pvd transp regulation svcs
Regional/State Government</t>
  </si>
  <si>
    <t xml:space="preserve">Provide regulation and
administration of
transportation services
Telangana Government is a
regional government. The
Company is located in India.</t>
  </si>
  <si>
    <t xml:space="preserve">9621
999C</t>
  </si>
  <si>
    <t xml:space="preserve">MINISTRY OF RAILWAYS(INDIA)/TELANGANA GOVERNMENT-JOINT VENTURE</t>
  </si>
  <si>
    <t xml:space="preserve">Ministry of Railways(India) and Telangana Government planned to form a
joint venture to Develop Railway Infrastructure in India.</t>
  </si>
  <si>
    <t xml:space="preserve">60373H
2C3522</t>
  </si>
  <si>
    <t xml:space="preserve">Global Logistic Properties Ltd
CPPIB</t>
  </si>
  <si>
    <t xml:space="preserve">Lessors Of Other Real Estate Property
Pension fund</t>
  </si>
  <si>
    <t xml:space="preserve">Global Logistic Properties
Ltd is an investment holding
company. The Company is
engaged in the management
and provision of logistics
facilities. It develops,
markets, and rents out
office buildings and
warehouse centers. The
Company also provides fund
management services. The
Company's segments include
PRC, Japan, Brazil, US and
Others. Its property
portfolio encompasses
approximately 55 million
square meters of logistics
facilities across China,
Japan, the United States and
Brazil. The Company offers
solutions, such as
multi-tenant facilities,
build-to-suit development,
and sale and leaseback. The
Company serves customers,
including various
manufacturers, retailers and
third-party logistics
companies. The Company's
subsidiaries include GLP
Japan Investment Holdings
Pte. Ltd., Japan Logistic
Properties 1 Private
Limited, Japan Logistic
Properties 2 Pte. Ltd.,
Japan Logistic Properties 3
Pte. Ltd., GLP Light Year
Investment Pte. Ltd., Japan
Logistic Properties 4 Pte.
Ltd. and Shanghai Jingxi
Business Consulting Co.,
Ltd. The Company was founded
in 2003 and is located in
Singapore.
Canada Pension Plan
Investment Board, located in
Toronto, Canada, is a
pension fund. It is an
investment management
organization that invests
the funds of the Canada
Pension Plan on behalf of
its 20 million Canadian
contributors and
beneficiaries. It is also a
holding company. The Company
was founded in December
1997.</t>
  </si>
  <si>
    <t xml:space="preserve">6519
6371</t>
  </si>
  <si>
    <t xml:space="preserve">Singapore
Canada</t>
  </si>
  <si>
    <t xml:space="preserve">GLOBAL LOGISTIC PROPERTIES LTD/CANADA PENSION PLAN INVESTMENT BOARD-JOINT
VENTURE</t>
  </si>
  <si>
    <t xml:space="preserve">Global Logistic Properties Ltd and Canada Pension Plan Investment Board
planned to form a 50:50 joint venture named GLP Japan Development Venture
II. The JV was expected to have revenues of USD 880 million.</t>
  </si>
  <si>
    <t xml:space="preserve">The JV was to be capitalized at USD 880 million.</t>
  </si>
  <si>
    <t xml:space="preserve">Y27187
12784P</t>
  </si>
  <si>
    <t xml:space="preserve">Teras Australia Pty Ltd
Sinotrans Ltd</t>
  </si>
  <si>
    <t xml:space="preserve">Pvd marine logstics services
Provide logistics services</t>
  </si>
  <si>
    <t xml:space="preserve">Teras Australia Pty Ltd,
located in Perth, Australia,
provides marine logistics
services to the offshore oil
and gas industry. It offers
transportation of offshore
platfroms, jackets, pils,
ridges, pipe-laying equipment,
maintenance of subsea
pipelines, and management
support for conversion of
vessels.
Sinotrans Ltd located in
Beijing, China, provides
forwarding of freight by
sea, air, rail, road and
transporting of goods by sea
both domestically and
internationally. It also
delivers documents, packages
and heavyweight freight and
acts as agents for other
international express
services providers. It owns
and operates warehouses,
depots, container freight
stations and terminals; and
provides vanning and
devanning services for
containers and depacking of
cargo. The companies other
activities include arranging
pilotage, berthing and
attending formalities for a
vessel entry into or
departure from its ports,
repairing, refueling and
repatriation of crew and
trucking services. The
company was founded in 2002.</t>
  </si>
  <si>
    <t xml:space="preserve">4491
4512</t>
  </si>
  <si>
    <t xml:space="preserve">AusGroup Ltd
China Merchants Group Ltd</t>
  </si>
  <si>
    <t xml:space="preserve">Singapore
Hong Kong</t>
  </si>
  <si>
    <t xml:space="preserve">TERAS AUSTRALIA PTY LTD/SINOTRANS LTD-JOINT VENTURE</t>
  </si>
  <si>
    <t xml:space="preserve">Teras Offshore Pte Ltd and Sinotrans &amp; CSC Holdings Co., Ltd formed 49:51
joint venture named as Sinomarine &amp; Teras (Tianjin) Offshore Co Ltd.</t>
  </si>
  <si>
    <t xml:space="preserve">5A9902
82974V</t>
  </si>
  <si>
    <t xml:space="preserve">SUTL Enterprise Ltd
UEM Sunrise Bhd</t>
  </si>
  <si>
    <t xml:space="preserve">Marinas
Land Subdivision</t>
  </si>
  <si>
    <t xml:space="preserve">SUTL Enterprise Ltd is a
Singapore-based developer,
consultant and operator of
integrated marinas. The
Company operates through the
marina segment. The
principal activities of the
Company are investment
holding and provision of
management services. The
Company was founded in
November 1993 and is located
in Singapore.
UEM Sunrise Bhd is an
investment holding company.
The Company's subsidiaries
are engaged in property
development, land trading,
property investment, project
procurement and management,
and investment holding. Its
segments include Property
development, Property
investment and Others. The
Property development segment
is engaged in the
development and sales of
residential and commercial
properties. The Property
investment segment is
engaged in the development
of investment properties and
holds to earn rental income
and/or capital appreciation.
The Company was founded in
August 2008 and is located
in Kuala Lumpur, Malaysia.</t>
  </si>
  <si>
    <t xml:space="preserve">4493
6552</t>
  </si>
  <si>
    <t xml:space="preserve">SUTL Enterprise Ltd
Malaysia</t>
  </si>
  <si>
    <t xml:space="preserve">4493
999A</t>
  </si>
  <si>
    <t xml:space="preserve">SUTL ENTERPRISE LTD/UEM SUNRISE BHD-JOINT VENTURE</t>
  </si>
  <si>
    <t xml:space="preserve">SUTL Enterprise Ltd and UEM Sunrise Bhd planned to form a 60:40 joint
venture named ONE15 Puteri Harbour Sdn Bhd. The JV was to have a cost of
USD 47.38 million.</t>
  </si>
  <si>
    <t xml:space="preserve">The JV was to have a cost of USD 47.38 million.</t>
  </si>
  <si>
    <t xml:space="preserve">3E0709
7A6493</t>
  </si>
  <si>
    <t xml:space="preserve">Statkraft AS
TronderEnergi AS
Nordic Wind Power DA</t>
  </si>
  <si>
    <t xml:space="preserve">Alternative Energy Sources
Electric utility company
Miscellaneous Financial Investment Activities</t>
  </si>
  <si>
    <t xml:space="preserve">Statkraft AS is an
alternative energy sources
establishment. It develops
and generates hydropower,
wind power, gas power and
district heating, and is a
player on the European power
exchanges. It also provides
marine energy, osmotic
power, solar power, and
other innovative energy
solutions. The Company was
founded in 1992 and is
located in Oslo, Norway.
TronderEnergi AS is an
electric power generation
facility operator. The
Company was founded in 1950
and is located in Trondheim,
Norway.
Nordic Wind Power DA is a
provider of financial
investment services. The
company is located in Oslo,
Norway.</t>
  </si>
  <si>
    <t xml:space="preserve">499A
4911
6799</t>
  </si>
  <si>
    <t xml:space="preserve">Norway
Norway
Norway</t>
  </si>
  <si>
    <t xml:space="preserve">Norway
TronderEnergi AS
Credit Suisse Grp Ag</t>
  </si>
  <si>
    <t xml:space="preserve">Norway
Norway
Switzerland</t>
  </si>
  <si>
    <t xml:space="preserve">999A
4911
6000</t>
  </si>
  <si>
    <t xml:space="preserve">STATKRAFT AS/TRONDERENERGI AS/NORDIC WIND POWER DA-JOINT VENTURE</t>
  </si>
  <si>
    <t xml:space="preserve">Statkraft AS, TronderEnergi AS and Nordic Wind Power DA formed a
52.1:7.9:40 joint venture named Fosen Wind DA.</t>
  </si>
  <si>
    <t xml:space="preserve">52.10
7.90
40.00</t>
  </si>
  <si>
    <t xml:space="preserve">the government, which is eager to support economic development outside the
country's embattled oil business, and a planned 5 billion kroner ($581
million) capital injection into Statkraft was reversed.</t>
  </si>
  <si>
    <t xml:space="preserve">85677N
89694H
3E9920</t>
  </si>
  <si>
    <t xml:space="preserve">Republic of Venezuela
Gold Reserve Inc</t>
  </si>
  <si>
    <t xml:space="preserve">National government
Gold mining company</t>
  </si>
  <si>
    <t xml:space="preserve">The Republic of Venezuela is a
national government.
Gold Reserve Inc, located in
Spokane, Washington, is a gold
mining company. Company mainly
focuses on the development and
exploration of its Brisas
property, which is an alluvial
gold concession located in
Bolivar State in southeast
Venezuela. The company was
founded in December 1, 1956.</t>
  </si>
  <si>
    <t xml:space="preserve">999A
1041</t>
  </si>
  <si>
    <t xml:space="preserve">Venezuela
United States</t>
  </si>
  <si>
    <t xml:space="preserve">REPUBLIC OF VENEZUELA/GOLD RESERVE INC-JOINT VENTURE</t>
  </si>
  <si>
    <t xml:space="preserve">Venezuela</t>
  </si>
  <si>
    <t xml:space="preserve">Republic of Venezuela and Gold Reserve Inc planned to form a 55:45 joint
venture.</t>
  </si>
  <si>
    <t xml:space="preserve">Real Estate Investment Services
Research &amp; Development Services</t>
  </si>
  <si>
    <t xml:space="preserve">922646
38068N</t>
  </si>
  <si>
    <t xml:space="preserve">Sanofi SA
Alphabet Inc</t>
  </si>
  <si>
    <t xml:space="preserve">Manufactures pharmaceuticals products
Internet Publishing and Broadcasting and Web Search Portals</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</si>
  <si>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Alphabet Inc, located in
Mountain View, California,
provides advertising
solutions, global internet
search solutions through its
internet site and intranet
solutions via an enterprise
search appliance. It
maintains online index of
websites and other content.
It has automated search
technology that helps people
to obtain access to relevant
information from vast online
index. Trademarks include
Google, YouTube,
DoubleClick, DART, AdSense,
AdWords, Gmail, I''m Feeling
Lucky, PageRank, Blogger,
orkut, Picasa, SketchUp and
Postini. It is also an
investment holding company.
The Company was founded in
2015.</t>
  </si>
  <si>
    <t xml:space="preserve">SANOFI SA/ALPHABET INC-JOINT VENTURE</t>
  </si>
  <si>
    <t xml:space="preserve">Sanofi SA and Alphabet Inc planned to form a joint venture.</t>
  </si>
  <si>
    <t xml:space="preserve">80105N
9C7309</t>
  </si>
  <si>
    <t xml:space="preserve">Pioneer Act Investments Ltd
Everbright Real Estate Ltd</t>
  </si>
  <si>
    <t xml:space="preserve">Real estate development firm
RE dvlp firm</t>
  </si>
  <si>
    <t xml:space="preserve">Pioneer Act Investments Ltd is
a provider of land subdivision
services. The company is
located in the British Virgin.
Everbright Real Estate Ltd is
a real estate development
firm. The company is
headquartered in Hong Kong.</t>
  </si>
  <si>
    <t xml:space="preserve">British Virgin
Hong Kong</t>
  </si>
  <si>
    <t xml:space="preserve">China Everbright Ltd
China Everbright Ltd</t>
  </si>
  <si>
    <t xml:space="preserve">PIONEER ACT INVESTMENTS LTD/EVERBRIGHT REAL ESTATE LTD-JOINT VENTURE</t>
  </si>
  <si>
    <t xml:space="preserve">Profit Plus Global Ltd is a
provider of land subdivision
services. The company is
located in Hong Kong.</t>
  </si>
  <si>
    <t xml:space="preserve">British Virgin</t>
  </si>
  <si>
    <t xml:space="preserve">Pioneer Act Investments Ltd and Everbright Real Estate Ltd formed a
16.7:83.3 joint venture named Profit Plus Global Ltd.</t>
  </si>
  <si>
    <t xml:space="preserve">16.70
83.30</t>
  </si>
  <si>
    <t xml:space="preserve">3E7950</t>
  </si>
  <si>
    <t xml:space="preserve">3E7949
30008E</t>
  </si>
  <si>
    <t xml:space="preserve">DePuy Synthes Cos
Value Stream Eng Inc</t>
  </si>
  <si>
    <t xml:space="preserve">Surgical Appliance and Supplies Manufacturing
Pvd SAP consulting svcs</t>
  </si>
  <si>
    <t xml:space="preserve">Depuy Synthes Cos, located in
Warsaw, Indiana, manufactures
portfolio of orthopaedic and
neuro products and services.
It caters to the areas of
reconstruction, trauma, spine,
sports medicine, neuro,
cranio-maxillofacial, power
tools, and biomaterials.
Provide SAP implementation
consulting services</t>
  </si>
  <si>
    <t xml:space="preserve">3842
7379</t>
  </si>
  <si>
    <t xml:space="preserve">J&amp;J
Tata Sons Pvt Ltd</t>
  </si>
  <si>
    <t xml:space="preserve">DEPUY SYNTHES COS/VALUE STREAM ENG INC(ALTI-STRATEGIC ALLIANCE</t>
  </si>
  <si>
    <t xml:space="preserve">DePuy Synthes Cos and Value Stream Eng Inc(Alti America Inc) planned to
form a strategic alliance.</t>
  </si>
  <si>
    <t xml:space="preserve">6C0486
92049E</t>
  </si>
  <si>
    <t xml:space="preserve">China Resources Power Hldg Co
Beijing Jingneng Power Co Ltd</t>
  </si>
  <si>
    <t xml:space="preserve">Own,operate power plant
Miscellaneous Financial Investment Activities</t>
  </si>
  <si>
    <t xml:space="preserve">China Resources Power Holdings
Co Ltd, headquartered in
Wanchai, Hong Kong, owns and
operates coal-fired power
plants. The company is
involved in investment,
development, operation and
management of power plants and
coal mines in the PRC. Its
power plants are located in
Hebei, Henan, Hubei, Beijing,
Hunan, Guangdong, Zhejiang,
and Jiangsu. The company was
founded on August 27, 2001.
Beijing Jingneng Power Co
Ltd is a provider of
financial investment
services. The company was
founded in March 2000 and is
located in Beijing, China.</t>
  </si>
  <si>
    <t xml:space="preserve">China Resources National Corp
Beijing Energy Holding Co Ltd</t>
  </si>
  <si>
    <t xml:space="preserve">2299
4911</t>
  </si>
  <si>
    <t xml:space="preserve">CHINA RESOURCES POWER HOLDINGS/BEIJING JINGNENG POWER CO LTD-JOINT VENTURE</t>
  </si>
  <si>
    <t xml:space="preserve">China Resources Power Holdings Co Ltd and Beijing Jingneng Power Co Ltd
planned to form a 70:30 joint venture named China Resources Power
(Xilingole) Co.The JV was to have a cost of USD 946 million.</t>
  </si>
  <si>
    <t xml:space="preserve">Electric Utility Services
Electrical &amp; Electronic Services
Research &amp; Development Services</t>
  </si>
  <si>
    <t xml:space="preserve">The JV was to have a cost of USD 946 million.</t>
  </si>
  <si>
    <t xml:space="preserve">16999L
07762J</t>
  </si>
  <si>
    <t xml:space="preserve">Centauri Therapeutics Limited
Horizon Discovery Group PLC</t>
  </si>
  <si>
    <t xml:space="preserve">Biotechnology company
Biological Product (Except Diagnostic) Manufacturing</t>
  </si>
  <si>
    <t xml:space="preserve">Centauri Therapeutics Limited
is a manufacturer of
biological products. The
company was founded in 2014
and is located in the United
Kingdom.
Horizon Discovery Group PLC,
located in Cambridge, UK, is
a life sciences company that
supplies research tools to
organizations engaged in
genomics research and the
development of personalized
medicines. It offers
genetically-defined cell
lines, reporter gene assay
kits, genomic reference
standards and contract
research services to
bio-pharmaceutical process
optimization, drug discovery
&amp; development, and clinical
diagnostic development
sectors.</t>
  </si>
  <si>
    <t xml:space="preserve">CENTAURI THERAPEUTICS LIMITED/HORIZON DISCOVERY GROUP PLC-JOINT VENTURE</t>
  </si>
  <si>
    <t xml:space="preserve">Centauri Therapeutics Limited and Horizon Discovery Group PLC formed a
joint venture named Avvinity Therapeutics.</t>
  </si>
  <si>
    <t xml:space="preserve">4E8246
9A1489</t>
  </si>
  <si>
    <t xml:space="preserve">Sinoma Science &amp; Tech Co Ltd
Nanjing Fiberglass Research &amp;
Tengzhou Yingke Hezhong</t>
  </si>
  <si>
    <t xml:space="preserve">Mnfr,whl fiber composites
Mnfr,whl fiberglass
Miscellaneous Financial Investment Activities</t>
  </si>
  <si>
    <t xml:space="preserve">Sinoma Science &amp; Technology
Co Ltd is a manufacturer and
wholesaler of cellulosic
organic fibers. The Company
was founded in December 2001
and is located in Beijing,
China.
Nanjing Fiberglass R&amp;D
Institute Co Ltd, located in
China, manufactures and
wholesales fiberglass.
Tengzhou Yingke Hezhong
Investment Management Centre
is a provider of financial
investment services. The
company is located in China.</t>
  </si>
  <si>
    <t xml:space="preserve">2823
2823
6799</t>
  </si>
  <si>
    <t xml:space="preserve">China Natl Materials Co Ltd
China Natl Materials Co Ltd
Tengzhou Yingke Hezhong</t>
  </si>
  <si>
    <t xml:space="preserve">3567
3567
6799</t>
  </si>
  <si>
    <t xml:space="preserve">SINOMA SCIENCE &amp; TECHNOLOGY CO/NANJING FIBERGLASS R&amp;D/TENGZHOU YINGKE
HEZHONG INVESTMENT MANAGEMENT CENTRE-JOINT VENTURE</t>
  </si>
  <si>
    <t xml:space="preserve">Sinoma Science Technology Co Ltd, Nanjing Fiberglass RD Institute Co Ltd
and Tengzhou Yingke Hezhong Investment Management Centre planned to form a
53.3:33.3:13 joint venture named Sinoma Lithium Membrane Co Ltd. The JV was
expected to have revenues of USD 1.9649 billion.</t>
  </si>
  <si>
    <t xml:space="preserve">53.30
33.30
13.00</t>
  </si>
  <si>
    <t xml:space="preserve">The JV was to be capitalized at of USD 1.9649 billion.</t>
  </si>
  <si>
    <t xml:space="preserve">78826J
3A6142
4E7059</t>
  </si>
  <si>
    <t xml:space="preserve">China Minsheng Drawin Tech
China Minsheng Jiaye Invest Co</t>
  </si>
  <si>
    <t xml:space="preserve">Magnetic and Optical Recording Media Manufacturing
Miscellaneous Financial Investment Activities</t>
  </si>
  <si>
    <t xml:space="preserve">China Minsheng Drawin
Technology Group Ltd is a
manufacturer of recording
media. The Company is
located in Hong Kong.
China Minsheng Jiaye
Investment Co Ltd is a
provider of financial
investment services. The
Company was founded in July
2014 and is located in
Shanghai, China.</t>
  </si>
  <si>
    <t xml:space="preserve">3695
6799</t>
  </si>
  <si>
    <t xml:space="preserve">China Minsheng Invest Grp Co
China Minsheng Invest Grp Co</t>
  </si>
  <si>
    <t xml:space="preserve">SOUTH EAST GROUP LTD/CHINA MINSHENG JIAYE INVESTMENT CO LTD-JOINT VENTURE</t>
  </si>
  <si>
    <t xml:space="preserve">South East Group Ltd and China Minsheng Jiaye Investment Co Ltd planned to
form a 51:49 joint venture named China Minsheng Drawin Technology Changsha
Co Ltd.</t>
  </si>
  <si>
    <t xml:space="preserve">1H1307
6C5076</t>
  </si>
  <si>
    <t xml:space="preserve">Inari Amertron Bhd
PCL Technologies Inc</t>
  </si>
  <si>
    <t xml:space="preserve">Other Electronic Component Manufacturing
Mnfr,whl semiconductors</t>
  </si>
  <si>
    <t xml:space="preserve">Inari Amertron Bhd, located in
Pulau Pinang, Malaysia is an
electronic manufacturing
company. The company
subsidiaries are involved in
the electronics manufacturing
services. It is also an
investment holding company.
The company was founded on May
5, 2010.
PCL Technologies Inc,
headquartered in Taiwan and
founded in 2007,
manufactures and wholesales
optical transceiver
products.</t>
  </si>
  <si>
    <t xml:space="preserve">3679
3674</t>
  </si>
  <si>
    <t xml:space="preserve">Malaysia
Taiwan</t>
  </si>
  <si>
    <t xml:space="preserve">INARI AMERTRON BHD/PCL TECHNOLOGIES INC-JOINT VENTURE</t>
  </si>
  <si>
    <t xml:space="preserve">Inari Amertron Bhd and PCL Technologies Inc planned to form a 50:50 joint
venture.</t>
  </si>
  <si>
    <t xml:space="preserve">1C6477
1A2099</t>
  </si>
  <si>
    <t xml:space="preserve">Nippon Yusen Kabushiki Kaisha
Kozo Keikaku Engineering Inc
Weathernews Inc</t>
  </si>
  <si>
    <t xml:space="preserve">Provide marine transportation services
Pvd computer system svcs
Pvd weather info svcs</t>
  </si>
  <si>
    <t xml:space="preserve">Nippon Yusen Kabushiki
Kaisha is a transportation
company. It is also a
holding Company. The Company
and its subsidiaries
operates in six segments.
The Liner segment engages in
oceangoing cargo shipping
business, transportation
agency business, container
terminal, port
transportation business and
tugboat business. The Air
Freight segment offers air
freight services. Logistics
segment involves the
warehouse and freight
businesses, and the
provision of marine, land
and air transportation
integrated logistics network
services. Irregular
Specialized Liner segment
provides oceangoing cargo
shipping and transportation
agency services. Real Estate
segment leases, manages and
sells real estate. The
Others segment sells
equipment and machinery, and
petroleum products, as well
as provides information
processing services,
operates passenger vessel
business and others. The
Company was founded in
September 1885 and is
located in Chiyoda-Ku Tokyo,
Japan.
Kozo Keikaku Engineering
Inc, based in Tokyo, Japan,
is engaged in the
engineering consulting
business, system solution
business and product service
business. The Engineering
Consulting segment provides
various services including
consulting in disaster
prevention and
earthquake-resistant, as
well as environmental
assessment and analysis,
building structure design,
the requirement-definition,
basic examination and
research experiment business
in the phase of software
development planning, as
well as manufacturing and
logistics simulation, among
others. The System Solution
segment develops structural
design support systems,
transportation-related
solution systems,
multi-media solution systems
and others. The Product
Services segment sells
construction structure
analysis and
earthquake-resistant
examination software,
network simulation software,
radio wave propagation and
electromagnetic wave
analysis software, as well
as computer-aided
engineering (CAE) software,
among others. The company
was founded in 1959.
Weathernews Inc, headquartered
in Chiba, Japan, is mainly
engaged in the provision of
content services related to
weather information to
corporate and individual
users. The Company provides
various business support
services and disaster
prevention services on the
basis of weather predictions,
to companies in the fields of
marine transportation, road,
railway, air transportation,
retail and distribution,
agriculture, construction,
communication, port and
others, as well as and
municipalities. The Company is
also engaged in the provision
of mobile content services
that provides weather contents
to individual users, the
operation of Internet Website
under the name Weather News,
as well as the provision of
content services to satellite
broadcasting (BS) digital
broadcasts, broadcast
stations, radio stations,
cable television stations and
Internet. It was founded in
1986</t>
  </si>
  <si>
    <t xml:space="preserve">4412
7371
8999</t>
  </si>
  <si>
    <t xml:space="preserve">NIPPON YUSEN KABUSHIKI KAISHA/KOZO KEIKAKU ENGINEERING INC/WEATHERNEWS
INC-JOINT VENTURE</t>
  </si>
  <si>
    <t xml:space="preserve">Nippon Yusen Kabushiki Kaisha, Kozo Keikaku Engineering Inc and Weathernews
Inc formed a joint venture named Symphony Creative Solutions Pte Ltd.</t>
  </si>
  <si>
    <t xml:space="preserve">Research &amp; Development Services
Transportation (Water) Services
Shipping Services</t>
  </si>
  <si>
    <t xml:space="preserve">654633
38392F
94708E</t>
  </si>
  <si>
    <t xml:space="preserve">Greystone &amp; Co Inc
Undisclosed JV Partner</t>
  </si>
  <si>
    <t xml:space="preserve">Investment management services
Investment company</t>
  </si>
  <si>
    <t xml:space="preserve">Greystone &amp; Co Inc is a
investment advisor. The
Company was founded in 1988
and is located in New York,
New York.
Investment company</t>
  </si>
  <si>
    <t xml:space="preserve">6282
6799</t>
  </si>
  <si>
    <t xml:space="preserve">Metro Financial Services
Undisclosed JV Partner</t>
  </si>
  <si>
    <t xml:space="preserve">6141
6799</t>
  </si>
  <si>
    <t xml:space="preserve">GREYSTONE &amp; CO INC/UNDISCLOSED PARTNER-JOINT VENTURE</t>
  </si>
  <si>
    <t xml:space="preserve">Greystone Co Inc and Undisclosed Joint Venture Partner formed a joint
venture.</t>
  </si>
  <si>
    <t xml:space="preserve">39805V
904JVP</t>
  </si>
  <si>
    <t xml:space="preserve">Lightbridge Corp
Areva NP Inc</t>
  </si>
  <si>
    <t xml:space="preserve">Mnfr nuclear reactors
Constr nuclear power plant</t>
  </si>
  <si>
    <t xml:space="preserve">Lightbridge Corp based in
McLean, Virginia, manufactures
nuclear reactors and fuel
design equipments:
Thorium/uranium nuclear fuel,
Thorium/reactor-grade
plutonium disposing fuel, and
Thorium/weapons-grade
plutonium disposing fuel.
These fuels are designed to be
used in existing light water
reactors. The Company focused
most of its efforts on
demonstrating and testing its
nuclear fuel technology for
the Russian designed
voda-vodyanoi energetichesky
reaktor (VVER)-1000 reactors.
Areva NP Inc, located in
Lynchburg, Virginia,
constructs and designs nuclear
power plants and research
reactors.</t>
  </si>
  <si>
    <t xml:space="preserve">3559
1629</t>
  </si>
  <si>
    <t xml:space="preserve">Lightbridge Corp
France</t>
  </si>
  <si>
    <t xml:space="preserve">3559
999A</t>
  </si>
  <si>
    <t xml:space="preserve">LIGHTBRIDGE CORP/AREVA NP INC-JOINT VENTURE</t>
  </si>
  <si>
    <t xml:space="preserve">Lightbridge Corp and Areva NP Inc planned to form a joint venture.</t>
  </si>
  <si>
    <t xml:space="preserve">53224K
03711H</t>
  </si>
  <si>
    <t xml:space="preserve">Golden Horse Hldg Grp Co Ltd
Greenland Group(Guangzhou)</t>
  </si>
  <si>
    <t xml:space="preserve">Miscellaneous Financial Investment Activities
Real estate development firm</t>
  </si>
  <si>
    <t xml:space="preserve">Golden Horse Holdings Group Co
Ltd is a provider of financial
investment services. The
company is located in
Hangzhou, China.
Greenland Group(Guangzhou) is
a real estate development
firm. The company is
headquartered in China.</t>
  </si>
  <si>
    <t xml:space="preserve">6799
6552</t>
  </si>
  <si>
    <t xml:space="preserve">GOLDEN HORSE HOLDINGS GROUP CO LTD/GREENLAND GROUP(GUANGZHOU)-JOINT
VENTURE</t>
  </si>
  <si>
    <t xml:space="preserve">Golden Horse Holdings Group Co Ltd and Greenland Group(Guangzhou) planned
to form a joint venture. The JV was to be capitalized at USD 1.6 billion.</t>
  </si>
  <si>
    <t xml:space="preserve">The JV was to be capitalized at USD 1.6 billion.</t>
  </si>
  <si>
    <t xml:space="preserve">8C6865
0A8805</t>
  </si>
  <si>
    <t xml:space="preserve">DNA Brands Inc
AccelPath Inc</t>
  </si>
  <si>
    <t xml:space="preserve">Soft Drink Manufacturing
Mnfr,whl 3D imaging equip,sys</t>
  </si>
  <si>
    <t xml:space="preserve">DNA Brands Inc is a
manufacturer of soft drinks.
The Company was founded in
May 2007 and is located in
Fort Lauderdale, Florida.
AccelPath Inc, located in
Gaithersburg, Maryland,
manufactures and wholesales 3D
imaging equipment and systems.
Its services also include
designing, researching,
developing, integrating,
selling and supporting three
dimensional imaging devices
and systems, intelligent
surveillance devices and
systems, and three dimensional
facial recognition in the
healthcare and security
industries.</t>
  </si>
  <si>
    <t xml:space="preserve">2086
3829</t>
  </si>
  <si>
    <t xml:space="preserve">DNA BRANDS INC/ACCELPATH INC-JOINT VENTURE</t>
  </si>
  <si>
    <t xml:space="preserve">DNA Brands Inc and AccelPath Inc planned to form a joint venture.</t>
  </si>
  <si>
    <t xml:space="preserve">23328Q
00433U</t>
  </si>
  <si>
    <t xml:space="preserve">Intel Corp
DLT Solutions Inc</t>
  </si>
  <si>
    <t xml:space="preserve">Manufacture,wholesale semiconductors
Provide information tech svcs</t>
  </si>
  <si>
    <t xml:space="preserve">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
DLT Solutions Inc, located
in Herndon, Virginia, is a
provider of information
technology services for
federal, state, local
government and education
industries.</t>
  </si>
  <si>
    <t xml:space="preserve">3674
7376</t>
  </si>
  <si>
    <t xml:space="preserve">CA
VA</t>
  </si>
  <si>
    <t xml:space="preserve">Intel Corp
Millstein &amp; Co LP</t>
  </si>
  <si>
    <t xml:space="preserve">3674
6282</t>
  </si>
  <si>
    <t xml:space="preserve">INTEL CORP/DLT SOLUTIONS INC-STRATEGIC ALLIANCE</t>
  </si>
  <si>
    <t xml:space="preserve">Intel Corp and DLT Solutions Inc planned to form a strategic alliance.</t>
  </si>
  <si>
    <t xml:space="preserve">Security (Guards) Services
Research &amp; Development Services</t>
  </si>
  <si>
    <t xml:space="preserve">458140
23602C</t>
  </si>
  <si>
    <t xml:space="preserve">Verdant Power LLC
Belleville Duggan Renewables</t>
  </si>
  <si>
    <t xml:space="preserve">Electric utility
Recyclable Material Merchant Wholesalers</t>
  </si>
  <si>
    <t xml:space="preserve">Verdant Power, LLC is a marine
renewable energy company
located in New York, New York.
The company generates
mechanical and electrical
power. The company also
designs marine renewable
energy solutions, as well as
fabrication of hydropower
system rotors. The companys
systems employ underwater
turbines to generate energy
from the natural water
currents of rivers, tides, and
manmade channels. Verdant
Power, LLC was founded in
2000.
Belleville Duggan Renewables
Ltd is a recyclable material
wholesaler. The company was
founded in September 2015 and
is located in the Ireland-Rep.</t>
  </si>
  <si>
    <t xml:space="preserve">4911
5093</t>
  </si>
  <si>
    <t xml:space="preserve">VERDANT POWER LLC/BELLEVILLE DUGGAN RENEWABLES LTD-JOINT VENTURE</t>
  </si>
  <si>
    <t xml:space="preserve">Verdant Isles Ltd is engaged
in the crude petroleum and
natural gas services business.
The company is located in
Tipperary, the Ireland-Rep.</t>
  </si>
  <si>
    <t xml:space="preserve">Verdant Power LLC and Belleville Duggan Renewables Ltd formed a joint
venture named Verdant Isles Ltd.</t>
  </si>
  <si>
    <t xml:space="preserve">6E3639</t>
  </si>
  <si>
    <t xml:space="preserve">08359L
5E4467</t>
  </si>
  <si>
    <t xml:space="preserve">3E Co
Linx-AS LLC</t>
  </si>
  <si>
    <t xml:space="preserve">Dvlp envi,ecological software
Provide information tech svcs</t>
  </si>
  <si>
    <t xml:space="preserve">3E Co, located in Carlsbad,
California, develops
environmental and ecological
engineering software. The
company was founded in 1988.
Linx-AS LLC is a software
publisher. The company is
located in King Of Prussia,
Pennsylvania.</t>
  </si>
  <si>
    <t xml:space="preserve">7372
7376</t>
  </si>
  <si>
    <t xml:space="preserve">Verisk Analytics Inc
Linx-AS LLC</t>
  </si>
  <si>
    <t xml:space="preserve">7374
7376</t>
  </si>
  <si>
    <t xml:space="preserve">3E CO/LINX-AS LLC-STRATEGIC ALLIANCE</t>
  </si>
  <si>
    <t xml:space="preserve">3E Co and Linx-AS LLC formed a strategic alliance.</t>
  </si>
  <si>
    <t xml:space="preserve">88544J
5E6218</t>
  </si>
  <si>
    <t xml:space="preserve">Inventec Corp
Advantech Corp(Thailand)Co Ltd</t>
  </si>
  <si>
    <t xml:space="preserve">Mnfr,whl computer products
Semiconductor and Related Device Manufacturing</t>
  </si>
  <si>
    <t xml:space="preserve">Inventec Corp, headquartered
in Taipei, Taiwan,
manufactures and wholesales
computers and related
products, comprised of
enterprise servers, storage
products, network applications
and wireless solutions. The
company was founded in 1975.
Advantech Corp (Thailand) Co
Ltd is a manufacturer of
semiconductors and related
device. manufactures and
markets embedded boards,
networking platforms,
automation systems, and
computer parts and
peripherals. The Company is
located in Bangkok, Thailand.</t>
  </si>
  <si>
    <t xml:space="preserve">Taiwan
Thailand</t>
  </si>
  <si>
    <t xml:space="preserve">Inventec Corp
Advantech Co Ltd</t>
  </si>
  <si>
    <t xml:space="preserve">3571
3571</t>
  </si>
  <si>
    <t xml:space="preserve">INVENTEC CORP/ADVANTECH CORPORATION-JOINT VENTURE</t>
  </si>
  <si>
    <t xml:space="preserve">Inventec Corp and Advantech Corporation (Thailand) Co Ltd planned to form a
55:45 joint venture named AIMobile Co. Ltd to focus on the R&amp;D, production
and sales of the industrial wireless handheld devices with applications
covering retail, automotive, medical and other vertical market.</t>
  </si>
  <si>
    <t xml:space="preserve">46142C
01577Q</t>
  </si>
  <si>
    <t xml:space="preserve">Xiamen Tungsten Co Ltd
Grafoid Inc</t>
  </si>
  <si>
    <t xml:space="preserve">All Other Metal Ore Mining
Pvd invstmnt,rsrch,devt</t>
  </si>
  <si>
    <t xml:space="preserve">Xiamen Tungsten Co Ltd is a
metal ore mine operator. The
Company was founded in
December 1997 and is located
in Xiamen, China.
Grafoid Inc, located in
Ontario, Canada, is an
investment and research and
development focused on
producing high quality,
economically scalable
graphene. The company invest
in, manage, and develop
markets for processes that
produce economically scalable,
pristine graphene for polymer
and non-polymer, energy
storage and other
applications.</t>
  </si>
  <si>
    <t xml:space="preserve">1061
3624</t>
  </si>
  <si>
    <t xml:space="preserve">XIAMEN TUNGSTEN CO LTD/GRAFOID INC-STRATEGIC ALLIANCE</t>
  </si>
  <si>
    <t xml:space="preserve">Xiamen Tungsten Co Ltd and Grafoid Inc planned to form a strategic
alliance.</t>
  </si>
  <si>
    <t xml:space="preserve">98396A
36945M</t>
  </si>
  <si>
    <t xml:space="preserve">BioSig Technologies Inc
Mayo Clinic</t>
  </si>
  <si>
    <t xml:space="preserve">Mnfr electromedical equipment
Provides medical care and research services</t>
  </si>
  <si>
    <t xml:space="preserve">BioSig Technologies Inc.
located in Los Angeles,
California, is engaged in
manufacturing medical devices.
It is primarily devoted to
improving the quality of
cardiac recordings obtained
during ablation of atrial
fibrillation (AF). The company
was founded on February 24,
2009.
Mayo Foundation for Medical
Education &amp; Research,
located in Rochester,
Minnesota, provides medical
care and research services.
The Company has offices in
Florida, and Arizona. The
Company's services include
solution-oriented products
and services designed to
improve people's health
like for population health
management (health risk
assessment, behavior change
programs and self-care
tools), consumer health
education books and
newsletters), health
benefits administration
(third-party administration,
health savings accounts and
pharmacy benefit
management), pharmacy
services, and medical
supplies. The Company was
founded in 1836.</t>
  </si>
  <si>
    <t xml:space="preserve">3845
8099</t>
  </si>
  <si>
    <t xml:space="preserve">BIOSIG TECHNOLOGIES INC/MAYO FOUNDATION FOR MEDICAL-STRATEGIC ALLIANCE</t>
  </si>
  <si>
    <t xml:space="preserve">BioSig Technologies Inc and Mayo Foundation for Medical Education Research
formed a strategic alliance to develop advanced clinical features and
applications for its Pure EP system.</t>
  </si>
  <si>
    <t xml:space="preserve">09073N
57847P</t>
  </si>
  <si>
    <t xml:space="preserve">BEL THALES SYSTEMS LTD
Thales SA</t>
  </si>
  <si>
    <t xml:space="preserve">Satellite Telecommunications
Manufacture,wholesale defense equipment</t>
  </si>
  <si>
    <t xml:space="preserve">BEL-Thales systems Ltd is
located in Bangalore India is
a company which deals with
designing, developing, supply
and support of civilian and
select defense radars for
India and the global markets.
Thales SA is a manufacturer
of electronic systems for
the aeronautics, space,
defense, transportation and
security sectors. It also
functions as a holding
company. Its products
include SWARM Remote Weapon
Station, TopSky Air Traffic
Management solution,
Bushmaster armored vehicle,
Goalkeeper , CIWS Starstreak
missile. The company has
operations in 56 countries
worldwide. It was founded in
1893 and is located in
Paris, France.</t>
  </si>
  <si>
    <t xml:space="preserve">4899
3769</t>
  </si>
  <si>
    <t xml:space="preserve">Bharat Electronics Ltd
Thales SA</t>
  </si>
  <si>
    <t xml:space="preserve">3675
3769</t>
  </si>
  <si>
    <t xml:space="preserve">BEL THALES SYSTEMS LTD/THALES SA-JOINT VENTURE</t>
  </si>
  <si>
    <t xml:space="preserve">BEL THALES SYSTEMS LTD and Thales SA planned to form a joint venture is to
develop PHAROS, a fire control radar for both gun and missile systems.</t>
  </si>
  <si>
    <t xml:space="preserve">Defense Services
Research &amp; Development Services</t>
  </si>
  <si>
    <t xml:space="preserve">9C6103
88348N</t>
  </si>
  <si>
    <t xml:space="preserve">Hyatt Hotels Corp
SIGNA Holding GmbH</t>
  </si>
  <si>
    <t xml:space="preserve">Hotels (Except Casino Hotels) and Motels
Real estate investment trust</t>
  </si>
  <si>
    <t xml:space="preserve">Hyatt Hotels Corp, located
in Omaha, Nebraska, owns and
operates hotels. It operates
under Hyatt branded hotels
and resorts under the Park
Hyatt, Grand Hyatt, Hyatt
Regency, Hyatt Resorts,
Hyatt, Hyatt Place and Hyatt
Summerfield Suites brands.
It was founded in 1957.
SIGNA Holding AG, located in
Vienna, Austria, is a real
estate investment trust
(REIT). It also owns and
operates department stores
and sports equipment shops.
It operates as a holding
company. The Company was
founded in 2000.</t>
  </si>
  <si>
    <t xml:space="preserve">7011
6798</t>
  </si>
  <si>
    <t xml:space="preserve">Hyatt Hotels Corp
Familie Benko Privatstiftung</t>
  </si>
  <si>
    <t xml:space="preserve">7011
6799</t>
  </si>
  <si>
    <t xml:space="preserve">HYATT HOTELS CORP/SIGNA HOLDING GMBH-JOINT VENTURE</t>
  </si>
  <si>
    <t xml:space="preserve">Hyatt Hotels Corp and SIGNA Holding GmbH planned to form a 50:50 joint
venture named Andaz Am Belvedere Vienna.</t>
  </si>
  <si>
    <t xml:space="preserve">Hotel &amp; Casino Services
Research &amp; Development Services
Construction Services</t>
  </si>
  <si>
    <t xml:space="preserve">37906V
82760P</t>
  </si>
  <si>
    <t xml:space="preserve">Intrexon Corp
White Rock Capital Inc</t>
  </si>
  <si>
    <t xml:space="preserve">Manufacture biological products
Investment management services</t>
  </si>
  <si>
    <t xml:space="preserve">Intrexon Corp, located in
Blacksburg, Virginia,
manufactures biological
products. The Company is
focused on bio-molecular
tools that enable
researchers to modulate and
report the activity of
protein-protein interactions
in pre-determined
subcellular locations. It is
also involved in using DNA
technology as natural
control modality for
biological therapeutics. It
also has facilities located
in Maryland, North Carolina,
and California. The Company
was founded in 1998.
Investment management services</t>
  </si>
  <si>
    <t xml:space="preserve">INTREXON CORP/WHITE ROCK CAPITAL INC-JOINT VENTURE</t>
  </si>
  <si>
    <t xml:space="preserve">Intrexon Corp and White Rock Capital Inc planned to form a 50:50 joint
venture named Intrexon T1D Partners LLC.</t>
  </si>
  <si>
    <t xml:space="preserve">46122T
96451T</t>
  </si>
  <si>
    <t xml:space="preserve">Good Friend Intl Hldgs Inc
Qiqihar Heavy CNC Equip Corp</t>
  </si>
  <si>
    <t xml:space="preserve">Mnfr machine tools
Mnfr CNC mach tools</t>
  </si>
  <si>
    <t xml:space="preserve">Good Friend International
Holdings Inc, headquartered in
Des Voeux Road Central, Hong
Kong, manufactures machine
tools. Through its
subsidiaries, the Company is
engaged in the design and
production of computer
numerical control (CNC)
machine tools, design and
construction of
three-dimensional car parking
garage structures, and design
and assembling of forklift
trucks. The company was
founded in 1993.
Qiqihar Heavy CNC Equipment
Corp Ltd is a manufacturer of
accessories for cutting and
metal forming machine tools.
The Company was founded in
1950 and is located in
Qiqihaer, China.</t>
  </si>
  <si>
    <t xml:space="preserve">3541
3545</t>
  </si>
  <si>
    <t xml:space="preserve">Good Friend Intl Hldgs Inc
Tianma Bearing Group Co Ltd</t>
  </si>
  <si>
    <t xml:space="preserve">3541
3562</t>
  </si>
  <si>
    <t xml:space="preserve">GOOD FRIEND INTERNATIONAL/QIQIHAR HEAVY CNC EQUIPMENT -JOINT VENTURE</t>
  </si>
  <si>
    <t xml:space="preserve">Good Friend International Holdings Inc and Qiqihar Heavy CNC Equipment Corp
Ltd planned to form a 60:40 joint venture. The JV was expected to have
revenues of USD 15.44 million.</t>
  </si>
  <si>
    <t xml:space="preserve">The JV was to capitalized at USD 15.44 million.</t>
  </si>
  <si>
    <t xml:space="preserve">38218P
75384H</t>
  </si>
  <si>
    <t xml:space="preserve">Good Friend International Holdings Inc and Qiqihar Heavy CNC Equipment Corp
Ltd planned to form a 60:40 joint venture.</t>
  </si>
  <si>
    <t xml:space="preserve">Rhino Resource Partners LP
Ion Carbon &amp; Minerals LLC</t>
  </si>
  <si>
    <t xml:space="preserve">Coal mining company
Bituminous Coal and Lignite Surface Mining</t>
  </si>
  <si>
    <t xml:space="preserve">Rhino Resources Partners LP,
located in Lexington,
Kentucky, is a coal mining
company. It also wholesales
coal offered primarily to
electric utility companies
as fuel for steam-powered
generators. It has an asset
base with coal reserves
located in Central
Appalachia, Northern
Appalachia, the Illinois
Basin and the Western
Bituminous region. It also
produces a metallurgical
coal, an ingredient used by
steel producers worldwide.
Ion Carbon &amp; Minerals LLC is a
bituminous coal mine operator.
The company was founded in
2007 and is located in the
United States.</t>
  </si>
  <si>
    <t xml:space="preserve">1221
1221</t>
  </si>
  <si>
    <t xml:space="preserve">KY
NC</t>
  </si>
  <si>
    <t xml:space="preserve">Rhino Resource Partners LP
AMCI Holdings Inc</t>
  </si>
  <si>
    <t xml:space="preserve">1221
1021</t>
  </si>
  <si>
    <t xml:space="preserve">RHINO RESOURCE PARTNERS LP/ION CARBON &amp; MINERALS LLC-JOINT VENTURE</t>
  </si>
  <si>
    <t xml:space="preserve">Rhino Resource Partners LP and Ion Carbon Minerals LLC planned to form a
joint venture named Encore Global Commodities LLC.</t>
  </si>
  <si>
    <t xml:space="preserve">76218Y
5E3438</t>
  </si>
  <si>
    <t xml:space="preserve">A&amp;R Carton Fegersheim
A Novo IT-Services Norway AS</t>
  </si>
  <si>
    <t xml:space="preserve">Mnfr packaging prods
Mnfr computers</t>
  </si>
  <si>
    <t xml:space="preserve">Manufacture packaging products
and provide packaging services
Manufacture computers</t>
  </si>
  <si>
    <t xml:space="preserve">2671
7373</t>
  </si>
  <si>
    <t xml:space="preserve">France
Norway</t>
  </si>
  <si>
    <t xml:space="preserve">Svenska Cellulosa AB SCA
Ingram Micro Inc</t>
  </si>
  <si>
    <t xml:space="preserve">2676
5045</t>
  </si>
  <si>
    <t xml:space="preserve">A&amp;R CARTON FEGERSHEIM/A NOVO IT-SERVICES NORWAY AS-STRATEGIC ALLIANCE</t>
  </si>
  <si>
    <t xml:space="preserve">AR Carton Fegersheim (Svenska Cellulosa AB) and A Novo IT-Services Norway
AS (A Novo) planned to form a strategic alliance.</t>
  </si>
  <si>
    <t xml:space="preserve">00379Y
63889R</t>
  </si>
  <si>
    <t xml:space="preserve">Goldman Sachs Group Inc
Innova Capital Sp z o o</t>
  </si>
  <si>
    <t xml:space="preserve">Provide investment banking services
Financial Sponsor</t>
  </si>
  <si>
    <t xml:space="preserve">Goldman Sachs Group Inc,
located in New York, is a
provider of investment banking
services. It also provides
securities brokerage and asset
management services, to
diversified clients that
include corporations,
financial institutions,
governments and high-net-worth
individuals. The Company
operates in three segments
namely, investment banking,
trading and principal
investments and asset
management and securities
services. Its Investing
Banking segment underwrites
equity and debt instrument and
provides financial advisory
services for acquisitions and
mergers. Trading and Principal
Investments and Asset
Management segment,
facilitates customer
transactions and trading of
fixed income and equity
products, currencies,
commodities and derivatives.
Asset Management and
Securities Services segment,
provides investment
strategies, advice and
planning across all major
asset classes and provides
prime brokerage, financing and
securities lending services.
It maintains offices in
London, Frankfurt, Tokyo, Hong
Kong and other major financial
centers around the world. The
Company has offices in over 25
countries and was founded in
1869.
Innova Capital Sp z o o,
located in Warsaw, Poland,
is a private equity firm. It
is focused on mid-market
buyouts in Poland and
Central Europe, especially
on control investments in
companies with EVs of EUR
25-150 mil with equity
tickets of EUR 25-40 mil.</t>
  </si>
  <si>
    <t xml:space="preserve">Goldman Sachs Group Inc
Fund Advisors UK Ltd</t>
  </si>
  <si>
    <t xml:space="preserve">GOLDMAN SACHS GROUP INC/INNOVA CAPITAL SP ZOO-JOINT VENTURE</t>
  </si>
  <si>
    <t xml:space="preserve">Goldman Sachs Group Inc and Innova Capital Sp zoo planned to form a joint
venture.</t>
  </si>
  <si>
    <t xml:space="preserve">38141G
45727P</t>
  </si>
  <si>
    <t xml:space="preserve">Magnum Manufacturing LLC
Minecorp Energy Ltd</t>
  </si>
  <si>
    <t xml:space="preserve">Support Activities For Oil and Gas Operations
Bituminous Coal and Lignite Surface Mining</t>
  </si>
  <si>
    <t xml:space="preserve">Magnum Manufacturing LLC,
located in Houston, Texas,
provides oil services.
Minecorp Energy Ltd, located
in Vancouver, British
Columbia, is a coal mining
company. The Company is
focused in the acquisition of
advanced stage metallurgical
coal properties. The Company
was incorporated in British
Columbia on April 7, 2005.</t>
  </si>
  <si>
    <t xml:space="preserve">1389
1221</t>
  </si>
  <si>
    <t xml:space="preserve">MAGNUM MANUFACTURING LLC/MINECORP ENERGY LTD-JOINT VENTURE</t>
  </si>
  <si>
    <t xml:space="preserve">Magnum Manufacturing LLC and Minecorp Energy Ltd planned to form a 40:60
joint venture. The JV was to be capitalized at USD 19 million.</t>
  </si>
  <si>
    <t xml:space="preserve">The JV was to be capitalized at USD 19 million.</t>
  </si>
  <si>
    <t xml:space="preserve">5E0655
602729</t>
  </si>
  <si>
    <t xml:space="preserve">Paper Battery Co
Netlist Inc</t>
  </si>
  <si>
    <t xml:space="preserve">Mnfr,whl telecommunications equip
Mnfr memory subsystems</t>
  </si>
  <si>
    <t xml:space="preserve">Paper Battery Co is a
manufacturer of telephone
apparatuses. The company was
founded in 2008 and is located
in New York.
Netlist Inc, located in
Irvine, California,
manufacture and design high
performance memory subsystems.
It sells its subsystems to
original equipment
manufacturers, or OEMs, in the
server, high performance
computing and communications
market. Within these markets,
it target applications in
which memory plays a key role
in enabling overall system
performance. The company was
founded in 2000.</t>
  </si>
  <si>
    <t xml:space="preserve">3661
3674</t>
  </si>
  <si>
    <t xml:space="preserve">PAPER BATTERY CO/NETLIST INC-STRATEGIC ALLIANCE</t>
  </si>
  <si>
    <t xml:space="preserve">Paper Battery Co and Netlist Inc planned to form a strategic alliance.</t>
  </si>
  <si>
    <t xml:space="preserve">5E3770
64118P</t>
  </si>
  <si>
    <t xml:space="preserve">SACI Falabella
Organizacion Soriana SAB de CV</t>
  </si>
  <si>
    <t xml:space="preserve">Own,op dept stores,ret outlets
Own,op grocery stores</t>
  </si>
  <si>
    <t xml:space="preserve">Sociedad Anonima Comercial
Industrial Falabella,
headquartered in Santiago,
Chile, owns and operates
department stores and retail
outlets in around 53 locations
in Chile, Argentina and Peru.
The Company's business units
include Sodimac Peru SA,
Hipermercados Tottus SA,
Viajes Falabella SA, Aventura
Plaza SA, Malls Peru SA,
Falabella de Colombia SA, Home
Let SA and Falabella Retail
SA. It also provides ecommerce
services, financial services
such as banking, credit cards,
insurance brokerage and travel
agency services. It is also a
holding company. It was
founded in 1889.
Organizacion Soriana SAB de
CV, located in Monterrey,
Nuevo Leon, Mexico, is an
owner and operator of
grocery and department
stores. It has 227 Soriana
Hiper hypermarkets, 105
Soriana Super supermarkets,
125 Soriana Mercado markets,
21 Soriana Express grocery
stores and 30 City Club
convenience stores. The
Company was founded in 1981.</t>
  </si>
  <si>
    <t xml:space="preserve">5311
5411</t>
  </si>
  <si>
    <t xml:space="preserve">Chile
Mexico</t>
  </si>
  <si>
    <t xml:space="preserve">SOCIEDAD ANONIMA COMERCIAL/ORGANIZACION SORIANA SAB DE CV-JOINT VENTURE</t>
  </si>
  <si>
    <t xml:space="preserve">Sociedad Anonima Comercial Industrial Falabella and Organizacion Soriana
SAB de CV planned to form a 50:50 joint venture. The JV was to have a cost
of USD 600 million.</t>
  </si>
  <si>
    <t xml:space="preserve">The JV was to have a cost of USD 600 million.</t>
  </si>
  <si>
    <t xml:space="preserve">78577N
P8728U</t>
  </si>
  <si>
    <t xml:space="preserve">Crestwood Equity Partners LP
Con Edison Transmission Inc</t>
  </si>
  <si>
    <t xml:space="preserve">Provide gas processing svcs
Fossil Fuel Electric Power Generation</t>
  </si>
  <si>
    <t xml:space="preserve">Crestwood Equity Partners LP,
located in Houston, Texas,
provides gas processing
services. It offers natural
gas storage and an NGL and
crude oil services, natural
gas gathering, compression,
treating, processing and
storage services. It serves
customers in the United States
and Canada.
Con Edison Transmission Inc is
a fossil fuel electric power
generation facility operator.
The company is located in New
York, New York.</t>
  </si>
  <si>
    <t xml:space="preserve">4922
4931</t>
  </si>
  <si>
    <t xml:space="preserve">Crestwood Equity Partners LP
Consolidated Edison Inc</t>
  </si>
  <si>
    <t xml:space="preserve">4922
4911</t>
  </si>
  <si>
    <t xml:space="preserve">CRESTWOOD EQUITY PARTNERS LP/CON EDISON TRANSMISSION INC-JOINT VENTURE</t>
  </si>
  <si>
    <t xml:space="preserve">Crestwood Equity Partners LP and Con Edison Transmission Inc formed a 50:50
joint venture named Stagecoach Gas Services. The JV was expected to have
revenues of USD 975 million.</t>
  </si>
  <si>
    <t xml:space="preserve">Gas Utility Services
Research &amp; Development Services
Oil and Gas; Petroleum Services</t>
  </si>
  <si>
    <t xml:space="preserve">The JV was to be capitalized at USD 975 million.</t>
  </si>
  <si>
    <t xml:space="preserve">226344
5E2262</t>
  </si>
  <si>
    <t xml:space="preserve">Advanced Micro Devices Inc
Tianjin Haiguang Advanced</t>
  </si>
  <si>
    <t xml:space="preserve">Mnfr,whl microprocessors
Investment company</t>
  </si>
  <si>
    <t xml:space="preserve">Advanced Micro Devices Inc
is a manufactures and
wholesales microprocessors,
embedded electronics
devices, desktop and
notebook processors, and
develops graphic systems
software, for the computing,
graphics and consumer
electronics industries. The
Company was founded in May
1969 and is located in Santa
Clara, California.
Tianjin Haiguang Advanced
Technology Investment Co Ltd
is a provider of financial
investment services. The
company is located in China.</t>
  </si>
  <si>
    <t xml:space="preserve">ADVANCED MICRO DEVICES INC/TIANJIN HAIGUANG ADVANCED TECHNOLOGY INVESTMENT
CO LTD-JOINT VENTURE</t>
  </si>
  <si>
    <t xml:space="preserve">Advanced Micro Devices Inc and Tianjin Haiguang Advanced Technology
Investment Co Ltd formed a joint venture. The JV was to be capitalized at
USD 293 million.</t>
  </si>
  <si>
    <t xml:space="preserve">The JV was to be capitalized at USD 293 million.</t>
  </si>
  <si>
    <t xml:space="preserve">007903
5E4713</t>
  </si>
  <si>
    <t xml:space="preserve">Otis Elevator Co
United Technologies Corp
Microsoft Corp</t>
  </si>
  <si>
    <t xml:space="preserve">Mnfr elevators,escalators
Manufacture,whl aerospace systems products
Develops and wholesales computer software products</t>
  </si>
  <si>
    <t xml:space="preserve">Otis Elevator Co, located in
Palm Brach Gardens, Florida,
manufactures elevators,
escalators and moving
walkways. It also provides
installation and maintenance
of elevators, escalators and
other moving walkways. It
has manufacturing facilities
in the Americas, Europe and
Asia and engineering
facilities in the United
States, Austria, Brazil,
China, Czech Republic,
France, Germany, India,
Italy, Japan, Korea and
Spain. The Company was
founded in 1853.
United Technologies Corp,
located in Farmington,
Connecticut, manufactures
and wholesales aerospace
systems products. It offers
helicopters and aircraft
engines, fire and security
systems and power fuel
cells. It also manufactures
and wholesales building
systems, primarily
elevators, escalators, and
heating and air conditioning
systems. It also provides
research services focused on
developing technologies
ranging from fluid dynamics,
advanced materials and
electronics to computer
science. It serves the
commercial, residential
property, transport
refrigeration and food
services equipment,
government, aerospace and
military industries
internationally, operating
through its Otis, Carrier,
UTC Fire &amp; Security, Pratt &amp;
Whitney, Hamilton Sundstrand
and Sikorsky units. The
Company was founded on July
21, 1934.
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t>
  </si>
  <si>
    <t xml:space="preserve">3534
3724
7372</t>
  </si>
  <si>
    <t xml:space="preserve">FL
CT
WA</t>
  </si>
  <si>
    <t xml:space="preserve">United Technologies Corp
United Technologies Corp
Microsoft Corp</t>
  </si>
  <si>
    <t xml:space="preserve">3724
3724
7372</t>
  </si>
  <si>
    <t xml:space="preserve">OTIS ELEVATOR CO/UNITED TECHNOLOGIES CORP/MICROSOFT CORP-STRATEGIC
ALLIANCE</t>
  </si>
  <si>
    <t xml:space="preserve">Otis Elevator Co, United Technologies Corp and Microsoft Corp planned to
form a strategic alliance.</t>
  </si>
  <si>
    <t xml:space="preserve">689002
913017
594918</t>
  </si>
  <si>
    <t xml:space="preserve">RD KMG AO
China CEFC Energy Co Ltd</t>
  </si>
  <si>
    <t xml:space="preserve">Oil,gas expl,prodn company
Other Chemical and Allied Products Merchant Wholesalers</t>
  </si>
  <si>
    <t xml:space="preserve">Razvedka Dobycha KazMunaiGaz
AO, headquartered in Astana,
Kazakhstan, is an oil and
gas exploration and
production company. The
Company was founded in 2004.
CEFC China Energy Co Ltd is
a chemical and allied
products wholesaler. The
Company was founded in Jan
1980 and is located in
Shanghai, China.</t>
  </si>
  <si>
    <t xml:space="preserve">1311
5169</t>
  </si>
  <si>
    <t xml:space="preserve">Kazakhstan
China</t>
  </si>
  <si>
    <t xml:space="preserve">Natl Co Kazmunaygaz Jsc
Shanghai Zhongan Joint Invest</t>
  </si>
  <si>
    <t xml:space="preserve">1311
1389</t>
  </si>
  <si>
    <t xml:space="preserve">RAZVEDKA DOBYCHA KAZMUNAIGAZ AO/CHINA CEFC ENERGY CO LTD-JOINT VENTURE</t>
  </si>
  <si>
    <t xml:space="preserve">Razvedka Dobycha KazMunaiGaz AO and China CEFC Energy Co Ltd planned to
form a 49:51 joint venture named Silk Way project.</t>
  </si>
  <si>
    <t xml:space="preserve">48664M
16797N</t>
  </si>
  <si>
    <t xml:space="preserve">Mercer LLC
CareerArc Group LLC</t>
  </si>
  <si>
    <t xml:space="preserve">Providing consulting,advisory services
Human resource technology company</t>
  </si>
  <si>
    <t xml:space="preserve">Mercer LLC is a provider of
management consulting
services. The Company was
founded in 1975 and is
located in New York.
CareerArc Group LLC, located
in Burbank, California, is a
human resource technology
company. Its solutions
include social recruiting
and outplacement technology.
The Company was founded in
2009.</t>
  </si>
  <si>
    <t xml:space="preserve">8748
7361</t>
  </si>
  <si>
    <t xml:space="preserve">Marsh &amp; McLennan Cos Inc
CareerArc Group LLC</t>
  </si>
  <si>
    <t xml:space="preserve">6411
7363</t>
  </si>
  <si>
    <t xml:space="preserve">MERCER LLC/CAREERARC GROUP LLC-STRATEGIC ALLIANCE</t>
  </si>
  <si>
    <t xml:space="preserve">Mercer LLC and CareerArc Group LLC formed a strategic alliance.</t>
  </si>
  <si>
    <t xml:space="preserve">58775A
3C3440</t>
  </si>
  <si>
    <t xml:space="preserve">BioDelivery Sciences Intl Inc
Collegium Pharmaceutical Inc</t>
  </si>
  <si>
    <t xml:space="preserve">Mnfr pharmaceutical prod
Pharmaceutical Preparation Manufacturing</t>
  </si>
  <si>
    <t xml:space="preserve">BioDelivery Sciences
International Inc, located in
Raleigh, North Carolina, is a
specialty pharmaceutical
company that is utilizing drug
delivery technologies to
develop and commercialize new
formulations of therapeutics.
Their drug delivery
technologies include the
patented BEMA (transmucosal,
or applied to the inner cheek
membrane) drug delivery
technology, and the patented
Bioral cochleate drug delivery
technology, designed for a
potentially broad base of
applications.
Collegium Pharmaceutical
Inc, located in Canton,
Massachusetts, manufactures
pharmaceuticals focused on
the development of
proprietary, late stage
pharmaceutical products that
aims to treat chronic pains
and other diseases. Its main
product, Xtampza, is an oral
formulation medication that
aims to treat patients with
chronic pain and have
swallowing difficulties. The
Company was founded in 2002.</t>
  </si>
  <si>
    <t xml:space="preserve">BIODELIVERY SCIENCES/COLLEGIUM PHARMACEUTICAL INC-STRATEGIC ALLIANCE</t>
  </si>
  <si>
    <t xml:space="preserve">BioDelivery Sciences International Inc and Collegium Pharmaceutical Inc
formed a strategic alliance to grant Collegium exclusive rights to develop
and commercialize ONSOLIS in the United States. Under the agreement,
Collegium will be responsible for the manufacturing, distribution,
marketing and sales of ONSOLIS. Under the renegotiated terms, the alliance
will be terminated on March 8, 2018.</t>
  </si>
  <si>
    <t xml:space="preserve">Licensing Services
Manufacturing Services
Research &amp; Development Services
Health &amp; Medical Services
Marketing Services
Retail &amp; Wholesale Services
Supply Services
Exclusive Licensing Services</t>
  </si>
  <si>
    <t xml:space="preserve">09060J
19459J</t>
  </si>
  <si>
    <t xml:space="preserve">Siemens PLC
Newcastle University</t>
  </si>
  <si>
    <t xml:space="preserve">Manufacture telephone equipment
Own,op college,university</t>
  </si>
  <si>
    <t xml:space="preserve">Siemens PLC is a
manufacturer of telephone
apparatuses. The Company is
located in Berkshire, the
United Kingdom.
Newcastle University, located
in Tyne and Wear, United
Kingdom, owns and operates a
university. It was formerly
known as King's College since
1937. The university was
founded in 1963.</t>
  </si>
  <si>
    <t xml:space="preserve">3661
8221</t>
  </si>
  <si>
    <t xml:space="preserve">Siemens AG
Newcastle University</t>
  </si>
  <si>
    <t xml:space="preserve">SIEMENS PLC/NEWCASTLE UNIVERSITY-STRATEGIC ALLIANCE</t>
  </si>
  <si>
    <t xml:space="preserve">Siemens PLC and Newcastle University formed a strategic alliance in United
Kingdom to join forces for new 20m smart energy integration centre that
could unlock the potential of low carbon smart energy in the UKs energy
supply.</t>
  </si>
  <si>
    <t xml:space="preserve">82622A
0A0467</t>
  </si>
  <si>
    <t xml:space="preserve">Sk Materials Co Ltd
Tri Chemical Laboratories Inc</t>
  </si>
  <si>
    <t xml:space="preserve">Industrial Gas Manufacturing
Mnfr chemicals</t>
  </si>
  <si>
    <t xml:space="preserve">SK Materials Co Ltd, located
in Yeongju, South Korea, is
a company engaged in the
manufacture of special gas
used in semiconductor,
liquid crystal display (LCD)
and solar cell manufacturing
processes. The Company
mainly produces nitrogen
trifluoride (NF3), which is
injected to remove any
residues on the internal
walls of chemical vapor
deposition (CVD) chamber;
silane (SiH4), which is used
to deposit silicon on wafer
in semiconductors and to
deposit silicon on TFT on
top of glass substrates for
TFT-LCD; tungsten
hexafluoride (WF6), which
makes contact plugs during
CVD process, as well as
dichlorosilane (DCS), which
is silicon precursor gas
used in combination with
ammonia for SiH4 CVD and for
deposition of epitaxial
silicon. It was founded in
1982.
The Group's principal
activities are to develop,
manufacture and sell
high-purity chemicals for
semiconductor manufacturers.
The company also offers
chemical vapor deposition
(CVD) materials, dry etching
materials and diffusion
materials. It is also engaged
in the design and sale of
chemical containers, the
synthesis of chemicals, and
the entrusted experiment
business.</t>
  </si>
  <si>
    <t xml:space="preserve">SK MATERIALS CO LTD/TRI CHEMICAL LABORATORIES INC-JOINT VENTURE</t>
  </si>
  <si>
    <t xml:space="preserve">SK Materials Co Ltd and Tri Chemical Laboratories Inc planned to form a
joint venture named SK Trichem. The JV was to have a cost of USD 17
million.</t>
  </si>
  <si>
    <t xml:space="preserve">The JV was to have a cost of USD 17 million.</t>
  </si>
  <si>
    <t xml:space="preserve">4E7305
89547J</t>
  </si>
  <si>
    <t xml:space="preserve">Emerald Resources(Dragon Oil)
Renaissance Minerals Ltd</t>
  </si>
  <si>
    <t xml:space="preserve">Oil and gas exploration,prodn
Gold mining company</t>
  </si>
  <si>
    <t xml:space="preserve">Oil and gas exploration and
production
Renaissance Minerals Ltd,
located in Subiaco, Western
Australia, is a gold mining
and exploration company, with
projects in both Australia and
Alaska. The company has three
operating segments:
exploration for mineral
reserves within Australia,
exploration for mineral
reserves within Alaska, and
the corporate/head office
function. Its projects include
Radio Gold Project, Mt Rankin
Project, Eastern Goldfields
Project and Eastern Goldfields
Project. Radio Gold Project
area is centered on the Radio
Gold Mine, located 40
kilometers north of Southern
Cross. Renaissance Alaska Pty
Ltd is the fully owned
subsidiary of the company. It
was founded in 2009.</t>
  </si>
  <si>
    <t xml:space="preserve">1311
1041</t>
  </si>
  <si>
    <t xml:space="preserve">Emirates Natl Oil Co Ltd
Renaissance Minerals Ltd</t>
  </si>
  <si>
    <t xml:space="preserve">Utd Arab Em
Australia</t>
  </si>
  <si>
    <t xml:space="preserve">EMERALD RESOURCES LTD(DRAGON/RENAISSANCE MINERALS LTD-JOINT VENTURE</t>
  </si>
  <si>
    <t xml:space="preserve">Cambodia</t>
  </si>
  <si>
    <t xml:space="preserve">Emerald Resources Ltd(Dragon Oil PLC) and Renaissance Minerals Ltd planned
to form a 51:49 joint venture. The JV was to have a cost of USD 3 million.</t>
  </si>
  <si>
    <t xml:space="preserve">Exploration Services
Mining Services
Research &amp; Development Services</t>
  </si>
  <si>
    <t xml:space="preserve">The JV was to have a cost of USD 3 million.</t>
  </si>
  <si>
    <t xml:space="preserve">29091N
75824P</t>
  </si>
  <si>
    <t xml:space="preserve">Skyservice Business Aviation
Flight Solutions &amp; Svcs Inc</t>
  </si>
  <si>
    <t xml:space="preserve">Pvd aircraft svcs
Search Detection Navigation Guidance Aeronautical and Nautical System and Instrument Manufacturing</t>
  </si>
  <si>
    <t xml:space="preserve">Skyservice Business Aviation
Inc is a provider of
aircraft maintenance and
support services,
headquartered in Dorval,
Quebec. The company offers
aircraft maintenance,
business charter and
ambulance services to
clients. The company was
founded in 1986.
Flight Solutions &amp; Services
Inc is a manufacturer of
search, detection, navigation,
guidance, aeronautical and
nautical systems and
instruments. The company is
located in Canada.</t>
  </si>
  <si>
    <t xml:space="preserve">4512
3812</t>
  </si>
  <si>
    <t xml:space="preserve">SKYSERVICE BUSINESS AVIATION/FLIGHT SOLUTIONS &amp; SERVICES INC-JOINT VENTURE</t>
  </si>
  <si>
    <t xml:space="preserve">FSS-Skyservice FBO Services
Inc. is a provider of air
transportation support
services. The company is
located in Toronto, Canada.</t>
  </si>
  <si>
    <t xml:space="preserve">Skyservice Business Aviation Inc and Flight Solutions Services Inc planned
to form a joint venture to provide fixed based operator Services.</t>
  </si>
  <si>
    <t xml:space="preserve">Airline Maintenance Services
Research &amp; Development Services</t>
  </si>
  <si>
    <t xml:space="preserve">6E1071</t>
  </si>
  <si>
    <t xml:space="preserve">83250K
6E1063</t>
  </si>
  <si>
    <t xml:space="preserve">Monash University
University of Melbourne</t>
  </si>
  <si>
    <t xml:space="preserve">Own,operate university
Own,op univ</t>
  </si>
  <si>
    <t xml:space="preserve">Monash University owns and
operates a university. The
Company was founded in 1958
and is located in Gippsland
Victoria, Australia.
University of Melbourne,
located in Melbourne, owns and
operates universities. It is a
public institution that
specializes in university
education, research, and
knowledge transfer. It offers
undergraduate degrees,
postgraduate programs which
are housed in a faculty-based
Graduate School, as well as
stand-alone Graduate Schools.
The university was established
in 1853.</t>
  </si>
  <si>
    <t xml:space="preserve">MONASH UNIVERSITY/UNIVERSITY OF MELBOURNE-JOINT VENTURE</t>
  </si>
  <si>
    <t xml:space="preserve">Monash University and University of Melbourne formed a 50:50 joint
venture.</t>
  </si>
  <si>
    <t xml:space="preserve">60919Y
91510E</t>
  </si>
  <si>
    <t xml:space="preserve">3SBio Inc
TNK Therapeutics Inc</t>
  </si>
  <si>
    <t xml:space="preserve">Pharmaceutical Preparation Manufacturing
Biological Product (Except Diagnostic) Manufacturing</t>
  </si>
  <si>
    <t xml:space="preserve">3SBio Inc, located in
Shenyang, China,
biopharmaceutical company
engaged in
research/development,
manufacture and
marketing/sales of
biopharmaceutical products
in China. The Company
develops recombinant, or
genetically engineered,
protein-based products and
product candidates designed
to address large markets
with significant unmet
medical needs in nephrology,
oncology, supportive cancer
care, inflammation and
infectious disease. Its
principal products are
EPIAO, TPIAO, INTEFEN and
INLEUSIN. Founded in 1993.
TNK Therapeutics Inc, located
in Wilmington, Delaware,
manufactures biological
products. It is focused on
cellular and immunotherapies
targeting solid tumors and
hematological malignancies.</t>
  </si>
  <si>
    <t xml:space="preserve">3SBio Inc
Sorrento Therapeutics Inc</t>
  </si>
  <si>
    <t xml:space="preserve">3SBIO INC/TNK THERAPEUTICS INC-JOINT VENTURE</t>
  </si>
  <si>
    <t xml:space="preserve">3SBio Inc and TNK Therapeutics Inc planned to form a 51:49 joint venture.
The JV was to be capitalized at USD 10 million.</t>
  </si>
  <si>
    <t xml:space="preserve">The JV was to be capitalized at USD 10 million.</t>
  </si>
  <si>
    <t xml:space="preserve">88575Y
0E6009</t>
  </si>
  <si>
    <t xml:space="preserve">Agios Pharmaceuticals Inc and Celgene Corp terminated their alliance prior
to the expiration date. The purpose of the Strategic Alliance were to
discover, develop and commercialize novel therapies based on Agios'
innovative cellular metabolism research platform. Agios will receive an
upfront cash payment of $200 million plus the potential for additional
payments if certain development and regulatory milestones are achieved.</t>
  </si>
  <si>
    <t xml:space="preserve">HP Inc
Docker Inc</t>
  </si>
  <si>
    <t xml:space="preserve">Electronic Computer Manufacturing
Software Publishers</t>
  </si>
  <si>
    <t xml:space="preserve">Hewlett Packard Co, located
in Palo Alto, California,
manufactures and wholesales
computers, electronic
testing and measuring
equipment, medical
electronic equipment,
calculators and other
personal information
products, and solid state
components and
instrumentation for chemical
analysis. It offers software
programming, network,
distributed systems and data
management and maintenance
and repair services. It also
has locations in Miami,
Florida and Houston, Texas.
The Company was founded in
1939.
Docker Inc, located in San
Francisco, California, is a
developer of a software
container platform. The
Company was founded in 2010.</t>
  </si>
  <si>
    <t xml:space="preserve">3571
7372</t>
  </si>
  <si>
    <t xml:space="preserve">HP INC/DOCKER INC-STRATEGIC ALLIANCE</t>
  </si>
  <si>
    <t xml:space="preserve">HP Inc and Docker Inc formed a strategic alliance.</t>
  </si>
  <si>
    <t xml:space="preserve">428236
1C9302</t>
  </si>
  <si>
    <t xml:space="preserve">Trive Property Group Bhd
Undisclosed JV Partner</t>
  </si>
  <si>
    <t xml:space="preserve">Storage Battery Manufacturing
Investment company</t>
  </si>
  <si>
    <t xml:space="preserve">Trive Property Group Bhd is
engaged in the manufacture,
assembly and marketing of
battery management system.
Its Construction segment
involves in residential
development. Its Investment
holding segment is engaged
in the investment of
ordinary and quoted shares.
Its Other segments include
companies providing
management services and
dormant companies. It has
operations in Malaysia, Hong
Kong and Singapore. Its
subsidiary, ETI Tech (M) Sdn
Bhd, is engaged in trading,
design and marketing of
battery management system
for rechargeable energy
storage solutions. Its
subsidiary, Proper Methods
Sdn Bhd, is engaged in
property development,
construction and property
investment sector. The
Company was founded in July
2002 and is located in
Kulim, Malaysia.
Investment company</t>
  </si>
  <si>
    <t xml:space="preserve">3691
6799</t>
  </si>
  <si>
    <t xml:space="preserve">Malaysia
Unknown</t>
  </si>
  <si>
    <t xml:space="preserve">TRIVE PROPERTY GROUP BHD(WAS 27045J)/UNDISCLOSED PARTNER-JOINT VENTURE</t>
  </si>
  <si>
    <t xml:space="preserve">Trive Property Group BHD(Was 27045J) and Undisclosed Joint Venture
Partner.</t>
  </si>
  <si>
    <t xml:space="preserve">8C7740
904JVP</t>
  </si>
  <si>
    <t xml:space="preserve">Otsuka Holdings Co Ltd
IBM Japan Ltd</t>
  </si>
  <si>
    <t xml:space="preserve">Mnfr,whl pharmaceuticals
Pvd info tech svcs</t>
  </si>
  <si>
    <t xml:space="preserve">Otsuka Holdings Co Ltd,
located in Tokyo, Japan,
manufactures and wholesales
pharmaceuticals. It is
engaged in four business
segments. The
Medical-related segment is
engaged in the sale of
ethical drugs, the
manufacture, sale and export
of curative medicines, as
well as the research and
development of infusions.
The Nutraceuticals-related
segment is engaged in the
manufacture, purchase and
sale of
nutraceuticals-related
products, such as functional
foods and dietary
supplements. The
Consumer-related segment is
engaged in the manufacture
and sale of consumer
products and mineral water.
The Others segment is
engaged in the manufacture
and sale of chemical
products, the manufacture,
sale and import of measuring
equipment, the manufacture
of packaging products, the
manufacture of synthetic
resin molding products, as
well as the storage and
handling of its products.
The company was founded in
1964.
IBM Japan Ltd, based in Tokyo,
Japan, is engaged in providing
information technology
services. It also wholesales
hardware, provides software
system services and business
consulting service. The
Company was founded in 1937.</t>
  </si>
  <si>
    <t xml:space="preserve">2834
7379</t>
  </si>
  <si>
    <t xml:space="preserve">Otsuka Holdings Co Ltd
IBM Corp</t>
  </si>
  <si>
    <t xml:space="preserve">2834
3571</t>
  </si>
  <si>
    <t xml:space="preserve">OTSUKA HOLDINGS CO LTD/IBM JAPAN LTD-JOINT VENTURE</t>
  </si>
  <si>
    <t xml:space="preserve">Otsuka Holdings Co Ltd and IBM Japan Ltd planned to form an 85:15 joint
venture named Otsuka Digital Health Co Ltd.to develop and market specialist
software to analyse psychiatric patient data in Japan.</t>
  </si>
  <si>
    <t xml:space="preserve">68918R
44921L</t>
  </si>
  <si>
    <t xml:space="preserve">Acceleware Ltd
GE Global Research</t>
  </si>
  <si>
    <t xml:space="preserve">Mnfr,whl computer hardware
Pvd research,dvlp svcs</t>
  </si>
  <si>
    <t xml:space="preserve">Acceleware Ltd, located in
Calgary, Alberta, provides
parallel computing software
solutions to the oil &amp; gas and
computer-aided engineering
markets. It is a manufacturer
and wholesaler of computer
hardware and software. They
sell specialized combination
of proprietary software and
hardware that significantly
reduces the computer
processing time required for
large scale mathematical
calculations. The Company was
founded in 2004.
GE Global Research,
headquartered in Niskayuna,
New York, provides research
and development services.</t>
  </si>
  <si>
    <t xml:space="preserve">Acceleware Ltd
General Electric Co</t>
  </si>
  <si>
    <t xml:space="preserve">ACCELEWARE LTD/GE GLOBAL RESEARCH-STRATEGIC ALLIANCE</t>
  </si>
  <si>
    <t xml:space="preserve">Acceleware Ltd and GE Global Research formed a strategic alliance to
develop critical power components and complete a pilot test of the
disruptive new heavy oil production technology in Canada.</t>
  </si>
  <si>
    <t xml:space="preserve">00433V
36301X</t>
  </si>
  <si>
    <t xml:space="preserve">Jiangsu Hengrui Medicine Co
Undisclosed JV Partner</t>
  </si>
  <si>
    <t xml:space="preserve">Mnfr,whl pharmaceutical
Investment company</t>
  </si>
  <si>
    <t xml:space="preserve">Jiangsu Hengrui Medicine Co
Ltd, located in China,
manufactures and wholesales
prescription pharmaceuticals
intended for final
consumption, including biotech
products and antibiotics. Some
of the company's products are
etoposide, letrozole,
sevoflurane, ioversol and many
others. The company was
founded in 1970.
Investment company</t>
  </si>
  <si>
    <t xml:space="preserve">JIANGSU HENGRUI MEDICINE CO/UNDISCLOSED PARTNER-JOINT VENTURE</t>
  </si>
  <si>
    <t xml:space="preserve">Jiangsu Hengrui Medicine Co Ltd and Undisclosed Joint Venture Partner
planned to form joint venture regarding a $100 million investment in HTI.
The proceeds from the investment will be used to advance clinical trials in
the Companys current areas of pharmaceutical research and development.</t>
  </si>
  <si>
    <t xml:space="preserve">Y4446S
904JVP</t>
  </si>
  <si>
    <t xml:space="preserve">Digital Diagnostics Pty Ltd
Exactus Inc</t>
  </si>
  <si>
    <t xml:space="preserve">Navigational, Measuring, Electromedical, and Control Instruments Manufacturing
Manufactures cannabis products</t>
  </si>
  <si>
    <t xml:space="preserve">Digital Diagnostics Pty Ltd,
located in Australia, is a
manufacturer of
navigational, measuring,
electromedical and control
instruments. The Company was
founded in November 2009.
Exactus Inc, located in Glen
Allen, Virginia,
manufactures cannabis
products such as FibriLyzer
and MatriLyzer. The Company
was founded in January 2008.</t>
  </si>
  <si>
    <t xml:space="preserve">3842
2833</t>
  </si>
  <si>
    <t xml:space="preserve">DIGITAL DIAGNOSTICS PTY LTD/EXACTUS INC-STRATEGIC ALLIANCE</t>
  </si>
  <si>
    <t xml:space="preserve">Digital Diagnostics Pty Ltd and Solid Solar Energy Inc formed a strategic
alliance to develop, produce and commercialize certain diagnostic products
in United States.</t>
  </si>
  <si>
    <t xml:space="preserve">2H2278
2H2289</t>
  </si>
  <si>
    <t xml:space="preserve">Innothera
Bioserenity SAS</t>
  </si>
  <si>
    <t xml:space="preserve">Mnfr pharmaceutical products
Biological Product (Except Diagnostic) Manufacturing</t>
  </si>
  <si>
    <t xml:space="preserve">Manufacture pharmaceutical
products, specializing in
drugs to combat tropical
diseases and, especially, in
prescription drugs for women
Bioserenity SAS is a
manufacturer of biological
products. The company was
founded in January 2014 and
is located in Paris, France.</t>
  </si>
  <si>
    <t xml:space="preserve">INNOTHERA/BIOSERENITY SAS-JOINT VENTURE</t>
  </si>
  <si>
    <t xml:space="preserve">Innothera and Bioserenity SAS formed joint venture, to development of
medical devices.</t>
  </si>
  <si>
    <t xml:space="preserve">45763F
8C2827</t>
  </si>
  <si>
    <t xml:space="preserve">Xencor Inc
Novartis AG</t>
  </si>
  <si>
    <t xml:space="preserve">Pharmaceutical Preparation Manufacturing
Pharmaceutical Preparation Manufacturing</t>
  </si>
  <si>
    <t xml:space="preserve">Xencor Inc, located in
Monrovia, California, is a
biopharmaceutical company
that discovers, develops and
manufactures engineered
monoclonal antibodies to
treat severe and
life-threatening diseases
with unmet medical needs. It
uses proprietary XmAb
technology platform to
create antibody product
candidates designed to treat
autoimmune and allergic
diseases, cancer and other
conditions. The Company was
founded in 1997.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</si>
  <si>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XENCOR INC/NOVARTIS AG-STRATEGIC ALLIANCE</t>
  </si>
  <si>
    <t xml:space="preserve">Xencor Inc and Novartis AG planned to form a strategic alliance.</t>
  </si>
  <si>
    <t xml:space="preserve">98401F
66987V</t>
  </si>
  <si>
    <t xml:space="preserve">Vertex Pharmaceuticals Inc
Moderna Therapeutics</t>
  </si>
  <si>
    <t xml:space="preserve">Biotech co
Research and Development in Biotechnology</t>
  </si>
  <si>
    <t xml:space="preserve">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
Moderna Therapeutics is a
manufacturer of biological
products. It develops
transformative medicines
based on messenger
ribonucleic acid (mRNA). The
Company was founded in 2010
and is located in Cambridge,
Massachusetts.</t>
  </si>
  <si>
    <t xml:space="preserve">VERTEX PHARMACEUTICALS INC/MODERNA THERAPEUTICS-STRATEGIC ALLIANCE</t>
  </si>
  <si>
    <t xml:space="preserve">Vertex Pharmaceuticals Inc and Moderna Therapeutics planned to form a
strategic alliance.</t>
  </si>
  <si>
    <t xml:space="preserve">92532F
7E3522</t>
  </si>
  <si>
    <t xml:space="preserve">The Related Group
Urban Development Group</t>
  </si>
  <si>
    <t xml:space="preserve">Real estate development firm
Provide research,dvlp svcs</t>
  </si>
  <si>
    <t xml:space="preserve">The Related Group, located
in Miami, Florida, is a real
estate development firm. The
Company was founded in 1979.
Urban Development Group is a
provider of research and
development services. The
company was founded in 2005
and is located in New Mexico.</t>
  </si>
  <si>
    <t xml:space="preserve">FL
NM</t>
  </si>
  <si>
    <t xml:space="preserve">RELATED GROUP/URBAN DEVELOPMENT GROUP-JOINT VENTURE</t>
  </si>
  <si>
    <t xml:space="preserve">Related Group and Urban Development Group planned to form a joint venture
named Related Urban.</t>
  </si>
  <si>
    <t xml:space="preserve">75942V
7E3064</t>
  </si>
  <si>
    <t xml:space="preserve">Coretec Industries LLC
NDSU Research Foundation</t>
  </si>
  <si>
    <t xml:space="preserve">Other Commercial and Service Industry Machinery Manufacturing
Research and Development in The Social Sciences and Humanities</t>
  </si>
  <si>
    <t xml:space="preserve">Coretec Industries LLC is a
manufacturer of electronic
products for the
energy-related industries such
as oil &amp; gas, renewable
energy, distributed energy and
power generation. The company
was founded in October 2010
and is located in Fargo, North
Dakota.
NDSU Research Foundation is a
provider of social sciences
research and development
services. The company is
located in North Dakota.</t>
  </si>
  <si>
    <t xml:space="preserve">3999
8733</t>
  </si>
  <si>
    <t xml:space="preserve">ND
ND</t>
  </si>
  <si>
    <t xml:space="preserve">CORETEC INDUSTRIES LLC/NDSU RESEARCH FOUNDATION-STRATEGIC ALLIANCE</t>
  </si>
  <si>
    <t xml:space="preserve">Coretec Industries LLC and NDSU Research Foundation planned to form a
strategic alliance.</t>
  </si>
  <si>
    <t xml:space="preserve">6E1952
7E2676</t>
  </si>
  <si>
    <t xml:space="preserve">Broad Institute
Evotec AG</t>
  </si>
  <si>
    <t xml:space="preserve">Biotechnology company
Mnfr small molecule drugs</t>
  </si>
  <si>
    <t xml:space="preserve">Broad Institute is a
manufacturer of biological
products. The Company was
founded in May 2004 and is
located in Cambridge,
Massachusetts.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t>
  </si>
  <si>
    <t xml:space="preserve">Massachusetts Inst Of Tech
Evotec AG</t>
  </si>
  <si>
    <t xml:space="preserve">BROAD INSTITUTE/EVOTEC AG-STRATEGIC ALLIANCE</t>
  </si>
  <si>
    <t xml:space="preserve">Broad Institute and Evotec AG planned to form a strategic alliance.</t>
  </si>
  <si>
    <t xml:space="preserve">11149Z
D1646D</t>
  </si>
  <si>
    <t xml:space="preserve">Abzena PLC
Baylor Scott &amp; White Health</t>
  </si>
  <si>
    <t xml:space="preserve">Biological Product (Except Diagnostic) Manufacturing
General Medical and Surgical Hospitals</t>
  </si>
  <si>
    <t xml:space="preserve">Abzena PLC, located in
Cambridge, the United
Kingdom, is a biotechnology
company engaged in the
services and technologies in
the development and
manufacturing of
biopharmaceutical products.
Its services includes
Immunogenicity assessment,
Antibody drug conjugates,
Antibody/protein
engineering, Optimisation of
pharmacokinetics, cell line
development, process
development, and GMP
manufacturing.
Baylor Scott &amp; White Health
LLC, headquartered in
Dallas, Texas, own and
operates hospitals and
medical facilities which
offers inpatient,
outpatient, rehabilitation,
surgical, and emergency
medical services.</t>
  </si>
  <si>
    <t xml:space="preserve">ABZENA PLC/BAYLOR SCOTT &amp; WHITE HEALTH LLC-JOINT VENTURE</t>
  </si>
  <si>
    <t xml:space="preserve">Abzena PLC and Baylor Scott White Health LLC planned to form a joint
venture named Denceptor Therapeutics Ltd to treat cancer and autoimmune
diseases using Baylor Scott &amp; White Research Institutes dendritic cell
receptor-targeting antibodies.</t>
  </si>
  <si>
    <t xml:space="preserve">1C1759
8C5066</t>
  </si>
  <si>
    <t xml:space="preserve">Fraunhofer Inst for Silicate
Hydro-Quebec</t>
  </si>
  <si>
    <t xml:space="preserve">Provide research,dvlp svcs
Electric utility company</t>
  </si>
  <si>
    <t xml:space="preserve">Fraunhofer Institute for
Silicate Research ISC is a
provider of research and
development services. The
company is located in WRzburg,
Germany.
Hydro-Quebec, located in
Montreal, Quebec, is an
electric utility company
that generates, transmits
and distributes electricity,
mainly using renewable
energy sources, in
particular hydroelectricity.
It also conducts research in
energy-related fields and
takes an active interest in
energy efficiency. It is
also a holding company that
is comprised of four
divisions: Hydro-Quebec
Production, Hydro-Quebec
TransEnergie, Hydro-Quebec
Distribution and
Hydro-Quebec Equipment. The
Company was founded in 1944.</t>
  </si>
  <si>
    <t xml:space="preserve">8731
4911</t>
  </si>
  <si>
    <t xml:space="preserve">Fraunhofer Inst for Silicate
Canada</t>
  </si>
  <si>
    <t xml:space="preserve">FRAUNHOFER INSTITUTE FOR SILICATE RESEARCH ISC/HYDRO-QUEBEC-STRATEGIC
ALLIANCE</t>
  </si>
  <si>
    <t xml:space="preserve">Fraunhofer Institute for Silicate Research ISC and Hydro-Quebec planned to
form a strategic alliance to conduct research and development into
next-generation lithium-ion and lithium-air battery materials to be used in
transportation electrification.</t>
  </si>
  <si>
    <t xml:space="preserve">7E5604
448814</t>
  </si>
  <si>
    <t xml:space="preserve">Peet Ltd
Supalai PCL</t>
  </si>
  <si>
    <t xml:space="preserve">Peet Ltd is a national
property group headquartered
in Perth, Australia with
offices in Western Australia,
Victoria and Queensland and a
presence in New South Wales.
The company is involved in the
development of residential
land estates, land syndication
and fund management. The
company was founded in 1905.
Supalai PCL, headquartered in
Bangkok, Thailand, is a real
estate development firm, the
company also owns and operates
hotel, restaurant, bar, and
resorts. The Company was
founded in 1989.</t>
  </si>
  <si>
    <t xml:space="preserve">Australia
Thailand</t>
  </si>
  <si>
    <t xml:space="preserve">PEET LTD/SUPALAI PCL-JOINT VENTURE</t>
  </si>
  <si>
    <t xml:space="preserve">Peet Ltd and Supalai PCL formed a 50:50 joint venture to develop a housing
estate in Brisbane.</t>
  </si>
  <si>
    <t xml:space="preserve">70550W
86795M</t>
  </si>
  <si>
    <t xml:space="preserve">UT Southwestern Medical Center
Peregrine Pharmaceuticals Inc</t>
  </si>
  <si>
    <t xml:space="preserve">Own,operate hospital
Biotechnology company</t>
  </si>
  <si>
    <t xml:space="preserve">UT Southwestern Medical
Center is a hospital
operator. The company is
located in Dallas, Texas.
Peregrine Pharmaceuticals Inc,
located in Tustin, California,
is a biotechnology company
focused on developing
therapeutic agents that effect
blood vessels and blood flow
in cancer and other diseases.
The company was founded in
1981.</t>
  </si>
  <si>
    <t xml:space="preserve">8062
2835</t>
  </si>
  <si>
    <t xml:space="preserve">UT SOUTHWESTERN MEDICAL CENTER/PEREGRINE PHARMACEUTICALS INC-STRATEGIC
ALLIANCE</t>
  </si>
  <si>
    <t xml:space="preserve">UT Southwestern Medical Center and Peregrine Pharmaceuticals Inc planned to
form a strategic alliance.</t>
  </si>
  <si>
    <t xml:space="preserve">7E5205
713661</t>
  </si>
  <si>
    <t xml:space="preserve">Definiens AG
Indivumed GmbH</t>
  </si>
  <si>
    <t xml:space="preserve">Software Publishers
Provide research,dvlp services</t>
  </si>
  <si>
    <t xml:space="preserve">Definiens AG, located in
Munich, Germany, develops
image analysis software. The
company is specialized in the
area of interpreting images on
every scale. The company was
founded in 1994.
Indivumed GmbH, located in
Hamburg, Germany, provides
research and development
services for the treatment of
GI-tract (colorectal, gastric,
pancreatic), breast, prostate
and lung cancer. The company
was founded in 2002.</t>
  </si>
  <si>
    <t xml:space="preserve">AstraZeneca PLC
Indivumed GmbH</t>
  </si>
  <si>
    <t xml:space="preserve">DEFINIENS AG/INDIVUMED GMBH-STRATEGIC ALLIANCE</t>
  </si>
  <si>
    <t xml:space="preserve">Definiens AG and Indivumed GmbH formed a strategic alliance to offer a
unique combination of tissue-based biomarker validation and assay
development with Definiens Cognition Network Technology for image analysis
and data mining.</t>
  </si>
  <si>
    <t xml:space="preserve">24485T
46459W</t>
  </si>
  <si>
    <t xml:space="preserve">Tianjin Tianbao Infrastructure
Tianjin Inst of Industrial</t>
  </si>
  <si>
    <t xml:space="preserve">Tianjin Tianbao Infrastructure
is a real estate development
firm. The company is
headquartered in China. It was
founded in 1998.
Tianjin Institute of
Industrial Biotechnology
Chinese Academy of Sciences is
a provider of research and
development services. The
company is located in Tianjin,
China.</t>
  </si>
  <si>
    <t xml:space="preserve">Tianjin Free Trade Zone
Peoples Republic of China</t>
  </si>
  <si>
    <t xml:space="preserve">6799
999A</t>
  </si>
  <si>
    <t xml:space="preserve">TIANJIN TIANBAO INFRASTRUCTURE/TIANJIN INSTITUTE OF INDUSTRIAL
BIOTECHNOLOGY CHINESE ACADEMY OF SCIENCES-JOINT VENTURE</t>
  </si>
  <si>
    <t xml:space="preserve">Tianjin Tianbao Infrastructure Co Ltd and Tianjin Institute of Industrial
Biotechnology Chinese Academy of Sciences planned to form a 51:49 joint
venture. The JV was to be capitalized at USD 0.45 Million.</t>
  </si>
  <si>
    <t xml:space="preserve">The JV was to be capitalized at USD 0.45 Million.</t>
  </si>
  <si>
    <t xml:space="preserve">88610V
8E0556</t>
  </si>
  <si>
    <t xml:space="preserve">Immuron Ltd
Undisclosed JV Partner</t>
  </si>
  <si>
    <t xml:space="preserve">Anadis Ltd, located in
Victoria,Australia, is a
biotechnology company
specializing in innovative
nutraceutical,
pharmaceutical and related
therapeutic technology
products, primarily for use
in and by humans. It focuses
on oral immunotherapy using
dairy-derived polyclonal
antibody products for
humans. It was founded in
1994.
Investment company</t>
  </si>
  <si>
    <t xml:space="preserve">IMMURON LTD/UNDISCLOSED PARTNER-STRATEGIC ALLIANCE</t>
  </si>
  <si>
    <t xml:space="preserve">Immuron Ltd and Undisclosed Joint Venture Partner formed a strategic
alliance. and The purpose of the strategic alliance was to understand how
the genetic basis underlying Autism Spectrum Disorder (ASD) relates to
changes to the gut, and how Immurons anti-LPS IMM-124E compound affects
changes in mouse models for autism.</t>
  </si>
  <si>
    <t xml:space="preserve">3F5347
904JVP</t>
  </si>
  <si>
    <t xml:space="preserve">China Zenix Auto International
Beijing Research Inst Of</t>
  </si>
  <si>
    <t xml:space="preserve">Mnfr,sell vehicle wheels
Research and Development in The Physical, Engineering and Lifesciences (Except Biotechnology)</t>
  </si>
  <si>
    <t xml:space="preserve">China Zenix Auto International
Ltd, located in Zhangzhou,
China, manufactures, designs
and sells steel wheels that
are widely used by most types
of commercial vehicles. It was
founded on 2008.
Beijing Research Institute Of
Mechanical &amp; Electrical
Technology, located in China,
provides research and
development services. It
engages in R&amp;D and technology
transfer in the fields of
forging &amp; stamping, heat
treatment and die &amp; mold. The
company was founded in
September 2000.</t>
  </si>
  <si>
    <t xml:space="preserve">CHINA ZENIX AUTO INTERNATIONAL/BEIJING RESEARCH INSTITUTE OF MECHANICAL AND
ELECTRICAL TECHNOLOGY-STRATEGIC ALLIANCE</t>
  </si>
  <si>
    <t xml:space="preserve">China Zenix Auto International Ltd and Beijing Research Institute of
Mechanical and Electrical Technology formed a strategic alliance to combine
research and development ("RandD") resources from both parties to
accelerate the development of next generation production technologies and
techniques including enhanced automation and smart equipment.</t>
  </si>
  <si>
    <t xml:space="preserve">17440H
7E6400</t>
  </si>
  <si>
    <t xml:space="preserve">GELITA AG
Wenzhou Jiabao Investment Co</t>
  </si>
  <si>
    <t xml:space="preserve">Manufacture gelatin
Investment company</t>
  </si>
  <si>
    <t xml:space="preserve">GELITA AG, located in
Eberbach, Germany,
manufactures gelatin.
Wenzhou Jiabao Investment Co
is a provider of financial
investment services. The
company is located in China.</t>
  </si>
  <si>
    <t xml:space="preserve">2899
6799</t>
  </si>
  <si>
    <t xml:space="preserve">GELITA AG/WENZHOU JIABAO INVESTMENT CO-JOINT VENTURE</t>
  </si>
  <si>
    <t xml:space="preserve">GELITA AG and Wenzhou Jiabao Investment Co formed a joint venture.</t>
  </si>
  <si>
    <t xml:space="preserve">36928C
8E0339</t>
  </si>
  <si>
    <t xml:space="preserve">Largo Resources Ltd
Vionx Energy Corp</t>
  </si>
  <si>
    <t xml:space="preserve">Mineral mining
Manufactures energy storage</t>
  </si>
  <si>
    <t xml:space="preserve">Largo Resources Ltd, located
in Toronto, Ontario, is a
strategic mineral company
focused on the production of
vanadium flake, high purity
vanadium flake and high
purity vanadium powder at
the Maracas Menchen Mine
located in Bahia State,
Brazil. The Company was
founded on April 18, 1988.
Vionx Energy Corp, located
in Woburn, Massachusetts,
manufactures energy storage.
The Company offers Vanadium
Redox technology which
provides battery solutions
for long run time grid-scale
storage.</t>
  </si>
  <si>
    <t xml:space="preserve">1094
3674</t>
  </si>
  <si>
    <t xml:space="preserve">LARGO RESOURCES LTD/VIONX ENERGY CORP-STRATEGIC ALLIANCE</t>
  </si>
  <si>
    <t xml:space="preserve">Largo Resources Ltd and Vionx Energy Corp formed a strategic alliance. and
The purpose of the strategic alliance was to provide supply by Largo of
vanadium electrolyte to Vionx to further the research and development of
advanced VRBs utilizing VNX Grid Energy Storage Systems.</t>
  </si>
  <si>
    <t xml:space="preserve">517103
7E6413</t>
  </si>
  <si>
    <t xml:space="preserve">Almirall SA
Patagonia Pharmaceuticals Llc</t>
  </si>
  <si>
    <t xml:space="preserve">Mnfr pharmaceutical products
Mnfr diagnostic pharmaceutical</t>
  </si>
  <si>
    <t xml:space="preserve">Almirall SA, located in
Barcelona, Spain is a
company principally engaged
in the pharmaceuticals
manufacture. The Company
focuses on development and
marketing of drugs applied
in various therapeutic
areas, such as nervous
system, gastrointestinal,
dermatological, respiratory
system, antiinfectives, as
well as antineoplastic and
immunomodulating agents. The
Company's activities are
divided into four business
segments: Own network, which
focuses on the
commercialization of
pharmaceuticals through own
brand names; Licenses, which
sells product rights to
third parties; Research and
development (R&amp;D), which is
responsible for the creation
of drug candidates, as well
as Dermatology, which
includes sale of
dermatological medicines in
the United States. The
Company operates through
numerous subsidiaries in
Europe, the Americas,
Africa, Asia and Australia.
The Company was founded in
1943.
Patagonia Pharmaceuticals Llc
is a manufacturer of in-vitro
diagnostic substances. The
company is located in New
Jersey.</t>
  </si>
  <si>
    <t xml:space="preserve">Grupo Corporativo Landon SL
Patagonia Pharmaceuticals Llc</t>
  </si>
  <si>
    <t xml:space="preserve">6531
2835</t>
  </si>
  <si>
    <t xml:space="preserve">ALMIRALL SA/PATAGONIA PHARMACEUTICALS LLC-STRATEGIC ALLIANCE</t>
  </si>
  <si>
    <t xml:space="preserve">Almirall SA and Patagonia Pharmaceuticals Llc formed a strategic alliance
to development and commercialization of PAT-001.</t>
  </si>
  <si>
    <t xml:space="preserve">Licensing Services
Health &amp; Medical Services
Research &amp; Development Services</t>
  </si>
  <si>
    <t xml:space="preserve">E0459K
7E6628</t>
  </si>
  <si>
    <t xml:space="preserve">CISCO
Barcelona Supercomputing Ctr</t>
  </si>
  <si>
    <t xml:space="preserve">Mnfr miscellaneous products
Research and Development in The Social Sciences and Humanities</t>
  </si>
  <si>
    <t xml:space="preserve">Manufacture miscellaneous
products
Barcelona Supercomputing
Center is a provider of social
sciences research and
development services. The
company is located in Spain.</t>
  </si>
  <si>
    <t xml:space="preserve">3999
8731</t>
  </si>
  <si>
    <t xml:space="preserve">UN
FF</t>
  </si>
  <si>
    <t xml:space="preserve">CISCO/BARCELONA SUPERCOMPUTING CENTER-STRATEGIC ALLIANCE</t>
  </si>
  <si>
    <t xml:space="preserve">CISCO and Barcelona Supercomputing Center formed a strategic alliance to
strengthen their existing collaboration by sharing knowledge, synergies and
technical and human resources.</t>
  </si>
  <si>
    <t xml:space="preserve">12555Z
7E7455</t>
  </si>
  <si>
    <t xml:space="preserve">Editas Medicine Inc
Fondazione Telethon
Ospedale San Raffaele</t>
  </si>
  <si>
    <t xml:space="preserve">Research and Development in Biotechnology
Provide home health care svcs
Own,op hospital</t>
  </si>
  <si>
    <t xml:space="preserve">Editas Medicine Inc, located
in Cambridge, Massachusetts,
is a provider of
biotechnology research and
development services. The
Company was founded in
September 3, 2013.
Fondazione Telethon is a
provider of home health care
services. The Company was
founded in 1990 and is
located in Rome, Italy.
Ospedale San Raffaele, located
in Italy, owns and operates a
hospital.</t>
  </si>
  <si>
    <t xml:space="preserve">8731
8082
8062</t>
  </si>
  <si>
    <t xml:space="preserve">United States
Italy
Italy</t>
  </si>
  <si>
    <t xml:space="preserve">Editas Medicine Inc
Fondazione Telethon
Gruppo Rotelli</t>
  </si>
  <si>
    <t xml:space="preserve">8731
8082
8099</t>
  </si>
  <si>
    <t xml:space="preserve">EDITAS MEDICINE INC/FONDAZIONE TELETHON/OSPEDALE SAN RAFFAELE-STRATEGIC
ALLIANCE</t>
  </si>
  <si>
    <t xml:space="preserve">Editas Medicine Inc, Fondazione Telethon and Ospedale San Raffaele formed a
strategic alliance. and The purpose of the strategic alliance was to create
gene-editing approaches for the treatment of rare diseases, including
unspecified indications in blood and bone marrow</t>
  </si>
  <si>
    <t xml:space="preserve">28106W
3E0117
84273P</t>
  </si>
  <si>
    <t xml:space="preserve">Verily Life Sciences LLC
GlaxoSmithKline Holdings Ltd</t>
  </si>
  <si>
    <t xml:space="preserve">Manufactures health data collection tools,platforms
Pvd financial svcs,invest hldg</t>
  </si>
  <si>
    <t xml:space="preserve">Verily Life Sciences LLC is
a manufactures tools and
platforms for health data
collection and
decision-making. It also
provides biotechnological
research services through
its partnership with
companies that aim to
develop medical devices for
disease prediction and
prevention.The Company was
founded in December 2015 and
is located in South San
Francisco, California.
GlaxoSmithKline Holdings Ltd,
located in London,UK, is a
provider of financial services
and an investment holding
company.</t>
  </si>
  <si>
    <t xml:space="preserve">3845
6289</t>
  </si>
  <si>
    <t xml:space="preserve">Alphabet Inc
GlaxoSmithKline PLC</t>
  </si>
  <si>
    <t xml:space="preserve">7375
2834</t>
  </si>
  <si>
    <t xml:space="preserve">VERILY LIFE SCIENCES LLC/GLAXOSMITHKLINE HOLDINGS LTD-JOINT VENTURE</t>
  </si>
  <si>
    <t xml:space="preserve">Galvani Bioelectronics Ltd is
a manufacturer of in-vitro
diagnostic substances. The
company is located in the
United Kingdom.</t>
  </si>
  <si>
    <t xml:space="preserve">Verily Life Sciences LLC and GlaxoSmithKline Holdings Ltd formed a 45:55
joint venture named Galvani Bioelectronics Ltd to creating the first
generation of bioelectronic medicines for chronic diseases.</t>
  </si>
  <si>
    <t xml:space="preserve">45.00
55.00</t>
  </si>
  <si>
    <t xml:space="preserve">3F5172</t>
  </si>
  <si>
    <t xml:space="preserve">6E0406
0A5332</t>
  </si>
  <si>
    <t xml:space="preserve">Eskom Holdings SOC Ltd
CSIR</t>
  </si>
  <si>
    <t xml:space="preserve">Eskom Holdings SOC Ltd,
located in Sandton, South
Africa, is an electric utility
company. The company generates
and supplies energy through
the utilization of coal,
nuclear, hydro, wind, solar,
wave and biomass powers, and
pumped storage.
Provide research and
development services</t>
  </si>
  <si>
    <t xml:space="preserve">4911
8733</t>
  </si>
  <si>
    <t xml:space="preserve">South Africa
South Africa</t>
  </si>
  <si>
    <t xml:space="preserve">ESKOM HOLDINGS SOC LTD(USE&gt;10/31/2002)/COUNCIL FOR SCIENTIFIC &amp; -STRATEGIC
ALLIANCE</t>
  </si>
  <si>
    <t xml:space="preserve">Eskom Holdings SOC Ltd(USE&amp;gt;10/31/2002) and Council For Scientific
Industrial Research{CSIR} formed a strategic alliance to perform scientific
and operational research and provide technical decision support to Eskoms
strategic and operational needs.</t>
  </si>
  <si>
    <t xml:space="preserve">29647N
12628K</t>
  </si>
  <si>
    <t xml:space="preserve">Amvac Netherlands Bv
Shanghai Focus Biological Tech</t>
  </si>
  <si>
    <t xml:space="preserve">Farm Machinery and Equipment Manufacturing
Biological Product (Except Diagnostic) Manufacturing</t>
  </si>
  <si>
    <t xml:space="preserve">Amvac Netherlands BV is a
manufacturer of farm
machinery and equipment. The
Company is located in
Houten, the Netherlands.
Shanghai Focus Biological
Technology Co Ltd is a
manufacturer of biological
products. The Company was
founded in November 2003 and
is located in Shanghai, China.</t>
  </si>
  <si>
    <t xml:space="preserve">3523
2836</t>
  </si>
  <si>
    <t xml:space="preserve">American Vanguard Corp
Jiangsu Huifeng Agrochemical</t>
  </si>
  <si>
    <t xml:space="preserve">3523
2899</t>
  </si>
  <si>
    <t xml:space="preserve">AMVAC NETHERLANDS BV/SHANGHAI FOCUS BIOLOGICAL TECHNOLOG CO LTD-JOINT
VENTURE</t>
  </si>
  <si>
    <t xml:space="preserve">AMVAC Netherlands BV and Shanghai Focus Biological Technolog Co Ltd planned
to form a 50:50 joint venture named Huifeng AMVAC Innovation Co Ltd. The JV
company, Huifeng AMVAC Innovation Co., Limited will focus on technology
transfer between the co-owners, including the development of new,
proprietary agrochemical formulations and precision application systems for
crop protection.</t>
  </si>
  <si>
    <t xml:space="preserve">7C2231
7E9245</t>
  </si>
  <si>
    <t xml:space="preserve">Regeneron Pharmaceuticals Inc
Adicet Bio Inc</t>
  </si>
  <si>
    <t xml:space="preserve">Mnfr,dvlp biopharm
Research and Development in Biotechnology</t>
  </si>
  <si>
    <t xml:space="preserve">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
Adicet Bio Inc, located in
Menlo Park, California, is a
pre-clinical stage
biotechnology company. It is
engage in the design and
development of cutting-edge
allogeneic immunotherapies
for cancer and other
diseases. The Company is
also focused on identifying
and validating cancer
specific targets derived
from the intracellular
proteome and then generating
TCRLs directed to these
cancer-specific peptide
targets presented by MHC
Class I complexes. These
TCRLs are being used to arm
T cells or as T cell
engagers in solid tumors.
The Company was founded in
2015.</t>
  </si>
  <si>
    <t xml:space="preserve">REGENERON PHARMACEUTICALS INC/ADICET BIO INC-STRATEGIC ALLIANCE</t>
  </si>
  <si>
    <t xml:space="preserve">Bermuda</t>
  </si>
  <si>
    <t xml:space="preserve">Regeneron Pharmaceuticals Inc and Adicet Bio Inc formed a strategic
alliance. and The purpose of the strategic alliance was to develop
engineered immune cell therapeutics to treat cancer patients</t>
  </si>
  <si>
    <t xml:space="preserve">75886F
3E2006</t>
  </si>
  <si>
    <t xml:space="preserve">Dalian Inst Of Chem
Chinese Academy of Sciences
Jiangsu Huachang Chem Co Ltd</t>
  </si>
  <si>
    <t xml:space="preserve">Colleges, Universities, and Professional Schools
Pvd scientific research svcs
Mnfr,wholesale chemicals</t>
  </si>
  <si>
    <t xml:space="preserve">Dalian Institute Of Chemical
Physics is a college
operator. The Company is
located in Dalian, China.
Chinese Academy of Sciences
is a provider of research
and development services.
The Company was founded in
November 1949 and is located
in Beijing, China.
Jiangsu Huachang Chemical Co
Ltd, headquartered in
Zhangjiagang, China, is a
manufacturer and wholesaler of
basic chemicals, fine
chemicals and biochemicals.
The company's products include
liquid ammonia anhydrous,
ammonium chloride, urea,
methanol (for industrial use),
and synergy fertilizer.</t>
  </si>
  <si>
    <t xml:space="preserve">8221
8731
2899</t>
  </si>
  <si>
    <t xml:space="preserve">Peoples Republic of China
Peoples Republic of China
Jiangsu Huachang Chem Co Ltd</t>
  </si>
  <si>
    <t xml:space="preserve">999A
999A
2899</t>
  </si>
  <si>
    <t xml:space="preserve">DALIAN INSTITUTE OF CHEMICAL /CHINESE ACADEMY OF SCIENCES/JIANGSU HUACHANG
CHEMICAL CO-STRATEGIC ALLIANCE</t>
  </si>
  <si>
    <t xml:space="preserve">Dalian Institute of Chemical Physics{DICP}, Chinese Academy of Sciences and
Jiangsu Huachang Chemical Co Ltd formed a strategic alliance to cooperate
on research and development of new product new technology, industrial
transfer and personnel training.</t>
  </si>
  <si>
    <t xml:space="preserve">23528H
16890H
Y4440A</t>
  </si>
  <si>
    <t xml:space="preserve">Juno Therapeutics Inc
Memorial Sloan-Kettering Ctr
Eureka Therapeutics Inc</t>
  </si>
  <si>
    <t xml:space="preserve">Manufactures biopharmaceutical products
Own,op hosp
Provides biotechnology research and development services</t>
  </si>
  <si>
    <t xml:space="preserve">Juno Therapeutics Inc,
headquartered in Seattle,
Washington, is a
biopharmaceutical company
focused on developing
innovative cellular
immunotherapies for the
treatment of cancer. It
develops a cell-based cancer
immunotherapies based on its
chimeric antigen receptor
(CAR) and T cell receptor
(TCR) technologies to
genetically engineer T cells
to recognize and kill cancer
cells. The Company was
founded on August 5, 2013.
Own and operate hospitals
Eureka Therapeutics Inc,
located in Emeryville,
California, provides
biotechnology research and
development services. It is
a clinical-stage
biotechnology company that
focuses on improving the
safety profile of T cell
therapies and developing T
cell therapies for
hematological malignancies
and solid tumors. The
Company was founded in 2006.</t>
  </si>
  <si>
    <t xml:space="preserve">2836
8069
8731</t>
  </si>
  <si>
    <t xml:space="preserve">WA
NY
CA</t>
  </si>
  <si>
    <t xml:space="preserve">JUNO THERAPEUTICS INC/MEMORIAL SLOAN-KETTERING/EUREKA THERAPEUTICS,
INC-STRATEGIC ALLIANCE</t>
  </si>
  <si>
    <t xml:space="preserve">Juno Therapeutics Inc, Memorial Sloan-Kettering Cancer Center and Eureka
Therapeutics, Inc formed a strategic alliance to Developing CAR T Cell
Immunotherapy Against Multiple Novel Targets.</t>
  </si>
  <si>
    <t xml:space="preserve">48205A
58601X
7E9366</t>
  </si>
  <si>
    <t xml:space="preserve">Quanterix Corp
Banyan Biomarkers Inc</t>
  </si>
  <si>
    <t xml:space="preserve">Pvd medical research svcs
Biological Product (Except Diagnostic) Manufacturing</t>
  </si>
  <si>
    <t xml:space="preserve">Quanterix Corporation is a
United States-based company,
which is a developer of
tools in high definition
diagnostics. The Company
offers single molecule array
(Simoa) platform, whcich
uses single molecule
measurements to access
proteins. Simoa focuses on
research and clinical
testing applications. The
Company focuses on research
and diagnostics for brain
injuries, heart disease,
cancer and other diseases
with its technology. The
Company offers Simoa HD-1
analyzer, which creates high
density arrays of
approximately 40 femtoliter
microwells. Its Simoa HD-1
analyzer is an automated
immunoassay platform with
multiplexing and custom
assay capability. The
Company offers Simoa
consumables, which include
Simoa Discs,Cuvettes, Simoa
Sealing Oil, Simoa Buffers
and Disposable Tips. It
offers a range of complete
assay kits, including
multiplex panels, covering a
range of therapeutic
areas.Its services include
Simoa Accelerator Lab and
custom assay development
services. The Company was
founded in 2007 and is
located in Cambridge,
Massachusetts.
Banyan Biomarkers Inc, located
in San Diego, California,
manufactures biological
products. It is a biomarkers
company that is developing
blood tests capable of
diagnosing traumatic brain
injuries. The Company was
founded in 2002.</t>
  </si>
  <si>
    <t xml:space="preserve">QUANTERIX CORP/BANYAN BIOMARKERS INC-STRATEGIC ALLIANCE</t>
  </si>
  <si>
    <t xml:space="preserve">Quanterix Corp and Banyan Biomarkers Inc formed a strategic alliance. The
purpose of the joint venture was to provide research use with Banyan
Biomarkers and to help further neurological research for improved TBI
diagnosis and treatment.</t>
  </si>
  <si>
    <t xml:space="preserve">74766Q
7E8335</t>
  </si>
  <si>
    <t xml:space="preserve">Qualcomm Inc
Vivo Commun Tech Co Ltd</t>
  </si>
  <si>
    <t xml:space="preserve">Semiconductor and Related Device Manufacturing
Radio and Television Broadcasting and Wireless Communications Equipment Manufacturing</t>
  </si>
  <si>
    <t xml:space="preserve">Qualcomm Inc, located in San
Diego, California,
manufactures and wholesales
semiconductors and related
devices. Its products
consist of integrated
circuits (chips or chipsets)
and system software used in
mobile devices and in
wireless networks. It also
develops and commercializes
a range of other
technologies used in
handsets and tablets that
contribute to end user
demand. Its operations are
carried out in the United
States, South Korea, China
and Japan. Its business
includes Qualcomm Mobile &amp;
Computing, Qualcomm
Government Technologies,
Qualcomm Internet Services
and Qualcomm Ventures. Its
subsidiaries include Atheros
Inc, Qualcomm Innovation
Center, Qualcomm Life Inc
and others. It is also a
holding company. The Company
was founded in July 1985.
Vivo Communication
Technology Co Ltd is a
manufacturer of wireless
communications equipment.
The Company is located in
Shenzhen, China.</t>
  </si>
  <si>
    <t xml:space="preserve">Qualcomm Inc
BBK Commun Tech Co Ltd</t>
  </si>
  <si>
    <t xml:space="preserve">QUALCOMM INC/VIVO COMMUNICATION TECHNOLOGY CO LTD-STRATEGIC ALLIANCE</t>
  </si>
  <si>
    <t xml:space="preserve">Qualcomm Inc and vivo Communication Technology Co Ltd planned to form a
strategic alliance to develop, manufacture and sell 3G WCDMA and CDMA2000
and 4G LTE (including 3-mode GSM, TD-SCDMA and LTE-TDD) complete devices
for use in China.</t>
  </si>
  <si>
    <t xml:space="preserve">747525
7E8608</t>
  </si>
  <si>
    <t xml:space="preserve">Landocean Energy Svcs Co Ltd
Undisclosed JV Partner</t>
  </si>
  <si>
    <t xml:space="preserve">Develop software
Investment company</t>
  </si>
  <si>
    <t xml:space="preserve">LandOcean Energy Services Co
Ltd is a software publisher
and a developer of process
control instruments and a
provider of engineering
services. The company was
founded in March 2005 and is
located in Beijing, China.
Investment company</t>
  </si>
  <si>
    <t xml:space="preserve">LANDOCEAN ENERGY SERVICES CO/UNDISCLOSED PARTNER-JOINT VENTURE</t>
  </si>
  <si>
    <t xml:space="preserve">Landocean Energy Services Co Ltd and Undisclosed Joint Venture Partner
planned to form a 51:49 joint venture was to be engaged in technology
development, technology promotion, technology transfer, technology
consultation, technology development, oil field equipment production and
trade, etc. The JV was to be capitalized at USD 1.5 Million.</t>
  </si>
  <si>
    <t xml:space="preserve">The JV was to be capitalized at USD 1.5 Million.</t>
  </si>
  <si>
    <t xml:space="preserve">51481Z
904JVP</t>
  </si>
  <si>
    <t xml:space="preserve">Highlight Tech Corp
Alibaba Cloud Computing Ltd</t>
  </si>
  <si>
    <t xml:space="preserve">Mnfr vacuum components
Provide cloud computing services</t>
  </si>
  <si>
    <t xml:space="preserve">Highlight Tech Corp is a
manufacturer and wholesaler of
household vacuum cleaners. The
Company was founded in May
1997 and is located in Tainan,
Taiwan.
Alibaba Cloud Computing Ltd
is a provider of data
processing and hosting
services. The Company was
founded in September 2009
and is located in Hangzhou,
China.</t>
  </si>
  <si>
    <t xml:space="preserve">3635
7374</t>
  </si>
  <si>
    <t xml:space="preserve">Highlight Tech Corp
Alibaba Group Holding Ltd</t>
  </si>
  <si>
    <t xml:space="preserve">3635
5961</t>
  </si>
  <si>
    <t xml:space="preserve">HIGHLIGHT TECH CORP/ALIBABA CLOUD COMPUTING LTD-STRATEGIC ALLIANCE</t>
  </si>
  <si>
    <t xml:space="preserve">Highlight Tech Corp and Alibaba Cloud Computing Ltd planned to form a
strategic alliance to explore virtual reality (VR) solutions for customers
worldwide, develope solutions to tackle bandwidth allocation in China.</t>
  </si>
  <si>
    <t xml:space="preserve">43110X
02372T</t>
  </si>
  <si>
    <t xml:space="preserve">ION Engineering
Technology Centre Mongstad</t>
  </si>
  <si>
    <t xml:space="preserve">Provide engineering services
Provide engineering services</t>
  </si>
  <si>
    <t xml:space="preserve">ION Engineering is a provider
of engineering services. The
company is located in
Colorado.
Technology Centre Mongstad
is a provider of engineering
services. The company is
located in Norway.</t>
  </si>
  <si>
    <t xml:space="preserve">8711
8711</t>
  </si>
  <si>
    <t xml:space="preserve">ION ENGINEERING/TECHNOLOGY CENTRE MONGSTAD-STRATEGIC ALLIANCE</t>
  </si>
  <si>
    <t xml:space="preserve">ION Engineering and Technology Centre Mongstad planned to form a strategic
alliance. and The purpose of the strategic alliance was to enter into an
test agreement with Technology Centre Mongstad (TCM), the world's largest
and most advanced carbon capture test facility located at Statoil's
Mongstad refinery in westernNorway.</t>
  </si>
  <si>
    <t xml:space="preserve">7E9204
7E9205</t>
  </si>
  <si>
    <t xml:space="preserve">EnWave Corp
Undisclosed JV Partner</t>
  </si>
  <si>
    <t xml:space="preserve">Research and Development in The Physical, Engineering and Lifesciences (Except Biotechnology)
Investment company</t>
  </si>
  <si>
    <t xml:space="preserve">EnWave Corp is a provider of
research and development
services. The Company was
founded in July 1999 and is
located in Delta, Canada.
Investment company</t>
  </si>
  <si>
    <t xml:space="preserve">ENWAVE CORP/UNDISCLOSED PARTNER-STRATEGIC ALLIANCE</t>
  </si>
  <si>
    <t xml:space="preserve">EnWave Corp and Undisclosed Joint Venture Partner formed a strategic
alliance. The purpose of the strategic alliance was to explore the
potential for dried meat and dairy snack products processed by the
Company's patented Radiant Energy Vacuum dehydration technology.</t>
  </si>
  <si>
    <t xml:space="preserve">29410K
904JVP</t>
  </si>
  <si>
    <t xml:space="preserve">China Beidahuang Ind Grp Hldg
Fujian Fang Run Constr Grp Co
Shenzhen Tronsin Illuminating
China Sthrn Power Grid Co Ltd</t>
  </si>
  <si>
    <t xml:space="preserve">Wine and Distilled Alcoholic Beverage Merchant Wholesalers
New Single-Family Housing Construction (Except Operative Builders)
Other Building Material Dealers
Electric Power Distribution</t>
  </si>
  <si>
    <t xml:space="preserve">China Beidahuang Industry
Group Holdings Ltd is an
alcoholic beverages
wholesaler. The Company was
founded in November 2000 and
is located in Hong Kong.
Fujian Fang Run Construction
Group Co Ltd is a housing
construction company. The
company was founded in June
2004 and is located in
China.
Shenzhen Tronsin Illuminating
Technique Ltd is a wholesaler
of lighting equipments and
provider of lighting
engineering services. The
company was founded in March
2000 and is located in
Shenzhen, China.
China Southern Power Grid Co
Ltd is an electric power
distributor. The Company was
founded in December 2002 and
is located in Guangzhou,
China.</t>
  </si>
  <si>
    <t xml:space="preserve">5182
1521
5063
4911</t>
  </si>
  <si>
    <t xml:space="preserve">Hong Kong
China
China
China</t>
  </si>
  <si>
    <t xml:space="preserve">China Beidahuang Ind Grp Hldg
Shenzhen Yaerwang Invest &amp;
China Beidahuang Ind Grp Hldg
China Sthrn Power Grid Co Ltd</t>
  </si>
  <si>
    <t xml:space="preserve">Hong Kong
China
Hong Kong
China</t>
  </si>
  <si>
    <t xml:space="preserve">5182
1521
5182
4911</t>
  </si>
  <si>
    <t xml:space="preserve">CHINA BEIDAHUANG IND GRP/FUJIAN FANG RUN CONSTR GRP/SHENZHEN TRONSIN/CHINA
SOUTHERN POWER GRID-JOINT VENTURE</t>
  </si>
  <si>
    <t xml:space="preserve">China Beidahuang Industry Group Holding Ltd, Fujian Fang Run Construction
Group Co Ltd, Shenzhen Tronsin Illuminating Technique Ltd and China
Southern Power Grid Co Ltd planned to form a joint venture named Guizhou
North-South Joint Energy Investment Company Ltd. and The purpose of the
joint venture was to provide scientific studies, development and transfers
of technologies; research, productions, installation, maintenance and sales
of equipments; construction and technology cooperation of national and
overseas projects; and imports. and exports of goods and knowhows.</t>
  </si>
  <si>
    <t xml:space="preserve">Research &amp; Development Services
Construction Services
Supply Services</t>
  </si>
  <si>
    <t xml:space="preserve">7C8960
4E6771
4E6748
84217X</t>
  </si>
  <si>
    <t xml:space="preserve">Gilead Sciences Inc
Genmab A/S</t>
  </si>
  <si>
    <t xml:space="preserve">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
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t>
  </si>
  <si>
    <t xml:space="preserve">GILEAD SCIENCES INC/GENMAB A/S-STRATEGIC ALLIANCE</t>
  </si>
  <si>
    <t xml:space="preserve">Gilead Sciences Inc and Genmab A/S formed a strategic alliance to create a
bispecific antibody with the DuoBody technology .</t>
  </si>
  <si>
    <t xml:space="preserve">375558
K3967W</t>
  </si>
  <si>
    <t xml:space="preserve">CombiMatrix Corp
Universal Diagnostic Labs Inc</t>
  </si>
  <si>
    <t xml:space="preserve">Own,op diagnostic laboratory
Diagnostic research services</t>
  </si>
  <si>
    <t xml:space="preserve">CombiMatrix Corp, located in
Irvine, California, through
its wholly owned subsidiary,
CombiMatrix Molecular
Diagnostics Inc, is a
molecular diagnostics
laboratory which offers
DNA-based testing services
in the areas of POC
(products of conception),
prenatal, pediatric and
oncology. It performs
genetic testing utilizing
Microarray, FISH, PCR and
G-Band chromosome analysis.
The company offers prenatal
and pediatric testing
services for the detection
of abnormalities of genes at
the DNA level beyond what
can be identified through
traditional technologies.
Provide diagnostic research
services</t>
  </si>
  <si>
    <t xml:space="preserve">COMBIMATRIX CORP/UNIVERSAL DIAGNOSTIC-STRATEGIC ALLIANCE</t>
  </si>
  <si>
    <t xml:space="preserve">CombiMatrix Corp and Universal Diagnostic Laboratories Inc planned to form
a strategic alliance. and The purpose of the strategic alliance was to
market and distribute CombiMatrixs chromosomal microarray miscarriage
analysis test for the evaluation of multiple pregnancy loss in both
Northern and Southern California.</t>
  </si>
  <si>
    <t xml:space="preserve">20009T
91346M</t>
  </si>
  <si>
    <t xml:space="preserve">Innovative Targeting
Zymeworks Inc</t>
  </si>
  <si>
    <t xml:space="preserve">Innovative Targeting Solutions
Inc is a manufacturer of
biological products. The
company is located in Canada.
Zymeworks Inc is a provider
of biotechnology research
and development services.
The company was founded in
2003 and is located in
Vancouver, Canada.</t>
  </si>
  <si>
    <t xml:space="preserve">INNOVATIVE TARGETING SOLUTIONS INC/ZYMEWORKS INC-STRATEGIC ALLIANCE</t>
  </si>
  <si>
    <t xml:space="preserve">Innovative Targeting Solutions Inc and Zymeworks Inc formed a strategic
alliance. The purpose of the strategic alliance was to provide license and
integrate ITS' proprietary HuTARG(TM) platform to help identify and develop
therapeutics directed towards challenging disease targets</t>
  </si>
  <si>
    <t xml:space="preserve">7E9690
98985W</t>
  </si>
  <si>
    <t xml:space="preserve">Silver City Minerals Ltd
Thomson Resources Ltd</t>
  </si>
  <si>
    <t xml:space="preserve">Silver Ore Mining
Mineral mining company</t>
  </si>
  <si>
    <t xml:space="preserve">Silver City Minerals Ltd,
located in Sydney, Australia
is a base metal and lithium
explorer. The Company''s
principal activities include
exploration for the
discovery and delineation of
high grade base and precious
metal deposits and the
development of those
resources. The Company
focuses on discovery and
development of
zinc-lead-silver deposits
within the Broken Hill
district. It has a portfolio
of highly prospective ground
with drill-ready targets
focused on high grade
zinc-lead-silver and a
pipeline of prospects moving
toward the drill assessment
stage. The Company controls
fourteen mineral exploration
tenements covering an area
of 1,170 square kilometers
in the district immediately
surrounding the supergiant
sediment-hosted Broken Hill
deposit. The Company focused
on its tenements close to
the Broken Hill mine
corridor, with main drilling
activities at Balaclava,
Stephens Trig and Razorback
West. Its targets include
Stephens Trig Corridor,
Razorback West Corridor,
Native Dog and Balaclava.
The Company was founded in
May 2011.
Thomson Resources Ltd is a
mineral mining company,
headquartered in Sydney, New
South Wales. It is engaged
in the discovery and
development of high quality
mineral deposits within the
Thomson Fold Belt of
northern NSW. The Company
was founded in 2009.</t>
  </si>
  <si>
    <t xml:space="preserve">1081
1021</t>
  </si>
  <si>
    <t xml:space="preserve">SILVER CITY MINERALS LTD/THOMSON RESOURCES LTD-JOINT VENTURE</t>
  </si>
  <si>
    <t xml:space="preserve">Silver City Minerals Ltd and Thomson Resources Ltd formed a joint venture.
and The purpose of the joint venture was to enter into a partnership with
an experienced explorer to progress this discovery effort and This
agreement will allow Thomson Resources to better advance its Bygoo tin
discovery near Ardlethan, NSW.</t>
  </si>
  <si>
    <t xml:space="preserve">81411E
90822X</t>
  </si>
  <si>
    <t xml:space="preserve">Water Technologies
NOCA Clean Energy</t>
  </si>
  <si>
    <t xml:space="preserve">Mnfr service industry equip
Electric utility company</t>
  </si>
  <si>
    <t xml:space="preserve">Manufacture service industry
equipment
NOCA Clean Energy is an
electric power distributor.
The company is located in
Toronto, Canada.</t>
  </si>
  <si>
    <t xml:space="preserve">3589
4911</t>
  </si>
  <si>
    <t xml:space="preserve">3M Co
Simpro Holding AS</t>
  </si>
  <si>
    <t xml:space="preserve">3841
3672</t>
  </si>
  <si>
    <t xml:space="preserve">WATER TECHNOLOGIES CORP./NOCA CLEAN ENERGY-STRATEGIC ALLIANCE</t>
  </si>
  <si>
    <t xml:space="preserve">Water Technologies Corp. and NOCA Clean Energy formed a strategic alliance.
and The purpose of the strategic alliance was to make recommendations to
reduce the costs of energy and water. They also work on development
projects around the Globe that have a need for decentralized energy
systems.</t>
  </si>
  <si>
    <t xml:space="preserve">94113M
8E1510</t>
  </si>
  <si>
    <t xml:space="preserve">InvitroCue BioMed Svc Suzhou
Qiagen(Suzhou)Translational</t>
  </si>
  <si>
    <t xml:space="preserve">Provide research,dvlp svcs
Biotechnology company</t>
  </si>
  <si>
    <t xml:space="preserve">InvitroCue Biomedical Service
Suzhou is a provider of
research and development
services. The company is
located in China.
Qiagen(Suzhou)Translational
Medicine Center, based in
Suzhou, China, is a
biotechnology company. The
company focuses on
translational medicines and
discovery and validation of
biomarkers.</t>
  </si>
  <si>
    <t xml:space="preserve">Invitrocue Ltd
Qiagen NV</t>
  </si>
  <si>
    <t xml:space="preserve">Australia
Netherlands</t>
  </si>
  <si>
    <t xml:space="preserve">INVITROCUE BIOMEDICAL SERVICE SUZHOU/QIAGEN(SUZHOU)TRANSLATIONAL-STRATEGIC
ALLIANCE</t>
  </si>
  <si>
    <t xml:space="preserve">InvitroCue Biomedical Service Suzhou and Qiagen(Suzhou)Translational
Medicine Center formed a strategic alliance to discovery of biomarkers and
translational medicine research for the Chinese biopharmaceutical market.</t>
  </si>
  <si>
    <t xml:space="preserve">8E2007
4A1083</t>
  </si>
  <si>
    <t xml:space="preserve">Mega Lifesciences PCL
Malee Grp Pcl</t>
  </si>
  <si>
    <t xml:space="preserve">Pharmaceutical Preparation Manufacturing
Frozen Fruit, Juice, and Vegetable Manufacturing</t>
  </si>
  <si>
    <t xml:space="preserve">Mega Lifesciences PCL is
engaged in manufacturing,
marketing, selling and
distributing of nutritional
products and prescription
pharmaceutical products. The
Company's products include
complimentary medicines,
over-the-counter (OTC)
medicines and prescription
medicines to both domestic and
international markets. It
distributes products under
Maxxcare brand covering
prescription pharmaceutical
products, OTC drugs and other
consumer products. The Company
also offers nutritional
products, prescription
pharmaceutical products and
OTC drugs under Mega We Care
brand. In addition, the
Company operates as an
original equipment
manufacturer (OEM) for various
products including health
supplements, pharmaceutical,
herbal products, vitamins and
minerals, among others. The
Company is located in Bangkok,
Thailand.
Malee Group PCL, located in
Thailand, produces and sells
canned fruits and
vegetables, canned sweet
corn, pineapple juice
concentrate, fruit juice, as
well as ultra-heat-treated
milk and beverages under the
brand name Malee.</t>
  </si>
  <si>
    <t xml:space="preserve">2834
2037</t>
  </si>
  <si>
    <t xml:space="preserve">Unistretch Ltd
Malee Grp Pcl</t>
  </si>
  <si>
    <t xml:space="preserve">6799
2037</t>
  </si>
  <si>
    <t xml:space="preserve">MEGA LIFESCIENCES PCL/MALEE GROUP PCL-JOINT VENTURE</t>
  </si>
  <si>
    <t xml:space="preserve">Mega Malee Co Ltd is a
manufacturer of flavoring
syrup and concentrates. The
Company is located in
Thailand.</t>
  </si>
  <si>
    <t xml:space="preserve">Mega Lifesciences PCL and Malee Group PCL terminated their joint venture
prior to the expiration date named Mega Malee Co Ltd which was formed to
develop a new business on health-related ready to drink natural beverages
and other products for both Thailand and international markets.</t>
  </si>
  <si>
    <t xml:space="preserve">2K6497</t>
  </si>
  <si>
    <t xml:space="preserve">Y59253
2H2244</t>
  </si>
  <si>
    <t xml:space="preserve">Veritone Inc
Acacia Research Corp</t>
  </si>
  <si>
    <t xml:space="preserve">Custom Computer Programming Services
Provides licensing services</t>
  </si>
  <si>
    <t xml:space="preserve">Veritone Inc, located in
Newport Beach, California,
provides technology
solutions to advertisers and
broadcasters. The company's
software solutions bring
real time audio and video
processing and audience
analytics. The company was
founded in 2014
Acacia Research Corp, located
in Newport Beach, California,
provides patent licensing
services. Its subsidiaries
invest in, license and enforce
patented technologies. The
Company was founded in 1993.</t>
  </si>
  <si>
    <t xml:space="preserve">7371
6794</t>
  </si>
  <si>
    <t xml:space="preserve">VERITONE INC/ACACIA RESEARCH CORP-STRATEGIC ALLIANCE</t>
  </si>
  <si>
    <t xml:space="preserve">Veritone Inc and Acacia Research Corp formed a strategic alliance to
Veritone expand its global footprint as the leading AI analytics, search
and predictive solution for media firms, corporate enterprise and Drive
Next Generation AI Search and Analytics.The strategic alliance was Funding
to be USD 50 million.</t>
  </si>
  <si>
    <t xml:space="preserve">Research &amp; Development Services
Funding Services</t>
  </si>
  <si>
    <t xml:space="preserve">The strategic alliance was Funding to be USD 50 million.</t>
  </si>
  <si>
    <t xml:space="preserve">3C1732
003881</t>
  </si>
  <si>
    <t xml:space="preserve">Clean Wave Tech Hong Kong Ltd
Jiaxing Sinoone Invest Co Ltd</t>
  </si>
  <si>
    <t xml:space="preserve">Electric utility company
Investment company</t>
  </si>
  <si>
    <t xml:space="preserve">Clean Wave Technologies Hong
Kong Ltd is an electric power
distributor. The company is
located in China.
Jiaxing Sinoone Investment Co
Ltd is a provider of financial
investment services. The
company is located in China.</t>
  </si>
  <si>
    <t xml:space="preserve">Clean Wave Technologies Ltd
Minth Group Ltd</t>
  </si>
  <si>
    <t xml:space="preserve">Cayman Islands
China</t>
  </si>
  <si>
    <t xml:space="preserve">8731
3711</t>
  </si>
  <si>
    <t xml:space="preserve">CLEAN WAVE TECHNOLOGIES HONG KONG LTD/JIAXING SINOONE INVESTMENT CO
LTD-JOINT VENTURE</t>
  </si>
  <si>
    <t xml:space="preserve">Clean Wave Technologies Hong Kong Ltd and Jiaxing Sinoone Investment Co Ltd
planned to form a 49:51 joint venture named Jiaxing Clean Wave E-Drive
Systems Co. Ltd to form a 49:51 joint venture to engage in the research and
development, production, sale and after sale services of electric drive
systems. The JV was to be Capitalized at USD 29.411 Million.</t>
  </si>
  <si>
    <t xml:space="preserve">The JV was to be Capitalized at USD 29.411 Million</t>
  </si>
  <si>
    <t xml:space="preserve">8E2258
8E2259</t>
  </si>
  <si>
    <t xml:space="preserve">Hong Kong Modern Agriculture
Shenzhen Huatai Nong Ind and</t>
  </si>
  <si>
    <t xml:space="preserve">Crop Harvesting, Primarily By Machine
Investment company</t>
  </si>
  <si>
    <t xml:space="preserve">Hong Kong Modern Agriculture
Development Co Ltd is a
provider of crop harvesting
services. The company is
located in China.
Shenzhen Huatai Nong Industry
and Technology Co Ltd is a
provider of financial
investment services. The
company is located in China.</t>
  </si>
  <si>
    <t xml:space="preserve">0722
6799</t>
  </si>
  <si>
    <t xml:space="preserve">HONG KONG MODERN AGRICULTURE DEVELOPMENT CO LTD/SHENZHEN HUATAI NONG
INDUSTRY AND TECHNOLOGY CO LTD-JOINT VENTURE</t>
  </si>
  <si>
    <t xml:space="preserve">Hong Kong Modern Agriculture Development Co Ltd and Shenzhen Huatai Nong
Industry and Technology Co Ltd planned to form a 70:30 joint venture. The
JV was to be capitalized at USD 15.02 Million.</t>
  </si>
  <si>
    <t xml:space="preserve">The JV was to be capitalized at USD 15.02 Million.</t>
  </si>
  <si>
    <t xml:space="preserve">8E2582
8E2583</t>
  </si>
  <si>
    <t xml:space="preserve">Zignal Labs
SurveyMonkey.com LLC</t>
  </si>
  <si>
    <t xml:space="preserve">Enterprise Software
Pvd online survey svcs</t>
  </si>
  <si>
    <t xml:space="preserve">Zignal Labs Inc, located in
San Francisco, California,
is a software development
company. The company
provides real-time insights
and analytics platform
software. Its platform
combines media monitoring
and business intelligence
for comprehensive insights
in various industries.
SurveyMonkey.com LLC, located
in Portland, Oregon, provides
online survey services. It
offers collection of data,
management information
services and research. The
company was founded in 1999.</t>
  </si>
  <si>
    <t xml:space="preserve">7372
7375</t>
  </si>
  <si>
    <t xml:space="preserve">ZIGNAL LABS INC/SURVEYMONKEY.COM LLC-STRATEGIC ALLIANCE</t>
  </si>
  <si>
    <t xml:space="preserve">Zignal Labs Inc and SurveyMonkey.com LLC planned to form a strategic
alliance.</t>
  </si>
  <si>
    <t xml:space="preserve">Consulting Services
Computer Integrated Systems Svcs
Research &amp; Development Services</t>
  </si>
  <si>
    <t xml:space="preserve">4C8557
88855Y</t>
  </si>
  <si>
    <t xml:space="preserve">Taboola Inc
Perform Media Services Ltd</t>
  </si>
  <si>
    <t xml:space="preserve">Internet Publishing and Broadcasting and Web Search Portals
Pvd advertising,media services</t>
  </si>
  <si>
    <t xml:space="preserve">Taboola Inc, located in New
York, New York, operates
content discovery portal.
The Company was founded in
2007.
Perform Media Services Ltd,
Feltham, United Kingdom,
provides advertising and media
services.</t>
  </si>
  <si>
    <t xml:space="preserve">7375
7319</t>
  </si>
  <si>
    <t xml:space="preserve">Taboola Inc
Perform Group PLC</t>
  </si>
  <si>
    <t xml:space="preserve">TABOOLA INC/PERFORM MEDIA SERVICES LTD-STRATEGIC ALLIANCE</t>
  </si>
  <si>
    <t xml:space="preserve">Taboola Inc and Perform Media Services Ltd formed a strategic alliance to
Bring Discovery to Goal.com and its Entire Global Network of Sports
Platforms.</t>
  </si>
  <si>
    <t xml:space="preserve">7A5359
71454M</t>
  </si>
  <si>
    <t xml:space="preserve">Korea Construction Robot
Interbulls Co Ltd</t>
  </si>
  <si>
    <t xml:space="preserve">New Single-Family Housing Construction (Except Operative Builders)
Semiconductor Machinery Manufacturing</t>
  </si>
  <si>
    <t xml:space="preserve">Korea Construction Robot is a
housing construction company.
The company is located in
South Korea.
Interbulls Co Ltd, located
in Ansan, South Korea, is a
manufacturer and wholesaler
of printed circuit board
(PCB) equipment. The
Companys products portfolio
consists of touch and glass
panel processors including
window glass edge grinders,
vision cell punching
machines and others, as well
as flexible PCB tack welding
and punching machines,
including vision press
equipment, coverlay bonders,
stiffener bonders and guide
hole punchers, among others.
The Company distributes its
products within domestic
market and to overseas
markets. The company was
founded in July 1996.</t>
  </si>
  <si>
    <t xml:space="preserve">1521
3559</t>
  </si>
  <si>
    <t xml:space="preserve">KOREA CONSTRUCTION ROBOT/INTERBULLS CO LTD-JOINT VENTURE</t>
  </si>
  <si>
    <t xml:space="preserve">Korea Construction Robot and Interbulls Co Ltd planned to form a 50:50
joint venture to engaged in electric vehicle research and design business.</t>
  </si>
  <si>
    <t xml:space="preserve">8E2882
4E8267</t>
  </si>
  <si>
    <t xml:space="preserve">Daimler AG
Dayun Automobile Co Ltd</t>
  </si>
  <si>
    <t xml:space="preserve">Daimler AG (Daimler) is an
automotive engineering
company. The Company is
engaged in the development,
production and distribution
of cars, trucks and vans in
Germany, and the management
of the Daimler Group.
Daimler's segments include
Mercedes-Benz Cars, Daimler
Trucks, Mercedes-Benz Vans,
Daimler Buses and Daimler
Financial Services. The
Mercedes-Benz Cars segment
includes vehicles of the
Mercedes-Benz brand,
including the brands,
Mercedes-AMG and
Mercedes-Maybach, as well as
the Mercedes me brand. The
Daimler Trucks segment
develops and produces
vehicles under the brands,
including Mercedes-Benz,
Freightliner, Western Star,
FUSO and BharatBenz. The
Mercedes-Benz Vans segment
is a supplier of a range of
vans and associated
services. The Daimler Buses
segment sells completely
built-up buses under brand
names, including
MercedesBenz and Setra. The
Daimler Financial Services
segment supports the sales
of its automotive brands in
approximately 40 countries
around the world. The
Company was founded in 1982
and is located in Stuttgart,
Germany.
Dayun Automobile Co Ltd is a
manufacturer and wholesaler
of automobiles. The Company
was founded in August 2007
and is located in Yuncheng,
China.</t>
  </si>
  <si>
    <t xml:space="preserve">Daimler AG
Dayun Jiuzhou Grp Co Ltd</t>
  </si>
  <si>
    <t xml:space="preserve">3711
6282</t>
  </si>
  <si>
    <t xml:space="preserve">DAIMLER AG/SHANXI DAYUN AUTOMOBILE MANUFACTURING CO LTD-STRATEGIC ALLIANCE</t>
  </si>
  <si>
    <t xml:space="preserve">Daimler AG and Shanxi Dayun Automobile Manufacturing Co Ltd formed a
strategic alliance to cooperate on product support, technical R&amp;D and sales
and service.</t>
  </si>
  <si>
    <t xml:space="preserve">Research &amp; Development Services
Automotive Services
Services (NEC)</t>
  </si>
  <si>
    <t xml:space="preserve">233825
9H6324</t>
  </si>
  <si>
    <t xml:space="preserve">Micro-X Ltd
Carestream Health Inc</t>
  </si>
  <si>
    <t xml:space="preserve">Irradiation Apparatus Manufacturing
Pvd dental,medical imaging svc</t>
  </si>
  <si>
    <t xml:space="preserve">Micro-X Ltd, located in
Clovelly Park, Adelaide,
Australia, manufactures,
designs, and develops
ultra-lightweight carbon
nanotube based X-ray
products for the global
healthcare and explosive
device markets. Its products
include DRX Revolution Nano,
Ruggedised Nano, and Mobile
Backscatter Imaging. The
Company was founded in
September 16, 2011.
Carestream Health Inc, located
in Rochester, New York,
provides dental and medical
imaging systems and healthcare
IT solutions services. It also
wholesales X-ray film and
digital X-ray systems for
non-destructive testing and
advanced materials for the
precision films and
electronics markets. The
Company was founded in 2007.</t>
  </si>
  <si>
    <t xml:space="preserve">3845
5047</t>
  </si>
  <si>
    <t xml:space="preserve">Micro-X Ltd
Onex Corp</t>
  </si>
  <si>
    <t xml:space="preserve">Australia
Canada</t>
  </si>
  <si>
    <t xml:space="preserve">3845
6799</t>
  </si>
  <si>
    <t xml:space="preserve">MICRO-X LTD/CARESTREAM HEALTH INC-STRATEGIC ALLIANCE</t>
  </si>
  <si>
    <t xml:space="preserve">Micro-X Ltd and Carestream Health Inc planned to form a strategic alliance
to develop and oem supply of a Mobile medical x-ray unit.</t>
  </si>
  <si>
    <t xml:space="preserve">2E4195
14195M</t>
  </si>
  <si>
    <t xml:space="preserve">TetraGenetics Inc
Undisclosed JV Partner</t>
  </si>
  <si>
    <t xml:space="preserve">Biological Product (Except Diagnostic) Manufacturing
Investment company</t>
  </si>
  <si>
    <t xml:space="preserve">TetraGenetics Inc is a
manufacturer of biological
products. The Company is
located in Arlington,
Massachusetts.
Investment company</t>
  </si>
  <si>
    <t xml:space="preserve">TETRAGENETICS INC/UNDISCLOSED PARTNER-STRATEGIC ALLIANCE</t>
  </si>
  <si>
    <t xml:space="preserve">TetraGenetics Inc and Undisclosed Joint Venture Partner formed a strategic
alliance to ion channel drug discovery.</t>
  </si>
  <si>
    <t xml:space="preserve">8E3601
904JVP</t>
  </si>
  <si>
    <t xml:space="preserve">BRAIN AG
AnalytiCon Discovery GmbH
Roquette Co Ltd</t>
  </si>
  <si>
    <t xml:space="preserve">Biological Product (Except Diagnostic) Manufacturing
Biological Product (Except Diagnostic) Manufacturing
Mnfr polyol,mannitol,xylitol</t>
  </si>
  <si>
    <t xml:space="preserve">BRAIN Biotechnology Research
&amp; Information Network AG,
located in Zwingenberg,
Germany, is a biotechnology
company. It provides
research services in the
field of chemistry,
pharmaceutics, cosmetics and
food industries. The Company
discovers and develops novel
drugs, bioactive natural
compounds and proprietary
enzymes for customers in the
chemical and pharmaceutical
as well as in the food and
cosmetics industries. BRAIN
offers research and
development collaborations
as well as strategic
partnerships and exclusive
licensing agreements through
all phases of enzyme and
biological compound
discovery to application
development and production.
The Company was founded in
1993.
AnalytiCon Discovery GmbH,
located in Potsdam, Germany,
manufactures biological
products. It specializes in
the area of research and
development of natural
products. Its customers
include companies from
pharmaceutical, food and
cosmetics industries. The
company was founded in 2000.
Roquette Co Ltd is a polyol,
mannitol, and xylitol
manufacturer. The company is
based in France.</t>
  </si>
  <si>
    <t xml:space="preserve">2836
2836
2833</t>
  </si>
  <si>
    <t xml:space="preserve">Germany
Germany
France</t>
  </si>
  <si>
    <t xml:space="preserve">BRAIN AG
BRAIN AG
Roquette Co Ltd</t>
  </si>
  <si>
    <t xml:space="preserve">BRAIN BIOTECHNOLOGY RESEARCH/ANALYTICON DISCOVERY GMBH/ROQUETTE CO
LTD-STRATEGIC ALLIANCE</t>
  </si>
  <si>
    <t xml:space="preserve">BRAIN Biotechnology Research Information Network AG, AnalytiCon Discovery
GmbH and Roquette Co Ltd formed a strategic alliance to develop natural
sweeteners and sweet taste enhancers and achieve sugar reduction and
calorie reduction in foods and beverages.</t>
  </si>
  <si>
    <t xml:space="preserve">10490V
03270Y
77673W</t>
  </si>
  <si>
    <t xml:space="preserve">Baidu Inc
Nvidia Corp</t>
  </si>
  <si>
    <t xml:space="preserve">Pvd Internet search engine svc
Mnfr,whl graphics processors</t>
  </si>
  <si>
    <t xml:space="preserve">Baidu Inc, located in
Beijing, China, provides
Chinese language Internet
search engine services with
functional product coverage
such as regional search,
movie, map, ancient
literature, government,
education, new, mobile and
file search, entertainment,
yellow pages, postal codes,
legal, education, blog and
videos. The Company was
founded in 1999.
NVIDIA Corp, located in
Santa Clara, California,
manufactures and wholesales
graphics and digital media
processors for computing,
consumer electronics, and
mobile devices. It designs,
develops and markets
graphics processing units
(GPU), media and
communications processors
(MCP) and wireless media
processors (WMP). It
operates in three segments:
graphics processing, market
graphics processing and the
wireless media processors
segment. Its products are
integral to a wide variety
of visual computing
platforms, including
enterprise personal
computers, consumer PCs,
notebook PCs, cellular
phones, game consoles and
digital media centers. It
operates in the United
States, Asia Pacific and
Europe. The Company was
founded in 1993.</t>
  </si>
  <si>
    <t xml:space="preserve">7375
3674</t>
  </si>
  <si>
    <t xml:space="preserve">BAIDU INC/NVIDIA CORP-STRATEGIC ALLIANCE</t>
  </si>
  <si>
    <t xml:space="preserve">Baidu Inc and NVIDIA Corp formed a strategic alliance, to develop a
computing platform for self-driving cars. The platform will include
cloud-based high-definition maps in Chinas.</t>
  </si>
  <si>
    <t xml:space="preserve">056752
67066G</t>
  </si>
  <si>
    <t xml:space="preserve">Inapal Plasticos SA
Fujian Haiyuan New Material</t>
  </si>
  <si>
    <t xml:space="preserve">Mnfr plastic automotive parts
All Other Industrial Machinery Manufacturing</t>
  </si>
  <si>
    <t xml:space="preserve">Inapal Plasticos SA is a
manufacturer of motor
vehicle bodies. The Company
is located in Leca do Balio,
Portugal.
Fujian Haiyuan New Material
Technology Co Ltd is a
manufacturer of industrial
machinery. The Company is
located in Jianyang, China.</t>
  </si>
  <si>
    <t xml:space="preserve">3714
3559</t>
  </si>
  <si>
    <t xml:space="preserve">Portugal
China</t>
  </si>
  <si>
    <t xml:space="preserve">Inapal Plasticos SA
Fujian Haiyuan Automatic</t>
  </si>
  <si>
    <t xml:space="preserve">3714
3544</t>
  </si>
  <si>
    <t xml:space="preserve">INAPAL PLASTICOS SA/FUJIAN HAIYUAN NEW MATERIAL TECHNOLOGY CO LTD-JOINT
VENTURE</t>
  </si>
  <si>
    <t xml:space="preserve">Inapal Plasticos SA and Fujian Haiyuan New Material Technology Co Ltd
planned to form a joint venture, to develop strong lightweight materials
for automobiles, provide sales services for lightweight composite materials
in China.</t>
  </si>
  <si>
    <t xml:space="preserve">47377J
9E1280</t>
  </si>
  <si>
    <t xml:space="preserve">Volvo Personvagnar AB
Autoliv Inc</t>
  </si>
  <si>
    <t xml:space="preserve">Wholesale automobiles
Mnfr automotive safety system</t>
  </si>
  <si>
    <t xml:space="preserve">Volvo Personvagnar AB is a
motor vehicle merchant
wholesaler. The Company is
located in Gothenburg,
Sweden.
Autoliv Inc is a
manufacturer of motor
vehicle parts. It
manufactures and wholesales
automotive occupant safety
restraint systems with a
broad range of product
offerings including modules
and components for passenger
and driver-side airbags,
side-impact airbag
protection systems, seat
belts, steering wheels,
safety seats and other
safety systems and products.
The Company was founded in
December 1961 and is located
in Stockholm, Sweden.</t>
  </si>
  <si>
    <t xml:space="preserve">5012
3714</t>
  </si>
  <si>
    <t xml:space="preserve">Volvo AB
Autoliv Inc</t>
  </si>
  <si>
    <t xml:space="preserve">VOLVO PERSONVAGNAR AB/AUTOLIV INC-JOINT VENTURE</t>
  </si>
  <si>
    <t xml:space="preserve">Zenuity, located in
Gothenburg, Sweden, is a
software publisher. It will
create a new entrant in the
growing global market for
autonomous driving software
systems. It marks the first
time a leading premium car
mker hs joined forces with a
tier one supplier to develop
new advanced driver assist
systems (ADAS) and
autonomous driving (AD)
technologies. The Company
was founded in 2017.</t>
  </si>
  <si>
    <t xml:space="preserve">Volvo Personvagnar AB and Autoliv Inc formed a 50:50 joint venture named
Zenuity to develop leading advanced driver assist systems (ADAS) and
autonomous driving (AD) technologies in Sweden.</t>
  </si>
  <si>
    <t xml:space="preserve">1F9227</t>
  </si>
  <si>
    <t xml:space="preserve">92886J
052800</t>
  </si>
  <si>
    <t xml:space="preserve">CNlight Co Ltd
Undisclosed JV Partner</t>
  </si>
  <si>
    <t xml:space="preserve">Semiconductor and Related Device Manufacturing
Investment company</t>
  </si>
  <si>
    <t xml:space="preserve">CNlight Co Ltd is a
manufacturer and wholesaler
of semiconductors and
related device. The Company
was founded in October 2004
and is located in Foshan,
China.
Investment company</t>
  </si>
  <si>
    <t xml:space="preserve">CNLIGHT CO LTD/UNDISCLOSED PARTNER-JOINT VENTURE</t>
  </si>
  <si>
    <t xml:space="preserve">CNlight Co Ltd and Undisclosed Joint Venture Partner planned to form a
51:49 joint venture, to set up a artificial intelligence technology in
China. The JV was capitalize at USD 0.1498 million.</t>
  </si>
  <si>
    <t xml:space="preserve">Computer Programming Services
Research &amp; Development Services</t>
  </si>
  <si>
    <t xml:space="preserve">The JV was capitalize at USD 0.1498 million.</t>
  </si>
  <si>
    <t xml:space="preserve">40153V
904JVP</t>
  </si>
  <si>
    <t xml:space="preserve">Zhejiang Jiaao Enprotech
Undisclosed JV Partner</t>
  </si>
  <si>
    <t xml:space="preserve">All Other Miscellaneous Chemical Product and Preparation Manufacturing
Investment company</t>
  </si>
  <si>
    <t xml:space="preserve">Zhejiang Jiaao Enprotech
Stock Co Ltd is a
manufacturer and wholesaler
of chemical products. The
Company was founded in
January 2003 and is located
in Tongxiang, China.
Investment company</t>
  </si>
  <si>
    <t xml:space="preserve">ZHEJIANG JIAAO ENPROTECH STOCK CO LTD/UNDISCLOSED PARTNER-JOINT VENTURE</t>
  </si>
  <si>
    <t xml:space="preserve">Zhejiang Jiaao Enprotech Stock Co Ltd and Undisclosed Joint Venture Partner
formed a joint venture, to development, production and sale of plasticizer
business in China. The JV was to be capitalized at USD 7.49 million.</t>
  </si>
  <si>
    <t xml:space="preserve">The JV was to be capitalized at USD 7.49 million.</t>
  </si>
  <si>
    <t xml:space="preserve">8A9495
904JVP</t>
  </si>
  <si>
    <t xml:space="preserve">Novogene Co Ltd
AITBiotech Pte Ltd</t>
  </si>
  <si>
    <t xml:space="preserve">Novogene Co Ltd is a
manufacturer and wholesaler
of biological products. The
Company was founded in March
2011 and is located in
Beijing, China.
AIT Biotech Pte Ltd is a
biotechnology company based in
Singapore. It develops
biotechnological products for
use in the science and
biometrical industries, with
products such as BioKiosk and
Temperature Verification
Systems. The company is also
involved in developing
instruments for use in life
science and biomedical
research.</t>
  </si>
  <si>
    <t xml:space="preserve">BEIJING NOVOGENE BIOINFORMATICS TECHNOLOGY CO LTD/AIT BIOTECH PTE LTD-JOINT
VENTURE</t>
  </si>
  <si>
    <t xml:space="preserve">Beijing Novogene Bioinformatics Technology Co Ltd and AIT Biotech Pte Ltd
planned to form a 50:50 joint venture named NovogeneAIT Genomics Singapore
to establish a high-throughput (HTP) next-generation sequencing and R&amp;D
Centre inSingapore and will provide cutting edge NGS and research services
to the Association of Southeast Asian Nation (ASEAN) andSouth Asiaregion.</t>
  </si>
  <si>
    <t xml:space="preserve">8E7180
01296Z</t>
  </si>
  <si>
    <t xml:space="preserve">Shandong Zhangqiu Blower Co
Baoding Gabriel Special
Jinan Chang Cheng-yang new
Peidan Tong
Li Yali</t>
  </si>
  <si>
    <t xml:space="preserve">Mnfr,whl blowers
Ceramic Wall and Floor Tile Manufacturing
Provide information tech svcs
Individual
Individual</t>
  </si>
  <si>
    <t xml:space="preserve">Shandong Zhangqiu Blower Co
Ltd is a manufacturer of
industrial and commercial fans
and blowers. The Company was
founded in January 2006 and is
located in Zhangqiu, China.
Baoding Gabriel Special
Ceramics Co Ltd is a
manufacturer of ceramic wall
and floor tiles. The company
is located in China.
Jinan Chang Cheng-yang new
materials tech is a software
publisher. The company is
located in China.
Peidan Tong, located in China,
is an individual investor.
Li Yali, located in China, is
an individual investor.</t>
  </si>
  <si>
    <t xml:space="preserve">3564
3253
7376
6799
6799</t>
  </si>
  <si>
    <t xml:space="preserve">China
China
China
China
China</t>
  </si>
  <si>
    <t xml:space="preserve">SHANDONG ZHANGQIU BLOWER CO/BAODING GABRIEL SPECIAL/JINAN CHANG CHENG-YANG
NEW/PEIDAN TONG/LI YALI-JOINT VENTURE</t>
  </si>
  <si>
    <t xml:space="preserve">Shandong Zhangqiu Blower Co Ltd, Baoding Gabriel Special Ceramics Co Ltd,
Jinan Chang Cheng-yang new materials tech, Peidan Tong and Li Yali planned
to form a 55:21:20:2:2 joint venture to provide manufacturing, research and
development of ceramic pump product development, design, manufacturing,
sales and service. The JV was to be capitalized at USD 1.8 Millions.</t>
  </si>
  <si>
    <t xml:space="preserve">55.00
21.00
20.00
2.00
2.00</t>
  </si>
  <si>
    <t xml:space="preserve">The JV was to be capitalized at USD 1.8 Millions.</t>
  </si>
  <si>
    <t xml:space="preserve">81410Y
8E9041
8E9047
8E9049
8E9052</t>
  </si>
  <si>
    <t xml:space="preserve">Lianyungang Ideal Group Co Ltd
Zhou Lei</t>
  </si>
  <si>
    <t xml:space="preserve">Domestic,intl whl trading co
Individual</t>
  </si>
  <si>
    <t xml:space="preserve">Lianyungang Ideal Group Co
Ltd is a domestic and
international wholesale
trading company,
headquartered in China. It
was founded in 1994.
Zhou Lei, located in China, is
an individual investor.</t>
  </si>
  <si>
    <t xml:space="preserve">LIANYUNGANG IDEAL GROUP CO LTD/ZHOU LEI-JOINT VENTURE</t>
  </si>
  <si>
    <t xml:space="preserve">Lianyungang Ideal Group Co Ltd and Zhou Lei planned to form a 90:10 joint
venture to Provide Machine technology development services in the field of
research and development and maintenance of technical advice, technical
services, computer software , sales , Computer network system integration ,
network technology services. The JV was to be capitalized at USD 3
Millions.</t>
  </si>
  <si>
    <t xml:space="preserve">Research &amp; Development Services
Computer Maintenance &amp; Repair Svcs
Marketing Services</t>
  </si>
  <si>
    <t xml:space="preserve">The JV was to be capitalized at USD 3 Millions.</t>
  </si>
  <si>
    <t xml:space="preserve">52997H
8E7188</t>
  </si>
  <si>
    <t xml:space="preserve">Sunward Intelligent Equip Co
Undisclosed JV Partner</t>
  </si>
  <si>
    <t xml:space="preserve">Mnfr construction machinery
Investment company</t>
  </si>
  <si>
    <t xml:space="preserve">Sunward Intelligent
Equipment Co Ltd, located in
Changsha, China,
manufactures and wholesales
construction machinery. It
provides compact
construction machinery,
large-scale pile driving
machinery, drilling
equipment, as well as
medium-scale and large-scale
excavating machinery, among
others, including forklifts,
rotary drilling rigs,
excavators, skid steer
loaders, hydraulic static
pile press machines,
hydraulic quartering hammers
and backhoe loaders, among
others. The company was
founded in July 1999.
Investment company</t>
  </si>
  <si>
    <t xml:space="preserve">3531
6799</t>
  </si>
  <si>
    <t xml:space="preserve">SUNWARD INTELLIGENT EQUIPMENT/UNDISCLOSED PARTNER-JOINT VENTURE</t>
  </si>
  <si>
    <t xml:space="preserve">Sunward Intelligent Equipment Co Ltd and Undisclosed Joint Venture Partner
formed a 50:50 joint venture to engaged in R&amp;D and sale of new underground
engineering equipments.The JV was to be capitalized at USD 7.503 million.</t>
  </si>
  <si>
    <t xml:space="preserve">The JV was to be capitalized at USD 7.503 million.</t>
  </si>
  <si>
    <t xml:space="preserve">85989H
904JVP</t>
  </si>
  <si>
    <t xml:space="preserve">Vance Street Capital LLC
Nok Nok Labs Inc</t>
  </si>
  <si>
    <t xml:space="preserve">Private equity firm
Software Publishers</t>
  </si>
  <si>
    <t xml:space="preserve">Vance Street Capital LLC,
located in Los Angeles,
California, is a private
equity firm. It focuses on
investing in companies
located in Western US that
are in the precision
manufacturing, aerospace,
business services,
distribution and healthcare
sectors. It prefers to
invest between $10 million
and $50 million in companies
with an enterprise value
between $20 million and $200
million, sales value between
$20 million and $200
million, and EBITDA between
$5 million and $20 million.
The Company was founded in
2007.
Nok Nok Labs Inc is a
software publisher. The
Company was founded in
November 2011 and is located
in Palo Alto, California.</t>
  </si>
  <si>
    <t xml:space="preserve">VANCE STREET CAPITAL LLC/NOK NOK LABS INC-STRATEGIC ALLIANCE</t>
  </si>
  <si>
    <t xml:space="preserve">Vance Street Capital LLC and Nok Nok Labs Inc formed a strategic alliance,
to bring to market a new platform that provides an open standards-based
approach for the authentication of IoT systems using mobile devices in US.</t>
  </si>
  <si>
    <t xml:space="preserve">92151X
9E2228</t>
  </si>
  <si>
    <t xml:space="preserve">Dermira Inc
Takeda Pharmaceutical Co Ltd</t>
  </si>
  <si>
    <t xml:space="preserve">Pharmaceutical Preparation Manufacturing
Mnfr pharmaceutical products</t>
  </si>
  <si>
    <t xml:space="preserve">Dermira Inc, located in
Menlo Park, California, is a
manufacturer of
pharmaceutical preparation
products that focuses on
chronic skin conditions such
hyperhidrosis and atopic
dermatitis. Its product
include QBREXZA cloth used
by pediatric and adult
patients with primary
axillary hyperhidrosis. The
Company was founded in
August 2010.
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</si>
  <si>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DERMIRA INC/TAKEDA PHARMACEUTICAL CO LTD-STRATEGIC ALLIANCE</t>
  </si>
  <si>
    <t xml:space="preserve">Dermira Inc and Takeda Pharmaceutical Co Ltd formed a strategic alliance,
to identifying and developing differentiated product candidates that could
one day provide benefit to the patients in Japan.</t>
  </si>
  <si>
    <t xml:space="preserve">24983L
874058</t>
  </si>
  <si>
    <t xml:space="preserve">ARRIA NLG Plc
GeoCosmo Sciences SPC</t>
  </si>
  <si>
    <t xml:space="preserve">Data Processing, Hosting, and Related Services
Biotechnology company</t>
  </si>
  <si>
    <t xml:space="preserve">ARRIA NLG Plc, located in
London, UK, develops Natural
Language Generation technology
which generates instant plain
English narratives from
complex Big Data streams. The
company was founded in 2011.
GeoCosmo Sciences SPC is a
manufacturer of biological
products. The company is
located in South America,
Delaware.</t>
  </si>
  <si>
    <t xml:space="preserve">7374
2836</t>
  </si>
  <si>
    <t xml:space="preserve">ARRIA NLG PLC/GEOCOSMO SCIENCES SPC-STRATEGIC ALLIANCE</t>
  </si>
  <si>
    <t xml:space="preserve">ARRIA NLG Plc and GeoCosmo Sciences SPC formed a strategic alliance in
California. The purpose of Strategic alliance was to build precision NLG
capabilities into the GeoCosmo Earthquake Forecasting Service to improve
communication and advance notification of the deadliest natural disasters</t>
  </si>
  <si>
    <t xml:space="preserve">4C4908
9E6728</t>
  </si>
  <si>
    <t xml:space="preserve">Exxon Mobil Corp
Princeton University</t>
  </si>
  <si>
    <t xml:space="preserve">Oil &amp; gas exploration and production company
University</t>
  </si>
  <si>
    <t xml:space="preserve">Exxon Mobil Corp is engaged
in the exploration and
production of crude oil and
natural gas, manufacturing
of petroleum products, and
transportation and sale of
crude oil, natural gas and
petroleum products. The
Company also manufactures
and markets petrochemicals,
including olefins,
aromatics, polyethylene and
polypropylene plastics, and
various specialty products.
The Company operates through
the upstream, downstream,
chemical, and corporate and
financing segments. The
upstream segment operates to
explore for and produce
crude oil and natural gas.
The downstream segment
operates to manufacture and
sell petroleum products. The
chemical segment operates to
manufacture and sell
petrochemicals. The
Company's projects include
the Kearl project,
Heidelberg project, the
Point Thomson project, the
Hadrian South project, the
Lucius project, the Barzan
project, the Arkutun-Dagi
project, and the Upper Zakum
750 project, among others.
The Company was founded on
30 November 1999 and is
located in Irving, Texas.
University</t>
  </si>
  <si>
    <t xml:space="preserve">EXXON MOBIL CORP/PRINCETON UNIVERSITY-STRATEGIC ALLIANCE</t>
  </si>
  <si>
    <t xml:space="preserve">Exxon Mobil Corp and Princeton University extended their strategic alliance
in United States to advance low-emission research and energy solutions.</t>
  </si>
  <si>
    <t xml:space="preserve">Research &amp; Development Services
Environmental Services
Electric Utility Services</t>
  </si>
  <si>
    <t xml:space="preserve">30231G
74246Q</t>
  </si>
  <si>
    <t xml:space="preserve">Colibri Heart Valve LLC
Venus Medtech (Hangzhou) Inc</t>
  </si>
  <si>
    <t xml:space="preserve">Provide research,dvlp svcs
Provide research,dvlp svcs</t>
  </si>
  <si>
    <t xml:space="preserve">Colibri Heart Valve LLC is a
provider of research and
development services. The
company is located in
Broomfield, Colorado.
Venus Medtech (HangZhou) Inc
is a provider of research
and development services.
The Company is located in</t>
  </si>
  <si>
    <t xml:space="preserve">COLIBRI HEART VALVE LLC/VENUS MEDTECH (HANGZHOU) INC-JOINT VENTURE</t>
  </si>
  <si>
    <t xml:space="preserve">Colibri Heart Valve LLC and Venus MedTech (HangZhou) Inc formed a 50:50
joint venture to develop and commercialize structural heart valve products
for the Chinese and emerging Asia markets.</t>
  </si>
  <si>
    <t xml:space="preserve">9E0365
9E0364</t>
  </si>
  <si>
    <t xml:space="preserve">GrowSafe Systems Ltd
Wheatsheaf Group Ltd</t>
  </si>
  <si>
    <t xml:space="preserve">Provide research,dvlp svcs
Investment company</t>
  </si>
  <si>
    <t xml:space="preserve">GrowSafe Systems Ltd is a
provider of research and
development services. The
company is located in Airdrie,
Canada.
Wheatsheaf Group Ltd is a
provider of financial
investment services. The
Company is an invests into
food, energy and water
security. The Company was
founded in 2012 and is
located in London, the
United Kingdom.</t>
  </si>
  <si>
    <t xml:space="preserve">GROWSAFE SYSTEMS LTD/WHEATSHEAF GROUP LTD-STRATEGIC ALLIANCE</t>
  </si>
  <si>
    <t xml:space="preserve">GrowSafe Systems Ltd and Wheatsheaf Group Ltd (Parkinson Group PLC) formed
a strategic alliance to research and development and support GrowSafe's
global expansion.</t>
  </si>
  <si>
    <t xml:space="preserve">9E0186
96288Q</t>
  </si>
  <si>
    <t xml:space="preserve">Enercon Canada Inc
Hydro-Quebec</t>
  </si>
  <si>
    <t xml:space="preserve">Mnfr wind turbines
Electric utility company</t>
  </si>
  <si>
    <t xml:space="preserve">Enercon Canada Inc, located in
Montreal, Quebec, manufactures
energy turbines. The Company
offers desalination systems,
wind diesel and stand alone
system solutions. The Company
offers servicing, maintenance,
wind turbine monitoring via
remote data transmission,
maintaining technical
availability of wind turbines,
customer care in all
technical, commercial matters
and operator training
services.
Hydro-Quebec, located in
Montreal, Quebec, is an
electric utility company
that generates, transmits
and distributes electricity,
mainly using renewable
energy sources, in
particular hydroelectricity.
It also conducts research in
energy-related fields and
takes an active interest in
energy efficiency. It is
also a holding company that
is comprised of four
divisions: Hydro-Quebec
Production, Hydro-Quebec
TransEnergie, Hydro-Quebec
Distribution and
Hydro-Quebec Equipment. The
Company was founded in 1944.</t>
  </si>
  <si>
    <t xml:space="preserve">Enercon GmbH
Canada</t>
  </si>
  <si>
    <t xml:space="preserve">3511
999A</t>
  </si>
  <si>
    <t xml:space="preserve">ENERCON CANADA INC/HYDRO-QUEBEC-STRATEGIC ALLIANCE</t>
  </si>
  <si>
    <t xml:space="preserve">Enercon Canada Inc and Hydro-Quebec formed a strategic alliance to advance
understanding of the impacts on grids of new electronic wind turbine
control systems.</t>
  </si>
  <si>
    <t xml:space="preserve">30557X
448814</t>
  </si>
  <si>
    <t xml:space="preserve">Shenzhen Refond Optoelectns
Undisclosed JV Partner</t>
  </si>
  <si>
    <t xml:space="preserve">Shenzhen Refond
Optoelectronics Co Ltd is a
manufacturer and wholesaler
of semiconductors and
related device. The company
was founded in January 2000
and is located in Shenzhen,
China.
Investment company</t>
  </si>
  <si>
    <t xml:space="preserve">SHENZHEN REFOND/UNDISCLOSED PARTNER-JOINT VENTURE</t>
  </si>
  <si>
    <t xml:space="preserve">Shenzhen Refond Optoelectronics Co Ltd and Undisclosed Joint Venture
Partner formed a joint venture.</t>
  </si>
  <si>
    <t xml:space="preserve">53.20
</t>
  </si>
  <si>
    <t xml:space="preserve">The JV was to be capitalized at 0.8996 US Dollars.</t>
  </si>
  <si>
    <t xml:space="preserve">Y7745R
904JVP</t>
  </si>
  <si>
    <t xml:space="preserve">FSPG Hi-Tech Co Ltd
Undisclosed JV Partner</t>
  </si>
  <si>
    <t xml:space="preserve">All Other Plastics Product Manufacturing
Investment company</t>
  </si>
  <si>
    <t xml:space="preserve">FSPG Hi-Tech Co Ltd is a
manufacturer and wholesaler
of plastics products. The
Company was founded in 1988
and is located in Foshan,
China.
Investment company</t>
  </si>
  <si>
    <t xml:space="preserve">FSPG HI-TECH CO LTD/UNDISCLOSED PARTNER-JOINT VENTURE</t>
  </si>
  <si>
    <t xml:space="preserve">FSPG Hi-Tech Co Ltd and Undisclosed Joint Venture Partner planned to form a
joint venture to set up a project company, R&amp;D, manufacture and sale of
optical UV cure coatings in China. The JV was to be capitalized at USD
0.149 million.</t>
  </si>
  <si>
    <t xml:space="preserve">The JV was to be capitalized at USD 0.149 million.</t>
  </si>
  <si>
    <t xml:space="preserve">30552H
904JVP</t>
  </si>
  <si>
    <t xml:space="preserve">BARDA
The Medicines Co</t>
  </si>
  <si>
    <t xml:space="preserve">Mnfr biopharmaceuticals
Pharmaceutical Preparation Manufacturing</t>
  </si>
  <si>
    <t xml:space="preserve">Biomedical Advanced R&amp;D
Authority provides an
integrated, systematic
approach to the development
and purchase of the necessary
vaccines, drugs, therapies,
and diagnostic tools for
public health medical
emergencies. The Company
manages the procurement and
advanced development of
medical countermeasures for
chemical, biological,
radiological, and nuclear
agents, as well as the
advanced development and
procurement of medical
countermeasures for pandemic
influenza and other emerging
infectious diseases.
The Medicines Co, located in
Parsipanny, New Jersey, is a
manufacturer of
pharmaceutical preparation.
The Company was founded in
1996.</t>
  </si>
  <si>
    <t xml:space="preserve">BIOMEDICAL ADVANCED RESEARCH/THE MEDICINES CO-STRATEGIC ALLIANCE</t>
  </si>
  <si>
    <t xml:space="preserve">Biomedical Advanced Research Development Authority and The Medicines Co
formed a strategic alliance to support the development of new antibiotics
to fight drug-resistant, gram-negative infections.</t>
  </si>
  <si>
    <t xml:space="preserve">08933Y
584688</t>
  </si>
  <si>
    <t xml:space="preserve">Guangzhou Great Power Energy
Undisclosed JV Partner</t>
  </si>
  <si>
    <t xml:space="preserve">Guangzhou Great Power Energy
&amp; Technology Co Ltd is a
manufacturer and wholesaler
of storage batteries. The
Company was founded in
December 1994 and is located
in Guanghzou, China.
Investment company</t>
  </si>
  <si>
    <t xml:space="preserve">GUANGZHOU GREAT POWER ENERGY &amp;TECHNOLOGY CO LTD/UNDISCLOSED PARTNER-JOINT
VENTURE</t>
  </si>
  <si>
    <t xml:space="preserve">Guangzhou Great Power Energy Technology Co Ltd and Undisclosed Joint
Venture Partner planned to form a 60:40 joint venture to engaged in
research, development, production and sale of new energy vehicles' power
battery.</t>
  </si>
  <si>
    <t xml:space="preserve">9A3023
904JVP</t>
  </si>
  <si>
    <t xml:space="preserve">One Way Liver Genomics SL
NuSirt Sciences Inc</t>
  </si>
  <si>
    <t xml:space="preserve">One Way Liver Genomics SL,
located in Bizkaia, Spain,
is a biotechnology company
focused on metabolomics. It
provides research and
development services in the
areas of liver disease
biomarker discovery,
clinical studies,
diagnostics and toxicology.
Its main clients are
pharmaceutical and
biotechnology companies. The
company was founded on July
9, 2002.
NuSirt Sciences Inc is a
manufacturer of biological
products. The company is
located in Nashville,
Tennessee.</t>
  </si>
  <si>
    <t xml:space="preserve">Cross Road Biotech SA SCR de
NuSirt Sciences Inc</t>
  </si>
  <si>
    <t xml:space="preserve">ONE WAY LIVER GENOMICS SL/NUSIRT SCIENCES INC-STRATEGIC ALLIANCE</t>
  </si>
  <si>
    <t xml:space="preserve">One Way Liver Genomics SL and NuSirt Sciences Inc formed a strategic
alliance to develop novel diagnostic tools for ongoing drug evaluation
trials for NuSirt's fatty liver drug research candidate, NS-0200.</t>
  </si>
  <si>
    <t xml:space="preserve">68454H
9E2600</t>
  </si>
  <si>
    <t xml:space="preserve">Cisco Systems Inc
Salesforce.com Inc</t>
  </si>
  <si>
    <t xml:space="preserve">Manufactures and wholesales networking and communications products
Provides software integrated services</t>
  </si>
  <si>
    <t xml:space="preserve">Cisco Systems Inc, located
in San Jose, California,
manufactures and wholesales
networking and
communications products. It
offers services related to
this equipment and its use,
offering a wide range of
products for transporting
data, voice and video within
buildings, across the
campuses and around the
world. It also develops
communication software. Its
products include modems,
Routing technology,
switching technology, IP
phone and communication
devices, and network
management software. It also
operates in the United
States, Canada, European
Markets, Eastern Europe,
Latin America, the Middle
East and Africa, Russia,
Asia Pacific and Japan. The
Company was founded in 1984.
Salesforce.com Inc,
headquartered in San
Francisco, California,
provides software integrated
services. It develops
Customer Relationship
Management (CRM) software
for integrated sales force
automation, campaign
management, customer service
and support, and document
and file management. Its
main products include Sales
Cloud 2, Service Cloud 2,
Chatter, and Force.com,
which offered to small
business and mobile
applications. It also
operates in Europe, Asia,
Australia and Latin America.
The Company was founded in
February 1999.</t>
  </si>
  <si>
    <t xml:space="preserve">CISCO SYSTEMS INC/SALESFORCE.COM INC-STRATEGIC ALLIANCE</t>
  </si>
  <si>
    <t xml:space="preserve">Cisco Systems Inc and Salesforce.com Inc formed a strategic alliance, to
enable business users to be more productive than ever before, develop and
market solutions that join Cisco's collaboration in US.</t>
  </si>
  <si>
    <t xml:space="preserve">17275R
79466L</t>
  </si>
  <si>
    <t xml:space="preserve">China National Nuclear Corp
Shanghai Electric Group Co Ltd
Snc-Lavalin Group Inc</t>
  </si>
  <si>
    <t xml:space="preserve">Nuclear Electric Power Generation
All Other Industrial Machinery Manufacturing
Provide engineering,construction services</t>
  </si>
  <si>
    <t xml:space="preserve">China National Nuclear Corp,
located in Beijing, China,
is a nuclear electric power
generation facility
operator. The Company was
founded in June 29, 1999.
Shanghai Electric Group Co
Ltd located in Shanghai,
China is a manufacturer of
industrial machinery. The
Company was founded in March
2004.
SNC-Lavalin Group Inc,
located in Montreal, Quebec,
provides engineering and
construction services. It
constructs nonresidential
buildings, manufactures
search and navigation
equipment and provides
information retrieval
services. It has engineering
expertise in various fields
including agriculture,
chemicals and petroleum,
infrastructure,
transportation,
telecommunications,
pharmaceuticals and
biotechnology and project
management, among others. It
also serves as a holding
company. The Company was
founded on May 18, 1911.</t>
  </si>
  <si>
    <t xml:space="preserve">4911
3559
8711</t>
  </si>
  <si>
    <t xml:space="preserve">China
China
Canada</t>
  </si>
  <si>
    <t xml:space="preserve">China National Nuclear Corp
Shanghai Electric (Group) Corp
Snc-Lavalin Group Inc</t>
  </si>
  <si>
    <t xml:space="preserve">4911
3629
8711</t>
  </si>
  <si>
    <t xml:space="preserve">CHINA NATIONAL NUCLEAR CORP/SHANGHAI ELECTRIC GROUP CO LTD/SNC-LAVALIN
GROUP INC-JOINT VENTURE</t>
  </si>
  <si>
    <t xml:space="preserve">China National Nuclear Corp, Shanghai Electric Group Co Ltd and SNC-Lavalin
Group Inc planned to form a 33.3:33.3:33.3 joint venture to develop, market
and build the Advanced Fuel CANDU Reactor.</t>
  </si>
  <si>
    <t xml:space="preserve">16946V
82065L
78460T</t>
  </si>
  <si>
    <t xml:space="preserve">GN Hearing A/S
Natus Medical Inc</t>
  </si>
  <si>
    <t xml:space="preserve">Surgical Appliance and Supplies Manufacturing
Mnfr,whl med screening prod</t>
  </si>
  <si>
    <t xml:space="preserve">GN Hearing A/S, located in
Ballerup, Denmark,
manufactures and wholesales
hearing instruments, including
software-based digital
instruments and digitally
programmable and traditional
products in different sizes
and models. The Company's
brands are GN ReSound,
Beltone, ReSound, Danavox and
Viennatone. It has operations
in Australia, Austria,
Belgium, Brazil, Canada,
China, Denmark, France,
Germany, Ireland, Italy,
Japan, Netherlands, New
Zealand, Norway, Spain,
Sweden, Switzerland, United
Kingdom and United States. The
Company was founded in 1999.
Natus Medical Inc, located in
Pleasanton, California,
manufactures and wholesales
medical screening products for
the identification and
monitoring of common medical
disorders that may occur in
the critical developmental
period from conception to a
baby's first birthday. The
Company's main products
include ALGO series, which use
automated auditory brainstem
response technology, or AABR,
to enable simple, non-invasive
and accurate screening for
hearing impairment in newborns
and the CO-Stat analyzers
which accurately and
non-invasively measure the
rate of hemolytic through the
detection of carbon monoxide
in exhaled breath. Its
customers include hospitals,
clinics, laboratories,
physicians, nurses,
audiologists and governmental
agencies. The Company was
founded in 1989.</t>
  </si>
  <si>
    <t xml:space="preserve">GN Store Nord A/S
Natus Medical Inc</t>
  </si>
  <si>
    <t xml:space="preserve">GN HEARING A/S/NATUS MEDICAL INC-STRATEGIC ALLIANCE</t>
  </si>
  <si>
    <t xml:space="preserve">GN Hearing A/S and Natus Medical Inc formed a strategic alliance, to
collaborate on future technology, product development and commercialization
in US.</t>
  </si>
  <si>
    <t xml:space="preserve">9E0292
639050</t>
  </si>
  <si>
    <t xml:space="preserve">Cancer Genetics Inc
Apocell Inc</t>
  </si>
  <si>
    <t xml:space="preserve">Provides cancer treatment research services
Research and Development in Biotechnology</t>
  </si>
  <si>
    <t xml:space="preserve">Cancer Genetics Inc, located
in Rutherford, New Jersey,
provides cancer treatment
research services. It is a
DNA-based cancer diagnostics
company that personalizes
the clinical management of
difficult-to-diagnose
cancers. It was founded in
1999.
Apocell Inc is a provider of
biotechnology research and
development services. The
Company was founded in July
2004 and is located in
Houston, Texas.</t>
  </si>
  <si>
    <t xml:space="preserve">CANCER GENETICS INC/APOCELL INC-STRATEGIC ALLIANCE</t>
  </si>
  <si>
    <t xml:space="preserve">Cancer Genetics Inc and ApoCell Inc entered into an agreement and
partnership to offer biotech and pharmaceutical companies access to
ApoCells ApoStream technology for the detection, isolation and enrichment
of rare and circulating tumor cells across a variety of cancers.</t>
  </si>
  <si>
    <t xml:space="preserve">13739U
9E8815</t>
  </si>
  <si>
    <t xml:space="preserve">Microsoft Corp
Adobe Systems Inc</t>
  </si>
  <si>
    <t xml:space="preserve">Develops and wholesales computer software products
Develop software</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</si>
  <si>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Adobe Systems Inc, located
in San Jose, California,
develops software including
creative, business, Web and
mobile software and
services. Its clients
include various
professionals, knowledge
workers, consumers,
equipment makers, developers
and enterprises for
creating, managing,
delivering and engaging with
content and experiences
across multiple operating
systems, devices and media,
use its products. It
distributes its products
through a network of
distributors, value-added
resellers (VARs), systems
integrators, independent
software vendors (ISVs) and
OEMs, direct to end users
and through its own Website
at www.adobe.com. It also
licenses its technology to
hardware manufacturers,
software developers and
service providers, and offer
integrated software
solutions to businesses of
all sizes. Its core
technologies include
Portable Document Format
(PDF), Adobe Reader, Adobe
Flash Player, Adobe
PostScript, Adobe AIR,
Omniture Online Marketing
Suite, Adobe Photoshop,
Adobe InDesign, Adobe After
Effects and Adobe
Dreamweaver. It has
operations in the Americas,
Europe, Middle East and
Africa (EMEA) and Asia. The
Company was founded in 1982.</t>
  </si>
  <si>
    <t xml:space="preserve">MICROSOFT CORP/ADOBE SYSTEMS INC-STRATEGIC ALLIANCE</t>
  </si>
  <si>
    <t xml:space="preserve">Microsoft Corp and Adobe Systems Inc planned to form a strategic alliance,
to help enterprise companies embrace digital transformation and deliver
compelling, personalized experiences through every phase of their customer
relationships, to help businesses transform customer engagement in US.</t>
  </si>
  <si>
    <t xml:space="preserve">594918
00724F</t>
  </si>
  <si>
    <t xml:space="preserve">University of Texas MD
Adaptimmune Therapeutics PLC</t>
  </si>
  <si>
    <t xml:space="preserve">University of Texas MD
Anderson Cancer Center,
located in Houston, Texas, is
a biotechnology company. It
provides programs that
integrate patient care,
research and prevention and
through education for
undergraduate and graduate
students, trainees,
professionals, employees and
the public.
Adaptimmune Therapeutics
PLC, located in Abingdon,
the United Kingdom, is a
provider of biotechnology
research and development
services. The Company was
founded in April 2015.</t>
  </si>
  <si>
    <t xml:space="preserve">UNIVERSITY OF TEXAS MD/ADAPTIMMUNE THERAPEUTICS PLC-STRATEGIC ALLIANCE</t>
  </si>
  <si>
    <t xml:space="preserve">University of Texas MD Anderson Cancer Center and Adaptimmune Therapeutics
plc formed a strategic alliance to expedite the development of novel
adoptive T-cell therapies for multiple types of cancer.</t>
  </si>
  <si>
    <t xml:space="preserve">91511P
00653A</t>
  </si>
  <si>
    <t xml:space="preserve">Chongqing Zongshen Power Mach
China Academy of Aerospace</t>
  </si>
  <si>
    <t xml:space="preserve">Gasoline Engine and Engine Parts Manufacturing
Semiconductor and Related Device Manufacturing</t>
  </si>
  <si>
    <t xml:space="preserve">Chongqing Zongshen Power
Machinery Co Ltd is a
manufacturer and wholesaler
of engine parts. The Company
was founded in March 1989
and is located in Chongqing,
China.
China Academy of Aerospace
Aerodynamics is a manufacturer
and wholesaler of strain gauge
and sensors. The company was
founded in December 1956 and
is located in Beijing, China.</t>
  </si>
  <si>
    <t xml:space="preserve">3714
3674</t>
  </si>
  <si>
    <t xml:space="preserve">Chongqing Zongshen Power Mach
China Aerospace Science &amp;</t>
  </si>
  <si>
    <t xml:space="preserve">3714
3721</t>
  </si>
  <si>
    <t xml:space="preserve">CHONGQING ZONGSHEN POWER MACHINERY CO LTD/CHINA ACADEMY OF AEROSPACE
AERODYNAMICS-STRATEGIC ALLIANCE</t>
  </si>
  <si>
    <t xml:space="preserve">Chongqing Zongshen Power Machinery Co Ltd and China Academy of Aerospace
Aerodynamics formed a strategic alliance to aeroengine technology research
and development, aviation power equipment manufacturing and tests, small
and medium aeroengine manufacturing and construction of aerospace
aerodynamics technical innovation platform.</t>
  </si>
  <si>
    <t xml:space="preserve">16406V
9E8915</t>
  </si>
  <si>
    <t xml:space="preserve">Microsoft Corp
Workday Inc</t>
  </si>
  <si>
    <t xml:space="preserve">Develops and wholesales computer software products
Data Processing, Hosting, and Related Services</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</si>
  <si>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Workday Inc, located in
Pleasanton, California,
provides enterprise cloud
applications for human
capital management, payroll,
financialgrants management,
time tracking, procurement,
employee expense management
and analytics. The products
of the company include Human
CapitalRevenue , Resource
Management and Financial
Management. The company was
founded in 2005.</t>
  </si>
  <si>
    <t xml:space="preserve">MICROSOFT CORP/WORKDAY INC-STRATEGIC ALLIANCE</t>
  </si>
  <si>
    <t xml:space="preserve">Microsoft Corp and Workday Inc formed a strategic alliance, to deliver
integrations that mirror where and how people want to work across Microsoft
Office 365 and Workdays finance and HR applications, which will enable
customers to simplify day-to-day tasks, foster collaboration, and increase
productivity in US.</t>
  </si>
  <si>
    <t xml:space="preserve">594918
98138H</t>
  </si>
  <si>
    <t xml:space="preserve">Boehringer Ingelheim GmbH
ViraTherapeutics GmbH</t>
  </si>
  <si>
    <t xml:space="preserve">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ViraTherapeutics GmbH is a
manufacturer of biological
products. The Company was
founded in April 2013 and is
located in Innsbruck,
Austria.</t>
  </si>
  <si>
    <t xml:space="preserve">CH Boehringer Sohn AG &amp; Co KG
ViraTherapeutics GmbH</t>
  </si>
  <si>
    <t xml:space="preserve">BOEHRINGER INGELHEIM GMBH/VIRATHERAPEUTICS GMBH-STRATEGIC ALLIANCE</t>
  </si>
  <si>
    <t xml:space="preserve">Boehringer Ingelheim GmbH and ViraTherapeutics GmbH formed a strategic
alliance to develop next generation oncolytic virus platform and lead
candidate VSV-GP.</t>
  </si>
  <si>
    <t xml:space="preserve">09710W
9E3242</t>
  </si>
  <si>
    <t xml:space="preserve">The Realtime Group of Cos
Intertek Group PLC</t>
  </si>
  <si>
    <t xml:space="preserve">Pvd project dvlp tech svcs
Provides testing,inspection svcs</t>
  </si>
  <si>
    <t xml:space="preserve">The Realtime Group of Cos,
located in Plano, Texas,
provides product development,
project management, and
product testing technology
services.
Intertek Group PLC, located
in London, the United
Kingdom, provides testing,
inspecting and certifying
services. It offers products
and commodities testing
against a range of safety,
regulatory, quality and
performance standards. It
offers advisory, auditing,
certification, consulting,
evaluation, inspection,
outsourcing, quality
assurance, risk management
and validation. It serves
the oil, chemical,
agriculture, consumer goods,
commercial, electrical, and
government services
industries. It has global
locations in North &amp; South
America, EMEA, and Asia
Pacific. The Company was
founded in 1885.</t>
  </si>
  <si>
    <t xml:space="preserve">7376
8734</t>
  </si>
  <si>
    <t xml:space="preserve">EFO Financial Group LLC
Intertek Group PLC</t>
  </si>
  <si>
    <t xml:space="preserve">6798
8734</t>
  </si>
  <si>
    <t xml:space="preserve">THE REALTIME GROUP OF COS/INTERTEK GROUP PLC-STRATEGIC ALLIANCE</t>
  </si>
  <si>
    <t xml:space="preserve">The RealTime Group and Intertek announced strategic alliance to enhance
product development services.</t>
  </si>
  <si>
    <t xml:space="preserve">0A5964
46195K</t>
  </si>
  <si>
    <t xml:space="preserve">Shaanxi J &amp; R Fire Protection
Heze Traffic Group Corp</t>
  </si>
  <si>
    <t xml:space="preserve">Mnfr fire suppression sys
Pvd transportation svcs</t>
  </si>
  <si>
    <t xml:space="preserve">Shanxi J&amp;R Fire Protection
Co Ltd, located in China,
manufactures and wholesales
fire suppression systems.
Its main products include
gas fire extinguishing
products and fire alarm
system. It also provides
engineering services. The
company was founded in 2008.
Heze Traffic Group Corp,
headquartered in China,
provides transportation
services. The company was
founded in 1959.</t>
  </si>
  <si>
    <t xml:space="preserve">3999
4729</t>
  </si>
  <si>
    <t xml:space="preserve">SHAANXI J&amp;R FIRE PROTECTION CO LTD/HEZE TRAFFIC GROUP CORP-JOINT VENTURE</t>
  </si>
  <si>
    <t xml:space="preserve">Shaanxi JR Fire Protection Co Ltd and Heze Traffic Group Corp planned to
form a 51:49 joint venture to form a strategic alliance to engaged in R&amp;D,
production and sale of lithium iron phosphate power battery.The JV was to
be capitalized at USD 14.994 million.</t>
  </si>
  <si>
    <t xml:space="preserve">The JV was to be capitalized at USD 14.994 million.</t>
  </si>
  <si>
    <t xml:space="preserve">81471F
99387W</t>
  </si>
  <si>
    <t xml:space="preserve">Intuitive Surgical Inc
Shanghai Fosun Pharm (Grp) Co</t>
  </si>
  <si>
    <t xml:space="preserve">Manufactures and wholesales surgical instruments
Pharmaceutical Preparation Manufacturing</t>
  </si>
  <si>
    <t xml:space="preserve">Intuitive Surgical Inc,
headquartered in Sunnyvale,
California, manufactures and
wholesales surgical
instruments. Its da Vinci
Surgical Systems consists of
a surgeon's console, a
patient-side cart and a
vision system. It translates
a surgeon's hand movements,
which are performed on
instrument controls at a
console, into corresponding
micro-movements of
instruments positioned
inside the patient through
small incisions or ports.
The Company was founded in
1995.
Shanghai Fosun
Pharmaceutical (Group) Co
Ltd, located in Shanghai,
China, is a manufacturer and
wholesaler of medical
products. The Company's
products are mainly used in
the treatment of metabolism
and digestive tract system,
cardiovascular system,
central nervous system,
blood system and
anti-infection diseases. Its
products include Atomolan,
MoluoDan and Composite Aloe,
among others. The Company
also involves in drug
distribution and retail,
medical equipment and
medical diagnosis business,
as well as the provision of
medical services. It
distributes its products
primarily in domestic and
overseas markets. The
Company was founded in 1994.</t>
  </si>
  <si>
    <t xml:space="preserve">INTUITIVE SURGICAL INC/SHANGHAI FOSUN-JOINT VENTURE</t>
  </si>
  <si>
    <t xml:space="preserve">Intuitive Surgical Inc and Shanghai Fosun Pharmaceutical(Group)Co Ltd
planned to form a 60:40 joint venture named Intuitive Surgical-Fosun
Medical to research, develop, manufacture and sell innovative,
robotic-assisted catheter-based medical devices in China. The JV was to be
capitalized at USD 100 million.</t>
  </si>
  <si>
    <t xml:space="preserve">The JV was to be capitalized at USD 100 million.</t>
  </si>
  <si>
    <t xml:space="preserve">46120E
82073R</t>
  </si>
  <si>
    <t xml:space="preserve">Medigene AG
bluebird bio Inc</t>
  </si>
  <si>
    <t xml:space="preserve">Medigene AG, located in
Martinsried, Germany, is a
biotechnology company. The
Company is focused on the
development of therapeutics
for cancer and autoimmune
diseases. Its brands include
Eligard, Veregen, Endo TAG,
Rhudex, HSV and mTCR, among
others. The Company was
founded in 1994.
bluebird bio Inc, located in
Cambridge, Massachusetts, is
a biotechnology company
focused on transforming the
lives of patients with
severe genetic and orphan
diseases using gene therapy.
The Company was founded in
1992.</t>
  </si>
  <si>
    <t xml:space="preserve">MEDIGENE AG/BLUEBIRD BIO INC-STRATEGIC ALLIANCE</t>
  </si>
  <si>
    <t xml:space="preserve">MediGene AG and bluebird bio Inc formed a strategic alliance. research and
development collaboration and licensing agreement encompassing T cell
receptor (TCR) immunotherapy against four targets.</t>
  </si>
  <si>
    <t xml:space="preserve">58558N
09609G</t>
  </si>
  <si>
    <t xml:space="preserve">Austin Chemical Company Inc
Advanced Polymer Monitoring</t>
  </si>
  <si>
    <t xml:space="preserve">Manufacture chemicals
Research and Development in The Social Sciences and Humanities</t>
  </si>
  <si>
    <t xml:space="preserve">Austin Chemical Company Inc,
located in Buffalo Grove,
Illinois, United States,
manufactures chemicals.
Advanced Polymer Monitoring
Technologies Inc is a provider
of social sciences research
and development services. The
company was founded in March
2012 and is located in New
Orleans, Louisiana.</t>
  </si>
  <si>
    <t xml:space="preserve">IL
LA</t>
  </si>
  <si>
    <t xml:space="preserve">AUSTIN CHEMICAL COMPANY INC/ADVANCED POLYMER MONITORING TECHNOLOGIES
INC-STRATEGIC ALLIANCE</t>
  </si>
  <si>
    <t xml:space="preserve">Advanced Polymer Monitoring Technologies and Austin Chemical formed a
strategic alliance to leverage the proven products and services from
Advanced Polymer Monitoring Technologies with Austin Chemical deep industry
knowledge and expertise in key application areas for APMT products and
services in polymers and pharmaceuticals.</t>
  </si>
  <si>
    <t xml:space="preserve">06559V
0F1339</t>
  </si>
  <si>
    <t xml:space="preserve">Faraday&amp;Future Inc
LG Chem Ltd</t>
  </si>
  <si>
    <t xml:space="preserve">Automobile Manufacturing
Mnfr,whl petrochem,automotive</t>
  </si>
  <si>
    <t xml:space="preserve">Faraday&amp;Future Inc,
headquartered in Los
Angeles, California,
manufactures intelligent
electric vehicles. It is a
global company focusing on
the next generation of
intelligent mobility
ecosystems. The Company was
founded in May 2014.
LG Chem Ltd is a company
principally engaged in the
manufacture of petrochemical
materials. The Company
operates its business
through four segments. The
Basic Materials Segment is
mainly engaged in the
manufacture of basic
materials which are mainly
used for petrochemical
industry, and the products
include polyvinyl chloride
(PVC) resins, low-density
polyethylene (LDPE), poly
styrene (PS), acrylonitrile
butadiene styrene (ABS),
acrylate and others. The
Information and Electronic
Material Segment is mainly
engaged in the manufacture
of optics materials whose
main product is polarizing
plates. The Battery Segment
is mainly engaged in the
manufacture of rechargeable
batteries including mobile
phone, automobile and
storage batteries. And the
Material Industry segment
which is engaged in the
manufacture of electronic
materials include liquid
crystal display (LCD) and
the positive pole materials.
The Company was founded in
April 2001 and is located in
Seoul, South Korea.</t>
  </si>
  <si>
    <t xml:space="preserve">3711
2869</t>
  </si>
  <si>
    <t xml:space="preserve">FARADAY &amp; FUTURE INC/LG CHEM LTD-STRATEGIC ALLIANCE</t>
  </si>
  <si>
    <t xml:space="preserve">Faraday Future Inc and LG Chem Ltd formed a strategic alliance.</t>
  </si>
  <si>
    <t xml:space="preserve">0F2873
50344E</t>
  </si>
  <si>
    <t xml:space="preserve">Guangdong Ever Bright Grp Co
Suzhou TFC Optical Commun</t>
  </si>
  <si>
    <t xml:space="preserve">Hand and Edge Tool Manufacturing
Optical Instrument and Lens Manufacturing</t>
  </si>
  <si>
    <t xml:space="preserve">Guangdong Ever Bright Group
Co Ltd located in Huizhou,
China is a manufacturer of
hand and edge tools. The
Company was founded in May
2000.
Suzhou TFC Optical
Communication Co Ltd is a
manufacturer and wholesaler
of optical instruments. The
Company was founded in July
2005 and is located in
Suzhou, China.</t>
  </si>
  <si>
    <t xml:space="preserve">3644
3827</t>
  </si>
  <si>
    <t xml:space="preserve">GUANGDONG EVER BRIGHT GROUP CO LTD/SUZHOU TFC OPTICAL COMMUNICATION CO
LTD-JOINT VENTURE</t>
  </si>
  <si>
    <t xml:space="preserve">Guangdong Ever Bright Group Co Ltd and Suzhou TFC Optical Communication Co
Ltd planned to form a 70:30 joint venture to engaged in R&amp;D, production and
sale of precision moulds and parts business.The JV was to be capitalized at
USD 10.497 million.</t>
  </si>
  <si>
    <t xml:space="preserve">The JV was to be capitalized at USD 10.497 million.</t>
  </si>
  <si>
    <t xml:space="preserve">9E3583
9A2251</t>
  </si>
  <si>
    <t xml:space="preserve">Amgen Inc
Nuevolution A/S</t>
  </si>
  <si>
    <t xml:space="preserve">Manufacture human therapeutics
Biotechnology company</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</si>
  <si>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Nuevolution A/S, located in
Copenhagen, Denmark, is a
biotechnology company that
focuses on small molecules
for drug discovery. The
company was founded in 2001.</t>
  </si>
  <si>
    <t xml:space="preserve">Amgen Inc
Nuevolution AB</t>
  </si>
  <si>
    <t xml:space="preserve">AMGEN INC/NUEVOLUTION A/S-STRATEGIC ALLIANCE</t>
  </si>
  <si>
    <t xml:space="preserve">Amgen Inc and Nuevolution A/S, o focus on multi-target research intended to
develop new pharmaceuticals within the oncology and neuroscience segments.</t>
  </si>
  <si>
    <t xml:space="preserve">031162
67164Z</t>
  </si>
  <si>
    <t xml:space="preserve">Monosol Rx
Lupin Pharmaceuticals Inc</t>
  </si>
  <si>
    <t xml:space="preserve">Monosol Rx Inc, based in
Warren, New Jersey, is a
manufacturer of
pharmaceutical products,
specializing in the
development and
commercialization of thin
film pharmaceutical and
over-the-counter (OTC) drug
products. The company was
founded in 2000.
Lupin Pharmaceuticals Inc,
located in Baltimore,
Maryland, manufactures and
sells generic and specialty
pharmaceuticals as well as
cephalosporin active
pharmaceutical ingredients.</t>
  </si>
  <si>
    <t xml:space="preserve">Kuraray Co Ltd
Lupin Ltd</t>
  </si>
  <si>
    <t xml:space="preserve">MONOSOL RX/LUPIN PHARMACEUTICALS INC-STRATEGIC ALLIANCE</t>
  </si>
  <si>
    <t xml:space="preserve">Monosol Rx and Lupin Pharmaceuticals Inc formed a strategic alliance, to
develop multiple pediatric products utilizing the laters proprietary
PharmFilm drug delivery technology in US.</t>
  </si>
  <si>
    <t xml:space="preserve">9J4884
55073N</t>
  </si>
  <si>
    <t xml:space="preserve">NOS SGPS SA
Huawei Technologies Co Ltd</t>
  </si>
  <si>
    <t xml:space="preserve">Wired Telecommunications Carriers
Provide information tech svcs</t>
  </si>
  <si>
    <t xml:space="preserve">NOS SGPS SA, located in
Lisbon, Portugal, provides
cable and satellite television
and Internet services. The
group deals with the sale of
video grams, publishing and
distribution of films and
exploration of cinema
theaters. It also produces the
premium cinema channels and
provides services in the
advertising, multimedia,
interactive digital
television, Internet portals,
dial-up access and e-commerce
sectors. The company was
founded in 1999.
Huawei Technologies Co Ltd
is a software publisher. The
Company was founded in 1987
and is located in Shenzhen,
China.</t>
  </si>
  <si>
    <t xml:space="preserve">4841
7376</t>
  </si>
  <si>
    <t xml:space="preserve">Efanor Investimentos SGPS SA
Union of Huawei Invest &amp; Hldg</t>
  </si>
  <si>
    <t xml:space="preserve">NOS SGPS SA/HUAWEI TECHNOLOGIES CO LTD-STRATEGIC ALLIANCE</t>
  </si>
  <si>
    <t xml:space="preserve">Portugal</t>
  </si>
  <si>
    <t xml:space="preserve">NOS SGPS SA and Huawei Technologies Co Ltd formed a strategic alliance
todevelop joint projects in the areas of networks and technologies,
development of communication infrastructures, data centers, video and
business solutions in Portugal.</t>
  </si>
  <si>
    <t xml:space="preserve">3C5537
44334L</t>
  </si>
  <si>
    <t xml:space="preserve">IBM China Co Ltd
DHC Software Co Ltd</t>
  </si>
  <si>
    <t xml:space="preserve">Whl computers,peripherals
Software Publishers</t>
  </si>
  <si>
    <t xml:space="preserve">IBM China Co Ltd is a computer
and computer peripheral
equipment and software
wholesaler. The Company is
located in Beijing, China.
DHC Software Co Ltd is a
software publisher. The
Company was founded in
January 2001 and is located
in Beijing, China.</t>
  </si>
  <si>
    <t xml:space="preserve">5045
7372</t>
  </si>
  <si>
    <t xml:space="preserve">IBM Corp
DHC Software Co Ltd</t>
  </si>
  <si>
    <t xml:space="preserve">IBM CHINA CO LTD/DHC SOFTWARE CO LTD-STRATEGIC ALLIANCE</t>
  </si>
  <si>
    <t xml:space="preserve">IBM China Co Ltd and DHC Software Co Ltd formed a strategic alliance to
promote joint research, as well as the development of medical data
analysis, as well as transformation of medical precision medicine,
including medical platforms.</t>
  </si>
  <si>
    <t xml:space="preserve">44937K
23941E</t>
  </si>
  <si>
    <t xml:space="preserve">UC Berkeley
Huawei Culture Co Ltd</t>
  </si>
  <si>
    <t xml:space="preserve">Own,op college,university
Motion Picture and Video Production</t>
  </si>
  <si>
    <t xml:space="preserve">University of California at
located in
Berkeley, California, owns
and operates university. The
Company was founded in 1868.
Huawei Culture Co Ltd is
engaged in the motion
pictures and videos services
business. The Company was
founded in August 1997 and
is located in Shantou,
China.</t>
  </si>
  <si>
    <t xml:space="preserve">8221
7812</t>
  </si>
  <si>
    <t xml:space="preserve">UNIVERSITY OF CALIFORNIA AT/HUAWEI CULTURE CO LTD-STRATEGIC ALLIANCE</t>
  </si>
  <si>
    <t xml:space="preserve">University of California at Berkeley and Huawei Culture Co Ltd formed a
strategic alliance.The SA was expected to have capitalization of USD 1
million The purpose of strategic alliance was to into Basic AI Research</t>
  </si>
  <si>
    <t xml:space="preserve">The SA was expected to have capitalization of USD 1 million</t>
  </si>
  <si>
    <t xml:space="preserve">91417C
6E0075</t>
  </si>
  <si>
    <t xml:space="preserve">Anshan Senyuan Road &amp; Bridge
Undisclosed JV Partner</t>
  </si>
  <si>
    <t xml:space="preserve">Construction Machinery Manufacturing
Investment company</t>
  </si>
  <si>
    <t xml:space="preserve">Anshan Senyuan Road &amp; Bridge
Co Ltd is a manufacturer and
wholesaler of construction
machinery. The Company was
founded in October 2004 and
is located in Anshan, China.
Investment company</t>
  </si>
  <si>
    <t xml:space="preserve">ANSHAN SENYUAN ROAD &amp; BRIDGE/UNDISCLOSED PARTNER-JOINT VENTURE</t>
  </si>
  <si>
    <t xml:space="preserve">Anshan Senyuan Road Bridge Co Ltd and Undisclosed Joint Venture Partner
planned to form a 49:51 joint venture to set up an environmental technology
JV in China. The JV was to be capitalized at 50.8 million yuan (USD 7.61
million).</t>
  </si>
  <si>
    <t xml:space="preserve">The JV was to be capitalized at 50.8 million yuan (USD 7.61 million).</t>
  </si>
  <si>
    <t xml:space="preserve">03655E
904JVP</t>
  </si>
  <si>
    <t xml:space="preserve">Jiangxi Lianchuang Optoelectn
Shenzhen Kingzone Tech Co Ltd
Undisclosed JV Partner</t>
  </si>
  <si>
    <t xml:space="preserve">Mnfr LED components,cables
Tobacco Stores
Investment company</t>
  </si>
  <si>
    <t xml:space="preserve">Jiangxi Lianchuang
Optoelectronic Technology Co
Ltd is a manufacturer and
wholesaler of semiconductors
and related device. The
Company was founded in June
1999 and is located in
Nanchang, China.
Shenzhen Kingzone Technology
Co Ltd is a tobacco retailer.
The company is located in
Shenzhen, China.
Investment company</t>
  </si>
  <si>
    <t xml:space="preserve">3674
5993
6799</t>
  </si>
  <si>
    <t xml:space="preserve">China
China
Unknown</t>
  </si>
  <si>
    <t xml:space="preserve">JIANGXI LIANCHUANG/SHENZHEN KINGZONE TECHNOLOGY CO LTD/UNDISCLOSED
PARTNER-JOINT VENTURE</t>
  </si>
  <si>
    <t xml:space="preserve">Jiangxi Lianchuang Optoelectronic Science and Technology, its Shenzhen
subsidiary and Kingzone Tech is planning to set up a joint venture in China
to develop, produce and sell photoelectric product and electron component.
Jiangxi Lianchuang and its subsidiary will hold 26% and 25% stake
respectively in the joint venture while Kingzone Tech will hold the
remaining 49% stake.</t>
  </si>
  <si>
    <t xml:space="preserve">Research &amp; Development Services
Manufacturing Services
Electrical &amp; Electronic Services</t>
  </si>
  <si>
    <t xml:space="preserve">26.00
49.00
25.00</t>
  </si>
  <si>
    <t xml:space="preserve">47752W
0F1769
904JVP</t>
  </si>
  <si>
    <t xml:space="preserve">Brainspace Corp
In-Q-Tel Inc</t>
  </si>
  <si>
    <t xml:space="preserve">Software Publishers
Financial Sponsor</t>
  </si>
  <si>
    <t xml:space="preserve">Brainspace Corp, located in
Addison, Texas, provides
learning and analytics
services.
In-Q-Tel Inc, located in
Arlington, Virginia, is a
venture capital firm that
invests in companies
developing solutions for the
Central Intelligence Agency
and in US intelligence
community. It also serves as
a technology accelerator,
idea lab, and capabilities
builder.</t>
  </si>
  <si>
    <t xml:space="preserve">TX
VA</t>
  </si>
  <si>
    <t xml:space="preserve">BRAINSPACE CORP/IN-Q-TEL INC-STRATEGIC ALLIANCE</t>
  </si>
  <si>
    <t xml:space="preserve">Alaska</t>
  </si>
  <si>
    <t xml:space="preserve">Brainspace Corp and In-Q-Tel Inc formed a strategic alliance, to empower
the U.S. Intelligence Community with advanced machine learning and data
visualization and cyber security in US.</t>
  </si>
  <si>
    <t xml:space="preserve">9E5565
45299Z</t>
  </si>
  <si>
    <t xml:space="preserve">Eli Lilly Canada Inc
The Arthritis Society</t>
  </si>
  <si>
    <t xml:space="preserve">Manufacture pharmaceuticals
Provide medical,health svcs</t>
  </si>
  <si>
    <t xml:space="preserve">Eli Lilly Canada Inc is a
manufacturer of pharmaceutical
preparation. The company is
located in Saint-Laurent,
Canada.
The Arthritis Society is a
provider of ambulatory health
care services. The company is
located in Toronto, Canada.</t>
  </si>
  <si>
    <t xml:space="preserve">ELI LILLY CANADA INC/THE ARTHRITIS SOCIETY-STRATEGIC ALLIANCE</t>
  </si>
  <si>
    <t xml:space="preserve">Eli Lilly Canada Inc and The Arthritis Society formed a strategic alliance
develop and advance a series of initiatives focused on patient-centric care
for people living with rheumatoid arthritis (RA).</t>
  </si>
  <si>
    <t xml:space="preserve">0F2268
0F2274</t>
  </si>
  <si>
    <t xml:space="preserve">Cohu Inc
Spirox Corp</t>
  </si>
  <si>
    <t xml:space="preserve">Mnfr,whl test handling equip
Mnfr,whl semiconductors</t>
  </si>
  <si>
    <t xml:space="preserve">Cohu Inc, located in Poway,
California, manufactures and
wholesales semiconductor
test-handling equipment for
semiconductor manufacturers
and semiconductor test
subcontractors. It has three
divisions: Semiconductor
Equipment, Microwave
Communications, and Television
Cameras. The company was
founded in 1945.
Spirox Corp is a
manufacturer and wholesaler
of semiconductors and
related device. The company
was founded in December 1987
and is located in Hsinchu,
Taiwan.</t>
  </si>
  <si>
    <t xml:space="preserve">COHU INC/SPIROX CORP-STRATEGIC ALLIANCE</t>
  </si>
  <si>
    <t xml:space="preserve">Cohu Inc and Spirox Corp formed a strategic alliance leverage its
well-established global sales and service organization, and expanding test
development centers in Shanghai, China and Hsinchu, Taiwan to directly
support customers in the region. These development centers already provide
high-level test applications capability and will continue to expand in
alignment with our customers needs. Spirox has been a valued partner and is
expected to continue to support our customers while we implement a smooth
transition for both companies.</t>
  </si>
  <si>
    <t xml:space="preserve">192576
84866J</t>
  </si>
  <si>
    <t xml:space="preserve">Maharashtra Government
Cisco Systems Inc</t>
  </si>
  <si>
    <t xml:space="preserve">State government
Manufactures and wholesales networking and communications products</t>
  </si>
  <si>
    <t xml:space="preserve">Maharashtra Government is a
state government of India
Cisco Systems Inc, located
in San Jose, California,
manufactures and wholesales
networking and
communications products. It
offers services related to
this equipment and its use,
offering a wide range of
products for transporting
data, voice and video within
buildings, across the
campuses and around the
world. It also develops
communication software. Its
products include modems,
Routing technology,
switching technology, IP
phone and communication
devices, and network
management software. It also
operates in the United
States, Canada, European
Markets, Eastern Europe,
Latin America, the Middle
East and Africa, Russia,
Asia Pacific and Japan. The
Company was founded in 1984.</t>
  </si>
  <si>
    <t xml:space="preserve">999C
3577</t>
  </si>
  <si>
    <t xml:space="preserve">India
Cisco Systems Inc</t>
  </si>
  <si>
    <t xml:space="preserve">999A
3577</t>
  </si>
  <si>
    <t xml:space="preserve">MAHARASHTRA, STATE GOVERNMENT/CISCO SYSTEMS INC-STRATEGIC ALLIANCE</t>
  </si>
  <si>
    <t xml:space="preserve">State Government of Maharashtra and Cisco Systems Inc formed a strategic
alliance to help the digital transformation of the state, which includes
the citywide deployment of a smart city framework to roll out Smart City
solutions.</t>
  </si>
  <si>
    <t xml:space="preserve">Educational Services
Modernization Services
Research &amp; Development Services</t>
  </si>
  <si>
    <t xml:space="preserve">55980P
17275R</t>
  </si>
  <si>
    <t xml:space="preserve">Origin Cell Tech Grp Co Ltd
University of Washington</t>
  </si>
  <si>
    <t xml:space="preserve">Software Publishers
Own, operate university</t>
  </si>
  <si>
    <t xml:space="preserve">Origin Cell Technology Group
Co Ltd is a software
publisher. The company was
founded in July 2014 and is
located in Shanghai, China.
University of Washington is a
college operator. The Company
is located in Seattle,
Washington.</t>
  </si>
  <si>
    <t xml:space="preserve">Shanghai Canature Envi Prod Co
United States of America</t>
  </si>
  <si>
    <t xml:space="preserve">3589
999A</t>
  </si>
  <si>
    <t xml:space="preserve">ORIGIN CELL TECHNOLOGY GROUP CO LTD/UNIVERSITY OF WASHINGTON-STRATEGIC
ALLIANCE</t>
  </si>
  <si>
    <t xml:space="preserve">Origin Cell Technology Group Co Ltd and University of Washington formed a
strategic alliance.</t>
  </si>
  <si>
    <t xml:space="preserve">0E1769
91510P</t>
  </si>
  <si>
    <t xml:space="preserve">China Fortune Land Co Ltd
Conway Inc</t>
  </si>
  <si>
    <t xml:space="preserve">Land Subdivision
Business Development Company</t>
  </si>
  <si>
    <t xml:space="preserve">China Fortune Land Co Ltd is
a provider of land
subdivision services. The
Company was founded in May
1993 and is located in
Beijing, China.
Conway Inc is a International
Trade and Development. The
Company is located in the
United States.</t>
  </si>
  <si>
    <t xml:space="preserve">6552
6726</t>
  </si>
  <si>
    <t xml:space="preserve">Beijing Oriental Yinlian Co
Conway Inc</t>
  </si>
  <si>
    <t xml:space="preserve">6282
6726</t>
  </si>
  <si>
    <t xml:space="preserve">CHINA FORTUNE LAND DEVELOPMENT/CONWAY INC-STRATEGIC ALLIANCE</t>
  </si>
  <si>
    <t xml:space="preserve">China Fortune Land Development Co Ltd and Con-way Inc formed a strategic
alliance.</t>
  </si>
  <si>
    <t xml:space="preserve">0F5471
0F1215</t>
  </si>
  <si>
    <t xml:space="preserve">Zucara Therapeutics Inc
CDRD</t>
  </si>
  <si>
    <t xml:space="preserve">Biological Product (Except Diagnostic) Manufacturing
Manufacture pharmaceuticals</t>
  </si>
  <si>
    <t xml:space="preserve">Zucara Therapeutics Inc is a
manufacturer of biological
products. The company was
founded in November 2015 and
is located in Canada.
CDRD is a manufacturer of
pharmaceutical preparation.
The company was founded in
2007 and is located in Canada.</t>
  </si>
  <si>
    <t xml:space="preserve">ZUCARA THERAPEUTICS INC/CDRD-STRATEGIC ALLIANCE</t>
  </si>
  <si>
    <t xml:space="preserve">Zucara Therapeutics Inc and CDRD formed a strategic alliance to develop
unique compounds that will lead to a new safe and effective long-term
therapeutic approach as the first once-daily therapeutic to prevent
hypoglycemia in patients with diabetes in Canada.</t>
  </si>
  <si>
    <t xml:space="preserve">0F1540
0F1546</t>
  </si>
  <si>
    <t xml:space="preserve">Centre for Process Innovation
University of Durham</t>
  </si>
  <si>
    <t xml:space="preserve">National Government
Colleges, Universities, and Professional Schools</t>
  </si>
  <si>
    <t xml:space="preserve">Centre for Process Innovation
Ltd is a manufacturer of
biological products. The
company is located in Redcar,
the United Kingdom.
University of Durham is an
owner and operator of
university. The Company was
founded in 1832 and is
located in Durham, the
United Kingdom.</t>
  </si>
  <si>
    <t xml:space="preserve">CENTRE FOR PROCESS INNOVATION LTD/DURHAM UNIVERSITY-STRATEGIC ALLIANCE</t>
  </si>
  <si>
    <t xml:space="preserve">Centre for Process Innovation Ltd and Durham University formed a strategic
alliance.the purpose of strategic alliance was to brings together Durhams
research excellence in areas such as chemistry, biology, physics and
engineering with the translational expertise of the CPI.</t>
  </si>
  <si>
    <t xml:space="preserve">0F3462
91423R</t>
  </si>
  <si>
    <t xml:space="preserve">Mr Ho Kuang-Chi
Xiabu Xiabu Catering Mgmt Co</t>
  </si>
  <si>
    <t xml:space="preserve">Individual
Full-Service Restaurants</t>
  </si>
  <si>
    <t xml:space="preserve">Mr Ho Kuang-Chi, located in
China, is an individual
investor.
Xiabu Xiabu Catering
Management Company Ltd,
located in Beijing, China
owns and operates hot pot
restaurants. The company was
founded in 1998.</t>
  </si>
  <si>
    <t xml:space="preserve">6799
5812</t>
  </si>
  <si>
    <t xml:space="preserve">MR HO KUANG-CHI/XIABUXIABU CATERING MANAGEMENT (CHINA) HOLDINGS CO
LTD-JOINT VENTURE</t>
  </si>
  <si>
    <t xml:space="preserve">Cayman Islands</t>
  </si>
  <si>
    <t xml:space="preserve">Mr Ho Kuang-Chi and Xiabuxiabu Catering Management (China) Holdings Co Ltd
planned to form a 40:60 joint venture named Xiabuxiabu (China) Food
Holdings Co Ltd to form a 40:60 joint venture to research, development,
production and sale of the Condiment Products, which consist of soup bases,
dipping sauces, seasoning sauces and products and various compound
condiments, and products with giftwrapping and limited editions which
target at mid- to high-end customers.The JV was to be capitalized at USD 1
Million..</t>
  </si>
  <si>
    <t xml:space="preserve">The JV was to be capitalized at USD 1 Million.</t>
  </si>
  <si>
    <t xml:space="preserve">9E7136
98687Q</t>
  </si>
  <si>
    <t xml:space="preserve">Schneider Electric SE
French Alternative Energies</t>
  </si>
  <si>
    <t xml:space="preserve">Manufactures electricity distribution, automation equipment
Provide research,dvlp svcs</t>
  </si>
  <si>
    <t xml:space="preserve">Schneider Electric SE,
located in Rueil-Malmaison,
Ille de France, manufactures
electricity distribution and
automation equipment and
installation components for
energy management.It has
five divisions organized by
business: Energy and
Infrastructure, which
includes medium and low
voltage, installation
systems and control,
renewable energies and
includes customer segments
in Utilities, Marine,
residential and oil &amp; gas
sector; Industry, which
includes automation &amp;
control which includes water
treatment and mining,
minerals &amp; metals
industries; Buildings, which
includes building automation
and security, whose
customers are hotels,
hospitals, office and retail
buildings; Data canters and
networks, and Residential
which is engaged in
solutions for saving
electricity bills by
combining lighting and
heating control features. It
operates through Luminous
Power Technologies Pvt Ltd
and Asco Power Technologies.
The Company was founded in
1846.
French Alternative Energies
and Atomic Energy Commission
is a provider of research and
development services. The
company is located in France.</t>
  </si>
  <si>
    <t xml:space="preserve">SCHNEIDER ELECTRIC SE/FRENCH ALTERNATIVE ENERGIES AND ATOMIC ENERGY
COMMISSION-STRATEGIC ALLIANCE</t>
  </si>
  <si>
    <t xml:space="preserve">Schneider Electric SA and French Alternative Energies and Atomic Energy
Commission formed a strategic alliance to carry out exclusive R&amp;D projects
in key areas for Schneider Electric.</t>
  </si>
  <si>
    <t xml:space="preserve">6F5799
9E8025</t>
  </si>
  <si>
    <t xml:space="preserve">OCP SA
Krishak Bharati Coop Ltd</t>
  </si>
  <si>
    <t xml:space="preserve">Mnfr,whl industrial chemicals
Mnfr fertilizers</t>
  </si>
  <si>
    <t xml:space="preserve">OCP SA manufactures and
wholesales industrial
chemicals. It mines and
sells phosphate rock and
phosphate derivatives such
as phosphoric acid and
fertilizers. It has
production sites located at
Khouribga, Benguerir,
Youssoufia, Boucraa, Safi
and Jorf Lasfar. The Company
was founded in 1920 and is
located in Casablanca,
Morocco. Morocco.
Krishak Bharati Cooperative
Ltd is a manufacturer of
nitrogenous fertilizers. The
Company was founded in April
1980 and is located in
Noida, India.</t>
  </si>
  <si>
    <t xml:space="preserve">2874
2873</t>
  </si>
  <si>
    <t xml:space="preserve">Morocco
India</t>
  </si>
  <si>
    <t xml:space="preserve">OCP SA/KRISHAK BHARATI COOPERATIVE-JOINT VENTURE</t>
  </si>
  <si>
    <t xml:space="preserve">Manufacture fertilizers</t>
  </si>
  <si>
    <t xml:space="preserve">OCP SA and Krishak Bharati Cooperative Ltd formed a 50:50 joint venture
named NPK Fertilizer Plant. The JV was to have a cost of USD 230 million.</t>
  </si>
  <si>
    <t xml:space="preserve">The JV was to have a cost of USD 230 Million.</t>
  </si>
  <si>
    <t xml:space="preserve">63136L</t>
  </si>
  <si>
    <t xml:space="preserve">67621J
50101L</t>
  </si>
  <si>
    <t xml:space="preserve">Bloom Energy LLC
Southern Co
PowerSecure International Inc</t>
  </si>
  <si>
    <t xml:space="preserve">Pvd solid-oxide fuel-cell tech
Provides electric utility services
Mnfr power sys,switchgear prod</t>
  </si>
  <si>
    <t xml:space="preserve">Bloom Energy LLC, based in
Sunnyvale, California provides
solid-oxide fuel-cell
technology services.
Southern Co, located in
Atlanta, Georgia, provides
electric utility services.
It also owns and operates
Southern Power Co, LINC
Wireless, Nuclear, SCS, and
Southern Holdings. The
Company was founded on
November 9, 1945.
PowerSecure International Inc,
located in Wake Forest, North
Carolina, manufactures power
systems and switchgear
products. It has three
business segments comprised of
Distributed Generation,
Utility Infrastructure, and
Energy Efficiency. The
Distributed Generation
includes Interactive
Distributed Generation power
systems, PowerBlock generator
solution, smart grid
monitoring for electric
utilities, peak shaving and
demand response, PowerControl
standby power dispatch and
control software, as well as,
switchgear products and
services. The Utility
Infrastructure includes
UtilityServices utility
infrastructure products and
services, including
transmission and distribution
system and substation
construction and maintenance,
and storm restoration. The
Energy Efficiency includes LED
lighting products for grocery
retailers, utilities and
commercial and industrial
customers. The company was
founded in April 1991.</t>
  </si>
  <si>
    <t xml:space="preserve">4911
4911
3613</t>
  </si>
  <si>
    <t xml:space="preserve">CA
GA
NC</t>
  </si>
  <si>
    <t xml:space="preserve">Bloom Energy LLC
Southern Co
Southern Co</t>
  </si>
  <si>
    <t xml:space="preserve">4911
4911
4911</t>
  </si>
  <si>
    <t xml:space="preserve">BLOOM ENERGY LLC/SOUTHERN CO/POWERSECURE INTERNATIONAL INC-STRATEGIC
ALLIANCE</t>
  </si>
  <si>
    <t xml:space="preserve">Bloom Energy LLC, Southern Co and PowerSecure International Inc formed a
strategic alliance for project investment and joint-technology development
to provide behind-the-meter energy solutions.</t>
  </si>
  <si>
    <t xml:space="preserve">Electric Utility Services
Supply Services
Research &amp; Development Services</t>
  </si>
  <si>
    <t xml:space="preserve">4A2517
842587
73936N</t>
  </si>
  <si>
    <t xml:space="preserve">Dong-A ST Co Ltd
Beactica AB</t>
  </si>
  <si>
    <t xml:space="preserve">Mnfr,whl ethical drug
Pvd research,dvlp svcs</t>
  </si>
  <si>
    <t xml:space="preserve">DONG-A ST CO.,LTD is a
Seoul-based company
principally engaged in the
specialized pharmaceutical
business. The Companys
products portfolio consists of
therapeutic for acne
treatment, preparations for
hair and others, hepatitis
drugs, therapeutic for
osteoporosis, anticancer
drugs, antibiotics,
antihypertensive drugs, drugs
for treatment of dermatosis,
peptic ulcer drugs, as well as
anti-fungals, among others. It
also involves in the provision
of medical equipment,
diagnosis services, as well as
overseas sale business. The
company was founded in 2013.
Beactica AB is a provider of
biotechnology research and
development services. The
Company was founded in 2006
and is located in Uppsala,
Sweden.</t>
  </si>
  <si>
    <t xml:space="preserve">South Korea
Sweden</t>
  </si>
  <si>
    <t xml:space="preserve">DONG-A ST CO LTD/BEACTICA AB-STRATEGIC ALLIANCE</t>
  </si>
  <si>
    <t xml:space="preserve">Dong-A ST Co Ltd and Beactica AB formed a strategic alliance to develop
anti-cancer drugs against certain disease-related oncology targets in
Sweden.</t>
  </si>
  <si>
    <t xml:space="preserve">3A2431
07571Z</t>
  </si>
  <si>
    <t xml:space="preserve">SingTel Optus Pty Ltd
La Trobe University</t>
  </si>
  <si>
    <t xml:space="preserve">Pvd telecommunications svcs
Own,op college,university</t>
  </si>
  <si>
    <t xml:space="preserve">SingTel Optus Pty Ltd is a
wired telecommunications
carrier. The Company was
founded in 1992 and is
located in Sydney,
Australia.
Own and operate college and
university</t>
  </si>
  <si>
    <t xml:space="preserve">Singapore Telecommun Ltd
La Trobe University</t>
  </si>
  <si>
    <t xml:space="preserve">4812
8221</t>
  </si>
  <si>
    <t xml:space="preserve">SINGTEL OPTUS PTY LTD/LA TROBE UNIVERSITY-STRATEGIC ALLIANCE</t>
  </si>
  <si>
    <t xml:space="preserve">SingTel Optus Pty Ltd and La Trobe University formed a strategic alliance
to deliver an integrated, digitally connected campus; a state-of-the-art
Sports Precinct of the Future; and the creation of a market leading Cyber
Security tertiary degree.</t>
  </si>
  <si>
    <t xml:space="preserve">82961W
50513H</t>
  </si>
  <si>
    <t xml:space="preserve">Xinjiang Tianye Water Saving
W Xinjiang High-tech Invest
XPCC Surveying&amp;Designing Inst</t>
  </si>
  <si>
    <t xml:space="preserve">Pump and Pumping Equipment Manufacturing
Water Supply and Irrigation Systems
Geophysical Surveying and Mapping Services</t>
  </si>
  <si>
    <t xml:space="preserve">Xinjiang Tianye Water Saving
Irrigation System Co Ltd,
based in Hong Kong,
manufactures and wholesales
drip films, PVC/PE pipelines
and drip assemblies used in
water saving irrigation
systems, and provide
installation services for
water saving irrigation
systems. It was founded in
1999.
West Xinjiang High-tech
Investment is a water supply
system operator. The Company
is located in China.
XPCC Surveying &amp; Designing
Institute (Group) Co Ltd is a
provider of geophysical
surveying and mapping
services. The company was
founded in April 1989 and is
located in Urumqi, China.</t>
  </si>
  <si>
    <t xml:space="preserve">3561
4971
8713</t>
  </si>
  <si>
    <t xml:space="preserve">Xinjiang Tianye(Group)Co Ltd
Xinjiang Academy of
XPCC Surveying&amp;Designing Inst</t>
  </si>
  <si>
    <t xml:space="preserve">3089
8221
8713</t>
  </si>
  <si>
    <t xml:space="preserve">XINJIANG TIANYE WATER SAVING/WEST XINJIANG HIGH-TECH INVESTMENT/XPCC
SURVEYING&amp;DESIGNING INSTITUTE (GROUP) CO LTD-JOINT VENTURE</t>
  </si>
  <si>
    <t xml:space="preserve">Zhongxin Modern Water Saving
Technology Co Ltd is a
commercial building
construction company. The
company is located in China.</t>
  </si>
  <si>
    <t xml:space="preserve">Xinjiang Tianye Water Saving Irrigation System Co Ltd, West Xinjiang
High-tech Investment and XPCC SurveyingDesigning Institute (Group) Co Ltd
formed a 59:3:38 joint venture named Zhongxin Modern Water Saving. The JV
was expected to have revenues of USD 14.9963 million, create an operational
management model with research and development, production, marketing,
construction, operation and service abilities to lead the growth of water
saving industry.</t>
  </si>
  <si>
    <t xml:space="preserve">Research &amp; Development Services
Marketing Services
Construction Services
Water Utility Services</t>
  </si>
  <si>
    <t xml:space="preserve">59.00
3.00
38.00</t>
  </si>
  <si>
    <t xml:space="preserve">The JV was to be capitalized at USD 14.9963$.</t>
  </si>
  <si>
    <t xml:space="preserve">0F0324</t>
  </si>
  <si>
    <t xml:space="preserve">98547K
9E9279
3E0358</t>
  </si>
  <si>
    <t xml:space="preserve">Suzlon Energy Ltd
Ostro Energy Pvt Ltd</t>
  </si>
  <si>
    <t xml:space="preserve">Provider of renewable energy solutions
Alternative Energy Sources</t>
  </si>
  <si>
    <t xml:space="preserve">Suzlon Energy Ltd is a
provider of renewable energy
solutions. The Company is a
producer of wind turbines. It
offers a range of solar energy
solutions, such as solar
irradiance assessment, land
acquisition and approvals,
infrastructure and power
evacuation, supply chain,
installation and commission
and life cycle asset
management. It offers S97,
S111 and classic feet. Its S97
is a wind turbine generator
designed to make low wind
sites viable. The S97 is
available in two variants: S97
90 meter (m) and S97 120m. Its
S111 is suitable for class III
sites and a range of altitudes
and temperatures. The S111 is
available in two variants:
S111 90m and S111 120m. Its
S88-2.1 megawatt (MW) is
designed for a medium wind
speed regime. Its S82-1.5 MW
and S66-1.25 MW are designed
for generating optimal power
output even at sites with a
wind speed regime. Its
manufacturing facilities for
wind turbine generator
components and rotor blades
are located in India, Brazil
and the United States. The
Company was founded in 1995
and is located in Pune, India.
Ostro Energy Pvt Ltd is an
alternative energy sources
establishment. It is a clean
energy company. The Company
was founded in 2009 and is
located in New Delhi, India.</t>
  </si>
  <si>
    <t xml:space="preserve">3511
499A</t>
  </si>
  <si>
    <t xml:space="preserve">Suzlon Energy Ltd
Actis LLP</t>
  </si>
  <si>
    <t xml:space="preserve">3511
6799</t>
  </si>
  <si>
    <t xml:space="preserve">SUZLON ENERGY LTD/OSTRO ENERGY PVT LTD-JOINT VENTURE</t>
  </si>
  <si>
    <t xml:space="preserve">Suzlon Energy Ltd and Ostro Energy Pvt Ltd planned to form a 51:49 joint
venture named Prathamesh Solarfarms Ltd to develop and construction of a 50
megawatts solar project in India.</t>
  </si>
  <si>
    <t xml:space="preserve">86950P
9C0069</t>
  </si>
  <si>
    <t xml:space="preserve">Knit Health Inc
Intrinsyc Technologies Corp</t>
  </si>
  <si>
    <t xml:space="preserve">Photographic Equipment and Supplies Merchant Wholesalers
Software Reproducing</t>
  </si>
  <si>
    <t xml:space="preserve">Knit Health Inc is a
photographic equipment and
supplies wholesaler. The
company is located in the
United States.
Intrinsyc Software
International Inc, located
in Vancouver, British
Columbia, develops wireless
software solutions that
enable next-generation
handheld products, including
mobile handsets, smart
phones and converged
devices. The company''s
software products,
engineering services, and
years of expertise help
device makers, service
providers, and silicon
providers deliver compelling
wireless products with
faster time-to-market and
improved development cost.
It has regional offices in
the United States, the
United Kingdom, Taiwan and
Barbados. The company was
founded in 1992.</t>
  </si>
  <si>
    <t xml:space="preserve">5043
7372</t>
  </si>
  <si>
    <t xml:space="preserve">KNIT HEALTH INC/INTRINSYC TECHNOLOGIES CORP-STRATEGIC ALLIANCE</t>
  </si>
  <si>
    <t xml:space="preserve">Knit Health Inc and Intrinsyc Technologies Corp planned to form a strategic
alliance for the development and supply agreement of Knit Health Inc to
Intrinsyc Technologies Corp.</t>
  </si>
  <si>
    <t xml:space="preserve">0F4759
461199</t>
  </si>
  <si>
    <t xml:space="preserve">PersonGen Biomedicine
Anhui Anke Biotechnology (Grp)</t>
  </si>
  <si>
    <t xml:space="preserve">PersonGen Biomedicine (Suzhou)
Co Ltd, located in China,
manufactures and wholesales
pharmaceuticals. It also
engages in pharmaceuticals and
biotechnology research. Its
products and technology
include cell therapy
technology such as CAR-T,
CAR-NK, aAPCCT and aAPCNK, and
antibody-based drugs such as
immune checkpoint antibodies,
nanorods antibodies and
bispecific antibodies. The
company was founded in May
2010.
Anhui Anke Biotechnology
(Group) Co Ltd, located in
China, manufactures and
wholesales pharmaceuticals. It
also engages in
pharmaceuticals and
biotechnology research. The
company was founded in
September 2000.</t>
  </si>
  <si>
    <t xml:space="preserve">PERSONGEN BIOMEDICINE (SUZHOU) CO LTD/ANHUI ANKE BIOTECHNOLOGY (GROUP) CO
LTD-JOINT VENTURE</t>
  </si>
  <si>
    <t xml:space="preserve">PersonGen Biomedicine (Suzhou) Co Ltd and Anhui Anke Biotechnology (Group)
Co Ltd formed a 51:49 joint venture to set up a cell technology JV in
China. The JV was to be capitalized at USD 14.74 million.</t>
  </si>
  <si>
    <t xml:space="preserve">The JV was to be capitalized at USD 14.74 million.</t>
  </si>
  <si>
    <t xml:space="preserve">3E3579
03552Q</t>
  </si>
  <si>
    <t xml:space="preserve">Lenovo Group Ltd
Fujitsu Client Computing Ltd</t>
  </si>
  <si>
    <t xml:space="preserve">Mnfr,wholesale computer prod
Electronic Computer Manufacturing</t>
  </si>
  <si>
    <t xml:space="preserve">Lenovo Group Ltd, located in
Quarry Bay, Hong Kong,
manufactures and wholesales
computer products. The
Products of the company
include the Thinkpad notebooks
and Thinkcentre desktops as
well as a full line of PC
accessories and options. The
Group also offers mobile
handsets, servers, peripherals
and digital entertainment
products for the China market.
The Group has research centers
in Yamato, Japan; Beijing,
Shanghai and Shenzhen, China;
and Raleigh, North Carolina.
They even provide services
worldwide for their products
with executive offices in
Beijing, China, and Singapore.
The Company was founded in
1984.
Fujitsu Client Computing Ltd
is a manufacturer and
wholesaler of electronic
computers. The company was
founded in February 2016 and
is located in Kawasaki-Shi
Kanagawa, Japan.</t>
  </si>
  <si>
    <t xml:space="preserve">Hong Kong
Japan</t>
  </si>
  <si>
    <t xml:space="preserve">Lenovo Group Ltd
Fujitsu Ltd</t>
  </si>
  <si>
    <t xml:space="preserve">3571
7373</t>
  </si>
  <si>
    <t xml:space="preserve">LENOVO GROUP LTD/FUJITSU CLIENT COMPUTING LTD-STRATEGIC ALLIANCE</t>
  </si>
  <si>
    <t xml:space="preserve">Lenovo Group Ltd and Fujitsu Client Computing Ltd planned to form a
strategic alliance to research and development, design and manufacturing of
PCs for global markets in Japan.</t>
  </si>
  <si>
    <t xml:space="preserve">526250
9E4261</t>
  </si>
  <si>
    <t xml:space="preserve">SK Telecom Co Ltd
Intel Corp</t>
  </si>
  <si>
    <t xml:space="preserve">Pvd cellular telecommun svcs
Manufacture,wholesale semiconductors</t>
  </si>
  <si>
    <t xml:space="preserve">SK Telecom Co Ltd,
headquartered in Seoul, South
Korea, provides cellular
telecommunication, wireless
internet, international
roaming, video telephony and
B2B services. The company was
established in 1984.
Intel Corp, located in Santa
Clara, California,
manufactures and wholesales
semiconductors. Its products
include silicon-based
semiconductors, retail
network and communications
products, computer parts,
processors, server boards,
motherboards, chipsets,
desktop, notebook and
storage systems. The Company
was founded in 1968.</t>
  </si>
  <si>
    <t xml:space="preserve">4812
3674</t>
  </si>
  <si>
    <t xml:space="preserve">SK TELECOM CO LTD/INTEL CORP-STRATEGIC ALLIANCE</t>
  </si>
  <si>
    <t xml:space="preserve">SK Telecom Co Ltd and Intel Corp formed a strategic alliance to jointly
develop 5G network-based technologies for self-driving vehicles in South
Korea.</t>
  </si>
  <si>
    <t xml:space="preserve">78440P
458140</t>
  </si>
  <si>
    <t xml:space="preserve">National Univ of Singapore
A*STAR</t>
  </si>
  <si>
    <t xml:space="preserve">Own,op college,university
Pvd scientific research svcs</t>
  </si>
  <si>
    <t xml:space="preserve">National University of
located in
Singapore, owns and operates
college and university.
Agency for Science,Technology
&amp; Research, located in
Singapore, Singapore, provides
scientific and technological
research services.</t>
  </si>
  <si>
    <t xml:space="preserve">National Univ of Singapore
Singapore</t>
  </si>
  <si>
    <t xml:space="preserve">8221
999A</t>
  </si>
  <si>
    <t xml:space="preserve">NATIONAL UNIVERSITY OF/AGENCY FOR SCIENCE,TECHNOLOGY-JOINT VENTURE</t>
  </si>
  <si>
    <t xml:space="preserve">.National University of Singapore and Agency for Science, Technology
Research{A*STAR} formed a joint venture spur research excellence and
advance Singapore's Marine &amp; Offshore Engineering (M&amp;OE) industry.</t>
  </si>
  <si>
    <t xml:space="preserve">63838Q
98562F</t>
  </si>
  <si>
    <t xml:space="preserve">Fitbit Inc
Virgin Pulse Inc</t>
  </si>
  <si>
    <t xml:space="preserve">Manufactures fitness activity products
Software Publishers</t>
  </si>
  <si>
    <t xml:space="preserve">Fitbit Inc, located in San
Francisco, California,
manufactures and markets
fitness activity products.
It offers Flex, a wireless
activity and sleep wristband
that tracks steps, distance,
and calories burned; ZIP, a
wireless activity tracker
that tracks users steps,
distance, and calories
burned, as well as syncs
those stats to computer and
selected smartphones; and
One, a wireless activity and
sleep tracker. It also
provides Aria, a Wi-Fi smart
scale that tracks weight,
body fat percentage, and
body mass index; and
accessories. It offers its
products online, as well as
through other online
retailers in the United
States. The Company was
founded in March 2007.
Virgin Pulse Inc, located in
Framingham, Massachusetts,
develops employee-centric
software solutions that
drive wellbeing, culture and
productivity across
organizations.</t>
  </si>
  <si>
    <t xml:space="preserve">CA
RI</t>
  </si>
  <si>
    <t xml:space="preserve">FITBIT INC/VIRGIN PULSE INC-STRATEGIC ALLIANCE</t>
  </si>
  <si>
    <t xml:space="preserve">Fitbit Inc and Virgin Pulse Inc formed a strategic alliance offer Fitbit
trackers at a lower cost and develop personalized wellbeing programs around
Fitbits Group Health offerings in US.</t>
  </si>
  <si>
    <t xml:space="preserve">33812L
8C0972</t>
  </si>
  <si>
    <t xml:space="preserve">Agilent Technologies Inc
PureHoney Technologies</t>
  </si>
  <si>
    <t xml:space="preserve">Manufactures life sciences, diagnostics, applied chemical products
Biological Product (Except Diagnostic) Manufacturing</t>
  </si>
  <si>
    <t xml:space="preserve">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
PureHoney Technologies is a
manufacturer of biological
products. The company was
founded in 2004 and is located
in Massachusetts.</t>
  </si>
  <si>
    <t xml:space="preserve">AGILENT TECHNOLOGIES INC/PUREHONEY TECHNOLOGIES-STRATEGIC ALLIANCE</t>
  </si>
  <si>
    <t xml:space="preserve">Agilent Technologies Inc and PureHoney Technologies formed a strategic
alliance to develop new applications on the Agilent RapidFire 365
High-throughput Mass Spectrometry System in US.</t>
  </si>
  <si>
    <t xml:space="preserve">00846U
9E9634</t>
  </si>
  <si>
    <t xml:space="preserve">MorphoSys AG
LEO Pharma A/S</t>
  </si>
  <si>
    <t xml:space="preserve">Mnfr biopharmaceutical prod
Mnfr pharmaceuticals</t>
  </si>
  <si>
    <t xml:space="preserve">MorphoSys AG, located in
Martinsried/Planegg,
Germany, manufactures
biopharmaceutical products.
The company is focused on
fully human antibodies. It
operates in two segments:
Therapeutic Antibodies and
Antibodies Direct (AbD).
Therapeutic Antibodies
segment develops drug
candidates on behalf of
commercial partners, as well
as for its own product
pipeline. Research
Antibodies segment, delivers
antibodies to the research
and diagnostics markets
under the brand name AbD
Serotec. The company
possesses the technologies
in the generation of human
antibody therapeutics and
bespoke antibody research
projects. The AbD segment
leverages its core
technological capabilities
in the design and
manufacture of antibodies
for research purposes. It
commercializes the HuCAL
technology, focusing on the
custom generation of
research antibodies for
partners on an individual
basis. It operates through
offices in Germany, the UK
and the USA. The company was
founded in 1992.
Leo Pharma A/S, located in
Ballerup, Denmark,
manufactures pharmaceuticals
intended for final
consumption, including
biotech products and
antibiotics. The Company
offers drugs for the
treatment of psoriasis,
atopic dermatitis, eczema,
and acne; anti-coagulation,
bone turnover/nephrology,
and antithrombin
deficiencies; inflammation;
thromboembolic disorders;
and infectious diseases. It
was founded in 1908.</t>
  </si>
  <si>
    <t xml:space="preserve">MorphoSys AG
Leo Fondet</t>
  </si>
  <si>
    <t xml:space="preserve">MORPHOSYS AG/LEO PHARMA A/S-STRATEGIC ALLIANCE</t>
  </si>
  <si>
    <t xml:space="preserve">MorphoSys AG and LEO Pharma A/S extended their strategic alliance to
discover and development of therapeutic antibodies for the treatment of
skin diseases and also to include peptide-derived therapeutics. The
objective of the alliance is to identify novel, peptide-derived
therapeutics for unmet medical needs that will be valuable additions to
both companies pipelines.</t>
  </si>
  <si>
    <t xml:space="preserve">617760
52668Z</t>
  </si>
  <si>
    <t xml:space="preserve">Delair Sas
Microdrones Gmbh</t>
  </si>
  <si>
    <t xml:space="preserve">Search Detection Navigation Guidance Aeronautical and Nautical System and Instrument Manufacturing
Electric utility company</t>
  </si>
  <si>
    <t xml:space="preserve">Delair-Tech SAS is a
manufacturer of search,
detection, navigation,
guidance, aeronautical
systems and instruments. The
Company was founded in March
2011 and is located in
Toulouse, France.
Microdrones Gmbh is an
electric power distributor.
The company is located in
Siegen, Germany.</t>
  </si>
  <si>
    <t xml:space="preserve">3812
4911</t>
  </si>
  <si>
    <t xml:space="preserve">DELAIR-TECH SAS/MICRODRONES GMBH-STRATEGIC ALLIANCE</t>
  </si>
  <si>
    <t xml:space="preserve">Delair-Tech SAS and Microdrones Gmbh formed a strategic alliance combine
the R &amp; D strengths of both companies, allowing Delair-Tech and microdrones
to collaborate on the second generation of commercial UAVs</t>
  </si>
  <si>
    <t xml:space="preserve">4E2449
0F2219</t>
  </si>
  <si>
    <t xml:space="preserve">Infinity Pharmaceuticals Inc
Verastem Inc</t>
  </si>
  <si>
    <t xml:space="preserve">Mnfr pharm
Mnfr of small molecule drugs</t>
  </si>
  <si>
    <t xml:space="preserve">Infinity Pharmaceuticals Inc,
located in Cambridge,
California, is a drug
discovery and development
company. It manufactures
pharmaceuticals for the
treatment of cancer and
related conditions. The
company was founded in 1995.
Verastem Inc is a
manufacturer of
pharmaceutical preparation.
The Company was founded in
August 2010 and is located
in Needham, Massachusetts.</t>
  </si>
  <si>
    <t xml:space="preserve">INFINITY PHARMACEUTICALS INC/VERASTEM INC-STRATEGIC ALLIANCE</t>
  </si>
  <si>
    <t xml:space="preserve">Infinity Pharmaceuticals Inc and Verastem Inc formed a strategic alliance
to develop and commercialise Infinity's oncology product candidate
duvelisib in US.</t>
  </si>
  <si>
    <t xml:space="preserve">45666G
92337C</t>
  </si>
  <si>
    <t xml:space="preserve">Zhuhai Port Co Ltd
Undisclosed JV Partner</t>
  </si>
  <si>
    <t xml:space="preserve">Pvd port logistics svcs
Investment company</t>
  </si>
  <si>
    <t xml:space="preserve">Zhuhai Port Co Ltd is a
provider of marine cargo
handling services. The
Company was founded in June
1986 and is located in
Zhuhai, China.
Investment company</t>
  </si>
  <si>
    <t xml:space="preserve">4491
6799</t>
  </si>
  <si>
    <t xml:space="preserve">ZHUHAI PORT CO LTD/UNDISCLOSED PARTNER-JOINT VENTURE</t>
  </si>
  <si>
    <t xml:space="preserve">Zhuhai Port Co Ltd and Undisclosed Joint Venture Partner planned to form a
52:48 joint venture to set up a energy development JV in China. The JV was
to be capitalized at USD 3.84 million.</t>
  </si>
  <si>
    <t xml:space="preserve">The JV was to be capitalized at USD 3.84 million.</t>
  </si>
  <si>
    <t xml:space="preserve">Y9894W
904JVP</t>
  </si>
  <si>
    <t xml:space="preserve">Equinetics Inc
Livewire Ergogenics Inc</t>
  </si>
  <si>
    <t xml:space="preserve">Produce horses
Pharmaceutical Preparation Manufacturing</t>
  </si>
  <si>
    <t xml:space="preserve">Produce horses
Livewire Ergogenics Inc,
located in Anaheim,
California manufactures and
wholesales energy
supplements. It offers soft
chews under the LiveWire
Energy brand through retail
and online stores. The
Company was founded in 2008.</t>
  </si>
  <si>
    <t xml:space="preserve">0272
2834</t>
  </si>
  <si>
    <t xml:space="preserve">UN
CA</t>
  </si>
  <si>
    <t xml:space="preserve">EQUINETICS INC/LIVEWIRE ERGOGENICS INC-STRATEGIC ALLIANCE</t>
  </si>
  <si>
    <t xml:space="preserve">Equinetics Inc and Livewire Ergogenics Inc formed a strategic alliance to
provide market research, financial analysis and corporate consulting
services for LiveWire in US.</t>
  </si>
  <si>
    <t xml:space="preserve">294433
9A4091</t>
  </si>
  <si>
    <t xml:space="preserve">Microsoft Corp
China Dvlp Bk Capital Co Ltd</t>
  </si>
  <si>
    <t xml:space="preserve">Develops and wholesales computer software products
Miscellaneous Intermediation</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</si>
  <si>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China Development Bank
Capital Co Ltd is an
intermediating company. The
Company was founded in
August 2009 and is located
in Beijing, China.</t>
  </si>
  <si>
    <t xml:space="preserve">Microsoft Corp
Peoples Republic of China</t>
  </si>
  <si>
    <t xml:space="preserve">MICROSOFT CORP/GUOKAI FINANCIAL CO LTD-STRATEGIC ALLIANCE</t>
  </si>
  <si>
    <t xml:space="preserve">Microsoft Corp and Guokai Financial Co Ltd formed a strategic alliance to
promote technology innovation and smart city development in the China.</t>
  </si>
  <si>
    <t xml:space="preserve">594918
7C3079</t>
  </si>
  <si>
    <t xml:space="preserve">GECKOSYSTEMS INTERNATIONAL/UNDISCLOSED PARTNER-JOINT VENTURE</t>
  </si>
  <si>
    <t xml:space="preserve">GeckoSystems International Corp and Undisclosed Joint Venture Partner
planned to form a joint venture to development of AI Mobile Robot Solutions
for Safety, Security and Service in US.</t>
  </si>
  <si>
    <t xml:space="preserve">Yulong Computer Telecommun
Allied Jumbo Investments Ltd</t>
  </si>
  <si>
    <t xml:space="preserve">Mnfr,whl cellular phones
Miscellaneous Financial Investment Activities</t>
  </si>
  <si>
    <t xml:space="preserve">Yulong Computer
Telecommunication Scientific
(Shenzhen) Co Ltd is a
manufacturer and wholesaler
of telephone apparatuses.
The Company is located in
Shenzhen, China.
Allied Jumbo Investments Ltd
is a provider of financial
investment services. The
company is located in China.</t>
  </si>
  <si>
    <t xml:space="preserve">Coolpad Group Ltd
China Baoli Tech Hldg Ltd</t>
  </si>
  <si>
    <t xml:space="preserve">4812
3844</t>
  </si>
  <si>
    <t xml:space="preserve">YULONG COMPUTER /ALLIED JUMBO INVESTMENTS LTD-JOINT VENTURE</t>
  </si>
  <si>
    <t xml:space="preserve">Yulong Computer Telecommunications Scientific (Shenzhen)Co and Allied Jumbo
Investments Ltd planned to form a 49:51 joint venture named BaoliYota
Technologies (Shenzhen) Ltd to research and development, production,
distribution and sales of dual screen mobile handsets in Greater China.The
JV was to be capitalized at USD 74.026 Million.</t>
  </si>
  <si>
    <t xml:space="preserve">The JV was to be capitalized at USD 74.026 Million.</t>
  </si>
  <si>
    <t xml:space="preserve">99079F
0F0718</t>
  </si>
  <si>
    <t xml:space="preserve">Zhong Hu Sports Culture Dvlp
Beijing Chengfeng Changtian</t>
  </si>
  <si>
    <t xml:space="preserve">Miscellaneous Financial Investment Activities
Miscellaneous Financial Investment Activities</t>
  </si>
  <si>
    <t xml:space="preserve">Zhong Hu Sports Culture
Development (Beijing) Ltd is a
provider of financial
investment services. The
Company is located in China.
Beijing Chengfeng Changtian
Sports &amp; Culture Ltd is a
provider of financial
investment services. The
Company is located in China.</t>
  </si>
  <si>
    <t xml:space="preserve">Beijing Sports &amp; Entertainment
Beijing Chengfeng Changtian</t>
  </si>
  <si>
    <t xml:space="preserve">1542
6799</t>
  </si>
  <si>
    <t xml:space="preserve">ZHONG HU SPORTS CULTURE DEVELOPMENT (BEIJING) LTD/BEIJING CHENGFENG
CHANGTIAN SPORTS &amp; CULTURE LTD-JOINT VENTURE</t>
  </si>
  <si>
    <t xml:space="preserve">Zhong Hu Sports Culture Development (Beijing) Ltd and Beijing Chengfeng
Changtian Sports Culture Ltd planned to form a 70:30 joint venture to
business development, design and operation of sport stadium and recreation
facilities in the PRC.The JV was to be capitalized at CNY 10 mil (USD 1.47
mil).</t>
  </si>
  <si>
    <t xml:space="preserve">Amusement &amp; Recreational Services
Property Development Services
Research &amp; Development Services</t>
  </si>
  <si>
    <t xml:space="preserve">The joint venture was to be capitalised at CNY 10 mil(USD 1.47 mil).</t>
  </si>
  <si>
    <t xml:space="preserve">6E3296
0F7164</t>
  </si>
  <si>
    <t xml:space="preserve">United Cannabis Corp
Cannabinoid Research &amp; Dvlp</t>
  </si>
  <si>
    <t xml:space="preserve">Manufactures biological products
Provide medical,health svcs</t>
  </si>
  <si>
    <t xml:space="preserve">United Cannabis Corp,
located in Denver, Colorado,
is a biotechnology company
that focuses on research,
development and
implementation of its
proprietary cannabinoid
therapy program. It offers
Prana Bio Medicinal products
which provide patients a
simple way to mix match
cannabinoids for therapeutic
purpose. The Company was
founded in May 2014.
Cannabinoid Research &amp;
Development Co Ltd is a
provider of ambulatory health
care services. The company is
located in Jamaica.</t>
  </si>
  <si>
    <t xml:space="preserve">United States
Jamaica</t>
  </si>
  <si>
    <t xml:space="preserve">UNITED CANNABIS CORP/CANNABINOID RESEARCH &amp; DEVELOPMENT CO LTD-JOINT
VENTURE</t>
  </si>
  <si>
    <t xml:space="preserve">Jamaica</t>
  </si>
  <si>
    <t xml:space="preserve">United Cannabis Corp and Cannabinoid Research Development Co Ltd planned to
form a 50:50 joint venture to cultivate, process, transport and conduct
research on cannabis within Jamaica.</t>
  </si>
  <si>
    <t xml:space="preserve">6E6580
0F2384</t>
  </si>
  <si>
    <t xml:space="preserve">Evotec AG
University Of Oxford
Oxford Univ Innovation Ltd
Oxford Sciences Innovation PLC</t>
  </si>
  <si>
    <t xml:space="preserve">Mnfr small molecule drugs
Colleges, Universities, and Professional Schools
Lessors Of Nonfinancial Intangible Assets (Except Copyrighted Works)
Lessors Of Nonfinancial Intangible Assets (Except Copyrighted Works)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</si>
  <si>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University of Oxford is an
owner and operator of
college and university. The
Company is located in
Oxford, the United Kingdom.
Oxford University Innovation
Ltd, located at Oxford, United
Kingdom, provides technology
transfer, consulting
activities and innovation
management service to clients
globally.
Oxford Sciences Innovation
PLC, located in London, UK,
provides patenting and
licensing services for the
commercialization of
intellectual property arising
from research. It is also
involve in spinning-out of
companies. It also offers
consulting services in
technology transfer and
innovation management.</t>
  </si>
  <si>
    <t xml:space="preserve">2834
8221
6794
6794</t>
  </si>
  <si>
    <t xml:space="preserve">Germany
United Kingdom
United Kingdom
United Kingdom</t>
  </si>
  <si>
    <t xml:space="preserve">Evotec AG
University Of Oxford
University Of Oxford
Oxford University</t>
  </si>
  <si>
    <t xml:space="preserve">EVOTEC AG/UNIVERSITY OF OXFORD/OXFORD UNIVERSITY INNOVATION LTD/OXFORD
SCIENCES INNOVATION PLC-STRATEGIC ALLIANCE</t>
  </si>
  <si>
    <t xml:space="preserve">Evotec AG, University of Oxford, Oxford University Innovation Ltd and
Oxford Sciences Innovation PLC planned to form a strategic alliance to
accelerate the translation of basic biomedical research from Oxford into
new therapeutics.</t>
  </si>
  <si>
    <t xml:space="preserve">D1646D
91476F
0F4393
7C8185</t>
  </si>
  <si>
    <t xml:space="preserve">PetroQuest Energy Inc
Undisclosed JV Partner</t>
  </si>
  <si>
    <t xml:space="preserve">Oil,gas exploration,prodn co
Investment company</t>
  </si>
  <si>
    <t xml:space="preserve">PetroQuest Energy Inc,
located in Lafayette,
Louisiana, is an oil and gas
exploration and production
company engaged in the
generation, exploration,
development, acquisition and
operation of oil and natural
gas properties in East
Texas, Arkoma Basin, South
Louisiana and the shallow
waters of the Gulf of
Mexico. The company was
founded in 1985.
Investment company</t>
  </si>
  <si>
    <t xml:space="preserve">1311
6799</t>
  </si>
  <si>
    <t xml:space="preserve">LA
FF</t>
  </si>
  <si>
    <t xml:space="preserve">PETROQUEST ENERGY INC/UNDISCLOSED PARTNER-JOINT VENTURE</t>
  </si>
  <si>
    <t xml:space="preserve">PetroQuest Energy Inc and Undisclosed Joint Venture Partner planned to form
an 80:20 joint venture to develop the Cotton Valley formation with a group
of investors in US.</t>
  </si>
  <si>
    <t xml:space="preserve">716748
904JVP</t>
  </si>
  <si>
    <t xml:space="preserve">Ongc Videsh Ltd
PDVSA</t>
  </si>
  <si>
    <t xml:space="preserve">Oil,gas exploration,production company
Crude Petroleum and Natural Gas Extraction</t>
  </si>
  <si>
    <t xml:space="preserve">ONGC Videsh Ltd is an oil
and gas exploration and
production Company. The
Company participates 41 Oil
&amp; Gas projects in 20
countries including
Azerbaijan, Brazil,
Colombia, Cuba, Iran, Iraq,
Kazakhstan, Libya, Myanmar,
Russia, South Sudan, Sudan,
Syria, Venezuela and
Vietnam. The Company was
founded in March 1965 and is
located in New Delhi, India.
Petroleos de Venezuela SA
{PDVSA}, headquartered in
Caracas, Venezuela, is an
oil and gas exploration and
production company. It is
also a state-owned
corporation that focuses on
energy resources and
technology. The company was
founded in 1975.</t>
  </si>
  <si>
    <t xml:space="preserve">India
Venezuela</t>
  </si>
  <si>
    <t xml:space="preserve">Oil &amp; Natural Gas Corp Ltd
Republic of Venezuela</t>
  </si>
  <si>
    <t xml:space="preserve">1311
999A</t>
  </si>
  <si>
    <t xml:space="preserve">ONGC VIDESH LTD/PETROLEOS DE VENEZUELA SA-STRATEGIC ALLIANCE</t>
  </si>
  <si>
    <t xml:space="preserve">ONGC Videsh Ltd and Petroleos de Venezuela SA {PDVSA} planned to form a
strategic alliance to facilitating redevelopment of the San Cristobal joint
venture project in Venezuela.</t>
  </si>
  <si>
    <t xml:space="preserve">68267C
71690Q</t>
  </si>
  <si>
    <t xml:space="preserve">Wincor Nixdorf Inc
Aisino Corp</t>
  </si>
  <si>
    <t xml:space="preserve">Pvd computer consulting svcs
Data Processing, Hosting, and Related Services</t>
  </si>
  <si>
    <t xml:space="preserve">Provide computer consulting,
IT products and solutions, and
other related services for the
retail and banking industries
Aisino Corp is a provider of
data processing and hosting
services. The Company was
founded in November 2000 and
is located in Beijing,
China.</t>
  </si>
  <si>
    <t xml:space="preserve">7379
7374</t>
  </si>
  <si>
    <t xml:space="preserve">Diebold Nixdorf Inc
Aisino Corp</t>
  </si>
  <si>
    <t xml:space="preserve">3578
7374</t>
  </si>
  <si>
    <t xml:space="preserve">WINCOR NIXDORF INC/AISINO CORP-JOINT VENTURE</t>
  </si>
  <si>
    <t xml:space="preserve">Wincor Nixdorf Inc and Aisino Corp planned to form a 43.6:46.4 joint
venture to develop, produce and market an extensive range of hardware,
software and services for banks and retailers in China.</t>
  </si>
  <si>
    <t xml:space="preserve">Manufacturing Services
Research &amp; Development Services
Software Development Services</t>
  </si>
  <si>
    <t xml:space="preserve">43.60
46.40</t>
  </si>
  <si>
    <t xml:space="preserve">97314K
Y0017G</t>
  </si>
  <si>
    <t xml:space="preserve">iA Inc
Undisclosed JV Partner</t>
  </si>
  <si>
    <t xml:space="preserve">iA Inc, based in Seoul,
South Korea, is a company
principally engaged in the
design and manufacture of
semiconductors. The Company
operates two business
divisions: semiconductor and
system. Its semiconductor
division provides
application specific
integrated circuits (ASICs)
such as network chips,
mobile television (TV)
chips, camera chips, three
dimensional (3D) chips,
digital video record (DVR)
chips, voice processing
chips and others, as well as
semiconductors such as video
and sound chips used for
broadcasting, communication
and automobiles. Its system
division provides Internet
phones including voice over
IP (VoIP) and multimedia
over IP (MoIP) devices.
Through its subsidiary, it
also involves in the
software outsourcing
business. On April 16, 2013,
the Company changed its name
to iA Inc, from C&amp;S
Technology Inc. The company
was founded in 1993.
Investment company</t>
  </si>
  <si>
    <t xml:space="preserve">South Korea
Unknown</t>
  </si>
  <si>
    <t xml:space="preserve">IA INC/UNDISCLOSED PARTNER-JOINT VENTURE</t>
  </si>
  <si>
    <t xml:space="preserve">iA Inc and Undisclosed Joint Venture Partner planned to form a 50:50 joint
venture to develop and manufacture of power semiconductor and power modules
business in China.</t>
  </si>
  <si>
    <t xml:space="preserve">3A4221
904JVP</t>
  </si>
  <si>
    <t xml:space="preserve">Rolls-Royce PLC
VTT Technical Research Centre</t>
  </si>
  <si>
    <t xml:space="preserve">Mnfr,whl turbines,power sys
Pvd research svcs</t>
  </si>
  <si>
    <t xml:space="preserve">Rolls-Royce PLC,
headquartered in London, the
UK, manufactures and
wholesales power systems for
civil aerospace, defense
aerospace, marine and energy
markets. The Company was
founded in 1904.
VTT Technical Research Centre
of Finland, located in
Helsinki, Finland, provides
research services. It also
provides high-end technology
solutions and innovation
services. The company was
founded in 1942.</t>
  </si>
  <si>
    <t xml:space="preserve">3511
8733</t>
  </si>
  <si>
    <t xml:space="preserve">United Kingdom
Finland</t>
  </si>
  <si>
    <t xml:space="preserve">Rolls-Royce Holdings PLC
VTT Technical Research Centre</t>
  </si>
  <si>
    <t xml:space="preserve">ROLLS-ROYCE PLC/VTT TECHNICAL RESEARCH CENTRE -STRATEGIC ALLIANCE</t>
  </si>
  <si>
    <t xml:space="preserve">Rolls-Royce PLC and VTT Technical Research Centre of Finland formed a
strategic alliance.the purpose of strategic alliance was to design, test
and validate the first generation of remote and autonomous ships.</t>
  </si>
  <si>
    <t xml:space="preserve">77573F
91942H</t>
  </si>
  <si>
    <t xml:space="preserve">MCW Energy Group Ltd
Undisclosed JV Partner</t>
  </si>
  <si>
    <t xml:space="preserve">Holding company
Investment company</t>
  </si>
  <si>
    <t xml:space="preserve">MCW Energy Group Ltd, located
in Shediac, New Brunswick, is
a holding company focused on
its two operations: MCW Fuels
and MCW Oil Sands Recovery
LLC. MCW Fuels wholesales
branded and unbranded diesel
and gasoline in the US and MCW
Oil Sands Recovery LLC
provides oil sands technology
services.
Investment company</t>
  </si>
  <si>
    <t xml:space="preserve">5172
6799</t>
  </si>
  <si>
    <t xml:space="preserve">4924
6799</t>
  </si>
  <si>
    <t xml:space="preserve">MCW ENERGY GROUP LTD/UNDISCLOSED PARTNER-STRATEGIC ALLIANCE</t>
  </si>
  <si>
    <t xml:space="preserve">In January 1, MCW Energy Group Ltd and Undisclosed Joint Venture Partner
were seeking partners to form an alliance.the purpose of joint venture is
fdeploying its technologies through global licensing.</t>
  </si>
  <si>
    <t xml:space="preserve">55278G
904JVP</t>
  </si>
  <si>
    <t xml:space="preserve">Groupe Gorge SA
A Schulman Inc</t>
  </si>
  <si>
    <t xml:space="preserve">Manufacture engines, industrial machinery
Mnfr,whl engineered plastic compounds</t>
  </si>
  <si>
    <t xml:space="preserve">Groupe Gorge SA, located in
Paris, France, manufactures,
designs and wholesales
engines and industrial
machinery. The Group
operates under two major
segments, Industrial
Robotics and Defense and
Aeronautics. The Company was
founded in 1990.
A Schulman Inc, located in
Fairlawn, Ohio, manufactures
and wholesales engineered
plastic compounds, resins
and flame retardant
chemicals. It provides
plastic resins, compounds,
color concentrates and
additives that enhance the
performance and appearance
of the manufactured
products. The Company was
founded in 1928.</t>
  </si>
  <si>
    <t xml:space="preserve">Pelican Venture SAS
A Schulman Inc</t>
  </si>
  <si>
    <t xml:space="preserve">6799
2821</t>
  </si>
  <si>
    <t xml:space="preserve">GROUPE GORGE SA/A SCHULMAN INC-STRATEGIC ALLIANCE</t>
  </si>
  <si>
    <t xml:space="preserve">Groupe Gorge SA and A Schulman Inc formed a strategic alliance.the purpose
of strategic alliance was for the development of new high-performance
materials with optimized mechanical properties.</t>
  </si>
  <si>
    <t xml:space="preserve">40266E
808194</t>
  </si>
  <si>
    <t xml:space="preserve">Integrated BioTherapeutics Inc
Emergent Biosolutions Inc</t>
  </si>
  <si>
    <t xml:space="preserve">Biotechnology company
Manufactures biopharmaceuticals</t>
  </si>
  <si>
    <t xml:space="preserve">Integrated BioTherapeutics Inc
is a manufacturer of
biological products. The
company was founded in 2005
and is located in Maryland.
Emergent Biosolutions Inc is
a manufacturer of
biopharmaceuticals. The
Company focuses on
immunobiotics which includes
vaccines and immune
globulins, that induce or
assist the body's immune
system to prevent or treat
disease. It also
manufactures and markets
BioThrax, also referred to
as anthrax vaccine. It has
offices across the United
States; Munich, Germany;
Wokingham, the United
Kingdom and Singapore. The
Company was founded in 1998
and is located in
Gaithersburg, Maryland.</t>
  </si>
  <si>
    <t xml:space="preserve">INTEGRATED BIOTHERAPEUTICS INC/EMERGENT BIOSOLUTIONS INC-STRATEGIC
ALLIANCE</t>
  </si>
  <si>
    <t xml:space="preserve">Integrated BioTherapeutics Inc and Emergent BioSolutions Inc formed a
strategic alliance to Develop Equine Immunoglobulin Therapeutics for
Filovirus Infections in US.</t>
  </si>
  <si>
    <t xml:space="preserve">0F3528
29089Q</t>
  </si>
  <si>
    <t xml:space="preserve">Svenska Cellulosa AB SCA
Fotografiska</t>
  </si>
  <si>
    <t xml:space="preserve">Sanitary Paper Product Manufacturing
Museums</t>
  </si>
  <si>
    <t xml:space="preserve">Svenska Cellulosa AB SCA,
located in Stockholm,
Sweden, manufactures and
wholesales absorbent hygiene
products including tissue,
incontinence products, baby
diapers and feminine hygiene
products, corrugated
packaging and
containerboard, forest
products including
publication papers, pulp,
timber, solid wood products
and forest fuel. Among its
well-known brands are
Libero, Zewa, Drypers,
Handee, Edet and Velvet. The
Company was founded in 1929.
Fotografiska is a museum
operator. The company is
located in Sweden.</t>
  </si>
  <si>
    <t xml:space="preserve">2676
8412</t>
  </si>
  <si>
    <t xml:space="preserve">SVENSKA CELLULOSA AB SCA/FOTOGRAFISKA-STRATEGIC ALLIANCE</t>
  </si>
  <si>
    <t xml:space="preserve">Svenska Cellulosa AB SCA and Fotografiska formed a strategic alliance.the
purpose of strategic alliance was to study how hygiene and health affect
people's well-being.</t>
  </si>
  <si>
    <t xml:space="preserve">869587
0F4861</t>
  </si>
  <si>
    <t xml:space="preserve">MMU
Teradata Corp</t>
  </si>
  <si>
    <t xml:space="preserve">Own,op college,university
Pvd data warehousing svcs</t>
  </si>
  <si>
    <t xml:space="preserve">Own and operate college and
university
Teradata Corp, located in
Dayton, Ohio, provides
horizontal and industry
analytical applications
services. Its portfolio
includes data warehousing,
customer management, finance
and performance management,
and demand and supply chain.
Its data warehousing
solutions are comprised of
software, hardware, and
related business consulting
and support services. Its
software products include
Teradata Database Software,
Teradata Servers, Teradata
Logical Data Models, and
Teradata Analytic
Applications and Tools. Its
service offerings include
Teradata Professional
Consulting Services,
Teradata Customer Support
Services, and Training
Services. The Company was
founded in 1979.</t>
  </si>
  <si>
    <t xml:space="preserve">8221
7374</t>
  </si>
  <si>
    <t xml:space="preserve">MULTIMEDIA UNIVERSITY{MMU}/TERADATA CORP-STRATEGIC ALLIANCE</t>
  </si>
  <si>
    <t xml:space="preserve">Multimedia University{MMU} and Teradata Corp planned to form a strategic
alliance.</t>
  </si>
  <si>
    <t xml:space="preserve">Educational Services
Research &amp; Development Services</t>
  </si>
  <si>
    <t xml:space="preserve">62563C
880769</t>
  </si>
  <si>
    <t xml:space="preserve">Aselsan Elektronik Sanayi
Keysight Technologies Inc</t>
  </si>
  <si>
    <t xml:space="preserve">Manufacture,wholesale electronic systems
Provides electronic measurement solutions</t>
  </si>
  <si>
    <t xml:space="preserve">Aselsan Elektronik Sanayi ve
Ticaret AS, located in
Ankara, Turkey, manufactures
and wholesales electronic
systems for military and
professional customers. The
Company's products and
services include R&amp;D,
production and marketing of
equipments and systems
including frequency hopping
and tactical radios, data
terminals, field telephones,
data encryption equipments,
development of sensors,
equipments for ground, navy
and air platforms, laser and
hybrid microelectronics. The
Company was founded in 1975.
Keysight Technologies Inc,
headquartered in Santa Rosa,
California, US, provides
solutions to the
communications and electronics
industries. It develops
related software, software
design tools and related
services that are used in the
design, development,
manufacture, installation,
deployment and operation of
electronics equipment. It also
offers customization,
consulting and optimization
services throughout the
customer's product lifecycle.
The Company's measurement
solutions business provides
electronic measurement
instruments and systems and
related software and software
design tools that are used in
the design, development,
electronics equipment. It
provides start-up assistance,
consulting, optimization and
application support throughout
the customer's product
lifecycle. The Company was
founded in 2014.</t>
  </si>
  <si>
    <t xml:space="preserve">3669
3823</t>
  </si>
  <si>
    <t xml:space="preserve">Turkey
United States</t>
  </si>
  <si>
    <t xml:space="preserve">Turk Silahli Kuvvetlerini
Keysight Technologies Inc</t>
  </si>
  <si>
    <t xml:space="preserve">999B
3823</t>
  </si>
  <si>
    <t xml:space="preserve">ASELSAN ELEKTRONIK SANAYI VE/KEYSIGHT TECHNOLOGIES INC-STRATEGIC ALLIANCE</t>
  </si>
  <si>
    <t xml:space="preserve">Aselsan Elektronik Sanayi ve Ticaret AS and Keysight Technologies Inc
formed a strategic alliance to establish a strategic partnership on
research and development of 5G communication technologies in US.</t>
  </si>
  <si>
    <t xml:space="preserve">04367M
49338L</t>
  </si>
  <si>
    <t xml:space="preserve">Proton Holdings Bhd
Undisclosed JV Partner</t>
  </si>
  <si>
    <t xml:space="preserve">Manufacture,whl motor vehicles
Investment company</t>
  </si>
  <si>
    <t xml:space="preserve">Proton Holdings Bhd
manufactures, assembles, and
sells motor vehicles and
related products priamirly
in Malaysia. The Company
operates in two segments:
proton and lotus. Proton is
engaged in manufacturing,
selling and distribution.
Lotus is engaged in
manufacturing and
distribution. It also
involves in the importation,
distribution, and wholesale
of motor vehicle and related
parts; development and
management of properties, as
well as provides engineering
consultancy, after-sales
services, financing, and
vehicle engineering
services. The Companys
portfolio of PROTON models
include the Saga, the
Persona, Gen.2, Savvy,
Satria Neo, the Exora, and
the Inspira, as well as
Lotus sportscar brand
comprising Elise, Exige,
Europa, and the Evora. The
Company was founded on 7 May
1983 and is located in
Subang Jaya, Malaysia.
Investment company</t>
  </si>
  <si>
    <t xml:space="preserve">Etika Strategi Sdn Bhd
Undisclosed JV Partner</t>
  </si>
  <si>
    <t xml:space="preserve">2086
6799</t>
  </si>
  <si>
    <t xml:space="preserve">PROTON HOLDINGS BHD/UNDISCLOSED PARTNER-STRATEGIC ALLIANCE</t>
  </si>
  <si>
    <t xml:space="preserve">Proton Holdings Bhd and Undisclosed Joint Venture Partner planned to form a
strategic alliance to collaborate with the company to do research and
development and become a competitive company globally.</t>
  </si>
  <si>
    <t xml:space="preserve">69601R
904JVP</t>
  </si>
  <si>
    <t xml:space="preserve">Highlight Tech Corp
Municipality of Shenzhen</t>
  </si>
  <si>
    <t xml:space="preserve">Mnfr vacuum components
City government</t>
  </si>
  <si>
    <t xml:space="preserve">Highlight Tech Corp is a
manufacturer and wholesaler of
household vacuum cleaners. The
Company was founded in May
1997 and is located in Tainan,
Taiwan.
Municipality of Shenzhen is a
city government in China.
Shenzhen is located in
Southern China.</t>
  </si>
  <si>
    <t xml:space="preserve">3635
999E</t>
  </si>
  <si>
    <t xml:space="preserve">Highlight Tech Corp
Peoples Republic of China</t>
  </si>
  <si>
    <t xml:space="preserve">3635
999A</t>
  </si>
  <si>
    <t xml:space="preserve">HIGHLIGHT TECH CORP/MUNICIPALITY OF SHENZHEN-STRATEGIC ALLIANCE</t>
  </si>
  <si>
    <t xml:space="preserve">Highlight Tech Corp and Municipality of Shenzhen formed a strategic
alliance to accelerate the development of the VR industry in China and
research and development centres to improve their output and quality to an
international level.</t>
  </si>
  <si>
    <t xml:space="preserve">43110X
82320V</t>
  </si>
  <si>
    <t xml:space="preserve">Nutanix Inc
NxtGen Datacenter &amp; Cloud</t>
  </si>
  <si>
    <t xml:space="preserve">Software Publishers
Pvd information tech services</t>
  </si>
  <si>
    <t xml:space="preserve">Nutanix Inc, located in San
Jose, California, provides
web information technology
services to medium and large
enterprises with its
software-driven Virtual
Computing Platform. The
Company was founded in 2009.
NxtGen Datacenter &amp; Cloud
Technologies Pvt Ltd, located
in Bangalore, India provides
information technology
services applications like
OPDC, ECS, and HDCC. The
company was founded in 2012.</t>
  </si>
  <si>
    <t xml:space="preserve">NUTANIX INC/NXTGEN DATACENTER &amp; CLOUD-STRATEGIC ALLIANCE</t>
  </si>
  <si>
    <t xml:space="preserve">Nutanix Inc and NxtGen Datacenter Cloud Technologies Pvt Ltd formed a
strategic alliance to develop, market and sell hosted private cloud
services and a cloud-based disaster recovery (DR) model in India.</t>
  </si>
  <si>
    <t xml:space="preserve">Marketing Services
Research &amp; Development Services
Storage Services</t>
  </si>
  <si>
    <t xml:space="preserve">67059N
6A0583</t>
  </si>
  <si>
    <t xml:space="preserve">Chongqing Mach &amp; Electric Co
Shanghai Edrive Co Ltd
Equipment Research Institute
Ningbo Partnership</t>
  </si>
  <si>
    <t xml:space="preserve">Mnfr,whl motor vehicle parts
Motor and Generator Manufacturing
Research and Development in The Social Sciences and Humanities
Research and Development in The Social Sciences and Humanities</t>
  </si>
  <si>
    <t xml:space="preserve">Chongqing Machinery &amp; Electric
Co Ltd, located in Chongqing
City, China, manufactures and
wholesales commercial vehicle
parts and components, general
machinery, CNC machine tools
and power equipment. Its
products include diesel
engines, braking and steering
systems, gear transmission
systems, vehicle suspension
systems and clutches. It
designs, manufactures and
sells power equipment
products, including
hydroelectric generation
equipment, high-voltage
transformers, electrical
wires, cables and materials
and non-ferrous metal
materials. It designs,
manufactures and sells general
machinery products, including
industrial pumps, gas
compressors, separation
machines, refrigeration
machines and industrial fans.
It designs, manufactures and
sells CNC machine tool
products, including gear
producing machines, CNC lathes
and machine centers and
complex precision
metal-cutting tools. The
company was founded on July
27, 2007.
Shanghai Edrive Co Ltd is a
manufacturer and wholesaler of
motors and generators. The
company was founded in July
2008 and is located in China.
Equipment Research Institute
is a provider of social
sciences research and
development services. The
company is located in China.
Ningbo Partnership is a
provider of social sciences
research and development
services. The company is
located in China.</t>
  </si>
  <si>
    <t xml:space="preserve">3714
3621
8733
8733</t>
  </si>
  <si>
    <t xml:space="preserve">Chongqing Mach &amp; Electn Hldg
Zhongshan Broad-Ocean Motor
Equipment Research Institute
Ningbo Partnership</t>
  </si>
  <si>
    <t xml:space="preserve">6799
3621
8733
8733</t>
  </si>
  <si>
    <t xml:space="preserve">CHONGQING MACHINERY &amp;/SHANGHAI EDRIVE CO LTD/EQUIPMENT RESEARCH
INSTITUTE/NINGBO PARTNERSHIP-JOINT VENTURE</t>
  </si>
  <si>
    <t xml:space="preserve">R&amp;D and Manufacturing JV Co
and Sales JV Co is a provider
of social sciences research
and development services. The
company is located in
Chongqing, China.</t>
  </si>
  <si>
    <t xml:space="preserve">Chongqing Machinery &amp; Electric Co Ltd,Shanghai Edrive Co Ltd,Equipment
Research Institute,Ningbo Partnership formed a joint venture with
registered capital 2.9039 USD, to develop new-energy commercial cars.</t>
  </si>
  <si>
    <t xml:space="preserve">51.00
9.00
20.00
20.00</t>
  </si>
  <si>
    <t xml:space="preserve">The JV was to be capitalized at USD 2.9039$.</t>
  </si>
  <si>
    <t xml:space="preserve">0F4563</t>
  </si>
  <si>
    <t xml:space="preserve">16893N
8C1784
0F4554
0F4559</t>
  </si>
  <si>
    <t xml:space="preserve">Semirara Mining &amp; Power Corp
Meralco PowerGen Corp
Marubeni Corp</t>
  </si>
  <si>
    <t xml:space="preserve">Bituminous Coal and Lignite Surface Mining
Electric utility company
General trading company</t>
  </si>
  <si>
    <t xml:space="preserve">Semirara Mining &amp; Power Corp,
located in Makati,
Philippines, is a coal mining
company. The Company is the
largest producer of
sub-bituminous coal in the
country and was founded in
1989.
Meralco PowerGen Corp,
located in Pasig,
Philippines, is an electric
power distributor. The
Company is engaged in power
generation business. It was
founded in 2010.
Marubeni Corp, located in
Chuo-Ku Tokyo, Japan, is a
general trading company. It
is mainly engaged in the
import, export and
transaction of various
products through domestic
and overseas networks. It
has six business segments.
The Food segment is engaged
in the manufacture and sale
of food related products.
The Living Industry segment
is engaged in the lifestyle
related products business,
the information business,
the logistics business, the
insurance business, as well
as the financial and real
estate investment business.
The Materials segment is
engaged in the chemical
business, the agricultural
material business and the
paper pulp business. The
Energy and Metal segment is
engaged in the energy and
metal business. The Power
and Plant segment is engaged
in the development,
investment and operation of
electric power and energy
related infrastructure
business. The Transportation
Equipment segment is engaged
in the import, export and
sale of various equipment.
It is also engaged in the
finance business. It is also
a holding company. The
Company was founded in May
1858.</t>
  </si>
  <si>
    <t xml:space="preserve">1221
4911
5141</t>
  </si>
  <si>
    <t xml:space="preserve">Philippines
Philippines
Japan</t>
  </si>
  <si>
    <t xml:space="preserve">DMCI Holdings Inc
Manila Electric Co
Marubeni Corp</t>
  </si>
  <si>
    <t xml:space="preserve">1522
4911
5141</t>
  </si>
  <si>
    <t xml:space="preserve">SEMIRARA MINING &amp; POWER CORP/MERALCO POWERGEN CORP/MARUBENI CORP-JOINT
VENTURE</t>
  </si>
  <si>
    <t xml:space="preserve">Seminar Mining Power Corp, Miracle Powered Corp and Marubeni Corp planned
to form a 40:40:20 joint venture in Calaca , Battings to develop a
700-megawatt coal-fired power plant.</t>
  </si>
  <si>
    <t xml:space="preserve">40.00
40.00
20.00</t>
  </si>
  <si>
    <t xml:space="preserve">The joint venture project cost will cost an estimated US$14mil.</t>
  </si>
  <si>
    <t xml:space="preserve">8E8534
58748H
573810</t>
  </si>
  <si>
    <t xml:space="preserve">Emergex Vaccines Holdings Ltd
Midatech Pharma PLC</t>
  </si>
  <si>
    <t xml:space="preserve">Emergex Vaccines Holdings Ltd
is a manufacturer of
biological products. The
company is located in the
United Kingdom.
Midatech Pharma PLC is
biopharmaceutical company.
It focuses on
commercializing and
developing products in
oncology and other
therapeutic areas. Its
segments include Pipeline
Research and Development,
and Commercial. The Pipeline
Research and Development
segment seeks to develop
products using the
nanomedicine and sustained
release technology
platforms. The Commercial
segment distributes and
sells the commercial
products. Its products
include Zuplenz, Gelclair,
Oravig and Soltamox. The
Company was founded in 2000
and is located in Abingdon,
the United Kingdom.</t>
  </si>
  <si>
    <t xml:space="preserve">EMERGEX VACCINES HOLDINGS LTD/MIDATECH PHARMA PLC-STRATEGIC ALLIANCE</t>
  </si>
  <si>
    <t xml:space="preserve">Emergex Vaccines Holdings Ltd and Midatech Pharma PLC formed a strategic
alliance.the purpose of strategic alliance was development of vaccines for
influenza, meningitis, bacterial pneumonia, Ebola virus</t>
  </si>
  <si>
    <t xml:space="preserve">0F5570
59564R</t>
  </si>
  <si>
    <t xml:space="preserve">Lexaria Bioscience Corp
NeutriSci International Inc</t>
  </si>
  <si>
    <t xml:space="preserve">Crude Petroleum and Natural Gas Extraction
Marketing Consulting Services</t>
  </si>
  <si>
    <t xml:space="preserve">Lexaria Bioscience Corp
formerly Lexaria Corp,
headquartered in Vancouver,
British Columbia, is an oil
and gas exploration and
production company. It has
projects in Mississippi,
Alberta, and Oklahoma. The
Company was formed in
12-09-2004 00:00:00
NeutriSci International Inc,
located in Calgary, Alberta,
provides marketing and
branding services. Its brands
includes endrome, Repose,
Veaya Lyfe and Zeo8. The
company was founded on
September 17, 2009.</t>
  </si>
  <si>
    <t xml:space="preserve">1311
8742</t>
  </si>
  <si>
    <t xml:space="preserve">1311
5122</t>
  </si>
  <si>
    <t xml:space="preserve">LEXARIA BIOSCIENCE CORP/NEUTRISCI INTERNATIONAL INC-JOINT VENTURE</t>
  </si>
  <si>
    <t xml:space="preserve">Ambarii Trade Corp is a
manufacturer of biological
products. The Company is
located in Calgary, Canada.</t>
  </si>
  <si>
    <t xml:space="preserve">Lexaria Bioscience Corp and NeutriSci International Inc formed a 50:50
joint venture named Ambarii Trade Corp, to produce and commercialize a line
of healthy, sugar-free, edible cannabinoid sublingual tablets combining
NeutriScis proprietary pterostilbene tablet form factor and Lexarias
patented technology in Canada.</t>
  </si>
  <si>
    <t xml:space="preserve">5F0986</t>
  </si>
  <si>
    <t xml:space="preserve">52886N
64245H</t>
  </si>
  <si>
    <t xml:space="preserve">Vectura Group PLC
Westward Pharmaceuticals</t>
  </si>
  <si>
    <t xml:space="preserve">Vectura Group PLC, located in
Chippenham, the United
Kingdom, is a manufacturer of
pharmaceuticals. The Company
manufactures prescription
pharmaceuticals intended for
final consumption for the
treatment of lung diseases.
The Company was founded in
1997.
Manufacture pharmaceuticals</t>
  </si>
  <si>
    <t xml:space="preserve">VECTURA GROUP PLC/WESTWARD PHARMACEUTICALS-STRATEGIC ALLIANCE</t>
  </si>
  <si>
    <t xml:space="preserve">Vectura Group Plc and Westward Pharmaceuticals formed a strategic
alliance.the purpose of strategic alliance was development of VR730 is a
generic long acting beta-agonist (LABA) for the treatment of Asthma and
commercialisation.</t>
  </si>
  <si>
    <t xml:space="preserve">92305M
96116A</t>
  </si>
  <si>
    <t xml:space="preserve">Datalogic SpA
B &amp; R Automation Ltd</t>
  </si>
  <si>
    <t xml:space="preserve">Mnfr,whl bar code readers
Computer Systems Design Services</t>
  </si>
  <si>
    <t xml:space="preserve">Datalogic SpA, located in
Bologne, Italy, manufactures
and wholesales bar code
readers, portable data
collection equipment,
transmission terminals, and
radio frequency identification
systems, for the
manufacturing, transportation,
logistics, and retail
industries. The Company was
founded in 1972.
B &amp; R Automation Ltd is a
provider of computer systems
design services. The company
is located in Austria.</t>
  </si>
  <si>
    <t xml:space="preserve">3577
7373</t>
  </si>
  <si>
    <t xml:space="preserve">Italy
Austria</t>
  </si>
  <si>
    <t xml:space="preserve">Hydra SpA
B &amp; R Automation Ltd</t>
  </si>
  <si>
    <t xml:space="preserve">DATALOGIC SPA/B &amp; R AUTOMATION LTD-STRATEGIC ALLIANCE</t>
  </si>
  <si>
    <t xml:space="preserve">Datalogic SpA and B R Automation Ltd formed a strategic alliance.the
purpose of strategic alliance was developing new important products for the
Safety in Automation sector,by using SG4 FIELDBUS safety light curtains
with openSAFETY protocol for connection to the POWERLINK network.</t>
  </si>
  <si>
    <t xml:space="preserve">23805W
0F6449</t>
  </si>
  <si>
    <t xml:space="preserve">US Air Force Research Lab
Iowa State University</t>
  </si>
  <si>
    <t xml:space="preserve">Provide research and
development services
Iowa State University, owns
and operates a
college/university. The
college/university is
headquartered in Ames, Iowa.</t>
  </si>
  <si>
    <t xml:space="preserve">3721
8221</t>
  </si>
  <si>
    <t xml:space="preserve">AZ
IA</t>
  </si>
  <si>
    <t xml:space="preserve">US AIR FORCE RESEARCH LAB/IOWA STATE UNIVERSITY-STRATEGIC ALLIANCE</t>
  </si>
  <si>
    <t xml:space="preserve">US Air Force Research Lab and Iowa State University formed a strategic
alliance.the purpose of strategic alliance was to establish a formal
collaboration with excellent young professors whose technical expertise and
background can supplement AFRL researchers in the development of future Air
Force technology.</t>
  </si>
  <si>
    <t xml:space="preserve">91155Q
462578</t>
  </si>
  <si>
    <t xml:space="preserve">Der Future Science &amp; Tech
Undisclosed JV Partner</t>
  </si>
  <si>
    <t xml:space="preserve">Flooring Contractors
Investment company</t>
  </si>
  <si>
    <t xml:space="preserve">Der Future Science &amp;
Technology Holding Group Co
Ltd is a flooring
contractor. The Company was
founded in December 2004 and
is located in Suzhou, China.
Investment company</t>
  </si>
  <si>
    <t xml:space="preserve">1752
6799</t>
  </si>
  <si>
    <t xml:space="preserve">Der Grp Co Ltd
Undisclosed JV Partner</t>
  </si>
  <si>
    <t xml:space="preserve">2426
6799</t>
  </si>
  <si>
    <t xml:space="preserve">DER FUTURE SCIENCE &amp; TECHNOLOGY/UNDISCLOSED PARTNER-JOINT VENTURE</t>
  </si>
  <si>
    <t xml:space="preserve">Der Future Science Technology Holding Group Co Ltd and Undisclosed Joint
Venture Partner planned to form joint venture.the purpose of joint venture
was to be engaged in solid wood business.</t>
  </si>
  <si>
    <t xml:space="preserve">38.00
</t>
  </si>
  <si>
    <t xml:space="preserve">the j.v to be capitalised 50 million yuan(7.2295 million US D).</t>
  </si>
  <si>
    <t xml:space="preserve">3E2194
904JVP</t>
  </si>
  <si>
    <t xml:space="preserve">Global Cancer Diagnostics Inc
University of California</t>
  </si>
  <si>
    <t xml:space="preserve">Biological Product (Except Diagnostic) Manufacturing
Colleges, Universities, and Professional Schools</t>
  </si>
  <si>
    <t xml:space="preserve">Global Cancer Diagnostics Inc,
headquartered in Temple,
Arizona, is a biotechnology
company. It is also a
CLIA-certified diagnostics
laboratory. It offers Lung
Cancer Test which serves as a
screening tool providing risk
assessment, and is being sold
as a laboratory developed
test.
University of California is
a college operator. The
Company was founded in March
1868 and is located in
Oakland, California.</t>
  </si>
  <si>
    <t xml:space="preserve">GLOBAL CANCER DIAGNOSTICS INC/UNIVERSITY OF CALIFORNIA-STRATEGIC ALLIANCE</t>
  </si>
  <si>
    <t xml:space="preserve">Global Cancer Diagnostics Inc and University of California formed a
strategic alliance.The purpose of strategic alliance was to bring to market
a drug delivery platform that links a nanocrystal to a prodrug that can be
activated using radiosurgery.</t>
  </si>
  <si>
    <t xml:space="preserve">0E6698
91591Z</t>
  </si>
  <si>
    <t xml:space="preserve">Med BioGene Inc
Helomics Corp</t>
  </si>
  <si>
    <t xml:space="preserve">Med BioGene Inc, located in
Vancouver, British Columbia,
is a biotechnology company
engaged in the development and
commercialization of clinical
laboratory diagnostic and
screening tests. The company
was founded in 2002.
Helomics Corporation is a
provider of customized
research and development
services to the
pharmaceutical, diagnostic,
biotechnology and research
industries. The company was
founded in 1995 and is
located in Pittsburgh,
Pennsylvania.</t>
  </si>
  <si>
    <t xml:space="preserve">Med BioGene Inc
HealthCare Royalty Partners</t>
  </si>
  <si>
    <t xml:space="preserve">8071
6799</t>
  </si>
  <si>
    <t xml:space="preserve">MED BIOGENE INC/HELOMICS CORPORATION-STRATEGIC ALLIANCE</t>
  </si>
  <si>
    <t xml:space="preserve">Med BioGene Inc and Helomics Corporation formed a strategic alliance.the
purpose of strategic alliance was to make use of the enhanced Helomics
laboratory procedures for the actual processing of patient tissue
specimens.</t>
  </si>
  <si>
    <t xml:space="preserve">58402B
0F7579</t>
  </si>
  <si>
    <t xml:space="preserve">Florida Atlantic University
Neuro Pharmalogics Inc</t>
  </si>
  <si>
    <t xml:space="preserve">Own,op college,university
Pharmaceutical Preparation Manufacturing</t>
  </si>
  <si>
    <t xml:space="preserve">Own and operate college and
university
Neuro Pharmalogics Inc is a
manufacturer of pharmaceutical
preparation. The company is
located in Florida.</t>
  </si>
  <si>
    <t xml:space="preserve">Harbor Branch Oceanograhic
Neuro Pharmalogics Inc</t>
  </si>
  <si>
    <t xml:space="preserve">FLORIDA ATLANTIC UNIVERSITY/NEURO PHARMALOGICS INC-STRATEGIC ALLIANCE</t>
  </si>
  <si>
    <t xml:space="preserve">Florida Atlantic University {FAU} and Neuro Pharmalogics Inc formed a
strategic alliance.the purpose of strategic alliance was focuses on the PKG
(protein kinase G) pathway, which plays a pivotal role in several
neurological conditions by controlling cortical spreading depolarization.</t>
  </si>
  <si>
    <t xml:space="preserve">34056Y
0F8228</t>
  </si>
  <si>
    <t xml:space="preserve">Oxford BioMedica PLC
Orchard Therapeutics Ltd</t>
  </si>
  <si>
    <t xml:space="preserve">Manufacture pharmaceutical products
Research and Development in The Social Sciences and Humanities</t>
  </si>
  <si>
    <t xml:space="preserve">Oxford BioMedica PLC is a
manufacturer of
pharmaceutical preparation.
The Company was founded in
1995 and is located in
Oxford, the United Kingdom.
Orchard Therapeutics Ltd is
a provider of social
sciences research and
development services. The
Company was founded in
September 2015 and is
located in London, the
United Kingdom and also has
office in US.</t>
  </si>
  <si>
    <t xml:space="preserve">OXFORD BIOMEDICA PLC/ORCHARD THERAPEUTICS LTD-STRATEGIC ALLIANCE</t>
  </si>
  <si>
    <t xml:space="preserve">Oxford BioMedica PLC and Orchard Therapeutics Ltd formed a strategic
alliance to develop and supply lentiviral vectors used by Orchard for the
manufacture of ex-vivo gene therapy products in primary immune deficiency
disorders and inherited metabolic disorders, including adenosine deaminase
severe combined immunodeficiency (ADA-SCID), Mucopolysaccharidosis-IIIA
(MPS-IIIA or Sanfilippo Syndrome type A) and undisclosed follow-on
indications.</t>
  </si>
  <si>
    <t xml:space="preserve">69140J
0F7591</t>
  </si>
  <si>
    <t xml:space="preserve">Genetic Technologies Ltd
University of Melbourne</t>
  </si>
  <si>
    <t xml:space="preserve">Biotechnology company
Own,op univ</t>
  </si>
  <si>
    <t xml:space="preserve">Genetic Technologies Ltd,
located in Fitzroy,
Australia,is a molecular
diagnostics company. The
Company is engaged in the
provision of molecular risk
assessment for cancer. The
Company offers predictive
testing and assessment tools
for physicians to manage
women's health. The
Company's lead product,
BREVAGenplus, is a
clinically validated risk
assessment test for
non-hereditary breast
cancer. The Company markets
BREVAGenplus to healthcare
professionals in breast
healthcare and imaging
centers, as well as to
obstetricians/gynecologists
(OBGYNs) and breast cancer
risk assessment specialists,
such as breast surgeons. The
Company operates in
Australia, the United States
and Switzerland. The
Company's subsidiaries
include Genetic Technologies
Corporation Pty. Ltd. and
Genetic Technologies
Corporation Pty. Ltd. is
engaged in genetic testing.
The Company has launched the
BREVAGen test across the
United States through
Phenogen Sciences Inc. The
company was founded in 1987.
University of Melbourne,
located in Melbourne, owns and
operates universities. It is a
public institution that
specializes in university
education, research, and
knowledge transfer. It offers
undergraduate degrees,
postgraduate programs which
are housed in a faculty-based
Graduate School, as well as
stand-alone Graduate Schools.
The university was established
in 1853.</t>
  </si>
  <si>
    <t xml:space="preserve">GENETIC TECHNOLOGIES LTD/UNIVERSITY OF MELBOURNE-STRATEGIC ALLIANCE</t>
  </si>
  <si>
    <t xml:space="preserve">Genetic Technologies Ltd and University of Melbourne formed a strategic
alliance.the purpose of strategic alliance was development and
commercialisation of a novel colorectal cancer (CRC) risk assessment test.</t>
  </si>
  <si>
    <t xml:space="preserve">37185R
91510E</t>
  </si>
  <si>
    <t xml:space="preserve">Molnlycke Health Care AB
Rochal Industries LLC</t>
  </si>
  <si>
    <t xml:space="preserve">Manufactre surgical products
Biological Product (Except Diagnostic) Manufacturing</t>
  </si>
  <si>
    <t xml:space="preserve">Molnlycke Health Care AB,
located in Gothenburg,
Sweden, manufactures
single-use surgical and
wound care products to the
health care sector. It has
production sites in Belgium,
the Czech Republic, Finland,
Malaysia, Thailand and the
UK. The Company was founded
in 1997.
Rochal Industries LLC is a
manufacturer of biological
products. The Company is a
global leader in
commercializing technology
innovations in natural and
synthetic polymers,
antimicrobials, and
biological systems. The
Company was founded in 1986
and is located in San
Antonio, Texas.</t>
  </si>
  <si>
    <t xml:space="preserve">Investor AB
Rochal Industries LLC</t>
  </si>
  <si>
    <t xml:space="preserve">MOLNLYCKE HEALTH CARE AB/ROCHAL INDUSTRIES LLC-STRATEGIC ALLIANCE</t>
  </si>
  <si>
    <t xml:space="preserve">Molnlycke Health Care AB and Rochal Industries LLC formed a strategic
alliance to introduction of novel skin care products to strengthen
Molnlyckes current skin care offer and further reinforce its position as a
world-leading prevention solutions company.</t>
  </si>
  <si>
    <t xml:space="preserve">60866R
0F9129</t>
  </si>
  <si>
    <t xml:space="preserve">Drone USA Inc
Empirical Sys Aerospace Inc</t>
  </si>
  <si>
    <t xml:space="preserve">Aircraft Manufacturing
Aircraft Engine and Engine Parts Manufacturing</t>
  </si>
  <si>
    <t xml:space="preserve">Drone USA Inc is a
manufacturer of unmanned
aerial vehicles and related
technologies for select
civil defense, military and
commercial markets. . The
Company is located in New
York, New York.
Empirical Systems Aerospace
Inc is a manufacturer of
aircraft engines and engine
parts. The company is located
in California.</t>
  </si>
  <si>
    <t xml:space="preserve">DRONE USA INC/EMPIRICAL SYSTEMS AEROSPACE INC-STRATEGIC ALLIANCE</t>
  </si>
  <si>
    <t xml:space="preserve">Drone USA Inc and Empirical Systems Aerospace Inc formed a strategic
alliance.the purpose of strategic alliance was the development, improvement
and customization of the Companys UAV systems,the Company will share
facility space in San Luis Obispo, California at ESAeros planned new
headquarters facility.</t>
  </si>
  <si>
    <t xml:space="preserve">6E3905
0F9481</t>
  </si>
  <si>
    <t xml:space="preserve">Sichuan Maker Biotech Co Ltd
Undisclosed JV Partner</t>
  </si>
  <si>
    <t xml:space="preserve">Medicinal and Botanical Manufacturing
Investment company</t>
  </si>
  <si>
    <t xml:space="preserve">Sichuan Maker Biotechnology
Co Ltd, located in China,
manufactures diagnostic
reagent. The company was
founded in 1994.
Investment company</t>
  </si>
  <si>
    <t xml:space="preserve">2833
6799</t>
  </si>
  <si>
    <t xml:space="preserve">SICHUAN MAKER BIOTECHNOLOGY CO LTD/UNDISCLOSED PARTNER-JOINT VENTURE</t>
  </si>
  <si>
    <t xml:space="preserve">Sichuan Maker Biotechnology Co Ltd and Undisclosed Joint Venture Partner
planned to form a 45:55 joint venture to provide Biotechnology services.
The JV was to be capitalized at USD 1.4537 Million.</t>
  </si>
  <si>
    <t xml:space="preserve">The JV was to be capitalized at USD 1.4537 Million.</t>
  </si>
  <si>
    <t xml:space="preserve">9A2763
904JVP</t>
  </si>
  <si>
    <t xml:space="preserve">ESI Group SA
Palo Alto Research Center Inc</t>
  </si>
  <si>
    <t xml:space="preserve">Dvlp prod engineering software
Pvd research,dvlp svcs</t>
  </si>
  <si>
    <t xml:space="preserve">ESI Group SA, headquartered in
Paris, France, develops
virtual product engineering
software. It provides design,
development and marketing of
software packages designed for
performing virtual testing,
including virtual test
applications, such as
Multiphysics, casting,
welding, composites and
plastics, vibro-acoustics,
electromagnetism and
biomechanics. The Company was
founded in 1973.
was founded in 1973.
Palo Alto Research Center Inc,
located in Palo Alto,
California, provides research
and development services of
physical, computational and
social sciences. It provides
custom research and
development services,
technology, expertise, best
practices and intellectual
property to Fortune 500 and
Global 1000 companies,
startups and government
agencies and partners. The
Company was founded in 1970.</t>
  </si>
  <si>
    <t xml:space="preserve">ESI Group SA
Xerox Corp</t>
  </si>
  <si>
    <t xml:space="preserve">7372
3579</t>
  </si>
  <si>
    <t xml:space="preserve">ESI GROUP SA/PALO ALTO RESEARCH CENTER INC-STRATEGIC ALLIANCE</t>
  </si>
  <si>
    <t xml:space="preserve">ESI Group SA and Palo Alto Research Center Inc formed a strategic alliance
to focuses on expanding and industrializing PARCs advanced research project
on Fault Augmented Model Extension.</t>
  </si>
  <si>
    <t xml:space="preserve">F3165E
69743P</t>
  </si>
  <si>
    <t xml:space="preserve">AG Global
Cimbria Capital Inc</t>
  </si>
  <si>
    <t xml:space="preserve">Fertilizer (Mixing Only) Manufacturing
Financial Sponsor</t>
  </si>
  <si>
    <t xml:space="preserve">AG Global is a manufacturer of
fertilizers. The Company was
founded in 2013 and is located
in Collingwood, Canada.
Cimbria Capital Inc, located
in Houston, Texas, is a
financial sponsor. It
conducts growth capital and
early stage buyout
investments focused on the
agribusiness and water
sectors in North America and
Europe. The Company was
founded in 2014.</t>
  </si>
  <si>
    <t xml:space="preserve">2875
6799</t>
  </si>
  <si>
    <t xml:space="preserve">AG GLOBAL/CIMBRIA CAPITAL INC-STRATEGIC ALLIANCE</t>
  </si>
  <si>
    <t xml:space="preserve">AG Global and Cimbria Capital Inc formed a strategic alliance to Advance
Sustainable Agriculture.</t>
  </si>
  <si>
    <t xml:space="preserve">Agricultural, Forestry, &amp; Fishing Svcs
Manufacturing Services
Research &amp; Development Services</t>
  </si>
  <si>
    <t xml:space="preserve">1F0035
1F0037</t>
  </si>
  <si>
    <t xml:space="preserve">Atlas Pharma Inc
Sunshine Biopharma Inc</t>
  </si>
  <si>
    <t xml:space="preserve">Testing Laboratories
Biological Product (Except Diagnostic) Manufacturing</t>
  </si>
  <si>
    <t xml:space="preserve">Atlas Pharma Inc is a testing
laboratory. The Company is
located in Montreal, Canada.
Sunshine Biopharma Inc,
located Montreal, Quebes, is a
pharmaceutical company focused
on the research, development
and commercialization of drugs
for the treatment of various
forms of cancer. The company
was founded in August 31,
2006.</t>
  </si>
  <si>
    <t xml:space="preserve">ATLAS PHARMA INC/SUNSHINE BIOPHARMA INC-STRATEGIC ALLIANCE</t>
  </si>
  <si>
    <t xml:space="preserve">Atlas Pharma Inc and Sunshine Biopharma Inc formed a strategic alliance for
analytical testing, infrastructure, personnel and marketing.</t>
  </si>
  <si>
    <t xml:space="preserve">1F1245
1C6284</t>
  </si>
  <si>
    <t xml:space="preserve">Radient Tech Inc
Aurora Cannabis Inc</t>
  </si>
  <si>
    <t xml:space="preserve">Radient Technologies Inc is
a manufacturer of biological
products. The Company is
located in Edmonton, Canada.
Aurora Cannabis Inc, located
in Vancouver, Canada, is a
medical cannabis company. It
is the holding company of
Australis Capital Inc. It is
vertically integrated and
horizontally diversified
across every key segment of
the value chain, from
facility engineering and
design to cannabis breeding
and genetics research,
cannabis and hemp
production, derivatives,
home cultivation, wholesale
and retail distribution. The
Company was founded in
December 2006.</t>
  </si>
  <si>
    <t xml:space="preserve">RADIENT TECHNOLOGIES INC/AURORA CANNABIS INC-JOINT VENTURE</t>
  </si>
  <si>
    <t xml:space="preserve">Radient Technologies Inc and Aurora Cannabis Inc planned to form joint
venture in canada the joint development and commercialization of superior
and standardized cannabinoid extracts.</t>
  </si>
  <si>
    <t xml:space="preserve">7A3613
05156X</t>
  </si>
  <si>
    <t xml:space="preserve">Akeso Biopharma Inc
Dawnrays Biotech Capital</t>
  </si>
  <si>
    <t xml:space="preserve">Akeso Biopharma Inc, located
in Zhongshan, China is a
biotechnology company which
focuses on innovative
antibody drug research and
development. The Company was
founded in March 2012.
Dawnrays Biotechnology Capital
(Asia) Ltd is a provider of
financial investment services.
The Company is located in Hong
Kong.</t>
  </si>
  <si>
    <t xml:space="preserve">Akeso Biopharma Inc
Dawnrays Pharm(Hldg)Ltd</t>
  </si>
  <si>
    <t xml:space="preserve">AKESO BIOPHARMA INC/DAWNRAYS BIOTECHNOLOGY CAPITAL (ASIA) LTD-JOINT
VENTURE</t>
  </si>
  <si>
    <t xml:space="preserve">Akeso Biopharma Inc and Dawnrays Biotechnology Capital (Asia) Ltd planned
to form a joint venture named AD Pharmaceuticals Co Ltd to engaged in the
research and development of products and technologies in relation to
biochemistry fields and production and sale of related products.The JV was
to be capitalized at USD 20.845 million.</t>
  </si>
  <si>
    <t xml:space="preserve">The JV was to be capitalized at USD 20.845 million.</t>
  </si>
  <si>
    <t xml:space="preserve">1F1705
1F1702</t>
  </si>
  <si>
    <t xml:space="preserve">Bertin Technologies Sas
Onera (Office Natl Detudes Et</t>
  </si>
  <si>
    <t xml:space="preserve">Engineering Services
Space Research and Technology</t>
  </si>
  <si>
    <t xml:space="preserve">Bertin Technologies SAS is a
provider of engineering
services. The Company was
founded in 1956 and is
located in
Montigny-Le-Bretonneux,
France.
Onera (Office National Detudes
Et De Recherches
Aerospatiales) is a space
research establishment. The
Company is located in France.</t>
  </si>
  <si>
    <t xml:space="preserve">Soluni SA
Onera (Office Natl Detudes Et</t>
  </si>
  <si>
    <t xml:space="preserve">6799
9661</t>
  </si>
  <si>
    <t xml:space="preserve">BERTIN TECHNOLOGIES SAS/ONERA (OFFICE NATIONAL DETUDES ET DE RECHERCHES
AEROSPATIALES)-STRATEGIC ALLIANCE</t>
  </si>
  <si>
    <t xml:space="preserve">Bertin Technologies SAS and Onera (Office National Detudes Et De Recherches
Aerospatiales) formed a strategic alliance in france to create cubix
laboratory.</t>
  </si>
  <si>
    <t xml:space="preserve">08592W
1F1645</t>
  </si>
  <si>
    <t xml:space="preserve">Obducat AB
Undisclosed JV Partner</t>
  </si>
  <si>
    <t xml:space="preserve">Mnfr,whl lithography solutions
Investment company</t>
  </si>
  <si>
    <t xml:space="preserve">Obducat AB, located in
Malmo, Sweden, manufactures
and wholesales lithography
solutions for the production
and replication of micro and
nano scale structures. Its
products include Electron
Beam Recorder, a lithography
system for lithographic
mastering on rotating
substrate; Eitre, a nano
imprint lithography system
for research and development
purposes; Sindre, a nano
imprint lithography system
for manufacturing
nanostructures; stamps used
for pattern replication of
features ranging from sub-50
nm to the micrometer scale;
and resists. The Company
also manufactures scanning
electron microscopes for the
industrial market, as well
as for academia. In
addition, it provides
installation and support
services, as well as
licenses its products. The
Company's technologies and
products are used in the
areas of optoelectronics,
displays, magnetic storage
media, optical storage
media, micro electro
mechanical systems,
bio-devices, semiconductors,
and polymer and molecular
electronics. It primarily
serves producers in the
consumer-electronic
business. The Company was
founded in 1989.
Investment company</t>
  </si>
  <si>
    <t xml:space="preserve">Sweden
Unknown</t>
  </si>
  <si>
    <t xml:space="preserve">OBDUCAT AB/UNDISCLOSED PARTNER-JOINT VENTURE</t>
  </si>
  <si>
    <t xml:space="preserve">Obducat AB and Undisclosed Joint Venture Partner planned to form joint
venture. The JV was to have a cost of USD 1.04 million.the purpose of joint
venture was development and production of new products and applications
based on NIL technology, as well as manufacturing of lithography equipment
for the Asian market.</t>
  </si>
  <si>
    <t xml:space="preserve">the j.v to be capitalise EUR1mn (USD 1.04mn)</t>
  </si>
  <si>
    <t xml:space="preserve">67425H
904JVP</t>
  </si>
  <si>
    <t xml:space="preserve">Enel Green Power S.p.A
Universidad Autnoma Chapingo</t>
  </si>
  <si>
    <t xml:space="preserve">Alternative Energy Services
Research and Development in The Social Sciences and Humanities</t>
  </si>
  <si>
    <t xml:space="preserve">Enel Green Power S.p.A is an
alternative energy sources
establishment. The Company is
located in Mexico.
Universidad Autnoma Chapingo
is a provider of social
sciences research and
development services. The
Company is located in Mexico.</t>
  </si>
  <si>
    <t xml:space="preserve">499A
8732</t>
  </si>
  <si>
    <t xml:space="preserve">Mexico
Mexico</t>
  </si>
  <si>
    <t xml:space="preserve">ENEL GREEN POWER S.P.A/UNIVERSIDAD AUTNOMA CHAPINGO-STRATEGIC ALLIANCE</t>
  </si>
  <si>
    <t xml:space="preserve">Enel Green Power S.p.A and Universidad Autnoma Chapingo formed a strategic
alliance was to promote community development and sustainability in
Mexico.</t>
  </si>
  <si>
    <t xml:space="preserve">1F5846
1F5848</t>
  </si>
  <si>
    <t xml:space="preserve">Obducat AB and Undisclosed Joint Venture Partner planned to form joint
venture to develop and produce new products and applications based on NIL
technology, as well as manufacturing of lithography equipment for the Asian
market.</t>
  </si>
  <si>
    <t xml:space="preserve">Poxel SA
ENYO Pharma SAS</t>
  </si>
  <si>
    <t xml:space="preserve">Poxel SA, located in Lyon,
France, is a biotechnology
company. It is specialized in
metabolic diseases and
diabetes. The Company
cooperates with the Laboratory
for Fundamental and Applied
Bioenergetics, Joseph Fourier
University and Department of
Cell Physiology and Metabolism
at the University of Geneva,
Switzerland, among others. It
was founded in 2009.
ENYO Pharma SAS is a
manufacturer of
biopharmaceutical
preparation. The company was
founded in 2014 and is
located in Lyon, France.</t>
  </si>
  <si>
    <t xml:space="preserve">POXEL SA/ENYO PHARMA SAS-STRATEGIC ALLIANCE</t>
  </si>
  <si>
    <t xml:space="preserve">Poxel SA and ENYO Pharma SAS formed a strategic alliance.the purpose of
strategic alliance was licensing agreement that Poxel has with ENYO for
EYP001.</t>
  </si>
  <si>
    <t xml:space="preserve">3C0529
3E3736</t>
  </si>
  <si>
    <t xml:space="preserve">Safilo Group SpA
Interaxon Inc</t>
  </si>
  <si>
    <t xml:space="preserve">Manufactures, retails, and wholesales eyewear products
Research and Development in The Physical, Engineering and Lifesciences (Except Biotechnology)</t>
  </si>
  <si>
    <t xml:space="preserve">Safilo Group SpA, located in
Padova, Italy, manufactures,
retails, and wholesales
eyewear products. Its
products include
prescription frames,
sunglasses and sports
goggles and helmets as well
as licensed brands for
collections of frames and
sunglasses. Its brands
includes the Safilo,
Carrera, Polaroid, Smith
Optics and Oxydo brands. The
licensed brands portfolio
includes Alexander McQueen,
Banana Republic, BOSS, BOSS
Orange, Bottega Veneta,
Celine, Dior, Fossil, Gucci,
HUGO, J.Lo by Jennifer
Lopez, Jimmy Choo, Juicy
Couture, Kate Spade, Liz
Claiborne, Marc Jacobs, Marc
by Marc Jacobs, Max Mara,
Max&amp;Co, Pierre Cardin, Saint
Laurent, Saks Fifth Avenue
and Tommy Hilfiger. The
Company was founded in 1934.
Interaxon Inc is a
Canada-based company, which
offers Muse, a brain-sensing
headband. Muse measures
brain-wave activity and gives
feedback as users meditate.
Users can fit the plastic band
across their forehead and can
follow the recorded sessions
on the application (which
range from 3 to 45 minutes),
focusing on their breath to
the accompaniment of ambient
sounds. Users can connect Muse
to the application on their
mobile device through
Bluetooth. Once paired, Muse
links to the last device it
connected to. It takes a
snapshot of users' brains in a
natural state and uses the
snapshot as a reference to
understand the brain signals.
It gives users with feedback
about their meditation in
real-time by translating their
brain signals into the sounds
of wind. Muse is a fitness
tool that measures brain
signals, such as a heart rate
monitor senses the heartbeat.
It consists of over seven
calibrated sensors, including
two on the forehead, two
behind the ears plus and three
reference sensors.</t>
  </si>
  <si>
    <t xml:space="preserve">SAFILO GROUP SPA/INTERAXON INC-STRATEGIC ALLIANCE</t>
  </si>
  <si>
    <t xml:space="preserve">Safilo Group SpA and Interaxon Inc formed a strategic alliance, to enables
SAFILO's entry into wearable technology, under the name of SAFILOx.</t>
  </si>
  <si>
    <t xml:space="preserve">T7890K
1F7399</t>
  </si>
  <si>
    <t xml:space="preserve">Dairy Crest Ltd(MilkMarketing)
DuPont Industrial Biosciences</t>
  </si>
  <si>
    <t xml:space="preserve">Mnfr,whl dairy products
Biological Product (Except Diagnostic) Manufacturing</t>
  </si>
  <si>
    <t xml:space="preserve">Manufacture and wholesale
dairy products
DuPont Industrial Biosciences
is a manufacturer of
biological products. The
Company is located in the
United States.</t>
  </si>
  <si>
    <t xml:space="preserve">0241
2836</t>
  </si>
  <si>
    <t xml:space="preserve">Milk Marketing Board
DuPont Industrial Biosciences</t>
  </si>
  <si>
    <t xml:space="preserve">2026
2836</t>
  </si>
  <si>
    <t xml:space="preserve">DAIRY CREST LTD(MILK MARKETING/DUPONT INDUSTRIAL BIOSCIENCES-STRATEGIC
ALLIANCE</t>
  </si>
  <si>
    <t xml:space="preserve">Dairy Crest Ltd(Milk Marketing Board) and DuPont Industrial Biosciences
formed a strategic alliance.the purpose of strategic alliance was to
support further product developmen.</t>
  </si>
  <si>
    <t xml:space="preserve">23416E
1F4534</t>
  </si>
  <si>
    <t xml:space="preserve">Shanghai Electric Group Co Ltd
Natl Inst of Clean &amp; Low
Manz AG
Beijing Future Science Pk</t>
  </si>
  <si>
    <t xml:space="preserve">All Other Industrial Machinery Manufacturing
Research and Development in The Physical, Engineering and Lifesciences (Except Biotechnology)
Manufacture semiconductors
Industrial Building Construction</t>
  </si>
  <si>
    <t xml:space="preserve">Shanghai Electric Group Co
Ltd located in Shanghai,
China is a manufacturer of
industrial machinery. The
Company was founded in March
2004.
National Institute of Clean &amp;
Low Carbon Energy is a
provider of research and
development services. The
Company was founded in
December 2009 and is located
in Beijing, China.
Manz AG, located in
Reutlingen, Germany,
manufactures semiconductors.
It offers photovoltaics and
LCD. Its main business
divisions include Solar
systems, LCD systems, and Aico
systems. The Company's
products include: solar cells
and thin-layer solar modules,
LCD substrates, Tungsten
carbide indexable inserts,
sintered parts, other small
components. It also produces
customized system solutions
for Life Science and
innovative components for
automation applications such
as Robots, PC control systems,
vision, industrial PCs,
feeders etc. It has branches
in Germany, the USA, Taiwan,
China and South Korea. The
Company was founded in 1987.
Beijing Future Science Park
Industrial Development Co Ltd
is a industrial building
construction company. The
Company is located in Beijing,
China.</t>
  </si>
  <si>
    <t xml:space="preserve">3559
8731
3674
1541</t>
  </si>
  <si>
    <t xml:space="preserve">China
China
Germany
China</t>
  </si>
  <si>
    <t xml:space="preserve">Shanghai Electric (Group) Corp
Shenhua Group Corp Ltd
Shanghai Electric (Group) Corp
Beijing Future Science Pk</t>
  </si>
  <si>
    <t xml:space="preserve">3629
1221
3629
1541</t>
  </si>
  <si>
    <t xml:space="preserve">SHANGHAI ELECTRIC GROUP CO LTD/NATL INST OF CLEAN &amp; LOW/MANZ AG/BEIJING
FUTURE SCIENCE PK-JOINT VENTURE</t>
  </si>
  <si>
    <t xml:space="preserve">Shanghai Electric Group Co Ltd, National Institute of Clean Low Carbon
Energy, Manz AG and Beijing Future Science Park Industrial Development Co
Ltd planned to form a 20:60:15:5 joint venture named NICE PV Research Inc
to provide photovoltaic cell technology and research and development and
sales of the overall solution The JV was to be capitalize at RMB 1.225
billion (USD 176.309350 million).</t>
  </si>
  <si>
    <t xml:space="preserve">20.00
60.00
15.00
5.00</t>
  </si>
  <si>
    <t xml:space="preserve">The JV was to be capitalize at RMB 1.225 billion (USD 176.309350 million)</t>
  </si>
  <si>
    <t xml:space="preserve">82065L
1F5834
56499X
1F5838</t>
  </si>
  <si>
    <t xml:space="preserve">Shanghai Electric Group Co Ltd
China Energy Conservation &amp;
Shenzhen Laibao Hi-Tech Co Ltd
Natl Inst of Clean &amp; Low
Chongqing Liangjiang New Area</t>
  </si>
  <si>
    <t xml:space="preserve">All Other Industrial Machinery Manufacturing
Other Waste Collection
Mnfr,whl display materials
Research and Development in The Physical, Engineering and Lifesciences (Except Biotechnology)
Private equity firm</t>
  </si>
  <si>
    <t xml:space="preserve">Shanghai Electric Group Co
Ltd located in Shanghai,
China is a manufacturer of
industrial machinery. The
Company was founded in March
2004.
China Energy Conservation &amp;
Emission Reduction Co Ltd is a
provider of waste collection
services. The Company is
located in Beijing, China.
Shenzhen Laibao Hi-Tech Co
Ltd, located in China,
manufactures and wholesales
conductive glasses and color
filter. Its products are
upstream materials used for
LCD panel. The company was
founded in 1992.
National Institute of Clean &amp;
Low Carbon Energy is a
provider of research and
development services. The
Company was founded in
December 2009 and is located
in Beijing, China.
Chongqing Liangjiang New Area
Strategic Emerging Industry
Equity Investment Fund
Partnership (LP) is a
financial sponsor. The Company
is located in Chongqing,
China.</t>
  </si>
  <si>
    <t xml:space="preserve">3559
4953
3679
8731
6799</t>
  </si>
  <si>
    <t xml:space="preserve">Shanghai Electric (Group) Corp
Shenhua Group Corp Ltd
Shenzhen Laibao Hi-Tech Co Ltd
Shenhua Group Corp Ltd
Chongqing Liangjiang New Area</t>
  </si>
  <si>
    <t xml:space="preserve">3629
1221
3679
1221
6799</t>
  </si>
  <si>
    <t xml:space="preserve">Shanghai Electric/China Energy Conservation/Shenzhen Laibao High/National
Institute of Clean/Chongqing Liangjiang</t>
  </si>
  <si>
    <t xml:space="preserve">Shanghai Electric Group Co Ltd, China Energy Conservation Emission
Reduction Co Ltd, Shenzhen Laibao Hi-Tech Co Ltd, National Institute of
Clean Low Carbon Energy and Chongqing Liangjiang New Area Strategic
Emerging Industry Equity Investment Fund Partnership (LP) planned to form a
20:54:10:10:6 joint venture named Chongqing Shenhua Thin Film Solar
Technology Co Ltd to research and development and production of solar
modules and its components. The JV was to be capitalize at RMB1.25 billion
(USD 179.9075 mil).The transaction was subject to the approval of the
industry and commerce administrations.</t>
  </si>
  <si>
    <t xml:space="preserve">20.00
54.00
10.00
10.00
6.00</t>
  </si>
  <si>
    <t xml:space="preserve">The JV was to be capitalize at RMB1.25 billion (USD 179.9075 mil)</t>
  </si>
  <si>
    <t xml:space="preserve">82065L
1F6203
82298Y
1F5834
1F6226</t>
  </si>
  <si>
    <t xml:space="preserve">Regeneus Ltd
Asahi Glass Co Ltd</t>
  </si>
  <si>
    <t xml:space="preserve">Biotechnology company
Flat Glass Manufacturing</t>
  </si>
  <si>
    <t xml:space="preserve">Asahi Glass Co Ltd,
headquartered in Tokyo,
Japan, manufactures and
wholesales glass products.
It has four business
segments. The Glass segment
manufactures and sells sheet
glass, glass for
automobiles, as well as
glass for illumination and
industry use, among others.
The Electronics and Display
segment is involved in the
manufacture and sale of
glass substrates for liquid
crystal use, glass for
plasma display panels
(PDPs), glass frits, parts
for semiconductor
manufacturing equipment,
optoelectronics parts and
synthetic silica products,
among others. The Chemical
segment offers chloride
vinyl monomers, sodium
hydroxide, urethane raw
materials, fluorine resin
and glass, battery materials
and iodine products, among
others. The other segment
provides ceramic products,
as well as logistics and
financial services. The
Company was founded in
September 1907.</t>
  </si>
  <si>
    <t xml:space="preserve">2836
3211</t>
  </si>
  <si>
    <t xml:space="preserve">REGENEUS LTD/ASAHI GLASS CO LTD-JOINT VENTURE</t>
  </si>
  <si>
    <t xml:space="preserve">Regeneus Ltd and Asahi Glass Co Ltd planned to form a 50:50 joint
venture.the purpose of joint venture was for exclusive clinical development
and commercialisation of progenza.</t>
  </si>
  <si>
    <t xml:space="preserve">5A3952
043393</t>
  </si>
  <si>
    <t xml:space="preserve">Shanghai Kingee Gold&amp;Jewelry
Chengdu Aixin Tongbao Trade
Chen Shanshan
Jiang Ming
Han Gang</t>
  </si>
  <si>
    <t xml:space="preserve">Jewelry Stores
Jewelry, Watch, Precious Stone, and Precious Metal Merchant Wholesalers
Individual
Individual
Individual</t>
  </si>
  <si>
    <t xml:space="preserve">Shanghai Kingee Gold&amp;Jewelry
Co Ltd, located in China,
wholesales and retails
golden jewelry. It was
founded in 2012.
Chengdu Aixin Tongbao Trade Co
Ltd is a bullion wholesaler.
The Company is located in
Chengdu, China.
Chen Shanshan, located in
China, is an individual
investor.
Jiang Ming, located in China,
is an individual investor.
Han Gang, located in China, is
an individual investor.</t>
  </si>
  <si>
    <t xml:space="preserve">5094
5094
6799
6799
6799</t>
  </si>
  <si>
    <t xml:space="preserve">Beijing Kingee Culture Dvlp
Chengdu Aixin Tongbao Trade
Chen Shanshan
Jiang Ming
Han Gang</t>
  </si>
  <si>
    <t xml:space="preserve">3911
5094
6799
6799
6799</t>
  </si>
  <si>
    <t xml:space="preserve">SHANGHAI KINGEE GOLD&amp;JEWELRY CO LTD/CHENGDU AIXIN TONGBAO TRADE CO LTD/CHEN
SHANSHAN/JIANG MING/HAN GANG-JOINT VENTURE</t>
  </si>
  <si>
    <t xml:space="preserve">Chengdu Kingee Love Jewelry Co
Ltd is a jewelry wholesaler.
The Company was founded in
January 2017 and is located in
Chengdu, China.</t>
  </si>
  <si>
    <t xml:space="preserve">Shanghai Kingee GoldJewelry Co Ltd, Chengdu Aixin Tongbao Trade Co Ltd,
Chen Shanshan, Jiang Ming and Han Gang formed a 30:28:26:10:6 joint venture
named Chengdu Kingee Love Jewelry. The JV was to be capitalized at 2.875
million USDollars.</t>
  </si>
  <si>
    <t xml:space="preserve">30.00
28.00
26.00
10.00
6.00</t>
  </si>
  <si>
    <t xml:space="preserve">The JV was to be capitalized at 2.875 million USDollars.</t>
  </si>
  <si>
    <t xml:space="preserve">2F2732</t>
  </si>
  <si>
    <t xml:space="preserve">0C0560
2F2729
2F2725
2F2726
2F2727</t>
  </si>
  <si>
    <t xml:space="preserve">Kasten Inc
Thru Pharma LLC</t>
  </si>
  <si>
    <t xml:space="preserve">Kasten Inc is located in
Silver Springs, Nevada. A
manufacturer of pharmaceutical
preparation.
Thru Pharma LLC is located in
Sioux Falls, South Dakota. The
Company is a manufacturer of
pharmaceutical preparation.</t>
  </si>
  <si>
    <t xml:space="preserve">NV
SD</t>
  </si>
  <si>
    <t xml:space="preserve">KASTEN INC/THRU PHARMA LLC-JOINT VENTURE</t>
  </si>
  <si>
    <t xml:space="preserve">Kasten Inc and Thru Pharma LLC formed a 50:50 joint venture to promote the
development and marketing of Site Specific Penetration Technology (SSPT)
biopharmaceutical products.</t>
  </si>
  <si>
    <t xml:space="preserve">2F5197
2F5199</t>
  </si>
  <si>
    <t xml:space="preserve">Vir Biotechnology Inc
Oregon Health &amp; Science Univ</t>
  </si>
  <si>
    <t xml:space="preserve">Pharmaceutical Preparation Manufacturing
Own,op college,university</t>
  </si>
  <si>
    <t xml:space="preserve">Vir Biotechnology Inc,
located in San Francisco,
California, manufactures
pharmaceutical products. It
has operations in Portland,
Oregon, Boston,
Massachusetts, and
Bellinzona, Switzerland. The
Company was founded in 2006.
Company was founded in 2006.
Own and operate college and
university</t>
  </si>
  <si>
    <t xml:space="preserve">CA
OR</t>
  </si>
  <si>
    <t xml:space="preserve">VIR BIOTECHNOLOGY INC/OREGON HEALTH &amp; SCIENCE UNIVERSITY-STRATEGIC
ALLIANCE</t>
  </si>
  <si>
    <t xml:space="preserve">Vir Biotechnology Inc and Oregon Health Science University formed a
strategic alliance in United States for cytomegalovirus (CMV) vaccine
technology.</t>
  </si>
  <si>
    <t xml:space="preserve">92764N
68586K</t>
  </si>
  <si>
    <t xml:space="preserve">Mobileye NV
NIO USA</t>
  </si>
  <si>
    <t xml:space="preserve">Software Publishers
New Car Dealers</t>
  </si>
  <si>
    <t xml:space="preserve">Mobileye NV, located in
Jerusalem, Israel,
manufactures and develops
software and related
technologies for camera-based
Advanced Driver Assistance
Systems or vision systems for
the automotive industry, like
camera-based driver assistance
systems. The Company has
operations in Israel, the US,
Cyprus, China, Germany and
Japan. It was founded in 1999.
NIO USA, located in San Jose,
California, is a global
start-up, designing and
developing smart,
high-performance, premium
electric vehicles. NIO has
recruited thousands of
world-class R&amp;D and design
experts from around the world
with significant technology
and management background from
leading automobile and high
tech companies.</t>
  </si>
  <si>
    <t xml:space="preserve">7372
5511</t>
  </si>
  <si>
    <t xml:space="preserve">MOBILEYE NV/NIO USA-STRATEGIC ALLIANCE</t>
  </si>
  <si>
    <t xml:space="preserve">NIO USA and Mobileye NV signed a Memorandum of Agreement to jointly develop
L4 autonomy using the Mobileye solution portfolio for NIO USA vehicles by
2019.</t>
  </si>
  <si>
    <t xml:space="preserve">N51488
2F6248</t>
  </si>
  <si>
    <t xml:space="preserve">Keurig Green Mountain Inc
Anheuser-Busch Inbev SA/NV</t>
  </si>
  <si>
    <t xml:space="preserve">Coffee and Tea Manufacturing
Produce,whl beers</t>
  </si>
  <si>
    <t xml:space="preserve">Keurig Green Mountain Inc,
located in Waterbury,
Vermont, produces,
wholesales, and retails
coffee and tea products. It
sells Keurig Single Cup
Brewers and Arabica bean
coffees including Fair Trade
Certified, certified
organic, flavored, limited
edition and blends offered
in K-Cup and Vue packs
(single serve packs) for use
with its Keurig Single Cup
Brewers. It also offered
whole bean and ground coffee
in other package types
including bags, fractional
packages, and cans. In
addition, the Company also
produces and sells other
specialty beverages
including apple cider, hot
andteas,coffees, iced fruit
brews, hot cocoa, and other
dairy-based beverages. It
operates in two segments:
Domestic segment and
Canadian segment, and
distributes its products in
two channels: at-home (AF)
and away-from-home (AFH)
under its brands including
Green Mountain Coffee and
the Original Donut Shop. The
Company was founded in 1981.
Anheuser-Busch Inbev SA/NV
is a brewery. The Company
owns a portfolio of over 400
beer brands. The Company's
brand portfolio includes
global brands, such as
Budweiser, Corona and Stella
Artois; international
brands, including Beck's,
Leffe and Hoegaarden, and
local champions, such as Bud
Light, Skol, Brahma,
Antarctica, Quilmes,
Victoria, Modelo Especial,
Michelob Ultra, Harbin,
Sedrin, Klinskoye,
Sibirskaya Korona,
Chernigivske, Cass and
Jupiler, among others. The
Company's soft drinks
business consists of both
own production and
agreements with PepsiCo
related to bottling and
distribution arrangements
between its various
subsidiaries and PepsiCo.
Ambev, which is a subsidiary
of the Company, is a PepsiCo
bottler. Brands that are
distributed under these
agreements are Pepsi, 7UP
and Gatorade. The Company
was founded in 2004 and is
located in Belgium.</t>
  </si>
  <si>
    <t xml:space="preserve">2095
2082</t>
  </si>
  <si>
    <t xml:space="preserve">VT
FF</t>
  </si>
  <si>
    <t xml:space="preserve">JAB Holding Co Sarl
Anheuser-Busch Inbev SA/NV</t>
  </si>
  <si>
    <t xml:space="preserve">Luxembourg
Belgium</t>
  </si>
  <si>
    <t xml:space="preserve">6799
2082</t>
  </si>
  <si>
    <t xml:space="preserve">KEURIG GREEN MOUNTAIN INC/ANHEUSER-BUSCH INBEV SA/NV-JOINT VENTURE</t>
  </si>
  <si>
    <t xml:space="preserve">Anheuser-Busch InBev and Keurig Green Mountain formed a joint venture to
invent an in-home alcohol drink system.</t>
  </si>
  <si>
    <t xml:space="preserve">49271M
03500W</t>
  </si>
  <si>
    <t xml:space="preserve">Simcere Pharm Grp Ltd
Merus NV</t>
  </si>
  <si>
    <t xml:space="preserve">Simcere Pharmaceutical
Group, located in Nanjing,
China, is a manufactures and
wholesale prescription
pharmaceuticals intended for
final consumption, including
biotech products and
antibiotics. Simcere
currently manufactures and
sells more than 50
pharmaceutical products,
including antibiotics,
anti-cancer medication and
stroke management medication
and is the exclusive
distributor of three
additional pharmaceuticals
that are marketed under its
brand names, including
anti-inflammatory pain
relievers including
Yingtaiqing, Anqi, and Biqi.
The company was founded in
1995.
Merus NV, located in Utrecht,
Netherlands, is a
pharmaceutical company
manufacturing anticancer
pharmaceutical products.</t>
  </si>
  <si>
    <t xml:space="preserve">Simcere Pharm Grp Ltd
Merus Labs International Inc</t>
  </si>
  <si>
    <t xml:space="preserve">SIMCERE PHARMACEUTICAL GROUP/MERUS NV-STRATEGIC ALLIANCE</t>
  </si>
  <si>
    <t xml:space="preserve">Simcere Pharmaceutical Group and Merus NV formed a strategic alliance to
grant Simcere an exclusive license to develop and commercialize in China
three bispecific antibodies utilizing Merus proprietary Biclonics
technology platform in the area of immuno-oncology.</t>
  </si>
  <si>
    <t xml:space="preserve">82859P
9C9540</t>
  </si>
  <si>
    <t xml:space="preserve">Promethera Biosciences SA
Life Liver Co Ltd</t>
  </si>
  <si>
    <t xml:space="preserve">Promethera Biosciences SA,
located in
Mont-Saint-Guibert, Belgium,
is a biotechnology company.
It was founded in August
2012.
Life Liver Co Ltd is a
manufacturer of biological
products. The Company is
located in Yongin, South
Korea.</t>
  </si>
  <si>
    <t xml:space="preserve">Belgium
South Korea</t>
  </si>
  <si>
    <t xml:space="preserve">PROMETHERA BIOSCIENCES SA/LIFE LIVER CO LTD-STRATEGIC ALLIANCE</t>
  </si>
  <si>
    <t xml:space="preserve">Promethera Biosciences SA and Life Liver Co Ltd formed a strategic alliance
to develop Promethera's cell-based liver disease therapies in South Korea.</t>
  </si>
  <si>
    <t xml:space="preserve">5C3357
2F2748</t>
  </si>
  <si>
    <t xml:space="preserve">Aduro Biotech Inc
Merck &amp; Co Inc</t>
  </si>
  <si>
    <t xml:space="preserve">Research and Development in The Physical, Engineering and Lifesciences (Except Biotechnology)
Manufactures and wholesales pharmaceuticals</t>
  </si>
  <si>
    <t xml:space="preserve">Aduro Biotech Inc, located
in Berkeley, California,
provides clinical research
and development services,
focused on non-invasive
targeted therapeutics that
use heat to treat cancer and
other life threatening and
debilitating diseases. It
focuses mainly on treatment
of pancreatic cancer. The
Company was founded in 2000.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</si>
  <si>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ADURO BIOTECH INC/MERCK &amp; CO INC-STRATEGIC ALLIANCE</t>
  </si>
  <si>
    <t xml:space="preserve">Aduro BioTech Inc and Merck Co Inc extended their strategic alliance around
the world to investigate the combination of CRS-207, Aduros LADD (live,
attenuated double-deleted) based immunotherapy, with Mercks anti-PD-1
therapy KEYTRUDA (pembrolizumab) for the treatment of gastric cancer.</t>
  </si>
  <si>
    <t xml:space="preserve">00739L
58933Y</t>
  </si>
  <si>
    <t xml:space="preserve">Kite Pharma Inc
Daiichi Sankyo Co Ltd</t>
  </si>
  <si>
    <t xml:space="preserve">Kite Pharma Inc,
headquartered in Santa
Monica, California, is
clinical-stage
biopharmaceutical company.
It is focused on the
development and
commercialization of cancer
immunotherapy products
designed to harness the
power of a patients own
immune system to eradicate
cancer cells. Its
therapeutic
platform-engineered
Autologous Cell Therapy
(eACT) functions where a
patients own T cells, or
white blood cells, are
engineered to recognize and
destroy their cancer. Its
eACT technology includes the
genetic engineering of T
cells to express either
chimeric antigen receptors
(CARs), or T cell receptors
(TCRs). The Company was
founded in 2009.
Daiichi Sankyo Co Ltd is
located in Chuo-Ku Tokyo,
Japan, mainly engaged in the
manufacture and sale of
pharmaceuticals. The Company
is involved in the research,
development, manufacture and
sale of pharmaceuticals, as
well as the provision of
intermediates and basic
materials for pharmaceutical
producing in Japan, the
United States, Europe and
other markets. The Company
is also engaged in the
research, development,
over-the-counter drugs and
vaccines, the provision of
administrative services such
as human resources and
accounting services, real
estate leasing and insurance
agency business. The Company
was founded in 2005.</t>
  </si>
  <si>
    <t xml:space="preserve">KITE PHARMA INC/DAIICHI SANKYO CO LTD-STRATEGIC ALLIANCE</t>
  </si>
  <si>
    <t xml:space="preserve">Kite Pharma Inc and Daiichi Sankyo Co Ltd planned to form a strategic
alliance.</t>
  </si>
  <si>
    <t xml:space="preserve">49803L
J11257</t>
  </si>
  <si>
    <t xml:space="preserve">Team8
Qualcomm Inc</t>
  </si>
  <si>
    <t xml:space="preserve">Software Publishers
Semiconductor and Related Device Manufacturing</t>
  </si>
  <si>
    <t xml:space="preserve">Team8 is a software
publisher. The Company was
founded in June 2014 and is
located in Israel.
Qualcomm Inc, located in San
Diego, California,
manufactures and wholesales
semiconductors and related
devices. Its products
consist of integrated
circuits (chips or chipsets)
and system software used in
mobile devices and in
wireless networks. It also
develops and commercializes
a range of other
technologies used in
handsets and tablets that
contribute to end user
demand. Its operations are
carried out in the United
States, South Korea, China
and Japan. Its business
includes Qualcomm Mobile &amp;
Computing, Qualcomm
Government Technologies,
Qualcomm Internet Services
and Qualcomm Ventures. Its
subsidiaries include Atheros
Inc, Qualcomm Innovation
Center, Qualcomm Life Inc
and others. It is also a
holding company. The Company
was founded in July 1985.</t>
  </si>
  <si>
    <t xml:space="preserve">7376
3674</t>
  </si>
  <si>
    <t xml:space="preserve">TEAM8 LABS LTD/QUALCOMM INC-STRATEGIC ALLIANCE</t>
  </si>
  <si>
    <t xml:space="preserve">Team8 Labs Ltd and Qualcomm Inc formed a strategic alliance to develop the
products of team8.</t>
  </si>
  <si>
    <t xml:space="preserve">1F9901
747525</t>
  </si>
  <si>
    <t xml:space="preserve">AbbVie Inc
Genomics Medicine Ireland Ltd
WuXi NextCODE Genomics Usa Inc</t>
  </si>
  <si>
    <t xml:space="preserve">Manufactures and wholesales pharmaceutical products
Provide research,dvlp svcs
In-Vitro Diagnostic Substance Manufacturing</t>
  </si>
  <si>
    <t xml:space="preserve">AbbVie Inc, located in North
Chicago, Illinois,
manufactures and wholesales
pharmaceutical products. Its
products are focused on
treating conditions such as
chronic autoimmune diseases
in rheumatology,
gastroenterology and
dermatology; oncology,
including blood cancers;
virology, including
hepatitis C virus (HCV) and
human immunodeficiency virus
(HIV); neurological
disorders, such as
Parkinson's disease;
metabolic diseases,
including thyroid disease
and complications associated
with cystic fibrosis; pain
associated with
endometriosis; and other
serious health conditions.
Its brands include HUMIRA,
Kaltera, Lupron, Synagis,
Androgel, Zemplar,
Synthroid, Creon, TriCor,
Trilipix, Simcor, Niaspan
and among others. The
Company was founded in
10, 2012.
January 2013.
Genomics Medicine Ireland
Limited is an Ireland-based
life sciences company. The
Company focuses on research
study across Ireland looking
at the human genome to
examine the relationship
between genetics, health and
disease. Working in
partnership with the medical
community, patients,
academic researchers and the
global biotech and
pharmaceutical sectors, the
Company focuses on
collecting new insights to
help with the development of
new treatments and
diagnostics across a
spectrum of chronic health
conditions for the people of
Ireland and beyond. The
Company is engaged in a
health discovery project,
which aims to build a
disease-specific genomic
study. It is engaged in
creating a scientific
platform to examine the
human genome in order to
understand the role of
genetics in disease and rare
conditions, and to lead to
new prevention strategies
and treatments.
WuXi NextCODE Genomics Usa Inc
is a manufacturer of in-vitro
diagnostic substances. The
Company is located in
Cambridge, Massachusetts.</t>
  </si>
  <si>
    <t xml:space="preserve">2834
8731
2835</t>
  </si>
  <si>
    <t xml:space="preserve">United States
Ireland-Rep
United States</t>
  </si>
  <si>
    <t xml:space="preserve">IL
FF
MA</t>
  </si>
  <si>
    <t xml:space="preserve">AbbVie Inc
Genomics Medicine Ireland Ltd
WuXi AppTec Co Ltd</t>
  </si>
  <si>
    <t xml:space="preserve">United States
Ireland-Rep
China</t>
  </si>
  <si>
    <t xml:space="preserve">2834
8731
8071</t>
  </si>
  <si>
    <t xml:space="preserve">ABBVIE INC/GENOMICS MEDICINE IRELAND LTD/WUXI NEXTCODE-STRATEGIC ALLIANCE</t>
  </si>
  <si>
    <t xml:space="preserve">AbbVie Inc, Genomics Medicine Ireland Ltd and WuXi NextCODE formed a
strategic alliance to conduct population genomics research.</t>
  </si>
  <si>
    <t xml:space="preserve">00287Y
2F0423
9C7929</t>
  </si>
  <si>
    <t xml:space="preserve">Allergan Plc
Assembly Biosciences Inc</t>
  </si>
  <si>
    <t xml:space="preserve">Allergan PLC is a specialty
pharmaceutical company. The
Company is engaged in the
development, manufacturing,
marketing and distribution
of brand name pharmaceutical
products, medical
aesthetics, biosimilar and
over-the-counter
pharmaceutical products. The
Company operates through
three segments: US
Specialized Therapeutics, US
General Medicine and
International. The US
Specialized Therapeutics
segment includes sales
relating to branded products
within the United States,
including Medical
Aesthetics, Medical
Dermatology, Eye Care,
Neurosciences and Urology
therapeutic products. The US
General Medicine segment
includes sales relating to
branded products within the
United States that do not
fall into the US Specialized
Therapeutics business units,
including Central Nervous
System, Gastrointestinal,
Women's Health,
Anti-Infectives and
Diversified Brands. The
International segment
products sold outside the
United States. The Company
was founded in 1983 and is
located in Parsippany, New
Jersey.
Assembly Biosciences Inc,
formerly Ventrus Biosciences
Inc, located in New York, New
York is a development-stage
specialty pharmaceutical
company. The Company is
focused on the development of
late-stage and pre-clinical
prescription drugs and
biologics, for
gastrointestinal disorders.
The Companys product portfolio
consists of two late stage
assets: VEN 307 (topical
diltiazem) for relief from
pain associated with anal
fissures and VEN 308 (topical
phenylephrine) for the
treatment of fecal
incontinence. The Company also
is developing a colonic
delivery mechanism (VEN 310),
which is a PH sensitive system
to deliver bacteria, complex
proteins, viral antigens,
small molecules and other
treatments precisely to the
colon. In addition to VEN 307,
VEN 308 and VEN 310, the
Company intends to pursue the
in-licensing and acquisition
of other development stage, as
well as pre-clinical assets.</t>
  </si>
  <si>
    <t xml:space="preserve">ALLERGAN PLC/ASSEMBLY BIOSCIENCES INC-STRATEGIC ALLIANCE</t>
  </si>
  <si>
    <t xml:space="preserve">Allergan PLC and Assembly Biosciences Inc formed a strategic alliance, to
provides Allergan with worldwide rights to preclinical compounds ABI-M201
and ABI-M301.</t>
  </si>
  <si>
    <t xml:space="preserve">G0177J
045396</t>
  </si>
  <si>
    <t xml:space="preserve">Continental Automotive Systems
Nexteer Automotive Group Ltd</t>
  </si>
  <si>
    <t xml:space="preserve">Whl,supply brake sys
Automobile Manufacturing</t>
  </si>
  <si>
    <t xml:space="preserve">Wholesale and supply brake
systems, chassis components,
vehicle electronics, tires and
technical elastomers
Nexteer Automotive Group Ltd,
located in Saginaw, Michigan,
manufactures vehicle steering
and driveline systems. The
company designs, engineers,
manufactures and sells
electric power steering,
hydraulic power steering,
steering columns and driveline
halfshafts for over 60
automobile manufacturers and
tier one suppliers. The
company was founded in 2012.</t>
  </si>
  <si>
    <t xml:space="preserve">5013
3711</t>
  </si>
  <si>
    <t xml:space="preserve">Continental AG
Aviation Ind Corp Of China</t>
  </si>
  <si>
    <t xml:space="preserve">CONTINENTAL AUTOMOTIVE SYSTEMS/NEXTEER AUTOMOTIVE GROUP LTD-JOINT VENTURE</t>
  </si>
  <si>
    <t xml:space="preserve">Nexteer Automotive Group Ltd and Continental Automotive Systems formed a
50:50 joint venture.</t>
  </si>
  <si>
    <t xml:space="preserve">49409Z
G6501M</t>
  </si>
  <si>
    <t xml:space="preserve">HG Tech Co Ltd
Wuhan Huarong Open Ind Co Ltdc</t>
  </si>
  <si>
    <t xml:space="preserve">Mnfr,whl laser equip
Real estate development firm</t>
  </si>
  <si>
    <t xml:space="preserve">HG Tech Co Ltd located in
Wuhan, China is a
manufacturer of electrical
equipment. The Company was
founded in July 1999.
Wuhan Huarong Open Industry Co
Ltdc is a provider of land
subdivision services. The
Company is located in Wuhan,
China.</t>
  </si>
  <si>
    <t xml:space="preserve">3699
6552</t>
  </si>
  <si>
    <t xml:space="preserve">HUAGONG TECH CO LTD/WUHAN HUARONG OPEN INDUSTRY CO LTDC-JOINT VENTURE</t>
  </si>
  <si>
    <t xml:space="preserve">Huagong Tech Co Ltd and Wuhan Huarong Open Industry Co Ltd planned to form
an 85.7:14.3 joint venture named Wuhan Huagong Medical Technology Co Ltd.
The JV was to be capitalized at CNY 70 mil (USD 10.094 mil).</t>
  </si>
  <si>
    <t xml:space="preserve">Health &amp; Medical Services
Retail &amp; Wholesale Services
Research &amp; Development Services</t>
  </si>
  <si>
    <t xml:space="preserve">85.70
14.30</t>
  </si>
  <si>
    <t xml:space="preserve">The JV was to be capitalized at CNY 70 mil (USD 10.094 mil).</t>
  </si>
  <si>
    <t xml:space="preserve">44340L
2F0581</t>
  </si>
  <si>
    <t xml:space="preserve">Merck KGaA
Vertex Pharmaceuticals Inc</t>
  </si>
  <si>
    <t xml:space="preserve">Manufactures and wholesales pharmaceuticals, specialty chemicals, and cosmetic pigments
Biotech co</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</si>
  <si>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t>
  </si>
  <si>
    <t xml:space="preserve">MERCK KGAA/VERTEX PHARMACEUTICALS INC-STRATEGIC ALLIANCE</t>
  </si>
  <si>
    <t xml:space="preserve">Merck KGaA and Vertex Pharmaceuticals Inc formed a strategic alliance for
the worldwide development and commercialization of four promising research
and development programs that represent novel approaches to the treatment
of cancer.</t>
  </si>
  <si>
    <t xml:space="preserve">589339
92532F</t>
  </si>
  <si>
    <t xml:space="preserve">Synthetic Genomics Inc
Crucell Holland BV</t>
  </si>
  <si>
    <t xml:space="preserve">Synthetic Genomics Inc, based
in La Jolla, California is a
biotechnology company for the
genomics, microbiology,
biochemistry, bioinformatics,
plant genomics, genome
engineering, synthetic
biology, and climate change
markets. It was founded in
2005.
Crucell Holland BV, located in
Leiden, the Netherlands, is a
biotechnology company. It
focuses on discovery,
development, manufacture and
marketing of vaccines and
antibodies to protect people
worldwide from infectious
diseases. The company was
founded in 1993.</t>
  </si>
  <si>
    <t xml:space="preserve">Synthetic Genomics Inc
J&amp;J</t>
  </si>
  <si>
    <t xml:space="preserve">SYNTHETIC GENOMICS INC/CRUCELL HOLLAND BV-STRATEGIC ALLIANCE</t>
  </si>
  <si>
    <t xml:space="preserve">Synthetic Genomics Inc and Crucell Holland BV formed a strategic alliance
to Develop Novel Therapeutics Using Synthetic Genomics Replicon RNA
Technology.</t>
  </si>
  <si>
    <t xml:space="preserve">1A9667
5C2894</t>
  </si>
  <si>
    <t xml:space="preserve">Novan Inc
Sato Pharmaceutical Co Ltd</t>
  </si>
  <si>
    <t xml:space="preserve">Pharmaceutical Preparation Manufacturing
Mnfr pharmaceuticals</t>
  </si>
  <si>
    <t xml:space="preserve">Novan Inc, located in Durham,
North Carolina, is a
pharmaceutical company focus
in dermatology through the
development and
commercialization of therapies
using the company's nitric
oxide platform. The company
was founded in 2006.
Sato Pharmaceutical Co Ltd's
main activity is to
manufacture prescription
pharmaceuticals intended for
final consumption, including
biotech products and
antibiotics. The company is
headquartered in Tokyo and was
founded in 1939.</t>
  </si>
  <si>
    <t xml:space="preserve">NOVAN INC/SATO PHARMACEUTICAL CO LTD-STRATEGIC ALLIANCE</t>
  </si>
  <si>
    <t xml:space="preserve">Novan Inc and Sato Pharmaceutical Co Ltd formed a strategic alliance for
the exclusive rights to develop and commercialize in Japan Novans topical
nitric oxide-releasing product candidate SB204 and related dosage forms for
the treatment of acne vulgaris.</t>
  </si>
  <si>
    <t xml:space="preserve">66988N
80393P</t>
  </si>
  <si>
    <t xml:space="preserve">Tech Coast Angels
Xprize</t>
  </si>
  <si>
    <t xml:space="preserve">Financial Sponsor
Develop prepackaged software</t>
  </si>
  <si>
    <t xml:space="preserve">Tech Coast Angels, located in
Los Angeles, California, is a
venture capital firm that
invest on different industries
such as life sciences,
biotech, IT, services, retail,
Internet, financial, software,
media, consumer products and
tech startups. It also mentors
early stage companies in order
for them to get ideas and
grow. The Company was founded
in 1997.
Xprize is a software
publisher. The company is
located in Culve, California.</t>
  </si>
  <si>
    <t xml:space="preserve">TECH COAST ANGELS/XPRIZE-STRATEGIC ALLIANCE</t>
  </si>
  <si>
    <t xml:space="preserve">Tech Coast Angels and Xprize, strategic alliance is for Tech Coast Angels
to provide access to its network of angel investors, offering expertise,
mentorship, and access to capital for Southern California based teams</t>
  </si>
  <si>
    <t xml:space="preserve">1F0702
0F5573</t>
  </si>
  <si>
    <t xml:space="preserve">Georgian Energy Development
Seeking Partner</t>
  </si>
  <si>
    <t xml:space="preserve">Miscellaneous Intermediation
Investment firm</t>
  </si>
  <si>
    <t xml:space="preserve">Georgian Energy Development
Fund is an investment company,
headquatered in Georgia.The
Company was established in
2010 by the Government of
Georgia to facilitate
investment in and development
of the countrys renewable
energy sector.
Investment firm</t>
  </si>
  <si>
    <t xml:space="preserve">Georgia
United States</t>
  </si>
  <si>
    <t xml:space="preserve">Georgia (Government Of)
Seeking Partner</t>
  </si>
  <si>
    <t xml:space="preserve">GEORGIAN ENERGY DEVELOPMENT FUND JSC/SEEKING JV PARTNER -JOINT VENTURE</t>
  </si>
  <si>
    <t xml:space="preserve">In January 2017, Georgian Energy Development Fund JSC was seeking partners
to form joint venture named Zestafoni Wind Power Plant.</t>
  </si>
  <si>
    <t xml:space="preserve">The Joint Venture was to have a cost of 227 million USD.</t>
  </si>
  <si>
    <t xml:space="preserve">9A1366
81575N</t>
  </si>
  <si>
    <t xml:space="preserve">Hunan China Sun Pharm Mach Co
GVD Licensing 1Ltd</t>
  </si>
  <si>
    <t xml:space="preserve">Surgical and Medical Instrument Manufacturing
Investment company</t>
  </si>
  <si>
    <t xml:space="preserve">Hunan China Sun
Pharmaceutical Machinery Co
Ltd is a manufacturer and
wholesaler of medical
instruments. The Company was
founded in October 2002 and
is located in Changsha,
China.
GVD Licensing 1Ltd is a
provider of financial
investment services. The
Company is located in Duplin,
the Republic of Ireland.</t>
  </si>
  <si>
    <t xml:space="preserve">China
Ireland-Rep</t>
  </si>
  <si>
    <t xml:space="preserve">Hunan China Sun Pharm Mach Co
GV Diagnostics Holdings Ltd</t>
  </si>
  <si>
    <t xml:space="preserve">HUNAN CHINA SUN PHARMACEUTICAL/GVD LICENSING 1LTD-JOINT VENTURE</t>
  </si>
  <si>
    <t xml:space="preserve">Hunan China Sun Pharmaceutical Machinery Co Ltd and GVD Licensing 1Ltd.</t>
  </si>
  <si>
    <t xml:space="preserve">Health &amp; Medical Services
Manufacturing Services
Marketing Services
Licensing Services
Research &amp; Development Services</t>
  </si>
  <si>
    <t xml:space="preserve">Y3756H
2F2433</t>
  </si>
  <si>
    <t xml:space="preserve">Kasten Inc and Thru Pharma LLC formed a joint venture to develop, fund, and
market Site Specific Penetration Technology (SSPT) biopharmaceutical
products.</t>
  </si>
  <si>
    <t xml:space="preserve">Cynata Therapeutics Ltd
Fujifilm Corp</t>
  </si>
  <si>
    <t xml:space="preserve">Biological Product (Except Diagnostic) Manufacturing
Mnfr,whl photo film,camera</t>
  </si>
  <si>
    <t xml:space="preserve">Cynata Therapeutics Ltd,
located in Carlton,
Australia. is a stem cell
and regenerative medicine
company. The Company is
engaged in the development
and commercialization of a
mesenchymal stem cell (MSC)
technology for human
therapeutic use, Cymerus.
Its Cymerus technology
facilitates manufacture of
MSCs from a single donor and
a single donation. The
Company's Cymerus platform
stem cell technology is
based upon stem cells known
as mesenchymoangioblasts
(MCAs). The Company's
technology utilizes induced
pluripotent stem cells
(iPSCs) originating from an
adult donor as the starting
material for generating MCAs
and in turn for
manufacturing the MSC
therapeutic product. The
Cymerus platform provides a
source of MSCs that is
independent of donor
limitations and provides an
off-the-shelf stem cell
platform for therapeutic
product use. The Company's
MSCs produced using Cymerus
technology, can be used to
treat unrelated patients,
without any need to match
the recipient to the donor.
The Company was founded in
March 2003.
Fujifilm Corp, located in
Tokyo, Japan, manufactures
and wholesales color films,
conventional cameras,
digital cameras, lab
equipment, color paper and
chemicals and provides
photofinishing services. The
Company was founded in 2006.</t>
  </si>
  <si>
    <t xml:space="preserve">2836
3861</t>
  </si>
  <si>
    <t xml:space="preserve">Cynata Therapeutics Ltd
FUJIFILM Holdings Corp</t>
  </si>
  <si>
    <t xml:space="preserve">CYNATA THERAPEUTICS LTD/FUJIFILM CORP-STRATEGIC ALLIANCE</t>
  </si>
  <si>
    <t xml:space="preserve">Cynata Therapeutics Ltd and Fujifilm Corp formed a strategic alliance to
collaborate on the further development and commercialisation of Cynata's
lead Cymerus therapeutic MSC product CYP-001 for graft-versus-host disease
(GvHD).</t>
  </si>
  <si>
    <t xml:space="preserve">9C2307
35899H</t>
  </si>
  <si>
    <t xml:space="preserve">Wrapmail Inc
Health Max Group Inc</t>
  </si>
  <si>
    <t xml:space="preserve">Pvd,email,marketing solution
Medicinal and Botanical Manufacturing</t>
  </si>
  <si>
    <t xml:space="preserve">Wrapmail Inc, based in Fort
Lauderdale, Florida,
provides email marketing
solutions. It offers
WrapMail, an email marketing
solution that focuses on
turning the regular emails
sent by corporate and
government employees along
with individuals into
branding for their business
and interests. The company
offers two distinct
solutions, a free solution
for less than 150 and a paid
solution for over 150 users.
Its solutions enable
companies to promote,
advertise, and track results
with every outgoing email
from every employee. It was
founded in 2005.
Health Max Group Inc is a
manufacturer of medicinals and
botanicals. The Company is
located in Seattle,
Washington.</t>
  </si>
  <si>
    <t xml:space="preserve">7375
2833</t>
  </si>
  <si>
    <t xml:space="preserve">WRAPMAIL INC/HEALTH MAX GROUP INC-STRATEGIC ALLIANCE</t>
  </si>
  <si>
    <t xml:space="preserve">Wrapmail Inc and Health Max Group Inc formed a strategic alliance to
develop a software system where cannabis can be tracked from seed to sale</t>
  </si>
  <si>
    <t xml:space="preserve">98212T
2F4428</t>
  </si>
  <si>
    <t xml:space="preserve">Teletech Hldg Inc
Welltok Inc</t>
  </si>
  <si>
    <t xml:space="preserve">Provide business outsourcing services
Pvd integrated platform</t>
  </si>
  <si>
    <t xml:space="preserve">TeleTech Holdings Inc,
headquartered in Englewood,
Colorado, provides business
outsourcing services which
include telephone and
computer-based customer
acquisition, retention and
satisfaction programs such as
providing new product
information, enrolling
customers in client programs,
providing 24-hour technical
and help desk support,
resolving customer complaints
and conducting satisfaction
surveys. The Company was
founded in 1982.
Welltok Inc is a provider of
computer systems design
services. The Company is
located in Denver, Colorado.</t>
  </si>
  <si>
    <t xml:space="preserve">7363
7373</t>
  </si>
  <si>
    <t xml:space="preserve">CO
CO</t>
  </si>
  <si>
    <t xml:space="preserve">TELETECH HOLDINGS INC/WELLTOK INC-STRATEGIC ALLIANCE</t>
  </si>
  <si>
    <t xml:space="preserve">TeleTech Holdings Inc and Welltok Inc formed a strategic alliance to help
population health managers guide consumers to optimal health with a more
personal touch</t>
  </si>
  <si>
    <t xml:space="preserve">879939
6A7982</t>
  </si>
  <si>
    <t xml:space="preserve">Banner Health System
Koninklijke Philips NV</t>
  </si>
  <si>
    <t xml:space="preserve">Own,op med,surgical hosp
Audio and Video Equipment Manufacturing</t>
  </si>
  <si>
    <t xml:space="preserve">Banner Health System, located
in Phoenix, Arizona, owns and
operates medical and surgical
hospital that provides
hospital care, home care,
hospice care, nursing
registries, surgery centers,
laboratories, rehabilitation
services. The company was
founded in 1999.
Koninklijke Philips NV,
located in Amsterdam, the
Netherlands, manufactures and
wholesales consumer electronic
products including diagnostic
imaging, image-guided therapy,
patient monitoring, and health
informatics. It also offers
entertainment products and
house appliances; lighting
products, and automotive
accessories. Likewise, it is
engaged in the production of
telecommunication equipment
and other electronic products.
It serves as holding and
parent company of the Philips
Group. The Company was founded
in May 1891.</t>
  </si>
  <si>
    <t xml:space="preserve">8062
3845</t>
  </si>
  <si>
    <t xml:space="preserve">BANNER HEALTH SYSTEM/KONINKLIJKE PHILIPS NV-STRATEGIC ALLIANCE</t>
  </si>
  <si>
    <t xml:space="preserve">Banner Health System and Koninklijke Philips NV formed a strategic alliance
to include adoption of Philips' PerformanceBridge Practice, helping Banner
to accelerate its clinical transformation in radiology and further deliver
on its goal of improving care for patients</t>
  </si>
  <si>
    <t xml:space="preserve">06651Y
N7637U</t>
  </si>
  <si>
    <t xml:space="preserve">Alternate Health Corp
Alturas Indian Rancheria</t>
  </si>
  <si>
    <t xml:space="preserve">Offices Of Physicians (Except Mental Health Specialists)
All Other Amusement and Recreation Industries</t>
  </si>
  <si>
    <t xml:space="preserve">Alternate Health Corp,
located in British Columbia,
Canada, is a physician
office operator. The Company
was founded in October 2014.
Alturas Indian Rancheria is a
provider of recreation
services. The Company is
located in California.</t>
  </si>
  <si>
    <t xml:space="preserve">8011
7999</t>
  </si>
  <si>
    <t xml:space="preserve">ALTERNATE HEALTH CORP/ALTURAS INDIAN RANCHERIA-JOINT VENTURE</t>
  </si>
  <si>
    <t xml:space="preserve">Alternate Health Corp and Alturas Indian Rancheria planned to form a 45:55
joint venture to land lease,research and development in the use of
cannabidiol for medical and therapeutic treatments.</t>
  </si>
  <si>
    <t xml:space="preserve">Leasing &amp; Rental Services
Research &amp; Development Services</t>
  </si>
  <si>
    <t xml:space="preserve">02090B
2F4841</t>
  </si>
  <si>
    <t xml:space="preserve">Microsoft Corp(I)Pvt Ltd
Ernst &amp; Young Pvt Ltd</t>
  </si>
  <si>
    <t xml:space="preserve">Mnfr,dvlp,whl computer
Pvd consulting services</t>
  </si>
  <si>
    <t xml:space="preserve">Microsoft Corp (I) Pvt Ltd,
located in Gurgaon, India,
develops and wholesales
software. The company's
products include operating
systems for servers and
personal computers, server
applications for client or
server environments,
information worker
productivity applications;
business solutions
applications; and software
development tools. It also
provides consulting services
and product support services
and also operates online
businesses such as the MSN
network. The company was
founded in 1990.
Ernst &amp; Young Pvt Ltd is a
provider of management
consulting services. The
Company is located in New
Delhi, India.</t>
  </si>
  <si>
    <t xml:space="preserve">Microsoft Corp
Ernst &amp; Young LLP</t>
  </si>
  <si>
    <t xml:space="preserve">7372
8721</t>
  </si>
  <si>
    <t xml:space="preserve">MICROSOFT CORP(I)PVT LTD/ERNST &amp; YOUNG PVT LTD-STRATEGIC ALLIANCE</t>
  </si>
  <si>
    <t xml:space="preserve">Microsoft Corp(I)Pvt Ltd and Ernst Young Pvt Ltd formed a strategic
alliance to develop and deliver innovative high-performance intelligence
and analytics advisory services in India.</t>
  </si>
  <si>
    <t xml:space="preserve">59494N
29597J</t>
  </si>
  <si>
    <t xml:space="preserve">Square Enix Holdings Co Ltd
Marvel Entertainment Inc</t>
  </si>
  <si>
    <t xml:space="preserve">Dvlp,whl game software
Pvd ent licensing svcs</t>
  </si>
  <si>
    <t xml:space="preserve">Square Enix Holdings Co Ltd
is a software publisher. The
Company was founded in
September 1975 and is
located in Shinjuku-Ku
Tokyo, Japan.
Marvel Entertainment Inc,
headquartered in New York, New
York, is a multi-media company
engaged in providing
entertainment character
licensing services. They
provide motion picture
production and distribution
services, comic book
publishing, and toy
manufacturing, and developing
electronic and video games
software. The company was
found in 1933.</t>
  </si>
  <si>
    <t xml:space="preserve">7372
6794</t>
  </si>
  <si>
    <t xml:space="preserve">Square Enix Holdings Co Ltd
Walt Disney Co</t>
  </si>
  <si>
    <t xml:space="preserve">7372
4841</t>
  </si>
  <si>
    <t xml:space="preserve">SQUARE ENIX HOLDINGS CO LTD/MARVEL ENTERTAINMENT INC-STRATEGIC ALLIANCE</t>
  </si>
  <si>
    <t xml:space="preserve">Square Enix Holdings Co Ltd and Marvel Entertainment Inc formed a strategic
alliance to develop and publish original games based on beloved Marvel
Super Heroes, beginning with The Avengers Globally.</t>
  </si>
  <si>
    <t xml:space="preserve">Gaming Services
Research &amp; Development Services</t>
  </si>
  <si>
    <t xml:space="preserve">85289T
57383T</t>
  </si>
  <si>
    <t xml:space="preserve">Akzo Nobel NV
Itaconix Corp</t>
  </si>
  <si>
    <t xml:space="preserve">Manufacture, wholesale paints, chemicals
Other Chemical and Allied Products Merchant Wholesalers</t>
  </si>
  <si>
    <t xml:space="preserve">Akzo Nobel NV is a
manufacturer of coatings.
The Company was founded in
1994 and is located in
Amsterdam, the Netherlands.
The Company operates through
two business segments:
Decorative Paints and
Performance Coatings. The
Decorative Paints segment
supplies a range of
products, including paints,
lacquers and varnishes. It
also offers a range of
mixing machines and color
concepts for the building
and renovation industry, as
well as specialty coatings
for metal, wood and other
critical building materials.
Itaconix Corp, located in
Stratham, New Hampshire,
manufacturer of chemicals
developing functional polymers
from itaconic acid . The
company was founded in 2008,</t>
  </si>
  <si>
    <t xml:space="preserve">2851
5169</t>
  </si>
  <si>
    <t xml:space="preserve">AKZO NOBEL NV/ITACONIX CORP-STRATEGIC ALLIANCE</t>
  </si>
  <si>
    <t xml:space="preserve">Akzo Nobel NV and Itaconix Corp renegotiated their strategic alliance
agreement o evaluate and develop innovative bio-based chelates for use in
the consumer and industrial detergents and cleaners markets.</t>
  </si>
  <si>
    <t xml:space="preserve">010199
6E7553</t>
  </si>
  <si>
    <t xml:space="preserve">Incyte Corp
Calithera Biosciences Inc</t>
  </si>
  <si>
    <t xml:space="preserve">Incyte Corp is a
manufacturer of
pharmaceutical preparation.
The Company was founded in
1991 and is located in
Wilmington, Delaware. Incyte
is a global
biopharmaceutical company
that investment in strong
science and the relentless
pursuit of R&amp;D excellence
can translate into new
solutions that can
positively affect patients
lives.
Calithera BioSciences Inc,
located in South San
Francisco, California, is a
pharmaceutical company. The
company focused on discovering
and developing novel small
molecule drugs directed
against tumor metabolism and
tumor immunology targets for
the treatment of cancer. The
company was founded in 2010.</t>
  </si>
  <si>
    <t xml:space="preserve">INCYTE CORP/CALITHERA BIOSCIENCES INC-STRATEGIC ALLIANCE</t>
  </si>
  <si>
    <t xml:space="preserve">Incyte Corp and Calithera Biosciences Inc planned to form a strategic
alliance to research, development and commercialization in cancer therapy.</t>
  </si>
  <si>
    <t xml:space="preserve">45337C
13089P</t>
  </si>
  <si>
    <t xml:space="preserve">Konica Minolta Inc
Pioneer Corp</t>
  </si>
  <si>
    <t xml:space="preserve">Manufactures and wholesales photographic equipment
Mnfr,whl electn equip</t>
  </si>
  <si>
    <t xml:space="preserve">Konica Minolta Inc, located
in Tokyo, Japan,
manufactures and wholesales
photographic equipment. The
Company operates four
business segments through
its subsidiaries and
associated companies. The
Information equipment
segment manufactures and
sells multifunction printers
(MFPs), printers and related
materials; this segment also
provides solution services.
Optics segment manufactures
and sells optical devices
and electronic materials.
The Healthcare segment
manufactures and sells
health care equipment and
materials. Other segment is
engaged in the measurement
equipment and industrial
inject related businesses.
The Company was founded in
1936.
Pioneer Corp, headquartered
in Tokyo, Japan, is mainly
engaged in the manufacturing
and sales of electronic
products. The company
operates in three business
segments. The Car
Electronics segment
manufactures and sells
navigation systems, stereos,
audio and visual (AV)
systems, speakers and
various other peripheral
products for automobile
uses. The Home Electronics
segment is engaged in the
manufacture and sale of
digital versatile disc (DVD)
players and drives, Blue-ray
disc players and drives,
audio systems and
components, cable television
(CATV) related equipment, AV
accessories and various
other peripheral equipment.
The Others segment
manufactures and sells
organic electroluminescence
(EL) displays, factory
automation (FA) equipment,
speaker units, telephones
and electronic components,
as well as commercial AV
systems and mapping
software, among others. The
company was founded in 1938.</t>
  </si>
  <si>
    <t xml:space="preserve">3861
3651</t>
  </si>
  <si>
    <t xml:space="preserve">KONICA MINOLTA INC/PIONEER CORP-JOINT VENTURE</t>
  </si>
  <si>
    <t xml:space="preserve">Konica Minolta Inc and Pioneer Corp planned to form a 50:50 joint venture
named Konica Minolta Pioneer OLED Inc.</t>
  </si>
  <si>
    <t xml:space="preserve">J36060
723646</t>
  </si>
  <si>
    <t xml:space="preserve">Sansiri PCL
Siam Commercial Bank PCL</t>
  </si>
  <si>
    <t xml:space="preserve">Land Subdivision
Provides commercial banking business</t>
  </si>
  <si>
    <t xml:space="preserve">Sansiri PCL, headquartered in
Bangkok, Thailand, is a real
estate development firm
focused on single house,
townhouse, and condominium. It
also provides property
management services. The
Company was founded in 1984.
Siam Commercial Bank PCL is
engaged in banking business.
The Companys principal
business includes the
provision of financial
products and services
through its branch network
in Thailand and other
countries. The Company
operates four business
segments: the wholesale
banking group, which serves
corporate and commercial
customers; the business
small and medium-sized
enterprises (SMEs); the
retail banking group, which
serves individuals and small
businesses, and the special
business group, which is
responsible for
non-performing loan (NPL)
solution. The Company was
founded on 4 October 1904
and is located in Bangkok,
Thailand.</t>
  </si>
  <si>
    <t xml:space="preserve">6552
6000</t>
  </si>
  <si>
    <t xml:space="preserve">SANSIRI PCL/SIAM COMMERCIAL BANK PCL-JOINT VENTURE</t>
  </si>
  <si>
    <t xml:space="preserve">Siri Venture Co Ltd is a
provider of financial
investment services. The
Company is located in Bangkok,
Thailand.</t>
  </si>
  <si>
    <t xml:space="preserve">Sansiri PCL and Siam Commercial Bank PCL formed a 90:10 joint venture named
Siri Venture Co Ltd to develop innovations for home living and lifestyle,
from conception to commercial viability, with direct access to sustain
business in the property market in Thailand.</t>
  </si>
  <si>
    <t xml:space="preserve">5F1643</t>
  </si>
  <si>
    <t xml:space="preserve">80108Y
82570N</t>
  </si>
  <si>
    <t xml:space="preserve">Albany Molecular Research Inc
Bruker Corp
Highres Biosolutions Inc</t>
  </si>
  <si>
    <t xml:space="preserve">Biotechnology company
Manufacture,wholesale scientific instruments
Biological Product (Except Diagnostic) Manufacturing</t>
  </si>
  <si>
    <t xml:space="preserve">Albany Molecular Research Inc,
located in Albany, New York,
is a biotechnology company
focused on chemistry-based
drug discovery, development
and manufacture of small
molecule prescription drugs.
It also operates in Europe and
Asia. The Company was founded
in 1991.
Bruker Corp, located in
Billerica, Massachusetts,
manufactures and wholesales
scientific instruments for
chemical analysis, life
science and pharmaceutical,
biotechnology and molecular
diagnostics research. It has
offices in Africa, Asia,
Pacific, Australia and New
Zealand, Europe, North
America and South America.
The Company was founded in
1991.
Highres Biosolutions Inc is
a manufacturer of biological
products. The Company is
located in Beverly,
Massachusetts.</t>
  </si>
  <si>
    <t xml:space="preserve">2836
3826
2836</t>
  </si>
  <si>
    <t xml:space="preserve">NY
MA
MA</t>
  </si>
  <si>
    <t xml:space="preserve">ALBANY MOLECULAR RESEARCH INC/BRUKER CORP/HIGHRES BIOSOLUTIONS
INC-STRATEGIC ALLIANCE</t>
  </si>
  <si>
    <t xml:space="preserve">Albany Molecular Research Inc, Bruker Corp and Highres Biosolutions Inc
formed a strategic alliance to develop new applications for using high
throughput mass spectrometry (MS) for drug discovery.</t>
  </si>
  <si>
    <t xml:space="preserve">012423
116794
2F6989</t>
  </si>
  <si>
    <t xml:space="preserve">Gazprom Neft
Rostelekom</t>
  </si>
  <si>
    <t xml:space="preserve">Drilling Oil and Gas Wells
Provide telecommunications services</t>
  </si>
  <si>
    <t xml:space="preserve">Gazprom Neft PJSC, located in
Saint Petersburg, Russian
Federation, is an oil and gas
exploration and production
company. The Company has
another office in Moscow,
Russian Federation. The
Company's main areas include
oil and natural gas
production, oil and gas field
facility services, oil
refining and marketing of
petroleum products. The
Company was founded in 1995.
Rostelekom PAO is a wired
telecommunications carrier.
The Company was founded in
November 1993 and is located
in Moscow, the Russian
Federation.</t>
  </si>
  <si>
    <t xml:space="preserve">1381
4822</t>
  </si>
  <si>
    <t xml:space="preserve">Gazprom
Rostelekom</t>
  </si>
  <si>
    <t xml:space="preserve">1311
4822</t>
  </si>
  <si>
    <t xml:space="preserve">GAZPROM NEFT' PAO/ROSTELEKOM PAO-STRATEGIC ALLIANCE</t>
  </si>
  <si>
    <t xml:space="preserve">Gazprom Neft' PAO and Rostelekom PAO formed a strategic alliance implement
the industrial internet of things and other innovative technologies.</t>
  </si>
  <si>
    <t xml:space="preserve">Computer Programming Services
Internet Services
Research &amp; Development Services</t>
  </si>
  <si>
    <t xml:space="preserve">36829G
778529</t>
  </si>
  <si>
    <t xml:space="preserve">Space Systems/Loral Inc
Advanced Research Projects</t>
  </si>
  <si>
    <t xml:space="preserve">Mnfr satellites
Mnfr defense materials</t>
  </si>
  <si>
    <t xml:space="preserve">Space Systems/Loral Inc,
headquartered in Palo Alto,
California, designs,
manufactures, and integrates
geostationary satellites. It
was founded in 1957.
Manufacture defense materials
and accessories</t>
  </si>
  <si>
    <t xml:space="preserve">3663
3769</t>
  </si>
  <si>
    <t xml:space="preserve">CA
DC</t>
  </si>
  <si>
    <t xml:space="preserve">MacDonald Dettwiler &amp; Assoc
Advanced Research Projects</t>
  </si>
  <si>
    <t xml:space="preserve">7375
3769</t>
  </si>
  <si>
    <t xml:space="preserve">SPACE SYSTEMS/LORAL INC/ADVANCED RESEARCH PROJECTS-STRATEGIC ALLIANCE</t>
  </si>
  <si>
    <t xml:space="preserve">Space Systems/Loral Inc and Advanced Research Projects Agency(US Department
of Defense) formed a strategic alliance, to develop advanced capabilities
for servicing and maintaining spacecraft in geostationary orbit.</t>
  </si>
  <si>
    <t xml:space="preserve">84621Q
00756K</t>
  </si>
  <si>
    <t xml:space="preserve">Immunomedics Inc
Seattle Genetics Inc</t>
  </si>
  <si>
    <t xml:space="preserve">Biopharm co
Manufactures biotechnology products</t>
  </si>
  <si>
    <t xml:space="preserve">Immunomedics Inc, located in
Morris Plains, New Jersey,
is a biopharmaceutical
company that manufactures,
develops and markets
monoclonal antibody-based
products for the detection
and treatment of cancer,
autoimmune and other serious
diseases. The Group has
developed a number of
advanced technologies to
create humanized antibodies
that can be either alone in
unlabeled form, or
conjugated with radioactive
isotopes, chemotherapeutics
or toxins to create highly
targeted agents. The
Group's product candidates
and technologies are
protected by a portfolio of
intellectual property that
includes 108 issued patents
in the United States and 285
other issued patents
worldwide. The Group
currently markets Leukoscan
in the United States, Canada
and Europe.
Seattle Genetics Inc,
located in Bothell,
Washington, manufactures
biotechnology products. It
is a clinical stage
biotechnology company
focused on the development
and commercialization of
monoclonal antibody-based
therapies for the treatment
of cancer and autoimmune
disease. The Company was
founded on July 15, 1997.</t>
  </si>
  <si>
    <t xml:space="preserve">IMMUNOMEDICS INC/SEATTLE GENETICS INC-STRATEGIC ALLIANCE</t>
  </si>
  <si>
    <t xml:space="preserve">Immunomedics Inc and Seattle Genetics Inc formed a strategic alliance to
develop, fund, manufacture and commercialize IMMU-132, Immunomedics'
proprietary solid tumor therapy candidate.</t>
  </si>
  <si>
    <t xml:space="preserve">Manufacturing Services
Funding Services
Research &amp; Development Services
Retail &amp; Wholesale Services</t>
  </si>
  <si>
    <t xml:space="preserve">452907
812578</t>
  </si>
  <si>
    <t xml:space="preserve">Ablexis LLC
Janssen Biotech Inc</t>
  </si>
  <si>
    <t xml:space="preserve">Provides biotech research services
Biotechnology company</t>
  </si>
  <si>
    <t xml:space="preserve">Ablexis LLC, located in San
Diego, California, provides
biotechnology research
services. It develops a
platform for human
therapeutic antibody drug
discovery. The Company
offers AlivaMab Mouse, a
transgenic mouse platform
that provides the foundation
for the discovery and
development of human
therapeutic antibodies to
treat human diseases.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</si>
  <si>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DE
PA</t>
  </si>
  <si>
    <t xml:space="preserve">Ablexis LLC
J&amp;J</t>
  </si>
  <si>
    <t xml:space="preserve">ABLEXIS LLC/JANSSEN BIOTECH INC-STRATEGIC ALLIANCE</t>
  </si>
  <si>
    <t xml:space="preserve">Ablexis LLC and Janssen Biotech Inc planned to form a strategic alliance to
provide Janssen access to the AlivaMab Mouse platform and broad rights to
use the AlivaMab Mouse for antibody drug discovery and development.</t>
  </si>
  <si>
    <t xml:space="preserve">2F9607
44300K</t>
  </si>
  <si>
    <t xml:space="preserve">Trianni Inc
Janssen Biotech Inc</t>
  </si>
  <si>
    <t xml:space="preserve">Research and Development in The Social Sciences and Humanities
Biotechnology company</t>
  </si>
  <si>
    <t xml:space="preserve">Trianni Inc, located in San
Francisco, California, is a
biotech company specializing
in human antibody discovery
platform technology.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</si>
  <si>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Trianni Inc
J&amp;J</t>
  </si>
  <si>
    <t xml:space="preserve">TRIANNI INC/JANSSEN BIOTECH INC-STRATEGIC ALLIANCE</t>
  </si>
  <si>
    <t xml:space="preserve">Trianni Inc and Janssen Biotech Inc formed a strategic alliance for Janssen
Biotech Inc to use of The Trianni Mouse, a best-in-class monoclonal
antibody discovery platform.</t>
  </si>
  <si>
    <t xml:space="preserve">2F9287
44300K</t>
  </si>
  <si>
    <t xml:space="preserve">Cavitation Technologies Inc
CBDual Biotechnology Corp</t>
  </si>
  <si>
    <t xml:space="preserve">Mnfr biodiesel equip
Research and Development in Biotechnology</t>
  </si>
  <si>
    <t xml:space="preserve">Cavitation Technologies Inc,
located in Chatsworth,
California, manufactures
biodiesel equipment and
markets its product through
its Bioforce 9000 brand. Its
product's main function is the
reduction of cost and time f
biodiesel production through
the use of patent pending
flow-trough NANO cavitation
technology.
CBDual Biotechnology Corp,
located at California, United
States, is a pharmaceutical
research and development
company, focused on the
commercialization of
cannabinoids (CBD) based oral
hygiene products and for the
treatment of gum disease, bad
breath, pain and other
disorders associated with oral
health, including CBD
mouthwash, CBD toothpaste and
other unique pharmaceutical
products.</t>
  </si>
  <si>
    <t xml:space="preserve">CAVITATION TECHNOLOGIES INC/CBDUAL BIOTECHNOLOGY CORP-STRATEGIC ALLIANCE</t>
  </si>
  <si>
    <t xml:space="preserve">Cavitation Technologies Inc and CBDual Biotechnology Corp planned to form a
strategic alliance to produce high quality pharmaceutical grade cannabis
materials.</t>
  </si>
  <si>
    <t xml:space="preserve">14967C
2F9284</t>
  </si>
  <si>
    <t xml:space="preserve">Pacific Ethanol Inc
EdenIQ Inc</t>
  </si>
  <si>
    <t xml:space="preserve">Manufactures,wholesales low-carbon fuel
Pvd research,dvlp svcs</t>
  </si>
  <si>
    <t xml:space="preserve">Pacific Ethanol Inc, located
in Sacramento, California,
manufactures and wholesales
low-carbon renewable fuels
in the Western United
States. It markets all the
ethanol produced by four
ethanol production
facilities located in
California, Idaho and
Oregon, or the Pacific
Ethanol Plants, all the
ethanol produced by three
other ethanol producers in
the Western United States
and ethanol purchased from
other third-party suppliers
throughout the United
States. It also markets
ethanol co-products,
including wet distiller's
grains and syrup (WDG), for
the Pacific Ethanol Plants.
It holds a 34% ownership
interest in New PE Holdco
LLC (New PE Holdco), the
plant owners, which
collectively own the Pacific
Ethanol Plants. The Company
was incorporated in February
2005.
EdenIQ Inc is a provider of
research and development
services, headquartered in
Visalia, California. The
company is engaged in the
research and development of
Microbiology Biofuels for the
energy industry.</t>
  </si>
  <si>
    <t xml:space="preserve">PACIFIC ETHANOL INC/EDENIQ INC-STRATEGIC ALLIANCE</t>
  </si>
  <si>
    <t xml:space="preserve">Pacific Ethanol Inc and EdenIQ Inc formed a strategic alliance for a
technology licensing and purchase agreement to enable the production of
cellulosic ethanol at Pacific Ethanol's Madera, California plant using
Edeniq's Pathway and Cellunator Technologies.</t>
  </si>
  <si>
    <t xml:space="preserve">69423U
27970P</t>
  </si>
  <si>
    <t xml:space="preserve">Lonza Group AG
Selecta Biosciences Inc</t>
  </si>
  <si>
    <t xml:space="preserve">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
Selecta Biosciences Inc,
located in Watertown,
Massachusetts, is a
biotechnology company. The
company develops its product
lines; targeted Synthetic
Vaccine Particles {tSVP(TM)},
that activates immune
responses, and targeted
tolerogenic Synthetic Vaccine
Particles {t2SVP(TM)}, that
induces antigen-specific
immune tolerance, through its
proprietary Synthetic Vaccine
Particle {SVP(TM)} platform.
It also develops product
candidate vaccines for smoking
cessation, type 1 diabetes,
several infectious diseases
(universal influenza,
universal human papilloma
virus, and malaria), cancer,
and allergies. The company was
founded in 2008.</t>
  </si>
  <si>
    <t xml:space="preserve">Lonza Group AG
Rusnano JSC</t>
  </si>
  <si>
    <t xml:space="preserve">Switzerland
Russian Fed</t>
  </si>
  <si>
    <t xml:space="preserve">LONZA GROUP AG/SELECTA BIOSCIENCES INC-STRATEGIC ALLIANCE</t>
  </si>
  <si>
    <t xml:space="preserve">Lonza Group AG and Selecta Biosciences Inc formed a strategic alliance for
a manufacturing agreement for Anc80-AAV-based gene therapy for treatment of
methylmalonic acidemia.</t>
  </si>
  <si>
    <t xml:space="preserve">54338V
816212</t>
  </si>
  <si>
    <t xml:space="preserve">Samsung Electronics Svcs Co
American Well Inc</t>
  </si>
  <si>
    <t xml:space="preserve">Pvd appliance repair svcs
Dvlps healthcare solutions</t>
  </si>
  <si>
    <t xml:space="preserve">Samsung Electronics Service Co
Ltd, headquartered in Suwon,
South Korea, is a provider of
appliance repair services. The
company was founded in 1998.
American Well Inc, located in
Boston, Massachusetts,
develops healthcare solutions.
The company offers Online
Care, a web-based telehealth
platform which enables
patients and healthcare
providers to have live and
clinical encounters using the
Web or phone. It was founded
in 2006.</t>
  </si>
  <si>
    <t xml:space="preserve">7699
7375</t>
  </si>
  <si>
    <t xml:space="preserve">Samsung Electronics Co Ltd
American Well Inc</t>
  </si>
  <si>
    <t xml:space="preserve">3663
7375</t>
  </si>
  <si>
    <t xml:space="preserve">SAMSUNG ELECTRONICS SERVICE CO/AMERICAN WELL INC-STRATEGIC ALLIANCE</t>
  </si>
  <si>
    <t xml:space="preserve">Samsung Electronics Service Co Ltd and American Well Inc formed a strategic
alliance to develop new healthcare services for providers, delivery
networks, payers, and employers.</t>
  </si>
  <si>
    <t xml:space="preserve">Research &amp; Development Services
Health &amp; Medical Services
Computer Integrated Systems Svcs</t>
  </si>
  <si>
    <t xml:space="preserve">79534W
03045V</t>
  </si>
  <si>
    <t xml:space="preserve">Kamada Ltd
Massachusetts General Hospital</t>
  </si>
  <si>
    <t xml:space="preserve">Mnfr biopharmaceuticals
Own,operate hospital</t>
  </si>
  <si>
    <t xml:space="preserve">Kamada Ltd is a manufacturer
of pharmaceutical
preparation. The Company was
founded in December 1990 and
is located in Rehovot,
Israel.
Massachusetts General
Hospital is a hospital
operator. The Company was
founded in 1811 and is
located in Boston,
Massachusetts.</t>
  </si>
  <si>
    <t xml:space="preserve">Kamada Ltd
Cooley Dickinson Hospital</t>
  </si>
  <si>
    <t xml:space="preserve">KAMADA LTD/MASSACHUSETTS GENERAL HOSPITAL-STRATEGIC ALLIANCE</t>
  </si>
  <si>
    <t xml:space="preserve">Kamada Ltd and Massachusetts General Hospital extended their strategic
alliance.The purpose of strategic alliance were to to conduct a proof of
concept study evaluating the potential benefit of the Companys Liquid
Alpha-1 Antitrypsin (AAT) on liver preservation.</t>
  </si>
  <si>
    <t xml:space="preserve">M6240T
57566A</t>
  </si>
  <si>
    <t xml:space="preserve">Sigma Labs Inc
Morf3D Inc</t>
  </si>
  <si>
    <t xml:space="preserve">Mnfr process control equip
Electrometallurgical Ferroalloy Product Manufacturing</t>
  </si>
  <si>
    <t xml:space="preserve">Sigma Labs Inc, based in Santa
Fe, New Mexico, develops and
engineers advanced,
in-process, non-destructive
quality inspection systems of
3D printing for commercial
firms. It offers PrintRite3D,
an integrated and interactive
system, which provides
inspection, feedback, data
collection and critical
analysis. Its services include
3D metal printing and process
engineering. The Company was
founded in 2005.
Morf3D Inc, located in El
Segundo, California, provides
variety of fully-integrated
additive design and
manufacturing services. It
offers conceptualization,
design and part optimization,
metallic 3D printing,
finishing/post processing,
metallurgical examination &amp;
inspection, certification and
data analysis.</t>
  </si>
  <si>
    <t xml:space="preserve">2759
3313</t>
  </si>
  <si>
    <t xml:space="preserve">NM
CA</t>
  </si>
  <si>
    <t xml:space="preserve">SIGMA LABS INC/MORF3D INC-STRATEGIC ALLIANCE</t>
  </si>
  <si>
    <t xml:space="preserve">Sigma Labs Inc and Morf3D Inc formed a strategic alliance to bring enhanced
solutions for additive manufacturing and to manufacture certain 3D printed
parts for the aerospace and defense sector.</t>
  </si>
  <si>
    <t xml:space="preserve">826598
3F1515</t>
  </si>
  <si>
    <t xml:space="preserve">Veritas Technologies LLC
Microsoft Corp</t>
  </si>
  <si>
    <t xml:space="preserve">Internet Service Providers
Develops and wholesales computer software products</t>
  </si>
  <si>
    <t xml:space="preserve">Veritas Technologies LLC is
an internet service
provider. The Company was
founded in 2016 and is
located in Santa Clara,
California.
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t>
  </si>
  <si>
    <t xml:space="preserve">7375
7372</t>
  </si>
  <si>
    <t xml:space="preserve">The Carlyle Group LP
Microsoft Corp</t>
  </si>
  <si>
    <t xml:space="preserve">VERITAS TECHNOLOGIES LLC/MICROSOFT CORP-STRATEGIC ALLIANCE</t>
  </si>
  <si>
    <t xml:space="preserve">Veritas Technologies LLC and Microsoft Corp formed a strategic alliance to
help organizations use Microsoft Azure to optimize for hybrid cloud
environments and to host Veritas' Enterprise Vault.</t>
  </si>
  <si>
    <t xml:space="preserve">3F1299
594918</t>
  </si>
  <si>
    <t xml:space="preserve">Feinstein Inst for Med
GE Ventures LLC</t>
  </si>
  <si>
    <t xml:space="preserve">Research and Development in Biotechnology
Financial Sponsor</t>
  </si>
  <si>
    <t xml:space="preserve">Feinstein Institute for
Medical Research, located in
Manhasset, New York, is a
provider of biotechnology
research and development
services.
GE Ventures LLC, located in
Menlo Park, California, is a
venture capital firm. It
invests in software &amp;
analytics, healthcare,
energy &amp; IoT, and advance
manufacturing &amp; enterprise
companies. The Company was
founded in 2013.</t>
  </si>
  <si>
    <t xml:space="preserve">Northwell Health
General Electric Co</t>
  </si>
  <si>
    <t xml:space="preserve">8082
3612</t>
  </si>
  <si>
    <t xml:space="preserve">FEINSTEIN INSTITUTE FOR MEDICAL RESEARCH/GE VENTURES LLC-STRATEGIC
ALLIANCE</t>
  </si>
  <si>
    <t xml:space="preserve">Feinstein Institute for Medical Research and GE Ventures LLC formed a
strategic alliance to support the Feinstein's Center for Bioelectronic
Medicine.</t>
  </si>
  <si>
    <t xml:space="preserve">3F1340
0E2167</t>
  </si>
  <si>
    <t xml:space="preserve">DSTA
Singapore Tech Electronics Ltd</t>
  </si>
  <si>
    <t xml:space="preserve">Dvlp military infrastructure
Other Electronic Component Manufacturing</t>
  </si>
  <si>
    <t xml:space="preserve">Defence Science &amp; Technology
Agency{DSTA}, located in
Singapore, develops military
infrastructure. It also
advises MINDEF on all defence
science and technology
matters, manages defence
research and development and
provides engineering and
related services.
Singapore Technologies
Electronics Ltd is a
manufacturer of electronic
components. The Company
Information Communications
Technologies System
provider. The Company
provides broadband RF &amp;
microwave communication
systems, rail and traffic
management systems,
real-time command and
control systems. It has a
network of offices in
Africa, Australia, China,
Hong Kong, the Gulf States,
Kazakhstan, Malaysia,
Mexico, Taiwan, Thailand and
the US. The Company was
founded in 1969 and is
located in Singapore.</t>
  </si>
  <si>
    <t xml:space="preserve">1629
3679</t>
  </si>
  <si>
    <t xml:space="preserve">DSTA
ST Engineering</t>
  </si>
  <si>
    <t xml:space="preserve">1629
8711</t>
  </si>
  <si>
    <t xml:space="preserve">DEFENCE SCIENCE &amp; TECHNOLOGY/SINGAPORE TECHNOLOGIES ELECTRONICS
LTD-STRATEGIC ALLIANCE</t>
  </si>
  <si>
    <t xml:space="preserve">Defence Science Technology Agency{DSTA} and Singapore Technologies
Electronics Ltd formed a strategic alliance to develop TELEOS-2.</t>
  </si>
  <si>
    <t xml:space="preserve">Communications Services
Research &amp; Development Services
Telecommunications Services</t>
  </si>
  <si>
    <t xml:space="preserve">24460Y
78508Y</t>
  </si>
  <si>
    <t xml:space="preserve">Blake Insomnia Therapeutics
Sajo Consulting LLC</t>
  </si>
  <si>
    <t xml:space="preserve">Pharmaceutical Preparation Manufacturing
Marketing Consulting Services</t>
  </si>
  <si>
    <t xml:space="preserve">Blake Insomnia Therapeutics
Inc, located in New York, New
York, is a pharmaceutical
company devoted to improving
nighttime and daytime quality
of life for people with
insomnia. The Company was
founded in August 2012.
Sajo Consulting LLC, located
in the United States of
America, it provides and
designs solutions and
strategies in getting products
to market faster and smarter.
Their research, scientific,
regulatory and operational
team puts best practice
standards to work while
building innovative solutions
for constantly evolving
industries.</t>
  </si>
  <si>
    <t xml:space="preserve">2834
8742</t>
  </si>
  <si>
    <t xml:space="preserve">BLAKE INSOMNIA THERAPEUTICS INC/SAJO CONSULTING LLC-STRATEGIC ALLIANCE</t>
  </si>
  <si>
    <t xml:space="preserve">Blake Insomnia Therapeutics Inc and Sajo Consulting LLC formed a strategic
alliance for the development and commercialization of a series of oral drug
products to aid in the treatment of insomnia.</t>
  </si>
  <si>
    <t xml:space="preserve">09874E
3F1578</t>
  </si>
  <si>
    <t xml:space="preserve">Bushu Pharmaceuticals Ltd
Takeda Pharmaceutical Co Ltd</t>
  </si>
  <si>
    <t xml:space="preserve">Bushu Pharmaceuticals Ltd,
headquartered in Saitama,
Japan, is a contract
pharmaceutical manufacturing
firm. The company was
founded in 1998.
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</si>
  <si>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Baring Private Equity Partners
Takeda Pharmaceutical Co Ltd</t>
  </si>
  <si>
    <t xml:space="preserve">BUSHU PHARMACEUTICALS LTD/TAKEDA PHARMACEUTICAL CO LTD-STRATEGIC ALLIANCE</t>
  </si>
  <si>
    <t xml:space="preserve">Bushu Pharmaceuticals Ltd and Takeda Pharmaceutical Co Ltd formed a
strategic alliance to improve Takeda's operating efficiencies and create a
more agile organization while enabling Bushu to broaden the scope of its
current service offerings and its global reach by leveraging the two
companies' combined operational expertise and a wide range of manufacturing
capabilities.</t>
  </si>
  <si>
    <t xml:space="preserve">13152R
874058</t>
  </si>
  <si>
    <t xml:space="preserve">Salvarx Ltd
Nekonal SARL</t>
  </si>
  <si>
    <t xml:space="preserve">Miscellaneous Financial Investment Activities
Provide medical,health svcs</t>
  </si>
  <si>
    <t xml:space="preserve">Salvarx Ltd is a provider of
financial investment
services. The Company was
founded in May 2015 and is
located in the United
Kingdom.
Nekonal SARL is a provider of
ambulatory health care
services. The Company was
founded in May 2011 and is
located in Luxembourg,
Luxembourg.</t>
  </si>
  <si>
    <t xml:space="preserve">6799
8099</t>
  </si>
  <si>
    <t xml:space="preserve">3Legs Resources Plc
Nekonal SARL</t>
  </si>
  <si>
    <t xml:space="preserve">Isle of Man
Luxembourg</t>
  </si>
  <si>
    <t xml:space="preserve">1311
8099</t>
  </si>
  <si>
    <t xml:space="preserve">SALVARX LTD/NEKONAL SARL-JOINT VENTURE</t>
  </si>
  <si>
    <t xml:space="preserve">SalvaRx Ltd and Nekonal SARL planned to form joint venture named Nekonal
Oncology Ltd to focus on the development of first-in-class antibodies
against a novel T-cell based target having potential for use as a
monotherapy and combination therapy for solid and haematological
malignancies.</t>
  </si>
  <si>
    <t xml:space="preserve">0E7136
3F3800</t>
  </si>
  <si>
    <t xml:space="preserve">GigaGen Inc
Trianni Inc</t>
  </si>
  <si>
    <t xml:space="preserve">Research and Development in The Social Sciences and Humanities
Research and Development in The Social Sciences and Humanities</t>
  </si>
  <si>
    <t xml:space="preserve">GigaGen Inc, located in South
San Francisco, California,
provides parallel single cell
genetic analysis. The
Company's technology combines
microfluidics, next-generation
sequencing, and bioinformatics
to digitize genetic data from
cells circulating in blood.
The technology has diverse
application in immunology,
infectious disease monitoring,
noninvasive prenatal
diagnostics, and noninvasive
cancer detection.
Trianni Inc, located in San
Francisco, California, is a
biotech company specializing
in human antibody discovery
platform technology.</t>
  </si>
  <si>
    <t xml:space="preserve">GIGAGEN INC/TRIANNI INC-STRATEGIC ALLIANCE</t>
  </si>
  <si>
    <t xml:space="preserve">GigaGen Inc and Trianni Inc planned to form a strategic alliance to use
GigaGen technology to discover immuno-oncology antibody therapeutics
through The Trianni Mouse platform.</t>
  </si>
  <si>
    <t xml:space="preserve">3F3440
2F9287</t>
  </si>
  <si>
    <t xml:space="preserve">Belluscura Ltd
Separation Design Group LLC</t>
  </si>
  <si>
    <t xml:space="preserve">Small Arms Manufacturing
Research and Development in The Social Sciences and Humanities</t>
  </si>
  <si>
    <t xml:space="preserve">Belluscura Ltd, located in
Oxford, the United Kingdom. is
a manufacturer and wholesaler
of medical devices. The
Company is provides medical
devices at an affordable price
across a wide variety of
treatment and diagnostic
disciplines.
Separation Design Group
operates as a research and
product development company.
The Company is focused on the
following research fields
portable oxygen concentrator;
energy conversion technology,
as an energy recovery and heat
pumping unit, the device can
simultaneously capture,
amplify, and deliver or
utilize heat energy normally
wasted in commercial and
industrial processes; and
adsorbents characterization
instrument dynamic adsorption
analyzer (DAA) that can
predict materials performance
under emulated process
conditions with millisecond
time resolution. The Company
has its research facilities in
Pittsburgh, Pennsylvania; and
Morgantown, West Virginia.</t>
  </si>
  <si>
    <t xml:space="preserve">BELLUSCURA LTD/SEPARATION DESIGN GROUP LLC-STRATEGIC ALLIANCE</t>
  </si>
  <si>
    <t xml:space="preserve">Belluscura Ltd and Separation Design Group LLC formed a strategic alliance
to develop a next generation portable oxygen concentrator ("POC").</t>
  </si>
  <si>
    <t xml:space="preserve">3F3444
3F3445</t>
  </si>
  <si>
    <t xml:space="preserve">Ascendas-Singbridge Pte Ltd
Spacemob Pte Ltd</t>
  </si>
  <si>
    <t xml:space="preserve">Provides real estate development, investment services
Professional Organizations</t>
  </si>
  <si>
    <t xml:space="preserve">Ascendas-Singbridge Pte Ltd,
located in Singapore,
provides real estate
development and investment
services. It is engaged in
the development and
management of science and IT
parks, hi-tech space,
industrial space, office and
commercial space, and
logistics and distribution
space. The Company has
operations in China, India,
South Korea, and the
Philippines. The Company was
founded on 1978.
Spacemob Pte Ltd builds
foundations for businesses by
providing space, technology
and connections. Spacemob
business foundations include
access to member network;
conference rooms and private
phone booths, and access to
weekly events. For Spacemob
members, it provides access to
Spacemob's community, events
and benefits. The Company was
founded in 2016 and is located
in Singapore.</t>
  </si>
  <si>
    <t xml:space="preserve">6552
8621</t>
  </si>
  <si>
    <t xml:space="preserve">Sinar Mas Group
Spacemob Pte Ltd</t>
  </si>
  <si>
    <t xml:space="preserve">Indonesia
Singapore</t>
  </si>
  <si>
    <t xml:space="preserve">2611
8621</t>
  </si>
  <si>
    <t xml:space="preserve">ASCENDAS-SINGBRIDGE PTE LTD/SPACEMOB PTE LTD-STRATEGIC ALLIANCE</t>
  </si>
  <si>
    <t xml:space="preserve">Ascendas-Singbridge Pte Ltd and Spacemob Pte Ltd formed a strategic
alliance to launch co working space in Singapore science park.</t>
  </si>
  <si>
    <t xml:space="preserve">5E3073
3F3659</t>
  </si>
  <si>
    <t xml:space="preserve">Mastercard Inc
Unilever United States Inc</t>
  </si>
  <si>
    <t xml:space="preserve">Global payments technology company
Manufacture consumer products</t>
  </si>
  <si>
    <t xml:space="preserve">MasterCard Inc, located in
Purchase, New York, is a
global payments technology
company. It develops and
markets payment solutions,
process payment transactions
and provides consulting and
information services to
customers and merchants. It
manages a family of payment
card brands that include
MasterCard, MasterCard
Electronic, Maestro and
Cirrus. It also establishes
and enforces rules and
standards surrounding the
use of the payment card
system. The Company was
founded in November 1966.
Unilever United States Inc,
located in Englewood Cliffs,
New Jersey, manufactures
consumer products such as soap
detergents, adhesives and
starches and other home and
personal care products, and
produces food products
including wet corn milling
products and other grocery
items. Its products are
marketed under the brands, Ben
&amp; Jerrys, Dove, Suave, Lipton,
and Knorr, among several
others. The company was
founded in 1977.</t>
  </si>
  <si>
    <t xml:space="preserve">7389
2841</t>
  </si>
  <si>
    <t xml:space="preserve">Mastercard Inc
Unilever PLC</t>
  </si>
  <si>
    <t xml:space="preserve">7389
2099</t>
  </si>
  <si>
    <t xml:space="preserve">MASTERCARD INC/UNILEVER UNITED STATES INC-STRATEGIC ALLIANCE</t>
  </si>
  <si>
    <t xml:space="preserve">MasterCard Inc and Unilever United States Inc planned to form a strategic
alliance to collaborate on a range of joint initiatives aimed at empowering
small and micro businesses in emerging markets.</t>
  </si>
  <si>
    <t xml:space="preserve">57636Q
90478Q</t>
  </si>
  <si>
    <t xml:space="preserve">Glenmark Pharmaceuticals Ltd
Evestra Inc</t>
  </si>
  <si>
    <t xml:space="preserve">Manufacture,wholesale pharmaceutical products
Research and Development in The Social Sciences and Humanities</t>
  </si>
  <si>
    <t xml:space="preserve">Glenmark Pharmaceuticals
Ltd, located in Mumbai,
India, manufactures and
wholesales pharmaceutical
products. Its formulations
business spans product
segments such as
dermatology, internal
medicine, respiratory,
diabetes, pediatrics,
gynecology, ENT, and
oncology. It also offers
related research services.
The Group operates in North
America, Latin America,,
Africa, Middle East, Asia,
Russia, Europe, and India.
The Company was founded in
1977.
Evestra Inc, located in San
Antonio, Texas, is a
biopharmaceutical research and
development company with a
therapeutic focus in womens
healthcare.</t>
  </si>
  <si>
    <t xml:space="preserve">GLENMARK PHARMACEUTICALS LTD/EVESTRA INC-STRATEGIC ALLIANCE</t>
  </si>
  <si>
    <t xml:space="preserve">Glenmark Pharmaceuticals Ltd and Evestra Inc formed a strategic alliance to
develop, license, commercialize and market a generic version of Merck's &amp;
Co.'s NuvaRing product - etonogestrel/ethinyl estradiol vaginal ring -
designed to allow women access to a more affordable birth control option.</t>
  </si>
  <si>
    <t xml:space="preserve">37868Y
3F2836</t>
  </si>
  <si>
    <t xml:space="preserve">Herbalife Ltd
Syngene International Ltd</t>
  </si>
  <si>
    <t xml:space="preserve">Drugs and Druggists' Sundries Merchant Wholesalers
Biological Product (Except Diagnostic) Manufacturing</t>
  </si>
  <si>
    <t xml:space="preserve">Herbalife Ltd, located in
Los Angeles, California,
wholesales
weight-management,
nutritional supplements and
personal care products
intended to support a
healthy lifestyle. It
distributes its products in
70 countries through a
network of over 1.9 million
independent distributors. It
also offers science-based
products in four principal
categories: weight
management, targeted
nutrition, energy, sports
and fitness, and outer
nutrition. The company was
founded in 1980..
Syngene International Ltd,
located in Mumbai, India,
manufactures biological
products. The Company is
also involved in custom
research which supports R&amp;D
programs from lead
generation to clinical
supplies. The Company is
involved in integrated drug
discovery and development
include capabilities in
medicinal chemistry,
biology, in vivo
pharmacology, toxicology,
custom synthesis, process
R&amp;D, cGMP manufacturing,
formulation and analytical
development along with
Clinical development
services. The Company was
founded in 1993.</t>
  </si>
  <si>
    <t xml:space="preserve">5122
2836</t>
  </si>
  <si>
    <t xml:space="preserve">Herbalife Ltd
Biocon Ltd</t>
  </si>
  <si>
    <t xml:space="preserve">HERBALIFE LTD/SYNGENE INTERNATIONAL LTD-STRATEGIC ALLIANCE</t>
  </si>
  <si>
    <t xml:space="preserve">Herbalife Ltd and Syngene International Ltd formed a strategic alliance to
setting up a research and development (R&amp;D) centre to make nutrition
products for Indian consumers in India.</t>
  </si>
  <si>
    <t xml:space="preserve">G4412G
90872Q</t>
  </si>
  <si>
    <t xml:space="preserve">Aequus Pharmaceuticals Inc
Transdermal Research Pharm</t>
  </si>
  <si>
    <t xml:space="preserve">Pharmaceutical Preparation Manufacturing
Research and Development in The Social Sciences and Humanities</t>
  </si>
  <si>
    <t xml:space="preserve">Aequus Pharmaceuticals Inc,
located in Vancouver,
Canada, is a pharmaceutical
company focused on
developing, advancing and
promoting differentiated
products in Canada.
Transdermal Research Pharm
Laboratories LLC, located in
Long Island, New York, is a
biopharmaceutical company that
develops a formula for the
cannnabinoid patch.</t>
  </si>
  <si>
    <t xml:space="preserve">AEQUUS PHARMACEUTICALS INC/TRANSDERMAL RESEARCH PHARM LABORATORIES
LLC-STRATEGIC ALLIANCE</t>
  </si>
  <si>
    <t xml:space="preserve">Aequus Pharmaceuticals Inc and Transdermal Research Pharm Laboratories LLC
planned to form a strategic alliance to acquire an exclusive world-wide
license to a transdermal patch containing cannabinoids, for the use in
epilepsy, Multiple Sclerosis (MS), and certain other neurological
disorders.</t>
  </si>
  <si>
    <t xml:space="preserve">007636
3F3442</t>
  </si>
  <si>
    <t xml:space="preserve">Sunresin New Materials Co
Jiangsu NJU Envi Tech Co Ltd
Undisclosed JV Partner</t>
  </si>
  <si>
    <t xml:space="preserve">All Other Basic Organic Chemical Manufacturing
Air Purification Equipment Manufacturing
Investment company</t>
  </si>
  <si>
    <t xml:space="preserve">Sunresin New Materials Co Ltd
Xi'an is a manufacturer of
organic chemicals. The Company
was founded in 2001 and is
located in Xi'An, China.
Jiangsu NJU Environmental
Technology Co Ltd is a
manufacturer and wholesaler of
environmental equipment. The
Company is located in Nanjing,
China.
Investment company</t>
  </si>
  <si>
    <t xml:space="preserve">2899
3564
6799</t>
  </si>
  <si>
    <t xml:space="preserve">SUNRESIN NEW MATERIALS CO LTD, XI'AN/JIANGSU NJU ENVIRONMENTAL TECHNOLOGY
CO LTD/UNDISCLOSED PARTNER-JOINT VENTURE</t>
  </si>
  <si>
    <t xml:space="preserve">Xian Nanda Environmental
Friendly Material Technology
Co Ltd is a provider of
engineering services. The
Company was founded in June
2017 and is located in Xi'An,
China.</t>
  </si>
  <si>
    <t xml:space="preserve">Sunresin New Materials Co Ltd, Xi'an, Jiangsu NJU Environmental Technology
Co Ltd and Undisclosed Joint Venture Partner planned to form a 44:28:28
joint venture named Xian Nanda Environmental Friendly Material Technology
Co Ltd to provide environmental material technology service. The JV was to
be capitalized at CNY 15 mil (USD 2.178 million).</t>
  </si>
  <si>
    <t xml:space="preserve">44.00
28.00
28.00</t>
  </si>
  <si>
    <t xml:space="preserve">The JV was to be capitalized at CNY 15 mil (USD 2.178 million).</t>
  </si>
  <si>
    <t xml:space="preserve">6F5727</t>
  </si>
  <si>
    <t xml:space="preserve">9A4611
4F6157
904JVP</t>
  </si>
  <si>
    <t xml:space="preserve">University of Glasgow
Biotech &amp; Biological Sciences</t>
  </si>
  <si>
    <t xml:space="preserve">Own,op university
Research and Development in The Physical, Engineering and Lifesciences (Except Biotechnology)</t>
  </si>
  <si>
    <t xml:space="preserve">Own and operate university
Biotechnology and Biological
Sciences Research Council is a
provider of research and
development services. The
Company is located in Swindon,
the United Kingdom.</t>
  </si>
  <si>
    <t xml:space="preserve">University of Glasgow
United Kingdom Of Great</t>
  </si>
  <si>
    <t xml:space="preserve">UNIVERSITY OF GLASGOW/BIOTECHNOLOGY AND BIOLOGICAL SCIENCES RESEARCH
COUNCIL-STRATEGIC ALLIANCE</t>
  </si>
  <si>
    <t xml:space="preserve">University of Glasgow and Biotechnology and Biological Sciences Research
Council formed a strategic alliance work closely on the government's
Industrial Strategy and ideas regarding transforming researching into
commercial entities in UK.</t>
  </si>
  <si>
    <t xml:space="preserve">91427Y
4F4332</t>
  </si>
  <si>
    <t xml:space="preserve">Biological Inds Israel Beit
Mill Creek Life Sciences LLC</t>
  </si>
  <si>
    <t xml:space="preserve">Biotechnology company
Research and Development in The Social Sciences and Humanities</t>
  </si>
  <si>
    <t xml:space="preserve">Biological Industries Israel
Beit Haemek Ltd is a
manufacturer of biological
products. The Company was
founded in October 1990 and
is located in Beit-Haemek,
Israel.
Mill Creek Life Sciences LLC,
located in Rochester,
Minnesota, provides the tools
and technologies to support
the development and
application of cellular and
biologic therapeutics.</t>
  </si>
  <si>
    <t xml:space="preserve">BIOLOGICAL INDUSTRIES LTD/MILL CREEK LIFE SCIENCES LLC-STRATEGIC ALLIANCE</t>
  </si>
  <si>
    <t xml:space="preserve">Biological Industries Ltd and Mill Creek Life Sciences LLC planned to form
a strategic alliance for the distribution of PLTMax Human Platelet Lysate,
a product derived from human platelets and offers unparalleled cell growth
and cytogenetic stability of adult stem cells over fetal bovine serum
(FBS).</t>
  </si>
  <si>
    <t xml:space="preserve">09133H
3F3891</t>
  </si>
  <si>
    <t xml:space="preserve">XW Laboratories Inc.
University of Pittsburgh</t>
  </si>
  <si>
    <t xml:space="preserve">XW Laboratories Inc. is a
biopharmaceutical company
focused on developing a
portfolio of internally
discovered product candidates
for the potential treatment of
neurological disorders. The
Company is located in Wuhan,
China.
University of Pittsburgh is
a college operator. The
Company was founded in 1787
and is located in
Pittsburgh, Pennsylvania.</t>
  </si>
  <si>
    <t xml:space="preserve">XW LABORATORIES INC./UNIVERSITY OF PITTSBURGH-STRATEGIC ALLIANCE</t>
  </si>
  <si>
    <t xml:space="preserve">University of Pittsburgh and XW Laboratories Inc. formed a strategic
alliance where University of Pittsburgh licensed XW Labs to Develop &amp;
commercialize Novel Mitochondria-Targeting Compounds based on pioneering
mitochondria targeted bis-nitroxide technology developed in the laboratory
of Professor Peter Wipf.</t>
  </si>
  <si>
    <t xml:space="preserve">4F8189
914803</t>
  </si>
  <si>
    <t xml:space="preserve">ARGENX SE
Staten Biotechnology BV</t>
  </si>
  <si>
    <t xml:space="preserve">Biological Product (Except Diagnostic) Manufacturing
Research and Development in Biotechnology</t>
  </si>
  <si>
    <t xml:space="preserve">arGEN-X BV is a manufacturer
of biological products. Its
brands include SIMPLE
Antibody(TM) discovery
platform generates antibody
leads against various
disease targets; ARGX-109;
ARGX-110 and ARGX-111. The
Company was founded in 2008
and is located in Breda, the
Netherlands.
Staten Biotechnology BV is a
provider of biotechnology
research and development
services. The Company is
located in Nijmegen, the
Netherlands.</t>
  </si>
  <si>
    <t xml:space="preserve">ARGEN-X BV/STATEN BIOTECHNOLOGY BV-STRATEGIC ALLIANCE</t>
  </si>
  <si>
    <t xml:space="preserve">arGEN-X BV and Staten Biotechnology BV planned to form a strategic alliance
to develop therapeutic SIMPLE Antibody for dyslipidemia in Netherlands.</t>
  </si>
  <si>
    <t xml:space="preserve">N0610Q
3F5424</t>
  </si>
  <si>
    <t xml:space="preserve">BeiGene (Hong Kong) Co Ltd
Guangzhou Development District
Guangzhou GET Tech Dvlp Co</t>
  </si>
  <si>
    <t xml:space="preserve">Biological Product (Except Diagnostic) Manufacturing
State government
Pvd info tech,dvlp svcs</t>
  </si>
  <si>
    <t xml:space="preserve">BeiGene (Hong Kong) Co Ltd is
a manufacturer of biological
products. The Company is
located in Hong Kong.
Guangzhou Development District
is a state government
headquartered in Huangpu,
Guangzhou.
Guangzhou Get Technology
Development Co Ltd is a
provider of custom computer
programming services. The
Company is located in
Guangzhou, China.</t>
  </si>
  <si>
    <t xml:space="preserve">2836
999C
7371</t>
  </si>
  <si>
    <t xml:space="preserve">BeiGene Ltd
Peoples Republic of China
Guangzhou Get Holding Co Ltd</t>
  </si>
  <si>
    <t xml:space="preserve">2836
999A
6799</t>
  </si>
  <si>
    <t xml:space="preserve">BEIGENE HONG KONG CO LTD/GUANGZHOU DEVELOPMENT DISTRICT/GUANGZHOU GET
TECHNOLOGY-JOINT VENTURE</t>
  </si>
  <si>
    <t xml:space="preserve">BeiGene Hong Kong Co Ltd, Guangzhou Development District and Guangzhou GET
Technology Development Co Ltd planned to form a 9:45.5:45.5 joint venture
named BeiGene Biologics Co Ltd to provide funding for research and
development of biologic drug candidates in China. The JV was to be
capitalized at CNY 2.2 bil (USD 319.048 million).</t>
  </si>
  <si>
    <t xml:space="preserve">9.00
45.50
45.50</t>
  </si>
  <si>
    <t xml:space="preserve">The JV was to be capitalized at CNY 2.2 bil (USD 319.048 million).</t>
  </si>
  <si>
    <t xml:space="preserve">3F4570
40907J
40908T</t>
  </si>
  <si>
    <t xml:space="preserve">Shenzhen Optimum Battery Co
China Hi-Tech Group Co Ltd</t>
  </si>
  <si>
    <t xml:space="preserve">Storage Battery Manufacturing
Investment Company % Education services</t>
  </si>
  <si>
    <t xml:space="preserve">Shenzhen Optimum Battery Co
Ltd located in Shenzhen,
China is a manufacturer of
storage batteries. The
Company was founded in April
2002.
China Hi-Tech Group Co Ltd is
a provider of financial
investment services and
education services. The
Company was founded in June
1992 and is located in
Shanghai, China.</t>
  </si>
  <si>
    <t xml:space="preserve">3691
8299</t>
  </si>
  <si>
    <t xml:space="preserve">Shaanxi J &amp; R Optimum Energy
China Hi-Tech Group Co Ltd</t>
  </si>
  <si>
    <t xml:space="preserve">2819
8299</t>
  </si>
  <si>
    <t xml:space="preserve">SHENZHEN OPTIMUM BATTERY CO LTD/CHINA HI-TECH GROUP CO LTD-STRATEGIC
ALLIANCE</t>
  </si>
  <si>
    <t xml:space="preserve">Shenzhen Optimum Battery Co Ltd and China Hi-Tech Group Co Ltd formed a
strategic alliance to provide new energy auto R&amp;D and promotions services.</t>
  </si>
  <si>
    <t xml:space="preserve">3E8983
16928Y</t>
  </si>
  <si>
    <t xml:space="preserve">Lin Bioscience Inc
Columbia University</t>
  </si>
  <si>
    <t xml:space="preserve">Lin Bioscience Inc is a
manufacturer of
pharmaceutical preparation.
The Company was founded in
May 2016 and is located in
Taipei City, Taiwan.
Columbia University is a
college operator. The
Company was founded in 1754
and is located in New York,
New York.</t>
  </si>
  <si>
    <t xml:space="preserve">LIN BIOSCIENCE INC/COLUMBIA UNIVERSITY-STRATEGIC ALLIANCE</t>
  </si>
  <si>
    <t xml:space="preserve">Lin Bioscience Inc and Columbia University formed a strategic alliance for
a licensing agreement.</t>
  </si>
  <si>
    <t xml:space="preserve">3F5264
19864M</t>
  </si>
  <si>
    <t xml:space="preserve">Kyoto University
FGH Biotech Inc
TUAT</t>
  </si>
  <si>
    <t xml:space="preserve">Own,operate college,university
Biological Product (Except Diagnostic) Manufacturing
Own,op school</t>
  </si>
  <si>
    <t xml:space="preserve">Kyoto University is a college
operator. The company was
founded in May 1869 and is
located in Kyoto-Shi Kyoto,
Japan.
FGH Biotech Inc is a
manufacturer of biological
products. The Company was
founded in January 2011 and is
located in Houston, Texas.
Tokyo University of
Agriculture and Technology
(TUAT), located in Tokyo,
Japan, is a unique institution
that focuses on education and
research in the academic
fields that support
agriculture and engineering,
the core of the industrial
base.It was founded in 1874.</t>
  </si>
  <si>
    <t xml:space="preserve">8221
2836
8221</t>
  </si>
  <si>
    <t xml:space="preserve">FF
TX
FF</t>
  </si>
  <si>
    <t xml:space="preserve">KYOTO UNIVERSITY/FGH BIOTECH INC/TOKYO UNIVERSITY OF-STRATEGIC ALLIANCE</t>
  </si>
  <si>
    <t xml:space="preserve">Kyoto University, FGH Biotech Inc and Tokyo University of Agriculture
Technology formed a strategic alliance to develop Vitamin D based
technologies to address metabolic disorders and cancer.</t>
  </si>
  <si>
    <t xml:space="preserve">50157F
4F6872
88974V</t>
  </si>
  <si>
    <t xml:space="preserve">Horizon Discovery Group PLC
AmplyCell SA</t>
  </si>
  <si>
    <t xml:space="preserve">Horizon Discovery Group PLC,
located in Cambridge, UK, is
a life sciences company that
supplies research tools to
organizations engaged in
genomics research and the
development of personalized
medicines. It offers
genetically-defined cell
lines, reporter gene assay
kits, genomic reference
standards and contract
research services to
bio-pharmaceutical process
optimization, drug discovery
&amp; development, and clinical
diagnostic development
sectors.
AmplyCell SA is a manufacturer
of biological products. The
company is located in Belgium.</t>
  </si>
  <si>
    <t xml:space="preserve">HORIZON DISCOVERY GROUP PLC/AMPLYCELL SA-STRATEGIC ALLIANCE</t>
  </si>
  <si>
    <t xml:space="preserve">Horizon Discovery Group PLC and AmplyCell SA formed a strategic alliance to
evaluate the impact of AmplyCells BOOST cell line optimisation technology
on Horizons parental glutamine synthetase null CHO K1 cell line.</t>
  </si>
  <si>
    <t xml:space="preserve">9A1489
3F5037</t>
  </si>
  <si>
    <t xml:space="preserve">Wisconsin Alumni Research
Cellectar Biosciences Inc</t>
  </si>
  <si>
    <t xml:space="preserve">Pvd genetic research svcs
Pharmaceutical Preparation Manufacturing</t>
  </si>
  <si>
    <t xml:space="preserve">Wisconsin Alumni Research
Foundation is a provider of
research and development
services. The Company was
founded in 1925 and is
located in Madison,
Wisconsin.
Cellectar Biosciences Inc,
formerly Novelos
Therapeutics Inc, located in
Florham Park, New Jersey, is
engaged in developing agents
to detect, treat and monitor
a broad spectrum of cancers.
Utilizing a phospholipid
ether (PLE) platform
technology as a targeted
delivery and retention
vehicle, its compounds are
designed to be selectively
taken up and retained in
both cancer cells and cancer
stem cells. The Company's
portfolio consists of PET
imaging agents, optical
imaging agents and
therapeutic agents. Its
I-124-CLR1404 is a
small-molecule,
broad-spectrum,
cancer-targeted PET imaging
agent. Its I-131-CLR1404 is
a small-molecule,
cancer-targeted molecular
radiotherapeutic that
delivers cytotoxic radiation
directly and selectively to
cancer cells and cancer stem
cells. Its CLR1502 is a
preclinical,
cancer-targeted,
non-radioactive optical
imaging agent for
intraoperative tumor margin
illumination and
non-invasive tumor imaging.</t>
  </si>
  <si>
    <t xml:space="preserve">WI
NJ</t>
  </si>
  <si>
    <t xml:space="preserve">WISCONSIN ALUMNI RESEARCH/CELLECTAR BIOSCIENCES INC-STRATEGIC ALLIANCE</t>
  </si>
  <si>
    <t xml:space="preserve">Wisconsin Alumni Research Foundation and Cellectar Biosciences Inc. formed
a strategic alliance wherein Wisconsin Alumni Research Foundation licensed
Cellectar Biosciences Inc. intellectual property rights covering the method
of use on PDC compound, CLR 131, in multiples myeloma.</t>
  </si>
  <si>
    <t xml:space="preserve">Research &amp; Development Services
Licensing Services
Health &amp; Medical Services</t>
  </si>
  <si>
    <t xml:space="preserve">97657M
15117F</t>
  </si>
  <si>
    <t xml:space="preserve">Matrivax Inc
University of Guelph</t>
  </si>
  <si>
    <t xml:space="preserve">Biological Product (Except Diagnostic) Manufacturing
University</t>
  </si>
  <si>
    <t xml:space="preserve">Matrivax Inc is a manufacturer
of biological products. The
Company is located in Boston,
Massachusetts.
University</t>
  </si>
  <si>
    <t xml:space="preserve">MATRIVAX INC/UNIVERSITY OF GUELPH-STRATEGIC ALLIANCE</t>
  </si>
  <si>
    <t xml:space="preserve">Matrivax Inc and University of Guelph formed a strategic alliance, to
enables Matrivax and University of Guelph to advance research designed to
disrupt the fundamental pathways of C. diff pathogenesis and transmission.</t>
  </si>
  <si>
    <t xml:space="preserve">4F1190
91428H</t>
  </si>
  <si>
    <t xml:space="preserve">Trianni Inc
Fred Hutchinson Cancer Rsch</t>
  </si>
  <si>
    <t xml:space="preserve">Research and Development in The Social Sciences and Humanities
Own,op cancer research center</t>
  </si>
  <si>
    <t xml:space="preserve">Trianni Inc, located in San
Francisco, California, is a
biotech company specializing
in human antibody discovery
platform technology.
Own and operate cancer
research center</t>
  </si>
  <si>
    <t xml:space="preserve">TRIANNI INC/FRED HUTCHINSON CANCER-STRATEGIC ALLIANCE</t>
  </si>
  <si>
    <t xml:space="preserve">Trianni Inc. and Fred Hutchinson Cancer Research Center formed a strategic
alliance wherein Trianni Inc. licensed Fred Hutchinson Cancer Research
Center to utilize 'The Trianni Mouse Platform' for life saving research to
prevent, detect and treat cancer, HIV/AIDS and other deadly diseases.</t>
  </si>
  <si>
    <t xml:space="preserve">2F9287
35560F</t>
  </si>
  <si>
    <t xml:space="preserve">UTRF
CytoSen Therapeutics Inc</t>
  </si>
  <si>
    <t xml:space="preserve">Non-profit org
Pharmaceutical Preparation Manufacturing</t>
  </si>
  <si>
    <t xml:space="preserve">Non-profit organization
dedicated on promoting and
managing research and
technology commercialization
CytoSen Therapeutics Inc,
located in Orlando, Florida,
manufacturer of
pharmaceutical preparation.
It produces cellular
immunotherapeutics to treat
cancers through personalized
and universal donor sources.
The Company was founded in
2014.</t>
  </si>
  <si>
    <t xml:space="preserve">8641
2834</t>
  </si>
  <si>
    <t xml:space="preserve">TN
FL</t>
  </si>
  <si>
    <t xml:space="preserve">University of Tennessee
CytoSen Therapeutics Inc</t>
  </si>
  <si>
    <t xml:space="preserve">UNIVERSITY OF TENNESSEE /CYTO-SEN THERAPEUTICS, INC-STRATEGIC ALLIANCE</t>
  </si>
  <si>
    <t xml:space="preserve">University of Tennessee Research Foundation{UTRF} and Cyto-Sen
Therapeutics, Inc formed a strategic alliance wherein UTRF licensed
Cyto-Sen to utilize its K-562 cell lines to produce a natural killer cell
therapy to help fight cancer.</t>
  </si>
  <si>
    <t xml:space="preserve">91509R
4F0427</t>
  </si>
  <si>
    <t xml:space="preserve">Tokyo Gas Co Ltd
Shizen Energy Inc</t>
  </si>
  <si>
    <t xml:space="preserve">Gas utility co
Own,op solar,wind plants</t>
  </si>
  <si>
    <t xml:space="preserve">Tokyo Gas Co Ltd, based in
Minato-Ku, Tokyo, is a gas
utility company. It has five
business segments. The City
Gas segment is engaged in
the production, supply and
sale of gas. This segment is
also engaged in the
provision of gas to city gas
providers, as well as the
supply and sale of gas in
Malaysian. The Instrument
and Gas Fitting segment is
engaged in the sale of gas
appliances, and the gas
fitting business, such as
gas piping works. The Other
Energy segment is engaged in
the sale of liquefied
petroleum gas (LPG), the
wholesale of electricity,
the provision of energy
services, as well as the
sale of industrial gas. The
Real Estate segment
specializes in the leasing
of real estate. The Others
segment is involved in the
investment to overseas gas
field development, the
transportation of liquid
natural gas and LPG, the
provision of information
processing services, the
construction of gas-related
equipment, the payment
credit business related to
gas equipment sales and
lease businesses, among
others. The Company was
founded in 1885.
Shizen Energy Inc, based in
Fukuoka, Japan, owns and
operates renewable energy
power plants, and also
operates the development and
fundraising for renewable
energy power plants. The
company was founded in 2011.</t>
  </si>
  <si>
    <t xml:space="preserve">1321
499A</t>
  </si>
  <si>
    <t xml:space="preserve">TOKYO GAS CO LTD/SHIZEN ENERGY INC-JOINT VENTURE</t>
  </si>
  <si>
    <t xml:space="preserve">Tokyo Gas Co Ltd and Shizen Energy Inc planned to form a joint venture to
develop 60MW of solar power initially and will look for other
opportunities.</t>
  </si>
  <si>
    <t xml:space="preserve">88910U
1A8568</t>
  </si>
  <si>
    <t xml:space="preserve">Analytik Jena AG
Illumina Inc</t>
  </si>
  <si>
    <t xml:space="preserve">Analytical Laboratory Instrument Manufacturing
Manufacture,wholesale science tools,systems</t>
  </si>
  <si>
    <t xml:space="preserve">Analytik Jena AG, located in
Jena, Germany, manufactures
and wholesales analytical
instruments and bionalalytical
systems. The Company divides
its operations in two
segments: Instrument and
Project. The Instrument
business segment is divided
into three business units:
analytical solutions, bio
solutions and optical
solutions. The Instrument
business unit offers
analytical, bioanalytical and
optical instruments,
consumables and reagents, and
laboratory data systems. The
Project business segment
operates in the planning and
implementation of complex
medical research, teaching and
life science projects. The
Company is also a holding
company. It was founded in
1990.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</si>
  <si>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Endress+Hauser Holding AG
Illumina Inc</t>
  </si>
  <si>
    <t xml:space="preserve">3829
3826</t>
  </si>
  <si>
    <t xml:space="preserve">ANALYTIK JENA AG/ILLUMINA INC-STRATEGIC ALLIANCE</t>
  </si>
  <si>
    <t xml:space="preserve">Analytik Jena AG and Illumina Inc formed a strategic alliance to enable the
partners, namely, Analytik Jena and Illumina to provide solutions for
ultra-high throughput genotyping.</t>
  </si>
  <si>
    <t xml:space="preserve">03267X
452327</t>
  </si>
  <si>
    <t xml:space="preserve">Feinstein Inst for Med
United Therapeutics Corp</t>
  </si>
  <si>
    <t xml:space="preserve">Feinstein Institute for
Medical Research, located in
Manhasset, New York, is a
provider of biotechnology
research and development
services.
United Therapeutics Corp is
a biotechnology company
focused on the development
and commercialization of
products for patients with
chronic and life-threatening
diseases. It manufactures
pharmaceuticals to treat
cardiovascular, inflammatory
and infectious diseases. Its
products include Remodulin,
inhaled and oral
Treprostinil, Beraprost-MR,
and inhaled Treprostinil
with AERx essence for the
treatment of pulmonary
arterial hypertension. The
Company was founded in 1996
and is located in Silver
Spring, Maryland.</t>
  </si>
  <si>
    <t xml:space="preserve">Northwell Health
United Therapeutics Corp</t>
  </si>
  <si>
    <t xml:space="preserve">FEINSTEIN INSTITUTE FOR MEDICAL RESEARCH/UNITED THERAPEUTICS CORP-STRATEGIC
ALLIANCE</t>
  </si>
  <si>
    <t xml:space="preserve">Feinstein Institute for Medical Research and United Therapeutics Corp
formed a strategic alliance to Advance Bioelectronic Medicine and Cell
Therapy to cardiology, hypertension and post-transplant tolerance
induction.</t>
  </si>
  <si>
    <t xml:space="preserve">3F1340
91307C</t>
  </si>
  <si>
    <t xml:space="preserve">Calyxt Inc
Plant Bioscience Ltd</t>
  </si>
  <si>
    <t xml:space="preserve">Biological Product (Except Diagnostic) Manufacturing
Pvd research svcs</t>
  </si>
  <si>
    <t xml:space="preserve">Calyxt Inc is a manufacturer
of biological products. The
company was founded in January
2010 and is located in Saint
Paul, Minnesota.
Provide research services</t>
  </si>
  <si>
    <t xml:space="preserve">2836
8733</t>
  </si>
  <si>
    <t xml:space="preserve">Cellectis SA
Plant Bioscience Ltd</t>
  </si>
  <si>
    <t xml:space="preserve">CALYXT INC/PLANT BIOSCIENCE LTD-STRATEGIC ALLIANCE</t>
  </si>
  <si>
    <t xml:space="preserve">Calyxt Inc and Plant Bioscience Ltd formed a strategic alliance to expand
Calyxt's existing trait portfolio and will expedite Calyxt's ability to
grow its crop development pipeline.</t>
  </si>
  <si>
    <t xml:space="preserve">Licensing Services
Agricultural, Forestry, &amp; Fishing Svcs
Research &amp; Development Services</t>
  </si>
  <si>
    <t xml:space="preserve">3F4783
72730T</t>
  </si>
  <si>
    <t xml:space="preserve">Lewis Communications Ltd
RelevantView LLC</t>
  </si>
  <si>
    <t xml:space="preserve">Provide public relation svcs
Pvd online market research svc</t>
  </si>
  <si>
    <t xml:space="preserve">Lewis Communications Ltd
(Lewis PR), located in London,
United Kingdom, provides
public relations services. The
company specializes in social
media, digital marketing and
creative services. It works
with companies from different
sectors including automotive,
consumer, government,
healthcare, insurance, legal,
non-profit, technology and
telecom. It was founded in
1995.
RelevantView LLC, located in
Westport, Connecticut,
provides online market
research solution services.
The company was founded in
1999.</t>
  </si>
  <si>
    <t xml:space="preserve">8743
7375</t>
  </si>
  <si>
    <t xml:space="preserve">LEWIS COMMUNICATIONS LTD/RELEVANTVIEW LLC-STRATEGIC ALLIANCE</t>
  </si>
  <si>
    <t xml:space="preserve">Lewis Communications Ltd and RelevantView LLC formed a strategic alliance
to bolsters the agencys research offerings, ensuring clients always receive
the highest standards of research integrity as well as providing clients
highly credible, trusted research data.</t>
  </si>
  <si>
    <t xml:space="preserve">52774F
76354V</t>
  </si>
  <si>
    <t xml:space="preserve">Heptares Therapeutics
Daiichi Sankyo Co Ltd</t>
  </si>
  <si>
    <t xml:space="preserve">Heptares Therapeutics Ltd,
located in Hertfordshire,
UK, manufacture
pharmaceuticals. The Company
is focused on the discovery
and development of drugs
that targets G
protein-coupled receptors
(GPCRs). The Company was
founded in 2007.
Daiichi Sankyo Co Ltd is
located in Chuo-Ku Tokyo,
Japan, mainly engaged in the
manufacture and sale of
pharmaceuticals. The Company
is involved in the research,
development, manufacture and
sale of pharmaceuticals, as
well as the provision of
intermediates and basic
materials for pharmaceutical
producing in Japan, the
United States, Europe and
other markets. The Company
is also engaged in the
research, development,
over-the-counter drugs and
vaccines, the provision of
administrative services such
as human resources and
accounting services, real
estate leasing and insurance
agency business. The Company
was founded in 2005.</t>
  </si>
  <si>
    <t xml:space="preserve">Sosei Group Corp
Daiichi Sankyo Co Ltd</t>
  </si>
  <si>
    <t xml:space="preserve">HEPTARES THERAPEUTICS LTD/DAIICHI SANKYO CO LTD-STRATEGIC ALLIANCE</t>
  </si>
  <si>
    <t xml:space="preserve">Heptares Therapeutics Ltd and Daiichi Sankyo Co Ltd formed a strategic
alliance to develop, manufacture and commercialize novel, small molecules
discovered by Heptares.</t>
  </si>
  <si>
    <t xml:space="preserve">1A5094
J11257</t>
  </si>
  <si>
    <t xml:space="preserve">SES SA
Luxembourg Inst of Science</t>
  </si>
  <si>
    <t xml:space="preserve">Pvd satellite commun svcs
Provide research,dvlp svcs</t>
  </si>
  <si>
    <t xml:space="preserve">SES SA, located in Betzdorf,
Luxembourg, provides satellite
communication network
services, including
direct-to-home satellite
systems via a global fleet of
50 satellites. Its
subsidiaries include SES Astra
in Europe, SES Americom in
North America, and SES New
Skies, which provide global
coverage and connectivity
services.
Luxembourg Institute of
Science and Technology is an
RTO (Research and Technology
Organisation) active in the
fields of materials,
environment, and IT. The
Company was founded in
December 2014 and is located
in Esch-Sur-Alzette,
Luxembourg.</t>
  </si>
  <si>
    <t xml:space="preserve">4899
8731</t>
  </si>
  <si>
    <t xml:space="preserve">Luxembourg
Luxembourg</t>
  </si>
  <si>
    <t xml:space="preserve">SES SA/LUXEMBOURG INSTITUTE OF SCIENCE AND TECHNOLOGY-STRATEGIC ALLIANCE</t>
  </si>
  <si>
    <t xml:space="preserve">SES SA and Luxembourg Institute of Science and Technology formed a
strategic alliance to develop their businesses in Luxembourg, and will
facilitate the transfer of new technologies stemming from national public
and private research.</t>
  </si>
  <si>
    <t xml:space="preserve">81865J
3F6222</t>
  </si>
  <si>
    <t xml:space="preserve">Allergan Inc
Editas Medicine Inc</t>
  </si>
  <si>
    <t xml:space="preserve">Allergan Inc, located in
Irvine, California,
manufactures eye care,
neuromodulator and skin care
pharmaceutical products. Their
operations include global
health care services,
development and
commercialization of specialty
pharmaceutical products for
the ophthalmic, neurological,
dermatological and other
specialty markets. The company
targets products and
technologies related to
specific disease areas such as
glaucoma, retinal disease, dry
eye, psoriasis, acne and
movement disorders. Their
operations are also focused on
research and development
efforts on new therapeutic
areas, including
gastroenterology, neuropathic
pain and genitourinary
diseases. Some of its brands
include Alphagan, Alphagan P
and Lumigan. The company was
founded 1948.
Editas Medicine Inc, located
in Cambridge, Massachusetts,
is a provider of
biotechnology research and
development services. The
Company was founded in
September 3, 2013.</t>
  </si>
  <si>
    <t xml:space="preserve">Allergan Plc
Editas Medicine Inc</t>
  </si>
  <si>
    <t xml:space="preserve">ALLERGAN INC/EDITAS MEDICINE INC-STRATEGIC ALLIANCE</t>
  </si>
  <si>
    <t xml:space="preserve">Allergan Inc and Editas Medicine Inc formed a strategic alliance, to have a
research and development alliance.</t>
  </si>
  <si>
    <t xml:space="preserve">018490
28106W</t>
  </si>
  <si>
    <t xml:space="preserve">Crispr Therapeutics AG
Casebia Therapeutics
Maxcyte Inc</t>
  </si>
  <si>
    <t xml:space="preserve">Biological Product (Except Diagnostic) Manufacturing
Biotechnology company
Biological Product (Except Diagnostic) Manufacturing</t>
  </si>
  <si>
    <t xml:space="preserve">CRISPR Therapeutics AG is a
manufacturer of biological
products. The Company was
founded in 2013 and is located
in Basel, Switzerland.
Casebia Therapeutics is a
manufacturer of biological
products. The company was
founded in 2016 and is located
in Massachusetts.
MaxCyte Inc, located in
Rockville, Maryland, USA, is
a manufacturer of biological
products.</t>
  </si>
  <si>
    <t xml:space="preserve">FF
MA
MD</t>
  </si>
  <si>
    <t xml:space="preserve">Crispr Therapeutics AG
Crispr Therapeutics AG
Maxcyte Inc</t>
  </si>
  <si>
    <t xml:space="preserve">Switzerland
Switzerland
United States</t>
  </si>
  <si>
    <t xml:space="preserve">CRISPR THERAPEUTICS AG/CASEBIA THERAPEUTICS/MAXCYTE INC-STRATEGIC ALLIANCE</t>
  </si>
  <si>
    <t xml:space="preserve">CRISPR Therapeutics AG, Casebia Therapeutics and MaxCyte Inc formed a
strategic alliance to develop CRISPR/Cas9-based therapies for
hemoglobin-related diseases and severe combined immunodeficiency (SCID).
MaxCyte will supply its systems to CRISPR Therapeutics and Casebia as part
of the license agreement and will receive upfront, milestone, and
sales-based payments.</t>
  </si>
  <si>
    <t xml:space="preserve">H17182
0F6702
57777K</t>
  </si>
  <si>
    <t xml:space="preserve">Toray Inds Inc
Maruho Co Ltd</t>
  </si>
  <si>
    <t xml:space="preserve">Broadwoven Fabric Finishing Mills
Mnfr,whl pharmaceuticals</t>
  </si>
  <si>
    <t xml:space="preserve">Toray Industries Inc,
located in Tokyo, Japan,
manufactures textile and
chemically synthesized
products. The Textile
segment manufactures,
processessells textile and
apparel products. The
Plastic and Chemical segment
offers plastic, films and
chemical products. The
Information Communication
Materials and Equipment
segment offers plastic,
films, copy materials, color
filters for liquid crystal
and optical fibers. The
Carbon Fiber Composite
Material segment
manufactures and sells
carbon s and carbon fiber
composite materials. The
Environment and Engineering
segment offers functional
film and machines, materials
for housing, construction
and civil works, and
operates real estate,
engineering and precision
machine manufacturing
businesses. The Life Science
segment manufactures and
sells medical,
pharmaceutical and optical
products. The Others segment
provides various services.
The Company was founded in
1926.
Maruho Co Ltd is a
manufacturer of
pharmaceutical preparation.
The Company was founded in
July 1915 and is located in
Osaka-Shi Osaka, Japan.</t>
  </si>
  <si>
    <t xml:space="preserve">2269
2834</t>
  </si>
  <si>
    <t xml:space="preserve">TORAY INDUSTRIES INC/MARUHO CO LTD-STRATEGIC ALLIANCE</t>
  </si>
  <si>
    <t xml:space="preserve">Toray Industries Inc and Maruho Co Ltd formed a strategic alliance to
develop, manufacture and commercialize a RORt inhibitor originated by Toray
Globally.</t>
  </si>
  <si>
    <t xml:space="preserve">890880
56617V</t>
  </si>
  <si>
    <t xml:space="preserve">Boom Profit Investments Ltd
OncBioMune Pharmaceuticals Inc</t>
  </si>
  <si>
    <t xml:space="preserve">Boom Profit Investments Ltd
is a manufacturer of
pharmaceutical preparation.
The Company is located in
the British Virgin Islands.
OncBioMune Pharmaceuticals Inc
is a manufacturer of
pharmaceutical preparation.
The Company is located in
Baton Rouge, Louisiana.</t>
  </si>
  <si>
    <t xml:space="preserve">British Virgin
United States</t>
  </si>
  <si>
    <t xml:space="preserve">EOC PHARMA LTD/ONCBIOMUNE PHARMACEUTICALS INC-JOINT VENTURE</t>
  </si>
  <si>
    <t xml:space="preserve">EOC Pharma Ltd and OncBioMune Pharmaceuticals Inc planned to form a joint
venture, for development and commercialization of EOC Pharma products in 34
countries.</t>
  </si>
  <si>
    <t xml:space="preserve">0H7282
2E7560</t>
  </si>
  <si>
    <t xml:space="preserve">Amo Pharma Ltd
Ranedis Pharmaceuticals LLC</t>
  </si>
  <si>
    <t xml:space="preserve">Research and Development in The Social Sciences and Humanities
Biological Product (Except Diagnostic) Manufacturing</t>
  </si>
  <si>
    <t xml:space="preserve">Amo Pharma Ltd is a provider
of social sciences research
and development services. The
Company was founded in
February 2015 and is located
in Huntingdon, the United
Kingdom.
Ranedis Pharmaceuticals LLC is
a manufacturer of biological
products. The Company was
founded in 2014 and is located
in Pennsylvania.</t>
  </si>
  <si>
    <t xml:space="preserve">AMO PHARMA LTD/RANEDIS PHARMACEUTICALS LLC-STRATEGIC ALLIANCE</t>
  </si>
  <si>
    <t xml:space="preserve">Amo Pharma Ltd and Ranedis Pharmaceuticals LLC formed a strategic alliance
progress the development of RND-001 for rare genetic diseases, including
certain lysosomal storage disorders and other diseases affecting the
central nervous system.</t>
  </si>
  <si>
    <t xml:space="preserve">6F9261
6F9268</t>
  </si>
  <si>
    <t xml:space="preserve">Almirall SA
Symatese</t>
  </si>
  <si>
    <t xml:space="preserve">Almirall SA, located in
Barcelona, Spain is a
company principally engaged
in the pharmaceuticals
manufacture. The Company
focuses on development and
marketing of drugs applied
in various therapeutic
areas, such as nervous
system, gastrointestinal,
dermatological, respiratory
system, antiinfectives, as
well as antineoplastic and
immunomodulating agents. The
Company's activities are
divided into four business
segments: Own network, which
focuses on the
commercialization of
pharmaceuticals through own
brand names; Licenses, which
sells product rights to
third parties; Research and
development (R&amp;D), which is
responsible for the creation
of drug candidates, as well
as Dermatology, which
includes sale of
dermatological medicines in
the United States. The
Company operates through
numerous subsidiaries in
Europe, the Americas,
Africa, Asia and Australia.
The Company was founded in
1943.
Symatese is a manufacturer of
pharmaceutical preparation.
The Company is located in
France.</t>
  </si>
  <si>
    <t xml:space="preserve">Spain
France</t>
  </si>
  <si>
    <t xml:space="preserve">Grupo Corporativo Landon SL
Symatese</t>
  </si>
  <si>
    <t xml:space="preserve">6531
2834</t>
  </si>
  <si>
    <t xml:space="preserve">ALMIRALL SA/SYMATESE-STRATEGIC ALLIANCE</t>
  </si>
  <si>
    <t xml:space="preserve">Almirall SA and Symatese formed a strategic alliance to development and
commercialisation of customised products in the aesthetics sector.</t>
  </si>
  <si>
    <t xml:space="preserve">E0459K
3F7259</t>
  </si>
  <si>
    <t xml:space="preserve">Ipsen SA
Debiopharm International SA</t>
  </si>
  <si>
    <t xml:space="preserve">Pharmaceutical Preparation Manufacturing
Manufacture biopharmaceuticals</t>
  </si>
  <si>
    <t xml:space="preserve">Ipsen SA, located in Paris,
France, is a manufacturer of
pharmaceutical preparation.
It manufactures prescription
pharmaceuticals used in
therapeutic areas in
Oncology, endocrinology and
neuromuscular disorders. Its
products include Decapeptyl,
Somatuline, NutropinAq,
Testim and Dysport. It also
offers products on primary
care which includes the
areas of gastroenterology,
cardiovascular and cognitive
disorders. The Company was
founded in 1929.
Debiopharm International SA,
located in Lausanne,
Switzerland, manufactures
biopharmaceuticals. It is
specialized in promising
biologics and small molecule
drugs. The Company is active
in life sciences with a
focus on the development of
innovative prescription
drugs. Oncology is the
group's main area of
expertise. In addition, The
Company develops drugs for
specific indications in the
following therapeutic areas:
infectious diseases and
orphan drugs. Its product
portfolio includes Elixatin
Elplat, Dacotin, Dacplat,
Decapeptyl, Trelstar,
Pamorelin, Neo Decapeptyl,
salvacyl and Moapar. It
operates sites in Lausanne,
Martigny and Quebec. The
Company was founded in 1979.</t>
  </si>
  <si>
    <t xml:space="preserve">Mayroy SA
Debiopharm International SA</t>
  </si>
  <si>
    <t xml:space="preserve">Luxembourg
Switzerland</t>
  </si>
  <si>
    <t xml:space="preserve">IPSEN SA/DEBIOPHARM INTERNATIONAL SA-STRATEGIC ALLIANCE</t>
  </si>
  <si>
    <t xml:space="preserve">Ipsen SA and Debiopharm International SA extended their strategic alliance
for the development, manufacturing and distribution of Decapeptyl across
Europe and certain Asian and African markets. Debiopharm and Ipsen extend
and strengthen their ongoing collaboration to ensure patient access to
Decapeptyl for the treatment of certain urological, gynecological and
pediatric conditions</t>
  </si>
  <si>
    <t xml:space="preserve">Research &amp; Development Services
Manufacturing Services
Retail &amp; Wholesale Services
Health &amp; Medical Services</t>
  </si>
  <si>
    <t xml:space="preserve">44837P
24275A</t>
  </si>
  <si>
    <t xml:space="preserve">Delivra Corp
Dosecann Inc
ARA-Avanti Rx Analytics Inc</t>
  </si>
  <si>
    <t xml:space="preserve">Biotechnology company
Pharmaceutical Preparation Manufacturing
Research and Development in Biotechnology</t>
  </si>
  <si>
    <t xml:space="preserve">Delivra Corp, located in
Hamilton, Ontario, is a
developer of transdermal
technologies for the
delivery of pharmaceutical
and natural molecules,
through the skin, rather
than via pills. The Company
manufactures and sells
natural topical creams under
its brand names, LivRelief,
which is indicated for
conditions, including joint
and muscle pain, nerve pain,
circulation and wound
healing, and LivSport brand,
which is indicated for
sports performance. Its
business is divided into two
areas of focus: Consumer
Healthcare Over the Counter
(OTC) Retail products, and
Technology Licensing. Its
OTC natural topical products
include LivRelief Pain
Relief Cream, LivRelief
Varicose Vein Cream,
LivRelief Nerve Pain Relief
Cream, LivRelief Healing
Cream, LivSport Pre-Workout
Cream and LivSport
Post-Workout Cream. It
utilizes Delivra transdermal
delivery system, a platform
that enables
through-the-skin penetration
and delivery of a range of
active ingredients intended
to treat various symptoms
and conditions. The Company
was founded in October 21,
2013.
2013.
Dosecann Inc, located in
Stoney Creek, Ontario,
manufactures cannabis
pharmaceutical products. It
is a specialty pharma
company that offers unique
solutions to the emerging
cannabis industry for
numerous medical conditions.
The Company was founded in
December 2016.
ARA-Avanti Rx Analytics Inc,
located in Brampton, Canada,
provides research &amp;
development (R&amp;D) and
quality check (QC) testing
of marijuana extraction
services under controlled
environment, cannabinoids
purification, cannabis
infused-product formulation.</t>
  </si>
  <si>
    <t xml:space="preserve">2836
2834
8731</t>
  </si>
  <si>
    <t xml:space="preserve">Delivra Corp
Dosecann Inc
Mira IX Acquisition Corp</t>
  </si>
  <si>
    <t xml:space="preserve">2836
2834
6799</t>
  </si>
  <si>
    <t xml:space="preserve">DELIVRA CORP/DOSECANN INC./ARA-AVANTI RX ANALYTICS INC.-STRATEGIC ALLIANCE</t>
  </si>
  <si>
    <t xml:space="preserve">Delivra Corp, Dosecann Inc. and ARA-Avanti Rx Analytics Inc. formed a
strategic alliance.to develop a unique suite of standardized products for
the medical cannabis research, development, and commercialization markets.</t>
  </si>
  <si>
    <t xml:space="preserve">24701U
4F5669
4F5480</t>
  </si>
  <si>
    <t xml:space="preserve">Lin Bioscience Inc
University of Sydney</t>
  </si>
  <si>
    <t xml:space="preserve">Lin Bioscience Inc is a
manufacturer of
pharmaceutical preparation.
The Company was founded in
May 2016 and is located in
Taipei City, Taiwan.
University of Sydney, located
in Sydney, Australia, owns and
operator university.</t>
  </si>
  <si>
    <t xml:space="preserve">Taiwan
Australia</t>
  </si>
  <si>
    <t xml:space="preserve">LIN BIOSCIENCE INC/UNIVERSITY OF SYDNEY-STRATEGIC ALLIANCE</t>
  </si>
  <si>
    <t xml:space="preserve">Lin Bioscience Inc and University of Sydney formed a strategic alliance to
licenses novel therapeutic program for brain cancer from University of
Sydney and under the terms of agreement Lin BioScience will gain exclusive
global rights to the development and commercialization of intellectual
property developed at University of Sydney .</t>
  </si>
  <si>
    <t xml:space="preserve">3F5264
79467R</t>
  </si>
  <si>
    <t xml:space="preserve">Crescita Therapeutics Inc
Undisclosed JV Partner</t>
  </si>
  <si>
    <t xml:space="preserve">Pharmacies and Drug Stores
Investment company</t>
  </si>
  <si>
    <t xml:space="preserve">Crescita Therapeutics Inc,
located in Mississauga,
Ontario, is a drug
development company. It is a
dermatology company that
owns a portfolio of
non-prescription skincare
products for the treatment
and care of skin conditions
and diseases and their
symptoms and prescription
drug products for the
treatment of pain. The
Company was founded in 2016.
Investment company</t>
  </si>
  <si>
    <t xml:space="preserve">5122
6799</t>
  </si>
  <si>
    <t xml:space="preserve">CRESCITA THERAPEUTICS INC/UNDISCLOSED PARTNER-STRATEGIC ALLIANCE</t>
  </si>
  <si>
    <t xml:space="preserve">Crescita Therapeutics Inc and Undisclosed Joint Venture Partner formed a
strategic alliance to develop prescription treatments of skin diseases
utilizing Crescita's patented Multiplexed Molecular Penetration Enhancer
(MMPE) technology in Canada.</t>
  </si>
  <si>
    <t xml:space="preserve">225847
904JVP</t>
  </si>
  <si>
    <t xml:space="preserve">Kering Eyewear SpA
Cartier Inter(Financiere Rich)</t>
  </si>
  <si>
    <t xml:space="preserve">Ophthalmic Goods Manufacturing
Mnfr,whl,retail watches</t>
  </si>
  <si>
    <t xml:space="preserve">Kering Eyewear SpA is a
manufacturer of ophthalmic
goods. The Company is
located in Padova, Italy.
Manufacture, wholesale and
retail watches</t>
  </si>
  <si>
    <t xml:space="preserve">3851
3873</t>
  </si>
  <si>
    <t xml:space="preserve">Kering SA
Compagnie Financiere Richemont</t>
  </si>
  <si>
    <t xml:space="preserve">5651
3911</t>
  </si>
  <si>
    <t xml:space="preserve">KERING EYEWEAR SPA/CARTIER INTERNATIONAL BV-STRATEGIC ALLIANCE</t>
  </si>
  <si>
    <t xml:space="preserve">Kering Eyewear SpA and Cartier International BV (Financiere Richemont)
formed a strategic alliance to create a stronger platform for the
development, manufacturing and worldwide distribution of the Cartier
eyewear collection.</t>
  </si>
  <si>
    <t xml:space="preserve">3F7451
14678Y</t>
  </si>
  <si>
    <t xml:space="preserve">Furuno Electric Co Ltd
China COSCO Shipping Corp Ltd
Heisei Trading Co Ltd</t>
  </si>
  <si>
    <t xml:space="preserve">All Other Miscellaneous Electrical Equipment and Component Manufacturing
Other Support Activities For Water Transportation
Deep Sea Freight Transportation</t>
  </si>
  <si>
    <t xml:space="preserve">Furuno Electric Co Ltd,
headquartered in Hyogo, Japan,
engaged in the manufacture and
sale of marine electronic
equipment and industrial
electronic equipment that
utilize ultrasound and
electromagnetic wave sensor
technologies. The Marine
Electronic Equipment segment
manufactures and sells sea
navigation instruments,
fishing instruments and radio
communications equipment. The
Industrial Electronic
Equipment segment manufactures
and sells global positioning
system (GPS) equipment,
medical equipment, intelligent
transport system (ITS)
equipment and aviation
devices. The Others segment is
engaged in the manufacture and
sale of electronic equipment
for aircrafts, wireless handy
terminals, wireless local area
network, the business
contract, temporary help
business, insurance agency
business and printing
business. The company was
founded in 1951.
China COSCO Shipping Corp
Ltd is an investment holding
company. It along with its
subsidiaries mainly provides
support services for water
transportation. It provides
general and specialized
long-distance and local
freight trucking services.
It also provides logistics
management consulting
services. The Company was
founded in February 2016 and
is located in Shanghai,
China.
Heisei Trading Co Ltd is a
provider of deep sea freight
transportation services. The
Company is located in Kobe,
Japan.</t>
  </si>
  <si>
    <t xml:space="preserve">3699
4499
4412</t>
  </si>
  <si>
    <t xml:space="preserve">Japan
China
Japan</t>
  </si>
  <si>
    <t xml:space="preserve">FURUNO ELECTRIC CO LTD/CHINA COSCO SHIPPING CORP LTD/HEISEI TRADING CO
LTD-STRATEGIC ALLIANCE</t>
  </si>
  <si>
    <t xml:space="preserve">Furuno Electric Co Ltd, China Cosco Shipping Corp Ltd and Heisei Trading Co
Ltd planned to form a strategic alliance to advance joint market research
and communication and navigation equipment.</t>
  </si>
  <si>
    <t xml:space="preserve">Research &amp; Development Services
Shipping Services
Electrical &amp; Electronic Services</t>
  </si>
  <si>
    <t xml:space="preserve">36111Q
8E1489
5F7977</t>
  </si>
  <si>
    <t xml:space="preserve">Shenzhen O-Film Tech Co Ltd
TPK Holding Co Ltd</t>
  </si>
  <si>
    <t xml:space="preserve">Mnfr,whl film components
Mnfr,whl touch screen prod</t>
  </si>
  <si>
    <t xml:space="preserve">Shenzhen O-film Tech Co Ltd,
headquartered in Guangdong,
China, manufacturer and
wholesales film components.
The Company was founded in
2001.
TPK Holding Co Ltd, located in
Taiwan, manufactures and
wholesales touch screen
products, comprised of
capacitive touch sensors,
modules and monitors. Its main
products are medium- and
small-sized touch panels,
widely applied in mobile
phones, portable media players
(PMPs), personal navigation
devices (PNDs), handheld game
consoles, tablet personal
computers (PCs), electronic
books and digital photo
frames, among others. It is
also engaged in indium tin
oxide (ITO) glass business.
The Company was founded in
November 2005.</t>
  </si>
  <si>
    <t xml:space="preserve">3674
3675</t>
  </si>
  <si>
    <t xml:space="preserve">SHENZHEN O-FILM TECH CO LTD/TPK HOLDING CO LTD-JOINT VENTURE</t>
  </si>
  <si>
    <t xml:space="preserve">Shenzhen O-film Tech Co Ltd and TPK Holding Co Ltd planned to form a 51:49
joint venture to develop, produce and sell photoelectronic devices and
equipment.</t>
  </si>
  <si>
    <t xml:space="preserve">Electrical &amp; Electronic Services
Manufacturing Services
Retail &amp; Wholesale Services
Research &amp; Development Services</t>
  </si>
  <si>
    <t xml:space="preserve">83877H
87707W</t>
  </si>
  <si>
    <t xml:space="preserve">Rolls-Royce Holdings PLC
Tampere Univ of Tech</t>
  </si>
  <si>
    <t xml:space="preserve">Mnfr,whl turbines,power systems; holding company
Colleges, Universities, and Professional Schools</t>
  </si>
  <si>
    <t xml:space="preserve">Rolls-Royce Holdings PLC,
located in London, UK,
manufactures and wholesales
turbines, power systems for
civil aerospace, defense
aerospace, marine and energy
markets. It also acts as a
holding company. The Company
was founded in 1904.
Tampere University of
Technology is a college
operator. It is located in
Tampere, Finland.</t>
  </si>
  <si>
    <t xml:space="preserve">3511
8221</t>
  </si>
  <si>
    <t xml:space="preserve">ROLLS-ROYCE HOLDINGS PLC/TAMPERE UNIVERSITY OF TECHNOLOGY-STRATEGIC
ALLIANCE</t>
  </si>
  <si>
    <t xml:space="preserve">Rolls-Royce Holdings PLC and Tampere University of Technology formed a
strategic alliance to develop Autonomous Systems in Marine.</t>
  </si>
  <si>
    <t xml:space="preserve">Research &amp; Development Services
Shipping Services</t>
  </si>
  <si>
    <t xml:space="preserve">775781
4F0191</t>
  </si>
  <si>
    <t xml:space="preserve">Power Solutions International
Weichai America Corp</t>
  </si>
  <si>
    <t xml:space="preserve">Mnfr,whl industrial,engine power equip
Gasoline Engine and Engine Parts Manufacturing</t>
  </si>
  <si>
    <t xml:space="preserve">Power Solutions International
Inc, located in Wood Dale,
Illinois, manufactures and
wholesales industrial and
on-road engine power
equipment. It offers a broad
range of high performance,
certified low-emission, power
systems that primarily run on
alternative fuels such as
natural gas and propane and
are designed to meet emission
standards of the EPA and the
CARB. The Company was founded
in 2001.
Weichai America Corp, located
in Rolling Meadows, Illinois,
manufactures gasoline engines.
It focuses on researching,
developing and manufacturing a
full line of off-road natural
gas engines.</t>
  </si>
  <si>
    <t xml:space="preserve">Power Solutions International
Weichai Power Co Ltd</t>
  </si>
  <si>
    <t xml:space="preserve">3511
3519</t>
  </si>
  <si>
    <t xml:space="preserve">POWER SOLUTIONS INTERNATIONAL/WEICHAI AMERICA CORP-STRATEGIC ALLIANCE</t>
  </si>
  <si>
    <t xml:space="preserve">Power Solutions International Inc and Weichai America Corp formed a
strategic alliance, to provide significant strategic benefits to PSI by
leveraging Weichais strengths and capabilities in engine research and
development, manufacturing capabilities, procurement, distribution and
extensive sales channels in China and other emerging markets.</t>
  </si>
  <si>
    <t xml:space="preserve">73933G
3F9378</t>
  </si>
  <si>
    <t xml:space="preserve">Harbin Boshi Automation Co Ltd
SIASUN Robot &amp; Automation Co L
Undisclosed JV Partner</t>
  </si>
  <si>
    <t xml:space="preserve">Mnf,whl automation mach
Mnfr engineering robotics
Investment company</t>
  </si>
  <si>
    <t xml:space="preserve">Harbin Boshi Automation Co
Ltd located in Harbin, China
is a manufacturer of
packaging machinery. The
Company was founded in
September 2012.
SIASUN Robot &amp; Automation Co
Ltd is a manufacturer of
machinery. The Company was
founded in April 2000 and is
located in Shenyang, China.
Investment company</t>
  </si>
  <si>
    <t xml:space="preserve">3565
3569
6799</t>
  </si>
  <si>
    <t xml:space="preserve">HARBIN BOSHI AUTOMATION CO LTD/SIASUN ROBOT &amp; AUTOMATION CO/UNDISCLOSED
PARTNER-JOINT VENTURE</t>
  </si>
  <si>
    <t xml:space="preserve">Harbin Boshi Automation Co Ltd, Siasun Robot Automation Co Ltd and
Undisclosed Joint Venture Partner planned to form an 8:13:79 joint venture
to provide innovation service. The JV was to be capitalized at CNY 200 mil
(USD 29.068 million).</t>
  </si>
  <si>
    <t xml:space="preserve">8.00
13.00
79.00</t>
  </si>
  <si>
    <t xml:space="preserve">The JV was to be capitalized at CNY 200 mil (USD 29.068 million).</t>
  </si>
  <si>
    <t xml:space="preserve">41225F
78939N
904JVP</t>
  </si>
  <si>
    <t xml:space="preserve">Aldevron
Myeloma Crowd</t>
  </si>
  <si>
    <t xml:space="preserve">Biotechnology company
Voluntary Health Organizations</t>
  </si>
  <si>
    <t xml:space="preserve">Aldevron Llc is a manufacturer
of biological products. The
Company is located in Fargo,
North Dakota.
founded in 1998.
Myeloma Crowd is a voluntary
health organization. The
Company is located in Lehi,
Utah.</t>
  </si>
  <si>
    <t xml:space="preserve">ND
UT</t>
  </si>
  <si>
    <t xml:space="preserve">Aldevron
CrowdCare Foundation Inc</t>
  </si>
  <si>
    <t xml:space="preserve">ALDEVRON LLC/MYELOMA CROWD-STRATEGIC ALLIANCE</t>
  </si>
  <si>
    <t xml:space="preserve">Aldevron LLC and Myeloma Crowd formed a strategic alliance for a
collaboration agreement to support the development of multiple myloma
treatments.</t>
  </si>
  <si>
    <t xml:space="preserve">01409K
4F5662</t>
  </si>
  <si>
    <t xml:space="preserve">Chemetall GmbH
Talga Resources Ltd</t>
  </si>
  <si>
    <t xml:space="preserve">Ethyl Alcohol Manufacturing
All Other Nonmetallic Mineral Mining</t>
  </si>
  <si>
    <t xml:space="preserve">Chemetall GmbH, located in
Frankfurt am Main, Germany,
manufactures chemicals. It is
focused on products and
processes for the chemical
treatment of metal surfaces
and plastics, as well as
selected fields of fine
chemistry such as lithium and
cesium compounds. The Company
was founded in 1920.
Talga Resources Ltd, located
in West Perth, Australia, is
engaged in graphite
exploration and development,
including trial mining, in
Sweden and graphite/graphene
research and development
through its pilot plant test
facility in Germany. The
Company operates through
three segments: graphite
exploration and development
in Sweden; gold exploration
and evaluation in Australia,
and graphite/graphene
research and development in
Germany. Its graphite
projects include Vittangi,
Raitajarvi, Pitea, Jalkunen
and Pajala. It owns over two
iron ore projects,
Masugnsbyn and Vittangi,
located in Norrbotten
County, north Sweden. It
owns approximately four gold
exploration projects in
Western Australia. The
Bullfinch project is located
in the Yilgarn region,
approximately 50 kilometers
north of the town of
Southern Cross. The other
three projects, including
Talga Talga, Warrawoona and
Mosquito Creek projects are
located in the East Pilbara
gold region, near the towns
of Marble Bar and Nullagine.
The Company was founded in
July 2009.</t>
  </si>
  <si>
    <t xml:space="preserve">2869
1499</t>
  </si>
  <si>
    <t xml:space="preserve">Germany
Australia</t>
  </si>
  <si>
    <t xml:space="preserve">Albemarle Corp
Talga Resources Ltd</t>
  </si>
  <si>
    <t xml:space="preserve">2899
1499</t>
  </si>
  <si>
    <t xml:space="preserve">CHEMETALL GMBH/TALGA RESOURCES LTD-STRATEGIC ALLIANCE</t>
  </si>
  <si>
    <t xml:space="preserve">Chemetall GmbH and Talga Resources Ltd formed a strategic alliance to
co-develop and commercialise graphene-enhanced metal surface coatings in
Australia.</t>
  </si>
  <si>
    <t xml:space="preserve">16359M
0A3398</t>
  </si>
  <si>
    <t xml:space="preserve">Xogen Technologies Inc
STT Enviro Corp</t>
  </si>
  <si>
    <t xml:space="preserve">Pvd waste water treatment svcs
Pvd engineering svcs</t>
  </si>
  <si>
    <t xml:space="preserve">Xogen Technologies Inc,
located in Orangeville,
Ontario, provides waste water
treatment solutions services
for the industry and
government. The company was
founded in 1998.
STT Enviro Corp, located in
Toronto, Ontario, provides
environmental engineering
services focused on the
design, assembly, installation
and support of turn-key
material handling systems. The
Company was founded in 2000.</t>
  </si>
  <si>
    <t xml:space="preserve">9511
8711</t>
  </si>
  <si>
    <t xml:space="preserve">XOGEN TECHNOLOGIES INC/STT ENVIRO CORP-JOINT VENTURE</t>
  </si>
  <si>
    <t xml:space="preserve">Xogen Technologies Inc and STT Enviro Corp planned to form a joint venture
jointly market, develop, sell and operate leachate treatment systems that
incorporate the Xogen technology.</t>
  </si>
  <si>
    <t xml:space="preserve">Waste Management &amp; Disposal Svcs
Marketing Services
Research &amp; Development Services</t>
  </si>
  <si>
    <t xml:space="preserve">99474A
784835</t>
  </si>
  <si>
    <t xml:space="preserve">Cavitation Technologies Inc
GEA Group AG</t>
  </si>
  <si>
    <t xml:space="preserve">Mnfr biodiesel equip
Manufacture Engineering Equipment; Holding Company</t>
  </si>
  <si>
    <t xml:space="preserve">Cavitation Technologies Inc,
located in Chatsworth,
California, manufactures
biodiesel equipment and
markets its product through
its Bioforce 9000 brand. Its
product's main function is the
reduction of cost and time f
biodiesel production through
the use of patent pending
flow-trough NANO cavitation
technology.
GEA Group AG, located in
Duesseldorf, Germany,
manufactures engineering
equipment and is a holding
company with locations in
over 50 countries. The
Company's products are for
the food, pharmaceutical,
brewery, environmental and
petrochemical industries.
The Company was founded in
1881.</t>
  </si>
  <si>
    <t xml:space="preserve">3559
3589</t>
  </si>
  <si>
    <t xml:space="preserve">CAVITATION TECHNOLOGIES INC/GEA GROUP AG-STRATEGIC ALLIANCE</t>
  </si>
  <si>
    <t xml:space="preserve">Cavitation Technologies Inc and GEA Group AG formed a strategic alliance to
provide License for R&amp;D and marketing of patented Nano Reactor globally.</t>
  </si>
  <si>
    <t xml:space="preserve">14967C
36373R</t>
  </si>
  <si>
    <t xml:space="preserve">Shimao Property Holdings Ltd
Starwood Capital Group Mgmt</t>
  </si>
  <si>
    <t xml:space="preserve">Real estate development firm
Real estate investment firm</t>
  </si>
  <si>
    <t xml:space="preserve">Shimao Property Holdings Ltd
is a provider of land
subdivision services. The
Company was founded in
October 2004 and is located
in Hong Kong.
Starwood Capital Group
Management LLC, located in
Miami Beach, Florida, is a
real estate investment firm.
It focuses on global real
estate. It invests in
various property types
including hotel, retail,
multi-family, office,
resorts, industrial,
residential, apartments,
distressed real estate,
property loan and golf. It
operates in the United
States, the United Kingdom,
Luxembourg, Amsterdam and
Hong Kong. It is also a
holding company. The Company
was founded in 1991.</t>
  </si>
  <si>
    <t xml:space="preserve">6552
6798</t>
  </si>
  <si>
    <t xml:space="preserve">Gemfair Investments Ltd
Starwood Capital Group Mgmt</t>
  </si>
  <si>
    <t xml:space="preserve">SHIMAO PROPERTY HOLDINGS LTD/STARWOOD CAPITAL GROUP GLOBAL LLC-JOINT
VENTURE</t>
  </si>
  <si>
    <t xml:space="preserve">Shimao Property Holdings Ltd and Starwood Capital Group Global LLC planned
to form a 51:49 joint venture to create new hotel joint venture, focus on
developing, operating, and branding assets in the rapidly growing hotel
market in China.</t>
  </si>
  <si>
    <t xml:space="preserve">Hotel &amp; Casino Services
Research &amp; Development Services</t>
  </si>
  <si>
    <t xml:space="preserve">82525W
85569J</t>
  </si>
  <si>
    <t xml:space="preserve">Jazz Pharmaceuticals PLC
Nippon Shinyaku Co Ltd</t>
  </si>
  <si>
    <t xml:space="preserve">Mnfr prescription pharm
Mnfr,whl pharm,functional food</t>
  </si>
  <si>
    <t xml:space="preserve">Jazz Pharmaceuticals PLC,
headquartered in Palo Alto,
California, manufactures
prescription pharmaceuticals
focused on neurological and
psychiatric products. The
company was incorporated in
California in March 2003, and
reincorporated in Delaware in
January 2004.
Nippon Shinyaku Co Ltd,
headquartered in Kyoto,
principally involved in the
manufacture and sale of
pharmaceutical products and
functional foodstuffs. The
Company has two business
segments. The
Pharmaceuticals segment
manufactures and sells
nervous and respiratory
drugs, cardiovascular and
metabolic drugs, urological
drugs, gastrointestinal
drugs, anticancer drugs and
others. The Functional
Foodstuffs segment
manufactures and sells
seasonings, spices, quality
stability preservatives,
protein therapeutics,
nutrition materials,
sterilization detergents and
wheat products, among
others. The company was
founded in 1919.</t>
  </si>
  <si>
    <t xml:space="preserve">JAZZ PHARMACEUTICALS PLC/NIPPON SHINYAKU CO LTD-STRATEGIC ALLIANCE</t>
  </si>
  <si>
    <t xml:space="preserve">Jazz Pharmaceuticals PLC and Nippon Shinyaku Co Ltd formed a strategic
alliance to grant Nippon Shinyaku the exclusive rights to manufacture and
market Defitelio and Vyxeos in Japan.</t>
  </si>
  <si>
    <t xml:space="preserve">Health &amp; Medical Services
Licensing Services
Marketing Services
Research &amp; Development Services</t>
  </si>
  <si>
    <t xml:space="preserve">G50871
65463H</t>
  </si>
  <si>
    <t xml:space="preserve">Hanmi Pharm Co Ltd
Innovent Biologics Inc</t>
  </si>
  <si>
    <t xml:space="preserve">Mnfr,Whl pharm
Manufacture pharmaceuticals</t>
  </si>
  <si>
    <t xml:space="preserve">Hanmi Pharm. Co Ltd, based in
Hwaseong, South Korea, is a
company mainly engaged in the
manufacture of
pharmaceuticals. The Company
provides prescription drugs,
including antidepressants,
obesity drugs, oral care
drugs, schizophrenia drugs,
diabetes drugs, hepatitis
drugs, antibiotics,
osteoarthritis drugs,
anti-inflammatory drugs,
nootropics, epilepsy drugs,
smoking cessation aid drugs,
anti-cancer drugs,
cardiovascular drugs,
hypnotics, painkillers,
injections and others. It also
provides over-the-counter
(OTC) drugs and medicine raw
materials. The Company
distributes its products
within domestic market and to
overseas markets. The company
was founded in 2010.
Innovent Biologics Inc,
located in China, develops
and produces monoclonal
antibodies and other
biopharmaceuticals. It has
been focusing on innovation
towards indications in
cancer, ophthalmology,
autoimmune disorders, and
cardiovascular diseases. The
Company was founded in
August 2011.</t>
  </si>
  <si>
    <t xml:space="preserve">HANMI PHARM CO LTD/INNOVENT BIOLOGICS INC-STRATEGIC ALLIANCE</t>
  </si>
  <si>
    <t xml:space="preserve">Hanmi Pharm Co Ltd and Innovent Biologics Inc formed a strategic alliance
to co-develop and co-commercialize a novel immuno-oncology bispecific
antibody on a global basis.</t>
  </si>
  <si>
    <t xml:space="preserve">41206W
5A7703</t>
  </si>
  <si>
    <t xml:space="preserve">Aldevron
Stanford University</t>
  </si>
  <si>
    <t xml:space="preserve">Aldevron Llc is a manufacturer
of biological products. The
Company is located in Fargo,
North Dakota.
founded in 1998.
Stanford University, located
in Stanford, California, is
an owner and operator of a
university, founded in 1891.</t>
  </si>
  <si>
    <t xml:space="preserve">ND
CA</t>
  </si>
  <si>
    <t xml:space="preserve">ALDEVRON LLC/STANFORD UNIVERSITY-STRATEGIC ALLIANCE</t>
  </si>
  <si>
    <t xml:space="preserve">Aldevron LLC and Stanford University formed a strategic alliance for a
licensing agreement to manufacture minicircle DNA.</t>
  </si>
  <si>
    <t xml:space="preserve">Licensing Services
Manufacturing Services
Research &amp; Development Services</t>
  </si>
  <si>
    <t xml:space="preserve">01409K
854403</t>
  </si>
  <si>
    <t xml:space="preserve">Shanghai Kangda New Materials
Undisclosed JV Partner</t>
  </si>
  <si>
    <t xml:space="preserve">Mnfr adhesive,sealant prod
Investment company</t>
  </si>
  <si>
    <t xml:space="preserve">Shanghai Kangda New
Materials Co Ltd located in
Shanghai, China is a
manufacturer of adhesives.
The Company was founded in
July 1988.
Investment company</t>
  </si>
  <si>
    <t xml:space="preserve">2891
6799</t>
  </si>
  <si>
    <t xml:space="preserve">SHANGHAI KANGDA NEW MATERIALS/UNDISCLOSED PARTNER-JOINT VENTURE</t>
  </si>
  <si>
    <t xml:space="preserve">Shanghai Kangda New Materials Co Ltd and Undisclosed Joint Venture Partner
planned to form a joint venture to engage in new material industry.</t>
  </si>
  <si>
    <t xml:space="preserve">81336W
904JVP</t>
  </si>
  <si>
    <t xml:space="preserve">Koninklijke Philips NV
B Braun Melsungen AG</t>
  </si>
  <si>
    <t xml:space="preserve">Audio and Video Equipment Manufacturing
Surgical Appliance and Supplies Manufacturing</t>
  </si>
  <si>
    <t xml:space="preserve">Koninklijke Philips NV,
located in Amsterdam, the
Netherlands, manufactures and
wholesales consumer electronic
products including diagnostic
imaging, image-guided therapy,
patient monitoring, and health
informatics. It also offers
entertainment products and
house appliances; lighting
products, and automotive
accessories. Likewise, it is
engaged in the production of
telecommunication equipment
and other electronic products.
It serves as holding and
parent company of the Philips
Group. The Company was founded
in May 1891.
B Braun Melsungen AG,
located in Melsungen,
Germany, manufactures and
wholesales pharmaceuticals
and medical equipments
including infusion- and
injection solutions,
standard and electrolyte
solutions, plasma volume
replacement solutions,
injectables, drug admixture
devices, IV administration
sets, infusion and
transfusion accessories,
automated infusion systems,
Fm pumps and systems,
infusion stands and
accessories, venipuncture
and injection and hypodermic
needles. The Company also
provides healthcare services
such as wound management,
stoma and incontinence care,
vascular therapy and hygiene
management services,
anesthesia, intensive
medicine, cardiology, extra
corporeal blood treatment
and surgery. It was founded
in 1839.</t>
  </si>
  <si>
    <t xml:space="preserve">Koninklijke Philips NV
B Braun Holding Gmbh &amp; Co Kg</t>
  </si>
  <si>
    <t xml:space="preserve">KONINKLIJKE PHILIPS NV/B BRAUN MELSUNGEN AG-STRATEGIC ALLIANCE</t>
  </si>
  <si>
    <t xml:space="preserve">Koninklijke Philips NV and B Braun Melsungen AG formed a strategic alliance
deliver innovative ultrasound-guided regional anaesthesia. Ultrasound is an
increasingly attractive alternative option for patients who need general
anaesthesia or vascular access.</t>
  </si>
  <si>
    <t xml:space="preserve">N7637U
10565M</t>
  </si>
  <si>
    <t xml:space="preserve">Collagen Solutions(UK)Ltd
Smart Matrix Ltd</t>
  </si>
  <si>
    <t xml:space="preserve">In-Vitro Diagnostic Substance Manufacturing
Biological Product (Except Diagnostic) Manufacturing</t>
  </si>
  <si>
    <t xml:space="preserve">Collagen Solutions(UK)Ltd is a
manufacturer of in-vitro
diagnostic substances. The
Company is located in Glasgow,
the United Kingdom.
Smart Matrix Ltd is a
manufacturer of biological
products. The Company was
founded in April 2011 and is
located in Northwood, the
United Kingdom.</t>
  </si>
  <si>
    <t xml:space="preserve">Collagen Solutions PLC
Smart Matrix Ltd</t>
  </si>
  <si>
    <t xml:space="preserve">COLLAGEN SOLUTIONS(UK)LTD/SMART MATRIX LTD-STRATEGIC ALLIANCE</t>
  </si>
  <si>
    <t xml:space="preserve">Collagen Solutions(UK)Ltd and Smart Matrix Ltd planned to form a strategic
alliance to develop and manufacture medical grade collagen components in
the UK.</t>
  </si>
  <si>
    <t xml:space="preserve">4F1740
4F1776</t>
  </si>
  <si>
    <t xml:space="preserve">MDxHealth SA
Ghent University</t>
  </si>
  <si>
    <t xml:space="preserve">Pvd molecular diagnostic svcs
Colleges, Universities, and Professional Schools</t>
  </si>
  <si>
    <t xml:space="preserve">MDxHealth SA, located in
Herstal, Belgium, provides
molecular diagnostic
services. It develops and
commercializes advanced
epigenetic tests for
prostate cancer assessment
and the personalized
treatment of patients. The
Company also has operations
in the Netherlands and
Durham, the United States.
It was founded in 2003.
Ghent University is a college
operator. It is located in
Ghent, Belgium.</t>
  </si>
  <si>
    <t xml:space="preserve">MDXHEALTH SA/GHENT UNIVERSITY-STRATEGIC ALLIANCE</t>
  </si>
  <si>
    <t xml:space="preserve">MDxHealth SA and Ghent University formed a strategic alliance to Develop
Cancer Biomarker Visualization Technology in Belgium.</t>
  </si>
  <si>
    <t xml:space="preserve">55727V
4F2078</t>
  </si>
  <si>
    <t xml:space="preserve">Natcore Technology Inc
Coveme SpA</t>
  </si>
  <si>
    <t xml:space="preserve">Mnfr semiconductors
Unsupported Plastics Film and Sheet (Except Packaging) Manufacturing</t>
  </si>
  <si>
    <t xml:space="preserve">Natcore Technology Inc, based
in Red Bank, New Jersey,
manufactures semiconductor and
fiberoptics including silicon
solar focusing on producing
alternative solar energy. The
company was incorporated in
British Columbia on August 9,
2007.
Coveme SpA is a manufacturer
of plastics films and sheets.
The Company provides its
products for photovoltaic,
circuitry, electrical,
biomedical packaging and
industrial application
industries. The Company was
founded in 1965 and is located
in San Lazzaro Di Savena,
Italy.</t>
  </si>
  <si>
    <t xml:space="preserve">3674
3081</t>
  </si>
  <si>
    <t xml:space="preserve">NATCORE TECHNOLOGY INC/COVEME SPA-STRATEGIC ALLIANCE</t>
  </si>
  <si>
    <t xml:space="preserve">Natcore Technology Inc and Coveme SPA planned to form a strategic alliance
assess and develop high throughput methods to produce laser-processed
all-back-contacts on silicon solar cells.</t>
  </si>
  <si>
    <t xml:space="preserve">63228P
4F2174</t>
  </si>
  <si>
    <t xml:space="preserve">BioRap Technologies Ltd
Emosis Ltd
Rambam MedTech Ltd</t>
  </si>
  <si>
    <t xml:space="preserve">Pvd research,dvlp svcs
Medical Laboratories
Research and Development in The Social Sciences and Humanities</t>
  </si>
  <si>
    <t xml:space="preserve">BioRap Technologies Ltd is a
provider of social sciences
research and development
services. The Company was
founded in 2001 and is located
in Haifa, Israel.
Emosis Ltd is a medical
laboratory operator. The
Company is located in Tel
Aviv, Israel.
Rambam MedTech Ltd is a
provider of social sciences
research and development
services. The Company is
located in Haifa, Israel.</t>
  </si>
  <si>
    <t xml:space="preserve">8733
8071
8733</t>
  </si>
  <si>
    <t xml:space="preserve">Israel
Israel
Israel</t>
  </si>
  <si>
    <t xml:space="preserve">BioRap Technologies Ltd
Emosis SAS
Rambam MedTech Ltd</t>
  </si>
  <si>
    <t xml:space="preserve">Israel
France
Israel</t>
  </si>
  <si>
    <t xml:space="preserve">8733
3841
8733</t>
  </si>
  <si>
    <t xml:space="preserve">BIORAP TECHNOLOGIES LTD/EMOSIS LTD/RAMBAM MEDTECH LTD-STRATEGIC ALLIANCE</t>
  </si>
  <si>
    <t xml:space="preserve">BioRap Technologies Ltd, Emosis Ltd and Rambam MedTech Ltd formed a
strategic alliance to Collaborate on the Development of Novel Hyper
coagulation Diagnostics Kit in Israel.</t>
  </si>
  <si>
    <t xml:space="preserve">09156L
4F2142
4F2330</t>
  </si>
  <si>
    <t xml:space="preserve">Eastgate Biotech Corp
AC Nova Technologies Inc</t>
  </si>
  <si>
    <t xml:space="preserve">Eastgate Biotech Corp, located
in Salt Lake City, Utah,
manufactures pharmaceutical
products. It is primarily
engaged in developing,
formulating and
commercializing innovative
pharmaceutical, nutraceutical,
food supplements and consumer
health products. The Company
was founded in 19999.
AC Nova Technologies Inc is a
manufacturer of pharmaceutical
preparation. The Company is
located in Canada.</t>
  </si>
  <si>
    <t xml:space="preserve">EASTGATE BIOTECH CORP/AC NOVA TECHNOLOGIES INC-JOINT VENTURE</t>
  </si>
  <si>
    <t xml:space="preserve">Eastgate Biotech Corp and AC Nova Technologies Inc planned to form a joint
venture to commercialize evidence-based natural therapies focused on
glucose balance and cardiovascular health in Canada.</t>
  </si>
  <si>
    <t xml:space="preserve">277253
4F2499</t>
  </si>
  <si>
    <t xml:space="preserve">Takeda Pharmaceutical Co Ltd
Finch Therapeutics Inc</t>
  </si>
  <si>
    <t xml:space="preserve">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
Finch Therapeutics Inc is a
manufacturer of biological
products. The Company is
located in Massachusetts.</t>
  </si>
  <si>
    <t xml:space="preserve">TAKEDA PHARMACEUTICAL CO LTD/FINCH THERAPEUTICS INC-STRATEGIC ALLIANCE</t>
  </si>
  <si>
    <t xml:space="preserve">Takeda Pharmaceutical Co Ltd and Finch Therapeutics Inc formed a strategic
alliance to develop FIN-524, a synthetic microbiome therapy for
Inflammatory Bowel Disease (IBD) and extended partnership to develop
microbiome-based therapeutics using Finchs Human-First Discovery platform.</t>
  </si>
  <si>
    <t xml:space="preserve">874058
4F4378</t>
  </si>
  <si>
    <t xml:space="preserve">Renew Spinal Care, Inc
Sonospine LLC</t>
  </si>
  <si>
    <t xml:space="preserve">General Medical and Surgical Hospitals
General Medical and Surgical Hospitals</t>
  </si>
  <si>
    <t xml:space="preserve">Renew Spinal Care Inc is is
the premier physicians network
specializing in curing
patients back and neck pain
through Minimally Invasive
Spinal Surgery (MISS). The
Company is located in Tampa,
Florida.
Sonospine LLC is a private
neurosurgical medical practice
offering revolutionary
ultrasonic spine surgery. The
Company was founded in June
2014 and is located in
Lynchburg, Virginia.</t>
  </si>
  <si>
    <t xml:space="preserve">8062
8062</t>
  </si>
  <si>
    <t xml:space="preserve">FL
VA</t>
  </si>
  <si>
    <t xml:space="preserve">RENEW SPINAL CARE, INC/SONOSPINE LLC-STRATEGIC ALLIANCE</t>
  </si>
  <si>
    <t xml:space="preserve">Renew Spinal Care, Inc. and Sonospine LLC formed a strategic alliance to
treat up to 95% of all back and neck pain issues, and stand by the goal of
this alliance to market and perform certain complementary Minimally
Invasive Spinal Procedures and business consulting services.</t>
  </si>
  <si>
    <t xml:space="preserve">Marketing Services
Health &amp; Medical Services
Hospital &amp; Clinical Services
Research &amp; Development Services</t>
  </si>
  <si>
    <t xml:space="preserve">5F0430
5F0432</t>
  </si>
  <si>
    <t xml:space="preserve">Univ of Texas Health Science
Immune-Onc Therapeutics Inc
University of Texas SW Med Ctr</t>
  </si>
  <si>
    <t xml:space="preserve">Colleges, Universities, and Professional Schools
Research and Development in Biotechnology
Pvd medical teaching svcs</t>
  </si>
  <si>
    <t xml:space="preserve">University of Texas Health
Science Center at Houston,
located in Houston, Texas, is
a college operator.
Immune-Onc Therapeutics Inc is
a provider of biotechnology
research and development
services. The Company was
founded in March 2016 and is
located in Palo Alto,
California.
Provide medical teaching and
noncommercial research
services</t>
  </si>
  <si>
    <t xml:space="preserve">8221
8731
8221</t>
  </si>
  <si>
    <t xml:space="preserve">University of Texas System
Immune-Onc Therapeutics Inc
University of Texas System</t>
  </si>
  <si>
    <t xml:space="preserve">UNIVERSITY OF TEXAS HEALTH SCIENCE CENTER AT HOUSTON/IMMUNE-ONC
THERAPEUTICS INC/UNIVERSITY OF TEXAS-STRATEGIC ALLIANCE</t>
  </si>
  <si>
    <t xml:space="preserve">University of Texas Health Science Center at Houston, Immune-Onc
Therapeutics Inc and University of Texas Southwestern Medical Center formed
a strategic alliance was to develop novel cancer immunotherapy.</t>
  </si>
  <si>
    <t xml:space="preserve">5F0965
5F0973
91510Y</t>
  </si>
  <si>
    <t xml:space="preserve">Evestra Inc
Gedeon Richter Plc</t>
  </si>
  <si>
    <t xml:space="preserve">Research and Development in The Social Sciences and Humanities
Mnfr,whl pharmaceutical prod</t>
  </si>
  <si>
    <t xml:space="preserve">Evestra Inc, located in San
Antonio, Texas, is a
biopharmaceutical research and
development company with a
therapeutic focus in womens
healthcare.
Gedeon Richter Plc, located
in Budapest, Hungary,
manufactures and
pharmaceutical products. It
is engaged in the research,
development, production and
marketing of pharmaceutical
products and also in the
wholesale and retail of
these products. The
Company''s activities
concentrate on female
healthcare with such
gynecological products as
contraceptive pills or
hormone replacement therapy,
among others. It also
develops products for the
cardiovascular,
gastrointestinal and central
nervous system areas. The
Company maintains a direct
presence in 30 countries,
with a total of four
manufacturing sites, 30
representative offices and
14 commercial subsidiaries
and wholesalers. Its
activities are supported by
a number of subsidiaries,
joint ventures and
associated companies,
including ZAO Gedeon Richter
RUS, Gedeon Richter USA Inc,
Gedeon Richter UK Ltd,
Medimpex Jamaica Ltd,
Farnham Laboratories Ltd and
Pesti Sas Patika Bt. The
Company was founded in 1901.</t>
  </si>
  <si>
    <t xml:space="preserve">EVESTRA INC/GEDEON RICHTER PLC-STRATEGIC ALLIANCE</t>
  </si>
  <si>
    <t xml:space="preserve">Evestra Inc and Gedeon Richter Plc formed a strategic alliance to perform
certain research and development activities on a female urological
product.</t>
  </si>
  <si>
    <t xml:space="preserve">3F2836
76549A</t>
  </si>
  <si>
    <t xml:space="preserve">inVentiv Health Inc
Median Technologies SA</t>
  </si>
  <si>
    <t xml:space="preserve">Administrative Management and General Management Consulting Services
Develop software</t>
  </si>
  <si>
    <t xml:space="preserve">inVentiv Health Inc, located
in Burlington, Massachusetts,
provides outsourced sales and
marketing services. The
Company offers market
research, data collection and
management, recruitment, and
training, clinical staffing,
clinical research and
statistical analysis, and
executive placement for the
global pharmaceutical, life
sciences and biotechnology
industries. It was founded in
1997.
Median Technologies SA,
located in Valbonne, France,
develops software. It
specializes in publishing
software that aids in
interpreting 2D and 3D medical
images for detecting,
diagnosing, and monitoring
cancer. Its products are
intended for radiologists,
oncologists, and professionals
involved in clinical studies
using medical imaging. It was
founded in 2002.</t>
  </si>
  <si>
    <t xml:space="preserve">8742
7372</t>
  </si>
  <si>
    <t xml:space="preserve">Advent International Corp
Median Technologies SA</t>
  </si>
  <si>
    <t xml:space="preserve">INVENTIV HEALTH INC/MEDIAN TECHNOLOGIES SA-STRATEGIC ALLIANCE</t>
  </si>
  <si>
    <t xml:space="preserve">inVentiv Health Inc and Median Technologies SA formed a strategic alliance
to Provide Best-in-Class Medical Image Analysis and Management Services for
Clinical Trials.</t>
  </si>
  <si>
    <t xml:space="preserve">Software Development Services
Health &amp; Medical Services
Research &amp; Development Services</t>
  </si>
  <si>
    <t xml:space="preserve">46122E
58336Y</t>
  </si>
  <si>
    <t xml:space="preserve">Dr Paul Porter
Medibio Ltd</t>
  </si>
  <si>
    <t xml:space="preserve">Individual
Biological Product (Except Diagnostic) Manufacturing</t>
  </si>
  <si>
    <t xml:space="preserve">Dr Paul Porter is an
Australian-based health
professional. Paul is trained
as a Paediatric
Endocrinologist, Paediatrician
and has a practice located in
Joondalup. located in
Australia.
Medibio Ltd, located in
Melbourne, Australia, offers
mental health solutions and
develops product for
consumer and healthcare
provider markets. The
Company uses circadian
biometrics towards
screening, diagnosis,
monitoring and managing
mental health conditions.
The Company was founded in
1998.</t>
  </si>
  <si>
    <t xml:space="preserve">DR PAUL PORTER/MEDIBIO LTD-JOINT VENTURE</t>
  </si>
  <si>
    <t xml:space="preserve">Dr Paul Porter and Medibio Ltd planned to form a 50:50 joint venture to
develop clinical diagnostic products for 0 to 18 (paediatric) age group in
Australia.</t>
  </si>
  <si>
    <t xml:space="preserve">5F0950
7C0380</t>
  </si>
  <si>
    <t xml:space="preserve">Univ Of Tech Sydney
Nokia Oyj</t>
  </si>
  <si>
    <t xml:space="preserve">Own,op college,university
Mnfr network infrastructure products</t>
  </si>
  <si>
    <t xml:space="preserve">University Of Technology
Sydney is a college
operator. It offers
undergraduate, postgraduate
and short course programs
for students. The Company is
located in Sydney,
Australia.
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t>
  </si>
  <si>
    <t xml:space="preserve">8221
3663</t>
  </si>
  <si>
    <t xml:space="preserve">Australia
Finland</t>
  </si>
  <si>
    <t xml:space="preserve">UNIVERSITY OF TECHNOLOGY/NOKIA OYJ-STRATEGIC ALLIANCE</t>
  </si>
  <si>
    <t xml:space="preserve">University of Technology and Nokia Oyj formed a strategic alliance to
collaborate on developing IoT-based business applications using high-speed,
ultra-low latency technologies such as 5G in Australia.</t>
  </si>
  <si>
    <t xml:space="preserve">91475R
654902</t>
  </si>
  <si>
    <t xml:space="preserve">Cellular Biomedicine Group Inc
GE Healthcare Life Sciences</t>
  </si>
  <si>
    <t xml:space="preserve">Cellular Biomedicine Group
Inc, located in Hong Kong, is
a biotechnology company that
offers cell therapies for the
treatment of cancer and
degenerative diseases. It
conducts serial preclinical
and clinical research projects
and clinical trials in the
Greater China market.
GE Healthcare Life Sciences
China is a manufacturer of
biological products. The
Company is located in China.</t>
  </si>
  <si>
    <t xml:space="preserve">CELLULAR BIOMEDICINE GROUP INC/GE HEALTHCARE LIFE SCIENCES CHINA-STRATEGIC
ALLIANCE</t>
  </si>
  <si>
    <t xml:space="preserve">Cellular Biomedicine Group Inc and GE Healthcare Life Sciences China
planned to form a strategic alliance standardize the delivery of cell
manufacturing to potentially improve throughput, alleviate cost burdens and
to minimize variability in cell production.</t>
  </si>
  <si>
    <t xml:space="preserve">0A3285
6F6023</t>
  </si>
  <si>
    <t xml:space="preserve">Three Lakes Partners LLC
Numedii Inc</t>
  </si>
  <si>
    <t xml:space="preserve">Provide medical,health svcs
Provide research,dvlp svcs</t>
  </si>
  <si>
    <t xml:space="preserve">Three Lakes Partners LLC is a
provider of ambulatory health
care services. The Company was
founded in March 2012 and is
located in Northbrook,
Illinois.
Numedii Inc is United
States-based company that
discovers and de-risks new
drugs by translating its
predictive Big Data technology
into therapies. The Companys
Big Data technology consists
of data points of disease,
pharmacological and clinical
data. It integrates these data
with network-based algorithms
to discover drug-disease
connections and biomarkers.
Its technology uses broad
human clinical and molecular
network data to drive
discovery, and selects and
de-risks commercially viable
drug candidates.</t>
  </si>
  <si>
    <t xml:space="preserve">THREE LAKES PARTNERS LLC/NUMEDII INC-STRATEGIC ALLIANCE</t>
  </si>
  <si>
    <t xml:space="preserve">Three Lakes Partners LLC and Numedii Inc formed a strategic alliance to
discover and advance new treatments for idiopathic pulmonary fibrosis based
on NuMediis Big Data intelligence technology.</t>
  </si>
  <si>
    <t xml:space="preserve">4F4663
4F4657</t>
  </si>
  <si>
    <t xml:space="preserve">Sotio As
Lead Discovery Center GmbH</t>
  </si>
  <si>
    <t xml:space="preserve">Sotio As is a provider of
biotechnology research and
development services. The
Company is located in Prague,
the Czech Republic.
Lead Discovery Center GmbH is
a provider of biotechnology
research and development
services. The Company is
located in Dortmund, Germany.</t>
  </si>
  <si>
    <t xml:space="preserve">Czech Republic
Germany</t>
  </si>
  <si>
    <t xml:space="preserve">PPF Group NV
Lead Discovery Center GmbH</t>
  </si>
  <si>
    <t xml:space="preserve">SOTIO AS/LEAD DISCOVERY CENTER GMBH-STRATEGIC ALLIANCE</t>
  </si>
  <si>
    <t xml:space="preserve">Sotio As and Lead Discovery Center GmbH formed a strategic alliance to
develop First-in-class Cancer Metabolism Program.</t>
  </si>
  <si>
    <t xml:space="preserve">4F4966
4F4972</t>
  </si>
  <si>
    <t xml:space="preserve">Guangzhou Meiji Clinical
Wang Fengtan</t>
  </si>
  <si>
    <t xml:space="preserve">Provide research,dvlp svcs
Miscellaneous Financial Investment Activities</t>
  </si>
  <si>
    <t xml:space="preserve">Guangzhou Meiji Clinical
Research Co Ltd is a provider
of research and development
services. The Company is
located in Guangzhou, China.
Wang Fengtan, located in
China, is an individual
investor.</t>
  </si>
  <si>
    <t xml:space="preserve">Guangzhou Boji Med Biotech
Wang Fengtan</t>
  </si>
  <si>
    <t xml:space="preserve">GUANGZHOU MEIJI CLINICAL RESEARCH CO LTD/WANG FENGTAN-JOINT VENTURE</t>
  </si>
  <si>
    <t xml:space="preserve">Shandong Boji Medical
Technology Co Ltd is a
manufacturer of pharmaceutical
preparation. The Company was
founded in April 2017 and is
located in Heze, China.</t>
  </si>
  <si>
    <t xml:space="preserve">Guangzhou Meiji Clinical Research Co Ltd and Wang Fengtan formed a 51:49
joint venture named Shandong Boji Med Tech Co Ltd to engage in
pharmaceutical preparation as well as medical and clinical research and
development. The JV was to be capitalized at CNY 10 mil (USD 1.45 mil).</t>
  </si>
  <si>
    <t xml:space="preserve">The JV was to be capitalized at CNY 10 mil (USD 1.45 mil).</t>
  </si>
  <si>
    <t xml:space="preserve">6F4863</t>
  </si>
  <si>
    <t xml:space="preserve">6F4859
6F4861</t>
  </si>
  <si>
    <t xml:space="preserve">Loncin Motor Co Ltd
Zhuhai Longhua Helicopter</t>
  </si>
  <si>
    <t xml:space="preserve">Mnfr,whl motorcycles,engines
Aircraft Manufacturing</t>
  </si>
  <si>
    <t xml:space="preserve">Loncin Motor Co Ltd is a
manufacturer and wholesaler
of motorcycles, automobiles
and parts. The company was
founded in June 2007 and is
located in Chongqing, China.
Zhuhai Longhua Helicopter
Technology Co Ltd is a
manufacturer of unmanned
aerial vehicle. The Company
was founded in November 2014
and is located in Zhuhai,
China.</t>
  </si>
  <si>
    <t xml:space="preserve">3751
3721</t>
  </si>
  <si>
    <t xml:space="preserve">Loncin Grp Co Ltd
Loncin Grp Co Ltd</t>
  </si>
  <si>
    <t xml:space="preserve">LONCIN MOTOR CO LTD/ZHUHAI LONGHUA HELICOPTER TECHNOLOGY CO LTD-JOINT
VENTURE</t>
  </si>
  <si>
    <t xml:space="preserve">Loncin Motor Co Ltd and Zhuhai Longhua Helicopter Technology Co Ltd planned
to form a 90:10 joint venture named Chongqing Lingzhihang Technology Co Ltd
to engage in the technology development, sale and maintenance of unmanned
aerial vehicle (unmanned helicopter). The JV was to be capitalized at CNY
50 mil (USD 7.248 mil).</t>
  </si>
  <si>
    <t xml:space="preserve">Research &amp; Development Services
Retail &amp; Wholesale Services
Manufacturing Services</t>
  </si>
  <si>
    <t xml:space="preserve">The JV was to be capitalized at CNY 50 mil (USD 7.248 mil).</t>
  </si>
  <si>
    <t xml:space="preserve">54322M
6F4683</t>
  </si>
  <si>
    <t xml:space="preserve">Audax Medical Inc
Northeastern University</t>
  </si>
  <si>
    <t xml:space="preserve">General Medical and Surgical Hospitals
University</t>
  </si>
  <si>
    <t xml:space="preserve">Audax Medical Inc is a
hospital operator. The
Company was founded in April
2009 and is located in
Concord, Massachusetts.
Northeastern University,
located in Boston,
Massachusetts, owns and
operates colleges. It offers
undergraduate, graduate, and
research programs in the
fields of business,
humanities, science and
technology, law, and public
affairs. The University was
founded in 1898.</t>
  </si>
  <si>
    <t xml:space="preserve">AUDAX MEDICAL INC/NORTHEASTERN UNIVERSITY-STRATEGIC ALLIANCE</t>
  </si>
  <si>
    <t xml:space="preserve">Audax Medical Inc and Northeastern University formed a strategic alliance
to provide license to the agreement, Audax Medical adds to their existing
tissue regenerative platform with a new self-assembling arginine-rich
peptide that was developed in Thomas Webster's Nanomedicine Lab in the
Department of Chemical Engineering.</t>
  </si>
  <si>
    <t xml:space="preserve">6F6226
66459Q</t>
  </si>
  <si>
    <t xml:space="preserve">IACMI
RocTool SA</t>
  </si>
  <si>
    <t xml:space="preserve">Provide research,dvlp svcs
Pvd industrial engineering svc</t>
  </si>
  <si>
    <t xml:space="preserve">The Institute for Advanced
Composites Manufacturing
Innovation is a provider of
research and development
services. The Company is
located in Knoxville,
Tennessee.
Roctool SA, headquartered in
Le Bourget du Lac, France,
provides industrial
engineering services. The
Company specializes in the
design and development of
processes for transforming
and molding composite
materials. The Company
offers the use of its
patented technology through
development or production
licensing agreements. It has
locations in France and in
the US. The Companys
products and services
include The Cage System, a
patented molding technology,
which heats the tool surface
by induction. It also offers
licenses of its patents and
know-how to companies
wanting to use a RocTool
technology for their
production. The Company was
created in 2000.</t>
  </si>
  <si>
    <t xml:space="preserve">TN
FF</t>
  </si>
  <si>
    <t xml:space="preserve">THE INSTITUTE FOR ADVANCED COMPOSITES/ROCTOOL SA-STRATEGIC ALLIANCE</t>
  </si>
  <si>
    <t xml:space="preserve">The Institute for Advanced Composites Manufacturing Innovation and RocTool
SA formed a strategic alliance for light weighting research and
collaboration with automotive OEMs on existing parts and next generation
applications.</t>
  </si>
  <si>
    <t xml:space="preserve">4F8590
77498Q</t>
  </si>
  <si>
    <t xml:space="preserve">Lion Biotechnologies Inc
The Univ Of Texas Md Anderson</t>
  </si>
  <si>
    <t xml:space="preserve">Pharmaceutical Preparation Manufacturing
Own,op cancer research center</t>
  </si>
  <si>
    <t xml:space="preserve">Lion Biotechnologies Inc is a
manufacturer of pharmaceutical
preparation. The company was
founded in September 2007 and
is located in San Carlos,
California.
The University Of Texas Md
Anderson Cancer Center,
located in Houston, Texas,
is a specialty hospital
operator. It provides cancer
center services.</t>
  </si>
  <si>
    <t xml:space="preserve">LION BIOTECHNOLOGIES INC/MD ANDERSON CANCER CENTER-STRATEGIC ALLIANCE</t>
  </si>
  <si>
    <t xml:space="preserve">Lion Biotechnologies Inc and MD Anderson Cancer Center formed a strategic
alliance to conduct multi-arm clinical trials to evaluate
tumor-infiltrating lymphocyte, or TIL, technology in several different
cancers using two different TIL manufacturing processes. Both will
manufacture TIL for the trials and also will collaborate in related
preclinical research focusing on the expansion of TIL from additional types
of tumors in order to identify possible new indications for clinical
research.</t>
  </si>
  <si>
    <t xml:space="preserve">53619R
55266I</t>
  </si>
  <si>
    <t xml:space="preserve">Pfizer Inc
HitGen Inc</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</si>
  <si>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HitGen Inc is a manufacturer
of biological products. The
Company was founded in
February 2012 and is located
in Chengdu, China.</t>
  </si>
  <si>
    <t xml:space="preserve">PFIZER INC/HITGEN LTD-STRATEGIC ALLIANCE</t>
  </si>
  <si>
    <t xml:space="preserve">Pfizer Inc and Hitgen Ltd formed a strategic alliance was to build and
screen novel DNA-encoded libraries in order to potentially discover unique
small molecule leads to be used in drug development.</t>
  </si>
  <si>
    <t xml:space="preserve">717081
4F5139</t>
  </si>
  <si>
    <t xml:space="preserve">Bavarian Nordic A/S
Valneva SE</t>
  </si>
  <si>
    <t xml:space="preserve">Manufacture, wholesale vaccines
Biotechnology company</t>
  </si>
  <si>
    <t xml:space="preserve">Bavarian Nordic A/S, located
in Kvistgaard, Denmark,
manufactures and wholesales
vaccines to prevent and
treat infectious diseases
and cancer with operations
in Denmark, Germany, the
USA, and Singapore. Using
live virus vaccine platform
technology, MVA-BN, it has
created a diverse portfolio
of proprietary and partnered
product candidates intended
to unlock the power of the
immune system to improve
public health with a focus
on high unmet medical needs.
The Company was founded in
1994.
Valneva SE, located in Lyon,
France, is a biotechnology
company that provides
cell-based solutions to the
pharmaceutical industry for
the manufacture of vaccines
and proteins, and developes
drugs for the prevention and
treatment of viral diseases.
It specializes in the field
of embryonic stem cells and
their use for practical
applications in human and
animal health. It
commercialized its
proprietary EB66 platform, a
series of documented cells
lines derived from chicken
and duck embryonic stem
cells. The Company was
founded in 1999.</t>
  </si>
  <si>
    <t xml:space="preserve">BAVARIAN NORDIC A/S/VALNEVA SE-STRATEGIC ALLIANCE</t>
  </si>
  <si>
    <t xml:space="preserve">Bavarian Nordic A/S and Valneva SE formed a strategic alliance to produce
poxvirus-based vaccines using EB66 cell-line technology of Valneva.</t>
  </si>
  <si>
    <t xml:space="preserve">07178P
4A0891</t>
  </si>
  <si>
    <t xml:space="preserve">Calvin Klein Inc
Delta Galil USA Inc</t>
  </si>
  <si>
    <t xml:space="preserve">Mnfr men's,women's clothing
Manufacture,whl intimate apparel</t>
  </si>
  <si>
    <t xml:space="preserve">Calvin Klein Inc, located in
New York, New York,
manufactures and retails men's
and women's clothing, watches,
sunglasses, perfumes, shoes,
underwear, hosiery.
Delta Galil USA Inc is a
textile product mill operator,
manufactures and wholesales
intimate apparels including
private-label and licensed
underwear as well as socks,
baby clothes and leisure wear.
The Company was founded in
1985 and is located in
Secaucus, New Jersey.</t>
  </si>
  <si>
    <t xml:space="preserve">2321
2299</t>
  </si>
  <si>
    <t xml:space="preserve">PVH Corp
GMM Capital LLC</t>
  </si>
  <si>
    <t xml:space="preserve">2321
6799</t>
  </si>
  <si>
    <t xml:space="preserve">CALVIN KLEIN INC/DELTA GALIL USA INC-STRATEGIC ALLIANCE</t>
  </si>
  <si>
    <t xml:space="preserve">Calvin Klein Inc and Delta Galil USA Inc formed a strategic alliance to
develop, produce and distribute boys and girls underwear, sleepwear and
socks for the brand Globally.</t>
  </si>
  <si>
    <t xml:space="preserve">Licensing Services
Research &amp; Development Services
Manufacturing Services
Supply Services</t>
  </si>
  <si>
    <t xml:space="preserve">131660
4F5059</t>
  </si>
  <si>
    <t xml:space="preserve">Kyushu Electric Power Co Inc
Tokyo Gas Co Ltd</t>
  </si>
  <si>
    <t xml:space="preserve">Pvd elec utility svcs
Gas utility co</t>
  </si>
  <si>
    <t xml:space="preserve">Kyushu Electric Power Co
Inc, located in Fukuoka-shi
Fukuoka, Japan, is an
electric utility company
engaged in four business
segments. The Electric Power
segment offers electric
power that the company
generated and purchased from
other energy supplier. The
Energy-related segment is
engaged in the wholesale of
thermal electric power, the
research, design,
construction and supervision
of electric- and civil
engineering-related
construction work, as well
as the environment
protection for power plants.
This segment is also
involved in the sale of
electric machine tools,
natural uranium, gas and
liquefied natural gas (LNG),
and the new energy
generation and heat supply
businesses. The Information
Communications segment
offers data communication,
broadband, fixed phone and
information technology
(IT)-related services. Other
segment is involved in the
environmental, recycling,
real estate, housing-related
service and nursing care
businesses. The company was
founded in 1951.
Tokyo Gas Co Ltd, based in
Minato-Ku, Tokyo, is a gas
utility company. It has five
business segments. The City
Gas segment is engaged in
the production, supply and
sale of gas. This segment is
also engaged in the
provision of gas to city gas
providers, as well as the
supply and sale of gas in
Malaysian. The Instrument
and Gas Fitting segment is
engaged in the sale of gas
appliances, and the gas
fitting business, such as
gas piping works. The Other
Energy segment is engaged in
the sale of liquefied
petroleum gas (LPG), the
wholesale of electricity,
the provision of energy
services, as well as the
sale of industrial gas. The
Real Estate segment
specializes in the leasing
of real estate. The Others
segment is involved in the
investment to overseas gas
field development, the
transportation of liquid
natural gas and LPG, the
provision of information
processing services, the
construction of gas-related
equipment, the payment
credit business related to
gas equipment sales and
lease businesses, among
others. The Company was
founded in 1885.</t>
  </si>
  <si>
    <t xml:space="preserve">4911
1321</t>
  </si>
  <si>
    <t xml:space="preserve">KYUSHU ELECTRIC POWER CO INC/TOKYO GAS CO LTD-STRATEGIC ALLIANCE</t>
  </si>
  <si>
    <t xml:space="preserve">Kyushu Electric Power Co Inc and Tokyo Gas Co Ltd formed a strategic
alliance to study the optimization of cost effective procurement of LNG for
both companies for stable supply of energy.</t>
  </si>
  <si>
    <t xml:space="preserve">501588
88910U</t>
  </si>
  <si>
    <t xml:space="preserve">Sonavation Inc
Analog Devices Inc</t>
  </si>
  <si>
    <t xml:space="preserve">Other Electronic Equipment &amp; Parts
Manufacture semiconductors</t>
  </si>
  <si>
    <t xml:space="preserve">Sonavation Inc,
headquartered in Palm Beach
Gardens, Florida, is a
designer and manufacturer of
biometric fingerprint
sensors. The Company
provides secure
authentication and
protection for digital and
physical environments for
consumers and businesses. It
also offers embedded and
stand-alone device
solutions.
Analog Devices Inc, located
in Norwood, Massachusetts,
manufactures semiconductors
specializing in analog,
mixed-signal, and digital
signal processing integrated
circuits. Its products
include amplifiers &amp; linear,
audio/video, broadband,
clock &amp; timing, fiber optic,
power management,
processors, interface, data
converters, sensors,
multiplexers and switches.
It serves the aerospace &amp;
defense, automotive,
building technology,
communication, consumer,
energy, healthcare,
instrumentation, security &amp;
surveillance industries. The
Company was founded in 1965.</t>
  </si>
  <si>
    <t xml:space="preserve">FL
MA</t>
  </si>
  <si>
    <t xml:space="preserve">SONAVATION INC/ANALOG DEVICES INC-STRATEGIC ALLIANCE</t>
  </si>
  <si>
    <t xml:space="preserve">Sonavation Inc and Analog Devices Inc formed a strategic alliance, for the
licensing and development of sonavations ultrasound biometric sensor
technology.</t>
  </si>
  <si>
    <t xml:space="preserve">5C0787
032654</t>
  </si>
  <si>
    <t xml:space="preserve">Sandvik Coromant Sverige AB
Palo Alto Research Center Inc</t>
  </si>
  <si>
    <t xml:space="preserve">Mnfr metalworking tools
Pvd research,dvlp svcs</t>
  </si>
  <si>
    <t xml:space="preserve">Sandvik Coromant Sverige AB,
located in Kista, Sweden,
manufactures metal cutting
machine tools. The Company
was founded in 1942.
Palo Alto Research Center Inc,
located in Palo Alto,
California, provides research
and development services of
physical, computational and
social sciences. It provides
custom research and
development services,
technology, expertise, best
practices and intellectual
property to Fortune 500 and
Global 1000 companies,
startups and government
agencies and partners. The
Company was founded in 1970.</t>
  </si>
  <si>
    <t xml:space="preserve">3541
8731</t>
  </si>
  <si>
    <t xml:space="preserve">Sandvik AB
Xerox Corp</t>
  </si>
  <si>
    <t xml:space="preserve">3545
3579</t>
  </si>
  <si>
    <t xml:space="preserve">SANDVIK COROMANT SVERIGE AB/PALO ALTO RESEARCH CENTER INC-STRATEGIC
ALLIANCE</t>
  </si>
  <si>
    <t xml:space="preserve">Sandvik Coromant Sverige AB and Palo Alto Research Center Inc formed a
strategic alliance for Palo Alto Research Center to provide Sandvik
Coromant with a footprint in Silicon Valley and expert resources for
research &amp; development in the field of digital manufacturing.</t>
  </si>
  <si>
    <t xml:space="preserve">80021E
69743P</t>
  </si>
  <si>
    <t xml:space="preserve">UniQuest Pty Ltd
Preveceutical Medical Inc</t>
  </si>
  <si>
    <t xml:space="preserve">Pvd comml research,dvlp svcs
Pharmaceutical Preparation Manufacturing</t>
  </si>
  <si>
    <t xml:space="preserve">UniQuest Pty Ltd is a
commercial research and
development services provider,
headquartered in Australia. It
is also engaged in the
provision of consulting
services.
Preveceutical Medical Inc,
located in Vancouver,
Canada, manufactures
pharmaceutical preparations.</t>
  </si>
  <si>
    <t xml:space="preserve">University of Queensland
Preveceutical Medical Inc</t>
  </si>
  <si>
    <t xml:space="preserve">UNIQUEST PTY LTD/PREVECEUTICAL MEDICAL INC-STRATEGIC ALLIANCE</t>
  </si>
  <si>
    <t xml:space="preserve">UniQuest Pty Ltd and Preveceutical Medical Inc formed a strategic alliance
develop stabilised natural and synthetic peptides from scorpion venom for
immune-boosting applications.</t>
  </si>
  <si>
    <t xml:space="preserve">90917Z
9E4396</t>
  </si>
  <si>
    <t xml:space="preserve">Schlumberger Ltd
Prodn Plus Energy Svcs Inc</t>
  </si>
  <si>
    <t xml:space="preserve">Software Publishers
Crude Petroleum and Natural Gas Extraction</t>
  </si>
  <si>
    <t xml:space="preserve">Schlumberger Ltd, located in
Houston, Texas, provides
software development and
information management
services to the oil and gas
exploration and production
industry. The Company offers
technology products and
services for seismic
acquisition and processing,
formation evaluation, well
testing, directional drilling
to well cementing and
stimulation, artificial lift
and well completions and
consulting. The Company
operates in more than 85
countries and employing
approximately 100,000 people
who represent over 140
nationalities. The Company was
founded in 1956.
Production Plus Energy
Services Inc, located in
Calgary, Canada, is an oil and
gas production optimization
innovator that engineers and
delivers reliable artificial
lift enhancing solutions to
oil and gas operators.</t>
  </si>
  <si>
    <t xml:space="preserve">7372
1311</t>
  </si>
  <si>
    <t xml:space="preserve">SCHLUMBERGER LTD/PRODUCTION PLUS ENERGY SERVICES INC-JOINT VENTURE</t>
  </si>
  <si>
    <t xml:space="preserve">Schlumberger Ltd and Production Plus Energy Services Inc planned to form a
50.1:49.9 joint venture, to access to Schlumbergers global network of
technical experts, efficient operational processes and research and
development resources in Canada.</t>
  </si>
  <si>
    <t xml:space="preserve">806857
4F6653</t>
  </si>
  <si>
    <t xml:space="preserve">Total E&amp;P UK Ltd
Heriot-Watt University</t>
  </si>
  <si>
    <t xml:space="preserve">Oil,gas,exploration and production company
Own and operate university</t>
  </si>
  <si>
    <t xml:space="preserve">Total E&amp;P UK Ltd is an oil and
gas exploration and production
company. The Company is
located in Aberdeen, the
United Kingdom.
Heriot-Watt University is a
college operator. The Company
is located in Scotland, the
United Kingdom.</t>
  </si>
  <si>
    <t xml:space="preserve">1311
8221</t>
  </si>
  <si>
    <t xml:space="preserve">Total SA
Heriot-Watt University</t>
  </si>
  <si>
    <t xml:space="preserve">TOTAL E&amp;P UK LTD/HERIOT-WATT UNIVERSITY-STRATEGIC ALLIANCE</t>
  </si>
  <si>
    <t xml:space="preserve">Total EP UK Ltd and Heriot-Watt University formed a strategic alliance was
to boost research and education.</t>
  </si>
  <si>
    <t xml:space="preserve">86538X
42722L</t>
  </si>
  <si>
    <t xml:space="preserve">Indian School of Business
Moscow School Of Mgmt</t>
  </si>
  <si>
    <t xml:space="preserve">Own,op school
Colleges, Universities, and Professional Schools</t>
  </si>
  <si>
    <t xml:space="preserve">Indian School of Business is
a school operator. The
Company is located in
Hyderabad, India.
Moscow School Of Management
Skolkovo is a college
operator. The Company is
located in Moscow, the
Russian Federation.</t>
  </si>
  <si>
    <t xml:space="preserve">8211
8221</t>
  </si>
  <si>
    <t xml:space="preserve">India
Russian Fed</t>
  </si>
  <si>
    <t xml:space="preserve">INDIAN SCHOOL OF BUSINESS/MOSCOW SCHOOL OF MANAGEMENT SKOLKOVO-STRATEGIC
ALLIANCE</t>
  </si>
  <si>
    <t xml:space="preserve">Indian School of Business formed a strategic alliance to collaborate
towards strengthening executive education and research in emerging
markets.</t>
  </si>
  <si>
    <t xml:space="preserve">45448L
6J6173</t>
  </si>
  <si>
    <t xml:space="preserve">High Performance Beverage Co
Cocorilla Ltd</t>
  </si>
  <si>
    <t xml:space="preserve">Provide medical,health svcs
Peanut Farming</t>
  </si>
  <si>
    <t xml:space="preserve">High Performance Beverage Co
is a provider of ambulatory
health care services. The
company is located in Cave
Creek, Arizona.
Cocorilla Ltd, located at
Lafayette, Colorado, is an
organic Thai coconut company
whose lead products are
differentiated as they are
delivered in its shell as a
whole coconut.</t>
  </si>
  <si>
    <t xml:space="preserve">8099
0139</t>
  </si>
  <si>
    <t xml:space="preserve">AZ
CO</t>
  </si>
  <si>
    <t xml:space="preserve">HIGH PERFORMANCE BEVERAGE CO/COCORILLA LTD-STRATEGIC ALLIANCE</t>
  </si>
  <si>
    <t xml:space="preserve">High Performance Beverage Co and Cocorilla Ltd formed a strategic alliance
to develop a newly named product under the High Performance Beverage brand
in order to branch out into the all natural coconut water and coconut water
infused beverage space.</t>
  </si>
  <si>
    <t xml:space="preserve">7E6083
5F1127</t>
  </si>
  <si>
    <t xml:space="preserve">Embraer SA
Uber Technologies Inc</t>
  </si>
  <si>
    <t xml:space="preserve">Manufacture aircraft
Software Publishers</t>
  </si>
  <si>
    <t xml:space="preserve">Embraer SA manufactures
aircrafts for commercial,
defense, and executive
aviation. The Company was
founded in 1969 and is
located in Sao Jose Dos
Campos, Brazil.
Uber Technologies Inc,
located in San Francisco,
California, provides
transportation services. The
Company was founded in 2009.
It offers a website and
develops application that
allows users to request a
car for hire from any mobile
device text device text
message. message.</t>
  </si>
  <si>
    <t xml:space="preserve">3721
7372</t>
  </si>
  <si>
    <t xml:space="preserve">EMBRAER SA/UBER TECHNOLOGIES INC-STRATEGIC ALLIANCE</t>
  </si>
  <si>
    <t xml:space="preserve">Uber Technologies Inc and Embraer SA formed a strategic alliance to explore
several new business concepts that may impact air transportation in the
future.</t>
  </si>
  <si>
    <t xml:space="preserve">Research &amp; Development Services
Transportation (Air) Services</t>
  </si>
  <si>
    <t xml:space="preserve">29081M
90353T</t>
  </si>
  <si>
    <t xml:space="preserve">Crescita Therapeutics Inc
Taro Pharmaceuticals USA Inc</t>
  </si>
  <si>
    <t xml:space="preserve">Pharmacies and Drug Stores
Mnfr,whl pharmaceuticals</t>
  </si>
  <si>
    <t xml:space="preserve">Crescita Therapeutics Inc,
located in Mississauga,
Ontario, is a drug
development company. It is a
dermatology company that
owns a portfolio of
non-prescription skincare
products for the treatment
and care of skin conditions
and diseases and their
symptoms and prescription
drug products for the
treatment of pain. The
Company was founded in 2016.
Manufacture and wholesale
pharmaceuticals</t>
  </si>
  <si>
    <t xml:space="preserve">Crescita Therapeutics Inc
Taro Pharmaceutical Industries</t>
  </si>
  <si>
    <t xml:space="preserve">Canada
Israel</t>
  </si>
  <si>
    <t xml:space="preserve">CRESCITA THERAPEUTICS INC/TARO PHARMACEUTICALS USA INC-STRATEGIC ALLIANCE</t>
  </si>
  <si>
    <t xml:space="preserve">Crescita Therapeutics Inc and Taro Pharmaceuticals USA Inc formed a
strategic alliance for a development and commercialization licence
agreement for Taro to have exclusive licence rights to sell and distribute
Pliaglis in the U.S. market and for a second-generation enhanced version
with patent pending.</t>
  </si>
  <si>
    <t xml:space="preserve">Licensing Services
Marketing Services
Research &amp; Development Services</t>
  </si>
  <si>
    <t xml:space="preserve">225847
87621T</t>
  </si>
  <si>
    <t xml:space="preserve">Safran Corporate Ventures SAS
Prodways SA</t>
  </si>
  <si>
    <t xml:space="preserve">Financial Sponsor
Mnfr 3D printing terminal</t>
  </si>
  <si>
    <t xml:space="preserve">Safran Corporate Ventures
SAS is a financial sponsor.
The Company was founded in
May 2015 and is located in
Paris, France.
Prodways SA is a manufacturer
of 3D printing machinery and
equipment. The Company is
located in Paris, France.</t>
  </si>
  <si>
    <t xml:space="preserve">6799
3555</t>
  </si>
  <si>
    <t xml:space="preserve">Safran SA
Pelican Venture SAS</t>
  </si>
  <si>
    <t xml:space="preserve">3728
6799</t>
  </si>
  <si>
    <t xml:space="preserve">SAFRAN CORPORATE VENTURES SAS/PRODWAYS SA-STRATEGIC ALLIANCE</t>
  </si>
  <si>
    <t xml:space="preserve">Safran Corporate Ventures SAS and Prodways SA formed a strategic alliance
to develop new and innovative 3D printing materials and processes in
France.</t>
  </si>
  <si>
    <t xml:space="preserve">0E2761
3A9899</t>
  </si>
  <si>
    <t xml:space="preserve">Biocon Ltd
Equillium Inc</t>
  </si>
  <si>
    <t xml:space="preserve">Biocon Ltd is a manufacturer
of biological products. The
Company focused on
biopharmaceuticals, contract
research, clinical research
and enzymes. It offers
active pharmaceutical
ingredients, including
anti-diabetic,
anti-inflammatory,
cardiovascular,
anti-obesity, hemostatic,
hepatoprotective, and
gastro-intestinal agents, as
well as anti-oxidants,
digestive-aid enzymes,
immunosuppressants, and
neutraceuticals. The Company
was founded on 29th November
1978 and is located in
Bangalore, India.
Equillium Inc is a
manufacturer of
pharmaceutical preparation.
The Company is located in La
Jolla, California.</t>
  </si>
  <si>
    <t xml:space="preserve">BIOCON LTD/EQUILLIUM INC-STRATEGIC ALLIANCE</t>
  </si>
  <si>
    <t xml:space="preserve">Biocon Ltd and Equillium Inc extended their strategic alliance to grant
Equillium exclusive rights for developing and commercializing itolizumab in
Australia and New Zealand.</t>
  </si>
  <si>
    <t xml:space="preserve">Marketing Services
Supply Services
Licensing Services
Research &amp; Development Services
Health &amp; Medical Services</t>
  </si>
  <si>
    <t xml:space="preserve">Y0905C
6H9201</t>
  </si>
  <si>
    <t xml:space="preserve">bluebird bio Inc
Novartis Pharma AG</t>
  </si>
  <si>
    <t xml:space="preserve">bluebird bio Inc, located in
Cambridge, Massachusetts, is
a biotechnology company
focused on transforming the
lives of patients with
severe genetic and orphan
diseases using gene therapy.
The Company was founded in
1992.
Novartis Pharma AG, located in
Basel, Switzerland,
manufactures prescription
pharmaceuticals intended for
final consumption, including
biotech products and
antibiotics. It was founded in
1996.</t>
  </si>
  <si>
    <t xml:space="preserve">bluebird bio Inc
Novartis AG</t>
  </si>
  <si>
    <t xml:space="preserve">BLUEBIRD BIO INC/NOVARTIS PHARMA AG-STRATEGIC ALLIANCE</t>
  </si>
  <si>
    <t xml:space="preserve">bluebird bio Inc and Novartis Pharma AG formed a strategic alliance to
develop and commercialize chimeric antigen receptor T cell therapies for
oncology, including CTL019, Novartis's anti-CD19 CAR T investigational
therapy Globally.</t>
  </si>
  <si>
    <t xml:space="preserve">09609G
67006P</t>
  </si>
  <si>
    <t xml:space="preserve">Be The Match Biotherapies LLC
Magenta Therapeutics</t>
  </si>
  <si>
    <t xml:space="preserve">Be The Match Biotherapies
LLC, located in Minneapolis,
Minnesota, is cellular
therapy development research
organization. It partners
with organizations pursuing
new life-saving treatments
in cellular therapy. The
Company was founded in 2016.
Magenta Therapeutics is a
provider of biotechnology
research and development
services. The Company is
located in Cambridge,
Massachusetts.</t>
  </si>
  <si>
    <t xml:space="preserve">MN
MA</t>
  </si>
  <si>
    <t xml:space="preserve">National Marrow Donor Program
Magenta Therapeutics</t>
  </si>
  <si>
    <t xml:space="preserve">8399
8731</t>
  </si>
  <si>
    <t xml:space="preserve">BE THE MATCH BIOTHERAPIES LLC/MAGENTA THERAPEUTICS INC-STRATEGIC ALLIANCE</t>
  </si>
  <si>
    <t xml:space="preserve">Be The Match Biotherapies LLC and Magenta Therapeutics Inc formed a
strategic alliance to broaden application of curative stem cell
transplantation for immune and blood diseases.</t>
  </si>
  <si>
    <t xml:space="preserve">7H9480
55910K</t>
  </si>
  <si>
    <t xml:space="preserve">Jiangsu Dewei Advanced
Hybrid Inc</t>
  </si>
  <si>
    <t xml:space="preserve">Other Fabricated Wire Product Manufacturing
Power, Distribution, and Specialty Transformer Manufacturing</t>
  </si>
  <si>
    <t xml:space="preserve">Jiangsu Dewei Advanced
Materials Co Ltd is a
manufacturer and wholesaler
of fabricated wire products.
The Company was founded in
December 1995 and is located
in Suzhou, China.
Hybrid Inc is a manufacturer
of power, distribution, and
specialty transformers. The
Company is located in
California.</t>
  </si>
  <si>
    <t xml:space="preserve">3496
3629</t>
  </si>
  <si>
    <t xml:space="preserve">JIANGSU DEWEI ADVANCED/HYBRID INC-JOINT VENTURE</t>
  </si>
  <si>
    <t xml:space="preserve">Jiangsu Dewei Advanced Materials Co Ltd and Hybrid Inc planned to form a
joint venture engage in research &amp; development new fuel cell.</t>
  </si>
  <si>
    <t xml:space="preserve">47900E
7F9820</t>
  </si>
  <si>
    <t xml:space="preserve">ZF Friedrichshafen AG
Faurecia Autositze GmbH &amp; Co</t>
  </si>
  <si>
    <t xml:space="preserve">Manufactures and wholesales motor vehicle transmission
Mnfr vehicle seats</t>
  </si>
  <si>
    <t xml:space="preserve">ZF Friedrichshafen AG,
headquartered in
Friedrichshafen, Germany,
manufactures and wholesales
motor vehicle transmissions
for driveline and chassis
technology. It offers manual
and automatic transmissions,
dual clutch transmissions,
hybrid systems, synchronized
transaxles, power shift
transmissions, variable
transmissions, hydrodynamic
and hydrostatic power shift
transmissions, electric
drives, surface and pod
drives, and elevator
gearboxes. The Company was
founded on August 20, 1915.
Faurecia Autositze GmbH &amp; Co
KG is a manufacturer of motor
vehicle seats and interior
trims,engineer and provide
technology, automotive
suppliers worldwide. The
Company was founded in 1997
and is located in Stadthagen,
Germany.</t>
  </si>
  <si>
    <t xml:space="preserve">Zeppelin-Stiftung GmbH
ASC+Cawi</t>
  </si>
  <si>
    <t xml:space="preserve">8399
3496</t>
  </si>
  <si>
    <t xml:space="preserve">ZF FRIEDRICHSHAFEN AG/FAURECIA AUTOSITZE GMBH &amp; CO-STRATEGIC ALLIANCE</t>
  </si>
  <si>
    <t xml:space="preserve">ZF Friedrichshafen AG and Faurecia Autositze GmbH Co KG formed a strategic
alliance to identify and develop innovative safety and interior solutions
linked to different potential occupant positions in Germany.</t>
  </si>
  <si>
    <t xml:space="preserve">98876E
31179A</t>
  </si>
  <si>
    <t xml:space="preserve">MGT Capital Investments Inc
Nordic IT Association</t>
  </si>
  <si>
    <t xml:space="preserve">Pvd patent licensing services
Professional Organizations</t>
  </si>
  <si>
    <t xml:space="preserve">MGT Capital Investments Inc,
located in Durham, North
Carolina, is an investment
holding company with two
subsidiaries namely Medicsight
plc, that develops clinical
validated Computer Aided
Detection (CAD) software, and
Medicexchange.com, which
provides web-based medical
imaging solutions and relevant
clinical information of
diagnostic, treatment and
surgery planning solutions for
cardiac, thoracic, breast
imaging, orthopedic, and
gastro intestinal imaging. The
Company was founded in 1977.
Nordic IT Association, located
in Helsinki, Finland, is a
member organization focused on
IT sourcing. It provides
solutions for IT
professionals.</t>
  </si>
  <si>
    <t xml:space="preserve">6794
8621</t>
  </si>
  <si>
    <t xml:space="preserve">MGT CAPITAL INVESTMENTS INC/NORDIC IT ASSOCIATION-JOINT VENTURE</t>
  </si>
  <si>
    <t xml:space="preserve">MGT Capital Investments Inc and Nordic IT Association planned to form a
50:50 joint venture to develop and market the world's most secure mobile
phone. The joint venture will be called JMPP Oy and will be located in
Helsinki, Finland.</t>
  </si>
  <si>
    <t xml:space="preserve">55302P
5F2504</t>
  </si>
  <si>
    <t xml:space="preserve">Dunbar Armored Inc-Global
School of Chemistry and Chem
Shanghai Qingpu district</t>
  </si>
  <si>
    <t xml:space="preserve">General Freight Trucking, Long-Distance, Truckload
Research and Development in The Physical, Engineering and Lifesciences (Except Biotechnology)
National government</t>
  </si>
  <si>
    <t xml:space="preserve">Global logistics operations of
Dunbar Armored Inc, located in
Maryland.
School of Chemistry and
Chemical Engineering SJTU is a
provider of research and
development services. The
Company is located in
Shanghai, China.
Shanghai Qingpu district
Huaxin government is a
national government. The
Company is located in
Shanghai, China.</t>
  </si>
  <si>
    <t xml:space="preserve">4213
8733
999A</t>
  </si>
  <si>
    <t xml:space="preserve">MD
FF
FF</t>
  </si>
  <si>
    <t xml:space="preserve">Dunbar Armored Inc
Shanghai Jiao Tong University
Shanghai Qingpu district</t>
  </si>
  <si>
    <t xml:space="preserve">7381
8221
999A</t>
  </si>
  <si>
    <t xml:space="preserve">DUNBAR ARMORED INC-GLOBAL/SCHOOL OF CHEMISTRY AND CHEM/SHANGHAI QINGPU
DISTRICT-STRATEGIC ALLIANCE</t>
  </si>
  <si>
    <t xml:space="preserve">Dunbar Armored Inc-Global Logistics Operations, School of Chemistry and
Chemical Engineering, SJTU and Shanghai Qingpu district Huaxin government
formed a strategic alliance to construct a new material industry base in
Shanghai, China.</t>
  </si>
  <si>
    <t xml:space="preserve">1E2638
7F0822
7F0823</t>
  </si>
  <si>
    <t xml:space="preserve">Sunshine Printing Network
HP Indigo Division</t>
  </si>
  <si>
    <t xml:space="preserve">Commercial Screen Printing
Printing Machinery and Equipment Manufacturing</t>
  </si>
  <si>
    <t xml:space="preserve">Sunshine Printing Network is a
provider of commercial screen
printing services. The Company
is located in Beijing, China.
HP Indigo Division is
develops, manufactures and
markets digital printing
solutions, including printing
presses. The Company is
located in Israel.</t>
  </si>
  <si>
    <t xml:space="preserve">2759
3555</t>
  </si>
  <si>
    <t xml:space="preserve">China
Israel</t>
  </si>
  <si>
    <t xml:space="preserve">Sunshine Printing Network
HP Inc</t>
  </si>
  <si>
    <t xml:space="preserve">2759
3571</t>
  </si>
  <si>
    <t xml:space="preserve">SUNSHINE PRINTING NETWORK/HP INDIGO DIVISION-STRATEGIC ALLIANCE</t>
  </si>
  <si>
    <t xml:space="preserve">Sunshine Printing Network and HP Indigo Division formed a strategic
alliance, focus on product development, technological upgrades and market
development, with the goal of achieving mutual benefits in China and
worldwide.</t>
  </si>
  <si>
    <t xml:space="preserve">5F4634
5F4639</t>
  </si>
  <si>
    <t xml:space="preserve">Kale Group
Rolls-Royce PLC</t>
  </si>
  <si>
    <t xml:space="preserve">Manufacture,whl ceramic tiles
Mnfr,whl turbines,power sys</t>
  </si>
  <si>
    <t xml:space="preserve">Kale Group, located in
Instanbul, Turkey,
manufactures and wholesales
ceramic tiles. The company was
founded in 1957.
Rolls-Royce PLC,
headquartered in London, the
UK, manufactures and
wholesales power systems for
civil aerospace, defense
aerospace, marine and energy
markets. The Company was
founded in 1904.</t>
  </si>
  <si>
    <t xml:space="preserve">3253
3511</t>
  </si>
  <si>
    <t xml:space="preserve">Turkey
United Kingdom</t>
  </si>
  <si>
    <t xml:space="preserve">Kale Group
Rolls-Royce Holdings PLC</t>
  </si>
  <si>
    <t xml:space="preserve">KALE GROUP/ROLLS-ROYCE PLC-JOINT VENTURE</t>
  </si>
  <si>
    <t xml:space="preserve">Kale Group and Rolls-Royce PLC planned to form a 51:49 joint venture, to
target aero engine opportunities, develop aircraft engines in Turkey.</t>
  </si>
  <si>
    <t xml:space="preserve">48686P
77573F</t>
  </si>
  <si>
    <t xml:space="preserve">Siemens Healthineers AG
Imricor Medical Systems Inc</t>
  </si>
  <si>
    <t xml:space="preserve">Diagnostic Imaging Centers
Dvlp Electromedical Equipment</t>
  </si>
  <si>
    <t xml:space="preserve">Siemens Healthineers AG,
located in Erlangen,
Germany, is a diagnostic
imaging center operator. The
Company offers medical
imaging services, laboratory
diagnostics, point-of-care
testing and other health
related services. It offers
also medical IT solutions
and educational health
services to its customers.
It was founded in 2015.
Imricor Medical Systems,
Inc., headquartered in
Minnesota, develops magnetic
resonance imaging (MRI)
compatible electrophysiology
tools for the treatment of
cardiac arrhythmias. The
company offers Vision MR EP
Ablation Catheter that looks
and performs as a
conventional ablation
catheter; and Horizon MR EP
Recording System, which
performs the recording and
pacing function of
conventional recording and
pacing systems for use with
MRI. The company was founded
in 2006.</t>
  </si>
  <si>
    <t xml:space="preserve">Siemens AG
Imricor Medical Systems Inc</t>
  </si>
  <si>
    <t xml:space="preserve">SIEMENS HEALTHCARE GMBH/IMRICOR MEDICAL SYSTEMS INC-STRATEGIC ALLIANCE</t>
  </si>
  <si>
    <t xml:space="preserve">Minnesota
Foreign</t>
  </si>
  <si>
    <t xml:space="preserve">Siemens Healthcare GmbH and Imricor Medical Systems Inc formed a strategic
alliance to develop an integrated solution that combines real-time MRI
scans with 3D-guided cardiac ablation which will be used across United
States and Germany.</t>
  </si>
  <si>
    <t xml:space="preserve">0F0902
49047H</t>
  </si>
  <si>
    <t xml:space="preserve">Vcanbio Cell &amp; Gene
Wuhan Oubang Biological</t>
  </si>
  <si>
    <t xml:space="preserve">Vcanbio Cell &amp; Gene
Engineering Corp Ltd is a
manufacturer and wholesaler
of biological products .It
is also engaged in cell
culture and gene detection
and storage, as well as the
production and sale of
cytokines culture solutions,
cosmetics and detection
reagents. The Company was
founded in June 1995 and is
located in Tianjin, China.
Wuhan Oubang Biological
Medicine Partnership (LP) is a
manufacturer of biological
products. The Company was
founded in March 2017 and is
located in Wuhan, China.</t>
  </si>
  <si>
    <t xml:space="preserve">ZHONGYUAN UNION CELL &amp; GENE ENGINEERING CORP LTD/WUHAN OUBANG BIOLOGICAL
MEDICINE PARTNERSHIP (LP)-JOINT VENTURE</t>
  </si>
  <si>
    <t xml:space="preserve">Zhongyuan Union Cell &amp; Gene Engineering Corp Ltd and Wuhan Oubang
Biological Medicine Partnership (LP) planned to form a 75:25 joint venture
named Wuhan Guanggu Zhongyuan Union Cell &amp; Gene Tech Co Ltd to advance cell
engineering technology as well as to commercialize and industrialize the
technology. The JV was to be capitalized at CNY 10 mil (USD 1.45 mil).</t>
  </si>
  <si>
    <t xml:space="preserve">5C0652
5F8411</t>
  </si>
  <si>
    <t xml:space="preserve">Tasly Pharmaceutical Group Co
Pharnext SA</t>
  </si>
  <si>
    <t xml:space="preserve">Mnfr,whl pharm
Pharmaceutical Preparation Manufacturing</t>
  </si>
  <si>
    <t xml:space="preserve">Tasly Pharmaceutical Group Co
Ltd manufactures and
wholesales pharmaceuticals,
headquartered in China. The
products include herbal
medicine, chemical medicine,
health product, pharmaceutical
substances, herbal extract,
tea series, cosmetic series,
daily hygiene product series
and medical equipment. The
company was founded in 1994.
Pharnext SA, located in
Issy-Les-Moulineaux, France,
is a biopharmaceutical
company developing products
for neurodegenerative
diseases. The Company was
founded in April 2007.</t>
  </si>
  <si>
    <t xml:space="preserve">TASLY PHARMACEUTICAL GROUP CO/PHARNEXT SA-JOINT VENTURE</t>
  </si>
  <si>
    <t xml:space="preserve">Tasly Pharmaceutical Group Co Ltd and Pharnext SA planned to form a 70:30
joint venture named Tasly International Gene Network Pharmaceutical
Innovation Center Co Ltd to develop new combinations of molecules. The JV
was to be capitalized at CNY 142.86 mil (USD 20.686 mil).</t>
  </si>
  <si>
    <t xml:space="preserve">The JV was to be capitalized at CNY 142.86 mil (USD 20.686 mil).</t>
  </si>
  <si>
    <t xml:space="preserve">85800L
6E5349</t>
  </si>
  <si>
    <t xml:space="preserve">Chongqing Constr Engineering
MCC CISDI Group Co Ltd</t>
  </si>
  <si>
    <t xml:space="preserve">New Multifamily Housing Construction (Except Operative Builders)
Investment management services</t>
  </si>
  <si>
    <t xml:space="preserve">Chongqing Construction
Engineering Group Co Ltd is
a housing construction
company. The Company was
founded in November 1998 and
is located in Chongqing,
China.
MCC CISDI Group Co Ltd is a
investment advisor. The
Company was founded in May
1990 and is located in
Chongqing, China.</t>
  </si>
  <si>
    <t xml:space="preserve">1522
6282</t>
  </si>
  <si>
    <t xml:space="preserve">Chongqing Constr Engineering
China Metallurgical Group Corp</t>
  </si>
  <si>
    <t xml:space="preserve">CHONGQING CONSTRUCTION/MCC CISDI GROUP CO LTD-STRATEGIC ALLIANCE</t>
  </si>
  <si>
    <t xml:space="preserve">Chongqing Construction Engineering Group Corp Ltd and MCC CISDI Group Co
Ltd planned to form a strategic alliance to cooperate in human resource and
R&amp;D as well as EPC or PPP project of engineering construction business.</t>
  </si>
  <si>
    <t xml:space="preserve">Construction Services
Investment Services
Research &amp; Development Services</t>
  </si>
  <si>
    <t xml:space="preserve">17355Y
6F5015</t>
  </si>
  <si>
    <t xml:space="preserve">China Medical University
Neusoft Corp</t>
  </si>
  <si>
    <t xml:space="preserve">Own,operate college,university
Software Publishers</t>
  </si>
  <si>
    <t xml:space="preserve">China Medical University is a
college operator. The Company
was founded in November 1931
and is located in Shenyang,
China.
Neusoft Corp is a software
publisher. The Company was
founded in 1991 and is
located in Shenyang, China.</t>
  </si>
  <si>
    <t xml:space="preserve">Peoples Republic of China
Neusoft Corp</t>
  </si>
  <si>
    <t xml:space="preserve">CHINA MEDICAL UNIVERSITY/NEUSOFT CORP-STRATEGIC ALLIANCE</t>
  </si>
  <si>
    <t xml:space="preserve">China Medical University and Neusoft Corp planned to form a strategic
alliance to construct medical health big data center and application lab
and to cooperate on related R&amp;D and education as well as hospital
development business.</t>
  </si>
  <si>
    <t xml:space="preserve">Data Processing Services
Educational Services
Health &amp; Medical Services
Research &amp; Development Services</t>
  </si>
  <si>
    <t xml:space="preserve">6F5038
64024J</t>
  </si>
  <si>
    <t xml:space="preserve">Boehringer Ingelheim GmbH
Peking University</t>
  </si>
  <si>
    <t xml:space="preserve">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Peking University, located in
China, owns and operates
college and university. It was
founded in 1898.</t>
  </si>
  <si>
    <t xml:space="preserve">CH Boehringer Sohn AG &amp; Co KG
Peking University</t>
  </si>
  <si>
    <t xml:space="preserve">BOEHRINGER INGELHEIM GMBH/PEKING UNIVERSITY-STRATEGIC ALLIANCE</t>
  </si>
  <si>
    <t xml:space="preserve">Boehringer Ingelheim GmbH and Peking University formed a strategic alliance
to jointly advance early science innovation across a range of areas of high
medical need.</t>
  </si>
  <si>
    <t xml:space="preserve">09710W
70562X</t>
  </si>
  <si>
    <t xml:space="preserve">CANbridge Life Sciences Ltd
Amoy Diagnostics Co Ltd</t>
  </si>
  <si>
    <t xml:space="preserve">Pharmaceutical Preparation Manufacturing
In-Vitro Diagnostic Substance Manufacturing</t>
  </si>
  <si>
    <t xml:space="preserve">CANbridge Life Sciences Ltd
is a manufacturer of
pharmaceutical preparation.
The company is located in
Beijing, China.
Amoy Diagnostics Co Ltd is a
manufacturer of in-vitro
diagnostic substances. The
company was founded in
February 2008 and is located
in Xiamen, China.</t>
  </si>
  <si>
    <t xml:space="preserve">CANBRIDGE LIFE SCIENCES LTD/AMOY DIAGNOSTICS CO LTD-STRATEGIC ALLIANCE</t>
  </si>
  <si>
    <t xml:space="preserve">CANbridge Life Sciences Ltd and Amoy Diagnostics Co Ltd formed a strategic
alliance to develop a companion diagnostic assay for CANbridges lead
candidate, CAN008, a fully human fc fusion protein in China.</t>
  </si>
  <si>
    <t xml:space="preserve">7E9612
2E1585</t>
  </si>
  <si>
    <t xml:space="preserve">Neptune Tech&amp;Bioressources Inc
Distn Jean Blanchard Inc.
Univ Of Sherbrooke</t>
  </si>
  <si>
    <t xml:space="preserve">Biotechnology company
Other Noncitrus Fruit Farming
City Government</t>
  </si>
  <si>
    <t xml:space="preserve">Neptune Technologies &amp;
Bioressources Inc, based in
Laval, Quebec, is a
biotechnology company
engaged in the research and
development of extraction
technologies. It is engaged
primarily in the
development, manufacture and
commercialization of
marine-derived omega-3
polyunsaturated fatty acids,
or PUFAs. Its lead products,
Neptune Krill Oil (NKO(R))
and ECOKRILL Oil (EKO(TM)),
generally come in capsule
form and serve as a dietary
supplement to consumers. It
operates in three segments:
Neptune, Acasti Pharma Inc.
and NeuroBioPharm Inc. Its
Neptune segment is engaged
in the manufacturing and
nutraceutical products. Its
Acasti Pharma segment is
involved in the development
and commercialization of
pharmaceutical applications
for cardiovascular diseases.
Its NeuroBioPharma segment
is involved in the
development of
commercialization of pharm
Groupe DJBis located in
canada
University Of Sherbrooke is
a city government. The
Company is located in
Sherbrooke, Canada.</t>
  </si>
  <si>
    <t xml:space="preserve">8071
0175
999E</t>
  </si>
  <si>
    <t xml:space="preserve">NEPTUNE TECHNOLOGIES &amp;/DISTRIBUTION JEAN BLANCHARD INC/UNIVERSITY OF
SHERBROOKE-STRATEGIC ALLIANCE</t>
  </si>
  <si>
    <t xml:space="preserve">Neptune Technologies Bioressources Inc, Distribution Jean Blanchard Inc and
University Of Sherbrooke planned to form a strategic alliance was to carry
out medical cannabis production and research and development activities: an
industry first.</t>
  </si>
  <si>
    <t xml:space="preserve">64077P
2J5514
0J8400</t>
  </si>
  <si>
    <t xml:space="preserve">Caruma Tech Inc
Flex Ltd</t>
  </si>
  <si>
    <t xml:space="preserve">Software Publishers
Bare Printed Circuit Board Manufacturing</t>
  </si>
  <si>
    <t xml:space="preserve">Caruma Technologies Inc is a
software publisher. The
Company is located in San
Francisco, California.
Flex Ltd is a manufacturer
of bare printed circuit
boards. The Company was
founded in May 1990 and is
located in Singapore,
Singapore.</t>
  </si>
  <si>
    <t xml:space="preserve">7376
3672</t>
  </si>
  <si>
    <t xml:space="preserve">CARUMA TECHNOLOGIES INC/FLEX LTD-STRATEGIC ALLIANCE</t>
  </si>
  <si>
    <t xml:space="preserve">Caruma Technologies Inc and Flex Ltd formed a strategic alliance around the
world to develop AI-powered, vision-based interior systems for automakers.</t>
  </si>
  <si>
    <t xml:space="preserve">Research &amp; Development Services
Licensing Services
Automotive Services</t>
  </si>
  <si>
    <t xml:space="preserve">2J4932
6F1306</t>
  </si>
  <si>
    <t xml:space="preserve">Huawei Technologies Co Ltd
Bulgarian Telecommun Co EAD</t>
  </si>
  <si>
    <t xml:space="preserve">Provide information tech svcs
Wired Telecommunications Carriers</t>
  </si>
  <si>
    <t xml:space="preserve">Huawei Technologies Co Ltd
is a software publisher. The
Company was founded in 1987
and is located in Shenzhen,
China.
Bulgarian Telecommunications
Co EAD, located in Sofia,
Bulgaria, is a provider of
telecommunications services
such as ADSL Internet,
fixed-line and mobile
communication innovations to
mass market, business,
government and wholesale
customers. It was founded in
1992.</t>
  </si>
  <si>
    <t xml:space="preserve">7376
4813</t>
  </si>
  <si>
    <t xml:space="preserve">China
Bulgaria</t>
  </si>
  <si>
    <t xml:space="preserve">Union of Huawei Invest &amp; Hldg
Viva Telecom (Luxembourg) SA</t>
  </si>
  <si>
    <t xml:space="preserve">China
Luxembourg</t>
  </si>
  <si>
    <t xml:space="preserve">HUAWEI TECHNOLOGIES CO LTD/BULGARIAN TELECOMMUNICATIONS CO EAD-STRATEGIC
ALLIANCE</t>
  </si>
  <si>
    <t xml:space="preserve">Huawei Technologies Co Ltd and Bulgarian Telecommunications Co EAD formed a
strategic alliance to develop a regional cloud technology-based hub.</t>
  </si>
  <si>
    <t xml:space="preserve">Research &amp; Development Services
Telecommunications Services
Software Development Services</t>
  </si>
  <si>
    <t xml:space="preserve">44334L
12016J</t>
  </si>
  <si>
    <t xml:space="preserve">Long Range Systems Inc
Verisolutions LLC</t>
  </si>
  <si>
    <t xml:space="preserve">Dvlp paging solutions software
Software Publishers</t>
  </si>
  <si>
    <t xml:space="preserve">Long Range Systems Inc,
located in Addison, Texas,
develops staff paging and
management solutions software.
The company was founded in
1993.
Verisolutions LLC is creates
connected restaurants. Founded
in 2015, VeriSolutions offers
an intelligent network of
sensors, firmware and software
built for restaurants to
prevent inventory loss,
optimize staff efficiency, and
improve customer safety. The
Company is located in Atlanta,
Georgia.</t>
  </si>
  <si>
    <t xml:space="preserve">Teakwood Capital LP
Verisolutions LLC</t>
  </si>
  <si>
    <t xml:space="preserve">LONG RANGE SYSTEMS INC/VERISOLUTIONS LLC-STRATEGIC ALLIANCE</t>
  </si>
  <si>
    <t xml:space="preserve">Long Range Systems Inc and Verisolutions LLC formed a strategic alliance,
to deliver innovations in restaurant communication in US.</t>
  </si>
  <si>
    <t xml:space="preserve">54291Y
5F6217</t>
  </si>
  <si>
    <t xml:space="preserve">Selexis SA
Ose Immunotherapeutics SA</t>
  </si>
  <si>
    <t xml:space="preserve">Selexis SA is a manufacturer
of biological products. The
Company is located in
Plan-Les-Ouates Geneva,
Switzerland.
Ose Immunotherapeutics SA is a
manufacturer of biological
products. The Company develops
immunotherapy products against
invasive or metastatic
late-stage cancers. It offers
a technology, called Memopi,
which helps the immune system
to eliminate malignant cells;
it re-educates the bodys
immunological memory so that
the immune system (and
particularly T cytotoxic
cells) attacks tumor cells by
increasing the patients
specific cytotoxic T response
against their cancer. The
Company is located in Nantes,
France.</t>
  </si>
  <si>
    <t xml:space="preserve">SELEXIS SA/OSE IMMUNOTHERAPEUTICS SA-STRATEGIC ALLIANCE</t>
  </si>
  <si>
    <t xml:space="preserve">Selexis SA and Ose Immunotherapeutics SA formed a strategic alliance to
provide OSE with access to high performance research cell banks from the
Selexis SUREtechnology platform.</t>
  </si>
  <si>
    <t xml:space="preserve">81652J
3C1470</t>
  </si>
  <si>
    <t xml:space="preserve">Unikey Technologies Inc
Grosvenor Technology Ltd</t>
  </si>
  <si>
    <t xml:space="preserve">Software Reproducing
Semiconductor and Related Device Manufacturing</t>
  </si>
  <si>
    <t xml:space="preserve">UniKey Technologies, Inc. is
a United States-based
company, which offers
UniKey, a platform that
utilizes pre-built solutions
and custom services. The
Company's platform allows
integration of access
technology into users'
products to meet their
schedule. The Company helps
in developing and deploying
users' lock or access
control product on a
platform. The Company
manages users' products and
their customers with
bank-level security
measures. The Company's
UniKey platform is made up
of approximately six
building blocks for mobile
access control. The Company
offers various solutions,
such as UniKey PassiveX,
UniKey Cloud Logic, UniKey
Smart Ware, UniKey
Integrations and UniKey
Security Essentials. The
UniKey technology is allowed
for home access free of
keys, fingerprints or
passcodes. The Company
offers its services to
various industries, such as
residential access,
commercial access, connected
cars, mobile and Web
platform companies, and
Internet of things (IoT)
devices.
Grosvenor Technology Ltd is
develops, manufacture and
provide Access Control and
Workforce Management
solutions. The Company was
founded in 1989 and is located
in Bishop'S Stortford, the
United Kingdom.</t>
  </si>
  <si>
    <t xml:space="preserve">Unikey Technologies Inc
Newmark Security PLC</t>
  </si>
  <si>
    <t xml:space="preserve">7372
3669</t>
  </si>
  <si>
    <t xml:space="preserve">UNIKEY TECHNOLOGIES INC/GROSVENOR TECHNOLOGY LTD-STRATEGIC ALLIANCE</t>
  </si>
  <si>
    <t xml:space="preserve">Unikey Technologies Inc and Grosvenor Technology Ltd formed a strategic
alliance to develop UniKey Technologies's access control technology and the
creation of new products using the technology.</t>
  </si>
  <si>
    <t xml:space="preserve">Research &amp; Development Services
Marketing Services
Computer Programming Services</t>
  </si>
  <si>
    <t xml:space="preserve">5F3067
39925P</t>
  </si>
  <si>
    <t xml:space="preserve">The Hydroponics Co Ltd
Phoenix Life Sciences Inc</t>
  </si>
  <si>
    <t xml:space="preserve">Pharmaceutical Preparation Manufacturing
All Other Miscellaneous Ambulatory Health Care Services</t>
  </si>
  <si>
    <t xml:space="preserve">The Hydroponics Co Ltd,
located in Sydney New South
Wales, Australia, is a
medicinal cannabis company.
It is a manufacturer and
distributor of hydroponics
equipment, materials and
nutrients; large-scale
hydroponic greenhouse design
and construction; and
engaged in the development
and delivery of medicinal
cannabis. The Company was
founded on August 29, 2016.
Phoenix Life Sciences Inc,
located in Greenwood Village,
Colorado, provides healthcare
solutions.</t>
  </si>
  <si>
    <t xml:space="preserve">THE HYDROPONICS CO LTD/PHOENIX LIFE SCIENCES INC-STRATEGIC ALLIANCE</t>
  </si>
  <si>
    <t xml:space="preserve">The Hydroponics Co Ltd and Phoenix Life Sciences Inc formed a strategic
alliance to research, develop, manufacture, distribute and sell medicinal
products in Australia and internationally.</t>
  </si>
  <si>
    <t xml:space="preserve">Health &amp; Medical Services
Research &amp; Development Services
Marketing Services
Manufacturing Services</t>
  </si>
  <si>
    <t xml:space="preserve">3F9789
9E2496</t>
  </si>
  <si>
    <t xml:space="preserve">MKK Kosmotras
Glavkosmos PAO</t>
  </si>
  <si>
    <t xml:space="preserve">Pvd space launch svcs
Space Research and Technology</t>
  </si>
  <si>
    <t xml:space="preserve">ZAO "Mezhdunarodnaya
kosmicheskaya kompaniya
Kosmotras", headquartered in
Moscow, Russian Federation, is
a provider of space launch
services. The company was
founded in 1997.
Glavkosmos PAO is a space
research establishment. The
Company was founded in 1991
and is located in Moscow, the
Russian Federation.</t>
  </si>
  <si>
    <t xml:space="preserve">MKK Kosmotras
Russian Federation</t>
  </si>
  <si>
    <t xml:space="preserve">9661
999A</t>
  </si>
  <si>
    <t xml:space="preserve">ZAO "MEZHDUNARODNAYA/GLAVKOSMOS PAO-JOINT VENTURE</t>
  </si>
  <si>
    <t xml:space="preserve">GK LAUNCH SERVICES is a space
research establishment. The
Company is located in the
Russian Federation.</t>
  </si>
  <si>
    <t xml:space="preserve">ZAO "Mezhdunarodnaya kosmicheskaya kompaniya Kosmotras" and Glavkosmos PAO
formed a 25:75 joint venture named GK LAUNCH SERVICES to launch services
for satellites with the use of Soyuz family launch vehicles and the
launchers developed on the basis of RS-20 rockets from the Russian launch
sites in Russia.</t>
  </si>
  <si>
    <t xml:space="preserve">5F5168</t>
  </si>
  <si>
    <t xml:space="preserve">98117V
5F5167</t>
  </si>
  <si>
    <t xml:space="preserve">BESA GmbH
Elekta Oy</t>
  </si>
  <si>
    <t xml:space="preserve">Develop prepackaged software
Surgical Appliance and Supplies Manufacturing</t>
  </si>
  <si>
    <t xml:space="preserve">BESA GmbH is a software
publisher. The Company is
located in Grafelfing,
Germany.
Elekta Oy is a manufacturer of
surgical appliance and
supplies. The Company is
located in Helsinki, Finland.</t>
  </si>
  <si>
    <t xml:space="preserve">7372
3841</t>
  </si>
  <si>
    <t xml:space="preserve">Germany
Finland</t>
  </si>
  <si>
    <t xml:space="preserve">BESA GmbH
Elekta AB</t>
  </si>
  <si>
    <t xml:space="preserve">Germany
Sweden</t>
  </si>
  <si>
    <t xml:space="preserve">BESA GMBH/ELEKTA OY-STRATEGIC ALLIANCE</t>
  </si>
  <si>
    <t xml:space="preserve">BESA GmbH and Elekta Oy formed a strategic alliance to jointly develop and
commercialize clinical software solutions for MEG, with the initial aim of
providing a world-class workflow for the pre-surgical evaluation of
epileptic patients.</t>
  </si>
  <si>
    <t xml:space="preserve">Research &amp; Development Services
Health &amp; Medical Services
Software Development Services</t>
  </si>
  <si>
    <t xml:space="preserve">5F3996
5F4000</t>
  </si>
  <si>
    <t xml:space="preserve">Nevada Ctr for Advanced
Nexar Ltd</t>
  </si>
  <si>
    <t xml:space="preserve">Research and Development in The Physical, Engineering and Lifesciences (Except Biotechnology)
Software Publishers</t>
  </si>
  <si>
    <t xml:space="preserve">Nevada Center for Advanced
Mobility, located in Nevada,
develops and provide solutions
in different road challenges
such as traffic, car
coalitions, and other related
road challenges.
Nexar Ltd is a software
publisher. The Company
focuses vision-based
software to buildfirst
safe-driving network. The
Company was founded in 2015
and is located in Tel
Aviv-Jaffa, Israel.</t>
  </si>
  <si>
    <t xml:space="preserve">NEVADA CENTER FOR ADVANCED MOBILITY/NEXAR LTD-STRATEGIC ALLIANCE</t>
  </si>
  <si>
    <t xml:space="preserve">Nevada Center for Advanced Mobility and Nexar Ltd formed a strategic
alliance, to create the first statewide vehicle-to-vehicle (V2V) network in
the country.</t>
  </si>
  <si>
    <t xml:space="preserve">5F9932
5F9920</t>
  </si>
  <si>
    <t xml:space="preserve">Infund Holdings Co Ltd
Guangdong Xianfeng Hldg Co Ltd
Shenzhen Junengyongtuo Tech
Undisclosed JV Partner</t>
  </si>
  <si>
    <t xml:space="preserve">Copper Wire (Except Mechanical) Drawing
Other Management Consulting Services
Secondary Smelting, Refining, and Alloying Of Nonferrous Metal (Except Copper and Aluminum)
Investment company</t>
  </si>
  <si>
    <t xml:space="preserve">Infund Holdings Co Ltd,
located in China, manufactures
and wholesales wire, micro
enameled wires, fine and
special enameled wires. The
company was founded in 2002.
Guangdong Xianfeng Holding Co
Ltd is a provider of
management consulting
services. The company was
founded in September 2011 and
is located in Dongguan, China.
Shenzhen Junengyongtuo
Technology Development Co Ltd
is engaged in the nonferrous
metals services business. The
Company was founded in April
2015 and is located in
Shenzhen, China.
Investment company</t>
  </si>
  <si>
    <t xml:space="preserve">3357
8748
3399
6799</t>
  </si>
  <si>
    <t xml:space="preserve">China
China
China
Unknown</t>
  </si>
  <si>
    <t xml:space="preserve">Infund Holdings Co Ltd
Guangdong Xianfeng Mining Grp
Shenzhen Junengyongtuo Tech
Undisclosed JV Partner</t>
  </si>
  <si>
    <t xml:space="preserve">3357
3339
3399
6799</t>
  </si>
  <si>
    <t xml:space="preserve">INFUND HOLDINGS CO LTD/GUANGDONG XIANFENG HLDG CO LTD/SHENZHEN
JUNENGYONGTUO TECH/UNDISCLOSED PARTNER-JOINT VENTURE</t>
  </si>
  <si>
    <t xml:space="preserve">Infund Holdings Co Ltd, Guangdong Xianfeng Holding Co Ltd, Shenzhen
Junengyongtuo Technology Development Co Ltd and Undisclosed Joint Venture
Partner planned to form a 51:9:30:10 joint venture named Xianfeng New
Energy Technology Co Ltd. The Joint Venture was to be capitalized at CNY
100 mil (USD 14.518 mil). The purpose of the joint venture was to provide
research and development services, and manufacturing services related to
lithium products, China.</t>
  </si>
  <si>
    <t xml:space="preserve">51.00
9.00
30.00
10.00</t>
  </si>
  <si>
    <t xml:space="preserve">The Joint Venture was to be capitalized at CNY 100 mil (USD 14.518 mil).</t>
  </si>
  <si>
    <t xml:space="preserve">7F7067
8E7712
7F7077
904JVP</t>
  </si>
  <si>
    <t xml:space="preserve">BOE Technology Group Co Ltd
Idemitsu Kosan Co Ltd</t>
  </si>
  <si>
    <t xml:space="preserve">Mnfr,whl electn prod
Mnfr,whl petroleum prod</t>
  </si>
  <si>
    <t xml:space="preserve">BOE Technology Group Co Ltd,
located in China,
manufactures and wholesales
electronic products. Its
main product is thin-film
transistor-liquid crystal
displays (TFT-LCDs). The
Company provides TFT-LCD
products for information
technology (IT) and
televisions, TFT-LCD
products for mobile products
and application products, as
well as display light
products, among others. The
Company was founded in 1993.
Idemitsu Kosan Co Ltd,
headquartered in Tokyo,
Japan, manufactures and
wholesales petroleum and
petrochemical. The Petroleum
Product segment is engaged
in the import, refining and
wholesale of petroleum
products, the transportation
and storage of crude oil and
petroleum products, the
manufacture and sale of
lubricant, and the sale of
service station (SS)-related
products. The Petrochemical
Product segment manufactures
and sells petrochemical
products. The Resource
segment is involved in the
research, exploration,
development and sale of
petroleum resources, coal,
uranium and geothermal
resources. The Others
segment purchase and sale of
liquefied petroleum (LP)
gas, the manufacture and
sale of electronic
materials, the provision of
insurance agency and credit
card services, among others.
The Company was founded in
1911.</t>
  </si>
  <si>
    <t xml:space="preserve">3679
2911</t>
  </si>
  <si>
    <t xml:space="preserve">BOE TECHNOLOGY GROUP CO LTD/IDEMITSU KOSAN CO LTD-STRATEGIC ALLIANCE</t>
  </si>
  <si>
    <t xml:space="preserve">BOE Technology Group Co Ltd and Idemitsu Kosan Co Ltd formed a strategic
alliance in China.</t>
  </si>
  <si>
    <t xml:space="preserve">Research &amp; Development Services
Retail &amp; Wholesale Services
Electric Utility Services</t>
  </si>
  <si>
    <t xml:space="preserve">09709X
451668</t>
  </si>
  <si>
    <t xml:space="preserve">Marubeni Corp
Suzhou Crystal Clear Chem Co</t>
  </si>
  <si>
    <t xml:space="preserve">General trading company
All Other Miscellaneous Chemical Product and Preparation Manufacturing</t>
  </si>
  <si>
    <t xml:space="preserve">Marubeni Corp, located in
Chuo-Ku Tokyo, Japan, is a
general trading company. It
is mainly engaged in the
import, export and
transaction of various
products through domestic
and overseas networks. It
has six business segments.
The Food segment is engaged
in the manufacture and sale
of food related products.
The Living Industry segment
is engaged in the lifestyle
related products business,
the information business,
the logistics business, the
insurance business, as well
as the financial and real
estate investment business.
The Materials segment is
engaged in the chemical
business, the agricultural
material business and the
paper pulp business. The
Energy and Metal segment is
engaged in the energy and
metal business. The Power
and Plant segment is engaged
in the development,
investment and operation of
electric power and energy
related infrastructure
business. The Transportation
Equipment segment is engaged
in the import, export and
sale of various equipment.
It is also engaged in the
finance business. It is also
a holding company. The
Company was founded in May
1858.
Suzhou Crystal Clear
Chemical Co Ltd located in
Suzhou, China is a
manufacturer of chemical
products. The Company was
founded in November 2001.</t>
  </si>
  <si>
    <t xml:space="preserve">5141
2899</t>
  </si>
  <si>
    <t xml:space="preserve">MARUBENI CORP/SUZHOU CRYSTAL CLEAR CHEMICAL CO LTD-STRATEGIC ALLIANCE</t>
  </si>
  <si>
    <t xml:space="preserve">The strategic alliance of Marubeni Corp and Suzhou Crystal Clear Chemical
Co Ltd expired. The purpose of the strategic alliance were to jointly study
the manufacturing and sale of advanced materials for semiconductors in
China.</t>
  </si>
  <si>
    <t xml:space="preserve">573810
2E9752</t>
  </si>
  <si>
    <t xml:space="preserve">Blue Diamond Ventures Inc
Eltron Research Inc</t>
  </si>
  <si>
    <t xml:space="preserve">Oil and gas exploration,prodn
Pvd research,dvlp svcs</t>
  </si>
  <si>
    <t xml:space="preserve">Blue Diamond Ventures Inc,
located in Chicago,
Illinois, is engaged in the
crude petroleum and natural
gas services business. The
Company was founded in 1991.
Provide energy, chemical
processing, environmental and
catalysis research and
development services focused
on identifying more efficient
strategies for utilization of
energy and chemical resources</t>
  </si>
  <si>
    <t xml:space="preserve">BLUE DIAMOND VENTURES INC/ELTRON RESEARCH AND DEVELOPMENT INC-STRATEGIC
ALLIANCE</t>
  </si>
  <si>
    <t xml:space="preserve">Blue Diamond Ventures Inc and Eltron Research and Development Inc formed a
strategic alliance to make an ImPAAct (PAA) in the Cannabis Industry in
United States.</t>
  </si>
  <si>
    <t xml:space="preserve">745880
29040V</t>
  </si>
  <si>
    <t xml:space="preserve">Abja Power Private Ltd.
PuREnergy Pvt Ltd</t>
  </si>
  <si>
    <t xml:space="preserve">Engineering Services
Semiconductor and Related Device Manufacturing</t>
  </si>
  <si>
    <t xml:space="preserve">Abja Power Private Ltd. is a
provider of engineering
services. The Company was
founded in July 1998 and is
located in Hyderabad, India.
PuREnergy Pvt Ltd is a
start-up offering connected
solar devices and internet of
things (IoT) based solar
energy management solutions.
The Company is located in
Khandi, India.</t>
  </si>
  <si>
    <t xml:space="preserve">My Home Group (P) Ltd
PuREnergy Pvt Ltd</t>
  </si>
  <si>
    <t xml:space="preserve">6552
3674</t>
  </si>
  <si>
    <t xml:space="preserve">ABJA POWER PRIVATE LTD./PURENERGY PVT LTD-STRATEGIC ALLIANCE</t>
  </si>
  <si>
    <t xml:space="preserve">Abja Power Private Ltd. and PuREnergy Pvt Ltd planned to form a strategic
alliance to provide innovative solar energy solutions.</t>
  </si>
  <si>
    <t xml:space="preserve">Services (NEC)
Internet Services
Computer Programming Services
Research &amp; Development Services</t>
  </si>
  <si>
    <t xml:space="preserve">6F0080
6F0082</t>
  </si>
  <si>
    <t xml:space="preserve">Coillte Teoranta Ltd
Undisclosed JV Partner</t>
  </si>
  <si>
    <t xml:space="preserve">Own,op timber tracts
Investment company</t>
  </si>
  <si>
    <t xml:space="preserve">Coillte Teoranta Ltd is a
timber tract operator. The
Company was founded in 1988
and is located in Co
Wicklow, the Republic of
Ireland.
Investment company</t>
  </si>
  <si>
    <t xml:space="preserve">0811
6799</t>
  </si>
  <si>
    <t xml:space="preserve">Republic of Ireland
Undisclosed JV Partner</t>
  </si>
  <si>
    <t xml:space="preserve">COILLTE TEORANTA LTD/UNDISCLOSED PARTNER-JOINT VENTURE</t>
  </si>
  <si>
    <t xml:space="preserve">In May 2017, Coillte Teoranta Ltd was seeking partners to form a joint
venture, to help develop its renewable energy ambitions and strategy.</t>
  </si>
  <si>
    <t xml:space="preserve">19260P
904JVP</t>
  </si>
  <si>
    <t xml:space="preserve">Innate Pharma SA
Novo Nordisk A/S</t>
  </si>
  <si>
    <t xml:space="preserve">Biotechnology company
Healthcare company</t>
  </si>
  <si>
    <t xml:space="preserve">Innate Pharma SA,
headquartered in Marseille,
France, is an immunology
biotechnology company
developing first-in-class
drugs, primarily for cancer
indications. The Company was
founded in 1999.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</si>
  <si>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Innate Pharma SA
Novo Nordisk Foundation</t>
  </si>
  <si>
    <t xml:space="preserve">INNATE PHARMA SA/NOVO NORDISK A/S-STRATEGIC ALLIANCE</t>
  </si>
  <si>
    <t xml:space="preserve">Innate Pharma SA and Novo Nordisk A/S formed a strategic alliance to
develop and commercialize a first-in-class clinical-stage anti-C5aR
antibody (IPH5401) representing a novel therapeutic approach in
immuno-oncology Worldwide.</t>
  </si>
  <si>
    <t xml:space="preserve">45781K
670100</t>
  </si>
  <si>
    <t xml:space="preserve">Russian Quantum Center
PricewaterhouseCoopers OOO</t>
  </si>
  <si>
    <t xml:space="preserve">Research and Development in The Physical, Engineering and Lifesciences (Except Biotechnology)
Provide consulting services</t>
  </si>
  <si>
    <t xml:space="preserve">Russian Quantum Center is a
provider of research and
development services. The
Company is located in Moscow,
the Russian Federation.
PricewaterhouseCoopers OOO is
a provider of management
consulting services. The
Company was founded in
December 2009 and is located
in Moscow, the Russian
Federation.</t>
  </si>
  <si>
    <t xml:space="preserve">8731
8748</t>
  </si>
  <si>
    <t xml:space="preserve">RUSSIAN QUANTUM CENTER/PRICEWATERHOUSECOOPERS OOO-STRATEGIC ALLIANCE</t>
  </si>
  <si>
    <t xml:space="preserve">Russian Quantum Center and PricewaterhouseCoopers OOO formed a strategic
alliance to develop and commercialise quantum information security systems
that will ensure the maximum protection from cyber attacks in Russia.</t>
  </si>
  <si>
    <t xml:space="preserve">5F8799
5F8800</t>
  </si>
  <si>
    <t xml:space="preserve">Mustang Bio Inc
City of Hope</t>
  </si>
  <si>
    <t xml:space="preserve">Research and Development in Biotechnology
All Other Miscellaneous Ambulatory Health Care Services</t>
  </si>
  <si>
    <t xml:space="preserve">Mustang Bio Inc is a
provider of biotechnology
research and development
services. The Company was
founded in March 2015 and is
located in New York City,
New York.
City of Hope, headquartered
in Duarte, California,
provides medical and health
services. It is a research
and treatment center for
cancer, diabetes and other
life-threatening diseases.
The Company was founded in
1913.</t>
  </si>
  <si>
    <t xml:space="preserve">Fortress Biotech Inc
City of Hope</t>
  </si>
  <si>
    <t xml:space="preserve">MUSTANG BIO INC/CITY OF HOPE-STRATEGIC ALLIANCE</t>
  </si>
  <si>
    <t xml:space="preserve">Mustang Bio Inc and City of Hope formed a strategic alliance. The purpose
of strategic alliance was for the use of three novel CAR T therapies in the
development of cancer treatments.</t>
  </si>
  <si>
    <t xml:space="preserve">Health &amp; Medical Services
Hospital &amp; Clinical Services
Research &amp; Development Services
Licensing Services</t>
  </si>
  <si>
    <t xml:space="preserve">62818Q
5A1583</t>
  </si>
  <si>
    <t xml:space="preserve">2bPrecise LLC
Mayo Clinic</t>
  </si>
  <si>
    <t xml:space="preserve">Software Publishers
Provides medical care and research services</t>
  </si>
  <si>
    <t xml:space="preserve">2bPrecise LLC is a software
publisher, strategically
investing in helping
accelerate the transition to
precision medicine. The
Company is located in North
Carolina.
Mayo Foundation for Medical
Education &amp; Research,
located in Rochester,
Minnesota, provides medical
care and research services.
The Company has offices in
Florida, and Arizona. The
Company's services include
solution-oriented products
and services designed to
improve people's health
like for population health
management (health risk
assessment, behavior change
programs and self-care
tools), consumer health
education books and
newsletters), health
benefits administration
(third-party administration,
health savings accounts and
pharmacy benefit
management), pharmacy
services, and medical
supplies. The Company was
founded in 1836.</t>
  </si>
  <si>
    <t xml:space="preserve">Vista Equity Partners LLC
Mayo Clinic</t>
  </si>
  <si>
    <t xml:space="preserve">2BPRECISE LLC/MAYO FOUNDATION FOR MEDICAL-STRATEGIC ALLIANCE</t>
  </si>
  <si>
    <t xml:space="preserve">2bPrecise LLC and Mayo Foundation for Medical Education Research formed a
strategic alliance to develop and apply genomics-based clinical decision
support tools.</t>
  </si>
  <si>
    <t xml:space="preserve">Licensing Services
Research &amp; Development Services
Computer Programming Services
Health &amp; Medical Services</t>
  </si>
  <si>
    <t xml:space="preserve">5F7334
57847P</t>
  </si>
  <si>
    <t xml:space="preserve">Proactive Immune Sciences
ProtoKinetix Inc</t>
  </si>
  <si>
    <t xml:space="preserve">Proactive Immune Sciences
Corp, located in Delaware,
is a life sciences company
that is establishing a new
service whereby customers
can safely store a sample of
their healthy immune cells.
ProtoKinetix Inc, located in
West Vancouver, British
Columbia, is a biotechnology
company. The company has
developed anti-aging
glycopeptides trademarked as
AAGPS.</t>
  </si>
  <si>
    <t xml:space="preserve">PROACTIVE IMMUNE SCIENCES CORP/PROTOKINETIX INC-STRATEGIC ALLIANCE</t>
  </si>
  <si>
    <t xml:space="preserve">Proactive Immune Sciences Corp and ProtoKinetix Inc formed a strategic
alliance to enter into a joint research collaboration.</t>
  </si>
  <si>
    <t xml:space="preserve">1H3069
743722</t>
  </si>
  <si>
    <t xml:space="preserve">Apexian Pharmaceuticals Inc
IURTC</t>
  </si>
  <si>
    <t xml:space="preserve">Research and Development in Biotechnology
Colleges, Universities, and Professional Schools</t>
  </si>
  <si>
    <t xml:space="preserve">Apexian Pharmaceuticals Inc
is a United States-based
clinical-stage biotechnology
company focused on
developing therapies to
treat cancer. The Companys
principal drug candidate is
APX3330 that targets a
molecule found in cancer
cells. APX3330 also targets
the APE1/Ref-1 redox
protein, a molecule found in
many cancers, including
tumors of the colon, lung,
breast, pancreas and others.
The Company is in the
process of Phase II clinical
development of APX3330 in a
variety of indications,
including cancer,
chemotherapy induced
peripheral neuropathy,
diabetic macular edema, and
others.
Indiana University Research
&amp; Technology Corp is a
college operator. The
Company is located in
Indiana.</t>
  </si>
  <si>
    <t xml:space="preserve">IN
IN</t>
  </si>
  <si>
    <t xml:space="preserve">APEXIAN PHARMACEUTICALS INC/INDIANA UNIVERSITY RESEARCH &amp; TECHNOLOGY
CORP-STRATEGIC ALLIANCE</t>
  </si>
  <si>
    <t xml:space="preserve">Apexian Pharmaceuticals Inc and Indiana University Research Technology Corp
formed a strategic alliance. The purpose of strategic alliance were to
protect, markets and licenses intellectual property developed at IU so it
can be commercialized by industry, for all technology developed at Mark
Kelley's laboratory.</t>
  </si>
  <si>
    <t xml:space="preserve">2J6042
2J6047</t>
  </si>
  <si>
    <t xml:space="preserve">Merck Sharp &amp; Dohme Corp
Urovant Sciences Inc</t>
  </si>
  <si>
    <t xml:space="preserve">Merck Sharp &amp; Dohme Corp,
located in Kenilworth, New
Jersey, is a manufacturer of
pharmaceutical preparation.
It is focused on researching
on hepatitis C, HIV,
diabetes and
immuno-oncology. The Company
was founded in 1891.
Urovant Sciences Inc is a
manufacturer of pharmaceutical
preparation. The Company is
located in New York.</t>
  </si>
  <si>
    <t xml:space="preserve">Merck &amp; Co Inc
Roivant Sciences Inc</t>
  </si>
  <si>
    <t xml:space="preserve">MERCK SHARP &amp; DOHME CORP/UROVANT SCIENCES INC-STRATEGIC ALLIANCE</t>
  </si>
  <si>
    <t xml:space="preserve">Merck Sharp Dohme Corp and Urovant Sciences Inc formed a strategic alliance
to develop and commercialize Vibegron.</t>
  </si>
  <si>
    <t xml:space="preserve">U58933
5F9150</t>
  </si>
  <si>
    <t xml:space="preserve">University of Strathclyde
BAE Systems PLC</t>
  </si>
  <si>
    <t xml:space="preserve">Own,op university
Mnfr civil,military aircraft</t>
  </si>
  <si>
    <t xml:space="preserve">Own and operate university
BAE Systems PLC, located in
London, United Kingdom,
manufactures civil and
aircraft, space vehicles,
engine parts, aircraft
equipment, and ammunition and
radio and television
communications equipment. The
Group's principal activity is
providing products and
services for air, land and
naval forces, as well as
advanced electronics,
information technology
solutions and customer support
services. It is organized in
five divisions. Programs and
Support comprises air, naval
and underwater based systems
for the United Kingdom. The
products include military
aircraft, destroyers and
submarines. Electronics,
Intelligence and Support
provides communications,
electronic identification,
navigation and guidance
systems, network-centric
warfare solutions and a range
support solutions. Land and
Armaments focuses on armored
combat vehicles, tactical
wheeled vehicles, naval guns,
missile launchers and
artillery systems.
International Businesses
provides aircraft, associated
hardware, support,
infrastructure and manpower
training for the Kingdom of
Saudi Arabia. The company
operates in six home markets
namely Australia, Saudi
Arabia, South Africa, Sweden,
UK and US. The group was
founded in 1977.</t>
  </si>
  <si>
    <t xml:space="preserve">8221
3721</t>
  </si>
  <si>
    <t xml:space="preserve">UNIVERSITY OF STRATHCLYDE/BAE SYSTEMS PLC-STRATEGIC ALLIANCE</t>
  </si>
  <si>
    <t xml:space="preserve">University of Strathclyde and British Aerospace PLC formed a strategic
alliance to strengthen a long-term relationship in research, education and
consultancy.</t>
  </si>
  <si>
    <t xml:space="preserve">91501H
05700Y</t>
  </si>
  <si>
    <t xml:space="preserve">Xian Global Printing Co Ltd
Shanghai Guiling Ind Co Ltd
Shanghai Jiuri Invest Mgmt Co</t>
  </si>
  <si>
    <t xml:space="preserve">Other Commercial Printing
Coal and Other Mineral and Ore Merchant Wholesalers
Investment management services</t>
  </si>
  <si>
    <t xml:space="preserve">Xi'an Global Printing Co
Ltd, located in Xi'An
China, provides printing
services. It mainly provide
packaging service to
pharmaceutical products. It
also manufactures packaging
boxes for medicines. It was
founded in 2007.
Shanghai Guiling Industry Co
Ltd is a mineral wholesaler.
The Company was founded in
April 2011 and is located in
Shanghai, China.
Shanghai Jiuri Investment
Management Co Ltd is a
investment advisor. The
Company is located in
Shanghai, China.</t>
  </si>
  <si>
    <t xml:space="preserve">2759
5052
6282</t>
  </si>
  <si>
    <t xml:space="preserve">XI'AN GLOBAL PRINTING CO LTD/SHANGHAI GUILING INDUSTRY CO LTD/SHANGHAI
JIURI INVESTMENT MANAGEMENT CO LTD-JOINT VENTURE</t>
  </si>
  <si>
    <t xml:space="preserve">Shanghai Jiuxu Environmental
Protection Technology Co Ltd
is a provider of social
sciences research and
development services. The
Company was founded in May
2017 and is located in
Shanghai, China.</t>
  </si>
  <si>
    <t xml:space="preserve">Xi'an Global Printing Co Ltd, Shanghai Guiling Industry Co Ltd and Shanghai
Jiuri Investment Management Co Ltd formed a 5:43:52 joint venture named
Shanghai Jiuxu Environmental Protection Technology Co Ltd to engage in
technology development in the field of environment protection, printing and
computer.. The JV was to be capitalized at CNY 500 mil (USD 73.497 mil).</t>
  </si>
  <si>
    <t xml:space="preserve">Research &amp; Development Services
Environmental Services
Printing &amp; Publishing Services</t>
  </si>
  <si>
    <t xml:space="preserve">5.00
43.00
52.00</t>
  </si>
  <si>
    <t xml:space="preserve">The JV was to be capitalized at CNY 500 mil (USD 73.497 mil).</t>
  </si>
  <si>
    <t xml:space="preserve">6F5962</t>
  </si>
  <si>
    <t xml:space="preserve">99495J
6F5961
6F5959</t>
  </si>
  <si>
    <t xml:space="preserve">Midatech Pharma PLC
Novartis AG</t>
  </si>
  <si>
    <t xml:space="preserve">Midatech Pharma PLC is
biopharmaceutical company.
It focuses on
commercializing and
developing products in
oncology and other
therapeutic areas. Its
segments include Pipeline
Research and Development,
and Commercial. The Pipeline
Research and Development
segment seeks to develop
products using the
nanomedicine and sustained
release technology
platforms. The Commercial
segment distributes and
sells the commercial
products. Its products
include Zuplenz, Gelclair,
Oravig and Soltamox. The
Company was founded in 2000
and is located in Abingdon,
the United Kingdom.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</si>
  <si>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MIDATECH PHARMA PLC/NOVARTIS AG-STRATEGIC ALLIANCE</t>
  </si>
  <si>
    <t xml:space="preserve">Midatech Pharma PLC and Novartis AG formed a strategic alliance wherein
Novartis AG licensed Midatech Pharma PLC it's oncology compound
panobinostat to investigate panobinostat for treatment of brain cancers.</t>
  </si>
  <si>
    <t xml:space="preserve">59564R
66987V</t>
  </si>
  <si>
    <t xml:space="preserve">Insulet Corp
Ascensia Diabetes Care Hldg AG</t>
  </si>
  <si>
    <t xml:space="preserve">Mnfr,whl medical devices
Pharmaceutical Preparation Manufacturing</t>
  </si>
  <si>
    <t xml:space="preserve">Insulet Corporation, located
in Bedford, Massachusetts,
manufactures and wholesales
medical services for providing
superior treatment options and
lifelong health benefits for
people with diabetes. It
offers OmniPod Insulin
Management System (OmniPod
System), an insulin infusion
system that provides a
pain-free automated cannula
insertion. The company was
founded in August 2000.
Ascensia Diabetes Care
Holdings AG is a manufacturer
of pharmaceutical preparation,
to provide products and
solutions that make a
positive, daily difference for
people with diabetes.The
Company was founded in 2016
and is located in Basel,
Switzerland.</t>
  </si>
  <si>
    <t xml:space="preserve">INSULET CORP/ASCENSIA DIABETES CARE HOLDINGS AG-STRATEGIC ALLIANCE</t>
  </si>
  <si>
    <t xml:space="preserve">Insulet Corp and Ascensia Diabetes Care Holdings AG formed a strategic
alliance, to connect contour next one bgms and omnipod dash pdm, provide
people living with diabetes with an innovative continuous insulin delivery
system to manage their diabetes, powered by remarkably accurate blood
glucose readings globally.</t>
  </si>
  <si>
    <t xml:space="preserve">45784P
5F9041</t>
  </si>
  <si>
    <t xml:space="preserve">Resources &amp; Energy Squatex Inc
INRS
NSERC</t>
  </si>
  <si>
    <t xml:space="preserve">Support Activities For Oil and Gas Operations
Research and Development in The Physical, Engineering and Lifesciences (Except Biotechnology)
Miscellaneous Intermediation</t>
  </si>
  <si>
    <t xml:space="preserve">Resources &amp; Energy Squatex
Inc is a provider of support
services for oil and gas
operations. The Company is
located in Canada.
National Institute For
Scientific Research is a
provider of research and
development services. The
Company is located in
Canada.
Natural Sciences And
Engineering Research Council
Of Canada is an
intermediating company. The
Company was founded in May
1978 and is located in
Ottawa, Canada.</t>
  </si>
  <si>
    <t xml:space="preserve">1382
8731
6799</t>
  </si>
  <si>
    <t xml:space="preserve">RESOURCES &amp; ENERGY SQUATEX INC/INRS/NSERC-STRATEGIC ALLIANCE</t>
  </si>
  <si>
    <t xml:space="preserve">Resources Energy Squatex Inc, National Institute For Scientific Research
and Natural Sciences And Engineering Research Council Of Canada planned to
form a strategic alliance. The purpose of strategic alliance were to
develop and improve a methodology for the analysis of the porosity in drill
cores by three-dimensional digital imaging (tomodensitometry).</t>
  </si>
  <si>
    <t xml:space="preserve">2J5753
2J5755
2J5756</t>
  </si>
  <si>
    <t xml:space="preserve">Andrew Alliance SA
Waters Corp</t>
  </si>
  <si>
    <t xml:space="preserve">Computer Systems Design Services
Manufacture,wholesale chromatography instrument systems</t>
  </si>
  <si>
    <t xml:space="preserve">Andrew Alliance SA is a
producer of new class of
easy-to-use robots and
connected devices that take
repeatability, performance
and efficiency of laboratory
experiments. The Company was
founded in March 2011 and is
located in Geneve,
Switzerland.
Waters Corp, located in
Milford, Massachusetts,
manufactures and wholesales
chromatography instrument
systems. It also offers mass
spectrometry instrument
systems and associated
service and support products
including chromatography
columns and other consumable
products for the
pharmaceutical, life
science, biochemical,
industrial, academic and
government industries, for
research and development,
quality assurance and other
laboratory applications. The
company was founded in 1958.</t>
  </si>
  <si>
    <t xml:space="preserve">7373
3826</t>
  </si>
  <si>
    <t xml:space="preserve">ANDREW ALLIANCE SA/WATERS CORP-STRATEGIC ALLIANCE</t>
  </si>
  <si>
    <t xml:space="preserve">Andrew Alliance SA and Waters Corp formed a strategic alliance to Co-Market
New Semi-Automated Sample Preparation Approach for Protein Therapeutics
Glycosylation Profiling.</t>
  </si>
  <si>
    <t xml:space="preserve">Research &amp; Development Services
Marketing Services
Health &amp; Medical Services</t>
  </si>
  <si>
    <t xml:space="preserve">6F9700
941848</t>
  </si>
  <si>
    <t xml:space="preserve">Tata Power Delhi Distn Ltd
Federal Test Centre</t>
  </si>
  <si>
    <t xml:space="preserve">Electric Power Distribution
Provide research,dvlp svcs</t>
  </si>
  <si>
    <t xml:space="preserve">Tata Power Delhi
Distribution Ltd is an
electric power distributor.
The Company is located in
India.
Federal Test Centre is a
provider of research and
development services. The
Company is located in the
Russian Federation.</t>
  </si>
  <si>
    <t xml:space="preserve">Tata Power Co Ltd
Federal Test Centre</t>
  </si>
  <si>
    <t xml:space="preserve">TATA POWER DELHI DISTRIBUTION LTD/FEDERAL TEST CENTRE-STRATEGIC ALLIANCE</t>
  </si>
  <si>
    <t xml:space="preserve">Tata Power Delhi Distribution Ltd and Federal Test Centre formed a
strategic alliance to development of smart grid technologies, renewables,
and for energy efficiency and conservation St. Petersburg, Russia.</t>
  </si>
  <si>
    <t xml:space="preserve">6F6217
6F5003</t>
  </si>
  <si>
    <t xml:space="preserve">Jiangsu Sunrain Solar Energy
CanmetENERGY</t>
  </si>
  <si>
    <t xml:space="preserve">Mnfr,whl solar water heater
Heating Equipment (Except Warm Air Furnaces) Manufacturing</t>
  </si>
  <si>
    <t xml:space="preserve">Jiangsu Sunrain Solar Energy
Co Ltd, located in China,
manufactures and wholesales
solar water heater and other
solar equipments. It was
founded in April 1997.
CanmetENERGY is a manufacturer
of heating equipment. The
Company is located in Canada.</t>
  </si>
  <si>
    <t xml:space="preserve">3433
3433</t>
  </si>
  <si>
    <t xml:space="preserve">Sunrain Holding Group Co Ltd
CanmetENERGY</t>
  </si>
  <si>
    <t xml:space="preserve">6799
3433</t>
  </si>
  <si>
    <t xml:space="preserve">JIANGSU SUNRAIN SOLAR ENERGY/CANMETENERGY-STRATEGIC ALLIANCE</t>
  </si>
  <si>
    <t xml:space="preserve">Jiangsu Sunrain Solar Energy Co Ltd and CanmetENERGY formed a strategic
alliance to engage in the development of solar seasonal storage district
heating systems in China.</t>
  </si>
  <si>
    <t xml:space="preserve">Research &amp; Development Services
Storage Services</t>
  </si>
  <si>
    <t xml:space="preserve">84233P
6F6016</t>
  </si>
  <si>
    <t xml:space="preserve">HTG Molecular Diagnostics Inc
Illumina Inc</t>
  </si>
  <si>
    <t xml:space="preserve">Surgical Appliance and Supplies Manufacturing
Manufacture,wholesale science tools,systems</t>
  </si>
  <si>
    <t xml:space="preserve">HTG Molecular Diagnostics
Inc is a manufacturer of
surgical appliance and
supplies. The Company was
founded in October 1997 and
is located in Tucson,
Arizona.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</si>
  <si>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3841
3826</t>
  </si>
  <si>
    <t xml:space="preserve">HTG MOLECULAR DIAGNOSTICS INC/ILLUMINA INC-STRATEGIC ALLIANCE</t>
  </si>
  <si>
    <t xml:space="preserve">HTG Molecular Diagnostics Inc and Illumina Inc formed a strategic alliance
in United States to amended and restated development and component supply
agreement of medical equiptments.</t>
  </si>
  <si>
    <t xml:space="preserve">Supply Services
Research &amp; Development Services
Health &amp; Medical Services</t>
  </si>
  <si>
    <t xml:space="preserve">40434H
452327</t>
  </si>
  <si>
    <t xml:space="preserve">ChromaDex Corp
Scripps Research Institute</t>
  </si>
  <si>
    <t xml:space="preserve">ChromaDex Corp, located in
Irvine, California,
manufactures and wholesales
pharmaceutical products
including botanical and
phytochemical products. The
Company was founded in 1999.
Scripps Research Institute,
located in La Jolla,
California, is a
biotechnology company
focused on basic biomedical
science. It is recognized
for its research in
immunology, molecular and
cellular biology, chemistry,
neurosciences, autoimmune
diseases, cardiovascular
diseases, virology, and
synthetic vaccine
development. The company was
founded in 1924.</t>
  </si>
  <si>
    <t xml:space="preserve">CHROMADEX CORP/SCRIPPS RESEARCH INSTITUTE-STRATEGIC ALLIANCE</t>
  </si>
  <si>
    <t xml:space="preserve">ChromaDex Corp and Scripps Research Institute formed a strategic alliance.
to identify the potential role of NIAGEN in treating breast cancer</t>
  </si>
  <si>
    <t xml:space="preserve">171077
81106Q</t>
  </si>
  <si>
    <t xml:space="preserve">Polaris Materials Corp
Eagle Rock Aggregates Inc.
CEMEX Inc</t>
  </si>
  <si>
    <t xml:space="preserve">Provides aggregate quarries construction and development svcs
Petroleum Bulk Stations and Terminals
Mnfr,whl cement,concrete prod</t>
  </si>
  <si>
    <t xml:space="preserve">Polaris Materials Corp,
located in Canada, provides
aggregate quarries
construction and development
services for the coastal
urban centers and marine
transport markets in the
Pacific coast of North
America. The company also
provides shipping services.
The Company was founded in
1999.
Eagle Rock Aggregates IncThe
Company was founded in 1970
and is located in Richmond,
California.
CEMEX Inc, located in Houston,
Texas, manufactures and
wholesales cement and concrete
products to construction
projects in the industrial,
commercial, residential and
municipal sectors.</t>
  </si>
  <si>
    <t xml:space="preserve">1622
5171
3241</t>
  </si>
  <si>
    <t xml:space="preserve">FF
CA
TX</t>
  </si>
  <si>
    <t xml:space="preserve">Polaris Materials Corp
Eagle Rock Aggregates Inc.
Cemex SAB de CV</t>
  </si>
  <si>
    <t xml:space="preserve">Canada
United States
Mexico</t>
  </si>
  <si>
    <t xml:space="preserve">POLARIS MATERIALS CORP/EAGLE ROCK AGGREGATES INC/CEMEX INC-STRATEGIC
ALLIANCE</t>
  </si>
  <si>
    <t xml:space="preserve">Polaris Materials Corp, Eagle Rock Aggregates Inc and CEMEX Inc terminated
their alliance prior to the expiration date. The purpose of strategic
alliance is ERA and CEMEX remain bound by the terms of an aggregate supply
and distribution agreement (the "ASDA") which provides for certain
exclusive marketing and distribution rights in parts of the Northern
California market, and which has an initial term expiring on September 25,
2027.</t>
  </si>
  <si>
    <t xml:space="preserve">Supply Services
Marketing Services
Research &amp; Development Services</t>
  </si>
  <si>
    <t xml:space="preserve">5C2782
2J5897
15077E</t>
  </si>
  <si>
    <t xml:space="preserve">adidas AG
Arizona State University</t>
  </si>
  <si>
    <t xml:space="preserve">Mnfr,whl athletic goods
Own,op college,university</t>
  </si>
  <si>
    <t xml:space="preserve">adidas AG is a manufacturer
of sporting and athletic
goods. It also manufactures
and wholesales athletic
footwear, sportswear and
sporting goods. The Company
offers a broad range of
products around three core
segments adidas, Reebok and
TaylorMade-adidas Golf
through its 150 subsidiaries
worldwide.The Company was
founded in August 1949 and
is located in
Herzogenaurach, Germany.
Arizona State University,
located in Tempe, Arizona,
owns and operates a college
and University. It offers Arts
&amp; Sciences, Business Courses,
Design &amp; Arts, Education,
Engineering, Graduate Studies,
Health Solutions, Journalism.
Law, Nursing and Technology &amp;
Innovations.</t>
  </si>
  <si>
    <t xml:space="preserve">3949
8221</t>
  </si>
  <si>
    <t xml:space="preserve">adidas AG
United States of America</t>
  </si>
  <si>
    <t xml:space="preserve">3949
999A</t>
  </si>
  <si>
    <t xml:space="preserve">ADIDAS AG/ARIZONA STATE UNIVERSITY-STRATEGIC ALLIANCE</t>
  </si>
  <si>
    <t xml:space="preserve">adidas AG and Arizona State University planned to form a strategic
alliance. The purpose of strategic alliance is aimed at shaping the future
of sport and amplifying sport's positive impact on society. Bringing
together education, athletics, research and innovation, the Global Sport
Alliance will explore topics including diversity, race, sustainability and
human potential, all through the lens of sport.</t>
  </si>
  <si>
    <t xml:space="preserve">Gaming Services
Educational Services
Research &amp; Development Services</t>
  </si>
  <si>
    <t xml:space="preserve">01274Z
04058F</t>
  </si>
  <si>
    <t xml:space="preserve">Nature One Dairy Pty Ltd
Sinopharm Group Co Ltd</t>
  </si>
  <si>
    <t xml:space="preserve">Dry, Condensed, and Evaporated Dairy Product Manufacturing
a drug store operator</t>
  </si>
  <si>
    <t xml:space="preserve">Nature One Dairy Pty Ltd,
located in Melbourne,
Australia, is a manufacturer
of dry dairy products.
Sinopharm Group Co Ltd is a
drug store operator. The
Company was founded in Jan
2003 and is located in
Shanghai, China.</t>
  </si>
  <si>
    <t xml:space="preserve">2023
5912</t>
  </si>
  <si>
    <t xml:space="preserve">Nature One Dairy Pty Ltd
China Natl Pharm Grp Corp</t>
  </si>
  <si>
    <t xml:space="preserve">2023
2834</t>
  </si>
  <si>
    <t xml:space="preserve">NATURE ONE DAIRY PTY LTD/SINOPHARM GROUP CO LTD-STRATEGIC ALLIANCE</t>
  </si>
  <si>
    <t xml:space="preserve">NATURE ONE DAIRY PTY LTD and Sinopharm Group Co Ltd formed a strategic
alliance. The purpose of strategic alliance is to allow the dairy to "tap
into Sinopharm's core business covering distribution, retail, research,
development and manufacture of prevention, treatment, diagnosis, care, and
other health-related products across China".</t>
  </si>
  <si>
    <t xml:space="preserve">Retail &amp; Wholesale Services
Research &amp; Development Services
Manufacturing Services
Health &amp; Medical Services</t>
  </si>
  <si>
    <t xml:space="preserve">0H0705
17012Q</t>
  </si>
  <si>
    <t xml:space="preserve">Respivert LTD
Pulmatrix Operating Co Inc</t>
  </si>
  <si>
    <t xml:space="preserve">Biotechnology co
Biological Product (Except Diagnostic) Manufacturing</t>
  </si>
  <si>
    <t xml:space="preserve">Respivert LTD is a
biotechnology company
headquartered in London,
United Kingdom. The company
identifies new treatments for
patients with Chronic
Obstructive Pulmonary Disease
(COPD), Cystic Fibrosis (CF)
and severe asthma.
Pulmatrix Operating Co Inc,
located in Lexington,
Massachusetts, is a
Biotechnology Company
focusing on inhaled
therapeutics in a novel dry
powder delivery platform.
Through its iSPERSE (inhaled
small particles easily
respirable and emitted)
platform, it represents
inhaled drug delivery using
particle engineering to
create dry powders with
unique properties:
aerodynamically small, dense
particles with highly
efficient dispersibility and
delivery to the airways.</t>
  </si>
  <si>
    <t xml:space="preserve">Centocor Ortho Biotech Inc
Pulmatrix Inc</t>
  </si>
  <si>
    <t xml:space="preserve">RESPIVERT LTD/PULMATRIX INC-STRATEGIC ALLIANCE</t>
  </si>
  <si>
    <t xml:space="preserve">Respivert LTD and Pulmatrix Inc. formed a strategic alliance wherein
Respivert LTD licensed Pulmatrix Inc. to utilize it's Novel Drug Candidates
inorder to develop and commercialize the drugs worldwide.</t>
  </si>
  <si>
    <t xml:space="preserve">76425X
0J9817</t>
  </si>
  <si>
    <t xml:space="preserve">PHI Group Inc
Hung Vuong Export Import And</t>
  </si>
  <si>
    <t xml:space="preserve">Pvd consultation,finl svcs
Commercial and Institutional Building Construction</t>
  </si>
  <si>
    <t xml:space="preserve">PHI Group Inc, located in
Huntington Beach,
California, is a provider of
consultation and financial
services, resources and
energy and real estate
services. Its services
include mergers and
acquisition advisory
services, management
consultation, corporate
restructuring, asset
management, fund management
and investment banking. It
is also involve in energy
and resources that includes
mining, independent oil and
gas, and alternative energy.
The real estate is engaged
in commercial, industrial,
and residential sectors. The
Company was founded in 1982
Hung Vuong Export Import And
Construction Jsc is a
commercial building
construction company. The
Company is located in
Vietnam.</t>
  </si>
  <si>
    <t xml:space="preserve">6282
1542</t>
  </si>
  <si>
    <t xml:space="preserve">United States
Vietnam</t>
  </si>
  <si>
    <t xml:space="preserve">PHI GROUP INC/HUNG VUONG EXPORT IMPORT AND CONSTRUCTION JSC-JOINT VENTURE</t>
  </si>
  <si>
    <t xml:space="preserve">PHI Group Inc and Hung Vuong Export Import And Construction Jsc planned to
form joint venture to conduct additional study, survey, and planning
towards the establishment of a 100-MW renewable energy power plant on a
100-hectare land area in Yen Binh District, Yen Bai Province, Northern
Vietnam.</t>
  </si>
  <si>
    <t xml:space="preserve">69338D
2J6040</t>
  </si>
  <si>
    <t xml:space="preserve">Baxter International Inc
Dorizoe Lifesciences Ltd</t>
  </si>
  <si>
    <t xml:space="preserve">Surgical and Medical Instrument Manufacturing
Research and Development in Biotechnology</t>
  </si>
  <si>
    <t xml:space="preserve">Baxter International Inc,
located in Deerfield,
Illinois, manufactures and
wholesale biological
products. The Company
manufactures and markets
products related to blood
and circulatory system
including biopharmaceutical
and blood collection and
separation products and
technologies, technologies
and systems to improve
intravenous medication
delivery, products and
services to treat end-stage
kidney disease, products and
services to treat late-stage
heart disease and vascular
disorders. The Company
operates through three
segments: BioScience,
Medication Delivery, and
Renal. The Company was
founded in 1931.
Dorizoe Lifesciences Ltd is
full service global Contract
Research &amp; Development
Organization specialized in
various dosage form including
parenteral, topical,
inhalation, ophthalmic &amp; oral
liquid. The Company was
founded in May 2011 and is
located in Ahmedabad, India.</t>
  </si>
  <si>
    <t xml:space="preserve">BAXTER INTERNATIONAL INC/DORIZOE LIFESCIENCES LTD-STRATEGIC ALLIANCE</t>
  </si>
  <si>
    <t xml:space="preserve">Baxter International Inc. and Dorizoe Lifesciences Ltd formed a strategic
alliance to further expand generic injectable pipeline.</t>
  </si>
  <si>
    <t xml:space="preserve">071813
6F0451</t>
  </si>
  <si>
    <t xml:space="preserve">GlaxoSmithKline PLC
Guangzhou Inst of Respiratory</t>
  </si>
  <si>
    <t xml:space="preserve">Pharmaceutical Preparation Manufacturing
Research and Development in The Physical, Engineering and Lifesciences (Except Biotechnology)</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</si>
  <si>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Guangzhou Institute of
Respiratory Diseases is a
provider of research and
development services. The
Company is located in
Guangzhou, China.</t>
  </si>
  <si>
    <t xml:space="preserve">GLAXOSMITHKLINE PLC/GUANGZHOU INSTITUTE OF RESPIRATORY DISEASES-STRATEGIC
ALLIANCE</t>
  </si>
  <si>
    <t xml:space="preserve">GlaxoSmithKline PLC and Guangzhou Institute of Respiratory Diseases planned
to form a strategic alliance to focus on respiratory disease management
system, including asthma and chronic obstructive pulmonary disease and to
develop a health big data system.</t>
  </si>
  <si>
    <t xml:space="preserve">Health &amp; Medical Services
Research &amp; Development Services
Data Processing Services</t>
  </si>
  <si>
    <t xml:space="preserve">37733W
5F9438</t>
  </si>
  <si>
    <t xml:space="preserve">Eli Lilly &amp; Co
Zymeworks Inc</t>
  </si>
  <si>
    <t xml:space="preserve">Manufactures,wholesales pharmaceuticals
Research and Development in Biotechnology</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</si>
  <si>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Zymeworks Inc is a provider
of biotechnology research
and development services.
The company was founded in
2003 and is located in
Vancouver, Canada.</t>
  </si>
  <si>
    <t xml:space="preserve">ELI LILLY &amp; CO/ZYMEWORKS INC-STRATEGIC ALLIANCE</t>
  </si>
  <si>
    <t xml:space="preserve">Eli Lilly Co and Zymeworks Inc formed a strategic alliance was to Zymeworks
has granted Lilly a worldwide, royalty-bearing licence to research, develop
and commercialize certain bispecific therapeutic candidates toward Lilly's
therapeutic targets. For these programs, Zymeworks is eligible to receive
further development and commercial milestone payments as well as tiered
royalties on product sales.</t>
  </si>
  <si>
    <t xml:space="preserve">532457
98985W</t>
  </si>
  <si>
    <t xml:space="preserve">Chongqing Taiji Ind Grp Co
Chongqing Dayi Tech Invest Co</t>
  </si>
  <si>
    <t xml:space="preserve">Chongqing Taiji Industry
Group Co Ltd is a
manufacturer and wholesaler
of pharmaceutical
preparation. The Company was
founded in November 1993 and
is located in Chongqing,
China.
Chongqing Dayi Technology
Investment Co Ltd is a
pharmaceutical manufacturing
firm, headquartered in China.
The company was principally
engaged in research and
development of Chinese and
Western medicine. The company
was founded in 1993.</t>
  </si>
  <si>
    <t xml:space="preserve">CHONGQING TAIJI INDUSTRY (GROUP) CO LTD/CHONGQING DAYI TECHNOLOGY-JOINT
VENTURE</t>
  </si>
  <si>
    <t xml:space="preserve">Chongqing Taiji Industry (Group) Co Ltd and Chongqing Dayi Technology
Investment Co Ltd planned to form a 51:49 joint venture named Chongqing
Taiji Pharma Research Institute Co Ltd to improve and develop medical and
health products and technology. The JV was to be capitalized at CNY 30 mil
(USD 4.419 mil).</t>
  </si>
  <si>
    <t xml:space="preserve">The JV was to be capitalized at CNY 30 mil (USD 4.419 mil).</t>
  </si>
  <si>
    <t xml:space="preserve">17057Q
17440M</t>
  </si>
  <si>
    <t xml:space="preserve">ProBioGen AG
TissUse GmbH</t>
  </si>
  <si>
    <t xml:space="preserve">ProBioGen AG, located in
Berlin, Germany, is a
biotechnology company. The
company is specialized in
mammalian cell technology.
The company was founded in
1994.
TissUse GmbH is a provider of
biotechnology research and
development services. The
Company is located in Berlin,
Germany.</t>
  </si>
  <si>
    <t xml:space="preserve">Triquera BV
TissUse GmbH</t>
  </si>
  <si>
    <t xml:space="preserve">PROBIOGEN AG/TISSUSE GMBH-STRATEGIC ALLIANCE</t>
  </si>
  <si>
    <t xml:space="preserve">ProBioGen AG and TissUse GmbH formed a strategic alliance to integrate
ProBioGens Human Artificial Lymph Node Model into the Multi-Organ-Chip
technology of TissUse in Germany.</t>
  </si>
  <si>
    <t xml:space="preserve">74564E
6F1130</t>
  </si>
  <si>
    <t xml:space="preserve">Mimetech Srl
Recordati SpA</t>
  </si>
  <si>
    <t xml:space="preserve">Mimetech Srl is a manufacturer
of pharmaceutical preparation.
The Company was founded in
December 2004 and is located
in Roma, Italy.
Recordati Industria Chimica
e Farmaceutica SpA, located
in Milan, Italy,
manufactures and wholesales
pharmaceuticals and
pharmaceutical chemicals for
treatment of rheumatic
diseases, respiratory and
urinary tract infections,
cardiovascular diseases and
diabetes. It also provides
research and development
services for the
pharmaceutical industry. The
Company's product lines are
used for treatment of
diseases in various
therapeutic areas, such as
viral infections,
cardiovascular, central
nervous system,
dermatological,
gastroenteritis,
genitor-urinary system,
gynecology, muscolo-skeletal
disorders and pain therapy.
Research activities are
currently focusing on new
drugs for cardiovascular and
urinary tract areas. It
operates in the UK, Italy,
France, Germany, Portugal,
Spain and Greece and other
countries. The Company was
founded in 1926.</t>
  </si>
  <si>
    <t xml:space="preserve">Mimetech Srl
FIMEI SpA</t>
  </si>
  <si>
    <t xml:space="preserve">MIMETECH SRL/RECORDATI INDUSTRIA CHIMICA E FARMACEUTICA SPA-STRATEGIC
ALLIANCE</t>
  </si>
  <si>
    <t xml:space="preserve">Mimetech Srl and Recordati Industria Chimica e Farmaceutica SpA formed a
strategic alliance to the development and subsequent marketing of a
peptidomimetic NGF (human nerve growth factor) globally low molecular
weight for the treatment of neurotrophic keratitis.</t>
  </si>
  <si>
    <t xml:space="preserve">Licensing Services
Health &amp; Medical Services
Research &amp; Development Services
Marketing Services</t>
  </si>
  <si>
    <t xml:space="preserve">6F1885
75625T</t>
  </si>
  <si>
    <t xml:space="preserve">Dalian Zhiyun Automation Co
Tesson New Energy (Shenzhen)
Nanfang Black Sesame Grp Co</t>
  </si>
  <si>
    <t xml:space="preserve">Instruments and Related Products Manufacturing For Measuring, Displaying, Controlling Variables
Primary Battery Manufacturing and Wholesaling
All Other Miscellaneous Food Manufacturing</t>
  </si>
  <si>
    <t xml:space="preserve">Dalian Zhiyun Automation Co
Ltd located in Dalian, China
is a manufacturer of
measuring, displaying and
controlling variables
instruments and related
products. The Company was
founded in November 1992.
Tesson New Energy (Shenzhen)
Ltd is a manufacturer and
wholesaler of primary
batteries. The Company was
founded in September 2015
and is located in Shenzhen,
China.
Nanfang Black Sesame Group
Co Ltd is a manufacturer and
wholesaler of foods. The
Company was founded in May
1993 and is located in
Nanning, China.</t>
  </si>
  <si>
    <t xml:space="preserve">3823
3692
2099</t>
  </si>
  <si>
    <t xml:space="preserve">Dalian Zhiyun Automation Co
Double Key International Ltd
Nanfang Black Sesame Grp Co</t>
  </si>
  <si>
    <t xml:space="preserve">China
Hong Kong
China</t>
  </si>
  <si>
    <t xml:space="preserve">3823
2671
2099</t>
  </si>
  <si>
    <t xml:space="preserve">DALIAN ZHIYUN AUTOMATION/TESSON NEW ENERGY (SHENZHEN) LTD/NANFANG BLACK
SESAME GROUP CO-JOINT VENTURE</t>
  </si>
  <si>
    <t xml:space="preserve">Dalian Zhiyun Automation Co Ltd, Tesson New Energy (Shenzhen) Ltd and
Nanfang Black Sesame Group Co Ltd planned to form a 10:60:30 joint venture
named Tesson Nanfang Power System Co Ltd to develop and produce new energy
batteries. The JV was to be capitalized at CNY 1 bil (USD 146.927 mil).</t>
  </si>
  <si>
    <t xml:space="preserve">10.00
60.00
30.00</t>
  </si>
  <si>
    <t xml:space="preserve">The JV was to be capitalized at CNY 1 bil (USD 146.927 mil).</t>
  </si>
  <si>
    <t xml:space="preserve">23986T
4E6705
62712H</t>
  </si>
  <si>
    <t xml:space="preserve">SSA SISTEMA PJSFC
Ruselectronics JSC</t>
  </si>
  <si>
    <t xml:space="preserve">Wired Telecommunications Carriers
Provide research,dvlp svcs</t>
  </si>
  <si>
    <t xml:space="preserve">SSA Sistema PJSFC, located
in Moscow, Russian
Federation, is a provider of
telecommunications and
investment services. Through
its subsidiaries it is also
engaged in hardware and
software solutions,
insurance, reinsurance and
related products and banking
business. It also includes
other businesses such as
real estate, retail, media,
travel services,
international operations,
radio and space technology,
pharmaceuticals and
biotechnology. It is also a
vertically-integrated
holding company. The Company
was founded in 1993.
Ruselectronics JSC is a
provider of research and
development services. The
Company was founded in 2009
and is located in Moscow,
the Russian Federation.</t>
  </si>
  <si>
    <t xml:space="preserve">4813
8731</t>
  </si>
  <si>
    <t xml:space="preserve">SSA SISTEMA PJSFC
Russian Federation</t>
  </si>
  <si>
    <t xml:space="preserve">4813
999A</t>
  </si>
  <si>
    <t xml:space="preserve">SSA SISTEMA PJSFC/RUSELECTRONICS JSC-JOINT VENTURE</t>
  </si>
  <si>
    <t xml:space="preserve">SSA Sistema PJSFC and Ruselectronics JSC planned to form a joint venture in
the area of microelectronics in Russia.</t>
  </si>
  <si>
    <t xml:space="preserve">X0020N
76768T</t>
  </si>
  <si>
    <t xml:space="preserve">Safran SA
Diotasoft SAS</t>
  </si>
  <si>
    <t xml:space="preserve">Other Aircraft Parts and Auxiliary Equipment Manufacturing
Develop prepackaged software</t>
  </si>
  <si>
    <t xml:space="preserve">Safran SA, located in Paris,
France, manufactures and
wholesales aircraft
propulsion units, aircraft
equipment, mobile phones,
digital televisions, cables,
navigation and security
equipment. The Group
operates under four major
segments, Aerospace
propulsion, Defense
Security, Aircraft Equipment
and Communication and
Terminals. Under Aerospace
propulsion, the Group offers
aero engines for civil and
military airplanes. The
Company also offers
propulsion systems,
equipment for launchers,
satellites and space
vehicles. Under Defense
security, it offers security
and defense electronics such
as inertial navigation
systems, Optronics system,
information and command
control system and Biometric
identification systems.
Under Aircraft Equipment, it
offers aircraft engine
nacelles, landing gear,
wheels and carbon brakes and
aircraft wiring. Under
Communication and Terminals,
it offers printing
terminals, residential
terminals, digital TV
set-top boxes and broadband
networks and operates mainly
in Europe. The Company was
founded in 1904.
Diotasoft SAS is a software
publisher. It develops
augmented reality software
for industrial usage. The
Company was founded in 2009
and is located in Massy,
France.</t>
  </si>
  <si>
    <t xml:space="preserve">3728
7372</t>
  </si>
  <si>
    <t xml:space="preserve">SAFRAN SA/DIOTASOFT SAS-STRATEGIC ALLIANCE</t>
  </si>
  <si>
    <t xml:space="preserve">Safran SA and Diotasoft SAS formed a strategic alliance to research and
development work for Safran Electrical &amp; Power products, equipment and
services in France.</t>
  </si>
  <si>
    <t xml:space="preserve">6E5093
8E8174</t>
  </si>
  <si>
    <t xml:space="preserve">GenePeeks Inc
Alliance Global Group Inc</t>
  </si>
  <si>
    <t xml:space="preserve">GenePeeks Inc, located in
New York City, New York, is
a provider of biotechnology
research and development
services. It is focused on
customers using sperm banks
and egg donors to conceive.
It offers various platforms,
such as Variant Gene
Dysfunction, Virtual Progeny
Analytics (VPA), Genes and
Diseases, and Research
Browser. Its Variant Gene
Dysfunction platform is a
conventional carrier test,
which has two outcomes based
on the deoxyribonucleic acid
(DNA) variant, which is
either disease-causing or
benign. Its VPA platform
simulates human reproduction
by creating virtual sperm
and virtual egg DNA
sequences that are then
combined to create genomes
called virtual progeny. Its
Genes and Diseases platform
offers the Previde analysis,
which examines a set of
genes that are associated
with over 1,000
life-threatening or
life-altering genetic
diseases. Its Research
Browser platform offers
GenePeeks Research Browser.
Its Previde's gene coverage
with next generation
sequencing includes coding
regions and adjacent splice
sites. The Company was
founded in 2009.
Alliance Global Group Inc is
a provider of biotechnology
research and development
services. The Company is
located in Dubai, the United
Arab Emirates.</t>
  </si>
  <si>
    <t xml:space="preserve">GENEPEEKS INC/ALLIANCE GLOBAL GROUP INC-STRATEGIC ALLIANCE</t>
  </si>
  <si>
    <t xml:space="preserve">GenePeeks Inc and Alliance Global Group Inc formed a strategic alliance to
bring GenePeeks Virtual Progeny Analytics (VPA) technology platform to
select markets in the Middle East and Africa.</t>
  </si>
  <si>
    <t xml:space="preserve">6F2605
6F2614</t>
  </si>
  <si>
    <t xml:space="preserve">CNNE Resources Co Ltd
N Shengda (Beijing) Technical
Beijing Hua Tuo Education Tech
Beijing Yuan Yin Due</t>
  </si>
  <si>
    <t xml:space="preserve">Hydroelectric Power Generation
Miscellaneous Financial Investment Activities
Pvd education services
Miscellaneous Financial Investment Activities</t>
  </si>
  <si>
    <t xml:space="preserve">CNNE Resources Co Ltd is a
hydroelectric power
generation facility
operator. The Company was
founded in July 2012 and is
located in Beijing, China.
North Shengda (Beijing)
Technical Trading Co Ltd is a
provider of financial
investment services. The
Company is located in Beijing,
China.
Beijing Hua Tuo Education
Technology Co Ltd, located in
China, is a provider of
Education services.
Beijing Yuan Yin Due Diligence
and Consulting Co Ltd is a
provider of financial
investment services. The
Company is located in Beijing,
China.</t>
  </si>
  <si>
    <t xml:space="preserve">4911
6799
8299
6799</t>
  </si>
  <si>
    <t xml:space="preserve">CNNE Resources Co Ltd
N Shengda (Beijing) Technical
China E-Info Tech Grp Ltd
Beijing Yuan Yin Due</t>
  </si>
  <si>
    <t xml:space="preserve">China
China
Hong Kong
China</t>
  </si>
  <si>
    <t xml:space="preserve">CHINA NUCLEAR RESOURCES GRP/N SHENGDA (BEIJING) TECHNICAL/BEIJING HUA TUO
EDUCATION TECH/BEIJING YUAN YIN DUE-JOINT VENTURE</t>
  </si>
  <si>
    <t xml:space="preserve">China Nuclear Resources Group Co Ltd, North Shengda (Beijing) Technical
Trading Co Ltd, Beijing Hua Tuo Education Technology Co Ltd and Beijing
Yuan Yin Due Diligence and Consulting Co Ltd planned to form a 35:19:36:10
joint venture named Nuclear Inspection Electron Beam Technology Co Ltd to
focus on research and development of civil irradiation technologies,
application of irradiation technologies in the provision of professional
sterilization services for and improvement of material performance of
agricultural by-products, medical products, food and application materials;
treatment of solid, liquid and gas waste; technical development, technical
consulting, etc. The JV was to be capitalized at CNY 100 mil (USD 14.685
mil).</t>
  </si>
  <si>
    <t xml:space="preserve">35.00
19.00
36.00
10.00</t>
  </si>
  <si>
    <t xml:space="preserve">The JV was to be capitalized at CNY 100 mil (USD 14.685 mil).</t>
  </si>
  <si>
    <t xml:space="preserve">6F0783
6F0788
07904F
6F0790</t>
  </si>
  <si>
    <t xml:space="preserve">Tabula Rasa Healthcare Inc
Tandigm Health</t>
  </si>
  <si>
    <t xml:space="preserve">Software Publishers
All Other Miscellaneous Ambulatory Health Care Services</t>
  </si>
  <si>
    <t xml:space="preserve">Tabula Rasa Healthcare Inc,
located in Moorestown, New
Jersey, is a provider of
patient-specific,
data-driven technology and
solutions that enable
healthcare organizations to
optimize medication regimens
to improve patient outcomes,
reduce hospitalizations and
manage risk. It delivers its
solutions through a suite of
technology-enabled products
and services for medication
risk management, which
includes bundled
prescription fulfillment and
adherence packaging services
for client populations with
complex prescription needs.
It also provides risk
adjustment services, which
help its clients to properly
characterize a patient's
acuity, or severity of
health condition, and
optimize the associated
payments for care. The
Company serves approximately
100 healthcare organizations
that focus on populations
with complex healthcare
needs and extensive
medication requirements.
Tandigm Health, locaten in
United States, is an owner and
operator of helthcare centres.</t>
  </si>
  <si>
    <t xml:space="preserve">Tabula Rasa Healthcare Inc
Independence Blue Cross Inc</t>
  </si>
  <si>
    <t xml:space="preserve">7372
6321</t>
  </si>
  <si>
    <t xml:space="preserve">TABULA RASA HEALTHCARE INC/TANDIGM HEALTH-STRATEGIC ALLIANCE</t>
  </si>
  <si>
    <t xml:space="preserve">Tabula Rasa Healthcare Inc and Tandigm Health formed a strategic alliance
in United States to improve medication regimen assessments for high-risk
patients transitioning to home care.</t>
  </si>
  <si>
    <t xml:space="preserve">9E3754
0C0627</t>
  </si>
  <si>
    <t xml:space="preserve">Pfizer Inc
eFFECTOR Therapeutics Inc
Merck KGaA</t>
  </si>
  <si>
    <t xml:space="preserve">Manufacture,wholesale pharmaceuticals
Pharmaceutical Preparation Manufacturing
Manufactures and wholesales pharmaceuticals, specialty chemicals, and cosmetic pigments</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</si>
  <si>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eFFECTOR Therapeutics, Inc.
is a United States-based
biopharmaceutical company.
The Company is engaged in
the discovery and
development of translation
regulators as a new class of
small molecule therapeutics
that control gene expression
for the treatment of cancer
and other diseases. The
Company's products pipeline
consists of eFT508, eIF4E
and eIF4A. The Company's
eFT508 is an orally
bioavailable MNK1 and MNK2
inhibitor. MNK1 and MNK2
integrate signals from
oncogenic and immune
signaling pathways by
phosphorylating eukaryotic
initiation factor 4E (eIF4E)
and other messenger
ribonucleic acid (mRNA)
binding proteins. Its eIF4E,
an mRNA cap-binding protein,
is a component of the eIF4F
translation initiation
complex and is rate limiting
for the translation of
multiple drivers of
tumorogenesis. The
Company's eIF4A, a
RNA-helicase, is a component
of the eIF4F translation
initiation complex and is
required for translation of
oncogenes. The Company
operates in San Diego,
California.
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</si>
  <si>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NY
CA
FF</t>
  </si>
  <si>
    <t xml:space="preserve">PFIZER INC/EFFECTOR THERAPEUTICS INC/MERCK KGAA-STRATEGIC ALLIANCE</t>
  </si>
  <si>
    <t xml:space="preserve">Pfizer Inc, eFFECTOR Therapeutics Inc and Merck KGaA formed a strategic
alliance, to evaluate a novel immuno-oncology combination in microsatellite
stable colorectal cancer.</t>
  </si>
  <si>
    <t xml:space="preserve">717081
6F1415
589339</t>
  </si>
  <si>
    <t xml:space="preserve">Agricultural Bank of China Ltd
Baidu Inc</t>
  </si>
  <si>
    <t xml:space="preserve">Commercial Banking
Pvd Internet search engine svc</t>
  </si>
  <si>
    <t xml:space="preserve">Agricultural Bank of China
Ltd located in Beijing,
China is a commercial bank.
The Company was founded in
1951.
Baidu Inc, located in
Beijing, China, provides
Chinese language Internet
search engine services with
functional product coverage
such as regional search,
movie, map, ancient
literature, government,
education, new, mobile and
file search, entertainment,
yellow pages, postal codes,
legal, education, blog and
videos. The Company was
founded in 1999.</t>
  </si>
  <si>
    <t xml:space="preserve">6000
7375</t>
  </si>
  <si>
    <t xml:space="preserve">AGRICULTURAL BANK OF CHINA LTD/BAIDU INC-STRATEGIC ALLIANCE</t>
  </si>
  <si>
    <t xml:space="preserve">Agricultural Bank of China Ltd and Baidu Inc formed a strategic alliance to
build intelligent bank that uses big data, artificial intelligence and
cloud computing., work together in the fields customer profiling,
evaluation of customer credit, risk monitoring, and intelligent equity
financing and investment services in China.</t>
  </si>
  <si>
    <t xml:space="preserve">Financial Services
Banking Services
Software Development Services
Research &amp; Development Services</t>
  </si>
  <si>
    <t xml:space="preserve">00890G
056752</t>
  </si>
  <si>
    <t xml:space="preserve">Navidea Biopharmaceuticals Inc
Sayre Therapeutics Pvt Ltd</t>
  </si>
  <si>
    <t xml:space="preserve">Navidea Biopharmaceuticals
Inc, located in Dublin, Ohio,
is a biomedical technology
company that provides
innovative surgical and
diagnostic oncology products
that meet the critical
interoperative, diagnostic and
therapeutics treatment needs
such as gamma detection
devices, blood flow
measurement and
investigational initiatives.
The company operates in the US
and Europe. It also focuses to
explore the development of its
activated cellular therapy
technology for
patient-specific disease
treatment through its
subsidiary, Cira Biosciences
Inc. The company was founded
in 1984.
Sayre Therapeutics Pvt Ltd is
a manufacturer of
pharmaceutical preparation, it
focus on bringing hitherto
unavailable novel medicines,
drug-delivery devices,
companion diagnostics and
diagnostic imaging agents to
medical oncologists, surgical
oncologists, radiation
oncologists, interventional
radiologists and
rheumatologists. The Company
was founded in April 2015 and
is located in Bangalore,
India.</t>
  </si>
  <si>
    <t xml:space="preserve">NAVIDEA BIOPHARMACEUTICALS INC/SAYRE THERAPEUTICS PVT LTD-STRATEGIC
ALLIANCE</t>
  </si>
  <si>
    <t xml:space="preserve">Navidea Biopharmaceuticals Inc and Sayre Therapeutics Pvt Ltd formed a
strategic alliance to license and distribution agreement for the
development and commercialization of tc 99m tilmanocept in India.</t>
  </si>
  <si>
    <t xml:space="preserve">Licensing Services
Supply Services
Health &amp; Medical Services
Research &amp; Development Services</t>
  </si>
  <si>
    <t xml:space="preserve">63937X
4F0949</t>
  </si>
  <si>
    <t xml:space="preserve">Jubilant Life Sciences Ltd
Barentz International BV</t>
  </si>
  <si>
    <t xml:space="preserve">Manufacture, wholesale pharmacy, specialty chemicals
Other Grocery and Related Products Merchant Wholesalers</t>
  </si>
  <si>
    <t xml:space="preserve">Jubilant Life Sciences Ltd,
located in Noida, India,
manufactures and wholesales
pharmaceuticals and
specialty chemicals. These
products primarily have
applications in the
pharmaceutical,
agrochemical, textiles, and
food industries. It also
offers related research
services. It markets its
products and services in
India, the United States of
America, Europe, China, and
rest of Asia. The Company
was founded in 1978.
Barentz International BV,
located in Hoofddorp,
Netherlands, wholesales and
distributes raw materials
for the processing industry
such as ingredients and
additives. The Company
offers ingredients and
additives for coatings &amp;
inks, construction
chemicals, detergents,
specialty additives for
chemical applications, food
ingredients, complete
portfolio of animal and
plant proteins, customized
nutritional blends,
fortification blends,
antioxidant premixes,
pharmaceutical ingredients,
APIs, cosmetic active
ingredients, personal care
ingredients, animal
nutrition &amp; feed ingredients
and additives. The Company
was founded in 1953.</t>
  </si>
  <si>
    <t xml:space="preserve">2834
5149</t>
  </si>
  <si>
    <t xml:space="preserve">India
Netherlands</t>
  </si>
  <si>
    <t xml:space="preserve">JUBILANT LIFE SCIENCES LTD/BARENTZ INTERNATIONAL BV-STRATEGIC ALLIANCE</t>
  </si>
  <si>
    <t xml:space="preserve">Sri Lanka
Pakistan
Nepal
Bangladesh
India</t>
  </si>
  <si>
    <t xml:space="preserve">Foreign
Foreign
Foreign
Foreign
Foreign</t>
  </si>
  <si>
    <t xml:space="preserve">Jubilant Life Sciences Ltd and Barentz International BV formed a strategic
alliance to work together within the food &amp; nutrition market in India and
its neighbouring countries. The collaboration aims at delivering solutions
in food nutrition and fortification.</t>
  </si>
  <si>
    <t xml:space="preserve">Services (NEC)
Research &amp; Development Services
Marketing Services</t>
  </si>
  <si>
    <t xml:space="preserve">Y44787
0C9683</t>
  </si>
  <si>
    <t xml:space="preserve">Deutsches Zentrum fuer Luft un
Onera (Office Natl Detudes Et
Airbus SAS</t>
  </si>
  <si>
    <t xml:space="preserve">Pvd research,dvlp svcs
Space Research and Technology
Manufacture aircraft</t>
  </si>
  <si>
    <t xml:space="preserve">Deutsches Zentrum fuer Luft
und Raumfahrt EV is a
provider of research and
development services. The
Company is located in
Cologne, Germany.
Onera (Office National Detudes
Et De Recherches
Aerospatiales) is a space
research establishment. The
Company is located in France.
Airbus SAS is a manufacturer
of aircrafts. It specializes
in manufacturing of
commercial jets, civil
airline aircrafts, and
military transport
aircrafts. It has sixteen
sites in Germany, France,
the United Kingdom and
Spain. Airbus has
subsidiaries in the United
States, Japan, China and
India. The Company was
founded in 1970 and is
located in Blagnac, France.</t>
  </si>
  <si>
    <t xml:space="preserve">8731
9661
3721</t>
  </si>
  <si>
    <t xml:space="preserve">Deutsches Zentrum fuer Luft un
Onera (Office Natl Detudes Et
Airbus SE</t>
  </si>
  <si>
    <t xml:space="preserve">Germany
France
Netherlands</t>
  </si>
  <si>
    <t xml:space="preserve">DEUTSCHES ZENTRUM FUER/ONERA (OFFICE NATIONAL DETUDES ET DE RECHERCHES
AEROSPATIALES)/AIRBUS SAS-STRATEGIC ALLIANCE</t>
  </si>
  <si>
    <t xml:space="preserve">Deutsches Zentrum fuer Luft und Raumfahrt EV, Onera (Office National
Detudes Et De Recherches Aerospatiales) and Airbus SAS formed a strategic
alliance to develop new software in the area of Computational Fluid
Dynamics (CFD).</t>
  </si>
  <si>
    <t xml:space="preserve">25205F
1F1645
00966H</t>
  </si>
  <si>
    <t xml:space="preserve">Expres2ion Biotechnologies ApS
Nextgen Vaccines Aps</t>
  </si>
  <si>
    <t xml:space="preserve">Biological Product (Except Diagnostic) Manufacturing
All Other Miscellaneous Ambulatory Health Care Services</t>
  </si>
  <si>
    <t xml:space="preserve">Expres2ion Biotechnologies ApS
is a manufacturer of
biological products. The
Company was founded in 2010
and is located in Hoersholm,
Denmark.
NextGen Vaccines ApS is a
provider of ambulatory
health care services. The
Company is located in
Copenhagen, Denmark.</t>
  </si>
  <si>
    <t xml:space="preserve">ExpreS2ion Biotech Holding AB
University of Copenhagen</t>
  </si>
  <si>
    <t xml:space="preserve">Sweden
Denmark</t>
  </si>
  <si>
    <t xml:space="preserve">EXPRES2ION BIOTECHNOLOGIES APS/NEXTGEN VACCINES APS-JOINT VENTURE</t>
  </si>
  <si>
    <t xml:space="preserve">AdaptVac ApS is a
manufacturer of biological
products. The Company was
founded in June 2017 and is
located in Hoersholm,
Denmark.</t>
  </si>
  <si>
    <t xml:space="preserve">Expres2ion Biotechnologies ApS and NextGen Vaccines ApS formed joint
venture named AdaptVac ApS in Denmark for accelerated development of new,
improved vaccines and immune therapy.</t>
  </si>
  <si>
    <t xml:space="preserve">2J5256</t>
  </si>
  <si>
    <t xml:space="preserve">6F9060
2J5254</t>
  </si>
  <si>
    <t xml:space="preserve">Merck &amp; Co Inc
Serimmune Inc</t>
  </si>
  <si>
    <t xml:space="preserve">Manufactures and wholesales pharmaceuticals
Biotechnology company</t>
  </si>
  <si>
    <t xml:space="preserve">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
Serimmune Inc is a
manufacturer of biological
products, develops multiplexed
serological diagnostics and
therapeutics for autoimmune.
The Company is located in
Santa Barbara, California.</t>
  </si>
  <si>
    <t xml:space="preserve">MERCK &amp; CO INC/SERIMMUNE INC-STRATEGIC ALLIANCE</t>
  </si>
  <si>
    <t xml:space="preserve">Merck Co Inc and Serimmune Inc formed a strategic alliance to enter into a
research and development collaboration agreement with Merck &amp; Co in the
United States.</t>
  </si>
  <si>
    <t xml:space="preserve">58933Y
6F5113</t>
  </si>
  <si>
    <t xml:space="preserve">Angion Biomedica Corp
Elexopharm GmbH</t>
  </si>
  <si>
    <t xml:space="preserve">Angion Biomedica Corp, located
in Uniondale, New York, is a
clinical stage
biopharmaceutical company. It
is focus on the discovery and
clinical development of novel
therapeutic agents to treat
acute and chronic organ injury
by harnessing the bodys
protective, reparative and
regenerative systems. The
company was founded in 1998.
Elexopharm GmbH is a provider
of biotechnology research and
development services. The
Company is located in
Saarbruecken, Germany.</t>
  </si>
  <si>
    <t xml:space="preserve">ANGION BIOMEDICA CORP/ELEXOPHARM GMBH-STRATEGIC ALLIANCE</t>
  </si>
  <si>
    <t xml:space="preserve">Angion Biomedica Corp and Elexopharm GmbH formed a strategic alliance to
complement Ongoing Program in Chronic Kidney Disease.</t>
  </si>
  <si>
    <t xml:space="preserve">0C0751
6F5397</t>
  </si>
  <si>
    <t xml:space="preserve">Biological E Ltd
Takeda Pharmaceutical Co Ltd</t>
  </si>
  <si>
    <t xml:space="preserve">Mnfr pharm,biological prods
Mnfr pharmaceutical products</t>
  </si>
  <si>
    <t xml:space="preserve">Biological E Ltd, located in
Hyderabad, India,
manufactures pharmaceutical
and biological products.
Some products of the company
are: vaccines;
anti-infectives; analgesics;
anticoagulants and others.
The comapny was previously
known as Biological Products
Pvt Ltd. The company was
founded in 1953.
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</si>
  <si>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BIOLOGICAL E LTD/TAKEDA PHARMACEUTICAL CO LTD-STRATEGIC ALLIANCE</t>
  </si>
  <si>
    <t xml:space="preserve">Biological E Ltd and Takeda Pharmaceutical Co Ltd formed a strategic
alliance was alliance to develop low-cost combination vaccines including
diphtheria, tetanus and acellular pertussis (DTaP) and measles-rubella (MR)
vaccines in India, China and low- and middle-income countries where large,
unmet public health needs exist.</t>
  </si>
  <si>
    <t xml:space="preserve">09300P
874058</t>
  </si>
  <si>
    <t xml:space="preserve">Selexis SA
Takeda Pharmaceutical Co Ltd</t>
  </si>
  <si>
    <t xml:space="preserve">Selexis SA is a manufacturer
of biological products. The
Company is located in
Plan-Les-Ouates Geneva,
Switzerland.
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</si>
  <si>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SELEXIS SA/TAKEDA PHARMACEUTICAL CO LTD-STRATEGIC ALLIANCE</t>
  </si>
  <si>
    <t xml:space="preserve">Selexis SA and Takeda Pharmaceutical Co Ltd formed a strategic alliance to
provide Takeda Pharmaceutical Co Ltd with access to high-performance
research cell banks developed using the Selexis SUREtechnology
Platform.Takeda is leveraging Selexis mammalian cell line-based protein
expression platform to develop recombinant fusion proteinsin Japan.</t>
  </si>
  <si>
    <t xml:space="preserve">81652J
874058</t>
  </si>
  <si>
    <t xml:space="preserve">Mithra Pharmaceuticals Sa
Fuji Pharma Co Ltd</t>
  </si>
  <si>
    <t xml:space="preserve">Mithra Pharmaceuticals SA,
located in Liege, Belgium,
manufactures pharmaceuticals
products. The Company
specializes in
contraceptives for women. It
was founded in May 1999.
Fuji Pharma Co Ltd, based in
Tokyo, Japan, mainly engaged
in the manufacture and sale
of medical products. The
Company is engaged in the
manufacture and sale of
hormone medicines for
obstetrics and gynecology
department, as well as
injectable drugs for
radiological department such
as radiopaque dye for
urinary tracts and blood
vessels through seven
branches. The Company sells
its products to medicine
wholesalers and national
medicine institutions. The
Company was founded in 1954.</t>
  </si>
  <si>
    <t xml:space="preserve">MITHRA PHARMACEUTICALS SA/FUJI PHARMA CO LTD-STRATEGIC ALLIANCE</t>
  </si>
  <si>
    <t xml:space="preserve">Mithra Pharmaceuticals SA and Fuji Pharma Co Ltd formed a strategic
alliance to grant Fuji the exclusive license and supply agreement for the
commercialization of Donesta in Japan and ASEAN territories</t>
  </si>
  <si>
    <t xml:space="preserve">2C3061
35926K</t>
  </si>
  <si>
    <t xml:space="preserve">W Yorkshire Combined Auth
Leeds City Region Entrp
Innovate UK(Tech Strategy</t>
  </si>
  <si>
    <t xml:space="preserve">Regulation and Administration Of Transportation Programs
Regulation and Administration Of Transportation Programs
Research and Development in The Social Sciences and Humanities</t>
  </si>
  <si>
    <t xml:space="preserve">West Yorkshire Combined
Authority is a government
regulation establishment for
transportation. The Company
was founded in April 2014 and
is located in New Zealand.
Leeds City Region Enterprise
Partnership is a government
regulation establishment for
transportation. The Company is
located in the United Kingdom.
Innovate UK is a provider of
social sciences research and
development services. The
Company was founded in July
2007 and is located in
Swindon, the United Kingdom.</t>
  </si>
  <si>
    <t xml:space="preserve">9621
9621
8733</t>
  </si>
  <si>
    <t xml:space="preserve">New Zealand
United Kingdom
United Kingdom</t>
  </si>
  <si>
    <t xml:space="preserve">WEST YORKSHIRE COMBINED AUTHORITY/LEEDS CITY REGION ENTERPRISE
PARTNERSHIP/INNOVATE UK-STRATEGIC ALLIANCE</t>
  </si>
  <si>
    <t xml:space="preserve">West Yorkshire Combined Authority, Leeds City Region Enterprise Partnership
and Innovate UK formed a strategic alliance for innovation and development
across Leeds City Region.</t>
  </si>
  <si>
    <t xml:space="preserve">Industrial Maintenance Services
Modernization Services
Research &amp; Development Services</t>
  </si>
  <si>
    <t xml:space="preserve">6F6127
6F6134
6F6172</t>
  </si>
  <si>
    <t xml:space="preserve">Jagotec AG
Sandoz AG</t>
  </si>
  <si>
    <t xml:space="preserve">Jagotec AG is a manufacturer
of pharmaceutical preparation.
The Company was founded in
March 2000 and is located in
Muttenz, Switzerland.
Sandoz AG, located in Basel,
Switzerland, manufactures
prescription pharmaceuticals
intended for final
consumption, including biotech
products and antibiotics.</t>
  </si>
  <si>
    <t xml:space="preserve">Vectura Group PLC
Sandoz AG</t>
  </si>
  <si>
    <t xml:space="preserve">JAGOTEC AG/SANDOZ AG-STRATEGIC ALLIANCE</t>
  </si>
  <si>
    <t xml:space="preserve">Jagotec AG and Sandoz AG formed a strategic alliance for the development of
a generic of an existing major inhaled combination therapy for asthma and
COPD in the US (VR2081) delivered using a pressurised metered dose inhaler
(pMDI).</t>
  </si>
  <si>
    <t xml:space="preserve">6F5133
0C7404</t>
  </si>
  <si>
    <t xml:space="preserve">M Pharmaceutical Inc
Undisclosed JV Partner</t>
  </si>
  <si>
    <t xml:space="preserve">M Pharmaceutical Inc,
located in Vancouver,
British Columbia, is a
biotechnology company. It is
committed to developing and
commercializing innovative
biomedical technologies that
improve the health and
quality of life for people
affected by obesity and
diabetes.
Investment company</t>
  </si>
  <si>
    <t xml:space="preserve">M PHARMACEUTICAL INC/UNDISCLOSED PARTNER-STRATEGIC ALLIANCE</t>
  </si>
  <si>
    <t xml:space="preserve">In January 1, M Pharmaceutical Inc and Undisclosed Joint Venture Partner
were seeking partners to form an alliance. The purpose of strategic
alliance were to get the help develop its c-103 reformulated orlistat
weight loss drug.</t>
  </si>
  <si>
    <t xml:space="preserve">6C1157
904JVP</t>
  </si>
  <si>
    <t xml:space="preserve">Peptidream Inc
Heptares Therapeutics</t>
  </si>
  <si>
    <t xml:space="preserve">Research and Development in The Social Sciences and Humanities
Pharmaceutical Preparation Manufacturing</t>
  </si>
  <si>
    <t xml:space="preserve">Peptidream Inc, located in
Tokyo, Japan, is engaged in
research and development of
the pharmaceutical companies
in Japan and overseas, take
advantage of PDPS which is
drug discovery platform
system and research and
development of new drug
candidates. The company was
founded in 2006.
Heptares Therapeutics Ltd,
located in Hertfordshire,
UK, manufacture
pharmaceuticals. The Company
is focused on the discovery
and development of drugs
that targets G
protein-coupled receptors
(GPCRs). The Company was
founded in 2007.</t>
  </si>
  <si>
    <t xml:space="preserve">Peptidream Inc
Sosei Group Corp</t>
  </si>
  <si>
    <t xml:space="preserve">PEPTIDREAM INC/HEPTARES THERAPEUTICS LTD-STRATEGIC ALLIANCE</t>
  </si>
  <si>
    <t xml:space="preserve">Peptidream Inc and Heptares Therapeutics Ltd formed a strategic alliance to
discover, develop and commercialise novel therapeutics targeting an
undisclosed G protein-coupled receptor (GPCR) with an important role in
inflammatory diseases in Japan.</t>
  </si>
  <si>
    <t xml:space="preserve">Research &amp; Development Services
Health &amp; Medical Services
Retail &amp; Wholesale Services</t>
  </si>
  <si>
    <t xml:space="preserve">0A6843
1A5094</t>
  </si>
  <si>
    <t xml:space="preserve">Canopy Biosciences LLC
Cosmo Bio Co Ltd</t>
  </si>
  <si>
    <t xml:space="preserve">Biological Product (Except Diagnostic) Manufacturing
Whl bio research reagent</t>
  </si>
  <si>
    <t xml:space="preserve">Canopy Biosciences LLC,
located in St. Louis,
Missouri, is partnering with
leading research
institutions to turn their
discoveries into tangible
products and make them
available to the entire
research community and
serves researchers at
universities, research
institutions, and
biotechnology and
pharmaceutical companies
worldwide. The Company was
founded in July 2016.
Cosmo Bio Co Ltd is a drugs
wholesaler. The Group's
principal activity is to
provide the most up-to-date
products and technical
information available from
world class manufacturers,
to laboratories, research
institutes, life science
education and testing
organizations throughout
Japan. The operations are
carried out through
following divisions: Reagent
research; Machine &amp; tools
and Clinical diagnostic. The
Company was founded in
August 1983 and is located
in Koto-Ku Tokyo, Japan.</t>
  </si>
  <si>
    <t xml:space="preserve">CANOPY BIOSCIENCES LLC/COSMO BIO CO LTD-STRATEGIC ALLIANCE</t>
  </si>
  <si>
    <t xml:space="preserve">Canopy Biosciences LLC and Cosmo Bio Co Ltd formed a strategic alliance to
provide genetic engineering research services in Japan.</t>
  </si>
  <si>
    <t xml:space="preserve">4F1482
22129A</t>
  </si>
  <si>
    <t xml:space="preserve">Seegene Inc
Instituto Nacional de</t>
  </si>
  <si>
    <t xml:space="preserve">Mnfr diagnostic reagents
National agency</t>
  </si>
  <si>
    <t xml:space="preserve">Seegene Inc, based in Seoul,
South Korea, is a Korea-based
company engaged in the
development of molecular
diagnostic reagents. The
Company mainly provides four
categories of products:
infectious pathogens
inspection products, including
allergic respiratory
pathogens, sexually
transmitted diseases
pathogens, human papilloma
virus (HPV) and other
inspection products, drug
resistance inspection
products, single nucleotide
polymorphisms (SNP) inspection
products, as well as somatic
mutation cancer inspection
products. In addition, it is
involved in the provision of
automatic real-time detection
instruments. The Company
provides its products under
the brand names of Seeplex,
Anyplex and Magicplex. The
Company distributes its
products within domestic
market and to overseas
markets. The company was
founded in 2000.
Instituto Nacional de
Investigaciones Forestales
Agricolas y Pecuarias is a
national government agency.
The Company is located in
Coyoacan, Mexico.</t>
  </si>
  <si>
    <t xml:space="preserve">2835
999B</t>
  </si>
  <si>
    <t xml:space="preserve">South Korea
Mexico</t>
  </si>
  <si>
    <t xml:space="preserve">Seegene Inc
Mexico</t>
  </si>
  <si>
    <t xml:space="preserve">2835
999A</t>
  </si>
  <si>
    <t xml:space="preserve">SEEGENE INC/INSTITUTO NACIONAL DE INVESTIGACIONES-STRATEGIC ALLIANCE</t>
  </si>
  <si>
    <t xml:space="preserve">Seegene Inc and Instituto Nacional de Investigaciones Forestales Agricolas
y Pecuarias formed a strategic alliance wherein Seegene Inc to utilize its
technology to perform collaborative studies to evaluate the clinical
applications of bovine TB detection assays as well as studies on zoonotic
TB diagnosis and control for those who work in the livestock industry in
Mexico.</t>
  </si>
  <si>
    <t xml:space="preserve">Y7569K
7F0896</t>
  </si>
  <si>
    <t xml:space="preserve">Nanophase Technologies Corp
Eminess Technologies Inc</t>
  </si>
  <si>
    <t xml:space="preserve">Mnfr nanocrystalline materials
Polish and Other Sanitation Good Manufacturing</t>
  </si>
  <si>
    <t xml:space="preserve">Nanophase Technologies Corp,
located in Romeoville,
Illinois, manufacture and
develop nanocrystalline
materials designed for
specific product applications
including methods for the
synthesis, surface treatment
and dispersion of
nanocrystals.
Eminess Technologies Inc,
located in Scottsdale,
Arizona, manufactures surface
finishing products. It has
manufacturing operations in
Monroe, North Carolina; sales
and distribution in
Frauenfeld, Switzerland
(outside of Zurich); and
strategic representation in
all key markets in Asia. The
Company was founded in 2000.</t>
  </si>
  <si>
    <t xml:space="preserve">3399
2842</t>
  </si>
  <si>
    <t xml:space="preserve">IL
AZ</t>
  </si>
  <si>
    <t xml:space="preserve">NANOPHASE TECHNOLOGIES CORP/EMINESS TECHNOLOGIES INC-STRATEGIC ALLIANCE</t>
  </si>
  <si>
    <t xml:space="preserve">Nanophase Technologies Corp and Eminess Technologies Inc formed a strategic
alliance to develop, manufacture and distribute advanced material solutions
that will enhance their mutual positions in the surface finishing
marketplace.</t>
  </si>
  <si>
    <t xml:space="preserve">Manufacturing Services
Supply Services
Research &amp; Development Services</t>
  </si>
  <si>
    <t xml:space="preserve">630079
6F7486</t>
  </si>
  <si>
    <t xml:space="preserve">Envance Technologies
Undisclosed JV Partner</t>
  </si>
  <si>
    <t xml:space="preserve">Mfr pesticides
Investment company</t>
  </si>
  <si>
    <t xml:space="preserve">Envance Technologies,
manufactures innovative pest
control solutions for global
consumer, commercial, and
agriculture pest control
markets. It was founded in
December 2012.
Investment company</t>
  </si>
  <si>
    <t xml:space="preserve">American Vanguard Corp
Undisclosed JV Partner</t>
  </si>
  <si>
    <t xml:space="preserve">3523
6799</t>
  </si>
  <si>
    <t xml:space="preserve">ENVANCE TECHNOLOGIES/UNDISCLOSED PARTNER-STRATEGIC ALLIANCE</t>
  </si>
  <si>
    <t xml:space="preserve">Envance Technologies and Undisclosed Joint Venture Partner formed a
strategic alliance wherein Envance Technologies licensed it's Undisclosed
Joint Venture Partner it's technology to develop and commercialize a range
of pest control household products based on TyraTech's nature-derived
technologies.</t>
  </si>
  <si>
    <t xml:space="preserve">Licensing Services
Research &amp; Development Services
Supply Services</t>
  </si>
  <si>
    <t xml:space="preserve">1A9706
904JVP</t>
  </si>
  <si>
    <t xml:space="preserve">Kalium Lakes Ltd
EcoMag Ltd</t>
  </si>
  <si>
    <t xml:space="preserve">Potash, Soda, and Borate Mineral Mining
All Other Basic Inorganic Chemical Manufacturing</t>
  </si>
  <si>
    <t xml:space="preserve">Kalium Lakes Ltd, located in
Balcatta, Australia, is a
potash, soda, and borate
mineral mine operator. The
Company is focused on
developing Beyondie Sulphate
Of Potash Project with the
aim of producing Sulphate of
Potash (SOP). The Company
was founded in 2014.
EcoMag Ltd, located in
Chatswood, Australia, is a
developer of a process for
recovering magnesium-based
materials from brines and
bitterns. The Company was
founded in 2015.</t>
  </si>
  <si>
    <t xml:space="preserve">1474
2819</t>
  </si>
  <si>
    <t xml:space="preserve">KALIUM LAKES LTD/ECOMAG LTD-STRATEGIC ALLIANCE</t>
  </si>
  <si>
    <t xml:space="preserve">Kalium Lakes Ltd and Ecomag Ltd signed a letter of intent to form an
alliance for Kalium trial the recovery of Hydrated Magnesium Carbonate
(HMC) as part of the lpilot pond works currently under construction at the
Beyondie Sulphate Of Potash Project (BSOPP) in Western Australia.</t>
  </si>
  <si>
    <t xml:space="preserve">0F6310
2H8996</t>
  </si>
  <si>
    <t xml:space="preserve">Celgene Corp
BeiGene Ltd</t>
  </si>
  <si>
    <t xml:space="preserve">Manufacture,wholesale biopharmaceutical products
Biological Product (Except Diagnostic) Manufacturing</t>
  </si>
  <si>
    <t xml:space="preserve">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
BeiGene Ltd, located in
Beijing, China, manufactures
biological products. It is a
global, clinical-stage,
research-based biotechnology
company focused on
molecularly targeted and
immuno-oncology cancer
therapeutics. It is
advancing a pipeline
consisting of novel oral
small molecules and
monoclonal antibodies for
the treatment of cancer. It
is working to create
combination solutions aimed
at having both a meaningful
and lasting impact on cancer
patients. The Company was
founded in October 2010.</t>
  </si>
  <si>
    <t xml:space="preserve">CELGENE CORP/BEIGENE LTD-STRATEGIC ALLIANCE</t>
  </si>
  <si>
    <t xml:space="preserve">Celgene Corp and BeiGene Ltd formed a strategic alliance to develop and
commercialize BeiGene's investigational anti-programmed cell death protein
1 (PD-1) inhibitor, BGB-A317, for patients with solid tumor cancers in the
United States, Europe, Japan and rest of world outside Asia.</t>
  </si>
  <si>
    <t xml:space="preserve">151020
5A3942</t>
  </si>
  <si>
    <t xml:space="preserve">Shandong Juneng Electric Power
Linqing Deneng Bio Technology</t>
  </si>
  <si>
    <t xml:space="preserve">Produce,whl corn starches
Produce,whl cornstarch</t>
  </si>
  <si>
    <t xml:space="preserve">Shandong Shouguang Juneng
Golden Corn Development Co
Ltd, headquartered in China,
produces and wholesales
cornstarch and ancillary
corn-refined products.
Linqing Deneng Bio Technology,
headquartered in China,
produces and wholesales
cornstarch. The company was
founded in May 2006.</t>
  </si>
  <si>
    <t xml:space="preserve">2046
2046</t>
  </si>
  <si>
    <t xml:space="preserve">China Starch Holdings Ltd
Linqing Deneng Bio Technology</t>
  </si>
  <si>
    <t xml:space="preserve">SHANDONG JUNENG ELECTRIC POWER/LINQING DENENG BIO TECHNOLOGY-JOINT VENTURE</t>
  </si>
  <si>
    <t xml:space="preserve">Shandong Shouguang Juneng
Golden Corn Development Co Ltd
is a wet corn mill operator.
The Company is located in
China.</t>
  </si>
  <si>
    <t xml:space="preserve">Shandong Juneng Electric Power Group Golden Corn Development Co Ltd and
Linqing Deneng Bio Technology Ltd named Shouguang Golden Corn Biotechnology
Co Ltd to engage in manufacture, research and development, sale of starch
and starch products, food additives, feeds, amino acids for feeds, vitamin
and enzyme, lactic acids, corn germ, edible glucose, maltose, maltodextrin,
corn slurry and corn acquisition. The JV was to be capitalized at CNY 200
mil (USD 29.418 mil).</t>
  </si>
  <si>
    <t xml:space="preserve">Agricultural, Forestry, &amp; Fishing Svcs
Research &amp; Development Services
Retail &amp; Wholesale Services</t>
  </si>
  <si>
    <t xml:space="preserve">The JV was to be capitalized at CNY 200 mil (USD 29.418 mil).</t>
  </si>
  <si>
    <t xml:space="preserve">6F5684</t>
  </si>
  <si>
    <t xml:space="preserve">82055J
53610M</t>
  </si>
  <si>
    <t xml:space="preserve">Allegheny Technologies Inc
GE Aviation Systems LLC</t>
  </si>
  <si>
    <t xml:space="preserve">Rolled Steel Shape Manufacturing
Aircraft Manufacturing</t>
  </si>
  <si>
    <t xml:space="preserve">Allegheny Technologies Inc,
located in Pittsburgh,
Pennsylvania, manufactures
and wholesales specialty
metals for the aerospace,
defense, oil &amp; gas and
nuclear energy markets. It
operates production
facilities, service centers
and sales offices throughout
the United States and 16
other countries. The Company
was founded in 1939.
GE Aviation Systems LLC is a
manufacturer of aircrafts.
The Company manufactures
aircraft engines and parts
designed for commercial and
military applications. The
Company also manufactures
aircraft-derived engines for
marine and aviation
applications. Their services
include maintenance, on-wing
support, and asset
management. The Company was
founded in 1948 and is
located in Cincinnati, Ohio.</t>
  </si>
  <si>
    <t xml:space="preserve">3317
3721</t>
  </si>
  <si>
    <t xml:space="preserve">PA
OH</t>
  </si>
  <si>
    <t xml:space="preserve">Allegheny Technologies Inc
General Electric Co</t>
  </si>
  <si>
    <t xml:space="preserve">3317
3612</t>
  </si>
  <si>
    <t xml:space="preserve">ALLEGHENY TECHNOLOGIES INC/GE AVIATION SYSTEMS LLC-JOINT VENTURE</t>
  </si>
  <si>
    <t xml:space="preserve">Allegheny Technologies Inc and GE Aviation Systems LLC planned to form
joint venture, to construct a new R&amp;D pilot production facility</t>
  </si>
  <si>
    <t xml:space="preserve">01741R
36525K</t>
  </si>
  <si>
    <t xml:space="preserve">Xinfengming Grp Huzhou
Zhejiang Energy Saving Tech</t>
  </si>
  <si>
    <t xml:space="preserve">Fiber Can, Tube, Drum, and Similar Products Manufacturing
Research and Development in The Physical, Engineering and Lifesciences (Except Biotechnology)</t>
  </si>
  <si>
    <t xml:space="preserve">Xinfengming Group Huzhou
Zhongshi Technology Co Ltd is
a manufacturer of fiber
products. The Company is
located in Huzhou, China.
Zhejiang Energy Saving
Technology Co Ltd is a
provider of research and
development services on energy
saving technology. The Company
is located in Hangzhou, China.</t>
  </si>
  <si>
    <t xml:space="preserve">2655
8731</t>
  </si>
  <si>
    <t xml:space="preserve">Xinfengming Group Co Ltd
Zhejiang Energy Group Co Ltd</t>
  </si>
  <si>
    <t xml:space="preserve">2824
6799</t>
  </si>
  <si>
    <t xml:space="preserve">XINFENGMING GROUP HUZHOU ZHONGSHI TECHNOLOGY CO LTD/ZHEJIANG ENERGY SAVING
TECHNOLOGY CO LTD-JOINT VENTURE</t>
  </si>
  <si>
    <t xml:space="preserve">Xinfengming Group Huzhou Zhongshi Technology Co Ltd and Zhejiang Energy
Saving Technology Co Ltd planned to form a 30:70 joint venture named Pinghu
Dushan Environmental Protection Energy Co Ltd to engage in the development
of thermoelectricity projects. The JV was to be capitalized at CNY 200 mil
(USD 29.414 mil).</t>
  </si>
  <si>
    <t xml:space="preserve">The JV was to be capitalized at CNY 200 mil (USD 29.414 mil).</t>
  </si>
  <si>
    <t xml:space="preserve">6F6619
6F6622</t>
  </si>
  <si>
    <t xml:space="preserve">OXIS International Inc
Sigma Labs Inc</t>
  </si>
  <si>
    <t xml:space="preserve">Pvd research,development svcs
Mnfr process control equip</t>
  </si>
  <si>
    <t xml:space="preserve">Oxis International Inc,
located in Tampa, Florida,,
provides research and
development services in the
field of oxidative
stress/inflammatory reaction,
diseases associated with
damage from free radicals, and
reactive oxygen species. The
Company was founded in 1966.
Sigma Labs Inc, based in Santa
Fe, New Mexico, develops and
engineers advanced,
in-process, non-destructive
quality inspection systems of
3D printing for commercial
firms. It offers PrintRite3D,
an integrated and interactive
system, which provides
inspection, feedback, data
collection and critical
analysis. Its services include
3D metal printing and process
engineering. The Company was
founded in 2005.</t>
  </si>
  <si>
    <t xml:space="preserve">8731
2759</t>
  </si>
  <si>
    <t xml:space="preserve">Horizon Pharma PLC
Sigma Labs Inc</t>
  </si>
  <si>
    <t xml:space="preserve">2834
2759</t>
  </si>
  <si>
    <t xml:space="preserve">OXIS INTERNATIONAL INC/SIGMA LABS INC-STRATEGIC ALLIANCE</t>
  </si>
  <si>
    <t xml:space="preserve">New Mexico</t>
  </si>
  <si>
    <t xml:space="preserve">OXIS International Inc and Sigma Labs Inc formed a strategic alliance to
Bring Industrie 4.0 Solutions to Additive Manufacturing and the Broader
Digital Enterprise in the United States.</t>
  </si>
  <si>
    <t xml:space="preserve">691829
826598</t>
  </si>
  <si>
    <t xml:space="preserve">Science Exchange Inc
Indie Bio</t>
  </si>
  <si>
    <t xml:space="preserve">Research and Development in Biotechnology
Miscellaneous Financial Investment Activities</t>
  </si>
  <si>
    <t xml:space="preserve">Science Exchange Inc is a
provider of biotechnology
research and development
services. The Company is
located in Palo Alto,
California.
Indie Bio, located in San
Francisco, California is a
provider of financial
investment services.</t>
  </si>
  <si>
    <t xml:space="preserve">Science Exchange Inc
SOSventures LLC</t>
  </si>
  <si>
    <t xml:space="preserve">SCIENCE EXCHANGE INC/INDIE BIO-STRATEGIC ALLIANCE</t>
  </si>
  <si>
    <t xml:space="preserve">Science Exchange Inc and Indie Bio formed a strategic alliance, to provide
access to access to global CROs and service provider.</t>
  </si>
  <si>
    <t xml:space="preserve">4E7689
6F6781</t>
  </si>
  <si>
    <t xml:space="preserve">Immunarray Pvt. Ltd
Kindstar Global Co Ltd</t>
  </si>
  <si>
    <t xml:space="preserve">Immunarray Pvt. Ltd, located
in Richmond, Virginia, is a
provider of biotechnology
research and development
services.
Kindstar Global Co Ltd,
located in Wuhan, China, is a
provider of biotechnology
research and development
services.</t>
  </si>
  <si>
    <t xml:space="preserve">IMMUNARRAY PVT. LTD/KINDSTAR GLOBAL CO LTD-STRATEGIC ALLIANCE</t>
  </si>
  <si>
    <t xml:space="preserve">Immunarray Pvt. Ltd and Kindstar Global Co Ltd formed a strategic alliance,
to have shared clinical studies and the launch of ImmunArrays lupus
rule-out test in China as the initial product offering</t>
  </si>
  <si>
    <t xml:space="preserve">6F6778
6F6776</t>
  </si>
  <si>
    <t xml:space="preserve">TargImmune Therapeutics AG
Race Oncology Ltd</t>
  </si>
  <si>
    <t xml:space="preserve">Research and Development in The Social Sciences and Humanities
Research and Development in Biotechnology</t>
  </si>
  <si>
    <t xml:space="preserve">TargImmune Therapeutics AG is
a provider of social sciences
research and development
services. The Company was
founded in February 2016 and
is located in Basel,
Switzerland.
Race Oncology Ltd, formerly
Coronado Resources Ltd, is
an Australia-based specialty
pharmaceutical company whose
business model is to pursue
and bring to market later
stage assets, principally in
the cancer field. The
Company's Bisantrene drug is
a chemotherapy drug, which
is related to the
anthracyclines, a class of
drugs used as the first line
of treatment for acute
myeloid leukemia (AML) and
other cancers. Its
Bisantrene drug reduces
cardiac toxicity compared to
anthracyclines and to be
effective against some
cancers that have relapsed
after the patients have
already received high levels
of anthracyclines, which
makes Bisantrene as a
second- or third-line
treatment for patients
reaching their cardio-toxic
limit of anthracyclines or
whose cancer has become
resistant to anthracycline
treatment. It has received
orphan drug designation for
Bisantrene in the United
States. Its clinical
opportunity for Bisantrene
is used as a salvage
treatment for elderly
patients with AML. patients
with AML.</t>
  </si>
  <si>
    <t xml:space="preserve">TARGIMMUNE THERAPEUTICS AG/RACE ONCOLOGY LTD-JOINT VENTURE</t>
  </si>
  <si>
    <t xml:space="preserve">TargImmune Therapeutics AG and Race Oncology Ltd planned to form a 50:50
joint venture to focus on developing new and improved cancer therapies
based on combining Bisantrene with TargImmune's targeted cancer therapy
technology in Australia.</t>
  </si>
  <si>
    <t xml:space="preserve">Research &amp; Development Services
Software Development Services
Health &amp; Medical Services</t>
  </si>
  <si>
    <t xml:space="preserve">6F7853
4F1914</t>
  </si>
  <si>
    <t xml:space="preserve">ID Pharma Co Ltd
Axol Bioscience Ltd</t>
  </si>
  <si>
    <t xml:space="preserve">Research and Development in Biotechnology
Biological Product (Except Diagnostic) Manufacturing</t>
  </si>
  <si>
    <t xml:space="preserve">ID Pharma Co. Ltd is a
provider of biotechnology
research and development
services. The Company was
founded in September 2003 and
is located in Tsukuba-Shi
Ibaraki, Japan.
Axol Bioscience Ltd. is a
United Kingdom-based
biotechnology company. The
Company is engaged in
providing human iPS
cell-derived neural stem cells
and neurons for use in
biomedical research and
discovery. The Companys
products include Human Neural
Progenitor Cells (hNPCs),
Cerebral Cortical Neurons
(hCCNs), Plated and Young
hCCNs Frozen, Alzheimer's
disease Human Neural
Progenitor Cells (AD hNPCs),
CellSolutions Reagents,
ReadyFect Transfection Reagent
and Huntingtons disease Neural
Progenitor Cells. The Human
Neural Progenitor Cells
express normal markers of
cerebral cortical neural stem
and progenitor cells, such as
Pax6 and Foxg1. Cerebral
cortical neurons are
implicated in numerous
neurological diseases,
including Alzheimers, autism,
epilepsy, traumatic brain
injury and stroke.</t>
  </si>
  <si>
    <t xml:space="preserve">I'rom Group Co Ltd
Axol Bioscience Ltd</t>
  </si>
  <si>
    <t xml:space="preserve">ID PHARMA CO LTD/AXOL BIOSCIENCE LTD-STRATEGIC ALLIANCE</t>
  </si>
  <si>
    <t xml:space="preserve">ID Pharma Co Ltd and Axol Bioscience Ltd formed a strategic alliance
enables Axol Bioscience and ID Pharma to accelerate the commercial use of
iPS cells and derivatives in United kingdom.</t>
  </si>
  <si>
    <t xml:space="preserve">25602L
6F7823</t>
  </si>
  <si>
    <t xml:space="preserve">Abzena PLC
OBI Pharma Inc</t>
  </si>
  <si>
    <t xml:space="preserve">Abzena PLC, located in
Cambridge, the United
Kingdom, is a biotechnology
company engaged in the
services and technologies in
the development and
manufacturing of
biopharmaceutical products.
Its services includes
Immunogenicity assessment,
Antibody drug conjugates,
Antibody/protein
engineering, Optimisation of
pharmacokinetics, cell line
development, process
development, and GMP
manufacturing.
OBI Pharma Inc is a
manufacturer of pharmaceutical
preparation. The Company was
founded in April 2002 and is
located in Taipei, Taiwan.</t>
  </si>
  <si>
    <t xml:space="preserve">ABZENA PLC/OBI PHARMA INC-STRATEGIC ALLIANCE</t>
  </si>
  <si>
    <t xml:space="preserve">Abzena PLC and OBI Pharma Inc formed a strategic alliance to provide Master
Services and Clinical Supply agreement to enable process development and
manufacturing by Abzena.</t>
  </si>
  <si>
    <t xml:space="preserve">Licensing Services
Supply Services
Research &amp; Development Services
Health &amp; Medical Services</t>
  </si>
  <si>
    <t xml:space="preserve">1C1759
2C7065</t>
  </si>
  <si>
    <t xml:space="preserve">Nestle Health Science SA
Enterome SA</t>
  </si>
  <si>
    <t xml:space="preserve">Mnfr dietary supplements
Biological Product (Except Diagnostic) Manufacturing</t>
  </si>
  <si>
    <t xml:space="preserve">Nestle Health Science SA,
located in Epalinges,
Switzerland, is a health
science company engaged in
nutritional therapy for
consumers, patients and its
partners in healthcare. Its
portfolio is comprised of
nutrition solutions,
diagnostics, devices and
drugs, that targets health
areas such as inborn errors
of metabolism, pediatric and
acute care, obesity care,
healthy aging as well as
gastrointestinal and brain
health. The Company was
founded in 2011.
Enterome SA is a
manufacturer of biological
products. The Company was
founded in 2012 and is
located in Paris, France.</t>
  </si>
  <si>
    <t xml:space="preserve">Nestle SA
Enterome SA</t>
  </si>
  <si>
    <t xml:space="preserve">NESTLE HEALTH SCIENCE SA/ENTEROME SA-JOINT VENTURE</t>
  </si>
  <si>
    <t xml:space="preserve">Nestle Health Science SA and Enterome SA planned to form a 50:50 joint
venture to lead the development and commercialization of innovative micro
biome-based diagnostics with potential to transform therapeutic approaches
across a broad spectrum of challenging health conditions, including
inflammatory bowel diseases (IBD) and liver diseases.</t>
  </si>
  <si>
    <t xml:space="preserve">63996Y
5E2631</t>
  </si>
  <si>
    <t xml:space="preserve">Feinstein Inst for Med
Applied Immunotherapeutics Inc</t>
  </si>
  <si>
    <t xml:space="preserve">Feinstein Institute for
Medical Research, located in
Manhasset, New York, is a
provider of biotechnology
research and development
services.
Applied Immunotherapeutics
Inc, located in Morris,
Connecticut, is a manufacturer
of pharmaceutical products.
The Company develops
therapeutics to treat
inflammatory and autoimmune
diseases.</t>
  </si>
  <si>
    <t xml:space="preserve">Northwell Health
Applied Immunotherapeutics Inc</t>
  </si>
  <si>
    <t xml:space="preserve">8082
2834</t>
  </si>
  <si>
    <t xml:space="preserve">FEINSTEIN INSTITUTE FOR MEDICAL RESEARCH/APPLIED IMMUNOTHERAPEUTICS
INC-STRATEGIC ALLIANCE</t>
  </si>
  <si>
    <t xml:space="preserve">Feinstein Institute for Medical Research and Applied Immunotherapeutics Inc
formed a strategic alliance, to license the rights of HMGB1, a treating
inflammation and other specific antibodies and drug products.</t>
  </si>
  <si>
    <t xml:space="preserve">3F1340
6F8834</t>
  </si>
  <si>
    <t xml:space="preserve">Oncotherapy Science Inc
Theragen Etex Co Ltd</t>
  </si>
  <si>
    <t xml:space="preserve">Biotech company
Mnfr industrial equip</t>
  </si>
  <si>
    <t xml:space="preserve">OncoTherapy Science Inc,
located in Kanagawa, Japan,
is a biotechnology company
mainly engaged in the
development of drugs. The
Company is involved in the
development of low molecular
drugs, antibody drugs and
other drugs, as well as the
provision and clinical
development of medical
candidate substances. The
Company operates its
business in cooperation with
universities and other
corporations The company was
founded in 2001.
Theragen Etex Co Ltd,
located in Ansan, South
Korea, is a Korea-based
company engaged in the
industrial equipment
business, healthcare and
genome business and
pharmaceutical business. The
Company operates its
business through three
divisions: flat panel
display (FPD) manufacturing
equipment division, which
provides loading and
unloading systems, printed
circuit board (PCB) bonding
systems, battery washing
lines and laser systems;
healthcare and genome
division engages in the
provision of genome analysis
services and others, and
pharmaceutical division
engages in the manufacture
of digestive system
remedies, antibiotics,
remedies for fever,
circulatory system remedies,
respiration system remedies,
treatment for chronic
hepatitis, diabetes
remedies, psychotropic
agents, osteoporosis
treatments and others. The
company was founded in 1990.</t>
  </si>
  <si>
    <t xml:space="preserve">ONCOTHERAPY SCIENCE INC/THERAGEN ETEX CO LTD-JOINT VENTURE</t>
  </si>
  <si>
    <t xml:space="preserve">OncoTherapy Science Inc. and Threaten Entex Co Ltd formed a 64:36 joint
venture named Cancer Precision Medicine Inc. to conduct genome analysis of
cancer, liquid biopsy and development of new immunotherapy including the
neontigen prediction. The JV Company was estimated to be established on
July 24, 2017.</t>
  </si>
  <si>
    <t xml:space="preserve">64.00
36.00</t>
  </si>
  <si>
    <t xml:space="preserve">68245L
0A3106</t>
  </si>
  <si>
    <t xml:space="preserve">Elite Pharmaceuticals Inc
SunGen Pharma LLC</t>
  </si>
  <si>
    <t xml:space="preserve">Elite Pharmaceuticals Inc,
located in Northvale, New
Jersey, manufactures
prescription pharmaceuticals
intended for final
consumption, including biotech
products and antibiotics. It
specializes in the development
of oral controlled release
products, such as delayed,
sustained, targeted and
pulsatile release tables,
pellets, capsules, granules
and powders, focused on the
therapeutic areas of pain
management, allergy,
cardiovascular and infection.
The company was incorporated
in 1984.
SunGen Pharma LLC is a
manufacturer of
pharmaceutical preparation.
The Company is located in
Princeton, New Jersey.</t>
  </si>
  <si>
    <t xml:space="preserve">ELITE PHARMACEUTICALS INC/SUNGEN PHARMA LLC-STRATEGIC ALLIANCE</t>
  </si>
  <si>
    <t xml:space="preserve">Elite Pharmaceuticals Inc and SunGen Pharma LLC formed a strategic alliance
to collaborate, develop and commercialize generic pharmaceutical products
based upon a unique drug delivery platform used for extended release
products in United States.</t>
  </si>
  <si>
    <t xml:space="preserve">Research &amp; Development Services
Licensing Services
Manufacturing Services
Health &amp; Medical Services</t>
  </si>
  <si>
    <t xml:space="preserve">28659T
8E3734</t>
  </si>
  <si>
    <t xml:space="preserve">Navigator Holdings Ltd
Enterprise Products Partners</t>
  </si>
  <si>
    <t xml:space="preserve">Own,op liquefied gas carriers
Pipeline Transportation Of Natural Gas</t>
  </si>
  <si>
    <t xml:space="preserve">Navigator Holdings Ltd,
located in London, United
Kingdom, own and operate
handy-size liquefied gas
carriers. It provide
international and regional
seaborne transportation
services of liquefied
petroleum gas, or "LPG"
petrochemical gases and
ammonia for energy
companies, industrial users
and commodity traders. The
Company was founded in 1997.
Enterprise Products Partners
LP, located in Houston,
Texas, provides midstream
energy services to producers
and consumers of natural
gas, natural gas liquids,
crude oil, petrochemicals
and refined products. Its
services include: natural
gas gathering, treating,
processing, transportation
and storage; natural gas
liquids transportation,
fractionation, storage and
import and export terminals;
crude oil gathering,
transportation, storage and
terminals; petrochemical and
refined products
transportation, storage and
terminals; and a marine
transportation business. The
Company was founded in April
1998.</t>
  </si>
  <si>
    <t xml:space="preserve">4412
4922</t>
  </si>
  <si>
    <t xml:space="preserve">NAVIGATOR HOLDINGS LTD/ENTERPRISE PRODUCTS PARTNERS LP-JOINT VENTURE</t>
  </si>
  <si>
    <t xml:space="preserve">Navigator Holdings Ltd and Enterprise Products Partners LP planned to form
a 50:50 joint venture to develop ethylene marine export terminal in US.</t>
  </si>
  <si>
    <t xml:space="preserve">Research &amp; Development Services
Import &amp; Export (Trading) Services
Transportation (Water) Services</t>
  </si>
  <si>
    <t xml:space="preserve">Y62132
293792</t>
  </si>
  <si>
    <t xml:space="preserve">Highpower International Inc
Undisclosed JV Partner
Undisclosed JV Partner</t>
  </si>
  <si>
    <t xml:space="preserve">Storage Battery Manufacturing
Investment company
Investment company</t>
  </si>
  <si>
    <t xml:space="preserve">Highpower International Inc
is a manufacturer of storage
batteries. The Company was
founded in January 2003 and
is located in Shenzhen,
China.
Investment company
Investment company</t>
  </si>
  <si>
    <t xml:space="preserve">3692
6799
6799</t>
  </si>
  <si>
    <t xml:space="preserve">China
Unknown
Unknown</t>
  </si>
  <si>
    <t xml:space="preserve">HIGHPOWER INTERNATIONAL INC/UNDISCLOSED PARTNER-STRATEGIC ALLIANCE</t>
  </si>
  <si>
    <t xml:space="preserve">Highpower International Inc., Undisclosed Joint Venture Partner and
Undisclosed Joint Venture Partner formed a strategic alliance to develop
and supply power solutions for high-end smart vacuum robots. The strategic
alliance was estimated to have a revenue of USD 19 mil. (USD 4 million in
2017 and USD 15 million in 2018).</t>
  </si>
  <si>
    <t xml:space="preserve">Manufacturing Services
Research &amp; Development Services
Electrical &amp; Electronic Services
Supply Services</t>
  </si>
  <si>
    <t xml:space="preserve">The strategic allianace was estimated to have a revenue of USD 19 mil.</t>
  </si>
  <si>
    <t xml:space="preserve">43112T
904JVP
904JVP</t>
  </si>
  <si>
    <t xml:space="preserve">COMAC
United Aircraft Corp PJSC</t>
  </si>
  <si>
    <t xml:space="preserve">Mnfr aircraft
Aircraft Manufacturing</t>
  </si>
  <si>
    <t xml:space="preserve">Commercial Aircraft
Corporation of China {COMAC},
headquartered in China,
manufactures, designs, and
builds aircrafts. The company
was founded in 2008.
United Aircraft Corp PJSC is
a manufacturer of aircrafts.
The Company was founded in
February 2006 and is located
in Moscow, the Russian
Federation.</t>
  </si>
  <si>
    <t xml:space="preserve">China
Russian Fed</t>
  </si>
  <si>
    <t xml:space="preserve">COMMERCIAL AIRCRAFT/OB''EDINENNAIA AVIASTROITEL'NAIA KORPORATSIIA PAO-JOINT
VENTURE</t>
  </si>
  <si>
    <t xml:space="preserve">Commercial Aircraft Corporation of China {COMAC} and Ob''edinennaia
aviastroitel'naia korporatsiia PAO formed a 50:50 joint venture named
China-Russia Commercial Aircraft International Corporation Ltd to develop a
wide-body jet which will challenge market leaders Boeing and Airbus.</t>
  </si>
  <si>
    <t xml:space="preserve">20110W
90907M</t>
  </si>
  <si>
    <t xml:space="preserve">Mallinckrodt Plc
West Pharmaceutical Services</t>
  </si>
  <si>
    <t xml:space="preserve">Manufactures branded and generic pharmaceutical products
Mnfr med equip,pharm</t>
  </si>
  <si>
    <t xml:space="preserve">Mallinckrodt Plc, located in
Surrey, the United Kingdom,
manufactures branded and
generic pharmaceutical
products. It focuses on
various therapeutic areas,
such as autoimmune and rare
disease specialty areas,
including neurology,
rheumatology, nephrology,
ophthalmology and
pulmonology; immunotherapy
and neonatal critical care
respiratory therapies;
analgesics and hemostasis
products, and central
nervous system drugs. It is
comprised of segments
namely: Brands and Specialty
Generics, offering branded
generic drugs and Global
Medical Imaging, for
contrast media and delivery
systems and
radiopharmaceuticals. The
Company was founded in 1867.
West Pharmaceutical Services
Inc, located in Lionville,
Pennsylvania, manufactures
medical equipment,
pharmaceuticals and
biopharmaceuticals products.
Its products include stoppers,
closures and medical device
components. It provides
contract laboratory services
for testing injectable drug
packaging. The company was
founded in 1923.</t>
  </si>
  <si>
    <t xml:space="preserve">MALLINCKRODT PLC/WEST PHARMACEUTICAL SERVICES-STRATEGIC ALLIANCE</t>
  </si>
  <si>
    <t xml:space="preserve">Mallinckrodt PLC and West Pharmaceutical Services Inc formed a strategic
alliance to rights to develop and pursue possible U.S. Food and Drug
Administration (FDA) approval of synacthen depot in two indications, and to
develop Infantile Spasms and Nephrotic Syndrome in US.</t>
  </si>
  <si>
    <t xml:space="preserve">G5785G
955306</t>
  </si>
  <si>
    <t xml:space="preserve">Amyris Inc
Koninklijke DSM NV</t>
  </si>
  <si>
    <t xml:space="preserve">All Other Basic Organic Chemical Manufacturing
All Other Miscellaneous Chemical Product and Preparation Manufacturing</t>
  </si>
  <si>
    <t xml:space="preserve">Amyris Inc, headquartered in
Emeryville, California, is a
biotechnology company. It is
focuses in two major
projects namely the
production of the drug
artemisinin to fight malaria
and production of renewable
biofuels to help reduce
global warming. The Company
was founded in 2003.
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t>
  </si>
  <si>
    <t xml:space="preserve">2869
2899</t>
  </si>
  <si>
    <t xml:space="preserve">AMYRIS INC/KONINKLIJKE DSM NV-STRATEGIC ALLIANCE</t>
  </si>
  <si>
    <t xml:space="preserve">Amyris Inc and Koninklijke DSM NV formed a strategic alliance to develop a
food and nutrition molecule in United States.</t>
  </si>
  <si>
    <t xml:space="preserve">03236M
N5017D</t>
  </si>
  <si>
    <t xml:space="preserve">Expres2ion Biotechnologies ApS
Integrated BioTherapeutics Inc</t>
  </si>
  <si>
    <t xml:space="preserve">Expres2ion Biotechnologies ApS
is a manufacturer of
biological products. The
Company was founded in 2010
and is located in Hoersholm,
Denmark.
Integrated BioTherapeutics Inc
is a manufacturer of
biological products. The
company was founded in 2005
and is located in Maryland.</t>
  </si>
  <si>
    <t xml:space="preserve">ExpreS2ion Biotech Holding AB
Integrated BioTherapeutics Inc</t>
  </si>
  <si>
    <t xml:space="preserve">EXPRES2ION BIOTECHNOLOGIES APS/INTEGRATED BIOTHERAPEUTICS INC-STRATEGIC
ALLIANCE</t>
  </si>
  <si>
    <t xml:space="preserve">Expres2ion Biotechnologies ApS and Integrated BioTherapeutics Inc formed a
strategic alliance to grant IBT commercial rights to promote, sell and
distribute such protein products made with ExpreS2.</t>
  </si>
  <si>
    <t xml:space="preserve">Research &amp; Development Services
Licensing Services
Manufacturing Services</t>
  </si>
  <si>
    <t xml:space="preserve">6F9060
0F3528</t>
  </si>
  <si>
    <t xml:space="preserve">BASF SE
Kaiima Bio Agritech Ltd</t>
  </si>
  <si>
    <t xml:space="preserve">All Other Basic Inorganic Chemical Manufacturing
Research and Development in Biotechnology</t>
  </si>
  <si>
    <t xml:space="preserve">BASF SE is a manufacturer
and wholesaler of inorganic
chemicals. The Company's
portfolio is organized into
six segments: Chemicals,
Materials, Industrial
Solutions, Surface
Technologies, Nutrition &amp;
Care and Agricultural
Solutions. BASF generated
sales of around 63 billion
in 2018. The BASF Group
comprises subsidiaries and
joint ventures in more than
80 countries and operates
six integrated production
sites and 390 other
production sites in Europe,
Asia, Australia, the
Americas and Africa. It also
acts as a holding company.
The Company was founded in
April 1865 and is located in
Ludwigshafen, Germany.
Kaiima Bio Agritech Ltd is a
provider of biotechnology
research and development
services. The Company is
located in Israel.</t>
  </si>
  <si>
    <t xml:space="preserve">BASF SE/KAIIMA BIO AGRITECH LTD-STRATEGIC ALLIANCE</t>
  </si>
  <si>
    <t xml:space="preserve">BASF SE and Kaiima Bio Agritech Ltd formed a strategic alliance to identify
novel herbicide resistance traits using the EP technology platform.</t>
  </si>
  <si>
    <t xml:space="preserve">055262
6F9214</t>
  </si>
  <si>
    <t xml:space="preserve">Kula Gold Ltd
Geopacific Resources Ltd</t>
  </si>
  <si>
    <t xml:space="preserve">Gold mining company
Gold,copper mining company</t>
  </si>
  <si>
    <t xml:space="preserve">Kula Gold Ltd, located in
Perth, Western Australia, is
a gold mining company. It is
developing the Woodlark
Island Gold Project in Papua
New Guinea, which is located
on Woodlark Island, Papua
New Guinea, within the
Solomon Sea. Woodlark Mining
Limited is the Company's
subsidiary.
Geopacific Resources Ltd,
located in Claremont,
Australia, is a gold-copper
development company with a
portfolio of assets in the
Asia-Pacific region and
sights set firmly on
production. The Company was
founded in 1986.</t>
  </si>
  <si>
    <t xml:space="preserve">KULA GOLD LTD/GEOPACIFIC RESOURCES LTD-JOINT VENTURE</t>
  </si>
  <si>
    <t xml:space="preserve">Kula Gold Ltd and Geopacific Resources Ltd planned to form joint venture.
The purpose of joint venture is to improve the confidence in inferred
resources below the base of the 2012 pit design.</t>
  </si>
  <si>
    <t xml:space="preserve">50775C
37235A</t>
  </si>
  <si>
    <t xml:space="preserve">Peptidream Inc
Kleo Pharmaceuticals Inc</t>
  </si>
  <si>
    <t xml:space="preserve">Peptidream Inc, located in
Tokyo, Japan, is engaged in
research and development of
the pharmaceutical companies
in Japan and overseas, take
advantage of PDPS which is
drug discovery platform
system and research and
development of new drug
candidates. The company was
founded in 2006.
Kleo Pharmaceuticals Inc,
located in New Haven,
Connecticut, is a
manufacturer of biological
products, develop novel,
effective, and safe
immunotherapy options to
serve patients afflicted by
serious diseases. The
Company was founded in April
2015.</t>
  </si>
  <si>
    <t xml:space="preserve">PEPTIDREAM INC/KLEO PHARMACEUTICALS INC-STRATEGIC ALLIANCE</t>
  </si>
  <si>
    <t xml:space="preserve">Peptidream Inc and Kleo Pharmaceuticals Inc formed a strategic alliance to
develop novel immunotherapies in oncology.</t>
  </si>
  <si>
    <t xml:space="preserve">0A6843
7F3245</t>
  </si>
  <si>
    <t xml:space="preserve">Pairnomix LLC
Stemonix Inc</t>
  </si>
  <si>
    <t xml:space="preserve">Pairnomix LLC is a provider of
biotechnology research and
development services. The
Company is located in
Plymouth, Minnesota.
Stemoni Inc, located in
Minneapolis, Minnesota, is
engaged in providing
products and services for
drug discovery and
development. The Company
structures human
iPSC-derived cells into
physiologically relevant
micro tissues. The Companys
in vitrohuman cell models
enable scientists to quickly
and economically conduct
research with improved
outcomes in a simplified
workflow. The Company''s
product offering includes
microHeart and microBrain.
The microHeart platform
provides a structured
environment in high density
assay plates for human
iPSC-derived cardiac cells.
Its microBrain platform is a
pre-plated, assay ready
throughput platform that
resembles the tissue
architecture of native human
brain tissue. Its service
includes human iPS cell
manufacturing and Discovery
as a Service. It develops
physiologically-relevant
human cell-based assays. Its
platforms include kinetic
cellular assays with high
throughput plate and
multimode plate readers.</t>
  </si>
  <si>
    <t xml:space="preserve">PAIRNOMIX LLC/STEMONIX INC-STRATEGIC ALLIANCE</t>
  </si>
  <si>
    <t xml:space="preserve">Pairnomix LLC and Stemonix Inc formed a strategic alliance create a new in
vitro seizure-in-a-dish model system in United States.</t>
  </si>
  <si>
    <t xml:space="preserve">7F1206
7F1211</t>
  </si>
  <si>
    <t xml:space="preserve">Glenmark Pharmaceuticals Ltd
Cyndea Pharma SL</t>
  </si>
  <si>
    <t xml:space="preserve">Manufacture,wholesale pharmaceutical products
Medicinal and Botanical Manufacturing</t>
  </si>
  <si>
    <t xml:space="preserve">Glenmark Pharmaceuticals
Ltd, located in Mumbai,
India, manufactures and
wholesales pharmaceutical
products. Its formulations
business spans product
segments such as
dermatology, internal
medicine, respiratory,
diabetes, pediatrics,
gynecology, ENT, and
oncology. It also offers
related research services.
The Group operates in North
America, Latin America,,
Africa, Middle East, Asia,
Russia, Europe, and India.
The Company was founded in
1977.
Cyndea Pharma SL, located in
Soria, Spain, is a developer
and manufacturer of steroid
based generic drugs. The
companys products include
sexual hormones and hormonal
products. It offers services,
such as contract manufacturing
services and taylor-made
developments.</t>
  </si>
  <si>
    <t xml:space="preserve">Glenmark Pharmaceuticals Ltd
Infarco SA</t>
  </si>
  <si>
    <t xml:space="preserve">GLENMARK PHARMACEUTICALS LTD/CYNDEA PHARMA SL-STRATEGIC ALLIANCE</t>
  </si>
  <si>
    <t xml:space="preserve">Glenmark Pharmaceuticals Ltd (Glenmark) and Cyndea Pharma SL (Cyndea)
formed a strategic alliance to grant Glenmark the exclusive rights to use
the technology of Cyndea in developing generic, soft-gelatin capsule
formulations of certain pharmaceutical products in the United States and
Canada markets. Under the agreement, Glenmark will share for development
costs and profits from future sales.</t>
  </si>
  <si>
    <t xml:space="preserve">Exclusive Licensing Services
Manufacturing Services
Supply Services
Research &amp; Development Services
Licensing Services</t>
  </si>
  <si>
    <t xml:space="preserve">37868Y
4C2292</t>
  </si>
  <si>
    <t xml:space="preserve">Shire PLC
NovImmune SA</t>
  </si>
  <si>
    <t xml:space="preserve">Manufacture,wholesale pharmaceutical production
Manufacture pharmaceuticals</t>
  </si>
  <si>
    <t xml:space="preserve">Shire PLC, located in
Dublin, the Republic of
Ireland, manufactures and
wholesales pharmaceutical
products. The Company
focuses on the central
nervous system,
gastrointestinal and human
genetic therapies. Its
brands include Adderall XR,
Dynepo, Equetro, Forsenol,
Adderall, Carbatrol,
Pentasa, Colazide, Agrylin,
Xagrid, Fosrenol,
Proamatine, Epivir,
Combivir, Trizivir, Vaniqa,
Xagrid, Zeffix, Calcichew,
Solaraze, Reminyl/Reminyl
XL, Lodine, Replagal,
Daytrana, Elaprase and
Mesavance. The Group
operates in the UK, the US,
the Netherlands, France,
Germany, Italy, Spain,
Ireland, Canada, Cayman
Islands and Sweden. The
Company distributes its
products in Australia,
Denmark, Finland, Hong Kong,
Israel, Malaysia, Norway,
Philippines, Singapore,
South Africa, South Korea
and Thailand. It was founded
in 1986.
NovImmune SA, located in
Plan-Les-Ouates,
Switzerland, manufactures
prescription pharmaceuticals
intended for final
consumption, including
biotech products and
antibiotics. The company is
focused on the creation of
therapeutic monoclonal
antibodies for the treatment
of inflammatory diseases and
immune-related disorders. It
provides drug research and
development services. The
company was founded in 1998.</t>
  </si>
  <si>
    <t xml:space="preserve">SHIRE PLC/NOVIMMUNE SA-STRATEGIC ALLIANCE</t>
  </si>
  <si>
    <t xml:space="preserve">Shire PLC and NovImmune SA formed a strategic alliance to pursue
development and commercialization of a novel, potentially differentiated,
pre-clinical bi-specific antibody candidate for Hemophilia A.</t>
  </si>
  <si>
    <t xml:space="preserve">82481R
67158Y</t>
  </si>
  <si>
    <t xml:space="preserve">Adimab LLC
Eli Lilly &amp; Co</t>
  </si>
  <si>
    <t xml:space="preserve">Rsch, devlp human antibodies
Manufactures,wholesales pharmaceuticals</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</si>
  <si>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</si>
  <si>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ADIMAB LLC/ELI LILLY &amp; CO-STRATEGIC ALLIANCE</t>
  </si>
  <si>
    <t xml:space="preserve">Adimab LLC and Eli Lilly Co formed a strategic alliance to transfer the
Adimab Platform to Lilly for the discovery and optimization of
antibody-based drugs in all therapeutic area. (San Diego and New York)</t>
  </si>
  <si>
    <t xml:space="preserve">02255X
532457</t>
  </si>
  <si>
    <t xml:space="preserve">Marina Biotech Inc
Oncotelic Inc</t>
  </si>
  <si>
    <t xml:space="preserve">Biotechnology company
Cancer Immunotherapy Comapny</t>
  </si>
  <si>
    <t xml:space="preserve">Marina Biotech Inc, located in
Bothell, Washington, is a
biotechnology company focused
on the development and
commercialization of nucleic
acid-based therapies utilizing
gene silencing approaches such
as RNA interference (RNAi) and
blocking messenger RNA (mRNA)
translation. The company's
pipeline includes a clinical
program in Familial
Adenomatous Polyposis (FAP)
and preclinical programs in
bladder cancer and myotonic
dystrophy. It has two
liposomal-based delivery
platforms. The first platform
utilizes amino-based liposomal
delivery technology and
incorporates a molecule the
Company calls DiLA2
(Di-Alkylated Amino Acid). The
company's our wholly-owned
subsidiaries are Cequent
Pharmaceuticals Inc and MDRNA
Research Inc. It was founded
in 1983.
Oncotelic Inc, located in
Agoura Hills, California, is
a cancer immunotherapy
company. It is dedicated to
the development of first in
class in self-immunization
protocol (SIP) as a durable
cure for difficult to treat
cancers. The Company was
founded on October 7, 2015.</t>
  </si>
  <si>
    <t xml:space="preserve">MARINA BIOTECH INC/ONCOTELIC INC-STRATEGIC ALLIANCE</t>
  </si>
  <si>
    <t xml:space="preserve">Marina Biotech Inc and OncoTelic Inc formed a strategic alliance in United
States to provide new therapeutic opportunities to the patient community.
The Strategic Alliance was to have a estimated cost of 90.75 million USD.</t>
  </si>
  <si>
    <t xml:space="preserve">The Strategic Alliance was to have a estimated cost of 90.75 million USD.</t>
  </si>
  <si>
    <t xml:space="preserve">56804Q
6F9327</t>
  </si>
  <si>
    <t xml:space="preserve">Constance Therapeutics Inc
Tetra Bio-Pharma Inc</t>
  </si>
  <si>
    <t xml:space="preserve">Constance Therapeutics Inc,
located in San Francisco,
California, provides
biotechnology research and
development services. The
Company was founded in May
2015.
Tetra Bio-Pharma Inc,
located in Ottawa, Ontario,
is a provider of
biotechnology research and
development services. The
Company was founded in May
17, 2007.</t>
  </si>
  <si>
    <t xml:space="preserve">CONSTANCE THERAPEUTICS INC/TETRA BIO-PHARMA INC-STRATEGIC ALLIANCE</t>
  </si>
  <si>
    <t xml:space="preserve">Constance Therapeutics Inc and Tetra Bio-Pharma Inc formed a strategic
alliance to provide licensing services and the clinical development and
commercialization in Canada of its signature standardized, patent-pending,
medicinal cannabis extract products.</t>
  </si>
  <si>
    <t xml:space="preserve">7F7297
39985Y</t>
  </si>
  <si>
    <t xml:space="preserve">Sanofi SA
Ablynx NV</t>
  </si>
  <si>
    <t xml:space="preserve">Manufactures pharmaceuticals products
Biotech co</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</si>
  <si>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Ablynx NV, based in Ghent,
Belgium, is a
biopharmaceutical company
focused on the discovery and
development of
Nanobodies(R), a novel class
of therapeutic proteins
based on single-domain
antibody fragments, for a
range of serious and
life-threatening human
diseases. The Company was
founded in 2001.</t>
  </si>
  <si>
    <t xml:space="preserve">SANOFI SA/ABLYNX NV-STRATEGIC ALLIANCE</t>
  </si>
  <si>
    <t xml:space="preserve">Sanofi SA and Ablynx NV formed a strategic alliance to develop and
commercialize Nanobody-based therapeutics for the treatment of various
immune mediated inflammatory diseases.</t>
  </si>
  <si>
    <t xml:space="preserve">80105N
40613C</t>
  </si>
  <si>
    <t xml:space="preserve">Numedicus Ltd
Amo Pharma Ltd</t>
  </si>
  <si>
    <t xml:space="preserve">Numedicus Ltd is a
manufacturer of pharmaceutical
preparation. The Company was
founded in February 2006 and
is located in Cambridge, the
United Kingdom.
Amo Pharma Ltd is a provider
of social sciences research
and development services. The
Company was founded in
February 2015 and is located
in Huntingdon, the United
Kingdom.</t>
  </si>
  <si>
    <t xml:space="preserve">NUMEDICUS LTD/AMO PHARMA LTD-STRATEGIC ALLIANCE</t>
  </si>
  <si>
    <t xml:space="preserve">Numedicus Ltd and Amo Pharma Ltd formed a strategic alliance to advance the
development of a glutamate modulator (AMO-04) and related compounds for the
treatment of Rett Syndrome and certain breathing disorders in United
Kingdom.</t>
  </si>
  <si>
    <t xml:space="preserve">6F9257
6F9261</t>
  </si>
  <si>
    <t xml:space="preserve">Philogen SpA
Boehringer Ingelheim GmbH</t>
  </si>
  <si>
    <t xml:space="preserve">Philogen SpA, located in
Siena, Italy, manufactures
pharmaceuticals intended for
final consumption, including
biotech products and
antibiotics.
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t>
  </si>
  <si>
    <t xml:space="preserve">Philogen SpA
CH Boehringer Sohn AG &amp; Co KG</t>
  </si>
  <si>
    <t xml:space="preserve">PHILOGEN SPA/BOEHRINGER INGELHEIM GMBH-STRATEGIC ALLIANCE</t>
  </si>
  <si>
    <t xml:space="preserve">Philogen SpA and Boehringer Ingelheim GmbH formed a strategic alliance to
discover and optimize novel small molecule-based therapeutics using
Philochems proprietary Encoded Self-Assembling Chemical (ESAC) Library
Technology platform.</t>
  </si>
  <si>
    <t xml:space="preserve">71884A
09710W</t>
  </si>
  <si>
    <t xml:space="preserve">Samsung Electronics Co Ltd
Undisclosed JV Partner</t>
  </si>
  <si>
    <t xml:space="preserve">Radio and Television Broadcasting and Wireless Communications Equipment Manufacturing
Investment company</t>
  </si>
  <si>
    <t xml:space="preserve">Samsung Electronics Co Ltd,
located in Suwon, South
Korea, manufactures and
wholesales consumer
electronic products. It
operates in three business
divisions: consumer
electronics (CE) division,
which involves in the color
televisions (CTVs),
monitors, printers, air
conditioners, refrigerators,
laundry machines and others;
information technology &amp;
mobile communications (IM)
division, which involves in
the production of computers,
handhold phones (HHPs),
network systems, digital
cameras and others, as well
as device solutions (DM)
division, which is divided
into semiconductor and
display business parts,
providing dynamic random
access memories (DRAMs),
flashes, thin film
transistor-liquid crystal
displays (TFT-LCDs) and
others. It is also a holding
company. The Company
distributes its products
within domestic market and
to overseas markets. It was
founded in 1969.
Investment company</t>
  </si>
  <si>
    <t xml:space="preserve">3663
6799</t>
  </si>
  <si>
    <t xml:space="preserve">SAMSUNG ELECTRONICS CO LTD/UNDISCLOSED PARTNER-STRATEGIC ALLIANCE</t>
  </si>
  <si>
    <t xml:space="preserve">Samsung Electronics Co Ltd and Undisclosed Joint Venture Partner formed a
strategic alliance to speed up its localization in the Chinese market amid
mounting competition from local rivals.</t>
  </si>
  <si>
    <t xml:space="preserve">Telecommunications Services
Internet Services
Research &amp; Development Services</t>
  </si>
  <si>
    <t xml:space="preserve">796050
904JVP</t>
  </si>
  <si>
    <t xml:space="preserve">Aptevo Therapeutics Inc
Alligator Bioscience AB</t>
  </si>
  <si>
    <t xml:space="preserve">Biological Product (Except Diagnostic) Manufacturing
Manufacture,whl pharmaceuticals</t>
  </si>
  <si>
    <t xml:space="preserve">Aptevo Therapeutics Inc is a
manufacturer of biological
products. The Company is
located in Seattle,
Washington.
Alligator Bioscience AB,
located in Lund, Sweden,
manufactures and wholesales
pharmaceuticals. The Company
was founded in 2001.</t>
  </si>
  <si>
    <t xml:space="preserve">EMERGENT BIOSOLUTIONS INC-BIOSCIENCES BUSINESS/ALLIGATOR BIOSCIENCE
AB-STRATEGIC ALLIANCE</t>
  </si>
  <si>
    <t xml:space="preserve">Emergent Biosolutions Inc-Biosciences Business and Alligator Bioscience AB
formed a strategic alliance to co-develop a novel bispecific antibody
candidate known as ALG.APV-527.</t>
  </si>
  <si>
    <t xml:space="preserve">7F9718
01960Z</t>
  </si>
  <si>
    <t xml:space="preserve">Eli Lilly &amp; Co
Nektar Therapeutics</t>
  </si>
  <si>
    <t xml:space="preserve">Manufactures,wholesales pharmaceuticals
Manufacture pharmaceuticals</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</si>
  <si>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Nektar Therapeutics, located
in San Francisco,
California, is a
biopharmaceutical company
developing a pipeline of
drug candidates that utilize
its PEGylation and advanced
polymer conjugate technology
platforms, which are
designed to enable the
development of new molecular
entities that target known
mechanisms of action. The
company has developed a
non-invasive inhaled drug
delivery system for drugs
that treat pulmonary
diseases or that require
systemic distribution. The
company was founded in 1990.</t>
  </si>
  <si>
    <t xml:space="preserve">ELI LILLY &amp; CO/NEKTAR THERAPEUTICS-STRATEGIC ALLIANCE</t>
  </si>
  <si>
    <t xml:space="preserve">Eli Lilly Co and Nektar Therapeutics planned to form a strategic alliance
to co-develop NKTR-358, a novel immunological therapy discovered by Nektar
in United States.</t>
  </si>
  <si>
    <t xml:space="preserve">532457
640268</t>
  </si>
  <si>
    <t xml:space="preserve">SQI Diagnostics Inc
McMaster University</t>
  </si>
  <si>
    <t xml:space="preserve">Mnfr,dvlp medical sys prod
Colleges, Universities, and Professional Schools</t>
  </si>
  <si>
    <t xml:space="preserve">SQI Diagnostics Inc, located
in Toronto, Ontario, is a
manufacturer and developer
of medical system products.
It is focused on developing
and launching an automated,
multiplex immunoassay
platform. The Company was
founded in 1999.
McMaster University is a
college operator. The
Company was founded in 1987
and is located in Hamilton,
Canada.</t>
  </si>
  <si>
    <t xml:space="preserve">SQI DIAGNOSTICS INC/MCMASTER UNIVERSITY-STRATEGIC ALLIANCE</t>
  </si>
  <si>
    <t xml:space="preserve">SQI Diagnostics Inc and McMaster University formed a strategic alliance to
develop chip technology for use in multi-array disease testing in Canada.</t>
  </si>
  <si>
    <t xml:space="preserve">Licensing Services
Research &amp; Development Services
Software Development Services</t>
  </si>
  <si>
    <t xml:space="preserve">78466B
58229F</t>
  </si>
  <si>
    <t xml:space="preserve">SOM Innovation Biotech SL
Corino Therapeutics Inc</t>
  </si>
  <si>
    <t xml:space="preserve">SOM Innovation Biotech SL,
located in Barcelona, Spain,
is a biotechnology company
focused on the development of
already known drugs. The
company was founded on
December 30, 2009.
Corino Therapeutics Inc,
located at New York, New York,
is a private,
development-stage
biopharmaceutical company
focused on acquiring,
developing, and
commercializing innovative
products for the treatment of
a variety of human diseases,
particularly orphan
indications.</t>
  </si>
  <si>
    <t xml:space="preserve">SOM INNOVATION BIOTECH SL/CORINO THERAPEUTICS INC-STRATEGIC ALLIANCE</t>
  </si>
  <si>
    <t xml:space="preserve">SOM Innovation Biotech SL and Corino Therapeutics Inc formed a strategic
alliance to clinically develop and market the drug SOM0226 against
transthyretin amyloidosis (ATTR) across United States.</t>
  </si>
  <si>
    <t xml:space="preserve">83988X
7F0126</t>
  </si>
  <si>
    <t xml:space="preserve">eSense-Lab Ltd
Wild Rogue Extracts LLC</t>
  </si>
  <si>
    <t xml:space="preserve">Pharmaceutical Preparation Manufacturing
All Other Basic Organic Chemical Manufacturing</t>
  </si>
  <si>
    <t xml:space="preserve">eSense-Lab Ltd, located in
Ness Ziona, Israel is a
pharmaceutical technology
company. The Company
re-engineers cannabis into a
virtual plant, namely
terpene, a naturally
occurring chemical compounds
that generate the flavor and
fragrance synthesized by
plants. Tarpene can be used
both for medicinal purposes
and for the production of
cannabis-based consumer
products. The Company mainly
serves the legal cannabis
and para-cannabis markets.
It also serves the: e-liquid
market; pharmaceuticals
market, creating on demand
customized profiles and
personalized medicine, as
well as rare plants market,
providing sustainability to
rare and sought after plants
such as ginseng and saffron.
Its cannabis terpenes
address the cannabis
edibles, e-liquids and
energy drinks, as well as
the essential oils markets.
Wild Rogue Extracts LLC,
located in White City, Oregon,
is a producer and developer of
cannabis essential oils.</t>
  </si>
  <si>
    <t xml:space="preserve">ESENSE-LAB LTD/WILD ROGUE EXTRACTS LLC-STRATEGIC ALLIANCE</t>
  </si>
  <si>
    <t xml:space="preserve">Esense-Lab Ltd (eSense) and Wild Rogue Extracts LLC (Wild Rogue) planned to
form a strategic alliance to collaborate in the development and marketing
of a new line of cannabidiol (CBD) based products including but not limited
to vapors and vape pens (oils and concentrates), tinctures, salves and
other topical applications and concentrates. Under the agreement, Wild
Rogue will market eSense's existing terpene profiles to its clients, and
will be entitled to certain commissions in the event of sales from any
introductions.</t>
  </si>
  <si>
    <t xml:space="preserve">1F6419
7F0222</t>
  </si>
  <si>
    <t xml:space="preserve">EnteroMedics Inc
Galvani Bioelectronics Ltd</t>
  </si>
  <si>
    <t xml:space="preserve">Mnfr,whl medical devices
In-Vitro Diagnostic Substance Manufacturing</t>
  </si>
  <si>
    <t xml:space="preserve">EnteroMedics Inc, located in
Saint Paul, Minnesota, is a
medical device company that
focuses on the design and
development of devices that
use neuroblocking technology
to treat obesity, metabolic
diseases and other
gastrointestinal disorders.
The company's neuroblocking
technology, which it refers
to as VBLOC therapy, is
designed to intermittently
block the vagus nerve. Its
initial product is the
Maestro System, which uses
VBLOC therapy to affect
metabolic regulatory
control, limits the
expansion of the stomach,
help control hunger
sensations between meals,
reduce the frequency and
intensity of stomach
contractions and produce a
feeling of early and
prolonged fullness. The
Company was founded in 2002.
Galvani Bioelectronics Ltd is
a manufacturer of in-vitro
diagnostic substances. The
company is located in the
United Kingdom.</t>
  </si>
  <si>
    <t xml:space="preserve">EnteroMedics Inc
Alphabet Inc</t>
  </si>
  <si>
    <t xml:space="preserve">3841
7375</t>
  </si>
  <si>
    <t xml:space="preserve">ENTEROMEDICS INC/GALVANI BIOELECTRONICS LTD-STRATEGIC ALLIANCE</t>
  </si>
  <si>
    <t xml:space="preserve">EnteroMedics Inc and Galvani Bioelectronics Ltd formed a strategic alliance
for EnteroMedics to modify its vBloc System for use in pre-clinical
research by Galvani. EnteroMedics will receive payments for its development
work and supply under this agreement. EnteroMedics will retain all rights,
title, and ownership in the intellectual property for the new device, which
will be licensed to Galvani.</t>
  </si>
  <si>
    <t xml:space="preserve">29365M
3F5172</t>
  </si>
  <si>
    <t xml:space="preserve">Guangdong Redwall New Material
Undisclosed JV Partner</t>
  </si>
  <si>
    <t xml:space="preserve">Guangdong Redwall New
Materials Co Ltd, located in
China, is a manufacturer and
wholesaler of concrete
admixtures. The Company was
founded in 2005 .
Investment company</t>
  </si>
  <si>
    <t xml:space="preserve">GUANGDONG REDWALL NEW MATERIALS CO LTD/UNDISCLOSED PARTNER-STRATEGIC
ALLIANCE</t>
  </si>
  <si>
    <t xml:space="preserve">Guangdong Redwall New Materials Co Ltd and Undisclosed Joint Venture
Partner formed a strategic alliance to cooperate on market development,
material purchase, R&amp;D of products and technology, from 2017 to 2021 in
China.</t>
  </si>
  <si>
    <t xml:space="preserve">9A0128
904JVP</t>
  </si>
  <si>
    <t xml:space="preserve">Emergent Biosolutions Inc
Valneva SE</t>
  </si>
  <si>
    <t xml:space="preserve">Manufactures biopharmaceuticals
Biotechnology company</t>
  </si>
  <si>
    <t xml:space="preserve">Emergent Biosolutions Inc is
a manufacturer of
biopharmaceuticals. The
Company focuses on
immunobiotics which includes
vaccines and immune
globulins, that induce or
assist the body's immune
system to prevent or treat
disease. It also
manufactures and markets
BioThrax, also referred to
as anthrax vaccine. It has
offices across the United
States; Munich, Germany;
Wokingham, the United
Kingdom and Singapore. The
Company was founded in 1998
and is located in
Gaithersburg, Maryland.
Valneva SE, located in Lyon,
France, is a biotechnology
company that provides
cell-based solutions to the
pharmaceutical industry for
the manufacture of vaccines
and proteins, and developes
drugs for the prevention and
treatment of viral diseases.
It specializes in the field
of embryonic stem cells and
their use for practical
applications in human and
animal health. It
commercialized its
proprietary EB66 platform, a
series of documented cells
lines derived from chicken
and duck embryonic stem
cells. The Company was
founded in 1999.</t>
  </si>
  <si>
    <t xml:space="preserve">EMERGENT BIOSOLUTIONS INC/VALNEVA SE-STRATEGIC ALLIANCE</t>
  </si>
  <si>
    <t xml:space="preserve">Emergent BioSolutions Inc and Valneva SE formed a strategic alliance to
develop a vaccine against the zika virus &amp; for global exclusive rights to
valnevas zika vaccine technology.</t>
  </si>
  <si>
    <t xml:space="preserve">Licensing Services
Software Development Services
Computer Programming Services
Research &amp; Development Services</t>
  </si>
  <si>
    <t xml:space="preserve">29089Q
4A0891</t>
  </si>
  <si>
    <t xml:space="preserve">XL Protein GmbH
Jazz Pharmaceuticals PLC</t>
  </si>
  <si>
    <t xml:space="preserve">Biological Product (Except Diagnostic) Manufacturing
Mnfr prescription pharm</t>
  </si>
  <si>
    <t xml:space="preserve">XL Protein GmbH is a
manufacturer of biological
products, develops and
commercializes its proprietary
PASylation technology to
extend the plasma half-life of
biopharmaceuticals. The
Company was founded in 2009
and is located in Freising,
Germany.
Jazz Pharmaceuticals PLC,
headquartered in Palo Alto,
California, manufactures
prescription pharmaceuticals
focused on neurological and
psychiatric products. The
company was incorporated in
California in March 2003, and
reincorporated in Delaware in
January 2004.</t>
  </si>
  <si>
    <t xml:space="preserve">XL PROTEIN GMBH/JAZZ PHARMACEUTICALS PLC-STRATEGIC ALLIANCE</t>
  </si>
  <si>
    <t xml:space="preserve">XL Protein GmbH and Jazz Pharmaceuticals PLC formed a strategic alliance to
develop, manufacture and commercialize products using XLps PASylation
technology to extend the plasma half-life of selected asparaginase product
candidates.</t>
  </si>
  <si>
    <t xml:space="preserve">Licensing Services
Research &amp; Development Services
Manufacturing Services
Retail &amp; Wholesale Services
Health &amp; Medical Services</t>
  </si>
  <si>
    <t xml:space="preserve">7F2624
G50871</t>
  </si>
  <si>
    <t xml:space="preserve">Les Laboratoires Servier SAS
Galapagos NV</t>
  </si>
  <si>
    <t xml:space="preserve">Manufacture,wholesale drugs
Biological Product (Except Diagnostic) Manufacturing</t>
  </si>
  <si>
    <t xml:space="preserve">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
Galapagos NV, located in
Mechelen, Belgium, is a
biopharmaceutical company
focused on small molecule
medicines and drug discovery
programs based on
proprietary, novel targets
in bone and joint diseases
such osteoarthritis,
osteoporosis and rheumatoid
arthritis. It also pursues
research on cancer
metastasis, cachexia,
infectious diseases and
Alzheimer's disease.
Besides Belgium, it also
operates in the Netherlands,
France, Switzerland, the
United States and Croatia.
The Company was founded in
1999.</t>
  </si>
  <si>
    <t xml:space="preserve">LES LABORATOIRES SERVIER SAS/GALAPAGOS NV-STRATEGIC ALLIANCE</t>
  </si>
  <si>
    <t xml:space="preserve">Les Laboratoires Servier Sas and Galapagos NV planned to form a strategic
alliance to develop novel osteoarthritis molecule GLPG1972/S201086.</t>
  </si>
  <si>
    <t xml:space="preserve">81764A
36315X</t>
  </si>
  <si>
    <t xml:space="preserve">AstraZeneca PLC
Merck &amp; Co Inc</t>
  </si>
  <si>
    <t xml:space="preserve">Manufactures, wholesales pharmaceutical products
Manufactures and wholesales pharmaceuticals</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</si>
  <si>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</si>
  <si>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ASTRAZENECA PLC/MERCK &amp; CO INC-STRATEGIC ALLIANCE</t>
  </si>
  <si>
    <t xml:space="preserve">AstraZeneca PLC and Merck Co Inc formed a strategic alliance to co-develop
and co-commercialise AstraZenecas Lynparza (olaparib) for multiple cancer
types.</t>
  </si>
  <si>
    <t xml:space="preserve">046353
58933Y</t>
  </si>
  <si>
    <t xml:space="preserve">Tesaro Inc
Takeda Pharmaceutical Co Ltd</t>
  </si>
  <si>
    <t xml:space="preserve">Tesaro Inc, located in
Waltham, Massachusetts,
manufactures
biopharmaceuticals focused
on oncology. Its products
include Zejula (niraparib),
an oral poly ADP ribose
polymerase (PARP) inhibitor
currently approved for use
in ovarian cancer. It also
has several oncology assets
in its pipeline including
antibodies directed against
PD-1, TIM-3 and LAG-3
targets. The Company was
founded in 2010.
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</si>
  <si>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TESARO INC/TAKEDA PHARMACEUTICAL CO LTD-STRATEGIC ALLIANCE</t>
  </si>
  <si>
    <t xml:space="preserve">Japan
South Korea
Taiwan
Russian Fed
Australia</t>
  </si>
  <si>
    <t xml:space="preserve">Tesaro Inc and Takeda Pharmaceutical Co Ltd formed a strategic alliance to
develop and commercialize novel cancer therapy niraparib in Japan, South
Korea, Taiwan, Russia and Australia.</t>
  </si>
  <si>
    <t xml:space="preserve">Licensing Services
Hospital &amp; Clinical Services
Research &amp; Development Services
Marketing Services</t>
  </si>
  <si>
    <t xml:space="preserve">881569
874058</t>
  </si>
  <si>
    <t xml:space="preserve">Dr Reddy's Laboratories Ltd
CHD Bioscience Inc</t>
  </si>
  <si>
    <t xml:space="preserve">Manufactures and wholesales prescription pharmaceutical
Research and Development in Biotechnology</t>
  </si>
  <si>
    <t xml:space="preserve">Dr Reddy's Laboratories
Ltd, located in Hyderabad,
India, manufactures and
wholesales prescription
pharmaceuticals intended for
final consumption, including
biotech products and
antibiotics. The Company
operates in seven segments
namely Generics, Active
Pharmaceutical Ingredients
and Intermediates,
Formulations, Critical Care
and Biotechnology, Custom
Pharmaceutical Services,
Drug Discovery and Other.
The Company has offices and
operations in North America,
Russia and Europe and other
countries. The Company was
founded on 1984.
1984.
CHD Bioscience Inc is a
provider of biotechnology
research and development
services. The Company was
founded in December 1997 and
is located in Fort Collins,
Colorado.</t>
  </si>
  <si>
    <t xml:space="preserve">DR REDDY'S LABORATORIES LTD/CHD BIOSCIENCE INC-STRATEGIC ALLIANCE</t>
  </si>
  <si>
    <t xml:space="preserve">Dr Reddy's Laboratories Ltd and CHD Bioscience Inc. formed a strategic
alliance wherein Dr Reddy's Laboratories Ltd licensed CHD Bioscience Inc.
it's phase III clinical trial candidate, DFA-02 to provide for clinical
development and commercialization of Dr. Reddys phase III clinical trial
candidate, DFA-02, globally. The SA was to have a milestone payment of USD
40 mil.</t>
  </si>
  <si>
    <t xml:space="preserve">Licensing Services
Research &amp; Development Services
Supply Services
Health &amp; Medical Services</t>
  </si>
  <si>
    <t xml:space="preserve">256135
7F0958</t>
  </si>
  <si>
    <t xml:space="preserve">Tesaro Inc and Takeda Pharmaceutical Co Ltd formed a strategic alliance to
the commercialization and clinical development of niraparib, a novel poly
ADP-ribose polymerase (PARP) inhibitor. This agreement includes the
development of niraparib for the treatment of all tumor types in Japan, and
all tumor types excluding prostate cancer in South Korea, Taiwan, Russia
and Australia.</t>
  </si>
  <si>
    <t xml:space="preserve">Woodside Capital Partners LLC
Yole Developpement SARL</t>
  </si>
  <si>
    <t xml:space="preserve">Pvd invest banking svcs
Administrative Management and General Management Consulting Services</t>
  </si>
  <si>
    <t xml:space="preserve">Woodside Capital Partners LLC,
located in Palo Alto,
California, provides
investment banking services.
It also offers strategic and
financial advisory services.
Yole Developpement SARL
provides market research,
technology analysis, strategy
consulting, targeted media,
and financial advisory
services. The Company is
located in Villeurbanne,
France.</t>
  </si>
  <si>
    <t xml:space="preserve">6282
8742</t>
  </si>
  <si>
    <t xml:space="preserve">WOODSIDE CAPITAL PARTNERS LLC/YOLE DEVELOPPEMENT SARL-JOINT VENTURE</t>
  </si>
  <si>
    <t xml:space="preserve">Woodside Capital Partners LLC and Yole Developpement SARL planned to form a
joint venture for Yole to serve as a research partner for Woodside Capitals
M&amp;A advisory practice which provides strategic and financial advice to
emerging growth companies in the technology sector.</t>
  </si>
  <si>
    <t xml:space="preserve">98022T
7F2040</t>
  </si>
  <si>
    <t xml:space="preserve">Nantcell Inc
CytRx Corp</t>
  </si>
  <si>
    <t xml:space="preserve">Provides biotechnology research and development svcs
Mnfr biopharmaceutical prod</t>
  </si>
  <si>
    <t xml:space="preserve">Nantcell LLC, located in
Culver City, California,
provides biotechnology
research and development
services. The Company was
founded in November 2014.
CytRx Corp, located in Los
Angeles, California, is a
biopharmaceutical research and
development company engaged in
the development of high-value
human therapeutics,
specializing in oncology. The
Company was founded in 1985.</t>
  </si>
  <si>
    <t xml:space="preserve">NantWorks LLC
CytRx Corp</t>
  </si>
  <si>
    <t xml:space="preserve">NANTCELL INC/CYTRX CORP-STRATEGIC ALLIANCE</t>
  </si>
  <si>
    <t xml:space="preserve">Nantcell Inc and CytRx Corp formed a strategic alliance to Expand the
Development of Aldoxorubicin into Multiple Tumor Types in Combination with
Immuno-Oncology and Cell-Based Therapies.</t>
  </si>
  <si>
    <t xml:space="preserve">8C7401
232828</t>
  </si>
  <si>
    <t xml:space="preserve">Bionpharma Inc
Panacea Biotec Ltd</t>
  </si>
  <si>
    <t xml:space="preserve">Bionpharma Inc is a
manufacturer of pharmaceutical
preparation. The company was
founded in November 2014 and
is located in Princeton, New
Jersey.
Panacea Biotec Ltd is a
manufacturer of
pharmaceutical preparation.
It manufactures and
wholesales vaccines,
pharmaceutical and
biotechnology based
products. The products are
used in various segments
like, pediatric vaccines,
pain management, diabetes
management and organ
transplantation. It operates
in three segments such as
Vaccines, Formulations and
Research and Development.
The Company was founded in
1984 and is located in New
Delhi, India.</t>
  </si>
  <si>
    <t xml:space="preserve">BIONPHARMA INC/PANACEA BIOTEC LTD-STRATEGIC ALLIANCE</t>
  </si>
  <si>
    <t xml:space="preserve">Bionpharma Inc and Panacea Biotec Ltd formed a strategic alliance to
develop, license, manufacture, supply and sell seven complex generic drugs
in US.</t>
  </si>
  <si>
    <t xml:space="preserve">Health &amp; Medical Services
Licensing Services
Research &amp; Development Services
Manufacturing Services
Supply Services</t>
  </si>
  <si>
    <t xml:space="preserve">2E8545
Y6695F</t>
  </si>
  <si>
    <t xml:space="preserve">Triple Ring Technologies Inc
ALine Inc</t>
  </si>
  <si>
    <t xml:space="preserve">Surgical Appliance and Supplies Manufacturing
Biological Product (Except Diagnostic) Manufacturing</t>
  </si>
  <si>
    <t xml:space="preserve">Triple Ring Technologies Inc
is a manufacturer of
surgical appliance and
supplies. The Company was
founded in 2005 and is
located in Newark,
California.
ALine Inc is a manufacturer of
biological products. The
company is located in Rancho
Dominguez, California.</t>
  </si>
  <si>
    <t xml:space="preserve">TRIPLE RING TECHNOLOGIES INC/ALINE INC-STRATEGIC ALLIANCE</t>
  </si>
  <si>
    <t xml:space="preserve">Triple Ring Technologies Inc and ALine Inc formed a strategic alliance to
support clients developing diagnostic products in which a microfluidic
consumable is supported with instrument automation in US.</t>
  </si>
  <si>
    <t xml:space="preserve">3E4316
0F6333</t>
  </si>
  <si>
    <t xml:space="preserve">IDbyDNA Inc
ARUP Laboratories Inc</t>
  </si>
  <si>
    <t xml:space="preserve">Biotechnology company
Pvd anatomic pathology svcs</t>
  </si>
  <si>
    <t xml:space="preserve">IDbyDNA Inc is a United
States-based precision
medicine company. The
Company is focused on
metagenomic approaches for
infectious disease
identification. It is
engaged in developing
technologies to enable
universal microorganism
detection. It helps doctors
and scientists to detect
pathogen in any sample,
thereby removing barriers
for the adoption of
metagenomics in clinical
settings, leading to faster
public health responses
during infectious disease
outbreaks. It offers
Taxonomer, which is a next
generation sequencing
(NGS)-based metagenomic
analysis technology.
Taxonomer enables universal,
real-time detection of
viruses, bacteria and fungi
through a Web interface. For
every sequencing read,
Taxonomer provides the
taxonomic classification
that is supported by the
reference database through
both, nucleic acid and
protein-based classification
for improved detection. With
ribonucleic acid
(RNA)-sequencing data,
Taxonomer also provides host
messenger RNA (mRNA)
expression profiles.
ARUP Laboratories Inc,
located in Salt Lake City,
Utah, provides clinical and
anatomic pathology services.
The Company was founded in
1984.</t>
  </si>
  <si>
    <t xml:space="preserve">IDBYDNA INC/ARUP LABORATORIES INC-STRATEGIC ALLIANCE</t>
  </si>
  <si>
    <t xml:space="preserve">IDbyDNA Inc and ARUP Laboratories Inc formed a strategic alliance to
Develop and Commercialize Novel Infectious Disease Testing Using
Metagenomics in united States.</t>
  </si>
  <si>
    <t xml:space="preserve">7F1482
5A5701</t>
  </si>
  <si>
    <t xml:space="preserve">Quadron Cannatech Corp
Lucid Labs LLC</t>
  </si>
  <si>
    <t xml:space="preserve">Miscellaneous Intermediation
Lessors Of Nonfinancial Intangible Assets (Except Copyrighted Works)</t>
  </si>
  <si>
    <t xml:space="preserve">Quadron Cannatech Corp,
located in Vancouver, Canada
is a Canada-based automated
extraction and processing
solutions company. Through
its subsidiaries Soma Labs
Scientific, Greenmantle and
Cybernetic Control Systems,
the Company provides
ancillary equipment,
products and services,
designed and structured to
address the complex needs
and requirements of
authorized cannabis industry
participants in North
America. The Company was
founded in November 2011.
Lucid Labs LLC is an
intellectual property and
development and licensing
company that provides
structural solutions through
partnerships with authorized
cultivators, producers, and
processors throughout North
America. The Company is
located in Bothell,
Washington.</t>
  </si>
  <si>
    <t xml:space="preserve">6799
6794</t>
  </si>
  <si>
    <t xml:space="preserve">QUADRON CAPITAL CORP/LUCID LABS LLC-STRATEGIC ALLIANCE</t>
  </si>
  <si>
    <t xml:space="preserve">Quadron Capital Corp and Lucid Labs LLC formed a strategic alliance to
develop and commercialize certain extraction and processing solutions for
the cannabis industry.</t>
  </si>
  <si>
    <t xml:space="preserve">9F5582
7F1700</t>
  </si>
  <si>
    <t xml:space="preserve">Takeda Pharmaceutical Co Ltd
Molecular Templates Inc</t>
  </si>
  <si>
    <t xml:space="preserve">Mnfr pharmaceutical products
Manufactures biological products</t>
  </si>
  <si>
    <t xml:space="preserve">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
Molecular Templates Inc is a
manufacturer of biological
products. The Company is
located in Austin, Texas.</t>
  </si>
  <si>
    <t xml:space="preserve">Takeda Pharmaceutical Co Ltd
Threshold Pharmaceuticals Inc</t>
  </si>
  <si>
    <t xml:space="preserve">TAKEDA PHARMACEUTICAL CO LTD/MOLECULAR TEMPLATES INC-STRATEGIC ALLIANCE</t>
  </si>
  <si>
    <t xml:space="preserve">Takeda Pharmaceutical Co Ltd and Molecular Templates Inc formed a strategic
alliance to develop next generation oncology therapies in Japan.</t>
  </si>
  <si>
    <t xml:space="preserve">874058
3F6258</t>
  </si>
  <si>
    <t xml:space="preserve">ActiveSite Pharmaceuticals Inc
AntriaBio Inc</t>
  </si>
  <si>
    <t xml:space="preserve">Pharmaceutical Preparation Manufacturing
Mnfr diagnostic pharmaceutical</t>
  </si>
  <si>
    <t xml:space="preserve">ActiveSite Pharmaceuticals Inc
is a manufacturer of
pharmaceutical preparation,
discover new small molecule
drug candidates for human
diseases. The Company was
founded in January 2006 and is
located in Berkeley,
California.
AntriaBio Inc, based in Menlo
Park, California, is a
biopharmaceutical company,
focuses on developing
therapeutic products for the
diabetes market. Its product
candidate AB101 is an
injectable once-a-week basal
insulin for type 1 and type 2
diabetes patients who require
basal insulin for the control
of hyperglycemia. It was
founded in 2010.</t>
  </si>
  <si>
    <t xml:space="preserve">CA
CO</t>
  </si>
  <si>
    <t xml:space="preserve">ACTIVESITE PHARMACEUTICALS INC/ANTRIABIO INC-STRATEGIC ALLIANCE</t>
  </si>
  <si>
    <t xml:space="preserve">ActiveSite Pharmaceuticals Inc and AntriaBio Inc formed a strategic
alliance to exclusively licensed activesites oral plasma kallikrein
inhibitor portfolio, develop novel therapies for unmet needs in diabetes
and other serious diseases globally.</t>
  </si>
  <si>
    <t xml:space="preserve">7F4134
037230</t>
  </si>
  <si>
    <t xml:space="preserve">Medisix Therapeutics Pte Ltd
National Univ of Singapore</t>
  </si>
  <si>
    <t xml:space="preserve">Research and Development in Biotechnology
Own,op college,university</t>
  </si>
  <si>
    <t xml:space="preserve">Medisix Therapeutics Pte
Ltd, located in Singapore,
is an early-stage cell
therapy company that is
taking a novel approach to
develop chimeric antigen
receptor ("CAR") T cells to
target T cell lymphoma and
leukemia. The Company was
founded in 2016.
National University of
located in
Singapore, owns and operates
college and university.</t>
  </si>
  <si>
    <t xml:space="preserve">MEDISIX THERAPEUTICS PTE LTD/NATIONAL UNIVERSITY OF SINGAPORE-STRATEGIC
ALLIANCE</t>
  </si>
  <si>
    <t xml:space="preserve">Medisix Therapeutics Pte Ltd and National University of Singapore formed a
strategic alliance to further develop the underlying intellectual property
(IP) for commercial applications in Singapore.</t>
  </si>
  <si>
    <t xml:space="preserve">Exclusive Licensing Services
Research &amp; Development Services
Licensing Services</t>
  </si>
  <si>
    <t xml:space="preserve">8F2578
63838Q</t>
  </si>
  <si>
    <t xml:space="preserve">Gatan Inc
DataDirect Networks Inc</t>
  </si>
  <si>
    <t xml:space="preserve">Analytical Laboratory Instrument Manufacturing
Manufactures computer storage devices</t>
  </si>
  <si>
    <t xml:space="preserve">Gatan Inc, located in
Pleasanton, California, is a
manufacturer of analytical
laboratory instruments. It
manufactures instrumentation
and software used to enhance
and extend the operation and
performance of electron
microscopes. Its customers
span the complete spectrum
of end users of analytical
instrumentation typically
found in industrial,
governmental and academic
laboratories.
DataDirect Networks Inc,
was founded in 1988.
located in Chatsworth,
California, is a
manufacturer of computer
storage devices. It designs,
develops and deploys
systems, software and
storage solutions that
enable enterprises, service
providers, universities and
government agencies to
generate more value and to
accelerate time to insight
from their data and
information, on premise and
in the cloud. The Company
was founded in 1988.</t>
  </si>
  <si>
    <t xml:space="preserve">3826
3572</t>
  </si>
  <si>
    <t xml:space="preserve">Roper Technologies Inc
DataDirect Networks Inc</t>
  </si>
  <si>
    <t xml:space="preserve">3823
3572</t>
  </si>
  <si>
    <t xml:space="preserve">GATAN INC/DATADIRECT NETWORKS INC-STRATEGIC ALLIANCE</t>
  </si>
  <si>
    <t xml:space="preserve">Gatan International Inc(Roper Industries Inc) and DataDirect Networks Inc
formed a strategic alliance to accelerate research, to speed time to
results, and to fully leverage the power of the latest technologies in
electron microscopy in US.</t>
  </si>
  <si>
    <t xml:space="preserve">36733I
23808N</t>
  </si>
  <si>
    <t xml:space="preserve">Merck KGaA
Baylor College of Medicine</t>
  </si>
  <si>
    <t xml:space="preserve">Manufactures and wholesales pharmaceuticals, specialty chemicals, and cosmetic pigments
Own,operate college,university</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</si>
  <si>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Baylor College of Medicine,
owns and operates a
university. The university is
headquartered in Houston,
Texas. The company provides
research and development
services for Neurology,
Neuroscience, Neurosurgery,
Obstetrics and Gynecology,
Opthalmology, Orthopedic
surgery and Development
Biology departments.</t>
  </si>
  <si>
    <t xml:space="preserve">MERCK KGAA/BAYLOR COLLEGE OF MEDICINE-STRATEGIC ALLIANCE</t>
  </si>
  <si>
    <t xml:space="preserve">Merck KGaA and Baylor College of Medicine formed a strategic alliance to
advance vaccine research and development for neglected and emerging
infections.</t>
  </si>
  <si>
    <t xml:space="preserve">589339
07283T</t>
  </si>
  <si>
    <t xml:space="preserve">GPBio Corp
E One Diagnomics Genome Ctr</t>
  </si>
  <si>
    <t xml:space="preserve">GPBio Corp is a manufacturer
of biological products. The
Company was founded in January
2016 and is located in
Shanghai, China.
E One Diagnomics Genome
Center Co Ltd is a provider
of ambulatory health care
services. The Company was
founded in May 2013 and is
located in Incheon, South
Korea.</t>
  </si>
  <si>
    <t xml:space="preserve">GPBIO CORP/E ONE DIAGNOMICS GENOME CENTER CO LTD-STRATEGIC ALLIANCE</t>
  </si>
  <si>
    <t xml:space="preserve">GPBio Corp and E One Diagnomics Genome Center Co Ltd formed a strategic
alliance develop and expand the Asian markets for consumer/clinical
genomics services based on their complementary genetic analysis
capabilities.</t>
  </si>
  <si>
    <t xml:space="preserve">7F6292
7F6290</t>
  </si>
  <si>
    <t xml:space="preserve">Klaria AB
Purdue Pharma Canada LP</t>
  </si>
  <si>
    <t xml:space="preserve">Klaria AB is a provider of
biotechnology research and
development services. The
Company is located in Uppsala,
Sweden.
Purdue Pharma Canada LP is a
provider of biotechnology
research and development
services. The Company was
founded in 1956 and is located
in Pickering, Canada.</t>
  </si>
  <si>
    <t xml:space="preserve">Sweden
Canada</t>
  </si>
  <si>
    <t xml:space="preserve">Klaria Pharma Hldg AB
Purdue Pharma LP</t>
  </si>
  <si>
    <t xml:space="preserve">KLARIA AB/PURDUE PHARMA CANADA LP-STRATEGIC ALLIANCE</t>
  </si>
  <si>
    <t xml:space="preserve">Klaria AB and Purdue Pharma Canada LP formed a strategic alliance to
develop and supply KL-00514.</t>
  </si>
  <si>
    <t xml:space="preserve">Research &amp; Development Services
Licensing Services
Supply Services
Health &amp; Medical Services</t>
  </si>
  <si>
    <t xml:space="preserve">7F4388
9E3636</t>
  </si>
  <si>
    <t xml:space="preserve">Air Liquide SA
PetroChem Research &amp; Tech Co</t>
  </si>
  <si>
    <t xml:space="preserve">Manufacture,wholesale industrial gases
Research and Development in The Social Sciences and Humanities</t>
  </si>
  <si>
    <t xml:space="preserve">Air Liquide SA is a
manufacturer of industrial
gas. The Company was founded
in 1902 and is located in
Paris, France. manufactures
and wholesales industrial
gases such as oxygen,
nitrogen and hydrogen. It
also manufactures welding
and cutting equipment,
engineering equipment,
chemicals, pharmaceuticals,
diving equipment and
paramedical equipment. The
Company was founded in 1902
and is located in Paris,
France.
Petrochemical Research &amp;
Technology Co is a provider of
social sciences research and
development services. The
Company was founded in 2002
and is located in Tehran,
Iran.</t>
  </si>
  <si>
    <t xml:space="preserve">2813
8731</t>
  </si>
  <si>
    <t xml:space="preserve">France
Iran</t>
  </si>
  <si>
    <t xml:space="preserve">Air Liquide SA
Iran</t>
  </si>
  <si>
    <t xml:space="preserve">2813
999A</t>
  </si>
  <si>
    <t xml:space="preserve">AIR LIQUIDE SA/PETROCHEMICAL RESEARCH &amp; TECHNOLOGY CO-STRATEGIC ALLIANCE</t>
  </si>
  <si>
    <t xml:space="preserve">Air Liquide SA and Petrochemical Research Technology Co formed a strategic
alliance to obtain methane to propane process license.</t>
  </si>
  <si>
    <t xml:space="preserve">Licensing Services
Research &amp; Development Services
Oil and Gas; Petroleum Services</t>
  </si>
  <si>
    <t xml:space="preserve">009126
7F4411</t>
  </si>
  <si>
    <t xml:space="preserve">OrbiMed Advisors LLC
Regenxbio Inc
The Silverstein Foundation</t>
  </si>
  <si>
    <t xml:space="preserve">Private equity firm
Biological Product (Except Diagnostic) Manufacturing
Miscellaneous Financial Investment Activities</t>
  </si>
  <si>
    <t xml:space="preserve">OrbiMed Advisors LLC,
located in New York City,
New York, is a private
equity firm. It invests
across the global healthcare
industry, from seed-stage
venture capital to large
publicly-traded companies.
Investments are made in one
of three strategies: public
equity, private equity, and
royalty opportunities. The
Company was founded in 1989.
REGENX Biosciences LLC,
located in Rockville,
Maryland, is an
adeno-associated virus (AAV)
gene therapy company. The
Company develops
personalized therapies based
on based on its NAV vector
technology platform. NAV
vector technology includes
AAV vectors such as rAAV7,
rAAV8, rAAV9, and rAAVrh10.
Its treatments in
development include programs
for hypercholesterolemia,
mucopolysaccharidoses, and
retinitis pigmentosa. The
Company's NAV technology is
utilized in a range of
applications including
molecular therapy,
understanding biological
activity and target
validation, creating disease
models and screening in
vivo, and genome-wide
association studies. It also
offers researchers
specialized and custom
products and services
including AAV plasmids, AAV
vector reporter systems, and
custom AAV vectors. The
company was founded in 2008.
The Silverstein Foundation for
Parkinson's with GBA is a
provider of financial
investment services in cutting
edge research with the goal of
discovering new therapies for
the treatment of Parkinson's
Disease in glucocerebrosidase
(GBA) mutation carriers. The
Company is located in New
York, New York.</t>
  </si>
  <si>
    <t xml:space="preserve">6799
2836
6799</t>
  </si>
  <si>
    <t xml:space="preserve">NY
MD
NY</t>
  </si>
  <si>
    <t xml:space="preserve">ORBIMED ADVISORS LLC/REGENXBIO INC/THE SILVERSTEIN FOUNDATION FOR
PARKINSON'S WITH GBA-JOINT VENTURE</t>
  </si>
  <si>
    <t xml:space="preserve">Prevail Therapeutics Inc. is
developer of novel biologic
therapies for Parkinsons
Disease and other
neurodegenerative diseases.
The Company was founded in
August 2017 and is located
in the United States.</t>
  </si>
  <si>
    <t xml:space="preserve">OrbiMed Advisors LLC, Regenxbio Inc and The Silverstein Foundation for
Parkinson's with GBA formed joint venture to discover and develop novel
biologic therapies for Parkinsons Disease and other neurodegenerative
diseases.</t>
  </si>
  <si>
    <t xml:space="preserve">74140Y</t>
  </si>
  <si>
    <t xml:space="preserve">68565A
75901B
7F4883</t>
  </si>
  <si>
    <t xml:space="preserve">Sberbank Rossii PAO
Yandex NV</t>
  </si>
  <si>
    <t xml:space="preserve">Bank
Provide internet services</t>
  </si>
  <si>
    <t xml:space="preserve">Sberbank Rossii PAO, located
in Moscow, Russian
Federation, is a bank, which
provides corporate and
retail banking services. The
Company operates in two
segments: retail banking and
corporate banking. The
retail banking segment
involves in private customer
current accounts, savings,
deposits, custody, debit
cards, consumer loans, and
mortgages businesses. The
corporate banking segment
represents operations with
securities, current
accounts, deposits,
overdrafts, loans and other
credit facilities, foreign
currency and derivative
products. It was founded in
1841.
Yandex NV is an internet
service provider. It
provides information online
such as emails, photos,
websites and blog hosting
services The Company was
founded in June 2004 and is
located in Moscow, the
Russian Federation.</t>
  </si>
  <si>
    <t xml:space="preserve">SBERBANK ROSSII PAO/YANDEX NV-JOINT VENTURE</t>
  </si>
  <si>
    <t xml:space="preserve">Sberbank Rossii PAO and Yandex NV planned to form a 50:50 joint venture to
boost eCommerce Development in Russia. The transaction was subjected to
regulatory approvals.</t>
  </si>
  <si>
    <t xml:space="preserve">80584P
N97284</t>
  </si>
  <si>
    <t xml:space="preserve">Alexion Pharmaceuticals Inc
GNS Healthcare Inc</t>
  </si>
  <si>
    <t xml:space="preserve">Biopharmaceutical company
Pvd biosimulation services</t>
  </si>
  <si>
    <t xml:space="preserve">Alexion Pharmaceuticals Inc,
located in Boston,
Massachusetts, is a
biopharmaceutical company
focused on manufacturing
therapeutic products for
sever and rare disorders.
Its products include Soliris
(eculizumab), Strensiq
(asfotase alfa) and Kanuma
(sebelipase alfa). Its
clinical development
programs include Soliris
(eculizumab), cPMP
(ALXN1101), SBC-103,
ALXN1210 (IV) and ALXN1210
(Subcutaneous). The Company
was founded in 1992.
GNS Healthcare Inc, located
in Cambridge, Massachusetts
with other location in
Ithaca, New York, provides
bio-simulation services. The
Company's Reverse
Engineering and Forward
Simulation, REFS(TM), gives
hypothesis free exploration
of the cause and effect
relationship using
healthcare data.</t>
  </si>
  <si>
    <t xml:space="preserve">Alexion Pharmaceuticals Inc
Via Science Inc</t>
  </si>
  <si>
    <t xml:space="preserve">ALEXION PHARMACEUTICALS INC/GNS HEALTHCARE INC-STRATEGIC ALLIANCE</t>
  </si>
  <si>
    <t xml:space="preserve">Alexion Pharmaceuticals Inc and GNS Healthcare Inc formed a strategic
alliance to accelerate rare-disease research and the development of new
therapies in US.</t>
  </si>
  <si>
    <t xml:space="preserve">015351
35792Z</t>
  </si>
  <si>
    <t xml:space="preserve">Acella Pharmaceuticals LLC
Catalent Pharma Solutions Inc</t>
  </si>
  <si>
    <t xml:space="preserve">Manufactures pharmaceutical
Mnfr pharm prod</t>
  </si>
  <si>
    <t xml:space="preserve">Acella Pharmaceuticals LLC is
a pharmaceuticals
manufacturer, headquartered in
Alpharetta, Georgia, US. The
company was founded in 2007.
Catalent Pharma Solutions
Inc is a manufacturer of
pharmaceutical preparation.
The Company was founded in
April 2007 and is located in
Somerset, New Jersey.</t>
  </si>
  <si>
    <t xml:space="preserve">GA
NJ</t>
  </si>
  <si>
    <t xml:space="preserve">Acella Pharmaceuticals LLC
Catalent Inc</t>
  </si>
  <si>
    <t xml:space="preserve">ACELLA PHARMACEUTICALS LLC/CATALENT PHARMA SOLUTIONS INC-STRATEGIC
ALLIANCE</t>
  </si>
  <si>
    <t xml:space="preserve">Acella Pharmaceuticals LLC and Catalent Pharma Solutions Inc formed a
strategic alliance was to develop, manufacture, and commercialize a new
portfolio of abuse-deterrent pain relief products leveraging Catalents
OptiGe Lock Technology in US.</t>
  </si>
  <si>
    <t xml:space="preserve">01915A
14883F</t>
  </si>
  <si>
    <t xml:space="preserve">Huaren Pharmaceutical Co Ltd
Shandong Novatech Info Sys Co</t>
  </si>
  <si>
    <t xml:space="preserve">Pharmaceutical Preparation Manufacturing
Provide information tech svcs</t>
  </si>
  <si>
    <t xml:space="preserve">Huaren Pharmaceutical Co Ltd
is a manufacturer and
wholesaler of pharmaceutical
preparation. The Company was
founded in May 1998 and is
located in Qingdao, China.
Shandong Novatech Information
System Co Ltd is a software
publisher. The Company is
located in Jinan, China.</t>
  </si>
  <si>
    <t xml:space="preserve">HUAREN PHARMACEUTICAL CO LTD/SHANDONG NOVATECH INFORMATION SYSTEM CO
LTD-JOINT VENTURE</t>
  </si>
  <si>
    <t xml:space="preserve">Huaren Pharmaceutical Co Ltd and Shandong Novatech Information System Co
Ltd planned to form a 51:49 joint venture to provide medical services, R&amp;D,
production, promotion and sales of medical treatment combination products
of nephropathy in Jinan, China</t>
  </si>
  <si>
    <t xml:space="preserve">0A5205
7F9553</t>
  </si>
  <si>
    <t xml:space="preserve">Bayer AG
Sicit 2000 SpA</t>
  </si>
  <si>
    <t xml:space="preserve">Manufacture and Wholesale Chemicals &amp; Pharmaceuticals
All Other Miscellaneous Chemical Product and Preparation Manufacturing</t>
  </si>
  <si>
    <t xml:space="preserve">Bayer AG, located in
Leverkusen, Germany,
manufactures organic
chemicals. The Company was
founded in August 1863.
Sicit 2000 SpA is a
manufacturer of chemical
products. The Company was
founded in 1960 and is
located in Chiampo, Italy.</t>
  </si>
  <si>
    <t xml:space="preserve">2899
2899</t>
  </si>
  <si>
    <t xml:space="preserve">Bayer AG
Intesa  Hldg Spa</t>
  </si>
  <si>
    <t xml:space="preserve">BAYER AG/SICIT 2000 SPA-STRATEGIC ALLIANCE</t>
  </si>
  <si>
    <t xml:space="preserve">Bayer AG and Sicit 2000 SpA formed a strategic alliance to commercialize
Bayfolan Cobre and Bayfolan Aktivator for foliar uses in various crops
worldwide.</t>
  </si>
  <si>
    <t xml:space="preserve">Retail &amp; Wholesale Services
Supply Services
Research &amp; Development Services</t>
  </si>
  <si>
    <t xml:space="preserve">072730
7F5192</t>
  </si>
  <si>
    <t xml:space="preserve">Shuttle Pharmaceuticals Inc
Pola Pharma Inc</t>
  </si>
  <si>
    <t xml:space="preserve">All Other Miscellaneous Ambulatory Health Care Services
Research and Development in Biotechnology</t>
  </si>
  <si>
    <t xml:space="preserve">Shuttle Pharmaceuticals Inc is
a pharmaceutical company. The
Company was founded in 2012
and is located in Rockville,
Maryland.
Pola Pharma Inc is a provider
of biotechnology research and
development services. The
Company was founded in January
2007 and is located in
Shinagawa-Ku Tokyo, Japan.</t>
  </si>
  <si>
    <t xml:space="preserve">Shuttle Pharmaceuticals Inc
Pola Orbis Holdings Inc</t>
  </si>
  <si>
    <t xml:space="preserve">8099
2844</t>
  </si>
  <si>
    <t xml:space="preserve">SHUTTLE PHARMACEUTICALS INC/POLA PHARMA INC-STRATEGIC ALLIANCE</t>
  </si>
  <si>
    <t xml:space="preserve">Shuttle Pharmaceuticals Inc and Pola Pharma Inc formed a strategic alliance
to license the U.S. rights for doranidazole, a hypoxic cell radiation
sensitizer, for clinical development in treating cancers in combination
with stereotactic body radiation therapy.</t>
  </si>
  <si>
    <t xml:space="preserve">1F0489
7F6195</t>
  </si>
  <si>
    <t xml:space="preserve">Teva Pharm Inds Ltd
Seeking Partner</t>
  </si>
  <si>
    <t xml:space="preserve">Pharmaceutical Preparation Manufacturing
Investment firm</t>
  </si>
  <si>
    <t xml:space="preserve">Teva Pharmaceutical
Industries Ltd is a
manufacturer of
pharmaceutical preparation.
The Company was founded in
1901 and is located in
Petach Tikva, Israel.
Investment firm</t>
  </si>
  <si>
    <t xml:space="preserve">TEVA PHARMACEUTICAL INDUSTRIES LTD/SEEKING JV PARTNER-STRATEGIC ALLIANCE</t>
  </si>
  <si>
    <t xml:space="preserve">In August 2017, Teva Pharmaceutical Industries Ltd was seeking partners to
form an alliance to provide extra financial firepower to develop new
drugs.</t>
  </si>
  <si>
    <t xml:space="preserve">881624
81575N</t>
  </si>
  <si>
    <t xml:space="preserve">Samsung Bioepis Co Ltd
Takeda Pharmaceutical Co Ltd</t>
  </si>
  <si>
    <t xml:space="preserve">Samsung Bioepis Co Ltd is a
manufacturer of
pharmaceutical preparation.
The Company was founded in
February 2012 and is located
in Incheon, South Korea.
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</si>
  <si>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Samsung BioLogics Co Ltd
Takeda Pharmaceutical Co Ltd</t>
  </si>
  <si>
    <t xml:space="preserve">SAMSUNG BIOEPIS CO LTD/TAKEDA PHARMACEUTICAL CO LTD-STRATEGIC ALLIANCE</t>
  </si>
  <si>
    <t xml:space="preserve">Samsung Bioepis Co Ltd and Takeda Pharmaceutical Co Ltd formed a strategic
alliance to develop multiple novel biologic therapies in unmet disease
areas.</t>
  </si>
  <si>
    <t xml:space="preserve">9A2232
874058</t>
  </si>
  <si>
    <t xml:space="preserve">Janssen Pharmaceuticals Inc
St Vincent's Inst of Med</t>
  </si>
  <si>
    <t xml:space="preserve">Mnfr pharmaceutical products
Research and Development in The Physical, Engineering and Lifesciences (Except Biotechnology)</t>
  </si>
  <si>
    <t xml:space="preserve">Janssen Pharmaceuticals Inc,
located in Titusville, New
Jersey, manufactures
prescription pharmaceutical
products intended for final
consumption to treat pain,
acid reflux disease and
infectious diseases
St Vincent's Institute of
Medical Research is a provider
of research and development
services. The Company was
founded in August 1967 and is
located in Victoria,
Australia.</t>
  </si>
  <si>
    <t xml:space="preserve">J&amp;J
St Vincent's Inst of Med</t>
  </si>
  <si>
    <t xml:space="preserve">JANSSEN PHARMACEUTICALS INC/ST VINCENT'S INSTITUTE OF MEDICAL
RESEARCH-STRATEGIC ALLIANCE</t>
  </si>
  <si>
    <t xml:space="preserve">Janssen Pharmaceuticals Inc and St Vincent's Institute of Medical Research
formed a strategic alliance was to provide licensing services to developing
and commercialising small molecule modulators of microglial function and
inflammation, with the aim of reducing the amyloid plaque burden and
Alzheimers disease severity in Australia.</t>
  </si>
  <si>
    <t xml:space="preserve">68756C
7F8165</t>
  </si>
  <si>
    <t xml:space="preserve">Encore Dermatology Inc
Promius Pharma LLC</t>
  </si>
  <si>
    <t xml:space="preserve">Wholesales medical dermatology products
Manufactures Pharmaceuticals</t>
  </si>
  <si>
    <t xml:space="preserve">Encore Dermatology Inc,
located in Malvern,
Pennsylvania, wholesales
medical dermatology
products. The Company was
founded in 2015.
Promius Pharma LLC, located
in Princeton, New Jersey, is
a manufacturer of
pharmaceutical preparation.</t>
  </si>
  <si>
    <t xml:space="preserve">Encore Dermatology Inc
Dr Reddy's Laboratories Ltd</t>
  </si>
  <si>
    <t xml:space="preserve">ENCORE DERMATOLOGY INC/PROMIUS PHARMA LLC-STRATEGIC ALLIANCE</t>
  </si>
  <si>
    <t xml:space="preserve">Encore Dermatology Inc and Promius Pharma LLC formed a strategic alliance
to provide licensing services, development, manufacturing, and
commercialization rights of DFD-06 in US.</t>
  </si>
  <si>
    <t xml:space="preserve">Licensing Services
Research &amp; Development Services
Manufacturing Services
Marketing Services
Health &amp; Medical Services</t>
  </si>
  <si>
    <t xml:space="preserve">3F3484
75728H</t>
  </si>
  <si>
    <t xml:space="preserve">Earth Science Tech Inc
Bionatus Pharm Lab</t>
  </si>
  <si>
    <t xml:space="preserve">Administrative Management and General Management Consulting Services
Medical Laboratories</t>
  </si>
  <si>
    <t xml:space="preserve">Ultimate Novelty Sports Inc,
located in Toronto, Ontario,
is provider of services to
the athletic facility
industry. The company offer
a full range of consulting
services, including start-up
strategy development,
membership pricing and
management, operational
analysis, marketing and
public relations and staff
training. It was
incorporated on April 23,
2010.
Bionatus Pharmaceutical
Laboratory is a medical
laboratory operator. The
Company is located in
Brazil.</t>
  </si>
  <si>
    <t xml:space="preserve">8742
8071</t>
  </si>
  <si>
    <t xml:space="preserve">Earth Science Tech Inc
The Lab Bionatus</t>
  </si>
  <si>
    <t xml:space="preserve">EARTH SCIENCE TECH INC/BIONATUS PHARMACEUTICAL LABORATORY-STRATEGIC
ALLIANCE</t>
  </si>
  <si>
    <t xml:space="preserve">Florida
Foreign</t>
  </si>
  <si>
    <t xml:space="preserve">Earth Science Tech Inc and Bionatus Pharmaceutical Laboratory planned to
form a strategic alliance in United States &amp; Brazil to help manufacture,
distribute, &amp; continue further R&amp;D on cannabis (CBD) products.</t>
  </si>
  <si>
    <t xml:space="preserve">Manufacturing Services
Retail &amp; Wholesale Services
Supply Services
Research &amp; Development Services
Health &amp; Medical Services</t>
  </si>
  <si>
    <t xml:space="preserve">270311
2J2485</t>
  </si>
  <si>
    <t xml:space="preserve">Duke University
Grid Therapeutics LLC</t>
  </si>
  <si>
    <t xml:space="preserve">Own,operate college,university
Research and Development in Biotechnology</t>
  </si>
  <si>
    <t xml:space="preserve">Duke University, located in
Durham, North Carolina, owns
and operates college and
university. It offers academic
services in medical, research
and arts. The Company was
founded in 1924.
Grid Therapeutics, LLC is a
United States-based
biotechnology company. The
Company is engaged in
research and development in
the area of cancer
therapeutics, applying a
platform to develop human
derived antibodies against
novel targets. Its pipeline
drugs include GT103
recombinant complement
factor H monoclonal antibody
and GT-20(x) recombinant
monoclonal antibody.</t>
  </si>
  <si>
    <t xml:space="preserve">DUKE UNIVERSITY/GRID THERAPEUTICS LLC-STRATEGIC ALLIANCE</t>
  </si>
  <si>
    <t xml:space="preserve">Duke University and Grid Therapeutics LLC formed a strategic alliance in
United States to develop the first human derived antibody as a targeted
immunotherapy for cancer. This agreement enables Grid Therapeutics and Duke
University to evaluate the therapeutic treatment options for multiple forms
of cancer.</t>
  </si>
  <si>
    <t xml:space="preserve">26441N
2J0121</t>
  </si>
  <si>
    <t xml:space="preserve">Henan Huanghe Whirlwind Co Ltd
Shanghai Yuansujinfu Asset
Precision Equip Mnfg of Henan
Henan Industrial Tech</t>
  </si>
  <si>
    <t xml:space="preserve">Mnfr,whl superhard material
Portfolio Management
Precision Turned Product Manufacturing
Research and Development in The Physical, Engineering and Lifesciences (Except Biotechnology)</t>
  </si>
  <si>
    <t xml:space="preserve">Henan Huanghe Whirlwind Co
Ltd, located in Changge,
China, manufactures and
wholesales superhard materials
and products. Other activities
include the provision of
technical services, export of
manufactured products and
technologies and import of
necessary raw and auxiliary
materials, instruments,
meters, machinery equipment,
spare parts and related
technologies. The company was
founded in 1998.
Shanghai Yuansujinfu Asset
Management Co Ltd is a
portfolio manager. The Company
was founded in July 2015 and
is located in Shanghai, China.
Precision Equipment
Manufacturing of Henan HOILOK
Corp is a manufacturer of
precision turned products. The
Company was founded in April
2015 and is located in
Zhengzhou, China.
Henan Industrail Technology
Research Institute is a
provider of research and
development services. The
Company is located in
Zhengzhou, China.</t>
  </si>
  <si>
    <t xml:space="preserve">3544
6799
3451
8733</t>
  </si>
  <si>
    <t xml:space="preserve">HENAN HUANGHE WHIRLWIND CO LTD/SHANGHAI YUANSUJINFU ASSET/PRECISION EQUIP
MNFG OF HENAN/HENAN INDUSTRIAL TECH-JOINT VENTURE</t>
  </si>
  <si>
    <t xml:space="preserve">Henan Huanghe Whirlwind Co Ltd, Shanghai Yuansujinfu Asset Management Co
Ltd, Precision Equipment Manufacturing of Henan HOILOK Corp and Henan
Industrial Technology Research Institute planned to form a15:29:51:5 joint
venture to provide research and development services in Henan, China. The
Joint Venture was to be capitalized at CNY 200 mil (USD 30.03 mil).</t>
  </si>
  <si>
    <t xml:space="preserve">15.00
29.00
5.00
51.00</t>
  </si>
  <si>
    <t xml:space="preserve">The Joint Venture was to be capitalized at CNY 200 mil (USD 30.03 mil).</t>
  </si>
  <si>
    <t xml:space="preserve">42473Z
7F8263
7F8267
7F8271</t>
  </si>
  <si>
    <t xml:space="preserve">Genesis Innovation Group LLC
Spectrum Health Innovations</t>
  </si>
  <si>
    <t xml:space="preserve">Genesis Innovation Group LLC,
located in Holland, Michigan,
is a provider of biotechnology
research and development
services.
Spectrum Health Innovations
LLC, located in Grand Rapids,
Michigan, is a provider of
ambulatory health care
services.</t>
  </si>
  <si>
    <t xml:space="preserve">GENESIS INNOVATION GROUP LLC/SPECTRUM HEALTH INNOVATIONS LLC-STRATEGIC
ALLIANCE</t>
  </si>
  <si>
    <t xml:space="preserve">Genesis Innovation Group LLC and Spectrum Health Innovations LLC formed a
strategic alliance to develop new and innovative shoulder brace. Under the
agreement, they will develop up to ten functional prototypes and will be
tested for marketability. They will acquire feedback from potential
patients and consumers of the product.</t>
  </si>
  <si>
    <t xml:space="preserve">7F8624
7F8626</t>
  </si>
  <si>
    <t xml:space="preserve">Daiichi Sankyo Co Ltd
Boston Pharmaceuticals Inc</t>
  </si>
  <si>
    <t xml:space="preserve">Daiichi Sankyo Co Ltd is
located in Chuo-Ku Tokyo,
Japan, mainly engaged in the
manufacture and sale of
pharmaceuticals. The Company
is involved in the research,
development, manufacture and
sale of pharmaceuticals, as
well as the provision of
intermediates and basic
materials for pharmaceutical
producing in Japan, the
United States, Europe and
other markets. The Company
is also engaged in the
research, development,
over-the-counter drugs and
vaccines, the provision of
administrative services such
as human resources and
accounting services, real
estate leasing and insurance
agency business. The Company
was founded in 2005.
Boston Pharmaceuticals Inc is
a manufacturer of
pharmaceutical preparation,
model, providing a bridge to
value realization for
early-stage clinical
development programs. The
Company was founded in June
2015 and is located in
Cambridge, Massachusetts.</t>
  </si>
  <si>
    <t xml:space="preserve">DAIICHI SANKYO CO LTD/BOSTON PHARMACEUTICALS INC-STRATEGIC ALLIANCE</t>
  </si>
  <si>
    <t xml:space="preserve">Daiichi Sankyo Co Ltd and Boston Pharmaceuticals Inc formed a strategic
alliance to research, development, manufacturing and commercialization of
DS-5010.</t>
  </si>
  <si>
    <t xml:space="preserve">J11257
7F8212</t>
  </si>
  <si>
    <t xml:space="preserve">Jazz Pharmaceuticals PLC
ImmunoGen Inc</t>
  </si>
  <si>
    <t xml:space="preserve">Mnfr prescription pharm
Pharmaceuticals company</t>
  </si>
  <si>
    <t xml:space="preserve">Jazz Pharmaceuticals PLC,
headquartered in Palo Alto,
California, manufactures
prescription pharmaceuticals
focused on neurological and
psychiatric products. The
company was incorporated in
California in March 2003, and
reincorporated in Delaware in
January 2004.
ImmunoGen Inc, headquartered
in Waltham, Massachusetts,
is a pharmaceuticals company
targeting anticancer
therapeutics. The company
develops cancer-cell killing
agents attached to
antibodies for targeted
delivery to tumor cells. The
company was incorporated in
Massachusetts in March 1981.</t>
  </si>
  <si>
    <t xml:space="preserve">JAZZ PHARMACEUTICALS PLC/IMMUNOGEN INC-STRATEGIC ALLIANCE</t>
  </si>
  <si>
    <t xml:space="preserve">Jazz Pharmaceuticals PLC and ImmunoGen Inc formed a strategic alliance to
develop and commercialize antibody - drug conjugate products.</t>
  </si>
  <si>
    <t xml:space="preserve">G50871
45253H</t>
  </si>
  <si>
    <t xml:space="preserve">Artms Products Inc
GE Healthcare</t>
  </si>
  <si>
    <t xml:space="preserve">In-Vitro Diagnostic Substance Manufacturing
Manufacture diagnostic imaging equipment</t>
  </si>
  <si>
    <t xml:space="preserve">Artms Products Inc develops
novel and disruptive
technologies which enable the
production of the worlds
most-used diagnostic imaging
isotopes.. The Company is
located in Vancouver, Canada.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</si>
  <si>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Artms Products Inc
General Electric Co</t>
  </si>
  <si>
    <t xml:space="preserve">2835
3612</t>
  </si>
  <si>
    <t xml:space="preserve">ARTMS PRODUCTS INC/GE HEALTHCARE-STRATEGIC ALLIANCE</t>
  </si>
  <si>
    <t xml:space="preserve">ARTMS Products Inc and GE Healthcare formed a strategic alliance to supply
equipment, technologies and research that support the production and
processing of radioisotopes on GEs PETtrace TM 800 platform of medical
cyclotrons.</t>
  </si>
  <si>
    <t xml:space="preserve">5F1366
36069Q</t>
  </si>
  <si>
    <t xml:space="preserve">Winall Hi-tech Seed Co Ltd
Inst of Plant Physiology</t>
  </si>
  <si>
    <t xml:space="preserve">Postharvest Crop Activities (Except Cotton Ginning)
Research and Development in The Physical, Engineering and Lifesciences (Except Biotechnology)</t>
  </si>
  <si>
    <t xml:space="preserve">Winall Hi-tech Seed Co Ltd
is a provider of crop
postharvesting services. The
Company was founded in July
2002 and is located in
Hefei, China.
Institute of Plant Physiology
&amp; Ecology SIBS CAS is a
regional agency. The Company
is located in Shanghai, China.</t>
  </si>
  <si>
    <t xml:space="preserve">0723
8731</t>
  </si>
  <si>
    <t xml:space="preserve">Winall Hi-tech Seed Co Ltd
Peoples Republic of China</t>
  </si>
  <si>
    <t xml:space="preserve">0723
999A</t>
  </si>
  <si>
    <t xml:space="preserve">WINALL HI-TECH SEED CO LTD/INSTITUTE OF PLANT PHYSIOLOGY &amp; ECOLOGY, SIBS,
CAS-STRATEGIC ALLIANCE</t>
  </si>
  <si>
    <t xml:space="preserve">Winall Hi-tech Seed Co Ltd and Institute of Plant Physiology Ecology, SIBS,
CAS formed a strategic alliance to develop crop molecular breeding research
and operate agricultural experiments and researches and technological
promotion in "One Belt, One Road" region.</t>
  </si>
  <si>
    <t xml:space="preserve">97290F
7F9058</t>
  </si>
  <si>
    <t xml:space="preserve">Preveceutical Medical Inc
Sports 1 Marketing LLC</t>
  </si>
  <si>
    <t xml:space="preserve">Pharmaceutical Preparation Manufacturing
Provide advertising services</t>
  </si>
  <si>
    <t xml:space="preserve">Preveceutical Medical Inc,
located in Vancouver,
Canada, manufactures
pharmaceutical preparations.
Sports 1 Marketing LLC,
located in Irvine, California,
provides sports and
entertainment marketing
services. The Company was
founded in 2010.</t>
  </si>
  <si>
    <t xml:space="preserve">2834
7311</t>
  </si>
  <si>
    <t xml:space="preserve">PREVECEUTICAL MEDICAL INC/SPORTS 1 MARKETING LLC-JOINT VENTURE</t>
  </si>
  <si>
    <t xml:space="preserve">Preveceutical Medical Inc. and Sports 1 Marketing LLC planned to form joint
venture to develop a therapy geared towards athletes who suffer from
concussions (Mild Traumatic Brain Injury) ("TBI"). The JV was subject to a
number of conditions including the approval of the Canadian Securities
Exchange.</t>
  </si>
  <si>
    <t xml:space="preserve">9E4396
6E9063</t>
  </si>
  <si>
    <t xml:space="preserve">LandOcean Beijing Energy Tech
Undisclosed JV Partner</t>
  </si>
  <si>
    <t xml:space="preserve">LandOcean Beijing Energy
Technology Research Institute
Co Ltd is a provider of
research and development
services. The Company is
located in Beijing, China.
Investment company</t>
  </si>
  <si>
    <t xml:space="preserve">LANDOCEAN BEIJING ENERGY TECHNOLOGY RESEARCH INSTITUTE/UNDISCLOSED
PARTNER-JOINT VENTURE</t>
  </si>
  <si>
    <t xml:space="preserve">LandOcean Beijing Energy Technology Research Institute Co Ltd and
Undisclosed Joint Venture Partner planned to form a 51:49 joint venture
named NSAI tech Inc to provide research and development services in China.
The JV was to capitalized at CNY 20 mil (USD 3.034 mil).</t>
  </si>
  <si>
    <t xml:space="preserve">7F9646
904JVP</t>
  </si>
  <si>
    <t xml:space="preserve">Guoxuan High-tech Co Ltd
Undisclosed JV Partner</t>
  </si>
  <si>
    <t xml:space="preserve">All Other Miscellaneous Electrical Equipment and Component Manufacturing
Investment company</t>
  </si>
  <si>
    <t xml:space="preserve">Guoxuan High-tech Co Ltd is
a manufacturer and
wholesaler of electrical
equipment. The company was
founded in January 1995 and
is located in Nantong,
China.
Investment company</t>
  </si>
  <si>
    <t xml:space="preserve">3629
6799</t>
  </si>
  <si>
    <t xml:space="preserve">Zhuhai Guoxuan Trading Co Ltd
Undisclosed JV Partner</t>
  </si>
  <si>
    <t xml:space="preserve">GUOXUAN HIGH-TECH CO LTD/UNDISCLOSED PARTNER-JOINT VENTURE</t>
  </si>
  <si>
    <t xml:space="preserve">Guoxuan High-tech Co Ltd and Undisclosed Joint Venture Partner provide
lithium-ion battery material precursor research and development service &amp;
manufacturing services. The JV was expected to have revenues of USD
142.1163 million.</t>
  </si>
  <si>
    <t xml:space="preserve">The JV was expected to have revenues of USD 142.1163 million.</t>
  </si>
  <si>
    <t xml:space="preserve">1E6521
904JVP</t>
  </si>
  <si>
    <t xml:space="preserve">Presage Biosciences Inc
MEI Pharma Inc</t>
  </si>
  <si>
    <t xml:space="preserve">Biotechnology company
Manufacture pharmaceutical, cancer drugs</t>
  </si>
  <si>
    <t xml:space="preserve">Presage Biosciences Inc, is a
biotechnology company
headquartered in Seattle,
Washington. The company
develops a technology platform
to improve cancer drug
development process. It was
founded in 2008.
MEI Pharma Inc, located San
Diego, California, is an
oncology company, that is
engaged in the development and
manufacture of drugs for the
treatment of cancer. It has
two geographic segments: the
United States and Australia.
It focuses on the clinical
development of therapeutics
targeting cancer metabolism.
The company is a wholly owned
subsidiary of Novogen Limited
(Novogen). Marshall Edwards
Pty Limited is the company's
consolidated subsidiary.</t>
  </si>
  <si>
    <t xml:space="preserve">Presage Biosciences Inc
Novogen Ltd</t>
  </si>
  <si>
    <t xml:space="preserve">PRESAGE BIOSCIENCES INC/MEI PHARMA INC-STRATEGIC ALLIANCE</t>
  </si>
  <si>
    <t xml:space="preserve">Presage Biosciences Inc and MEI Pharma Inc formed joint venture to develop,
manufacture and commercialize voruciclib worldwide.</t>
  </si>
  <si>
    <t xml:space="preserve">Licensing Services
Manufacturing Services
Research &amp; Development Services
Health &amp; Medical Services</t>
  </si>
  <si>
    <t xml:space="preserve">2A7990
55279B</t>
  </si>
  <si>
    <t xml:space="preserve">Urovo Technology Co Ltd
Smart EyesHong KongLtd</t>
  </si>
  <si>
    <t xml:space="preserve">Telephone Apparatus Manufacturing
Computer Systems Design Services</t>
  </si>
  <si>
    <t xml:space="preserve">Urovo Technology Co Ltd
located in Shenzhen, China
is a manufacturer of
telephone apparatuses. The
Company was founded in
January 2006.
Smart Eyes(Hong Kong)Ltd is a
provider of computer systems
design services. The Company
is located in Hongkong, Hong
Kong.</t>
  </si>
  <si>
    <t xml:space="preserve">3661
7379</t>
  </si>
  <si>
    <t xml:space="preserve">Urovo Tech (Hong Kong) Hldg
Smart EyesHong KongLtd</t>
  </si>
  <si>
    <t xml:space="preserve">6799
7379</t>
  </si>
  <si>
    <t xml:space="preserve">SHENZHEN UROVO TECHNOLOGY CORPORATION LTD/SMART EYESHONG KONGLTD-JOINT
VENTURE</t>
  </si>
  <si>
    <t xml:space="preserve">Shenzhen Tianyan Zhitong
Technology Co Ltd is a
provider of biotechnology
recognition research and
development services. The
Company is located in
Shenzhen, China.</t>
  </si>
  <si>
    <t xml:space="preserve">Urovo Technology Corporation Ltd and Smart EyesHong KongLtd planned to form
a 40:60 joint venture. The Joint Venture was to be capitalized at CNY 25
mil (USD 3.83 mil). The purposes of the joint venture were to provide R&amp;D
and sales services of artificial intelligence technology related products
in Shenzhen, China.</t>
  </si>
  <si>
    <t xml:space="preserve">The Joint Venture was to be capitalized at CNY 25 mil (USD 3.83 mil).</t>
  </si>
  <si>
    <t xml:space="preserve">9F5798</t>
  </si>
  <si>
    <t xml:space="preserve">9A1901
8F0691</t>
  </si>
  <si>
    <t xml:space="preserve">BioQ Pharma Inc
Cooper Pharma Ltd</t>
  </si>
  <si>
    <t xml:space="preserve">BioQ Pharma Inc, located in
San Francisco, California,
manufactures pharmaceutical
preparation. It focuses on
developing and
commercializing a portfolio
of large volume ready-to-use
infusible pharmaceuticals.
Cooper Pharma Ltd is a
manufacturer of pharmaceutical
preparation. The Company is
located in Delhi, India.</t>
  </si>
  <si>
    <t xml:space="preserve">West Pharmaceutical Services
Cooper Pharma Ltd</t>
  </si>
  <si>
    <t xml:space="preserve">BIOQ PHARMA INC/COOPER PHARMA LTD-STRATEGIC ALLIANCE</t>
  </si>
  <si>
    <t xml:space="preserve">Morocco</t>
  </si>
  <si>
    <t xml:space="preserve">BioQ Pharma Inc and Cooper Pharma Ltd formed a strategic alliance to
commercialize Ropivacaine ReadyfusOR in Morocco for the treatment of
post-surgical pain in adults.</t>
  </si>
  <si>
    <t xml:space="preserve">0F9809
8F0911</t>
  </si>
  <si>
    <t xml:space="preserve">Sanofi SA
Axxam SpA</t>
  </si>
  <si>
    <t xml:space="preserve">Manufactures pharmaceuticals products
Research and Development in Biotechnology</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</si>
  <si>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Axxam SpA is a provider of
biotechnology research and
development services. The
Company is located in Bresso,
Italy.</t>
  </si>
  <si>
    <t xml:space="preserve">France
Italy</t>
  </si>
  <si>
    <t xml:space="preserve">SANOFI SA/AXXAM SPA-STRATEGIC ALLIANCE</t>
  </si>
  <si>
    <t xml:space="preserve">Sanofi SA and Axxam SpA formed a strategic alliance to further optimize a
number of lead series of small molecules targeted against a range of
diseases of the central nervous system (CNS).</t>
  </si>
  <si>
    <t xml:space="preserve">80105N
2E7869</t>
  </si>
  <si>
    <t xml:space="preserve">Maruishi Pharmaceutical Co Ltd
Sumitomo Dainippon Pharma Co</t>
  </si>
  <si>
    <t xml:space="preserve">Manufacturer, retail pharmaceutical
Manufacture, wholesale pharma production, chemical</t>
  </si>
  <si>
    <t xml:space="preserve">Maruishi Pharmaceutical Co
Ltd, headquartered in Osaka,
Japan, is engaged in the
manufacture and retail of
pharmaceuticals. It was
founded in 1936.
Sumitomo Dainippon Pharma Co
Ltd is a manufacturer of
pharmaceutical preparation.
The Company was founded in
May 1897 and is located in
Osaka-Shi Osaka, Japan.</t>
  </si>
  <si>
    <t xml:space="preserve">Maruishi Pharmaceutical Co Ltd
Sumitomo Chemical Co Ltd</t>
  </si>
  <si>
    <t xml:space="preserve">2834
2821</t>
  </si>
  <si>
    <t xml:space="preserve">MARUISHI PHARMACEUTICAL CO LTD/SUMITOMO DAINIPPON PHARMA CO LTD-STRATEGIC
ALLIANCE</t>
  </si>
  <si>
    <t xml:space="preserve">Maruishi Pharmaceutical Co Ltd and Sumitomo Dainippon Pharma Co Ltd formed
a strategic alliance to develop, manufacture, and commercialize its fatty
acid amide hydrolase (FAAH) inhibitor for the treatment of nausea and
vomiting in Japan and the US.</t>
  </si>
  <si>
    <t xml:space="preserve">Licensing Services
Health &amp; Medical Services
Manufacturing Services
Research &amp; Development Services</t>
  </si>
  <si>
    <t xml:space="preserve">57398M
J10542</t>
  </si>
  <si>
    <t xml:space="preserve">Antique Piano Shop Inc
Samick Music Corp</t>
  </si>
  <si>
    <t xml:space="preserve">Musical Instrument Manufacturing
Musical Instrument Manufacturing</t>
  </si>
  <si>
    <t xml:space="preserve">Antique Piano Shop Inc is a
manufacturer of musical
instruments. The Company is
located in Tennessee.
Samick Music Corp is a
manufacturer and wholesaler
of musical instruments. The
Company is located in
Gallatin, Tennessee.</t>
  </si>
  <si>
    <t xml:space="preserve">3931
3931</t>
  </si>
  <si>
    <t xml:space="preserve">Antique Piano Shop Inc
Samick Musical Instruments Co</t>
  </si>
  <si>
    <t xml:space="preserve">ANTIQUE PIANO SHOP INC/SAMICK MUSIC CORP-STRATEGIC ALLIANCE</t>
  </si>
  <si>
    <t xml:space="preserve">Antique Piano Shop Inc and Samick Music Corp formed a strategic
alliance.The purpose of strategic alliance was to develop a long-term and
profound cooperation in the R&amp;D, design and manufacture of musical
instruments.</t>
  </si>
  <si>
    <t xml:space="preserve">2J5193
9F9507</t>
  </si>
  <si>
    <t xml:space="preserve">Palatin Technologies Inc
Shanghai Fosun Pharm</t>
  </si>
  <si>
    <t xml:space="preserve">Mnfr peptide therapeutics
Pharmaceutical Preparation Manufacturing</t>
  </si>
  <si>
    <t xml:space="preserve">Palatin Technologies Inc,
based in Cranbury, New Jersey,
is a biopharmaceutical company
developing targeted,
receptor-specific peptide
therapeutics. The company was
founded in 1986.
Shanghai Fosun
Pharmaceutical Industrial
Development Co Ltd is a
manufacturer of
pharmaceutical preparation.
The Company was founded in
November 2001 and is located
in Shanghai, China.</t>
  </si>
  <si>
    <t xml:space="preserve">Palatin Technologies Inc
Shanghai Fosun Pharm (Grp) Co</t>
  </si>
  <si>
    <t xml:space="preserve">PALATIN TECHNOLOGIES INC/SHANGHAI FOSUN PHARMACEUTICAL-STRATEGIC ALLIANCE</t>
  </si>
  <si>
    <t xml:space="preserve">China
Taiwan
Hong Kong
Macau</t>
  </si>
  <si>
    <t xml:space="preserve">Foreign
Foreign
Foreign
Foreign</t>
  </si>
  <si>
    <t xml:space="preserve">Palatin Technologies Inc and Shanghai Fosun Pharmaceutical Industry
Development Co Ltd planned to form a strategic alliance to develop and
commercialize bremelanotide for female sexual dysfunction (FSD) indications
in the territories of mainland China, Taiwan, Hong Kong S.A.R. and Macau
S.A.R.</t>
  </si>
  <si>
    <t xml:space="preserve">Palatin Technologies, Inc. will receive an upfront payment of USD 5.0
million and a USD 7.5 million milestone based on regulatory approval in
China. Palatin Technologies, Inc. has the potential to receive up to USD
92.5 million in sales related milestones and high single-digit to low
double-digit royalties on net sales in the licensed territory.</t>
  </si>
  <si>
    <t xml:space="preserve">696077
82065Y</t>
  </si>
  <si>
    <t xml:space="preserve">Daiichi Sankyo Co Ltd
Burnham Institute for Med Rese</t>
  </si>
  <si>
    <t xml:space="preserve">Mnfr,whl pharmaceuticals
Pvd med research svcs</t>
  </si>
  <si>
    <t xml:space="preserve">Daiichi Sankyo Co Ltd is
located in Chuo-Ku Tokyo,
Japan, mainly engaged in the
manufacture and sale of
pharmaceuticals. The Company
is involved in the research,
development, manufacture and
sale of pharmaceuticals, as
well as the provision of
intermediates and basic
materials for pharmaceutical
producing in Japan, the
United States, Europe and
other markets. The Company
is also engaged in the
research, development,
over-the-counter drugs and
vaccines, the provision of
administrative services such
as human resources and
accounting services, real
estate leasing and insurance
agency business. The Company
was founded in 2005.
Burnham Institute for Medical
Research, located in La Jolla,
California, provides medical
research services, focused on
cancer, neurodegeneration,
diabetes, and infectious,
inflammatory, and childhood
diseases. The company was
founded in 1976.</t>
  </si>
  <si>
    <t xml:space="preserve">DAIICHI SANKYO CO LTD/BURNHAM INSTITUTE FOR MEDICAL-STRATEGIC ALLIANCE</t>
  </si>
  <si>
    <t xml:space="preserve">Daiichi Sankyo Co Ltd and Burnham Institute for Medical Research formed a
strategic alliance to research whether DS-1211 could be further studied
among patients with ectopic calcification diseases. The strategic
alliance's nation was estimated.</t>
  </si>
  <si>
    <t xml:space="preserve">J11257
12224K</t>
  </si>
  <si>
    <t xml:space="preserve">Purdue University
Indiana Biosciences Research</t>
  </si>
  <si>
    <t xml:space="preserve">Own,op colleges, schools
Research and Development in Biotechnology</t>
  </si>
  <si>
    <t xml:space="preserve">Purdue University, located in
West Lafayette, Indiana, owns
and operates colleges and
schools. The Company was
founded in 1871.
Indiana Biosciences Research
Institute Inc is a provider
of biotechnology research
and development services.
The Company was founded in
May 2013 and is located in
Indianapolis, Indiana.</t>
  </si>
  <si>
    <t xml:space="preserve">PURDUE UNIVERSITY/INDIANA BIOSCIENCES RESEARCH INSTITUTE INC-STRATEGIC
ALLIANCE</t>
  </si>
  <si>
    <t xml:space="preserve">Purdue University and Indiana Biosciences Research Institute Inc extended
their strategic alliance in United States to enable the IBRI more rapid
access to available technologies that can be combined with its own research
to create synergies and help commercialize technologies more quickly. The
agreement that allows for seamless research interactions among researchers
at both institutions.</t>
  </si>
  <si>
    <t xml:space="preserve">74616X
0J9481</t>
  </si>
  <si>
    <t xml:space="preserve">Wuxi Fortune Pharm Co Ltd
Andarix Pharmaceuticals Inc</t>
  </si>
  <si>
    <t xml:space="preserve">Wuxi Fortune Pharmaceutical Co
Ltd is a manufacturer of
pharmaceutical preparation.
The Company is located in
China.
Andarix Pharmaceuticals Inc is
a manufacturer of
pharmaceutical preparation.
The Company is located in
China.</t>
  </si>
  <si>
    <t xml:space="preserve">WUXI FORTUNE PHARMACEUTICAL CO LTD/ANDARIX PHARMACEUTICALS INC-STRATEGIC
ALLIANCE</t>
  </si>
  <si>
    <t xml:space="preserve">Wuxi Fortune Pharmaceutical Co Ltd and Andarix Pharmaceuticals Inc formed a
strategic alliance develop radiotherapeutic in China.</t>
  </si>
  <si>
    <t xml:space="preserve">8F1699
8F1700</t>
  </si>
  <si>
    <t xml:space="preserve">Rosnefteflot
Marine Chem Research Inst Co</t>
  </si>
  <si>
    <t xml:space="preserve">Provide crude oil transp svcs
All Other Miscellaneous Chemical Product and Preparation Manufacturing</t>
  </si>
  <si>
    <t xml:space="preserve">Rosnefteflot ZAO, located in
Moscow, Russian Federation, is
a provider of crude oil
transportation services.
Marine Chemical Research
Institute Co Ltd is a
manufacturer of chemical
products. The Company is
located in Qingdao, China.</t>
  </si>
  <si>
    <t xml:space="preserve">4412
2869</t>
  </si>
  <si>
    <t xml:space="preserve">Rosneftegaz AO
China National Chemical Corp</t>
  </si>
  <si>
    <t xml:space="preserve">ROSNEFTEFLOT ZAO/MARINE CHEMICAL RESEARCH INSTITUTE CO LTD-STRATEGIC
ALLIANCE</t>
  </si>
  <si>
    <t xml:space="preserve">Rosnefteflot ZAO and Marine Chemical Research Institute Co Ltd formed a
strategic alliance.</t>
  </si>
  <si>
    <t xml:space="preserve">77810Q
8F1748</t>
  </si>
  <si>
    <t xml:space="preserve">Sino Agro Food Inc
Cibusdx Inc</t>
  </si>
  <si>
    <t xml:space="preserve">Prod,whl,ret agricultural prod
Research and Development in The Physical, Engineering and Lifesciences (Except Biotechnology)</t>
  </si>
  <si>
    <t xml:space="preserve">So Agro Food Inc, located
in Guangzhou, China, is an
agriculture technology and
organic food company focused
on developing, producing and
distributing high margin
agricultural products in the
People's Republic of China.
Its current lines of
business include fisheries,
dairies, and agricultural
production of Hylocereus
Undatus. The Company was
founded in 1974.
CibusDx Inc, located in Salt
Lake, Utah, is a provider of
research and development
services. It is a diagnostic
company that develops food
safety platform. The Company
was founded in November
2016.</t>
  </si>
  <si>
    <t xml:space="preserve">0212
8731</t>
  </si>
  <si>
    <t xml:space="preserve">MEI GUO YI LI NONG YE JI TUAN/CIBUSDX INC-STRATEGIC ALLIANCE</t>
  </si>
  <si>
    <t xml:space="preserve">Mei Guo Yi Li Nong Ye Ji Tuan and Cibusdx Inc planned to form a strategic
alliance to advance aquaculture scientific techniques in China.</t>
  </si>
  <si>
    <t xml:space="preserve">829355
7F7212</t>
  </si>
  <si>
    <t xml:space="preserve">Endologix Inc
Japan Lifeline Co Ltd</t>
  </si>
  <si>
    <t xml:space="preserve">Mnfr,whl catheters
Mnfr,import,whl medical equip</t>
  </si>
  <si>
    <t xml:space="preserve">Endologix Inc, located in
Irvine, California,
manufactures and wholesales
minimally invasive
treatments for aortic
diseases. It is focused on
endovascular stent grafts
for the treatment of
abdominal aortic aneurysms
(AAA). Its products are
classidied into two
platforms traditional
minimally-invasive
endovascular repair and
endovascular sealing. The
company was founded in 1992.
Japan Lifeline Co Ltd is
headquartered in Tokyo, Japan,
is engaged in the import,
manufacture and sale of
medical equipment. The Company
operates in five business
segments. The Rhythm Devices
segment provides cardiac
pacemakers and implantable
cardioverter defibrillators
(ICDs), among others. The
Electrophysiological (EP)
Ablation segment is engaged in
the development and
manufacture of EP catheters
and ablation catheters. The
Surgery-related segment
provides artificial cardiac
valves, artificial lungs
related products and
artificial blood veins. The
Intervention segment provides
coronary artery dilation
balloon catheters, guide wires
and treatment equipment for
atrial septal defects. The
Others segment manufactures
blood purification related
products. It was founded in
1981.</t>
  </si>
  <si>
    <t xml:space="preserve">ENDOLOGIX INC/JAPAN LIFELINE CO LTD-STRATEGIC ALLIANCE</t>
  </si>
  <si>
    <t xml:space="preserve">Endologix Inc (Endologix) and Japan Lifeline Co Ltd (JLL) planned to form a
strategic alliance to develop and distribute novel endovascular stent graft
systems for the treatment of thoracic aortic diseases. Under the agreement,
Endologix and JLL will jointly invest in the development, clinical
research, and commercialization of the Systems. JLL has exclusive
distribution rights to the Systems in Japan, and Endologix intends to
commercialize and sell the Systems through its existing global sales force
and distribution partners in countries other than Japan.</t>
  </si>
  <si>
    <t xml:space="preserve">Exclusive Licensing Services
Licensing Services
Research &amp; Development Services
Retail &amp; Wholesale Services
Supply Services</t>
  </si>
  <si>
    <t xml:space="preserve">29266S
47123E</t>
  </si>
  <si>
    <t xml:space="preserve">Zhejiang Ludao Technology Co
Sinopharm Traditional Chinese
Lu Xian Cao Tang (Jilin)</t>
  </si>
  <si>
    <t xml:space="preserve">Mnfr chemicals
Pharmaceutical Preparation Manufacturing
Investment Advice</t>
  </si>
  <si>
    <t xml:space="preserve">Zhejiang Ludao Technology Co
Ltd, located in China,
manufactures aerosol.
Sinopharm Traditional
Chinese Medicine Co Ltd is a
manufacturer of
pharmaceutical preparation.
The Company was founded in
October 2000 and is located
in Beijing, China.
Lu Xian Cao Tang (Jilin)
Investment Consultancy Ltd is
a investment advisor. The
Company was founded in August
2017 and is located in China.</t>
  </si>
  <si>
    <t xml:space="preserve">2899
2834
6282</t>
  </si>
  <si>
    <t xml:space="preserve">China Ludao Technology Co Ltd
China Natl Pharm Grp Corp
Lu Xian Cao Tang (Jilin)</t>
  </si>
  <si>
    <t xml:space="preserve">ZHEJIANG LUDAO TECHNOLOGY CO/SINOPHARM TRADITIONAL CHINESE/LU XIAN CAO TANG
(JILIN)-JOINT VENTURE</t>
  </si>
  <si>
    <t xml:space="preserve">Zhejiang Ludao Technology Co Ltd, Sinopharm Traditional Chinese Medicine Co
Ltd and Lu Xian Cao Tang (Jilin) Investment Consultancy Ltd planned to form
a 51:25:24 joint venture. The Joint Venture was to be capitalized at CNY
100 mil (USD 15.439 mil). The purpose of the joint venture was to provide
investment and development services with projects for the research and
development, manufacture and sale of medical and edible aerosol products in
China market.</t>
  </si>
  <si>
    <t xml:space="preserve">51.00
25.00
24.00</t>
  </si>
  <si>
    <t xml:space="preserve">The Joint Venture was to be capitalized at CNY 100 mil (USD 15.439 mil).</t>
  </si>
  <si>
    <t xml:space="preserve">6A2694
3F3192
8F2502</t>
  </si>
  <si>
    <t xml:space="preserve">Glycotope GmbH
Airway Therapeutics LLC</t>
  </si>
  <si>
    <t xml:space="preserve">Glycotope GmbH is a provider
of biotechnology research and
development services. The
Company was founded in 2001
and is located in Berlin,
Germany.
Airway Therapeutics LLC,
located in Cincinnati, Ohio,
is a manufacturer of
biological products, company
is focused on developing new
interventions for acute and
chronic lung diseases,
beginning with premature
infants. The Company was
founded in 2011.</t>
  </si>
  <si>
    <t xml:space="preserve">GLYCOTOPE GMBH/AIRWAY THERAPEUTICS LLC-STRATEGIC ALLIANCE</t>
  </si>
  <si>
    <t xml:space="preserve">Glycotope GmbH and Airway Therapeutics LLC formed a strategic alliance to
commercialize Glycotope's proprietary cell line technology, GlycoExpress
(GEX), to produce AT-100 (rhSP-D),development and large-scale manufacturing
of a wide range of biologics, including antibodies globally.</t>
  </si>
  <si>
    <t xml:space="preserve">Licensing Services
Retail &amp; Wholesale Services
Research &amp; Development Services
Health &amp; Medical Services</t>
  </si>
  <si>
    <t xml:space="preserve">2E1738
8F3058</t>
  </si>
  <si>
    <t xml:space="preserve">Wipro Consumer Care Pvt Ltd
Purelifi Ltd</t>
  </si>
  <si>
    <t xml:space="preserve">Manufacture home,personal care products
Wireless Telecommunications Carriers (Except Satellite)</t>
  </si>
  <si>
    <t xml:space="preserve">Wipro Consumer Care Pvt Ltd
(formerly Wipro Consumer
Ltd), located in Bengaluru,
India, is a manufacturer of
home and personal care
products. It also
manufactures lightning
products. The Company was
founded in 2003.
Purelifi Ltd is a light
communication company
provides technology for
secure, reliable, high-speed
communication networks that
integrate data and lighting
utility infrastructures. The
Company was founded in 2012
and is located in Edinburgh,
the United Kingdom.</t>
  </si>
  <si>
    <t xml:space="preserve">2841
4812</t>
  </si>
  <si>
    <t xml:space="preserve">Wipro Enterprises(P)Ltd
Purelifi Ltd</t>
  </si>
  <si>
    <t xml:space="preserve">2844
4812</t>
  </si>
  <si>
    <t xml:space="preserve">WIPRO CONSUMER CARE &amp;/PURELIFI LTD-STRATEGIC ALLIANCE</t>
  </si>
  <si>
    <t xml:space="preserve">Wipro Consumer Care Lightning Ltd and Purelifi Ltd formed a strategic
alliance to provide LiFi products for Wipro Lighting to develop
applications for the wireless communications and lighting market in Asia.</t>
  </si>
  <si>
    <t xml:space="preserve">Research &amp; Development Services
Electrical &amp; Electronic Services
Communications Services</t>
  </si>
  <si>
    <t xml:space="preserve">97669K
8F3843</t>
  </si>
  <si>
    <t xml:space="preserve">PhishMe Inc
ThreatQuotient Inc</t>
  </si>
  <si>
    <t xml:space="preserve">Develop anti-phishing software
Custom Computer Programming Services</t>
  </si>
  <si>
    <t xml:space="preserve">PhishMe Inc, located in
Leesburg, Virginia, develops
anti-phishing software. It
also has an office in New
York, London and Dubai. The
Company was founded in 2011.
ThreatQuotient Inc, located
in Reston, Virginia,
provides computer and
network security services.
It offers ThreatQ, a threat
intelligence platform that
manages and correlates
external sources with
internal security and
analytics solutions for
contextual intelligence in a
single pane of glass.
ThreatQ provides the
context, customization, and
collaboration required to
accelerate the
transformation of threat
data into actionable threat
intelligence. It caters to
timeline analysis by
plotting events/incidents
and overlaying second and
third data points of
interest. Through it, event
data can be automatically
created through a range of
technology capabilities,
such as sandboxes and log
repositories. Its
plug-and-play functionality
allows users to take action
on indicators, reports and
historical information from
their existing intelligence
providers for various
security options. Through
it, users can keep their
detection sensors updated
withintelligence across
the organization. It helps
in ensuring each system
scan. The Company was
founded in 2013.</t>
  </si>
  <si>
    <t xml:space="preserve">PHISHME INC/THREATQUOTIENT INC-STRATEGIC ALLIANCE</t>
  </si>
  <si>
    <t xml:space="preserve">PhishMe Inc and ThreatQuotient Inc formed a strategic alliance. The purpose
of strategic alliance was to Offer Advanced Detection and Defense of
Phishing Attacks.</t>
  </si>
  <si>
    <t xml:space="preserve">43563K
0F1907</t>
  </si>
  <si>
    <t xml:space="preserve">DFB Pharmaceuticals Inc
Crititech Inc
US Biotest Inc</t>
  </si>
  <si>
    <t xml:space="preserve">Mnfr,whl branded pharm,drugs
Research and Development in The Social Sciences and Humanities
Pharmaceutical Preparation Manufacturing</t>
  </si>
  <si>
    <t xml:space="preserve">DFB Pharmaceuticals Inc,
located in Fort Worth, Texas,
manufactures and wholesales
branded pharmaceuticals,
over-the-counter drugs and
medical devices in the areas
of tissue management, skin
treatment, infection
prevention and sterilization.
It was founded in 1930.
CritiTech, Inc. is a United
States-based company, which
conducts research and
development into the
production and application of
fine-particle compounds. The
Company's technology centers
utilize compressed carbon
dioxide as a processing medium
to produce relatively
residue-free and uniform drug
nanoparticles and coatings.
US Biotest Inc develops
therapeutics to address
unmet medical needs.. The
Company was founded in July
2000 and is located in San
Luis Obispo, California.</t>
  </si>
  <si>
    <t xml:space="preserve">2834
8731
2834</t>
  </si>
  <si>
    <t xml:space="preserve">TX
KS
CA</t>
  </si>
  <si>
    <t xml:space="preserve">DFB PHARMACEUTICALS INC/CRITITECH INC/US BIOTEST INC-JOINT VENTURE</t>
  </si>
  <si>
    <t xml:space="preserve">NanOlogy LLC is a
clinical-stage pharmaceutical
development company, formed
between DFB, CritiTech, and US
Biotest. The company was
established to finance and
develop a patented
nanoparticle platform aimed at
transforming the treatment of
cancer and other serious
illnesses.</t>
  </si>
  <si>
    <t xml:space="preserve">DFB Pharmaceuticals Inc, Crititech Inc and US Biotest Inc formed a joint
venture named NanOlogy LLC. The company was formed to finance and develop a
breakthrough nanoparticle production technology platform aimed at
transforming systemic chemotherapy through local delivery to improve the
lives of patients with cancer and other serious illnesses.</t>
  </si>
  <si>
    <t xml:space="preserve">9F4269</t>
  </si>
  <si>
    <t xml:space="preserve">23504L
9F4260
9F4266</t>
  </si>
  <si>
    <t xml:space="preserve">Saudi Arabian Oil Co
Nomadd Desert Solar Solutions</t>
  </si>
  <si>
    <t xml:space="preserve">Crude Petroleum and Natural Gas Extraction
All Other Miscellaneous Electrical Equipment and Component Manufacturing</t>
  </si>
  <si>
    <t xml:space="preserve">Saudi Arabian Oil Co is
engaged in the crude
petroleum and natural gas
services business. Its
primary operating segments
are the Upstream segment and
the Downstream segment,
which are supported by the
Corporate segment. The
Upstream segments activities
consist of exploring for,
developing and producing
crude oil, condensate,
natural gas and Natural gas
liquids (NGLs). The
Downstream segments
activities consist primarily
of refining and
petrochemical manufacturing,
supply and trading,
distribution and power
generation. The Downstream
segments other business
activities include base
oils, lubricants and retail
operations. The Companys
business support activities
are included within its
Corporate segment. Company
was founded in 1933 and is
located in Dhahran, Saudi
Arabia.
Nomadd Desert Solar
Solutions Co is a
manufacturer of electrical
equipment. The Company was
founded in 2013 and is
located in Thuwal, Saudi
Arabia. It offers automated,
waterless cleaning robots to
photovoltaic (PV) developers
and engineering procurement
and construction (EPC)
companies.</t>
  </si>
  <si>
    <t xml:space="preserve">1311
3629</t>
  </si>
  <si>
    <t xml:space="preserve">Saudi Arabia
Saudi Arabia</t>
  </si>
  <si>
    <t xml:space="preserve">SAUDI ARABIAN OIL CO/NOMADD DESERT SOLAR SOLUTIONS CO-STRATEGIC ALLIANCE</t>
  </si>
  <si>
    <t xml:space="preserve">Saudi Arabian Oil Co and Nomadd Desert Solar Solutions Co formed a
strategic alliance to develop and manufacture solar array cleaning
technology that was developed in-house by Saudi Aramcos research and
development team based at KAUST in Saudi Arabia.</t>
  </si>
  <si>
    <t xml:space="preserve">Licensing Services
Research &amp; Development Services
Electric Utility Services</t>
  </si>
  <si>
    <t xml:space="preserve">80412W
8F3750</t>
  </si>
  <si>
    <t xml:space="preserve">ESI Group SA
Ural High-Tech Park</t>
  </si>
  <si>
    <t xml:space="preserve">Dvlp prod engineering software
Research and Development in The Social Sciences and Humanities</t>
  </si>
  <si>
    <t xml:space="preserve">ESI Group SA, headquartered in
Paris, France, develops
virtual product engineering
software. It provides design,
development and marketing of
software packages designed for
performing virtual testing,
including virtual test
applications, such as
Multiphysics, casting,
welding, composites and
plastics, vibro-acoustics,
electromagnetism and
biomechanics. The Company was
founded in 1973.
was founded in 1973.
Ural High-Tech Park is a
provider of social sciences
research and development
services. The Company is
located in Ekaterinburg, the
Russian Federation.</t>
  </si>
  <si>
    <t xml:space="preserve">7372
8732</t>
  </si>
  <si>
    <t xml:space="preserve">ESI GROUP SA/URAL HIGH-TECH PARK-STRATEGIC ALLIANCE</t>
  </si>
  <si>
    <t xml:space="preserve">ESI Group SA and Ural High-Tech Park formed a strategic alliance to
cooperate on joint R&amp;D activities, business development, and marketing
programs.</t>
  </si>
  <si>
    <t xml:space="preserve">F3165E
8F5431</t>
  </si>
  <si>
    <t xml:space="preserve">Brunswick Corp
Technexus LLC</t>
  </si>
  <si>
    <t xml:space="preserve">Mnfr, whl boats,marine engines
Miscellaneous Intermediation</t>
  </si>
  <si>
    <t xml:space="preserve">Brunswick Corp, located in
Lake Forest, Illinois,
manufactures and wholesales
boats and marine engines
such as recreational boats,
outboard motors, prop less
water jet systems and
propellers. It also
manufactures sporting and
athletic goods such as
fishing and camping
equipment, bicycles, wagons,
sleds and bowling and
billiards equipment, defense
and aerospace engine parts
and equipment, filters and
filtration devices and
petroleum and gas control
equipment. It owns and
operates recreational
centers. The Company was
founded in 1845.
Technexus LLC is an
intermediating company. The
Company was founded in 1970
and is located in Chicago,
Illinois.</t>
  </si>
  <si>
    <t xml:space="preserve">3732
6799</t>
  </si>
  <si>
    <t xml:space="preserve">BRUNSWICK CORP/TECHNEXUS LLC-JOINT VENTURE</t>
  </si>
  <si>
    <t xml:space="preserve">Brunswick Corp and Technexus LLC formed joint venture. The purpose of joint
venture was to identify and incubate transformative start-up ventures with
strategic marine and fitness applications that will redefine the respective
industries.</t>
  </si>
  <si>
    <t xml:space="preserve">117043
2J3739</t>
  </si>
  <si>
    <t xml:space="preserve">Genomic Health Inc
Biocartis Group NV</t>
  </si>
  <si>
    <t xml:space="preserve">Provides genomic-based diagnostic tests services
Biological Product (Except Diagnostic) Manufacturing</t>
  </si>
  <si>
    <t xml:space="preserve">Genomic Health Inc, located
in Redwood City, California,
provides genomic-based
diagnostic tests services
that address both the
overtreatment and optimal
treatment of early and late
stage cancer. It develops
and commercializes
genomic-based clinical
laboratory services. Its
Oncotype IQ Genomic
Intelligence Platform is
consisted of its flagship
line of Oncotype DX gene
expression tests, as well as
its Oncotype SEQ Liquid
Select test. Its research
and development activities
are focused on developing a
pipeline of tests to
optimize the treatment of
various cancers including
breast, colon, prostate and
other cancers. It offers its
Oncotype DX tests as a
clinical laboratory service,
where it analyzes the
expression levels of genes
in tumor tissue samples and
provides physicians with a
quantitative gene expression
profile expressed as a
single quantitative score,
which it calls a Recurrence
Score for invasive breast
cancer and colon cancer, a
DCIS Score for ductal
carcinoma in situ (DCIS),
and a Genomic Prostate
Score, for prostate cancer.
The Company was founded in
August 2000.
Biocartis Group NV, located
in Mechelen, Belgium, is a
biotechnology company
specialized in molecular
diagnostics. It focuses on
oncology. It was founded in
2007.</t>
  </si>
  <si>
    <t xml:space="preserve">GENOMIC HEALTH INC/BIOCARTIS GROUP NV-STRATEGIC ALLIANCE</t>
  </si>
  <si>
    <t xml:space="preserve">Genomic Health Inc and Biocartis Group NV formed a strategic alliance to
develop an in vitro diagnostic (IVD) version of the Oncotype DX Breast
Recurrence Scoretest on Biocartis' proprietary Idylla platform around the
world.</t>
  </si>
  <si>
    <t xml:space="preserve">37244C
09256X</t>
  </si>
  <si>
    <t xml:space="preserve">Monopar Therapeutics Inc
Onxeo SA</t>
  </si>
  <si>
    <t xml:space="preserve">Medicinal and Botanical Manufacturing
Pharmaceutical Preparation Manufacturing</t>
  </si>
  <si>
    <t xml:space="preserve">Monopar Therapeutics Inc is a
manufacturer of medicinals and
botanicals. The Company is
located in Wilmette, Illinois.
Onxeo SA manufactures and
wholesales prescription
pharmaceuticals intended for
final consumption, including
biotech products, antibiotics
and innovative therapeutics
targeting drug resistance in
cancer, HIV and opportunistic
infections. The Company was
founded in 1997 and is located
in Paris, France.</t>
  </si>
  <si>
    <t xml:space="preserve">MONOPAR THERAPEUTICS LLC/ONXEO SA-STRATEGIC ALLIANCE</t>
  </si>
  <si>
    <t xml:space="preserve">Monopar Therapeutics Llc and Onxeo SA formed a strategic alliance develop
and commercialize Validive for the treatment of oral severe mucositis.</t>
  </si>
  <si>
    <t xml:space="preserve">Onxeo is entitled to an immediate $1.0m license fee and to future milestone
payments that could reach up to $108m subject to the achievement of the
agreed upon milestones.</t>
  </si>
  <si>
    <t xml:space="preserve">61023L
4C1875</t>
  </si>
  <si>
    <t xml:space="preserve">Yorkland Controls Ltd
ioTium Inc</t>
  </si>
  <si>
    <t xml:space="preserve">Electrical and Electronic Appliance, Television, and Radio Set Merchant Wholesalers
Software Reproducing</t>
  </si>
  <si>
    <t xml:space="preserve">Yorkland Controls Ltd is an
electronic appliances
wholesaler. The Company was
founded in 1970 and is
located in North York,
Canada.
ioTium Inc is a software.
The Company is located in
Santa Clara, California.</t>
  </si>
  <si>
    <t xml:space="preserve">5064
7372</t>
  </si>
  <si>
    <t xml:space="preserve">YORKLAND CONTROLS LTD/IOTIUM INC-STRATEGIC ALLIANCE</t>
  </si>
  <si>
    <t xml:space="preserve">Yorkland Controls Ltd and ioTium Inc formed a strategic alliance.The
purpose of strategic alliance was to Overcome Adoption Barriers to Connect
Building Automation Systems at Scale.</t>
  </si>
  <si>
    <t xml:space="preserve">2J3772
6H9705</t>
  </si>
  <si>
    <t xml:space="preserve">Adient PLC
Autoliv Inc</t>
  </si>
  <si>
    <t xml:space="preserve">Motor Vehicle Seating and Interior Trim Manufacturing
Mnfr automotive safety system</t>
  </si>
  <si>
    <t xml:space="preserve">Adient PLC is a global seat
seating supplier, engaged in
automotive seating, seat
structure and mechanisms
(SS&amp;M), and interiors
businesses. The Company
designs, manufactures and
markets a full range of
seating systems and
components for passenger
cars, commercial vehicles
and light trucks, including
vans, pick-up trucks and
sport or crossover utility
vehicles. It also supplies
high performance seating
systems to the international
motorsports industry under
its brand RECARO. The
Company''s automotive
seating solutions, includes
complete seating systems,
frames, mechanisms, foam,
head restraints, armrests,
trim covers and fabrics. Its
SS&amp;M segment produces seat
structures and mechanisms
for inclusion in complete
seat systems. The Interiors
segment produces instrument
panels, floor consoles, door
panels, overhead consoles,
cockpit systems, decorative
trim and other products. It
is also a holding company.
The Company was founded in
October 2016 and is located
in Plymouth, Michigan.
Autoliv Inc is a
manufacturer of motor
vehicle parts. It
manufactures and wholesales
automotive occupant safety
restraint systems with a
broad range of product
offerings including modules
and components for passenger
and driver-side airbags,
side-impact airbag
protection systems, seat
belts, steering wheels,
safety seats and other
safety systems and products.
The Company was founded in
December 1961 and is located
in Stockholm, Sweden.</t>
  </si>
  <si>
    <t xml:space="preserve">ADIENT PLC/AUTOLIV INC-STRATEGIC ALLIANCE</t>
  </si>
  <si>
    <t xml:space="preserve">Adient PLC and Autoliv Inc planned to form a strategic alliance. The
purpose of strategic alliance is to allow Adient and Autoliv to work
together on the development of solutions that ensure and improve passenger
safety in spite of completely new seat positions.</t>
  </si>
  <si>
    <t xml:space="preserve">9E9136
052800</t>
  </si>
  <si>
    <t xml:space="preserve">Ablexis LLC
Five Prime Therapeutics Inc</t>
  </si>
  <si>
    <t xml:space="preserve">Provides biotech research services
Manufacture pharmaceuticals</t>
  </si>
  <si>
    <t xml:space="preserve">Ablexis LLC, located in San
Diego, California, provides
biotechnology research
services. It develops a
platform for human
therapeutic antibody drug
discovery. The Company
offers AlivaMab Mouse, a
transgenic mouse platform
that provides the foundation
for the discovery and
development of human
therapeutic antibodies to
treat human diseases.
Five Prime Therapeutics Inc,
located in San Francisco,
California, manufactures
pharmaceuticals. The company
is a clinical-stage
biotechnology company
focused on discovering and
developing protein
therapeutics. The company
was founded in 2001.</t>
  </si>
  <si>
    <t xml:space="preserve">ABLEXIS LLC/FIVE PRIME THERAPEUTICS INC-STRATEGIC ALLIANCE</t>
  </si>
  <si>
    <t xml:space="preserve">Ablexis LLC and Five Prime Therapeutics Inc formed a strategic alliance to
use the AlivaMab Mouse for antibody drug discovery and development.</t>
  </si>
  <si>
    <t xml:space="preserve">2F9607
33830X</t>
  </si>
  <si>
    <t xml:space="preserve">Microwave Chemical Co Ltd
Mitsui Chemicals Inc</t>
  </si>
  <si>
    <t xml:space="preserve">All Other Basic Inorganic Chemical Manufacturing
Manufacture,wholesale chemicals</t>
  </si>
  <si>
    <t xml:space="preserve">Microwave Chemical Co Ltd,
located in Suita-Shi Osaka,
Japan, manufactures and
wholesales microwave
chemical products. The
company also provides
microwave chemical related
services. The Company was
founded in 2007.
Mitsui Chemicals Inc,
located in Minato-Ku Tokyo,
Japan, manufactures and
wholesale chemical products.
The Petrochemical segment
ethylene and propylene. The
Basic Chemical segment
produces and distributes
phenol and polyethylene
terephthalate (PET) resin.
The Urethane segment
polyurethane materials and
coating materials. The
Functional Resin segment
elastomers. The Functional
Chemical segment produces
and distributes fine
chemicals. The Film Sheet
segment involves in the
manufacture and sale of
functional films. The Others
segment involves in sales of
its products. The Company
was founded in 1955.</t>
  </si>
  <si>
    <t xml:space="preserve">MICROWAVE CHEMICAL CO LTD/MITSUI CHEMICALS INC-STRATEGIC ALLIANCE</t>
  </si>
  <si>
    <t xml:space="preserve">Microwave Chemical Co Ltd and Mitsui Chemicals Inc formed a strategic
alliance for the joint development of microwave-based next-generation
chemical process technologies.</t>
  </si>
  <si>
    <t xml:space="preserve">0C9458
J4466L</t>
  </si>
  <si>
    <t xml:space="preserve">Emblem Corp
Canntab Therapeutics Ltd</t>
  </si>
  <si>
    <t xml:space="preserve">Medicinal and Botanical Manufacturing
Manufacture pharmaceuticals</t>
  </si>
  <si>
    <t xml:space="preserve">Emblem Corp, located in
Toronto, Ontario, is a
manufacturer of medicinals
and botanicals.
Canntab Therapeutics Ltd,
located in North York,
Canada, is a manufacturer of
medical cannabis. The
Company was founded in April
2016.</t>
  </si>
  <si>
    <t xml:space="preserve">EMBLEM CORP/CANNTAB THERAPEUTICS LTD-STRATEGIC ALLIANCE</t>
  </si>
  <si>
    <t xml:space="preserve">Emblem Corp and Canntab Therapeutics Ltd formed a strategic alliance to
collaborate on the preclinical formulation, clinical development,
regulatory approval, manufacturing and commercialization of the
patent-pending oral sustained release formulation for cannabinoids.</t>
  </si>
  <si>
    <t xml:space="preserve">Exclusive Licensing Services
Licensing Services
Research &amp; Development Services
Health &amp; Medical Services
Manufacturing Services</t>
  </si>
  <si>
    <t xml:space="preserve">29082J
0H1472</t>
  </si>
  <si>
    <t xml:space="preserve">Air Products &amp; Chemicals Inc
Dhahran Techno Valley Co</t>
  </si>
  <si>
    <t xml:space="preserve">Manufacture,whl gases,chemical
Marketing Research and Public Opinion Polling</t>
  </si>
  <si>
    <t xml:space="preserve">Air Products &amp; Chemicals
Inc, located in Allentown,
Pennsylvania, manufactures
and wholesales gases and
chemicals for industrial
uses. It offers products
such as atmospheric gases,
hydrogen, helium, specialty
gases, polymer emulsions,
polyvinyl alcohol, specialty
additives, polyurethane
intermediates, alkyl amines,
and industrial organic
chemicals. Its products also
include machineries and
equipment for gas supply and
applications, liquid
automation, and electronic
gas welding. It also owns
and operates cogeneration
plants and provides fuel gas
desulphurization, landfill
gas recovery,
waste-to-energy conversion
and other energy systems
services. It also provides
chemical engineering and
plant construction
contracting services. It has
offices located in the UK,
Singapore, Netherlands,
China, and Hong Kong. The
Company was founded in 1940.
Dhahran Techno Valley Co is a
provider of marketing research
and opinion polling services.
The Company is located in
Saudi Arabia.</t>
  </si>
  <si>
    <t xml:space="preserve">2813
8732</t>
  </si>
  <si>
    <t xml:space="preserve">Air Products &amp; Chemicals Inc
King Fahd University of Petrol</t>
  </si>
  <si>
    <t xml:space="preserve">AIR PRODUCTS &amp; CHEMICALS INC/DHAHRAN TECHNO VALLEY CO-STRATEGIC ALLIANCE</t>
  </si>
  <si>
    <t xml:space="preserve">Air Products Chemicals Inc and Dhahran Techno Valley Co formed a strategic
alliance to build and develop a world-class technology center to serve the
Kingdom of Saudi Arabia and Middle East region.</t>
  </si>
  <si>
    <t xml:space="preserve">Gas Utility Services
Industrial Maintenance Services
Research &amp; Development Services</t>
  </si>
  <si>
    <t xml:space="preserve">009158
8F5065</t>
  </si>
  <si>
    <t xml:space="preserve">Glycotope GmbH
Biosilu Healthcare AG</t>
  </si>
  <si>
    <t xml:space="preserve">Glycotope GmbH is a provider
of biotechnology research and
development services. The
Company was founded in 2001
and is located in Berlin,
Germany.
Northern Bitcoin AG, located
in Frankfurt am Main,
Germany. is a bitcoin mining
company. It is also involved
in building the blockchain
infrastructure for the
bitcoin network.</t>
  </si>
  <si>
    <t xml:space="preserve">GLYCOTOPE GMBH/BIOSILU HEALTHCARE AG-STRATEGIC ALLIANCE</t>
  </si>
  <si>
    <t xml:space="preserve">Glycotope GmbH and Biosilu Healthcare AG formed a strategic alliance to
develop and commercialize FSH-GEX (follitropin epsilon) for China including
Hong Kong and Macau.</t>
  </si>
  <si>
    <t xml:space="preserve">2E1738
6F7054</t>
  </si>
  <si>
    <t xml:space="preserve">Revive Therapeutics Ltd
S Carolina Rsch Fdnt</t>
  </si>
  <si>
    <t xml:space="preserve">Provides biotechnology research, development services
Research and Development in Biotechnology</t>
  </si>
  <si>
    <t xml:space="preserve">Revive Therapeutics Ltd,
located in Toronto, Ontario,
provides biotechnology
research and development
services. The Company was
founded in March 2012.
South Carolina Research
Foundation is a provider of
biotechnology research and
development services. The
Company is located in South
Carolina.</t>
  </si>
  <si>
    <t xml:space="preserve">FF
SC</t>
  </si>
  <si>
    <t xml:space="preserve">REVIVE THERAPEUTICS LTD/SOUTH CAROLINA RESEARCH FOUNDATION-STRATEGIC
ALLIANCE</t>
  </si>
  <si>
    <t xml:space="preserve">South Carolina
Foreign</t>
  </si>
  <si>
    <t xml:space="preserve">Revive Therapeutics Ltd and South Carolina Research Foundation formed a
strategic alliance in United States &amp; Canada to develop and commercialize a
portfolio of patents based on cannabinoid-based therapeutics, such as
Cannabidiol, in the treatment of liver diseases.</t>
  </si>
  <si>
    <t xml:space="preserve">761516
2J2546</t>
  </si>
  <si>
    <t xml:space="preserve">Becton Dickinson &amp; Co
EuroClone SpA</t>
  </si>
  <si>
    <t xml:space="preserve">Surgical Appliance and Supplies Manufacturing
Wholesale medical equipment</t>
  </si>
  <si>
    <t xml:space="preserve">Becton Dickinson &amp; Co,
located in Franklin Lakes,
New Jersey, is a
manufacturer of surgical
appliance and supplies. It
manufactures and wholesales
a range of medical supplies,
devices, laboratory
equipment and diagnostic
products. It also develops
solutions for medical
research and clinical
laboratories. The Company
was founded in 1897.
EuroClone SpA, located in
Pero, Italy, is a wholesaler
of medical equipment,
focused on biomedical and
biotechnology products. It
was founded in 1985.</t>
  </si>
  <si>
    <t xml:space="preserve">BECTON DICKINSON &amp; CO/EUROCLONE SPA-STRATEGIC ALLIANCE</t>
  </si>
  <si>
    <t xml:space="preserve">Becton Dickinson Co and EuroClone SpA formed a strategic alliance to
develop the molecular tests to detect emerging sexually transmitted
diseases globally.</t>
  </si>
  <si>
    <t xml:space="preserve">Research &amp; Development Services
Supply Services
Health &amp; Medical Services</t>
  </si>
  <si>
    <t xml:space="preserve">075887
3A3619</t>
  </si>
  <si>
    <t xml:space="preserve">Grupo Chemo
SMS Pharmaceuticals Ltd</t>
  </si>
  <si>
    <t xml:space="preserve">Mnf,whl pharmaceuticals
Pharmaceutical Preparation Manufacturing</t>
  </si>
  <si>
    <t xml:space="preserve">Grupo Chemo, located in
Madrid, Spain, manufactures
and wholesales
pharmaceuticals. Its
products include
veterinarian, agrochemical,
fine chemical and generic
products. The company has
offices in Europe and East
Asia, and factories in South
America and India. The
company was founded in 1940.
SMS Pharmaceuticals Ltd is a
manufacturer of
pharmaceutical preparation.
The Company engaged in
manufacturing and sale of
bulk drugs and active
pharmaceutical ingredients
(APIs), and their
intermediates. The Company
has product portfolio spread
over major product areas
encompassing
gastroenterological,
anti-retroviral,
anti-migraine, anti-fungal,
anti-hypertensive and other
products. The Company's
products include APIs,
intermediaries, pipeline and
others. It offers a number
of anti-ulcer, anti-fungal,
anti-migraine and
anti-hypertensive APIs,
which include Tenofovir
Disoproxil Fumarate,
Lanoconazole USP / JP,
Imidapril Hcl and
Linagliptin. Its
intermediate products
include Ranitidine,
Famotidine, Rizatriptan,
Eletriptan HBr, Imidapril,
Sildenafil citrate and
Lopinavir. Its pipeline
products consist of
Ticagrelor, Clopidogrel
Bisulfate, Montelukast
Sodium, Apixaban,
Rivaroxaban, Gabapentin
Enacarbil, Famciclovir and
Vardenafil. The Company was
founded in 1987 and is
located in Hyderabad, India.</t>
  </si>
  <si>
    <t xml:space="preserve">Spain
India</t>
  </si>
  <si>
    <t xml:space="preserve">Kevilmare Holding GmbH
SMS Pharmaceuticals Ltd</t>
  </si>
  <si>
    <t xml:space="preserve">Austria
India</t>
  </si>
  <si>
    <t xml:space="preserve">GRUPO CHEMO/SMS PHARMACEUTICALS LTD-JOINT VENTURE</t>
  </si>
  <si>
    <t xml:space="preserve">Grupo Chemo and SMS Pharmaceuticals Ltd planned to form a 55:45 joint
venture to provide research and manufacturing services in Switzerland.</t>
  </si>
  <si>
    <t xml:space="preserve">16143N
28206X</t>
  </si>
  <si>
    <t xml:space="preserve">SymBio Pharmaceuticals Ltd
Eagle Pharmaceuticals Inc</t>
  </si>
  <si>
    <t xml:space="preserve">Pvd pharm research svcs
Pharmaceutical Preparation Manufacturing</t>
  </si>
  <si>
    <t xml:space="preserve">SymBio Pharmaceuticals Ltd,
based in Tokyo, Japan, is a
pharmaceutical company. Along
with medicine specialists,
contract research
organizations (CROs) and other
pharmaceutical companies, the
Company is engaged in the
design and operation of
clinical tests, the
manufacture and sale of new
drugs specializing in three
therapeutic areas: cancer,
blood diseases and autoimmune
diseases. The Company develops
new medicines using chemical
compounds proofed by
preclinical tests and clinical
tests. The Company
manufactures and sells
medicines through domestic and
foreign pharmaceutical
companies. The Company's
pipelines include anticancer
drugs, such as SyB L-0501, SyB
L-1101 and SyB C-1101, and
antiemetic drug SyB D-0701.
The company was founded in
2005.
Eagle Pharmaceuticals Inc,
located in Woodcliff Lake, New
Jersey, is a pharmaceutical
company. It is focused on
developing and commercializing
injectable products that
address the shortcomings, as
identified by physicians,
pharmacists and other
stakeholders, of existing
commercially successful
injectable products. The
Company's product portfolio
includes proprietary
presentations of bendamustine,
which is currently marketed by
Teva Pharmaceuticals, or Teva,
under the brand name Treanda
and indicated for the
treatment of certain
hematologic cancers,
proprietary innovations of
Alimta, Angiomax, and Dantrium
(dantrolene) and an orphan
drug designated version of
dantrolene (Ryanodex) that is
formulated to require
substantially less volume and
shorter reconstitution time
when treating malignant
hyperthermia, a hyperacute
situation where time to
treatment is of critical
importance. The Company was
founded in 2007.</t>
  </si>
  <si>
    <t xml:space="preserve">SYMBIO PHARMACEUTICALS LTD/EAGLE PHARMACEUTICALS INC-STRATEGIC ALLIANCE</t>
  </si>
  <si>
    <t xml:space="preserve">SymBio Pharmaceuticals Ltd and Eagle Pharmaceuticals Inc formed a strategic
alliance to provide licens to SymBio rights under Eagle's intellectual
property to develop, market and sell Eagle's bendamustine hydrochloride
("bendamustine HCl") ready-to-dilute ("RTD") and rapid infusion ("RI")
injection products in Japan.</t>
  </si>
  <si>
    <t xml:space="preserve">Licensing Services
Research &amp; Development Services
Marketing Services
Health &amp; Medical Services</t>
  </si>
  <si>
    <t xml:space="preserve">87728A
269796</t>
  </si>
  <si>
    <t xml:space="preserve">Yitoa Intelligent Control Co
Undisclosed JV Partner</t>
  </si>
  <si>
    <t xml:space="preserve">Instruments and Related Products Manufacturing For Measuring, Displaying, Controlling Variables
Investment company</t>
  </si>
  <si>
    <t xml:space="preserve">Yitoa Intelligent Control Co
Ltd is a manufacturer and
wholesaler of measuring,
displaying and controlling
variables instruments and
related products. The
Company was founded in June
2008 and is located in
Shenzhen, China.
Investment company</t>
  </si>
  <si>
    <t xml:space="preserve">3823
6799</t>
  </si>
  <si>
    <t xml:space="preserve">SHENZHEN YITOA INTELLIGENT CONTROL CO LTD/UNDISCLOSED PARTNER-JOINT
VENTURE</t>
  </si>
  <si>
    <t xml:space="preserve">Shenzhen Yitoa Intelligent Control Co Ltd and Undisclosed Joint Venture
Partner planned to form a 51:49 joint venture to engage in R&amp;D and sales of
electronic products, hardware products, mechanical equipment and glass
products.</t>
  </si>
  <si>
    <t xml:space="preserve">Research &amp; Development Services
Electrical &amp; Electronic Services
Retail &amp; Wholesale Services</t>
  </si>
  <si>
    <t xml:space="preserve">83876E
904JVP</t>
  </si>
  <si>
    <t xml:space="preserve">EUSA Pharma Inc
AVEO Pharmaceuticals Inc</t>
  </si>
  <si>
    <t xml:space="preserve">Mnfr pharmaceutical products
Mnfr,dvlp pharmaceutical prod</t>
  </si>
  <si>
    <t xml:space="preserve">EUSA Pharma Inc, located in
Doylestown, Pennsylvania,
manufactures pharmaceutical
products focused on
in-licensing, developing and
marketing late-stage oncology,
pain control and critical care
products. EUSA's primary
marketed products are
Erwinase, Rapydan, Kidrolase,
Fomepizole and Xenazine. It
has locations in the UK,
France, Canada, and Portugal.
The company was founded in
2006.
AVEO Pharmaceuticals Inc,
based in Cambridge,
Massachusetts, manufactures
and develops pharmaceuticals,
focused on the discovery and
development of novel cancer
therapeutics. Its main
products are AV-951, AV-412
and AV-299. The company
collaborates with Eli Lilly,
Merck, OSI Pharmaceuticals,
Schering-Plough and Biogen
Idec for its research. The
company was founded in 2001.</t>
  </si>
  <si>
    <t xml:space="preserve">Jazz Pharmaceuticals PLC
AVEO Pharmaceuticals Inc</t>
  </si>
  <si>
    <t xml:space="preserve">EUSA PHARMA INC/AVEO PHARMACEUTICALS INC-STRATEGIC ALLIANCE</t>
  </si>
  <si>
    <t xml:space="preserve">EUSA Pharma Inc and AVEO Pharmaceuticals Inc formed a strategic alliance
was to provide license service and EUSA may utilize data from the study for
regulatory or commercial purposes in exchange for a research and
development.</t>
  </si>
  <si>
    <t xml:space="preserve">29992V
053588</t>
  </si>
  <si>
    <t xml:space="preserve">Spark Therapeutics Inc
Genethon SA</t>
  </si>
  <si>
    <t xml:space="preserve">mnfr biological prod,pvd biotechnology research and development svcs
Pvd commercial research svcs</t>
  </si>
  <si>
    <t xml:space="preserve">Spark Therapeutics Inc,
located in Philadelphia,
Pennsylvania, is a
manufacturer of biological
products and provider of
biotechnology research and
development services. It
primarily focuses in
developing gene therapies
for genetic diseases,
including blindness,
hemophilia, lysosomal
storage disorders and
neurodegenerative diseases.
It manufactures
pharmaceuticals, one of
which is Luxturna
(voretigene neparvovec),
which is marketed in the EU
by Novartis. The Company was
founded in March 2013.
Genethon SA is a provider of
research and development
services. The Company is
located in Evry, France.</t>
  </si>
  <si>
    <t xml:space="preserve">SPARK THERAPEUTICS INC/GENETHON SA-STRATEGIC ALLIANCE</t>
  </si>
  <si>
    <t xml:space="preserve">Spark Therapeutics Inc and Genethon SA formed a strategic alliance to
develop and commercialize any gene therapy.</t>
  </si>
  <si>
    <t xml:space="preserve">84652J
37184N</t>
  </si>
  <si>
    <t xml:space="preserve">Food &amp; Agriculture
Unilever NV</t>
  </si>
  <si>
    <t xml:space="preserve">Other Food Crops Grown Under Cover
All Other Miscellaneous Food Manufacturing</t>
  </si>
  <si>
    <t xml:space="preserve">Food &amp; Agriculture
Organization Of The United
Nations is a food crops
farming establishment. The
Company was founded in 1970
and is located in Roma,
Italy.
Unilever NV is a
manufacturer of foods. The
Company produces and
wholesales food products and
consumer goods including
foods, household care and
personal products, including
margarine and related
spreads, ice cream, packet
tea and tea-related drinks,
frozen foods, pasta sauce,
fabrics cleaning, surface
care and hygiene products,
personal wash products,
deodorants and
anti-perspirants. It
operates in four main
divisions - Foods,
Refreshment (beverages and
ice cream), Home Care and
Personal Care. The Company's
geographical segments
include Asia/AMET/RUB, The
Americas and Europe. The
Company also operates as a
holding company. The Company
was founded in 1927 and is
located in Rotterdam, the
Netherlands.</t>
  </si>
  <si>
    <t xml:space="preserve">0182
2099</t>
  </si>
  <si>
    <t xml:space="preserve">Italy
Netherlands</t>
  </si>
  <si>
    <t xml:space="preserve">FOOD AND AGRICULTURE ORGANIZATION OF THE UNITED NATIONS/UNILEVER
NV-STRATEGIC ALLIANCE</t>
  </si>
  <si>
    <t xml:space="preserve">Food and Agriculture Organization of the United Nations and Unilever NV
formed a strategic alliance. The purpose of strategic alliance is aimed at
helping countries in their efforts to reduce food loss and waste and tackle
climate change, in the context of the Sustainable Development Goals
(SDGs).</t>
  </si>
  <si>
    <t xml:space="preserve">Waste Management &amp; Disposal Svcs
Research &amp; Development Services
Environmental Services</t>
  </si>
  <si>
    <t xml:space="preserve">2J3766
904784</t>
  </si>
  <si>
    <t xml:space="preserve">Edesa Biotech Inc
Lumira Capital Corp
Pharmascience Inc</t>
  </si>
  <si>
    <t xml:space="preserve">Biological Product (Except Diagnostic) Manufacturing
Financial Sponsor
Mnfr,whl pharmaceutical prod</t>
  </si>
  <si>
    <t xml:space="preserve">Edesa Biotech Inc located in
Ontario, Canada, which
develops treatments for
dermatological and anorectal
diseases. The Company's
product pipeline includes:
Contact Dermatitis, which is
in phase two clinical trial;
Hemorrhoids, which is in
phase one clinical trial, as
well as Anal Fissures, which
is also in phase one
clinical trial. The Company
was founded in 2015.
Lumira Capital Corp, located
in Toronto, Ontario, Canada,
is a venture capital firm
specializing in investments
in emerging, mid and late
stage, growth equity,
spin-outs, and
re-structurings stage
companies. It invests in new
technologies and ideas. It
focuses on investments in
pharmaceuticals,
biotechnology, medical
services, information
technology, healthcare and
life sciences sector,
non-traditional and consumer
oriented medicines,
therapeutic devices, and
e-health companies. It seeks
to invest in companies based
in North America with a
focus on U.S., Canada, and
Quebec. The company was
founded in 1988.
Pharmascience Inc, located
in Montreal, Quebec, Canada,
manufactures and wholesales
pharmaceutical products. It
specializes in the
manufacturing and
distribution of generic,
innovative, and consumer
brand products in Canada.
The company was founded in
June 1983.</t>
  </si>
  <si>
    <t xml:space="preserve">2836
6799
2834</t>
  </si>
  <si>
    <t xml:space="preserve">Edesa Biotech Inc
Gancom
Joddes Ltd</t>
  </si>
  <si>
    <t xml:space="preserve">Canada
United States
Canada</t>
  </si>
  <si>
    <t xml:space="preserve">2836
7331
6799</t>
  </si>
  <si>
    <t xml:space="preserve">EDESA BIOTECH INC/LUMIRA CAPITAL CORP/PHARMASCIENCE INC-STRATEGIC ALLIANCE</t>
  </si>
  <si>
    <t xml:space="preserve">Edesa Biotech Inc, Lumira Capital Corp and Pharmascience Inc formed a
strategic alliance in Canada to focus on developing Novel Dermatology and
Anorectal treatments. The Strategic Alliance was to have a Capitalization
of 7 million USD.</t>
  </si>
  <si>
    <t xml:space="preserve">Investment Services
Funding Services
Research &amp; Development Services</t>
  </si>
  <si>
    <t xml:space="preserve">The Strategic Alliance was to have a Capitalization of 7 million USD.</t>
  </si>
  <si>
    <t xml:space="preserve">2J2533
8A9064
71714I</t>
  </si>
  <si>
    <t xml:space="preserve">Glythera Ltd
Iontas Inc</t>
  </si>
  <si>
    <t xml:space="preserve">Biological Product (Except Diagnostic) Manufacturing
Dvlp analytics solutions</t>
  </si>
  <si>
    <t xml:space="preserve">Glythera Ltd is a
manufacturer of biological
products it is developing of
enhanced protein/peptide
therapeutics through the use
of advanced glycosylation
and conjugation
technologies. Its core
technologies are Permalink
and Permacarb. The Company
was founded in November 2007
and is located in Newcastle
Upon Tyne, the United
Kingdom.
Iontas Inc, headquartered in
Austin, Texas, develops
desktop analytics solutions
that measure application usage
and analyze workflows to help
improve staff performance in
contact center, branch and
back office operations
environments. The company was
founded in 2000.</t>
  </si>
  <si>
    <t xml:space="preserve">Glythera Ltd
Verint Systems Inc</t>
  </si>
  <si>
    <t xml:space="preserve">2836
7373</t>
  </si>
  <si>
    <t xml:space="preserve">GLYTHERA LTD/IONTAS INC-STRATEGIC ALLIANCE</t>
  </si>
  <si>
    <t xml:space="preserve">Texas
Foreign</t>
  </si>
  <si>
    <t xml:space="preserve">Glythera Ltd and Iontas Inc formed a strategic alliance. The purpose of
strategic alliance is for the development of multiple antibodies for
next-generation Antibody Drug Conjugates.</t>
  </si>
  <si>
    <t xml:space="preserve">8F6180
47198Y</t>
  </si>
  <si>
    <t xml:space="preserve">GFG Alliance Ltd
Zen Energy Pty Ltd</t>
  </si>
  <si>
    <t xml:space="preserve">Manufactures steel products
Storage Battery Manufacturing</t>
  </si>
  <si>
    <t xml:space="preserve">GFG Alliance Ltd, located in
London, the United Kingdom,
manufactures steel products.
The Company is covering the
Industrial manufacturing,
Infrastructure, resources
and construction, Financial
services and Property
management and development.
It is also a holding
company.
ZEN Energy Pty Ltd is a
manufacturer of renewable
energy and battery storage
for home and businesses. Its
products includeSaver, ZEN
Premium, ZEN, Sonnen Storage
System and ZEN Freedom
Powerbank.The Company is
located in Tonsley,
Australia.</t>
  </si>
  <si>
    <t xml:space="preserve">3312
3691</t>
  </si>
  <si>
    <t xml:space="preserve">GFG ALLIANCE LTD/ZEN ENERGY PTY LTD-STRATEGIC ALLIANCE</t>
  </si>
  <si>
    <t xml:space="preserve">GFG Alliance Ltd and ZEN Energy Pty Ltd planned to form a strategic
alliance. The purpose of strategic alliance is to provide improved energy
security and cheaper power to GFG Alliance and other businesses in
Australia. It will also project-manage the development of SIMEC Energy
Australia's new large-scale energy projects, including photovoltaic (PV),
battery storage and pumped hydro facilities.</t>
  </si>
  <si>
    <t xml:space="preserve">0F6370
8F6919</t>
  </si>
  <si>
    <t xml:space="preserve">Future Farm Technologies Inc
Cannatech LLC</t>
  </si>
  <si>
    <t xml:space="preserve">All Other Health and Personal Care Stores
Research and Development in Biotechnology</t>
  </si>
  <si>
    <t xml:space="preserve">Future Farm Technologies
Inc, located in Vancouver,
British Columbia, is a
supplier of health and
wellness products, including
hemp. The Company was
founded on May 31, 1984.
Cannatech LLC, located in
Attleboro, Msschusetts, is
a provider of biotechnology
research and development
. It operates and
services the cannabis
industry. The Company was
founded in 2013.</t>
  </si>
  <si>
    <t xml:space="preserve">5047
8731</t>
  </si>
  <si>
    <t xml:space="preserve">FUTURE FARM TECHNOLOGIES INC/CANNATECH LLC-JOINT VENTURE</t>
  </si>
  <si>
    <t xml:space="preserve">Future Farm Technologies Inc and Cannatech LLC planned to form joint
venture. The purpose of joint venture is to grow, research, develop, and
sell premium hemp extracts that contain a broad range of cannabinoids and
natural hemp derivatives.</t>
  </si>
  <si>
    <t xml:space="preserve">3F0886
9F2888</t>
  </si>
  <si>
    <t xml:space="preserve">Preveceutical Medical Inc
Undisclosed JV Partner</t>
  </si>
  <si>
    <t xml:space="preserve">Preveceutical Medical Inc,
located in Vancouver,
Canada, is a manufacturer of
pharmaceutical preparation.
The Company is focused on
preventive health sciences
and it has partnered with
the University of Queensland
in multiple research and
development programs. It has
one product for sale, the
CELLB9 R Immune System
Booster, which is an oral
dilute solution infused with
select peptides sourced
exclusively from Caribbean
Blue Scorpion venom. The
active potentiated
ingredients in CELLB9R
support health at a deep
cellular level and are used
in over 40 countries for
well over a decade. The
Company was founded in
December 2014.
Investment company</t>
  </si>
  <si>
    <t xml:space="preserve">PREVECEUTICAL MEDICAL INC/UNDISCLOSED PARTNER-STRATEGIC ALLIANCE</t>
  </si>
  <si>
    <t xml:space="preserve">Preveceutical Medical Inc and Undisclosed Joint Venture Partner formed a
strategic alliance. The purpose of strategic alliance is to supply samples
of cannabis-derived products and ingredient information for use by
Preveceutical in its research and development program for the
commercialization of sol-gels for the nasal delivery of medical compounds,
including cannabinoids.</t>
  </si>
  <si>
    <t xml:space="preserve">7H3887
904JVP</t>
  </si>
  <si>
    <t xml:space="preserve">1103375 Ontario Inc
Hemp Inc</t>
  </si>
  <si>
    <t xml:space="preserve">Investment company
Wholesale hemp products</t>
  </si>
  <si>
    <t xml:space="preserve">Investment company
controlled by Mr. Stan
Bharti and Mr. Risto
Laamanen
Hemp Inc, located in Las
Vegas, Nevada, wholesales
hemp products. It focused on
various green sustainable
products that industrial
hemp offers to the world.
The Company was founded in
2008.</t>
  </si>
  <si>
    <t xml:space="preserve">6799
5159</t>
  </si>
  <si>
    <t xml:space="preserve">ONE STEP VENDING CORP/HEMP INC-STRATEGIC ALLIANCE</t>
  </si>
  <si>
    <t xml:space="preserve">One Step Vending Corp and Hemp Inc formed a strategic alliance to help One
Step Vending Corp to meet the high demand of the current CBD consumer
market and exclusive development of consumer products based on CBD extract
to be available in the existing OSV micro markets network in United
States.</t>
  </si>
  <si>
    <t xml:space="preserve">Supply Services
Manufacturing Services
Research &amp; Development Services</t>
  </si>
  <si>
    <t xml:space="preserve">2J7797
423703</t>
  </si>
  <si>
    <t xml:space="preserve">Janssen Pharmaceutica NV
Janssen Sciences Ireland UC
Provention Bio Inc</t>
  </si>
  <si>
    <t xml:space="preserve">Manufacture pharmaceuticals
Mnfr diagnostic pharmaceutical
Research and Development in Biotechnology</t>
  </si>
  <si>
    <t xml:space="preserve">Janssen Pharmaceutica NV,
located in Beerse, Belgium,
manufactures prescription
pharmaceuticals intended for
final consumption, including
biotech products and
antibiotics.
Janssen Sciences Ireland UC is
a manufacturer of in-vitro
diagnostic substances. The
Company is located in
Ringaskiddy, the Republic of
Ireland.
Provention Bio Inc, located
in Oldwick, New Jersey, is a
provider of biotechnology
research and development
services. The Company was
founded in October 4, 2014.</t>
  </si>
  <si>
    <t xml:space="preserve">2834
2835
2834</t>
  </si>
  <si>
    <t xml:space="preserve">Belgium
Ireland-Rep
United States</t>
  </si>
  <si>
    <t xml:space="preserve">FF
FF
NJ</t>
  </si>
  <si>
    <t xml:space="preserve">J&amp;J
J&amp;J
Provention Bio Inc</t>
  </si>
  <si>
    <t xml:space="preserve">JANSSEN PHARMACEUTICA NV/JANSSEN SCIENCES IRELAND UC/PROVENTION BIO
INC-STRATEGIC ALLIANCE</t>
  </si>
  <si>
    <t xml:space="preserve">Janssen Pharmaceutica NV, Janssen Sciences Ireland UC and Provention Bio
Inc. formed a strategic alliance wherein Janssen Pharmaceutica NV and
Janssen Sciences Ireland UC licensed Provention Bio Inc. their two
clinical-stage immunology assets named as PRV-6527 (JNJ-40346527) and
PRV-300 (JNJ-42915925/CNTO 3157) to initiate Phase 2a Study and Phase 1/2
Study in patients with moderate to severe Crohn's disease and ulcerative
colitis.</t>
  </si>
  <si>
    <t xml:space="preserve">47088B
8F5482
74374N</t>
  </si>
  <si>
    <t xml:space="preserve">Medipal Holdings Corp
JCR Pharmaceuticals Co Ltd</t>
  </si>
  <si>
    <t xml:space="preserve">Whl pharmaceutical
Pharmaceutical Preparation Manufacturing</t>
  </si>
  <si>
    <t xml:space="preserve">Medipal Holdings Corp,
located in Tokyo, Japan, is
a holding company,
manufactures and wholesales
pharmaceutical products
including prescription
pharmaceuticals,
over-the-counter drugs,
diagnostic reagents, medical
devices, and medical
equipment, clinical supplies
and nursing products. The
operations are carried
through the following
divisions: Prescription
drugs, Medical equipment,
Pharmaceuticals, Reagents
and others. The company was
founded in 1898.
JCR Pharmaceuticals Co Ltd
is headquartered in Hyogo,
Japan. The group's
principal activities are the
manufacture and wholesale of
pharmaceuticals.
Pharmaceutical products
include hormones, digestive
agents, metabolic agents and
circulatory agents. The
group is also manufactures
medical equipment. The
operations are carried out
through the following
divisions: Pharmaceuticals
and hospital-use and lab
equipment. The
pharmaceutical segment is
involved in the manufacture,
purchase, sale, import and
export of pharmaceutical
products, pharmaceutical
materials and pharmaceutical
raw materials. The medical
and research equipment
segment is engaged in the
export of medical and
research equipment. The
company was founded in 1975.</t>
  </si>
  <si>
    <t xml:space="preserve">MEDIPAL HOLDINGS CORP/JCR PHARMACEUTICALS CO LTD-JOINT VENTURE</t>
  </si>
  <si>
    <t xml:space="preserve">Jcr Usa Inc is a
manufacturer of
pharmaceutical preparation.
The Company is located in
Delaware.</t>
  </si>
  <si>
    <t xml:space="preserve">Medipal Holdings Corp and JCR Pharmaceuticals Co Ltd planned to form a
joint venture for an early start of clinical development of JCR's
investigative products, JR-141 (blood-brain-barrier penetrating therapeutic
enzyme for Hunter syndrome) which under clinical development in Japan and
JR-162 (J-Brain Cargo*-applied therapeutic enzyme for Pompe disease) in its
pre-clinical stage.</t>
  </si>
  <si>
    <t xml:space="preserve">1J9060</t>
  </si>
  <si>
    <t xml:space="preserve">58673X
46611W</t>
  </si>
  <si>
    <t xml:space="preserve">Krka dd Novo Mesto
Undisclosed JV Partner</t>
  </si>
  <si>
    <t xml:space="preserve">Krka dd Novo Mesto, located
in Novo Mesto, Slovenia is
pharmaceuticals
manufacturer. The Company's
product includes
prescription
pharmaceuticals, over the
counter products, animal
health and cosmetics. It has
locations in Poland, Russia
and Croatia. The Company was
founded in 1954.
Investment company</t>
  </si>
  <si>
    <t xml:space="preserve">Slovenia
Unknown</t>
  </si>
  <si>
    <t xml:space="preserve">KRKA DD NOVO MESTO/UNDISCLOSED PARTNER-JOINT VENTURE</t>
  </si>
  <si>
    <t xml:space="preserve">Krka dd Novo Mesto and Undisclosed Joint Venture Partner planned to form
joint venture to involve in pharmaceuticals research and development
activities in China.</t>
  </si>
  <si>
    <t xml:space="preserve">50094C
904JVP</t>
  </si>
  <si>
    <t xml:space="preserve">Sirion Biotech GmbH
Vibalogics GmbH</t>
  </si>
  <si>
    <t xml:space="preserve">Sirion Biotech GmbH is a
provider of biotechnology
research and development
services. The Company
develops gene silencing and
customized gene expression
solutions. The Company''s
main area of focus is
functional gene analysis and
cell models for basic
research, drug and compound
development. In particular,
it provides solutions for
the problems of gene
transfer into primary and
difficult-to-transfect
eukaryotic cells, as well as
RNA interference and
adenoviral vector
technology. The Company is
located in Planegg, Germany.
Vibalogics GmbH is a
provider of biotechnology
research and development
services. The Company was
founded in 2002 and is
located in Cuxhaven,
Germany. Vibalogics is a
contract development and
manufacturing organization
(CDMO) offering services for
companies committed to
developing therapeutic and
prophylactic vaccines and
biological products.</t>
  </si>
  <si>
    <t xml:space="preserve">SIRION BIOTECH GMBH/VIBALOGICS GMBH-STRATEGIC ALLIANCE</t>
  </si>
  <si>
    <t xml:space="preserve">Sirion Biotech GmbH and Vibalogics GmbH formed a strategic alliance to
offer complete Adeno-Associated Virus (AAV) services.</t>
  </si>
  <si>
    <t xml:space="preserve">9F1013
9F1014</t>
  </si>
  <si>
    <t xml:space="preserve">DigiPath Inc
Mr.Don Ashley</t>
  </si>
  <si>
    <t xml:space="preserve">Administrative Management and General Management Consulting Services
Miscellaneous Financial Investment Activities</t>
  </si>
  <si>
    <t xml:space="preserve">DigiPath Inc, located in
Henderson, Nevada, is focused
in providing advisory services
for clients involved within
healthcare. . The Company was
incorporated in October 5,
2010.
Mr.Don Ashley, located in
United States, is an
individual investor.</t>
  </si>
  <si>
    <t xml:space="preserve">8742
6799</t>
  </si>
  <si>
    <t xml:space="preserve">DIGIPATH INC/MR.DON ASHLEY-JOINT VENTURE</t>
  </si>
  <si>
    <t xml:space="preserve">DigiPath Inc and Mr.Don Ashley formed joint venture to establish a cannabis
testing laboratory in California, United States.</t>
  </si>
  <si>
    <t xml:space="preserve">0C0532
1J9932</t>
  </si>
  <si>
    <t xml:space="preserve">American Cryostem Corp
Health Innovative Tech Co Ltd</t>
  </si>
  <si>
    <t xml:space="preserve">Pvd pharmaceutical research services
Biological Product (Except Diagnostic) Manufacturing</t>
  </si>
  <si>
    <t xml:space="preserve">American Cryostem Corp,
headquartered in US, is a
marketer and global licensor
of patented a dipose tissue
based cellular technologies
for the Regenerative and
Personalized Medicine industry
.
Health Innovative Technology
Co Ltd is a biotechnology
company. It is a healthcare
platform with diverse
investment interests spanning
across pharmaceutical, beauty,
healthcare, and life science
services. It also wholesales
biological products and
provides stem cell storage and
genome diagnostic services The
company was founded in August
2013 and is located in Hong
Kong.</t>
  </si>
  <si>
    <t xml:space="preserve">AMERICAN CRYOSTEM CORP/HEALTH INNOVATIVE TECHNOLOGY CO LTD-JOINT VENTURE</t>
  </si>
  <si>
    <t xml:space="preserve">American Cryostem Corp and Health Innovative Technology Co Ltd planned to
form joint venture named Health Innovative Technology Shenzhen, to develop,
own and operate multiple laboratory/treatment/training facilities in
China.</t>
  </si>
  <si>
    <t xml:space="preserve">025300
8F6362</t>
  </si>
  <si>
    <t xml:space="preserve">Pivot Green Stream Health
SolMic Research GmbH
Pivot Pharmaceuticals Inc</t>
  </si>
  <si>
    <t xml:space="preserve">Medicinal and Botanical Manufacturing
Research and Development in Biotechnology
Manufactures therapeutic pharmaceutical products</t>
  </si>
  <si>
    <t xml:space="preserve">Pivot Green Stream Health
Solutions is a manufacturer of
medicinals and botanicals. The
Company is located in Canada.
SolMic Research GmbH is a
provider of biotechnology
research and development
services. The Company is
focusing on the development
of nutraceuticals,
cosmeceuticals, and
pharmaceuticals. The Company
is located in Duesseldorf,
Germany.
Pivot Pharmaceuticals Inc,
located in Vancouver,
Canada, manufactures
therapeutic pharmaceutical
products. It is in the
business of developing and
commercializing new uses for
existing prescription drugs,
as well as developing
encapsulation technology in
the treatment of
neurodegenerative diseases.
The Company was founded on
June 10, 2002.</t>
  </si>
  <si>
    <t xml:space="preserve">2833
8731
2834</t>
  </si>
  <si>
    <t xml:space="preserve">Canada
Germany
Canada</t>
  </si>
  <si>
    <t xml:space="preserve">Pivot Pharmaceuticals Inc
SolMic Research GmbH
Pivot Pharmaceuticals Inc</t>
  </si>
  <si>
    <t xml:space="preserve">PIVOT GREEN STREAM HEALTH SOLUTIONS/SOLMIC RESEARCH GMBH/PIVOT
PHARMACEUTICALS INC-STRATEGIC ALLIANCE</t>
  </si>
  <si>
    <t xml:space="preserve">Pivot Green Stream Health Solutions, SolMic Research GmbH and Pivot
Pharmaceuticals Inc formed a strategic alliance to develop and
commercialize improved oral formulations of cannabinoids.</t>
  </si>
  <si>
    <t xml:space="preserve">8F8960
8F8953
72580T</t>
  </si>
  <si>
    <t xml:space="preserve">Ohio University
Revature LLC</t>
  </si>
  <si>
    <t xml:space="preserve">State university
Human Resources and Executive Search Consulting Services</t>
  </si>
  <si>
    <t xml:space="preserve">State university
Revature LLC is a provider
of talent development
services. The Company is
located in Reston, Virginia.</t>
  </si>
  <si>
    <t xml:space="preserve">8221
7361</t>
  </si>
  <si>
    <t xml:space="preserve">OH
VA</t>
  </si>
  <si>
    <t xml:space="preserve">United States of America
Revature LLC</t>
  </si>
  <si>
    <t xml:space="preserve">999A
7361</t>
  </si>
  <si>
    <t xml:space="preserve">OHIO UNIVERSITY/REVATURE LLC-STRATEGIC ALLIANCE</t>
  </si>
  <si>
    <t xml:space="preserve">Ohio University and Revature LLC planned to form a strategic alliance in
United States to provide OHIO students with free, hands-on technology
training that will prepare them to fill critical gaps in the states
workforce.</t>
  </si>
  <si>
    <t xml:space="preserve">677704
0J5975</t>
  </si>
  <si>
    <t xml:space="preserve">American Cryostem Corp and Health Innovative Technology Co Ltd planned to
form joint venture named Baoxin Asia Pacific Biotechnology Co Ltd, to
develop, own and operate multiple laboratory/treatment/training facilities
in China.</t>
  </si>
  <si>
    <t xml:space="preserve">Libbs Farmaceutica Ltda
Mithra Pharmaceuticals Sa</t>
  </si>
  <si>
    <t xml:space="preserve">Libbs Farmaceutica Ltda is a
manufacturer of pharmaceutical
preparation. The Company was
founded in 1958 and is located
in Sao Paulo, Brazil.
Mithra Pharmaceuticals SA,
located in Liege, Belgium,
manufactures pharmaceuticals
products. The Company
specializes in
contraceptives for women. It
was founded in May 1999.</t>
  </si>
  <si>
    <t xml:space="preserve">Brazil
Belgium</t>
  </si>
  <si>
    <t xml:space="preserve">LIBBS FARMACEUTICA LTDA/MITHRA PHARMACEUTICALS SA-STRATEGIC ALLIANCE</t>
  </si>
  <si>
    <t xml:space="preserve">Libbs Farmaceutica Ltda and Mithra Pharmaceuticals SA formed a strategic
alliance to commercialize Estelle in Brazil.</t>
  </si>
  <si>
    <t xml:space="preserve">53000M
2C3061</t>
  </si>
  <si>
    <t xml:space="preserve">Khalifa Fund For Entrp Dvlp
BP PLC
Sandooq Al Watan Invests Ltd</t>
  </si>
  <si>
    <t xml:space="preserve">All Other Nondepository Credit Intermediation
Oil and gas company
Miscellaneous Intermediation</t>
  </si>
  <si>
    <t xml:space="preserve">Emirates.
BP PLC, located in London,
the United Kingdom, is an
oil and gas company. Its
segments include Upstream,
Downstream, Rosneft, and
Other businesses and
corporate. The Upstream
segment is engaged in oil
and natural gas exploration,
field development and
production, as well as
midstream transportation,
storage and processing. The
Downstream segment has
global manufacturing and
marketing operations. The
Rosneft segment has a
resource base of
hydrocarbons onshore and
offshore. The Other
businesses and corporate
segment comprises the
biofuels and wind
businesses, shipping and
treasury functions, and
corporate activities around
the world. It provides its
customers with fuel for
transportation, energy for
heat and light, lubricants
to keep engines moving and
the petrochemicals products
used to make everyday items
as diverse as paints,
clothes and packaging. The
Company was founded on April
14, 1909.
Sandooq Al Watan Investments
Ltd is an intermediating
company. The Company is
located in Abu Dhabi, the
United Arab Emirates.</t>
  </si>
  <si>
    <t xml:space="preserve">6111
2911
6799</t>
  </si>
  <si>
    <t xml:space="preserve">Utd Arab Em
United Kingdom
Utd Arab Em</t>
  </si>
  <si>
    <t xml:space="preserve">KHALIFA FUND FOR ENTERPRISE DVLP/BP PLC/SANDOOQ AL WATAN INVESTMENTS
LTD-STRATEGIC ALLIANCE</t>
  </si>
  <si>
    <t xml:space="preserve">Khalifa Fund For Enterprise Dvlp, BP PLC and Sandooq Al Watan Investments
Ltd formed a strategic alliance in United Arab Emirates to support research
projects for post-oil era.</t>
  </si>
  <si>
    <t xml:space="preserve">1J2305
055622
2J0009</t>
  </si>
  <si>
    <t xml:space="preserve">pSivida Corp
Undisclosed JV Partner</t>
  </si>
  <si>
    <t xml:space="preserve">pSivida Corp, headquartered
in Watertown, Massachusetts,
manufactures drug delivery
products that are
administered by
implantation, injection or
insertion. It focuses on
treatment of chronic
diseases of the back of the
eye utilizing our core
technology platforms,
Durasert, BioSilicon, and
Tethadur. Its product
candidate ILUVIEN, for the
treatment of diabetic
macular edema (DME) is under
review by the United States
Food and Drug Administration
(FDA). The Company was
founded in 1987.
Investment company</t>
  </si>
  <si>
    <t xml:space="preserve">PSIVIDA CORP/UNDISCLOSED PARTNER-STRATEGIC ALLIANCE</t>
  </si>
  <si>
    <t xml:space="preserve">Eyepoint Pharmaceuticals Inc and Undisclosed Joint Venture Partner formed a
strategic alliance. The purpose of strategic alliance was to develop two
glaucoma drugs with pSivida's proprietary sustained release technology.</t>
  </si>
  <si>
    <t xml:space="preserve">74440J
904JVP</t>
  </si>
  <si>
    <t xml:space="preserve">MapR Technologies Inc
C3 Inc</t>
  </si>
  <si>
    <t xml:space="preserve">Software Publishers
Develops Big Data, IoT, and AI applications</t>
  </si>
  <si>
    <t xml:space="preserve">MapR Technologies Inc,
located in Mclean, Virginia,
is an enterprise software
development company. The
Company develops enterprise
software for Hadoop
data-analytics platform. Its
products include M3 edition
for production use; and M5
edition, a subscription
software that features
mirroring, snapshots, NFS
HA, and data placement
control.
control.
C3 Inc is a software
publisher. The Company is
located in Redwood City,
California.</t>
  </si>
  <si>
    <t xml:space="preserve">MAPR TECHNOLOGIES INC/C3 INC-STRATEGIC ALLIANCE</t>
  </si>
  <si>
    <t xml:space="preserve">MapR Technologies Inc and C3 Inc planned to form a strategic alliance. The
purpose of strategic alliance is to Accelerate the Development of
Artificial Intelligence and IoT Applications.</t>
  </si>
  <si>
    <t xml:space="preserve">2A5712
3H5365</t>
  </si>
  <si>
    <t xml:space="preserve">Casebia Therapeutics
Seattle Children'S Healthcare</t>
  </si>
  <si>
    <t xml:space="preserve">Casebia Therapeutics is a
manufacturer of biological
products. The company was
founded in 2016 and is located
in Massachusetts.
Seattle Children'S Healthcare
System is a provider of social
sciences research and
development services. The
Company is located in Seattle,
Washington.</t>
  </si>
  <si>
    <t xml:space="preserve">2836
8732</t>
  </si>
  <si>
    <t xml:space="preserve">Crispr Therapeutics AG
Seattle Children'S Healthcare</t>
  </si>
  <si>
    <t xml:space="preserve">CASEBIA THERAPEUTICS/SEATTLE CHILDREN'S HEALTHCARE SYSTEM-STRATEGIC
ALLIANCE</t>
  </si>
  <si>
    <t xml:space="preserve">Casebia Therapeutics and Seattle Children'S Healthcare System formed a
strategic alliance to explore new methods to treat and prevent autoimmune
disease using CRISPR/Cas9 gene-edited regulatory T cells (Tregs) a type of
white blood cell that controls and modulates the bodys immune response.</t>
  </si>
  <si>
    <t xml:space="preserve">Licensing Services
Research &amp; Development Services
Manufacturing Services
Hospital &amp; Clinical Services</t>
  </si>
  <si>
    <t xml:space="preserve">0F6702
8F9569</t>
  </si>
  <si>
    <t xml:space="preserve">Pelican Therapeutics Inc
KBI Biopharma Inc</t>
  </si>
  <si>
    <t xml:space="preserve">Pelican Therapeutics Inc,
located in Austin, Texas, is a
medical laboratory operator.
It also focuses on developing
agonists to TNFRSF25, a T cell
costimulatory receptor. Its
products include PTX-25, a
humanized monoclonal antibody
for the stimulation of memory
CD8+ cytotoxic T cells which
are responsible for
eliminating tumor cells in
patients; and PTX-15, a human
TL1A-Ig fusion protein that is
used to cause proliferation of
regulatory T cells in
patients. The Company was
founded in April 2009.
KBI Biopharma Inc, located in
Durham, North Carolina, is a
biotechnology company engaged
in the contract development
and manufacturing of
biological products. Its
products and services include
integrated process development
and GMP manufacturing. It
serves more than 250 clients
in the US, Canada, Europe,
Korea and Japan. The Company
was founded in 1996.</t>
  </si>
  <si>
    <t xml:space="preserve">TX
NC</t>
  </si>
  <si>
    <t xml:space="preserve">Heat Biologics Inc
JSR Corp</t>
  </si>
  <si>
    <t xml:space="preserve">2834
2822</t>
  </si>
  <si>
    <t xml:space="preserve">PELICAN THERAPEUTICS INC/KBI BIOPHARMA INC-STRATEGIC ALLIANCE</t>
  </si>
  <si>
    <t xml:space="preserve">Pelican Therapeutics Inc and KBI Biopharma Inc formed a strategic alliance
to provide development and manufacturing services for cancer
immunotherapies, improve clinical response.</t>
  </si>
  <si>
    <t xml:space="preserve">Manufacturing Services
Research &amp; Development Services
Health &amp; Medical Services</t>
  </si>
  <si>
    <t xml:space="preserve">3F3711
8A4649</t>
  </si>
  <si>
    <t xml:space="preserve">GEOM Therapeutics Inc
Legochem Biosciences Inc</t>
  </si>
  <si>
    <t xml:space="preserve">GEOM Therapeutics Inc is a
manufacturer of biological
products. The Company was
founded in December 2015 and
is located in San Francisco,
California.
LegoChem Biosciences Inc, is
a Korea-based biotechnology
company mainly engaged in
development and wholesale of
new pharmaceuticals based on
medical chemistry. The
Company principally involves
in the development of new
drugs, including
antibiotics, anticoagulants,
anticancer, antiplatelet,
anti-inflammatory, as well
as antibody-drug-conjugates
(ADC), among others. The
Company operates its
business through technology
transfer, joint and contact
research and research
services. The Company was
founded in May 2006 and is
located in Daejeon, South
Korea.</t>
  </si>
  <si>
    <t xml:space="preserve">GEOM THERAPEUTICS INC/LEGOCHEM BIOSCIENCES INC-STRATEGIC ALLIANCE</t>
  </si>
  <si>
    <t xml:space="preserve">GEOM Therapeutics Inc and LegoChem Biosciences Inc formed a strategic
alliance to develop and commercialse novel beta lactamase inhibitors for
treating Gram-Negative infections.</t>
  </si>
  <si>
    <t xml:space="preserve">8F9437
3A0372</t>
  </si>
  <si>
    <t xml:space="preserve">Sierra Nevada Corp
DLR</t>
  </si>
  <si>
    <t xml:space="preserve">Mnfr defense electn prod
Space Research and Technology</t>
  </si>
  <si>
    <t xml:space="preserve">Sierra Nevada Corp, located in
Sparks, Nevada, manufactures
defense electronic products.
It is experienced in research,
development, manufacturing and
logistical support, and
specializes in systems and
equipment for Intelligence,
Surveillance and
Reconnaissance (ISR),
Instrumentation, Test and
Training, Electronic Warfare
(ITT/EW) applications. The
company also designs,
manufactures and integrates
Communication, Navigation,
Surveillance and Air Traffic
Management (CNS/ATM), Aircraft
modifications for Integrated
Mission Systems (IMS),
Command, Control,
Communications, Computers and
Networks (C4N) products for
the US government and other
customers. The company was
founded in 1963.
German Aerospace Center is a
space research establishment.
The company was founded in
1969 and is located in
Cologne, Germany.</t>
  </si>
  <si>
    <t xml:space="preserve">3679
9661</t>
  </si>
  <si>
    <t xml:space="preserve">SIERRA NEVADA CORP/GERMAN AEROSPACE CENTER-STRATEGIC ALLIANCE</t>
  </si>
  <si>
    <t xml:space="preserve">Sierra Nevada Corp and German Aerospace Center formed a strategic alliance
to cooperate in space-related technologies and transportation utilizing the
Dream Chaser spacecraft and space habitats.</t>
  </si>
  <si>
    <t xml:space="preserve">82607M
1E3636</t>
  </si>
  <si>
    <t xml:space="preserve">Stanley Black &amp; Decker Inc
Sunflower Labs Inc</t>
  </si>
  <si>
    <t xml:space="preserve">Manufactures hand tools, power tools and related accessories
Security Systems Services (Except Locksmiths)</t>
  </si>
  <si>
    <t xml:space="preserve">Stanley Black &amp; Decker Inc,
located in New Britain,
Connecticut, manufactures
hand tools, power tools and
related accessories. It also
offers engineered fastening
systems and products,
services and equipment for
oil and gas and
infrastructure applications,
commercial electronic
security and monitoring
systems, healthcare
solutions, and mechanical
access solutions. The
Company was founded in 1843.
Sunflower Labs Inc is a
provider of security systems
services. The Company is
located in San Francisco,
California.</t>
  </si>
  <si>
    <t xml:space="preserve">3423
7382</t>
  </si>
  <si>
    <t xml:space="preserve">3546
7382</t>
  </si>
  <si>
    <t xml:space="preserve">STANLEY BLACK &amp; DECKER INC/SUNFLOWER LABS INC-STRATEGIC ALLIANCE</t>
  </si>
  <si>
    <t xml:space="preserve">Stanley Black Decker Inc and Sunflower Labs Inc formed a strategic alliance
to work together on new and innovative security solutions.</t>
  </si>
  <si>
    <t xml:space="preserve">854502
9F0902</t>
  </si>
  <si>
    <t xml:space="preserve">Yau Lee Wah Tech Dvlp Co Ltd
Fujian Fengxiang Group</t>
  </si>
  <si>
    <t xml:space="preserve">New Multifamily Housing Construction (Except Operative Builders)
Other Similar Organizations (Except Business, Professional, Labor, and Political Organizations)</t>
  </si>
  <si>
    <t xml:space="preserve">Yau Lee Wah Technology
Development Co Ltd is a
housing construction company.
The Company is located in Hong
Kong.
Fujian Fengxiang Group is an
organization. The Company is
located in Fuzhou, China.</t>
  </si>
  <si>
    <t xml:space="preserve">1522
6531</t>
  </si>
  <si>
    <t xml:space="preserve">Yau Lee Holdings Ltd
Fujian Fengxiang Group</t>
  </si>
  <si>
    <t xml:space="preserve">YAU LEE WAH TECHNOLOGY DEVELOPMENT CO LTD/FUJIAN FENGXIANG GROUP-JOINT
VENTURE</t>
  </si>
  <si>
    <t xml:space="preserve">Yau Lee Wah Technology Development Co Ltd and Fujian Fengxiang Group
planned to form a 40:60 joint venture. The JV was to be capitalized at CNY
100 mil (USD 15.060 mil). The purpose of the joint venture was to engage in
the research and development, manufacturing and sale of precast concrete
products.</t>
  </si>
  <si>
    <t xml:space="preserve">The JV was to be capitalized at CNY 100 mil (USD 15.060 mil).</t>
  </si>
  <si>
    <t xml:space="preserve">3F4897
9F0994</t>
  </si>
  <si>
    <t xml:space="preserve">Newman Cloud Inc
Ledas Ltd</t>
  </si>
  <si>
    <t xml:space="preserve">Advertising Material Distribution Services
Custom Computer Programming Services</t>
  </si>
  <si>
    <t xml:space="preserve">Newman Cloud Inc is a
provider of advertising
material distribution
services. The Company was
founded in 1970 and is
located in Newton,
Massachusetts.
Ledas Ltd The Company is
located in Novosibirsk, the
Russian Federation.</t>
  </si>
  <si>
    <t xml:space="preserve">7319
7371</t>
  </si>
  <si>
    <t xml:space="preserve">NEWMAN CLOUD INC/LEDAS LTD-STRATEGIC ALLIANCE</t>
  </si>
  <si>
    <t xml:space="preserve">Newman Cloud Inc and Ledas Ltd planned to form a strategic alliance. The
purpose of strategic alliance is to Help Accelerate Product Development.</t>
  </si>
  <si>
    <t xml:space="preserve">2J4722
2J4726</t>
  </si>
  <si>
    <t xml:space="preserve">Anaren Inc
NXP BV</t>
  </si>
  <si>
    <t xml:space="preserve">Radio and Television Broadcasting and Wireless Communications Equipment Manufacturing
Mnfr,wholesale semiconductors</t>
  </si>
  <si>
    <t xml:space="preserve">Anaren Inc, located in
Syracuse, New York,
manufactures, designs and
wholesales microwave
components and assemblies
for the wirelessspace and
defense electronic markets,
including wireless
infrastructure, wireless
consumer and medical
applications, as well as
advanced radar,
beam-forming, jamming,
motion control and receiver
applications for the space
and defense markets. The
Company was founded in 1967.
NXP Semiconductors Netherlands
BV, located in Eindhoven,
Netherlands, manufactures and
wholesales semiconductors for
mobile, home, automotive, MMS,
and identification
applications. The products
include FM radio ICs, Subs, 3G
RF, silicon tuners for TVs, TV
reception tuners, PNX5100
video postprocessors,
e-passport ICs, car radio
tuners, digital signal
processors for car radios, and
32-bit ARM-based
microcontrollers. The company
also develops mobile
multimedia software solutions
as well as provide research
and development services.
Customers include Apple,
Bosch, Dell, Flextronics,
Foxconn, Nokia, Philips,
Samsung, Siemens and Sony. The
company was founded in 2006.</t>
  </si>
  <si>
    <t xml:space="preserve">Veritas Capital Fund Mgmt LLC
NXP BV</t>
  </si>
  <si>
    <t xml:space="preserve">ANAREN INC/NXP SEMICONDUCTORS NETHERLANDS-STRATEGIC ALLIANCE</t>
  </si>
  <si>
    <t xml:space="preserve">Anaren Inc and NXP Semiconductors Netherlands BV planned to form a
strategic alliance. The purpose of strategic alliance is to Support Mass
Market IoT Developer Community.</t>
  </si>
  <si>
    <t xml:space="preserve">032744
62797J</t>
  </si>
  <si>
    <t xml:space="preserve">Neon Therapeutics
NKI</t>
  </si>
  <si>
    <t xml:space="preserve">Medicinal and Botanical Manufacturing
Provide cancer research svcs</t>
  </si>
  <si>
    <t xml:space="preserve">Neon Therapeutics, located
in Cambridge, Massachusetts,
is an immuno-oncology
company focused on
developing novel
therapeutics leveraging
neoantigen biology to treat
cancer. Neons lead program
is a personalized neoantigen
vaccine that is in research
and development at the Broad
Institute and Dana-Farber
Cancer Institute, and is
already in clinical trials.
Netherlands Cancer Institute
is a provider of research and
development services. The
Company is located in
Amsterdam, the Netherlands.</t>
  </si>
  <si>
    <t xml:space="preserve">2833
8731</t>
  </si>
  <si>
    <t xml:space="preserve">NEON THERAPEUTICS/NETHERLANDS CANCER INSTITUTE-STRATEGIC ALLIANCE</t>
  </si>
  <si>
    <t xml:space="preserve">Neon Therapeutics and Netherlands Cancer Institute formed a strategic
alliance for technology to be utilized in Neon Therapeutics personalized
Neoantigen T cell therapy program, NEO-PTC-01.</t>
  </si>
  <si>
    <t xml:space="preserve">64050Y
64110X</t>
  </si>
  <si>
    <t xml:space="preserve">Bridgebio Pharma Inc
The Univ Of Texas Md Anderson</t>
  </si>
  <si>
    <t xml:space="preserve">Biological Product (Except Diagnostic) Manufacturing
Own,op cancer research center</t>
  </si>
  <si>
    <t xml:space="preserve">Bridgebio Pharma Inc is a
manufacturer of biological
products. The Company was
founded in 2015 and is
located in Palo Alto,
California.
The University Of Texas Md
Anderson Cancer Center,
located in Houston, Texas,
is a specialty hospital
operator. It provides cancer
center services.</t>
  </si>
  <si>
    <t xml:space="preserve">BRIDGEBIO INC/MD ANDERSON CANCER CENTER-JOINT VENTURE</t>
  </si>
  <si>
    <t xml:space="preserve">Navire Pharma Inc is a
provider of biotechnology
research and development
services. The Company was
founded in February 2017 and
is located in Palo Alto,
California.</t>
  </si>
  <si>
    <t xml:space="preserve">BridgeBio Inc and MD Anderson Cancer Center formed a joint venture named
Navire Pharma Inc to develop novel small-molecule inhibitors of a
tyrosine-protein phosphatase called SHP2 for genetically driven and
treatment-resistant cancer in US.</t>
  </si>
  <si>
    <t xml:space="preserve">9F1266</t>
  </si>
  <si>
    <t xml:space="preserve">10806X
55266I</t>
  </si>
  <si>
    <t xml:space="preserve">KVH Industries Inc
Ocean Expl Tr</t>
  </si>
  <si>
    <t xml:space="preserve">Mnfr search,guidance systems
Other Scientific and Technical Consulting Services</t>
  </si>
  <si>
    <t xml:space="preserve">KVH Industries Inc, located in
Middletown, Rhode Island,
manufacture search, detection,
guidance, mobile,
high-bandwidth satellite
navigation, aeronautical
communications systems and
instruments.
Ocean Exploration Trust is a
provider of technical
consulting services. The
Company is located in Old
Lyme, Connecticut.</t>
  </si>
  <si>
    <t xml:space="preserve">3663
0781</t>
  </si>
  <si>
    <t xml:space="preserve">RI
CT</t>
  </si>
  <si>
    <t xml:space="preserve">KVH INDUSTRIES INC/OCEAN EXPLORATION TRUST-STRATEGIC ALLIANCE</t>
  </si>
  <si>
    <t xml:space="preserve">KVH Industries Inc and Ocean Exploration Trust planned to form a strategic
alliance. The purpose of the strategic alliance is to provide services and
products to enhance the onboard experience for OETs research team. In
exchange, the team will provide firsthand feedback on various products that
KVH develops.</t>
  </si>
  <si>
    <t xml:space="preserve">482738
2J4140</t>
  </si>
  <si>
    <t xml:space="preserve">Zealand Pharma A/S
Torrey Pines Institute</t>
  </si>
  <si>
    <t xml:space="preserve">Biological Product (Except Diagnostic) Manufacturing
Pvd biomedical research svcs</t>
  </si>
  <si>
    <t xml:space="preserve">Zealand Pharma A/S is a
biopharmaceutical company
engaged in the discovery,
development and
commercialization of
peptide-based medicines. The
Company was founded in
October 1998 and is located
in Soborg, Denmark. The
Company''s pipeline
comprises two implementation
areas: Cardio-metabolic
diseases and Other
indications.The
Cardio-metabolic diseases
area includes medicines for
diabetes and obesity
treatment, such as Lyxumia
(Lixisenatide),
Lyxumia/Lantus, ZP2929 and
Danegaptide. The Other
indications area offers
ZP1848, Elsiglutide and
ZP1480 (ABT-719) drugs for
inflammatory bowel disease,
chemotherapy-induced
diarrhea and acute kidney
injury treatment.
Torrey Pines Institute for
Molecular Studies is a
provider of biotechnology
research and development
services. The Company was
founded in 1988 and is located
in Port St Lucie, Florida.</t>
  </si>
  <si>
    <t xml:space="preserve">ZEALAND PHARMA A/S/TORREY PINES INSTITUTE FOR MOLECULAR STUDIES-STRATEGIC
ALLIANCE</t>
  </si>
  <si>
    <t xml:space="preserve">Zealand Pharma A/S and Torrey Pines Institute for Molecular Studies formed
a strategic alliance to identify novel peptide therapeutics using TPIMSs
proprietary peptide libraries with the aim of developing new treatment
options for patients.</t>
  </si>
  <si>
    <t xml:space="preserve">99018J
89142A</t>
  </si>
  <si>
    <t xml:space="preserve">Medivir AB
Amr Centre Ltd</t>
  </si>
  <si>
    <t xml:space="preserve">Medivir AB, located in
Stockholm, Sweden, is a
provider of biotechnology
research and development
services. The Company
develops compounds that
block the activity of
proteases (a class of
enzyme), known as protease
inhibitors in order to
produce therapies against
labial herpes, hepatitis C,
HIV, osteoporosis,
osteoarthritis, skeletal
metastases, chronic
obstructive pulmonary
disease and high blood
pressure. It was founded in
1988.
Amr Centre Ltd is a
manufacturer of
pharmaceutical preparation.
The Company was founded in
February 2016 and is located
in Macclesfield, the United
Kingdom.</t>
  </si>
  <si>
    <t xml:space="preserve">MEDIVIR AB/AMR CENTRE LTD-STRATEGIC ALLIANCE</t>
  </si>
  <si>
    <t xml:space="preserve">Medivir AB and Amr Centre Ltd formed a strategic alliance. The purpose of
strategic alliance were to tackling the threat posed by NDM-1 and other
metallo--lactamases, enzymes that make bacteria resistant to widely used
beta-lactam antibiotics such as penicillin. AMRC will take forward this
program.</t>
  </si>
  <si>
    <t xml:space="preserve">58491G
2J3681</t>
  </si>
  <si>
    <t xml:space="preserve">ProBioGen AG
Chiome Bioscience Inc</t>
  </si>
  <si>
    <t xml:space="preserve">Biotechnology company
Provide pharmaceutical research services</t>
  </si>
  <si>
    <t xml:space="preserve">ProBioGen AG, located in
Berlin, Germany, is a
biotechnology company. The
company is specialized in
mammalian cell technology.
The company was founded in
1994.
Chiome Bioscience Inc, based
in Tokyo, Japan, is mainly
engaged in the research and
development of therapeutic
antibodies ADLib system and by
Monoclonal Antibodies for
avian immune cells. It was
founded in 2005.</t>
  </si>
  <si>
    <t xml:space="preserve">Triquera BV
Chiome Bioscience Inc</t>
  </si>
  <si>
    <t xml:space="preserve">Netherlands
Japan</t>
  </si>
  <si>
    <t xml:space="preserve">PROBIOGEN AG/CHIOME BIOSCIENCE INC-STRATEGIC ALLIANCE</t>
  </si>
  <si>
    <t xml:space="preserve">ProBioGen AG and Chiome Bioscience Inc formed a strategic alliance to
develop a stable cell-line for and manufacture an anti-cancer antibody for
Chiome using its proprietary cancer cell-killing technology.</t>
  </si>
  <si>
    <t xml:space="preserve">Licensing Services
Services (NEC)
Research &amp; Development Services
Software Development Services
Health &amp; Medical Services</t>
  </si>
  <si>
    <t xml:space="preserve">74564E
16882R</t>
  </si>
  <si>
    <t xml:space="preserve">Intellisphere LLC
Fenway Cmnty Health Ctr Inc</t>
  </si>
  <si>
    <t xml:space="preserve">Publish med magazines,websites
All Other Outpatient Care Centers</t>
  </si>
  <si>
    <t xml:space="preserve">Intellisphere LLC,
headquartered in Plainsboro,
New Jersey, publishes the MDNG
(MD Net Guide) series of
medical magazines and
websites.
Fenway Community Health
Center Inc, located in
Boston, Massachusetts, is an
LGBT (lesbian, gay, bisexual
and transgender) health
care, research and advocacy
organization. The Company
was founded in 1971.</t>
  </si>
  <si>
    <t xml:space="preserve">2721
8361</t>
  </si>
  <si>
    <t xml:space="preserve">Michael J Hennessy &amp; Associate
Fenway Cmnty Health Ctr Inc</t>
  </si>
  <si>
    <t xml:space="preserve">8748
8361</t>
  </si>
  <si>
    <t xml:space="preserve">INTELLISPHERE LLC/FENWAY COMMUNITY HEALTH CENTER INC-STRATEGIC ALLIANCE</t>
  </si>
  <si>
    <t xml:space="preserve">Intellisphere LLC and Fenway Community Health Center Inc formed a strategic
alliance o provide readers of Intellisphere with unprecedented content,
such as research developments, breaking news, articles, and interviews that
can help physicians better serve their patients.</t>
  </si>
  <si>
    <t xml:space="preserve">46296R
2H7306</t>
  </si>
  <si>
    <t xml:space="preserve">Gazprom PJSC
Foundation For Assistance To</t>
  </si>
  <si>
    <t xml:space="preserve">Crude Petroleum and Natural Gas Extraction
Consumer Lending</t>
  </si>
  <si>
    <t xml:space="preserve">Gazprom PJSC is engaged in the
crude petroleum and natural
gas services business. The
company was founded in 1989
and is located in Moscow, the
Russian Fed.
Foundation For Assistance To
Small Innovative Enterprises
is a provider of consumer
lending services. The
Company is located in the
Russian Federation.</t>
  </si>
  <si>
    <t xml:space="preserve">1311
6141</t>
  </si>
  <si>
    <t xml:space="preserve">GAZPROM PJSC/FOUNDATION FOR ASSISTANCE TO SMALL INNOVATIVE
ENTERPRISES-STRATEGIC ALLIANCE</t>
  </si>
  <si>
    <t xml:space="preserve">Gazprom PJSC and Foundation for Assistance to Small Innovative Enterprises
formed a strategic alliance.aimed at improving the efficiency of gas
storage and transportation practices.</t>
  </si>
  <si>
    <t xml:space="preserve">4E5110
2J4288</t>
  </si>
  <si>
    <t xml:space="preserve">Catalent Inc
Therapix Biosciences Ltd</t>
  </si>
  <si>
    <t xml:space="preserve">Manufactures solutions for drugs
Biological Product (Except Diagnostic) Manufacturing</t>
  </si>
  <si>
    <t xml:space="preserve">Catalent Inc, located in
Somerset, New Jersey,
manufactures and develop
solutions for drugs,
biologics and consumer
health products. It provides
delivery technologies and
development solutions for
drugs, biologics, and
consumer and animal health
products. Its segments
include Softgel
Technologies, Drug Delivery
Solutions and Clinical
Supply Services. The Softgel
Technologies segment is
engaged in the formulation,
development and
manufacturing of
prescription and consumer
health soft capsules or
softgels. The Drug Delivery
Solutions segment is engaged
in the formulation,
and animal health products;
blow-fill seal unit dose
manufacturing; biologic cell
line development; analytical
and bioanalytical
development, and testing
services. The Clinical
Supply Services segment is
engaged in manufacturing,
packaging, labeling,
storage, distribution and
inventory management for
clinical trials of drugs and
biologics for patient kits;
FastChain clinical supply
service; clinical
e-solutions and informatics,
and global comparator
sourcing services. The
Company was founded in 2007.
Therapix Biosciences Ltd,
located in Tel Aviv, Israel,
manufactures and wholesales
vaccines and medical
equipments. Its products
include Anti-CD3 oral
immunotherapy, Group-common
Pneumococcal Vaccine,
Adjuvant-Delivery system,
Vaxisome and other
biological products. The
Company was founded in 2004.
in Tel Aviv-Yafo, Israel.</t>
  </si>
  <si>
    <t xml:space="preserve">CATALENT INC/THERAPIX BIOSCIENCES LTD-STRATEGIC ALLIANCE</t>
  </si>
  <si>
    <t xml:space="preserve">Catalent Inc and Therapix Biosciences Ltd formed a strategic alliance to
formulate, develop and manufacture THX-TS01, a first-in-class, proprietary
investigational drug candidate for the treatment of the symptoms of
Tourette Syndrome.</t>
  </si>
  <si>
    <t xml:space="preserve">148806
88339A</t>
  </si>
  <si>
    <t xml:space="preserve">Centogene AG
Qiagen NV</t>
  </si>
  <si>
    <t xml:space="preserve">Centogene AG is a provider of
biotechnology research and
development services. The
Company was founded in 2006
and is located in Rostock,
Germany.
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t>
  </si>
  <si>
    <t xml:space="preserve">CENTOGENE AG/QIAGEN NV-STRATEGIC ALLIANCE</t>
  </si>
  <si>
    <t xml:space="preserve">Centogene AG and Qiagen NV formed a strategic alliance to collaborate in
bioinformatics for genetic diseases.</t>
  </si>
  <si>
    <t xml:space="preserve">9A0321
N72482</t>
  </si>
  <si>
    <t xml:space="preserve">AbbVie Inc
Turnstone Biologics Inc</t>
  </si>
  <si>
    <t xml:space="preserve">Manufactures and wholesales pharmaceutical products
Research and Development in Biotechnology</t>
  </si>
  <si>
    <t xml:space="preserve">AbbVie Inc, located in North
Chicago, Illinois,
manufactures and wholesales
pharmaceutical products. Its
products are focused on
treating conditions such as
chronic autoimmune diseases
in rheumatology,
gastroenterology and
dermatology; oncology,
including blood cancers;
virology, including
hepatitis C virus (HCV) and
human immunodeficiency virus
(HIV); neurological
disorders, such as
Parkinson's disease;
metabolic diseases,
including thyroid disease
and complications associated
with cystic fibrosis; pain
associated with
endometriosis; and other
serious health conditions.
Its brands include HUMIRA,
Kaltera, Lupron, Synagis,
Androgel, Zemplar,
Synthroid, Creon, TriCor,
Trilipix, Simcor, Niaspan
and among others. The
Company was founded in
10, 2012.
January 2013.
Turnstone Biologics Inc is a
Canada-based biotechnology
company. The Company focuses
on developing treatments for
cancer that harness the
patient's own immune
system. The Company develops
bio-therapeutics for the
treatment of cancer. The
Company's lead cancer
immunotherapy technology,
Marabex, is a tumor-targeted
oncolytic vaccine that
combines potent tumor
killing effects of the
Maraba oncolytic virus with
the benefits of a cancer
vaccine. Turnstone is also
developing additional
oncolytic virus strategies
and immunotherapy
combination treatments. The
Company receives investment
from Versant Ventures.</t>
  </si>
  <si>
    <t xml:space="preserve">ABBVIE INC/TURNSTONE BIOLOGICS INC-STRATEGIC ALLIANCE</t>
  </si>
  <si>
    <t xml:space="preserve">AbbVie Inc and Turnstone Biologics Inc formed a strategic alliance.whereby
AbbVie obtained an exclusive option to license up to three of Turnstone's
next-generation oncolytic viral immunotherapies.</t>
  </si>
  <si>
    <t xml:space="preserve">00287Y
2J3400</t>
  </si>
  <si>
    <t xml:space="preserve">Department of Veterans Affairs
Lieber Institute Inc</t>
  </si>
  <si>
    <t xml:space="preserve">Veterans' affairs agency
Research and Development in The Physical, Engineering and Lifesciences (Except Biotechnology)</t>
  </si>
  <si>
    <t xml:space="preserve">Veterans' affairs agency
Lieber Institute Inc is a
provider of research and
development services. The
Company was founded in
October 2008 and is located
in Baltimore, Maryland.</t>
  </si>
  <si>
    <t xml:space="preserve">9451
3721</t>
  </si>
  <si>
    <t xml:space="preserve">DC
MD</t>
  </si>
  <si>
    <t xml:space="preserve">United States of America
Lieber Institute Inc</t>
  </si>
  <si>
    <t xml:space="preserve">999A
3721</t>
  </si>
  <si>
    <t xml:space="preserve">DEPARTMENT OF VETERANS AFFAIRS/LIEBER INSTITUTE INC-STRATEGIC ALLIANCE</t>
  </si>
  <si>
    <t xml:space="preserve">Department of Veterans Affairs {VA}(United States of America) and Lieber
Institute Inc formed a strategic alliance.to discover new approaches to
finding treatments that will improve the lives of individuals suffering
from posttraumatic stress disorder (PTSD).</t>
  </si>
  <si>
    <t xml:space="preserve">24953Z
2J4280</t>
  </si>
  <si>
    <t xml:space="preserve">Pioneer Hi-Bred International
CasZyme</t>
  </si>
  <si>
    <t xml:space="preserve">Pvd crop research services
Research and Development in Biotechnology</t>
  </si>
  <si>
    <t xml:space="preserve">Pioneer Hi-Bred International
Inc, located in Johnston,
Iowa, provides crop research
services. It provides genetic
research services for hybrid
corn, sorghum, sunflowers,
soybeans, alfalfa and wheat.
It also manufactures
agricultural pesticides and
produces and wholesales hybrid
seed corn, sorghum, sunflower,
soybean, alfalfa, canola and
wheat, as well as forage and
grain additives. The Company
was founded in 1926.
CasZyme, located in Vilnius,
Lithuania, is a provider of
biotechnology research and
development services. The
Company develops
applications and performs
research in the field of
CRISPR based Molecular
Tools.</t>
  </si>
  <si>
    <t xml:space="preserve">United States
Lithuania</t>
  </si>
  <si>
    <t xml:space="preserve">Dowdupont Inc
CasZyme</t>
  </si>
  <si>
    <t xml:space="preserve">PIONEER HI-BRED INTERNATIONAL/CASZYME-STRATEGIC ALLIANCE</t>
  </si>
  <si>
    <t xml:space="preserve">Pioneer Hi-Bred International Inc and CasZyme formed a strategic alliance
to identify and characterize novel CRISPR-Cas nucleases. Under the
agreement, Pioneer will provide access to its extensive CRISPR-Cas library
and CasZyme will apply its biochemical assays and expertise to characterize
the Cas nucleases.</t>
  </si>
  <si>
    <t xml:space="preserve">723686
9F2199</t>
  </si>
  <si>
    <t xml:space="preserve">Bpg Maxus
Global Village Telecom SA</t>
  </si>
  <si>
    <t xml:space="preserve">Marketing Consulting Services
Provide telecommunication services</t>
  </si>
  <si>
    <t xml:space="preserve">Bpg Maxus The Company is
located in the United Arab
Emirates.
Global Village Telecom SA,
located in Maringa, Brazil,
provides telecommunications
and Internet solutions
services. It offers fixed-line
telephony services; corporate
data services, including
high-speed broadband/ISP
services, security service
management, videoconferencing,
mass media streaming, and
virtual private networks
solutions; Internet and
broadband services; and voice
over IP services. The company
operates telecommunications
networks based on a single,
integrated infrastructure that
support multiple protocols,
with voice, data, and IP. It
offers its products and
services to residential, small
offices, home offices, medium
enterprises, and corporate
market segments under GVT,
POP, and VONO brands. The
company was founded in 1999.</t>
  </si>
  <si>
    <t xml:space="preserve">8742
4813</t>
  </si>
  <si>
    <t xml:space="preserve">Utd Arab Em
Brazil</t>
  </si>
  <si>
    <t xml:space="preserve">Bpg Maxus
Vivendi SA</t>
  </si>
  <si>
    <t xml:space="preserve">Utd Arab Em
France</t>
  </si>
  <si>
    <t xml:space="preserve">8742
7812</t>
  </si>
  <si>
    <t xml:space="preserve">BPG MAXUS/GLOBAL VILLAGE TELECOM SA-STRATEGIC ALLIANCE</t>
  </si>
  <si>
    <t xml:space="preserve">Bpg Maxus and Global Village Communication Inc formed a strategic alliance.
The purpose of strategic alliance is to continue its partnership with the
region's first-ever multicultural festival park that offers an engaging
experience to families through a wide variety of shopping, dining,
entertainment and funfair activities, Global Village.</t>
  </si>
  <si>
    <t xml:space="preserve">Research &amp; Development Services
Multi-media Services</t>
  </si>
  <si>
    <t xml:space="preserve">2J5969
37901Q</t>
  </si>
  <si>
    <t xml:space="preserve">Two Pore Guys Inc
Monsanto Co</t>
  </si>
  <si>
    <t xml:space="preserve">Biological Product (Except Diagnostic) Manufacturing
Pesticide and Other Agricultural Chemical Manufacturing</t>
  </si>
  <si>
    <t xml:space="preserve">Two Pore Guys, Inc. is a
United States-based
biotechnology company. The
Company is focused on
developing single-molecule
sensing technologies that
employ solid-state nanopores
and biochemical reagents to
create a versatile sample
in/results out detection
platform. The Companys 2PG
product is a handheld device
that can use reagents from
existing molecular or
analyte diagnostic assays
and provide accuracy and
sensitivity rivaling
sophisticated laboratory
equipment. The Company also
develops digital, hand-held,
testing platform that's as
accurate as medical lab
equipment. The Companys
platform is designed to sync
with a smartphone or
computer for further
analysis and data sharing,
including integration with
electronic health records.
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t>
  </si>
  <si>
    <t xml:space="preserve">TWO PORE GUYS INC/MONSANTO CO-STRATEGIC ALLIANCE</t>
  </si>
  <si>
    <t xml:space="preserve">Two Pore Guys Inc and Monsanto Co formed a strategic alliance in United
States to evaluate the performance of 2PGs cutting edge rapid detection
system under both laboratory and challenging field conditions.</t>
  </si>
  <si>
    <t xml:space="preserve">2J3601
61166W</t>
  </si>
  <si>
    <t xml:space="preserve">Bristol-Myers Squibb Co
TARGET PharmaSolutions Inc</t>
  </si>
  <si>
    <t xml:space="preserve">Manufactures pharmaceuticals and medical products
Data Processing, Hosting, and Related Services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</si>
  <si>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TARGET PharmaSolutions Inc,
located in Durham, North
Carolina, is a clinical data
company. It offers solutions
to improve clinical,
medical, and commercial
outcomes. The Company was
founded in February 2015.</t>
  </si>
  <si>
    <t xml:space="preserve">BRISTOL-MYERS SQUIBB CO/TARGET PHARMASOLUTIONS, INC.-STRATEGIC ALLIANCE</t>
  </si>
  <si>
    <t xml:space="preserve">Bristol-Myers Squibb Co and TARGET PharmaSolutions Inc formed a strategic
alliance to discover and develop medicines for fibrosis, including NASH.</t>
  </si>
  <si>
    <t xml:space="preserve">110122
9F4346</t>
  </si>
  <si>
    <t xml:space="preserve">EirGen Pharma Ltd
Japan Tobacco Inc</t>
  </si>
  <si>
    <t xml:space="preserve">Manufacture pharmaceutical
Cigarette Manufacturing</t>
  </si>
  <si>
    <t xml:space="preserve">EirGen Pharma Ltd, located in
Waterford, Ireland, is a
pharmaceutical manufacturing
firm. The company was founded
in 2005.
Japan Tobacco Inc, located
in Tokyo, Japan, is engaged
in the tobacco business. The
Company operates in four
businesses. The Japanese
Domestic Tobacco business is
engaged in the manufacture
and sale of cigarette
products in Japan, the
delivery of the Company's
products, the wholesale and
sale of imported tobacco
products, as well as the
manufacture of material
products. The International
Tobacco business
manufactures and sells
cigarette products overseas.
The Pharmaceutical business
is engaged in the research,
development, manufacture and
sale of pharmaceutical
products. The Food business
beverages, processed foods
and seasonings. The Company
was founded in 1985.</t>
  </si>
  <si>
    <t xml:space="preserve">2834
2111</t>
  </si>
  <si>
    <t xml:space="preserve">OPKO Health Inc
Japan Tobacco Inc</t>
  </si>
  <si>
    <t xml:space="preserve">EIRGEN PHARMA LTD/JAPAN TOBACCO INC-STRATEGIC ALLIANCE</t>
  </si>
  <si>
    <t xml:space="preserve">EirGen Pharma Ltd and Japan Tobacco Inc formed a strategic alliance to
develop and commercialize Rayaldee in Japan.</t>
  </si>
  <si>
    <t xml:space="preserve">Research &amp; Development Services
Retail &amp; Wholesale Services
Health &amp; Medical Services</t>
  </si>
  <si>
    <t xml:space="preserve">28192Q
47110T</t>
  </si>
  <si>
    <t xml:space="preserve">Teijin Ltd
Merz Pharma GmbH &amp; Co KGaA</t>
  </si>
  <si>
    <t xml:space="preserve">Manufacture,wholesale chemical products
Manufacture pharmaceuticals</t>
  </si>
  <si>
    <t xml:space="preserve">Teijin Ltd is a Tokyo-based
company engaged in aramid,
carbon fiber, resin,
composite molding material,
fiber, medicine, and
information technology (IT)
business. The Company
operates in two business
segments. The Materials
segment is involved in the
manufacture and sale of
aramid fibers, carbon
fibers, polycarbonate
resins, polyester films,
polyester fibers, textile
products, and composite
molding materials. The
Healthcare segment is
involved in the manufacture
and sale of pharmaceuticals
and medical devices, as well
as the provision of home
medical services. The
Company is also engaged in
IT related business, such as
the operation and
development of information
systems, the maintenance and
engineering business, as
well as the design and sale
of plants and equipment.The
company was found inJune
1918.
Merz Pharma GmbH &amp; Co KGaA,
located in Frankfurt Am Main,
Germany, manufactures
pharmaceuticals. It is focused
on drugs for the treatment of
illnesses in the fields of
neurology and psychiatry. It
also provides research and
development for pharmaceutical
products. The company was
founded in 1908.</t>
  </si>
  <si>
    <t xml:space="preserve">2299
2834</t>
  </si>
  <si>
    <t xml:space="preserve">TEIJIN LTD/MERZ PHARMA GMBH &amp; CO KGAA-STRATEGIC ALLIANCE</t>
  </si>
  <si>
    <t xml:space="preserve">Teijin Ltd and Merz Pharma GmbH Co KGaA formed a strategic to co-develop
and commercialize the Xeomin (incobotulinumtoxinA) to treat patients with
upper limb spasticity, cervical dystonia and blepharospasm in Japan.</t>
  </si>
  <si>
    <t xml:space="preserve">Licensing Services
Research &amp; Development Services
Hospital &amp; Clinical Services</t>
  </si>
  <si>
    <t xml:space="preserve">879063
59048N</t>
  </si>
  <si>
    <t xml:space="preserve">Koninklijke DSM NV
CeraPedics Inc</t>
  </si>
  <si>
    <t xml:space="preserve">All Other Miscellaneous Chemical Product and Preparation Manufacturing
Surgical Appliance and Supplies Manufacturing</t>
  </si>
  <si>
    <t xml:space="preserve">Koninklijke DSM NV is a
company active in Nutrition,
Health and Sustainable
Living. The Company was
founded in 1902 and is
located in Heerlen, the
Netherlands. Its Nutrition
segment includes DSM
Nutritional Products and DSM
Food Specialties. Its
Performance Materials
segment consists of DSM
Engineering Plastics, DSM
Dyneema, and DSM Resins and
Functional Materials. Its
Innovation Center segment
serves as an enabler and
accelerator of innovation
within DSM, as well as
providing support to the
clusters. Its Corporate
Activities segment includes
various holding companies
and corporate overheads. The
Corporate Activities segment
includes Sitech Services.
The Company delivers its
solutions in global markets,
such as food and dietary
supplements, personal care,
feed, medical devices,
automotive, paints,
electrical and electronics,
life protection, alternative
energy and bio-based
materials.
CeraPedics Inc, located in
Westminster, Colorado, is an
orthobiologics company. It
focuses on ways of enhancing
bone repair. It offers
i-FACTOR Bone Graft which uses
small peptide (P-15)
technology platform. The
Company was founded in 2006.</t>
  </si>
  <si>
    <t xml:space="preserve">2899
3842</t>
  </si>
  <si>
    <t xml:space="preserve">KONINKLIJKE DSM NV/CERAPEDICS INC-STRATEGIC ALLIANCE</t>
  </si>
  <si>
    <t xml:space="preserve">Koninklijke DSM NV and CeraPedics Inc formed a strategic alliance to
develop and manufacture next generation of peptide enhanced bone graft.</t>
  </si>
  <si>
    <t xml:space="preserve">N5017D
1F5899</t>
  </si>
  <si>
    <t xml:space="preserve">Codexis Inc
Nestle Health Science SA</t>
  </si>
  <si>
    <t xml:space="preserve">Manufacture biological products
Mnfr dietary supplements</t>
  </si>
  <si>
    <t xml:space="preserve">Codexis Inc, located in
Redwood City, California,
manufactures biological
products. It is engaged in
the conversion of renewable
resources into
transportation fuels,
pharmaceuticals and biobased
chemicals, as well as in
developing new technologies
for air and water treatment.
It develops biocatalyst
panels, custom biocatalysts,
enzymes, pharmaceutical
intermediates, and
metabolites. The company has
facilities in Germany,
Hungary, India and
Singapore. The company was
founded in 2002.
Nestle Health Science SA,
located in Epalinges,
Switzerland, is a health
science company engaged in
nutritional therapy for
consumers, patients and its
partners in healthcare. Its
portfolio is comprised of
nutrition solutions,
diagnostics, devices and
drugs, that targets health
areas such as inborn errors
of metabolism, pediatric and
acute care, obesity care,
healthy aging as well as
gastrointestinal and brain
health. The Company was
founded in 2011.</t>
  </si>
  <si>
    <t xml:space="preserve">2869
2834</t>
  </si>
  <si>
    <t xml:space="preserve">Codexis Inc
Nestle SA</t>
  </si>
  <si>
    <t xml:space="preserve">2869
2095</t>
  </si>
  <si>
    <t xml:space="preserve">CODEXIS INC/NESTLE HEALTH SCIENCE SA-STRATEGIC ALLIANCE</t>
  </si>
  <si>
    <t xml:space="preserve">Codexis Inc and Nestle Health Science SA formed a strategic alliance was to
leverage Codexis enzyme discovery platform to fuel therapeutic and
nutritional innovation.</t>
  </si>
  <si>
    <t xml:space="preserve">192005
63996Y</t>
  </si>
  <si>
    <t xml:space="preserve">Ono Pharmaceutical Co Ltd
Karyopharm Therapeutics Inc</t>
  </si>
  <si>
    <t xml:space="preserve">Pharmaceutical Preparation Manufacturing
Mnfr,dvlp pharm</t>
  </si>
  <si>
    <t xml:space="preserve">Ono Pharmaceutical Co Ltd,
located in Osaka, Japan,
manufactures and wholesales
pharmaceuticals and
diagnostic reagents focusing
primarily on prescription
pharmaceuticals. The company
was founded in 1717.
Karyopharm Therapeutics Inc,
located in Newton,
Massachusetts, is a
clinical-stage
pharmaceutical company
focused on discovery and
development of
first-in-class drugs
directed against nuclear
transport targets for the
treatment of cancer and
other diseases. It has
discovered and developed
small molecule, Selective
Inhibitors of Nuclear Export
(SINE), compounds that
inhibit the nuclear export
protein XPO1. In addition,
the Company focuses on
oncology targets, which
compement its XPO1 SINE
program. KPT-330
(Selinexor)is an XPO1
inhibitor being evaluated in
multiple open-label phase-I
clinical trials in patients
with pretreated relapsed
and/or refractory
hematological and solid
tumor malignancies. KPT-335
(Verdinexor)is a SINE
compound, which is closely-
related to Selinexor that is
being evaluated for the
treatment of lymphomas in
pet dogs. It was founded in
December 22, 2008</t>
  </si>
  <si>
    <t xml:space="preserve">ONO PHARMACEUTICAL CO LTD/KARYOPHARM THERAPEUTICS INC-STRATEGIC ALLIANCE</t>
  </si>
  <si>
    <t xml:space="preserve">Ono Pharmaceutical Co Ltd and Karyopharm Therapeutics Inc to develop and
commercialise Slinexor and KPT-8602 Japan and South Korea, Taiwan, Hong
Kong, and ASEAN countries</t>
  </si>
  <si>
    <t xml:space="preserve">68273Q
48576U</t>
  </si>
  <si>
    <t xml:space="preserve">Nielsen Hldg plc
Snapbizz Cloudtech Pvt Ltd</t>
  </si>
  <si>
    <t xml:space="preserve">Miscellaneous Intermediation
Software Publishers</t>
  </si>
  <si>
    <t xml:space="preserve">Nielsen Holdings plc,
located inYork City, New
York, is an intermediating
company.
Snapbizz Cloudtech Pvt Ltd,
located in Bengaluru, India,
is a software publisher.</t>
  </si>
  <si>
    <t xml:space="preserve">NIELSEN HOLDINGS PLC/SNAPBIZZ CLOUDTECH PVT LTD-STRATEGIC ALLIANCE</t>
  </si>
  <si>
    <t xml:space="preserve">Nielsen Holdings plc and SnapBizz Cloudtech Pvt Ltd formed a strategic
alliance to develop new products and services for retailers and companies
in traditional trade.</t>
  </si>
  <si>
    <t xml:space="preserve">7C1216
0H1094</t>
  </si>
  <si>
    <t xml:space="preserve">Medtronic PLC
Sisters of Mercy Health System</t>
  </si>
  <si>
    <t xml:space="preserve">Manufactures and wholesales medical and surgical devices
Own,op health care facilities</t>
  </si>
  <si>
    <t xml:space="preserve">Medtronic PLC is a
manufacturer of
navigational, measuring,
electromedical and control
instruments. The Company
manufactures and wholesales
medical and surgical
devices. Its products
include neurostimulation
systems, drug delivery
systems, neurosurgical
implant devices, surgical
access products, diagnostic
and therapeutic systems for
chronic pain, neurological,
urologic, and
gastrointestinal disorders
and coronary stents, stent
grafts, angioplasty
balloons, guiding catheters,
guide wires and surgical
instruments for treating
ear, nose, throat and eye
disorders and diseases. It
markets its products in 120
nations. The Company was
founded in 1949 and is
located in Dublin, the
Republic of Ireland.
Sisters of Mercy Health System
located in Chesterfield,
Missouri, owns and operates
health care facilities. Its
units include St. John's Mercy
Health Care, St. John's Health
System, Mercy Health System of
Kansas, Mercy Health System of
Oklahoma, Mercy Health System
of Northwest Arkansas, St.
Edward Mercy Health System,
St. Joseph Mercy Health
Center, Mercy Ministries of
Laredo and Mercy Health Plans.
The company was founded in
1857.</t>
  </si>
  <si>
    <t xml:space="preserve">3845
8059</t>
  </si>
  <si>
    <t xml:space="preserve">MEDTRONIC PLC/SISTERS OF MERCY HEALTH SYSTEM-STRATEGIC ALLIANCE</t>
  </si>
  <si>
    <t xml:space="preserve">Medtronic PLC and Sisters of Mercy Health System planned to form a
strategic alliance. The purpose of strategic alliance is to establish a new
data sharing and analysis network that helps gather clinical evidence for
medical device innovation and patient access.</t>
  </si>
  <si>
    <t xml:space="preserve">Health &amp; Medical Services
Research &amp; Development Services
Computer Integrated Systems Svcs
Data Processing Services</t>
  </si>
  <si>
    <t xml:space="preserve">5C9265
83232Y</t>
  </si>
  <si>
    <t xml:space="preserve">Intercept Pharmaceuticals Inc
TARGET PharmaSolutions Inc</t>
  </si>
  <si>
    <t xml:space="preserve">Biological Product (Except Diagnostic) Manufacturing
Data Processing, Hosting, and Related Services</t>
  </si>
  <si>
    <t xml:space="preserve">Intercept Pharmaceuticals Inc,
located in New York, New York,
manufactures therapeutics to
treat chronic liver diseases.
The company's lead product
candidate is the obeticholic
acid, or OCA. a bile acid
analog and first-in-class
agonist of the farnesoid X
receptor, or FXR, which the
company suspects contains
broad liver-protective
properties. The company was
incorporated in the State of
Delaware on September 4, 2002.
TARGET PharmaSolutions Inc,
located in Durham, North
Carolina, is a clinical data
company. It offers solutions
to improve clinical,
medical, and commercial
outcomes. The Company was
founded in February 2015.</t>
  </si>
  <si>
    <t xml:space="preserve">2836
7374</t>
  </si>
  <si>
    <t xml:space="preserve">INTERCEPT PHARMACEUTICALS INC/TARGET PHARMASOLUTIONS, INC.-STRATEGIC
ALLIANCE</t>
  </si>
  <si>
    <t xml:space="preserve">Intercept Pharmaceuticals Inc and TARGET PharmaSolutions Inc formed a
strategic alliance to develop medicine for patients with nonalcoholic fatty
liver disease (NAFLD) or nonalcoholic steatohepatitis (NASH).</t>
  </si>
  <si>
    <t xml:space="preserve">45845P
9F4346</t>
  </si>
  <si>
    <t xml:space="preserve">Warp Drive Bio Inc
Roche Holdings AG</t>
  </si>
  <si>
    <t xml:space="preserve">Biological Product (Except Diagnostic) Manufacturing
Manufactures, wholesales pharmaceuticals and medical instruments</t>
  </si>
  <si>
    <t xml:space="preserve">Warp Drive Bio Inc, located
in Cambridge, Massachusetts,
is a biotechnology company
focused on developing an
innovative drug modality,
known as SMART. It offers
molecular design and
optimization of compounds to
engage surfaces on
disease-causing proteins
that were previously viewed
as undruggable. The Company
was founded in May 21, 2010.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t>
  </si>
  <si>
    <t xml:space="preserve">Revolution Medicines Inc
Roche Holdings AG</t>
  </si>
  <si>
    <t xml:space="preserve">WARP DRIVE BIO INC/ROCHE HOLDINGS AG-STRATEGIC ALLIANCE</t>
  </si>
  <si>
    <t xml:space="preserve">Massachusetts
Foreign</t>
  </si>
  <si>
    <t xml:space="preserve">Warp Drive Bio Inc and Roche Holdings AG formed a strategic alliance in
United States &amp; Switzerland to discover and develop multiple novel classes
of antibiotics. The serious global health threat of multi-drug-resistant
bacterial infections has created an urgent need for new antibiotics with
novel structures and mechanisms of action.</t>
  </si>
  <si>
    <t xml:space="preserve">2J0921
77119M</t>
  </si>
  <si>
    <t xml:space="preserve">Henry Schein Inc
Terason Inc</t>
  </si>
  <si>
    <t xml:space="preserve">Wholesales healthcare products
Mnfr ultrasound equip</t>
  </si>
  <si>
    <t xml:space="preserve">Henry Schein Inc, located in
Melville, New York,
wholesales healthcare
products and provides
services to office-based
dental, animal health and
healthcare practitioners.
Its services include dental,
animal health, medical, and
technology &amp; value-added
services. The Company was
founded in 1932.
Manufacture ultrasound
equipment systems</t>
  </si>
  <si>
    <t xml:space="preserve">5047
3845</t>
  </si>
  <si>
    <t xml:space="preserve">Henry Schein Inc
Teratech Corp</t>
  </si>
  <si>
    <t xml:space="preserve">HENRY SCHEIN INC/TERASON INC-STRATEGIC ALLIANCE</t>
  </si>
  <si>
    <t xml:space="preserve">Henry Schein Inc and Terason Inc formed a strategic alliance. The purpose
of the alliance is to distribute uSmart 3200T NexGen, a portable ultrasound
device that enables emergency responders to perform exams in emergency
medical transport vehicles and aircrafts.</t>
  </si>
  <si>
    <t xml:space="preserve">806407
87785K</t>
  </si>
  <si>
    <t xml:space="preserve">Telix Pharmaceuticals Ltd
University of Melbourne</t>
  </si>
  <si>
    <t xml:space="preserve">Telix Pharmaceuticals Ltd,
located in Melbourne,
Australia, develops and
commercializes molecularly
targeted radiation products
for the treatment of cancer.
University of Melbourne,
located in Melbourne, owns and
operates universities. It is a
public institution that
specializes in university
education, research, and
knowledge transfer. It offers
undergraduate degrees,
postgraduate programs which
are housed in a faculty-based
Graduate School, as well as
stand-alone Graduate Schools.
The university was established
in 1853.</t>
  </si>
  <si>
    <t xml:space="preserve">TELIX PHARMACEUTICALS LTD/UNIVERSITY OF MELBOURNE-STRATEGIC ALLIANCE</t>
  </si>
  <si>
    <t xml:space="preserve">Telix Pharmaceuticals Ltd and University of Melbourne planned to form a
strategic alliance. The purpose of strategic alliance were to enables the
precise imaging and localization of disease to guide surgery, radiation
therapy, select patients for particular therapeutics, and even measure
response to treatment.</t>
  </si>
  <si>
    <t xml:space="preserve">2F1442
91510E</t>
  </si>
  <si>
    <t xml:space="preserve">NRG Metals Inc
Chengdu Chemphys Chem Ind Co</t>
  </si>
  <si>
    <t xml:space="preserve">Gold Ore Mining
All Other Industrial Machinery Manufacturing</t>
  </si>
  <si>
    <t xml:space="preserve">NRG Metals Inc, located in
Vancouver, Canada, is an
exploration stage junior
mining company, engages in
the identification,
acquisition, and exploration
of mineral properties
primarily in Guyana, South
America. It principally
explores for gold and copper
ores. The company owns
interests in the Groete
Creek Gold and Akaiwong
projects located in Guyana.
The company was founded on
June 20, 1995.
Chengdu Chemphys Chemical
Industry Co Ltd is a
manufacturer of industrial
machinery. The Company is
located in China.</t>
  </si>
  <si>
    <t xml:space="preserve">1041
3559</t>
  </si>
  <si>
    <t xml:space="preserve">NRG METALS INC/CHENGDU CHEMPHYS CHEMICAL INDUSTRY CO LTD-STRATEGIC
ALLIANCE</t>
  </si>
  <si>
    <t xml:space="preserve">NRG Metals Inc and Chengdu Chemphys Chemical Industry Co Ltd signed a
letter of intent to form an alliance for exploration and development of the
Hombre Muerto North Lithium Project.</t>
  </si>
  <si>
    <t xml:space="preserve">Exploration Services
Research &amp; Development Services
Mining Services</t>
  </si>
  <si>
    <t xml:space="preserve">62945U
2J3171</t>
  </si>
  <si>
    <t xml:space="preserve">Canadian Solar Inc
Menora Mivtachim Holdings Ltd</t>
  </si>
  <si>
    <t xml:space="preserve">Semiconductor and Related Device Manufacturing
Provide insurance services</t>
  </si>
  <si>
    <t xml:space="preserve">Canadian Solar Inc, located
in Guelph, Ontario,
manufactures semiconductors,
designs and sells solar
module products that convert
sunlight into electricity
for a variety of uses. It
has established subsidiaries
that manufacture wafer,
solar cells, and solar
modules in China, Germany,
Korea, and USA. Its products
include a range of standard
solar modules built to
general specifications for
use in a wide range of
residential, commercial and
industrial solar power
generation systems. The
Company was founded in 2001.
Menora Mivtachin Holdings Ltd,
located in Tel Aviv, Israel,
provides insurance services.
Its activities include
provision of non-life and life
insurance services, including
motor, property, liability,
mortgage, travel, business,
professional, electronic
equipment, life, health,
dental, disability, and
managers, directors and
executives assurance. It is
also involved in pension and
provident funds management,
real estate and various
investment and finance
activities. It was founded in
1935.</t>
  </si>
  <si>
    <t xml:space="preserve">3674
6311</t>
  </si>
  <si>
    <t xml:space="preserve">CANADIAN SOLAR INC/MENORA MIVTACHIM HOLDINGS LTD-JOINT VENTURE</t>
  </si>
  <si>
    <t xml:space="preserve">Canadian Solar Inc and Menora Mivtachim Holdings Ltd formed joint venture
invest in the development, financing, construction and ownership of solar
power projects in Israel. The Joint Venture was to have a Capitalization of
60 million USD.</t>
  </si>
  <si>
    <t xml:space="preserve">Investment Services
Research &amp; Development Services
Construction Services
Electric Utility Services</t>
  </si>
  <si>
    <t xml:space="preserve">The Joint Venture was to have a Capitalization of 60 million USD.</t>
  </si>
  <si>
    <t xml:space="preserve">136635
58710E</t>
  </si>
  <si>
    <t xml:space="preserve">Resonance Health Ltd
Perth Radiological Clinic</t>
  </si>
  <si>
    <t xml:space="preserve">Manufacture resonance imaging products
Diagnostic Imaging Centers</t>
  </si>
  <si>
    <t xml:space="preserve">Resonance health Ltd,
headquartered in Claremont,
Perth, manufactures magnetic
resonance liver imaging
products. The company is
also currently developing a
non-invasive test for the
measurement of liver
fibrosis.
Perth Radiological Clinic
provides radiological
services. The Company is
located in Perth, Australia.</t>
  </si>
  <si>
    <t xml:space="preserve">RESONANCE HEALTH LTD/PERTH RADIOLOGICAL CLINIC-JOINT VENTURE</t>
  </si>
  <si>
    <t xml:space="preserve">Resonance Health Ltd and Perth Radiological Clinic formed joint venture in
Australia to assess the viability of the development and commercialization
of several diagnostic tools and also for the development and prototype
testing of an AI solution for liver iron concentration measurement that is
currently undergoing beta-testing to provide an automated cloud-based
FerriScan service to emerging growth markets.</t>
  </si>
  <si>
    <t xml:space="preserve">76072Z
71530X</t>
  </si>
  <si>
    <t xml:space="preserve">GenePeeks Inc
Core Diagnostics Pvt Ltd</t>
  </si>
  <si>
    <t xml:space="preserve">Research and Development in Biotechnology
Irradiation Apparatus Manufacturing</t>
  </si>
  <si>
    <t xml:space="preserve">GenePeeks Inc, located in
New York City, New York, is
a provider of biotechnology
research and development
services. It is focused on
customers using sperm banks
and egg donors to conceive.
It offers various platforms,
such as Variant Gene
Dysfunction, Virtual Progeny
Analytics (VPA), Genes and
Diseases, and Research
Browser. Its Variant Gene
Dysfunction platform is a
conventional carrier test,
which has two outcomes based
on the deoxyribonucleic acid
(DNA) variant, which is
either disease-causing or
benign. Its VPA platform
simulates human reproduction
by creating virtual sperm
and virtual egg DNA
sequences that are then
combined to create genomes
called virtual progeny. Its
Genes and Diseases platform
offers the Previde analysis,
which examines a set of
genes that are associated
with over 1,000
life-threatening or
life-altering genetic
diseases. Its Research
Browser platform offers
GenePeeks Research Browser.
Its Previde's gene coverage
with next generation
sequencing includes coding
regions and adjacent splice
sites. The Company was
founded in 2009.
Core Diagnostics Private
Limited is an India-based
diagnostics lab for disease
stratification and therapy
selection. The Company enables
users to access global doctors
for their personalized need.
The Company offers flow
cytometry,
immunohistochemistry,
histopathology, cytogenetics
and cytopathology, among
others. It uses various
techniques to analyze
biological markers in the
genome and proteome. Its 8
color platform allows it to do
reporting for various kinds of
diseases, including
specialized panels for minimal
residual disease (MRD). It
offers Karotyping and FISH
platforms, which are automated
with managed levels of
detection and retesting. The
Company provides a range of
tests for cardiology, cancer,
reproductive disorders and
endocrine disorders. For
cardiology, it offers cadCORE.
For cancer, it offers onCORE
for lung cancer, breast
cancer, cervical cancer and
prostrate cancer. For
reproductive disorders, it
offers amnioCORE. For
endocrine disorders, it offers
endoCORE.</t>
  </si>
  <si>
    <t xml:space="preserve">GENEPEEKS INC/CORE DIAGNOSTICS PVT LTD-STRATEGIC ALLIANCE</t>
  </si>
  <si>
    <t xml:space="preserve">GenePeeks Inc and Core Diagnostics Pvt Ltd formed a strategic alliance to
provide distribution of clinical technology and innovation to India.</t>
  </si>
  <si>
    <t xml:space="preserve">Supply Services
Research &amp; Development Services
Computer Programming Services
Hospital &amp; Clinical Services</t>
  </si>
  <si>
    <t xml:space="preserve">6F2605
9F4960</t>
  </si>
  <si>
    <t xml:space="preserve">Takeda Pharmaceutical Co Ltd
Hemoshear Therapeutics LLC</t>
  </si>
  <si>
    <t xml:space="preserve">Mnfr pharmaceutical products
Manufactures pharmaceutical products</t>
  </si>
  <si>
    <t xml:space="preserve">Takeda Pharmaceutical Co
Ltd, located in Osaka,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
HemoShear Therapeutics LLC,
located in Charlottesville,
Virginia, manufactures
pharmaceutical products. The
Company is focused on
discovering and developing
drugs to treat childrens
rare metabolic disorders.
Its technology allows it to
use cells of children born
with genetic defects,
interrogate the disrupted
biochemical processes,
explore drug intervention
strategies, and select drug
candidates. It is developing
treatments for three inborn
errors of metabolism:
Propionic Acidemia (PA),
Methylmalonic Acidemia (MMA)
and Maple Syrup Urine
Disease (MSUD). Its
REVEAL-Tx platform restores
the in vivo disease state to
enable insight into disease
pathways.</t>
  </si>
  <si>
    <t xml:space="preserve">TAKEDA PHARMACEUTICAL CO LTD/HEMOSHEAR THERAPEUTICS LLC-STRATEGIC ALLIANCE</t>
  </si>
  <si>
    <t xml:space="preserve">Takeda Pharmaceutical Co Ltd and Hemoshear Therapeutics LLC formed a
strategic alliance around the world to discover and develop novel
therapeutics for liver diseases, including nonalcoholic steatohepatitis
(NASH).</t>
  </si>
  <si>
    <t xml:space="preserve">874058
1J9853</t>
  </si>
  <si>
    <t xml:space="preserve">Protalix Biotherapeutics Inc
Chiesi Farmaceutici SpA</t>
  </si>
  <si>
    <t xml:space="preserve">Biopharmaceutical company
Pharmaceutical Products Manufacture</t>
  </si>
  <si>
    <t xml:space="preserve">Protalix Biotherapeutics
Inc, located in Karmiel,
Israel, is a
biopharmaceutical company
focused on the development
and commercialization of
recombinant therapeutic
proteins based on its
proprietary ProCellEx
protein expression system.
The company was founded in
1993.
Chiesi Farmaceutici SpA,
located in Parma, Italy,
manufactures and wholesales
pharmaceutical products. It
provides research and
development services. It
offers products for
therapeutic areas, such as
respiratory, central nervous
system, gastro-nutritional,
neonatology,
musculo-skeletal, and
cardiovascular diseases. The
Company's products include
beclometasone dipropionate
and formoterol fumarate,
beclometasone dipropionate,
pressurised metered dose
inhaler formulations,
calcium antagonist, and
tobramycin solutions. It
provides solutions for the
treatment of asthma, lung
functioning, inhalation,
chronic obstructive
pulmonary, respiratory
distress syndrome, and
hypertension. The Company
was founded in 1935.</t>
  </si>
  <si>
    <t xml:space="preserve">PROTALIX BIOTHERAPEUTICS INC/CHIESI FARMACEUTICI SPA-STRATEGIC ALLIANCE</t>
  </si>
  <si>
    <t xml:space="preserve">Protalix Biotherapeutics Inc and Chiesi Farmaceutici SpA extended their
strategic alliance.The purpose of the strategic alliance is to for
pegunigalsidase alfa, or PRX-102, the Companys chemically modified version
of the recombinant protein alpha-Galactosidase-A protein that is currently
being evaluated in phase III clinical trials for the treatment of Fabry
disease.</t>
  </si>
  <si>
    <t xml:space="preserve">Research &amp; Development Services
Health &amp; Medical Services
Licensing Services</t>
  </si>
  <si>
    <t xml:space="preserve">74365A
16868Z</t>
  </si>
  <si>
    <t xml:space="preserve">Alnylam Pharmaceuticals Inc
Vir Biotechnology Inc</t>
  </si>
  <si>
    <t xml:space="preserve">Manufacture biological products
Pharmaceutical Preparation Manufacturing</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</si>
  <si>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Vir Biotechnology Inc,
located in San Francisco,
California, manufactures
pharmaceutical products. It
has operations in Portland,
Oregon, Boston,
Massachusetts, and
Bellinzona, Switzerland. The
Company was founded in 2006.
Company was founded in 2006.</t>
  </si>
  <si>
    <t xml:space="preserve">ALNYLAM PHARMACEUTICALS INC/VIR BIOTECHNOLOGY INC-STRATEGIC ALLIANCE</t>
  </si>
  <si>
    <t xml:space="preserve">Alnylam Pharmaceuticals Inc and Vir Biotechnology Inc formed a strategic
alliance to develop and commercialize RNAi therapeutics for infectious
diseases, including chronic hepatitis B virus (HBV) infection. Under the
agreement, they will advance Alnylam's HBV program and also initiate a
research collaboration for the development and advancement of up to four
additional RNAi therapeutic programs for the treatment of other infectious
diseases with high unmet needs.</t>
  </si>
  <si>
    <t xml:space="preserve">02043Q
92764N</t>
  </si>
  <si>
    <t xml:space="preserve">CVS Health Corp
Anthem Inc</t>
  </si>
  <si>
    <t xml:space="preserve">Own,operate drug stores
Provides managed health care plans and insurance services</t>
  </si>
  <si>
    <t xml:space="preserve">CVS Health Corp is a drug
store operator. The Company
was founded in 1914 and is
located in Woonsocket, Rhode
Island.
Anthem Inc, located in
Indianapolis, Indiana,
provides managed health care
plans and insurance services
to the large and small
employer, individual,
Medicaid, and senior
markets. Its managed care
plans include preferred
provider organizations,
health maintenance
organizations,
point-of-service plans,
traditional indemnity plans,
and other hybrid plans,
including consumer-driven
health plans, hospital only,
and limited benefit
products. It offers services
in California, Colorado,
Connecticut, Georgia,
Indiana, Kentucky, Maine,
Missouri, Nevada, New
Hampshire, New York, Ohio,
Virginia and Wisconsin
through UniCare. The Company
was founded in 2001.</t>
  </si>
  <si>
    <t xml:space="preserve">5912
6324</t>
  </si>
  <si>
    <t xml:space="preserve">RI
IN</t>
  </si>
  <si>
    <t xml:space="preserve">CVS HEALTH CORP/ANTHEM INC-STRATEGIC ALLIANCE</t>
  </si>
  <si>
    <t xml:space="preserve">CVS Health Corp and Anthem Inc formed a strategic alliance in United States
to provide services to support IngenioRx.</t>
  </si>
  <si>
    <t xml:space="preserve">Research &amp; Development Services
Health &amp; Medical Services
Marketing Services</t>
  </si>
  <si>
    <t xml:space="preserve">126650
036752</t>
  </si>
  <si>
    <t xml:space="preserve">Vir Biotechnology Inc
Stanford University</t>
  </si>
  <si>
    <t xml:space="preserve">Vir Biotechnology Inc,
located in San Francisco,
California, manufactures
pharmaceutical products. It
has operations in Portland,
Oregon, Boston,
Massachusetts, and
Bellinzona, Switzerland. The
Company was founded in 2006.
Company was founded in 2006.
Stanford University, located
in Stanford, California, is
an owner and operator of a
university, founded in 1891.</t>
  </si>
  <si>
    <t xml:space="preserve">VIR BIOTECHNOLOGY INC/STANFORD UNIVERSITY-STRATEGIC ALLIANCE</t>
  </si>
  <si>
    <t xml:space="preserve">Vir Biotechnology Inc and Stanford University formed a strategic alliance
in United States to artificial intelligence for mining gene expression data
is aimed at boosting early diagnostic predictions and target discovery.</t>
  </si>
  <si>
    <t xml:space="preserve">92764N
854403</t>
  </si>
  <si>
    <t xml:space="preserve">Buckman Labs Intl Inc
Engro Corporation Ltd</t>
  </si>
  <si>
    <t xml:space="preserve">Mnfr chemicas
Nitrogenous Fertilizer Manufacturing</t>
  </si>
  <si>
    <t xml:space="preserve">Buckman Laboratories
International Inc, located
in Memphis, Tennessee, a
manufacturer of inorganic
chemicals. The Company
offers specialty chemicals
and services for the paper
industries that include
tissue, printing and
writing, virgin pulp,
packaging, recycled fiber,
and newsprint/mechanical
grades applications. The
Company was founded in 1945.
Engro Corporation Ltd is a
manufacturer of nitrogenous
fertilizers. It is also a
holding Company. The Company
manufactures and sells
fertilizers under the brand
names Engro, Zarkhez and
Zorawar. The Company also
markets micronutrients zinc
sulphate branded as Zingro
and boron branded as Zoron.
The Company and its
subsidiaries are involved in
fertilizers, foods, chemical
storage &amp; handling, trading,
energy, rice processing and
petrochemicals business.
Engro powergen Ltd, Engro
Polymer and Chemicals Ltd,
Engro Eximp (Private) Ltd
and Engro Vopak are the
subsidiaries of the company.
The Company was founded in
1965 and is located in
Karachi, Pakistan.</t>
  </si>
  <si>
    <t xml:space="preserve">2819
2873</t>
  </si>
  <si>
    <t xml:space="preserve">United States
Pakistan</t>
  </si>
  <si>
    <t xml:space="preserve">BUCKMAN LABORATORIES INTERNATIONAL INC/ENGRO CORPORATION LTD-STRATEGIC
ALLIANCE</t>
  </si>
  <si>
    <t xml:space="preserve">Pakistan</t>
  </si>
  <si>
    <t xml:space="preserve">Buckman Laboratories International Inc and Engro Corporation Ltd planned to
form a strategic alliance to deliver process and reliability optimization
to utilities and industries in Pakistan.</t>
  </si>
  <si>
    <t xml:space="preserve">Computer Maintenance &amp; Repair Svcs
Computer Integrated Systems Svcs
Research &amp; Development Services</t>
  </si>
  <si>
    <t xml:space="preserve">11848Y
29180M</t>
  </si>
  <si>
    <t xml:space="preserve">Arbutus Biopharma Corp
Gritstone Oncology Inc</t>
  </si>
  <si>
    <t xml:space="preserve">Mnfr biological prods
Research and Development in Biotechnology</t>
  </si>
  <si>
    <t xml:space="preserve">Tekmira Pharmaceuticals
Corp, located in Burnaby,
British Columbia,
manufactures
biopharmaceutical products.
Its products and services
are focused on the
advancement of novel RNA
interference therapeutics.
The Company was founded in
2005.
Gritstone Oncology Inc,
located in Emeryville,
California, is a provider of
biotechnology research and
development services.</t>
  </si>
  <si>
    <t xml:space="preserve">ARBUTUS BIOPHARMA CORP/GRITSTONE ONCOLOGY INC-STRATEGIC ALLIANCE</t>
  </si>
  <si>
    <t xml:space="preserve">Arbutus Biopharma Corp and Gritstone Oncology Inc planned to form a
strategic alliance for Arbutus to deploying its proprietary lipid
nanoparticle (LNP) technology to deliver Gritstones RNA-based neoantigen
immunotherapy products.</t>
  </si>
  <si>
    <t xml:space="preserve">3E7912
2H3935</t>
  </si>
  <si>
    <t xml:space="preserve">Arcturus Therapeutics Inc
Janssen Pharmaceuticals Inc</t>
  </si>
  <si>
    <t xml:space="preserve">Arcturus Therapeutics Inc,
headquartered in San Diego,
California, is a biotechnology
company. It is focused on the
application of RNAi
technologies for the treatment
of disease and improved
quality of life. Its aim is to
develop breakthrough
technology and novel
therapeutics for rare diseases
for which there is no adequate
treatment. It was founded in
2013.
Janssen Pharmaceuticals Inc,
based in Titusville, New
Jersey, manufactures
pharmaceutical products. It
offers women's health and
urology, contraceptive, birth
control and vaginal therapy
products. It also has offices
in Raritan, Somerset County,
New Jersey and Fort
Washington, Pennsylvania. It
was founded in 1993.</t>
  </si>
  <si>
    <t xml:space="preserve">Arcturus Therapeutics Inc
J&amp;J</t>
  </si>
  <si>
    <t xml:space="preserve">ARCTURUS THERAPEUTICS INC/JANSSEN PHARMACEUTICALS INC-STRATEGIC ALLIANCE</t>
  </si>
  <si>
    <t xml:space="preserve">Arcturus Therapeutics Inc and Janssen Pharmaceuticals Inc formed a
strategic alliance to enter into a research collaboration and worldwide
license agreement with Janssen Pharmaceuticals in the United States.</t>
  </si>
  <si>
    <t xml:space="preserve">7A8111
47469X</t>
  </si>
  <si>
    <t xml:space="preserve">Boralex Inc
Infinergy Ltd</t>
  </si>
  <si>
    <t xml:space="preserve">Own,op renewable energy stn
Dvlp wind farms</t>
  </si>
  <si>
    <t xml:space="preserve">Boralex Inc, located in
Kingsey Falls, Quebec, owns,
operates and develops
renewable energy power
stations. It maintains sites
in Europe, US and Canada
with a total installed
capacity of 700 megawatts
(MW). It also operates
stations and develops
projects under four power
generation segments: wind,
hydroelectric, solar and
thermal. The Company was
founded in November 1982.
Infinergy Ltd develops,
constructs, and operates wind
farms that generate wind
energy. The Company was
founded in 2003 and is located
in Dorset, the United Kingdom.</t>
  </si>
  <si>
    <t xml:space="preserve">499A
3511</t>
  </si>
  <si>
    <t xml:space="preserve">Boralex Inc
Koop Groep</t>
  </si>
  <si>
    <t xml:space="preserve">BORALEX INC/INFINERGY LTD-JOINT VENTURE</t>
  </si>
  <si>
    <t xml:space="preserve">Boralex Inc and Infinergy Ltd formed joint venture for developing a
pipeline of onshore wind projects essentially located in Scotland for a
total estimated capacity of 325 MW. The joint venture comprises a pipeline
of 10 wind projects varying from 6 to 80 MW and would allow Boralex to
acquire or resell the projects over the coming years.</t>
  </si>
  <si>
    <t xml:space="preserve">09950M
46822W</t>
  </si>
  <si>
    <t xml:space="preserve">Boeing HorizonX Ventures
Near Earth Autonomy Inc</t>
  </si>
  <si>
    <t xml:space="preserve">Financial Sponsor
Aircraft Manufacturing</t>
  </si>
  <si>
    <t xml:space="preserve">Boeing HorizonX Ventures is
a venture capital firm. The
Company is located in
Chicago, Illinois.
Near Earth Autonomy Inc,
located in Pittsburgh,
Pennsylvania, is a
manufacturer of aircrafts.</t>
  </si>
  <si>
    <t xml:space="preserve">IL
PA</t>
  </si>
  <si>
    <t xml:space="preserve">Boeing Co
Near Earth Autonomy Inc</t>
  </si>
  <si>
    <t xml:space="preserve">HORIZONX VENTURES/NEAR EARTH AUTONOMY INC-STRATEGIC ALLIANCE</t>
  </si>
  <si>
    <t xml:space="preserve">HorizonX Ventures and Near Earth Autonomy Inc planned to form a strategic
alliance to explore technologies for defense and commercial applications.</t>
  </si>
  <si>
    <t xml:space="preserve">6F2827
2H3942</t>
  </si>
  <si>
    <t xml:space="preserve">Agco Corp
The Climate Corp</t>
  </si>
  <si>
    <t xml:space="preserve">Mnfr,whl agricultural equip
Dvlp agriculture tech software</t>
  </si>
  <si>
    <t xml:space="preserve">AGCO Corp, located in
Duluth, Georgia,
manufactures and wholesales
agricultural equipment. It
offers tractors, combines,
hay tools and forage
equipment and implements The
Company's segments include
North America, South
America,
Europe/Africa/Middle East,
and Asia/Pacific. It was
founded in 1990.
The Climate Corp, located in
San Francisco, California,
develops agriculture analytics
and risk-management technology
solutions software. The
Company was founded in 2006.</t>
  </si>
  <si>
    <t xml:space="preserve">3523
7372</t>
  </si>
  <si>
    <t xml:space="preserve">Agco Corp
Monsanto Co</t>
  </si>
  <si>
    <t xml:space="preserve">AGCO CORP/THE CLIMATE CORP-STRATEGIC ALLIANCE</t>
  </si>
  <si>
    <t xml:space="preserve">Agco Corp and The Climate Corp planned to form a strategic alliance in
United States to focus on helping customers optimize their farms through
seamless technology integration and connectivity amd also to provide AGCO
customers the option to connect with The Climate Corporations Climate
FieldView platform.</t>
  </si>
  <si>
    <t xml:space="preserve">Software Development Services
Research &amp; Development Services
Agricultural, Forestry, &amp; Fishing Svcs</t>
  </si>
  <si>
    <t xml:space="preserve">001084
6A4573</t>
  </si>
  <si>
    <t xml:space="preserve">Brainstorm Cell Therapeutics
Ramot Ltd</t>
  </si>
  <si>
    <t xml:space="preserve">BrainStorm Cell Therapeutics
Inc, based in New York, New
York, is a biotechnology
company focuses on developing
innovative, autologous stem
cell therapies for highly
debilitating neurodegenerative
diseases such as Amyotrophic
Lateral Sclerosis (ALS, also
known as Lou Gehrig's
disease), Multiple Sclerosis
(MS) and Parkinsons Disease
(PD).
Ramot Ltd is a provider of
biotechnology research and
development services. The
Company was founded in 1973
and is located in Tel Aviv,
Israel.</t>
  </si>
  <si>
    <t xml:space="preserve">Brainstorm Cell Therapeutics
Tel Aviv University</t>
  </si>
  <si>
    <t xml:space="preserve">BRAINSTORM CELL THERAPEUTICS/RAMOT LTD-STRATEGIC ALLIANCE</t>
  </si>
  <si>
    <t xml:space="preserve">Brainstorm Cell Therapeutics Inc and Ramot Ltd formed a strategic alliance
around the world to develop and commercialise its NurOwn technology through
an exclusive worldwide licensing agreement.</t>
  </si>
  <si>
    <t xml:space="preserve">10501E
75154K</t>
  </si>
  <si>
    <t xml:space="preserve">Janssen Pharmaceuticals Inc
Arcturus Therapeutics Inc</t>
  </si>
  <si>
    <t xml:space="preserve">Janssen Pharmaceuticals Inc is
a manufacturer of
pharmaceutical preparation.
The Company is located in
Titusville, New Jersey.
Arcturus Therapeutics Inc,
headquartered in San Diego,
California, is a biotechnology
company. It is focused on the
application of RNAi
technologies for the treatment
of disease and improved
quality of life. Its aim is to
develop breakthrough
technology and novel
therapeutics for rare diseases
for which there is no adequate
treatment. It was founded in
2013.</t>
  </si>
  <si>
    <t xml:space="preserve">J&amp;J
Arcturus Therapeutics Inc</t>
  </si>
  <si>
    <t xml:space="preserve">JANSSEN PHARMACEUTICALS INC/ARCTURUS THERAPEUTICS INC-STRATEGIC ALLIANCE</t>
  </si>
  <si>
    <t xml:space="preserve">Janssen Pharmaceuticals Inc. and Arcturus Therapeutics Inc. formed a
strategic alliance to discover, develop and commercialize RNA medicines.</t>
  </si>
  <si>
    <t xml:space="preserve">47088J
7A8111</t>
  </si>
  <si>
    <t xml:space="preserve">Ryder System Inc
Lytx Inc</t>
  </si>
  <si>
    <t xml:space="preserve">Pvd transp,logistics services
Computer Facilities Management Services</t>
  </si>
  <si>
    <t xml:space="preserve">Ryder System Inc, located in
Miami, Florida, is a
provider of transportation,
logistics and supply chain
management solutions
services. Its operations are
carried out in three
business divisions: Fleet
Management Solutions (FMS),
Supply Chain Solutions
(SCS), and Dedicated
Contract Carriage (DCC). It
has operations in Argentina,
Singapore, Brazil, Chile,
China, Canada, Mexico and
the UK. The Company was
founded in 1934.
Lytx Inc, located in San
Diego, California, is a
provider of video telematics
solutions services. Its
solutions address the of
poor driving by combining
data and video analytics
with real-time driver
feedback and coaching,
resulting in reductions in
collision-related costs and
fuel consumption in over
170,000 commercial vehicles.
The Company was founded in
1988.</t>
  </si>
  <si>
    <t xml:space="preserve">7513
7376</t>
  </si>
  <si>
    <t xml:space="preserve">Ryder System Inc
GTCR LLC</t>
  </si>
  <si>
    <t xml:space="preserve">7513
6799</t>
  </si>
  <si>
    <t xml:space="preserve">RYDER SYSTEM INC/LYTX INC-STRATEGIC ALLIANCE</t>
  </si>
  <si>
    <t xml:space="preserve">Ryder System Inc and Lytx Inc planned to form a strategic alliance in
United States for the implementation of Lytxs flagship product, DriveCam,
into 4,400 Ryder vehicles supporting its Supply Chain Solutions (SCS) and
Dedicated Transportation Solutions (DTS) business divisions.</t>
  </si>
  <si>
    <t xml:space="preserve">783549
3E6351</t>
  </si>
  <si>
    <t xml:space="preserve">TARGET PharmaSolutions Inc
Boehringer Ingelheim Intl</t>
  </si>
  <si>
    <t xml:space="preserve">Data Processing, Hosting, and Related Services
Pharmaceutical Preparation Manufacturing</t>
  </si>
  <si>
    <t xml:space="preserve">TARGET PharmaSolutions Inc,
located in Durham, North
Carolina, is a clinical data
company. It offers solutions
to improve clinical,
medical, and commercial
outcomes. The Company was
founded in February 2015.
Boehringer Ingelheim
International GmbH is a
manufacturer of
pharmaceutical preparation.
It manufactures and
wholesales prescription
pharmaceuticals intended for
final consumption, including
biotech products and
antibiotics, and veterinary
medicines. It also provides
pharmaceutical research and
development services. The
Company was founded in 1885
and is located in Ingelheim
Company was founded in 1885.
am Rhein , Germany.</t>
  </si>
  <si>
    <t xml:space="preserve">7374
2834</t>
  </si>
  <si>
    <t xml:space="preserve">TARGET PharmaSolutions Inc
CH Boehringer Sohn AG &amp; Co KG</t>
  </si>
  <si>
    <t xml:space="preserve">TARGET PHARMASOLUTIONS INC/BOEHRINGER INGELHEIM-STRATEGIC ALLIANCE</t>
  </si>
  <si>
    <t xml:space="preserve">TARGET PharmaSolutions Inc and Boehringer Ingelheim International GmbH
formed a strategic alliance in United States to progress NASH Research.
TARGET-NASH is a longitudinal observational study that evaluates patients
with nonalcoholic fatty liver disease (NAFLD) or nonalcoholic
steatohepatitis (NASH).</t>
  </si>
  <si>
    <t xml:space="preserve">9F4346
09689T</t>
  </si>
  <si>
    <t xml:space="preserve">Takara Bio Inc
Kyushu University</t>
  </si>
  <si>
    <t xml:space="preserve">Pvd biotech dvlp svcs
University</t>
  </si>
  <si>
    <t xml:space="preserve">Takara Bio Inc, based in
Shiga, Japan, is engaged in
provide biotech development
services. The Company has
three business segments. The
Genetic Engineering Research
segment is involved in the
research and development of
biotechnology; the
manufacture of research
reagents; the sale,
maintenance and repair of
physics and chemistry
equipment, such as reaction
temperature conversion
equipment, mass
spectroscopes and polymerase
chain reaction (PCR)
equipment, as well as the
provision of other
contracted research
services. The Genetic
Medicine segment is involved
in the research and
development of new drugs;
the provision of gene
therapy methods using retro
nectin; the clinical
development of
thymus-derived cell receptor
(TCR) gene-based treatment,
as well as the cell medical
care-related business, among
others. The Medical Food
segment is involved in the
development and sale of
health food materials, and
the research of cultivation
methods of mushrooms. The
company was founded in 2002.
University</t>
  </si>
  <si>
    <t xml:space="preserve">8071
8221</t>
  </si>
  <si>
    <t xml:space="preserve">Takara Holdings Inc
Kyushu University</t>
  </si>
  <si>
    <t xml:space="preserve">2084
8221</t>
  </si>
  <si>
    <t xml:space="preserve">TAKARA BIO INC/KYUSHU UNIVERSITY-STRATEGIC ALLIANCE</t>
  </si>
  <si>
    <t xml:space="preserve">Takara Bio Inc and Kyushu University formed a strategic alliance. The
purpose of startegic alliance is for a new iPS cell production technology
owned by Kyushu University, using the measles virus vector, a novel gene
transfer vector, under which Takara Bio is granted an exclusive global
license.</t>
  </si>
  <si>
    <t xml:space="preserve">87140T
50158P</t>
  </si>
  <si>
    <t xml:space="preserve">Qb3
Science Exchange Inc</t>
  </si>
  <si>
    <t xml:space="preserve">Research and Development in The Physical, Engineering and Lifesciences (Except Biotechnology)
Research and Development in Biotechnology</t>
  </si>
  <si>
    <t xml:space="preserve">Qb3 is a provider of
research and development
services. The Company was
founded in 1970 and is
located in San Francisco,
California.
Science Exchange Inc is a
provider of biotechnology
research and development
services. The Company is
located in Palo Alto,
California.</t>
  </si>
  <si>
    <t xml:space="preserve">QB3/SCIENCE EXCHANGE INC-STRATEGIC ALLIANCE</t>
  </si>
  <si>
    <t xml:space="preserve">Qb3 and Science Exchange Inc formed a strategic alliance. The purpose of
strategic alliance were for innovation and entrepreneurship for life
sciences.</t>
  </si>
  <si>
    <t xml:space="preserve">2J3895
4E7689</t>
  </si>
  <si>
    <t xml:space="preserve">Tweed Inc
Dna Hldg Llc</t>
  </si>
  <si>
    <t xml:space="preserve">Medicinal and Botanical Manufacturing
Miscellaneous Financial Investment Activities</t>
  </si>
  <si>
    <t xml:space="preserve">Tweed Inc, headquartered in
Smith Falls, Ontario,
manufactures and wholesales
medical marijuana for
medical purposes.
DNA Holding LLC, located in
Bloomingdale, Illinois, is a
regional office.</t>
  </si>
  <si>
    <t xml:space="preserve">Canopy Growth Corp
Dna Hldg Llc</t>
  </si>
  <si>
    <t xml:space="preserve">TWEED INC/DNA HOLDING LLC-STRATEGIC ALLIANCE</t>
  </si>
  <si>
    <t xml:space="preserve">Tweed Inc and DNA Holding LLC formed a strategic alliance to bring the best
possible cannabis to Canada.</t>
  </si>
  <si>
    <t xml:space="preserve">8A2321
2H5738</t>
  </si>
  <si>
    <t xml:space="preserve">TEAM Industries Inc
Fallbrook Technologies Inc</t>
  </si>
  <si>
    <t xml:space="preserve">Mnfr power-train,chassis
Develops and manufactures transmission systems</t>
  </si>
  <si>
    <t xml:space="preserve">TEAM Industries Inc, located
in Bagley, Minnesota, is a
manufacturer of motor
vehicle bodies. The Company
was founded in 1967.
Fallbrook Technologies Inc
develops and manufactures
transmission systems. The
company provides NuVinci
technology, a traction-based
continuously variable
transmission (CVT) applicable
to mechanical devices that
have a transmission or benefit
from speed or torque
variation; offers NuVinci
Harmony, an automatic shifting
system for use with the
bicycle CVT; and holds various
patents and pending
applications worldwide. It
also provides N330f, a rental
and commercial grade bicycle
groupset. The Companys NuVinci
continuously variable
planetary (CVP) technology is
applicable to various machines
that use transmissions, such
as bicycles, light electrical
vehicles, automobiles,
agricultural equipment, and
wind turbines. Its technology
is used in on-and off-road
vehicles, accessory drives,
industrial, and cycling
applications. The Company was
founded in December 2000 and
is located in Cedar Park,
Texas.</t>
  </si>
  <si>
    <t xml:space="preserve">MN
TX</t>
  </si>
  <si>
    <t xml:space="preserve">TEAM INDUSTRIES INC/FALLBROOK TECHNOLOGIES INC-STRATEGIC ALLIANCE</t>
  </si>
  <si>
    <t xml:space="preserve">TEAM Industries Inc and Fallbrook Technologies Inc formed a strategic
alliance for TEAM Industries Inc to use NuVinci CVP technology in North
America and Europe in electric and gasoline light vehicle applications.
TEAM is also working with Fallbrook to provide a source for NuVinci
transmissions in other applications.</t>
  </si>
  <si>
    <t xml:space="preserve">Automotive Services
Modernization Services
Research &amp; Development Services</t>
  </si>
  <si>
    <t xml:space="preserve">87798N
30648K</t>
  </si>
  <si>
    <t xml:space="preserve">De La Rue PLC
Opalux</t>
  </si>
  <si>
    <t xml:space="preserve">Pvd coml sec printing svcs
Electronic Computer Manufacturing</t>
  </si>
  <si>
    <t xml:space="preserve">De La Rue PLC, headquartered
in Basingstoke, UK, provides
commercial security printing
and papermaking services,
including 150 national
currencies and a range of
security documents such as
travelers' checks and
vouchers. It also provides
cash handling equipment and
software solutions to banks
and retailers worldwide,
helping them to reduce the
cost of handling cash. The
Company was founded in 1813.
Opalux Inc is a manufacturer
of electronic computers. The
Company is located in Toronto,
Canada.</t>
  </si>
  <si>
    <t xml:space="preserve">2754
3571</t>
  </si>
  <si>
    <t xml:space="preserve">DE LA RUE PLC/OPALUX INC-STRATEGIC ALLIANCE</t>
  </si>
  <si>
    <t xml:space="preserve">De La Rue PLC and Opalux Inc formed a strategic alliance to incorporate
joint product development and related sales execution on a global basis.</t>
  </si>
  <si>
    <t xml:space="preserve">Research &amp; Development Services
Supply Services
Computer Integrated Systems Svcs</t>
  </si>
  <si>
    <t xml:space="preserve">241127
9F4614</t>
  </si>
  <si>
    <t xml:space="preserve">Incyte Corp
MacroGenics Inc</t>
  </si>
  <si>
    <t xml:space="preserve">Incyte Corp is a
manufacturer of
pharmaceutical preparation.
The Company was founded in
1991 and is located in
Wilmington, Delaware. Incyte
is a global
biopharmaceutical company
that investment in strong
science and the relentless
pursuit of R&amp;D excellence
can translate into new
solutions that can
positively affect patients
lives.
MacroGenics Inc, located in
Rockville, Maryland, is a
biopharmaceutical company
focused on discovering and
developing innovative
monoclonal antibody-based
therapeutics for the
treatment of cancer and
autoimmune diseases. The
company was founded in 2000.</t>
  </si>
  <si>
    <t xml:space="preserve">INCYTE CORP/MACROGENICS INC-STRATEGIC ALLIANCE</t>
  </si>
  <si>
    <t xml:space="preserve">Incyte Corp and MacroGenics Inc formed a strategic alliance. The purpose of
the strategic alliance was for the development and commercialization of
MGA012.</t>
  </si>
  <si>
    <t xml:space="preserve">45337C
556099</t>
  </si>
  <si>
    <t xml:space="preserve">SHARC Intl Sys Inc
Envi Tech Solutions Pty Ltd</t>
  </si>
  <si>
    <t xml:space="preserve">Other Waste Collection
Instrument Manufacturing For Measuring and Testing Electricity and Electrical Signals</t>
  </si>
  <si>
    <t xml:space="preserve">SHARC International Systems
Inc, located in Port
Coquitlam, Canada, is a
renewable energy company
focused on recycling thermal
energy from waste water in
order to provide water
heating and space
conditioning. The Company
was founded in February
2011.
Environmental Technology
Solutions Pty Ltd, located
in Canberra, Australia, is a
manufacturer of electrical
signals measuring and
testing instruments. It
designs and manufactures
systems and technology
solutions for combined heat
and power, waste heat
recovery, waste-to-energy,
hybrid systems and renewable
technologies.</t>
  </si>
  <si>
    <t xml:space="preserve">4953
3825</t>
  </si>
  <si>
    <t xml:space="preserve">SHARC INTERNATIONAL SYSTEMS INC/ENVIRONMENTAL TECHNOLOGY SOLUTIONS PTY
LTD-STRATEGIC ALLIANCE</t>
  </si>
  <si>
    <t xml:space="preserve">SHARC International Systems Inc (SHARC) and Environmental Technology
Solutions Pty Ltd (ETS) formed a strategic alliance to grant ETS the
exclusive license rights to commercialize PIRANHA and SHARC wastewater heat
recovery systems in Australia and New Zealand. In return, SHARC will
receive royalties and an undisclosed payment on the manufacturing of
PIRANHA and SHARC systems.</t>
  </si>
  <si>
    <t xml:space="preserve">81948A
9E8249</t>
  </si>
  <si>
    <t xml:space="preserve">Renovo
Inrix Inc</t>
  </si>
  <si>
    <t xml:space="preserve">General Automotive Repair
Pvd real time,traffic info svc</t>
  </si>
  <si>
    <t xml:space="preserve">Renovo is a provider of
automotive repair services.
The Company is located in
California.
Inrix Inc is an internet
service provider. The company
was founded in 2005 and is
located in Kirkland,
Washington.</t>
  </si>
  <si>
    <t xml:space="preserve">7538
7375</t>
  </si>
  <si>
    <t xml:space="preserve">RENOVO/INRIX INC-STRATEGIC ALLIANCE</t>
  </si>
  <si>
    <t xml:space="preserve">Renovo and Inrix Inc formed a strategic alliance to draw new insights from
highly automated vehicle (HAV) data and integrate INRIX OpenCar with AWare,
Renovos automated mobility operating system by leveragin INRIX analytic
tools and integrating INRIX OpenCar.</t>
  </si>
  <si>
    <t xml:space="preserve">9F5415
46281C</t>
  </si>
  <si>
    <t xml:space="preserve">Insphero AG
Charles River Labs Intl Inc</t>
  </si>
  <si>
    <t xml:space="preserve">Insphero AG is a
manufacturer of
pharmaceutical preparation.
The Company provides
organotypic biological
microtissues for biomimetic
drug testing. It uses a
cell-culture technology to
reform three dimensional
(3D) micro-tissues from
single cells, including cell
lines, primary cells, stem
cells and stem-cell derived
cells. The Company's
microtissues are
scaffold-free and do not
rely on a bioartifical
matrix for reformation. The
Company provides
microtissues for oncology,
3D microtissues derived from
liver, pancreas, tumor,
heart, brain and skin;
custom-made microtissues; as
well as GravityPLUS platform
for 3D cell culture. The
Company collaborates with
more than ten global
pharmaceutical and cosmetics
companies to implement its
patented microtissue
technology in the customers
development work flow. The
Company was founded in March
2009 and is located in
Zuerich, Switzerland.
Charles River Laboratories
International Inc, located
in Wilmington,
Massachusetts, provides
biotechnology research and
development services. It
also has offices in North
America, Europe and Asia.
The Company was founded in
1947.</t>
  </si>
  <si>
    <t xml:space="preserve">INSPHERO AG/CHARLES RIVER LABORATORIES INTERNATIONAL INC-STRATEGIC
ALLIANCE</t>
  </si>
  <si>
    <t xml:space="preserve">Insphero AG and Charles River Laboratories International Inc formed a
strategic alliance. The purpose of strategic alliance is to enable InSphero
and Charles River Labs to use PDX tumors for the development of 3D InSight
PDX Microtissues, expansion of in-vitro oncology services.</t>
  </si>
  <si>
    <t xml:space="preserve">3H4542
159864</t>
  </si>
  <si>
    <t xml:space="preserve">Vilacto Bio Inc
Carmen Electra</t>
  </si>
  <si>
    <t xml:space="preserve">Dvlp EMR software
Individual</t>
  </si>
  <si>
    <t xml:space="preserve">Zlato Inc, located in
Kosice, Slovak Republic, is
a developer of electronic
medical record ("EMR")
software for small and
medium sized physician
offices and clinics. It was
incorporated in 2013.
Carmen Electra, located in
Sharonville, United States,
is an individual investor.</t>
  </si>
  <si>
    <t xml:space="preserve">Slovak Rep
United States</t>
  </si>
  <si>
    <t xml:space="preserve">VILACTO BIO INC/CARMEN ELECTRA-STRATEGIC ALLIANCE</t>
  </si>
  <si>
    <t xml:space="preserve">Slovak Rep</t>
  </si>
  <si>
    <t xml:space="preserve">Vilacto Bio Inc and Carmen Electra formed a strategic alliance to develop a
daily use skin cream " Carmen Electra by Vilact".</t>
  </si>
  <si>
    <t xml:space="preserve">2H2010
2H2023</t>
  </si>
  <si>
    <t xml:space="preserve">MDxHealth SA
Unilabs SA</t>
  </si>
  <si>
    <t xml:space="preserve">Pvd molecular diagnostic svcs
Testing Laboratories</t>
  </si>
  <si>
    <t xml:space="preserve">MDxHealth SA, located in
Herstal, Belgium, provides
molecular diagnostic
services. It develops and
commercializes advanced
epigenetic tests for
prostate cancer assessment
and the personalized
treatment of patients. The
Company also has operations
in the Netherlands and
Durham, the United States.
It was founded in 2003.
Unilabs SA, located in
Geneva, Switzerland,
provides medical and
clinical testing services.
Its customers are
physicians, hospitals,
clinics and other health
care providers. The Company
provides services within
clinical biochemistry,
hematology, microbiology,
cellular pathology,
cytogenetics, molecular
genetics, transfusion
medicine, nuclear medicine,
computed tomography,
magnetic resonance imaging,
ultrasound, x-ray and
fluoroscopy, DEXA, clinical
mammography, mammography
screening, teleradiology,
bioanalysis, biomarkers,
routine safety analyses,
project management,
taylor-made study set-up and
study materials, sampling
kit management, courier
management, dry ice supply,
data management and
long-term sample storage.
Its activities are held in
Our activities are held in
Belgium, Denmark, Finland,
France, Italy, Norway,
Portugal, Russia, Spain,
Sweden, Switzerland and the
UK. The Company was founded
in 1987.</t>
  </si>
  <si>
    <t xml:space="preserve">8731
8734</t>
  </si>
  <si>
    <t xml:space="preserve">MDxHealth SA
Apax Partners LLP</t>
  </si>
  <si>
    <t xml:space="preserve">MDXHEALTH SA/UNILABS SA-STRATEGIC ALLIANCE</t>
  </si>
  <si>
    <t xml:space="preserve">MDxHealth SA and Unilabs SA formed a strategic alliance to perform
SelectMDx service testing for all its clinical labs in France, Portugal,
Sweden, Norway, Denmark, Finland, UK, Italy and Switzerland.</t>
  </si>
  <si>
    <t xml:space="preserve">55727V
90477N</t>
  </si>
  <si>
    <t xml:space="preserve">Astellas Pharma Inc
MMV</t>
  </si>
  <si>
    <t xml:space="preserve">Manufactures and wholesales pharmaceutical
Biotechnology company</t>
  </si>
  <si>
    <t xml:space="preserve">Astellas Pharma Inc, located
in Chuo-Ku, Tokyo,
manufactures and wholesales
pharmaceutical. It is
involved in the manufacture
and sale of pharmaceutical
products in Japan, the
United States, Europe,
China, Korea, Taiwan and
other markets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osteoporosis, hypertension,
schizophrenia, rheumatoid
arthritis, atopic dermatitis
and other diseases. The
Company was founded in 1923.
Biotechnology company</t>
  </si>
  <si>
    <t xml:space="preserve">ASTELLAS PHARMA INC/MEDICINES FOR MALARIA VENTURE-STRATEGIC ALLIANCE</t>
  </si>
  <si>
    <t xml:space="preserve">Astellas Pharma Inc and Medicines for Malaria Venture {MMV} formed a
strategic alliance. The purpose of strategic alliance was to Discover
Antimalarial Drugs.</t>
  </si>
  <si>
    <t xml:space="preserve">J03393
58583J</t>
  </si>
  <si>
    <t xml:space="preserve">Boehringer Ingelheim GmbH
Xynomic Pharmaceuticals Inc</t>
  </si>
  <si>
    <t xml:space="preserve">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Xynomic Pharmaceuticals Inc,
headquartered in Dover,
Delaware, is a clinical
stage oncology-focused
biopharmaceutical company.
Its lead drug candidate
Abexinostat has already been
tested on approximately 600
patients worldwide in 18
clinical trials. The Company
was founded in 2016.</t>
  </si>
  <si>
    <t xml:space="preserve">CH Boehringer Sohn AG &amp; Co KG
Xynomic Pharmaceuticals Inc</t>
  </si>
  <si>
    <t xml:space="preserve">BOEHRINGER INGELHEIM GMBH/XYNOMIC PHARMACEUTICALS INC-STRATEGIC ALLIANCE</t>
  </si>
  <si>
    <t xml:space="preserve">Boehringer Ingelheim GmbH and Xynomic Pharmaceuticals Inc formed a
strategic alliance to develop, manufacture and commercialize BI 882370, a
2nd-generation RAF inhibitor globally.</t>
  </si>
  <si>
    <t xml:space="preserve">Licensing Services
Research &amp; Development Services
Retail &amp; Wholesale Services
Health &amp; Medical Services</t>
  </si>
  <si>
    <t xml:space="preserve">09710W
4F1520</t>
  </si>
  <si>
    <t xml:space="preserve">Sumitomo Dainippon Pharma Co
Poxel SA</t>
  </si>
  <si>
    <t xml:space="preserve">Manufacture, wholesale pharma production, chemical
Biological Product (Except Diagnostic) Manufacturing</t>
  </si>
  <si>
    <t xml:space="preserve">Sumitomo Dainippon Pharma Co
Ltd is a manufacturer of
pharmaceutical preparation.
The Company was founded in
May 1897 and is located in
Osaka-Shi Osaka, Japan.
Poxel SA, located in Lyon,
France, is a biotechnology
company. It is specialized in
metabolic diseases and
diabetes. The Company
cooperates with the Laboratory
for Fundamental and Applied
Bioenergetics, Joseph Fourier
University and Department of
Cell Physiology and Metabolism
at the University of Geneva,
Switzerland, among others. It
was founded in 2009.</t>
  </si>
  <si>
    <t xml:space="preserve">Sumitomo Chemical Co Ltd
Poxel SA</t>
  </si>
  <si>
    <t xml:space="preserve">SUMITOMO DAINIPPON PHARMA CO LTD/POXEL SA-STRATEGIC ALLIANCE</t>
  </si>
  <si>
    <t xml:space="preserve">Sumitomo Dainippon Pharma Co Ltd and Poxel SA formed a strategic alliance
to develop and commercialize of imeglimin, an investigational therapeutic
agent for type 2 diabetes globally.</t>
  </si>
  <si>
    <t xml:space="preserve">J10542
3C0529</t>
  </si>
  <si>
    <t xml:space="preserve">Boehringer Ingelheim Pharma
Sarah Cannon Research</t>
  </si>
  <si>
    <t xml:space="preserve">Mnfr pharmaceuticals
Biotech co</t>
  </si>
  <si>
    <t xml:space="preserve">Boehringer Ingelheim
Pharmaceuticals Inc, located
in Ridgefield, Connecticut,
is a manufacturer of
pharmaceutical preparation.
Sarah Cannon Research
Institute is a manufacturer of
biological products. The
Company is located in
Nashville, Tennessee.</t>
  </si>
  <si>
    <t xml:space="preserve">CT
TN</t>
  </si>
  <si>
    <t xml:space="preserve">CH Boehringer Sohn AG &amp; Co KG
Sarah Cannon Research</t>
  </si>
  <si>
    <t xml:space="preserve">BOEHRINGER INGELHEIM/SARAH CANNON RESEARCH INSTITUTE-STRATEGIC ALLIANCE</t>
  </si>
  <si>
    <t xml:space="preserve">Boehringer Ingelheim Pharmaceuticals Inc and Sarah Cannon Research
Institute formed a strategic alliance to bring innovative treatments to
cancer patients by developing novel immuno-oncology therapies in the United
States.</t>
  </si>
  <si>
    <t xml:space="preserve">09689C
80295T</t>
  </si>
  <si>
    <t xml:space="preserve">Shandong Lukang Pharm Co Ltd
Undisclosed JV Partner</t>
  </si>
  <si>
    <t xml:space="preserve">Mnfr,whl antibiotics
Investment company</t>
  </si>
  <si>
    <t xml:space="preserve">Shandong Lukang
Pharmaceutical Co Ltd
located in Jining, China is
a manufacturer of
pharmaceutical preparation.
The Company was founded in
February 1993.
Investment company</t>
  </si>
  <si>
    <t xml:space="preserve">SHANDONG LUKANG PHARMACEUTICAL/UNDISCLOSED PARTNER-JOINT VENTURE</t>
  </si>
  <si>
    <t xml:space="preserve">Shandong Lukang Pharmaceutical Co Ltd and Undisclosed Joint Venture Partner
planned to form a 45:55 joint venture to provide medical tech R&amp;D service.
The JV was to be capitalized at CNY 66.7 mil (USD 10.03 million).</t>
  </si>
  <si>
    <t xml:space="preserve">The JV was to be capitalized at CNY 66.7 mil (USD 10.03 million).</t>
  </si>
  <si>
    <t xml:space="preserve">82000H
904JVP</t>
  </si>
  <si>
    <t xml:space="preserve">Titagarh Wagons Ltd
Mer Mec SpA</t>
  </si>
  <si>
    <t xml:space="preserve">Manufacture, wholesale railway wagons
Other Communications Equipment Manufacturing</t>
  </si>
  <si>
    <t xml:space="preserve">Titagarh Wagons Ltd, located
in Kolkata, India,
manufactures and wholesales
railway wagons. It also offers
Bailey Bridges, Heavy Earth
Moving and Mining Equipment,
Steel and SG iron castings of
moderate to complex
configuration etc. The Company
was founded in 1997.
MER MEC SpA is a
manufacturer of
communications equipment.
The Group also provides
railway infrastructure
monitoring and safety
solutions services and
railway infrastructure
maintenance and renewal
works services. The Company
was founded in 1988 and is
located in Monopoli (Bari),
Italy.</t>
  </si>
  <si>
    <t xml:space="preserve">3743
3669</t>
  </si>
  <si>
    <t xml:space="preserve">India
Italy</t>
  </si>
  <si>
    <t xml:space="preserve">TITAGARH WAGONS LTD/MER MEC SPA-JOINT VENTURE</t>
  </si>
  <si>
    <t xml:space="preserve">Titagarh Wagons Ltd and MER MEC SpA planned to form a 50:50 joint venture
to develop and manufacture of diagnostic solutions for signalling and
safety systems for indian railways in India.</t>
  </si>
  <si>
    <t xml:space="preserve">Research &amp; Development Services
Manufacturing Services
Transportation (Rail/Train) Services</t>
  </si>
  <si>
    <t xml:space="preserve">Y8841L
58723L</t>
  </si>
  <si>
    <t xml:space="preserve">Nutritional High Intl Inc
Mt. Baker Greeneries Llc</t>
  </si>
  <si>
    <t xml:space="preserve">Manufactures biological products
Recreational marijuana cannabis producer processor</t>
  </si>
  <si>
    <t xml:space="preserve">Nutritional High
International Inc, located
in Toronto, Canada, is a
manufacturer of biological
products. The Company was
founded in July 2004.
Mt. Baker Greeneries LLC,
located in Bellingham,
Washington, is a drugs
wholesaler.</t>
  </si>
  <si>
    <t xml:space="preserve">NUTRITIONAL HIGH INTERNATIONAL INC/MT. BAKER GREENERIES LLC-STRATEGIC
ALLIANCE</t>
  </si>
  <si>
    <t xml:space="preserve">Nutritional High International Inc and Mt. Baker Greeneries LLC formed a
strategic alliance to penetrate the Washington medical and adult-use
cannabis market.</t>
  </si>
  <si>
    <t xml:space="preserve">670684
0H0825</t>
  </si>
  <si>
    <t xml:space="preserve">Cyrano Therapeutics Inc
Newsummit Biopharma Co Inc</t>
  </si>
  <si>
    <t xml:space="preserve">Cyrano Therapeutics Inc,
located in Columbia,
Washington, is a
manufacturer of
pharmaceutical preparation.
The Company was founded in
2014.
Newsummit Biopharma Co Inc,
located in China, manufactures
and wholesales prescription
pharmaceuticals intended for
final consumption, including
biotech products and
antibiotics. The company was
founded in November 2005.</t>
  </si>
  <si>
    <t xml:space="preserve">CYRANO THERAPEUTICS INC/NEWSUMMIT BIOPHARMA CO INC-STRATEGIC ALLIANCE</t>
  </si>
  <si>
    <t xml:space="preserve">Cyrano Therapeutics Inc and Newsummit Biopharma Co Inc formed a strategic
alliance bring its intranasal formulation through the CFDA approval pathway
and to patients in United States.</t>
  </si>
  <si>
    <t xml:space="preserve">9F6775
65256Y</t>
  </si>
  <si>
    <t xml:space="preserve">CannaRoyalty Corp
Aphria Inc</t>
  </si>
  <si>
    <t xml:space="preserve">Provides financial investment services
Pharmaceutical Preparation Manufacturing</t>
  </si>
  <si>
    <t xml:space="preserve">CannaRoyalty Corp, located
in Ottawa, Ontario, provides
financial investment
services in the legal
cannabis sector. It provides
upfront capital to licensed
cannabis businesses in
exchange for a royalty on
their revenues, invests
capital in exchange for
shares or equity, provides
an investment in the form of
a secured convertible debt
where a royalty interest is
not available and where
taking a direct equity stake
may not initially be
advisable, enters into
licensing agreement with
management teams in legal
cannabis jurisdictions in
order to license the use of
own brands. The Company was
founded on August 19, 1985.
Aphria Inc, located in
Leamington, Ontario, is a
medical cannabis company. It
is engaged in the business
of producing, supplying and
selling medical marijuana.
It has over 40 strains of
medical marijuana in
approximately 30,000 square
feet of operating space
across three light and
computer controlled glass
greenhouses. The Company was
founded in June 2011.</t>
  </si>
  <si>
    <t xml:space="preserve">CANNAROYALTY CORP/APHRIA INC-STRATEGIC ALLIANCE</t>
  </si>
  <si>
    <t xml:space="preserve">CannaRoyalty Corp and Aphria Inc formed a strategic alliance.The purpose of
strategic alliance was to Resolve with a Canadian source of high quality
cannabis products, which will be packaged and sold in its proprietary
Breeze Smart Inhaler metered dosing system pods and cartridges.</t>
  </si>
  <si>
    <t xml:space="preserve">1F3585
03765K</t>
  </si>
  <si>
    <t xml:space="preserve">Arcturus Therapeutics Inc
Synthetic Genomics Inc</t>
  </si>
  <si>
    <t xml:space="preserve">Arcturus Therapeutics Inc,
headquartered in San Diego,
California, is a biotechnology
company. It is focused on the
application of RNAi
technologies for the treatment
of disease and improved
quality of life. Its aim is to
develop breakthrough
technology and novel
therapeutics for rare diseases
for which there is no adequate
treatment. It was founded in
2013.
Synthetic Genomics Inc, La
Jolla, California, provides
research and development
services to address global
energy and environmental
issues. It is mainly focused
on bioenergy areas, like
biofuels, biofeeedstocks,
hydrocarbons, and
photosynthetic organisms,
serving the chemical,
pharmaceutical and energy
industries. The company was
founded in 2005.</t>
  </si>
  <si>
    <t xml:space="preserve">ARCTURUS THERAPEUTICS INC/SYNTHETIC GENOMICS INC-STRATEGIC ALLIANCE</t>
  </si>
  <si>
    <t xml:space="preserve">Arcturus Therapeutics Inc and Synthetic Genomics Inc formed a strategic
alliance to develop self-amplifying RNA-based vaccines and therapeutics in
both human and animal health. The collaboration will bring together
Arcturus's LUNAR lipid-mediated delivery platform with Synthetic Genomics'
RNA replicon platform to potentially enable more efficacious and lower cost
vaccines and therapeutics. Under the collaboration, Synthetic Genomics will
have exclusive access to LUNAR technology for vaccines and therapeutics,
using self-amplifying RNA.</t>
  </si>
  <si>
    <t xml:space="preserve">7A8111
87720P</t>
  </si>
  <si>
    <t xml:space="preserve">Moderna Therapeutics
AstraZeneca PLC</t>
  </si>
  <si>
    <t xml:space="preserve">Moderna Therapeutics is a
manufacturer of biological
products. It develops
transformative medicines
based on messenger
ribonucleic acid (mRNA). The
Company was founded in 2010
and is located in Cambridge,
Massachusetts.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</si>
  <si>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MODERNA THERAPEUTICS/ASTRAZENECA PLC-STRATEGIC ALLIANCE</t>
  </si>
  <si>
    <t xml:space="preserve">Moderna Therapeutics and AstraZeneca PLC formed a strategic alliance to
co-dvelop and co-commercialize relaxin mRNA therapeutic for heart failure
in US.</t>
  </si>
  <si>
    <t xml:space="preserve">7E3522
046353</t>
  </si>
  <si>
    <t xml:space="preserve">Exxon Mobil Corp
Renewable Energy Group Inc</t>
  </si>
  <si>
    <t xml:space="preserve">Oil &amp; gas exploration and production company
Petrochemical Manufacturing</t>
  </si>
  <si>
    <t xml:space="preserve">Exxon Mobil Corp is engaged
in the exploration and
production of crude oil and
natural gas, manufacturing
of petroleum products, and
transportation and sale of
crude oil, natural gas and
petroleum products. The
Company also manufactures
and markets petrochemicals,
including olefins,
aromatics, polyethylene and
polypropylene plastics, and
various specialty products.
The Company operates through
the upstream, downstream,
chemical, and corporate and
financing segments. The
upstream segment operates to
explore for and produce
crude oil and natural gas.
The downstream segment
operates to manufacture and
sell petroleum products. The
chemical segment operates to
manufacture and sell
petrochemicals. The
Company's projects include
the Kearl project,
Heidelberg project, the
Point Thomson project, the
Hadrian South project, the
Lucius project, the Barzan
project, the Arkutun-Dagi
project, and the Upper Zakum
750 project, among others.
The Company was founded on
30 November 1999 and is
located in Irving, Texas.
Renewable Energy Group Inc,
headquartered in Ames, Iowa,
manufactures and wholesales
biodiesel products. The
company's brands include
REG-9000 biodiesel and
SoyPOWER. The company was
founded in 2006.</t>
  </si>
  <si>
    <t xml:space="preserve">TX
IA</t>
  </si>
  <si>
    <t xml:space="preserve">EXXON MOBIL CORP/RENEWABLE ENERGY GROUP INC-STRATEGIC ALLIANCE</t>
  </si>
  <si>
    <t xml:space="preserve">Exxon Mobil Corp and Renewable Energy Group Inc formed a strategic
alliance. The purpose of strategic alliance was to convert cellulosic
sugars into biodiesel.</t>
  </si>
  <si>
    <t xml:space="preserve">30231G
75972A</t>
  </si>
  <si>
    <t xml:space="preserve">Sciton Inc
Michelson Diagnostics Ltd</t>
  </si>
  <si>
    <t xml:space="preserve">Other Personal Care Services
Surgical and Medical Instrument Manufacturing</t>
  </si>
  <si>
    <t xml:space="preserve">Sciton Inc is a provider of
personal care services. The
Company was founded in 1970
and is located in the United
States.
Michelson Diagnostics Ltd is
a manufacturer of medical
instruments. The Company was
founded in March 2006 and is
located in the United
Kingdom.</t>
  </si>
  <si>
    <t xml:space="preserve">7299
3841</t>
  </si>
  <si>
    <t xml:space="preserve">SCITON INC/MICHELSON DIAGNOSTICS LTD-STRATEGIC ALLIANCE</t>
  </si>
  <si>
    <t xml:space="preserve">Sciton Inc and Michelson Diagnostics Ltd planned to form a strategic
alliance. The purpose of strategic alliance is to offer new levels of
personalized skin diagnosis and treatments.</t>
  </si>
  <si>
    <t xml:space="preserve">Personal Services
Health &amp; Medical Services
Research &amp; Development Services</t>
  </si>
  <si>
    <t xml:space="preserve">2J2456
2J2452</t>
  </si>
  <si>
    <t xml:space="preserve">Fujitsu Ltd
Lenovo Group Ltd
DBJ</t>
  </si>
  <si>
    <t xml:space="preserve">Computer Systems Design Services
Mnfr,wholesale computer prod
Bank</t>
  </si>
  <si>
    <t xml:space="preserve">Fujitsu Ltd is a provider of
computer systems design
services. The Company was
founded in June 1935 and is
located in Minato-Ku Tokyo,
Japan.
Lenovo Group Ltd, located in
Quarry Bay, Hong Kong,
manufactures and wholesales
computer products. The
Products of the company
include the Thinkpad notebooks
and Thinkcentre desktops as
well as a full line of PC
accessories and options. The
Group also offers mobile
handsets, servers, peripherals
and digital entertainment
products for the China market.
The Group has research centers
in Yamato, Japan; Beijing,
Shanghai and Shenzhen, China;
and Raleigh, North Carolina.
They even provide services
worldwide for their products
with executive offices in
Beijing, China, and Singapore.
The Company was founded in
1984.
Development Bank of Japan
Inc, located in Chiyoda-Ku
Tokyo, Japan, is a bank and
a national finance agency
that provides long-term
financing and other
policy-based schemes to
qualified projects. It also
carries out research
projects related to
economic, social, industrial
and local issues. The
Company was founded in 1951.</t>
  </si>
  <si>
    <t xml:space="preserve">7373
3571
6081</t>
  </si>
  <si>
    <t xml:space="preserve">Japan
Hong Kong
Japan</t>
  </si>
  <si>
    <t xml:space="preserve">FUJITSU LTD/LENOVO GROUP LTD/DEVELOPMENT BANK OF JAPAN INC-JOINT VENTURE</t>
  </si>
  <si>
    <t xml:space="preserve">Fujitsu Ltd, Lenovo Group Ltd and Development Bank of Japan Inc planned to
form joint venture to focus on the research, development, design,
manufacturing and sales of Client Computing Devices (CCD) for the global PC
market.</t>
  </si>
  <si>
    <t xml:space="preserve">359590
526250
24991Y</t>
  </si>
  <si>
    <t xml:space="preserve">iPharma Ltd
Boehringer Ingelheim Intl</t>
  </si>
  <si>
    <t xml:space="preserve">iPharma Ltd is a provider of
biotechnology research and
development services. The
Company is located in Hong
Kong.
Boehringer Ingelheim
International GmbH is a
manufacturer of
pharmaceutical preparation.
It manufactures and
wholesales prescription
pharmaceuticals intended for
final consumption, including
biotech products and
antibiotics, and veterinary
medicines. It also provides
pharmaceutical research and
development services. The
Company was founded in 1885
and is located in Ingelheim
Company was founded in 1885.
am Rhein , Germany.</t>
  </si>
  <si>
    <t xml:space="preserve">Hong Kong
Germany</t>
  </si>
  <si>
    <t xml:space="preserve">iPharma Ltd
CH Boehringer Sohn AG &amp; Co KG</t>
  </si>
  <si>
    <t xml:space="preserve">IPHARMA LTD/BOEHRINGER INGELHEIM-STRATEGIC ALLIANCE</t>
  </si>
  <si>
    <t xml:space="preserve">iPharma Ltd and Boehringer Ingelheim International GmbH formed a strategic
alliance to manufacture, develop and commercialize BI 853520, a focal
adhesion kinase inhibitor (FAKi).</t>
  </si>
  <si>
    <t xml:space="preserve">9F8801
09689T</t>
  </si>
  <si>
    <t xml:space="preserve">Sunresin New Materials Co
Shaanxi Membrane Separation</t>
  </si>
  <si>
    <t xml:space="preserve">All Other Basic Organic Chemical Manufacturing
Sewage Treatment Facilities</t>
  </si>
  <si>
    <t xml:space="preserve">Sunresin New Materials Co Ltd
Xi'an is a manufacturer of
organic chemicals. The Company
was founded in 2001 and is
located in Xi'An, China.
Shaanxi Membrane Separation
Technology Institute Co Ltd
is a sewage treatment
facility operator. The
Company was founded in May
2017 and is located in Xian,
China.</t>
  </si>
  <si>
    <t xml:space="preserve">2899
4952</t>
  </si>
  <si>
    <t xml:space="preserve">SUNRESIN NEW MATERIALS CO LTD, XI'AN/SHAANXI MEMBRANE SEPARATION TECHNOLOGY
INSTITUTE CO LTD-JOINT VENTURE</t>
  </si>
  <si>
    <t xml:space="preserve">Sunresin New Materials Co Ltd, Xi'an and Shaanxi Membrane Separation
Technology Institute Co Ltd planned to form a 75:25 joint venture provide
research &amp; development service on separation material.</t>
  </si>
  <si>
    <t xml:space="preserve">9A4611
9F8309</t>
  </si>
  <si>
    <t xml:space="preserve">Compugen Ltd
Bayer HealthCare LLC</t>
  </si>
  <si>
    <t xml:space="preserve">Compugen Ltd is a
manufacturer of biological
products.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 Company was founded in
1993 and is located in
Holon, Israel.
Bayer HealthCare LLC, located
in Tarrytown, New York, is a
biotechnology company focused
on medical care. Its business
is comprised of blood glucose
meters, contrast-enhanced
diagnostic imaging equipment
together with the necessary
contrast agents, and
mechanical systems for
treating constricted or
blocked blood vessels. The
company was founded in 2002.</t>
  </si>
  <si>
    <t xml:space="preserve">COMPUGEN LTD/BAYER HEALTHCARE LLC-STRATEGIC ALLIANCE</t>
  </si>
  <si>
    <t xml:space="preserve">Compugen Ltd and Bayer HealthCare LLC formed a strategic alliance to
develop and produce COM902 for future use in clinical trials.</t>
  </si>
  <si>
    <t xml:space="preserve">M25722
07289V</t>
  </si>
  <si>
    <t xml:space="preserve">Pall Corp
WuXi Biologics Hong Kong Ltd</t>
  </si>
  <si>
    <t xml:space="preserve">Mnfr filters,separations equip
Biological Product (Except Diagnostic) Manufacturing</t>
  </si>
  <si>
    <t xml:space="preserve">Pall Corp, located in Port
Washington, New York,
manufactures fine filters
and other filter
clarification and
separations equipment for
the removal of solid,
liquid, and gaseous
contaminants from a variety
of liquids and gases for the
healthcare, aerospace, and
fluid processing industries.
It also has locations in
Argentina, Australia,
Austria, Belgium, Canada,
France, Germany, Hong Kong,
India, Indonesia, Ireland,
Italy, Japan, Korea,
Malaysia, New Zealand,
Norway, Philippines, Poland,
Russia, Singapore, South
Africa, Spain, Sweden,
Switzerland, Taiwan,
Thailand, the UAE and UK and
Vietnam. It operates through
2 segments: Life Sciences
and Industrial. Its products
are air and gas barrier
filters and bags, capsule
filters, centrifugal
devices, chromatography
products, among many others.
The company was founded in
1957.
WuXi Biologics Hong Kong Ltd
is a manufacturer of
biological products. The
Company is located in Hong
Kong.</t>
  </si>
  <si>
    <t xml:space="preserve">3569
2836</t>
  </si>
  <si>
    <t xml:space="preserve">Danaher Corp
WuXi Biologics Hong Kong Ltd</t>
  </si>
  <si>
    <t xml:space="preserve">PALL CORP/WUXI BIOLOGICS HONG KONG LTD-JOINT VENTURE</t>
  </si>
  <si>
    <t xml:space="preserve">Pall Corp and WuXi Biologics Hong Kong Ltd planned to form a joint venture
to develop full continuous processing for the manufacturing of monoclonal
antibodies.</t>
  </si>
  <si>
    <t xml:space="preserve">696429
9F7717</t>
  </si>
  <si>
    <t xml:space="preserve">Cavium Inc
University of Michigan</t>
  </si>
  <si>
    <t xml:space="preserve">Semiconductor and Related Device Manufacturing
Own,op college,university</t>
  </si>
  <si>
    <t xml:space="preserve">Cavium Inc, located in San
Jose, California, designs,
manufactures, and wholesales
semiconductors processors.
It enables intelligent
processing in networking,
communications, storage, and
security applications. These
include security processors,
secure communication,
network services processors,
and accelerator boards. It
also has design team
locations in Massachusetts,
India, Taiwan, and China.
The Company was founded in
2000
University of Michigan,
located in Ann Arbor,
Michigan, is an owner and
operator of a college and
university that offers
degree programs for
undergraduate and graduate
students.</t>
  </si>
  <si>
    <t xml:space="preserve">CAVIUM INC/UNIVERSITY OF MICHIGAN-STRATEGIC ALLIANCE</t>
  </si>
  <si>
    <t xml:space="preserve">Cavium Inc and University of Michigan formed a strategic alliance to
position U-M as a leader in data-intensive scientific research by creating
a powerful Big Data computing cluster using dual socket servers powered by
Caviums ThunderX ARMv8-A workload optimized processors.</t>
  </si>
  <si>
    <t xml:space="preserve">Research &amp; Development Services
Data Processing Services
Software Development Services</t>
  </si>
  <si>
    <t xml:space="preserve">14964U
91445Q</t>
  </si>
  <si>
    <t xml:space="preserve">Expres2ion Biotechnologies ApS
University of Pennsylvania</t>
  </si>
  <si>
    <t xml:space="preserve">Biological Product (Except Diagnostic) Manufacturing
Own,operate university</t>
  </si>
  <si>
    <t xml:space="preserve">Expres2ion Biotechnologies ApS
is a manufacturer of
biological products. The
Company was founded in 2010
and is located in Hoersholm,
Denmark.
Own and operate university</t>
  </si>
  <si>
    <t xml:space="preserve">ExpreS2ion Biotech Holding AB
University of Pennsylvania</t>
  </si>
  <si>
    <t xml:space="preserve">EXPRES2ION BIOTECHNOLOGIES APS/UNIVERSITY OF PENNSYLVANIA-STRATEGIC
ALLIANCE</t>
  </si>
  <si>
    <t xml:space="preserve">Expres2ion Biotechnologies ApS and University of Pennsylvania formed a
strategic alliance. The purpose of strategic alliance is to conduct
research using ExpreS2ion's proprietary protein expression system,
ExpreS2.</t>
  </si>
  <si>
    <t xml:space="preserve">6F9060
91476C</t>
  </si>
  <si>
    <t xml:space="preserve">MiNA Therapeutics Ltd
Boehringer Ingelheim GmbH</t>
  </si>
  <si>
    <t xml:space="preserve">Provides biotechnology research, development services
Pharmaceutical Preparation Manufacturing</t>
  </si>
  <si>
    <t xml:space="preserve">MiNA Therapeutics Ltd is a
provides biotechnology
research and development
services. The Company was
founded in March 7, 2008 and
is located in London, the
United Kingdom.
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t>
  </si>
  <si>
    <t xml:space="preserve">MiNA Therapeutics Ltd
CH Boehringer Sohn AG &amp; Co KG</t>
  </si>
  <si>
    <t xml:space="preserve">MINA THERAPEUTICS LTD/BOEHRINGER INGELHEIM GMBH-STRATEGIC ALLIANCE</t>
  </si>
  <si>
    <t xml:space="preserve">MiNA Therapeutics Ltd and Boehringer Ingelheim GmbH formed a strategic
alliance to develop novel treatment approaches for fibrotic liver
diseases.</t>
  </si>
  <si>
    <t xml:space="preserve">4F7940
09710W</t>
  </si>
  <si>
    <t xml:space="preserve">Anhui Quanchai Engine Co Ltd
Undisclosed JV Partner</t>
  </si>
  <si>
    <t xml:space="preserve">Mnfr,whl engines
Investment company</t>
  </si>
  <si>
    <t xml:space="preserve">Anhui Quanchai Engine Co Ltd,
located in China, manufactures
and wholesales internal
combustion engines and
fittings. It is also engages
in the development,
manufacture and wholesale of
environmental protection
monitoring apparatus,
equipment, plastic-steel doors
and windows and new-style
building materials. Other
activities include
environmental protection
engineering and wholesale and
retail trading of farming,
forestry, livestock and
fishing machines, metal
materials and rubber products.
The company was founded in
1998.
Investment company</t>
  </si>
  <si>
    <t xml:space="preserve">3519
6799</t>
  </si>
  <si>
    <t xml:space="preserve">ANHUI QUANCHAI ENGINE CO LTD/UNDISCLOSED PARTNER-JOINT VENTURE</t>
  </si>
  <si>
    <t xml:space="preserve">Anhui Quanchai Engine Co Ltd and Undisclosed Joint Venture Partner planned
to form a 75:25 joint venture to provide hydrogen energy research service.
The JV was to be capitalized at CNY 40 mil (USD 6.026 million).</t>
  </si>
  <si>
    <t xml:space="preserve">The JV was to be capitalized at CNY 40 mil (USD 6.026 million).</t>
  </si>
  <si>
    <t xml:space="preserve">74720K
904JVP</t>
  </si>
  <si>
    <t xml:space="preserve">Hengtong Optic-Electric Co Ltd
Undisclosed JV Partner</t>
  </si>
  <si>
    <t xml:space="preserve">Other Communications Equipment Manufacturing
Investment company</t>
  </si>
  <si>
    <t xml:space="preserve">Hengtong Optic-Electric Co
Ltd is a manufacturer and
wholesaler of communications
equipment. The Company was
founded in June 1993 and is
located in Suzhou, China.
Investment company</t>
  </si>
  <si>
    <t xml:space="preserve">3669
6799</t>
  </si>
  <si>
    <t xml:space="preserve">HENGTONG OPTIC-ELECTRIC CO LTD/UNDISCLOSED PARTNER-JOINT VENTURE</t>
  </si>
  <si>
    <t xml:space="preserve">Hengtong Optic-Electric Co Ltd and Undisclosed Joint Venture Partner
planned to form a 70:30 joint venture to engage in terahertz technology in
Jiangsu, China. The JV was to be capitalized at CNY 30 mil (USD 4.519
million).</t>
  </si>
  <si>
    <t xml:space="preserve">The JV was to be capitalized at CNY 30 mil (USD 4.519 million).</t>
  </si>
  <si>
    <t xml:space="preserve">42563V
904JVP</t>
  </si>
  <si>
    <t xml:space="preserve">Screen Holdings Co Ltd
Lot-Quantumdesign Gmbh</t>
  </si>
  <si>
    <t xml:space="preserve">Semiconductor Machinery Manufacturing
Research and Development in The Physical, Engineering and Lifesciences (Except Biotechnology)</t>
  </si>
  <si>
    <t xml:space="preserve">SCREEN Holdings Co Ltd,
located in Kyoto, Japan, is
a holding company mainly
engaged in the manufacture
and sale of semiconductor
equipment. The Company
operates in four business
segments. The Semiconductor
Equipment (SE) segment is
engaged in the development,
manufacture, sale and
maintenance of semiconductor
manufacturing equipment. The
Flat Panel Display (FPD)
Equipment (FE) segment
provides FPD manufacturing
equipment. The Media and
Precision Technology (MP)
segment is engaged in the
development, manufacture,
sale and maintenance of
printing related equipment
and printed circuit board
related machinery. The
Others segment is involved
in the development of
software, the planning and
production of prints, as
well as the production and
sale of image materials. The
company was founded in 1943.
Lot-Quantumdesign GmbH is a
provider of research and
development services. The
Company is located in
Germany.</t>
  </si>
  <si>
    <t xml:space="preserve">3559
3721</t>
  </si>
  <si>
    <t xml:space="preserve">SCREEN HOLDINGS CO LTD/LOT-QUANTUMDESIGN GMBH-STRATEGIC ALLIANCE</t>
  </si>
  <si>
    <t xml:space="preserve">Screen Holdings Co Ltd and Lot-Quantumdesign GmbH formed a strategic
alliance. The purpose of strategic alliance is to help LOT to bring
SCREEN's innovative Cell3iMager series to the European market. The devices
provide a comprehensive support system for use in drug discovery and
development, as well as cellular quality control.</t>
  </si>
  <si>
    <t xml:space="preserve">5C7756
2J1396</t>
  </si>
  <si>
    <t xml:space="preserve">Creso Pharma Ltd
LGC Capital Ltd</t>
  </si>
  <si>
    <t xml:space="preserve">Creso Pharma Ltd, located in
Barangaroo, Sydney,
Australia, is engaged in
developing cannabis and
hemp-derived
therapeutic-grade
Nutraceuticals and Medical
Cannabis products with a
range of applications in
both human and animal
health. The Company's
principal activity is to
develop, register and
commercialize
pharmaceutical-grade
cannabis and hemp-based
nutraceutical products and
treatments. The Company's
segments include
Hemp-Industries s.r.o.
(Hemp-Industries), which
includes hemp-growing
operations, outsourced
cannabidiol (CBD) extraction
and CBD product sales
activities; Creso Pharma
Switzerland GmbH
(Switzerland), which
includes the development and
commercialization of its
therapeutic products, and
Creso Pharma Limited
(Creso), which includes the
Company's corporate
administration. The Company
primarily offers human
health and animal health
products, and hemp-derived
extracts, oils and proteins.
The Company was founded in
November 2015.
LGC Capital Ltd, located in
Montreal, Canada, is a
cannabis investment firm. It
builds vertically integrated
system of interconnected
legal cannabis companies
with cultivation, processing
and distribution in
Australia, Jamaica,
Switzerland, Italy and
Canada serving domestic and
export markets. The Company
was founded on July 9, 2004.</t>
  </si>
  <si>
    <t xml:space="preserve">CRESO PHARMA LTD/LGC CAPITAL LTD-STRATEGIC ALLIANCE</t>
  </si>
  <si>
    <t xml:space="preserve">Creso Pharma Ltd and LGC Capital Ltd signed a letter of intent to form an
alliance to create a vertically-integrated cannabis operation with a global
footprint spanning cultivation, IP generation, innovative product
development and commercialisation, developing sales and distribution of
products globally.</t>
  </si>
  <si>
    <t xml:space="preserve">Health &amp; Medical Services
Research &amp; Development Services
Retail &amp; Wholesale Services
Supply Services</t>
  </si>
  <si>
    <t xml:space="preserve">8E8721
50189Q</t>
  </si>
  <si>
    <t xml:space="preserve">Titan Hemp Global Llc
Green Growers Tech Alliance</t>
  </si>
  <si>
    <t xml:space="preserve">Broadwoven Fabric Mills
Lessors Of Other Real Estate Property</t>
  </si>
  <si>
    <t xml:space="preserve">Titan Hemp Global LLCThe
Company was founded in
January 2017 and is located
in Washington.
Green Growers Technology
Alliance The Company is
located in New York.</t>
  </si>
  <si>
    <t xml:space="preserve">2299
6515</t>
  </si>
  <si>
    <t xml:space="preserve">TITAN HEMP GLOBAL LLC/GREEN GROWERS TECHNOLOGY ALLIANCE-JOINT VENTURE</t>
  </si>
  <si>
    <t xml:space="preserve">Titan Hemp Global LLC and Green Growers Technology Alliance formed joint
venture. The purpose of joint venture is to focus on developing plant-based
materials for a wide range of applications and manufacturing.</t>
  </si>
  <si>
    <t xml:space="preserve">Research &amp; Development Services
Manufacturing Services
Software Development Services</t>
  </si>
  <si>
    <t xml:space="preserve">2J2105
2J2107</t>
  </si>
  <si>
    <t xml:space="preserve">Cabrera Capital Markets LLC
Ata Yatirim Menkul Kiymetler</t>
  </si>
  <si>
    <t xml:space="preserve">Securities Brokerage
Provide securities brokerage services</t>
  </si>
  <si>
    <t xml:space="preserve">Cabrera Capital Markets LLC
is a securities brokerage
company. The Company is
located in Chicago,
Illinois.
Ata Yatirim Menkul Kiymetler
AS, located in Istanbul,
Turkey, provides securities
brokerage services. It serves
a wide range of retail and
institutional clients, both
domestic and international.
The company is also
responsible for structuring
and executing a wide range of
complex domestic and
international transactions,
including mergers,
divestments, acquisitions,
joint ventures, corporate
restructurings, shareholder
relations, recapitalizations
and spin-offs. It also
provides investment management
services. The company was
established in 1991.</t>
  </si>
  <si>
    <t xml:space="preserve">6211
6211</t>
  </si>
  <si>
    <t xml:space="preserve">CABRERA CAPITAL MARKETS LLC/ATA YATIRIM MENKUL KIYMETLER AS-STRATEGIC
ALLIANCE</t>
  </si>
  <si>
    <t xml:space="preserve">Foreign
Illinois</t>
  </si>
  <si>
    <t xml:space="preserve">Cabrera Capital Markets LLC and Ata Yatirim Menkul Kiymetler AS planned to
form a strategic alliance. The purpose of strategic alliance is to Bring
Independent Institutional Turkish Research to US Investors.</t>
  </si>
  <si>
    <t xml:space="preserve">13284H
04653M</t>
  </si>
  <si>
    <t xml:space="preserve">UE LifeSciences Inc
GE Healthcare</t>
  </si>
  <si>
    <t xml:space="preserve">Surgical Appliance and Supplies Manufacturing
Manufacture diagnostic imaging equipment</t>
  </si>
  <si>
    <t xml:space="preserve">UE LifeSciences Inc. is a
United States-based medical
device manufacturer. The
Company is engaged in
designing, developing and
commercializing non-invasive
breast cancer screening
solutions for women of all
ages and demographics. The
Company's NoTouch BreastScan
device is a contactless
breast-imaging tool used for
diagnostic screening for the
detection of breast cancer.
The Company develops iBE
(Intelligent Breast Exam),
which is a hand-held tactile
sensor technology for
early-stage breast cancer
detection.
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t>
  </si>
  <si>
    <t xml:space="preserve">PA
WI</t>
  </si>
  <si>
    <t xml:space="preserve">UE LifeSciences Inc
General Electric Co</t>
  </si>
  <si>
    <t xml:space="preserve">UE LIFESCIENCES INC/GE HEALTHCARE-STRATEGIC ALLIANCE</t>
  </si>
  <si>
    <t xml:space="preserve">UE LifeSciences Inc and GE Healthcare formed a strategic alliance to
provide design and develop mobile health innovations, and GE Healthcare's
sales, marketing and distribution expertise in countries across South Asia
and Africa.</t>
  </si>
  <si>
    <t xml:space="preserve">Supply Services
Marketing Services
Research &amp; Development Services
Health &amp; Medical Services</t>
  </si>
  <si>
    <t xml:space="preserve">9F8788
36069Q</t>
  </si>
  <si>
    <t xml:space="preserve">Pentax Medical Co
Amer Speech-Language-Hearing</t>
  </si>
  <si>
    <t xml:space="preserve">Mnfr video endoscopy equip
Miscellaneous Intermediation</t>
  </si>
  <si>
    <t xml:space="preserve">Pentax Medical Co, located
in Montvale, New Jersey,
manufactures video and fiber
endoscope equipment and
computer technology and
imaging products.
American
Speech-Language-Hearing
Association is an
intermediating company. The
Company was founded in
January 1947 and is located
in Rockville, Maryland.</t>
  </si>
  <si>
    <t xml:space="preserve">HOYA Corp
Amer Speech-Language-Hearing</t>
  </si>
  <si>
    <t xml:space="preserve">PENTAX MEDICAL CO/AMERICAN SPEECH-LANGUAGE-HEARING ASSOCIATION-STRATEGIC
ALLIANCE</t>
  </si>
  <si>
    <t xml:space="preserve">Pentax Medical Co and American Speech-Language-Hearing Association formed a
strategic alliance in United States to incorporate a tool used to help
clinicians assess voice problems into a new software module featured in the
company's voice and speech assessment products. The partnership enables
PENTAX Medical and ASHA to develop CAPE-V tool, which allow clinicians to
electronically add data, and store and manage patient files in a secure
digital database.</t>
  </si>
  <si>
    <t xml:space="preserve">70972F
2J1677</t>
  </si>
  <si>
    <t xml:space="preserve">Concurrent Technologies Corp
Univ Of Dayton Research Inst</t>
  </si>
  <si>
    <t xml:space="preserve">Pvd research,dvlp svcs
Research and Development in Biotechnology</t>
  </si>
  <si>
    <t xml:space="preserve">Concurrent Technologies Corp,
located in Johnstown,
Pennsylvania, provides applied
scientific research and
development professional
services specialized in
management and
technology-based solutions to
government and industry. The
company was founded in 1987.
University Of Dayton
Research Institute The
Company is located in
Dayton, Ohio.</t>
  </si>
  <si>
    <t xml:space="preserve">CONCURRENT TECHNOLOGIES CORP/UNIVERSITY OF DAYTON RESEARCH INSTITUTE-JOINT
VENTURE</t>
  </si>
  <si>
    <t xml:space="preserve">Ohio
Pennsylvania</t>
  </si>
  <si>
    <t xml:space="preserve">Concurrent Technologies Corp and University Of Dayton Research Institute
planned to form joint venture. The purpose of joint venture is to improve
the Air Forces energy efficiency and independence.</t>
  </si>
  <si>
    <t xml:space="preserve">20669N
2J0263</t>
  </si>
  <si>
    <t xml:space="preserve">The University of Edinburgh
Crimson Interactive Inc</t>
  </si>
  <si>
    <t xml:space="preserve">Own,op univ
Book Publishers</t>
  </si>
  <si>
    <t xml:space="preserve">The University of Edinburgh,
located in Edinburgh, UK,
owns and operates a
university. The company was
founded in 1582.
Crimson Interactive Inc is a
book publisher. The Company
is located in New York.</t>
  </si>
  <si>
    <t xml:space="preserve">8221
2741</t>
  </si>
  <si>
    <t xml:space="preserve">THE UNIVERSITY OF EDINBURGH/CRIMSON INTERACTIVE INC-STRATEGIC ALLIANCE</t>
  </si>
  <si>
    <t xml:space="preserve">The University of Edinburgh and Crimson Interactive Inc planned to form a
strategic alliance. The purpose of strategic alliance is to Offer
Manuscript Preparation Services.</t>
  </si>
  <si>
    <t xml:space="preserve">28060F
1J8892</t>
  </si>
  <si>
    <t xml:space="preserve">NYX Gaming Group Ltd
Scientific Games Corp</t>
  </si>
  <si>
    <t xml:space="preserve">Develops gaming software solutions
Provides gaming solutions services</t>
  </si>
  <si>
    <t xml:space="preserve">NYX Gaming Group Ltd,
located in Las Vegas,
Nevada, develops gaming
software solutions. It
specializes in player
experience and omni-channel
gaming. The Company was
founded in 1999.
Scientific Games Corp,
headquartered in Las Vegas,
Nevada, provides customized,
end-to-end gaming solutions
services to lottery and
gaming organizations. Its
products and services
include instant lottery
games, lottery gaming
systems, terminals and
services, and internet
applications, as well as
server-based interactive
gaming terminals and
associated gaming Control
systems. The Company was
founded in 1979.</t>
  </si>
  <si>
    <t xml:space="preserve">NYX Gaming Group Ltd
MacAndrews &amp; Forbes Hldg Inc</t>
  </si>
  <si>
    <t xml:space="preserve">NYX GAMING GROUP LTD/SCIENTIFIC GAMES CORP-STRATEGIC ALLIANCE</t>
  </si>
  <si>
    <t xml:space="preserve">New York
Nevada</t>
  </si>
  <si>
    <t xml:space="preserve">NYX Gaming Group Ltd and Scientific Games Corp planned to form a strategic
alliance. The purpose of strategic alliance is for development &amp;
distribution of new sports betting platform in U.S.</t>
  </si>
  <si>
    <t xml:space="preserve">8A3452
3J0123</t>
  </si>
  <si>
    <t xml:space="preserve">Cellecta Inc
ERS Genomics Ltd</t>
  </si>
  <si>
    <t xml:space="preserve">Cellecta Inc is a provider of
biotechnology research and
development services. The
Company is located in
California.
ERS Genomics Ltd is a
manufacturer of biological
products. The Company
provides broad access to the
foundational CRISPR-Cas9
intellectual property. The
Company was founded in 2014
and is located in Dublin,
the Republic of Ireland.</t>
  </si>
  <si>
    <t xml:space="preserve">CELLECTA INC/ERS GENOMICS LTD-STRATEGIC ALLIANCE</t>
  </si>
  <si>
    <t xml:space="preserve">Cellecta Inc and ERS Genomics Ltd formed a strategic alliance to provide
access with genome editing intellectual property for the use in informing
research tools and services Worldwide.</t>
  </si>
  <si>
    <t xml:space="preserve">1H6379
5F0103</t>
  </si>
  <si>
    <t xml:space="preserve">Ab Sciex LLC
Zhejiang Dian Diagnostics Co</t>
  </si>
  <si>
    <t xml:space="preserve">Mnfr,whl spectrometer
Pvd diagnostic svcs</t>
  </si>
  <si>
    <t xml:space="preserve">Applied Biosystems/MDS
Sciex, based in Foster City,
California, manufactures and
wholesales
spectrometer-based products
for use in drug discovery
and development to uncover
the cause of human disease.
Zhejiang Dian Diagnostics Co
Ltd, located in China,
provides third-party medical
diagnostic service platform.
It primarily provides
outsourcing of medical
diagnostic services in
independent medical
laboratories, provides
biochemical luminescence
examination, pathological
diagnosis, immunoassay and
integrated examination for
generalspecialty hospitals,
community sanitary service
centers, township hospitals,
physical examination
centers, and disease
prevention and control
centers. It also involves in
the resale of in-vitro
diagnostic products,
including testing
instruments, in-vitro
diagnostic agents,
consumable materials, and
other in-vitro diagnostic
products and technology
support services. The
Company was founded in
September 2001.</t>
  </si>
  <si>
    <t xml:space="preserve">3826
8011</t>
  </si>
  <si>
    <t xml:space="preserve">Danaher Corp
Zhejiang Dian Diagnostics Co</t>
  </si>
  <si>
    <t xml:space="preserve">3823
8011</t>
  </si>
  <si>
    <t xml:space="preserve">AB SCIEX LLC/ZHEJIANG DIAN DIAGNOSTICS CO LTD-JOINT VENTURE</t>
  </si>
  <si>
    <t xml:space="preserve">AB SCIEX LLC and Zhejiang Dian Diagnostics Co Ltd formed joint venture to
develop, register, manufacture, and commercialize Class I, II and III in
vitro diagnostic reagents for the SCIEX Triple Quad 4500MD LC-MS/MS system
in Hangzhou, China.</t>
  </si>
  <si>
    <t xml:space="preserve">03796E
73276X</t>
  </si>
  <si>
    <t xml:space="preserve">Zymeworks Inc
Janssen Biotech Inc</t>
  </si>
  <si>
    <t xml:space="preserve">Zymeworks Inc is a provider
of biotechnology research
and development services.
The company was founded in
2003 and is located in
Vancouver, Canada.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</si>
  <si>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Zymeworks Inc
J&amp;J</t>
  </si>
  <si>
    <t xml:space="preserve">ZYMEWORKS INC/JANSSEN BIOTECH INC-STRATEGIC ALLIANCE</t>
  </si>
  <si>
    <t xml:space="preserve">Zymeworks Inc and Janssen Biotech Inc formed a strategic alliance was to
Zymeworks will provide Janssen with a worldwide, royalty-bearing license to
research, develop, and commercialize up to six bispecific antibodies
directed to Janssen therapeutic targets using Zymeworks Azymetric and EFECT
platforms.</t>
  </si>
  <si>
    <t xml:space="preserve">98985W
44300K</t>
  </si>
  <si>
    <t xml:space="preserve">Excision Biotherapeutics Inc
Univ Of California Berkeley</t>
  </si>
  <si>
    <t xml:space="preserve">Excision BioTherapeutics Inc
is United States-based life
science company. The Company
is focused the development
and commercialization of
advanced gene editing
therapeutics for the
treatment and eradication of
life threatening disease
caused by neurotropic
viruses (viral infections).
University Of California
Berkeley is a college
operator. The Company is
located in Berkeley,
California.</t>
  </si>
  <si>
    <t xml:space="preserve">EXCISION BIOTHERAPEUTICS INC/UNIVERSITY OF CALIFORNIA BERKELEY-STRATEGIC
ALLIANCE</t>
  </si>
  <si>
    <t xml:space="preserve">Excision Biotherapeutics Inc and University Of California Berkeley formed a
strategic alliance in United States to provide exclusive license for new
CRISPR-based gene editing technologies. This license enables Excision the
right to sub-license gene editing technologies to others, such as
pharmaceutical companies, providing them with new research alternatives to
develop medicines or treatments.</t>
  </si>
  <si>
    <t xml:space="preserve">2J0465
2J0462</t>
  </si>
  <si>
    <t xml:space="preserve">Synopsys Inc
French Alternative Energies</t>
  </si>
  <si>
    <t xml:space="preserve">Develops electronic design automation software
Provide research,dvlp svcs</t>
  </si>
  <si>
    <t xml:space="preserve">Synopsys Inc, headquartered
in Mountain View,
California, develops
electronic design automation
(EDA) software for the
global electronics market.
It offers technology-leading
semiconductor design and
verification software
platforms and integrated
circuit manufacturing
software products to enable
the development and
production of complex
systems-on-chips. It
provides a broad portfolio
of consulting and design
services covering all
critical phases of the
system-on-chip (SoC)
development process. It also
provides intellectual
property and design services
to simplify the design
process. It offers a range
of professional services to
help customers, improve
their internal design
methodologies and design
services ranging from
specialized assistance to
turnkey design. It operates
in the United States,
Europe, Japan and Asia
Pacific and other countries.
The Company was founded in
1986.
French Alternative Energies
and Atomic Energy Commission
is a provider of research and
development services. The
company is located in France.</t>
  </si>
  <si>
    <t xml:space="preserve">SYNOPSYS INC/FRENCH ALTERNATIVE ENERGIES AND ATOMIC ENERGY
COMMISSION-STRATEGIC ALLIANCE</t>
  </si>
  <si>
    <t xml:space="preserve">Synopsys Inc and French Alternative Energies and Atomic Energy Commission
formed a strategic alliance.Enables Advancement of ZeBu Server as the
Leading SoC Emulation Tool for the Automotive Industry</t>
  </si>
  <si>
    <t xml:space="preserve">871607
9E8025</t>
  </si>
  <si>
    <t xml:space="preserve">Translational Software Inc
Inova Genomics Laboratory</t>
  </si>
  <si>
    <t xml:space="preserve">Software Reproducing
Research and Development in Biotechnology</t>
  </si>
  <si>
    <t xml:space="preserve">Translational Software Inc
is a software publishers.
The Company provides
end-to-end solutions to
support laboratories and
healthcare providers
adopting personalized
medicine. Its powerful PGx
portal transforms genomic
and molecular data into
actionable knowledge,
integrating the best
available clinical decision
support with laboratory and
clinical information systems
to guide therapeutic options
for medication management to
enhance patient care. The
Company was founded in
December 2009 and is located
in Bellevue, Washington.
Inova Genomics Laboratory is
a provider of biotechnology
research and development
services. The Company is
located in Falls Church,
Virginia.</t>
  </si>
  <si>
    <t xml:space="preserve">WA
VA</t>
  </si>
  <si>
    <t xml:space="preserve">TRANSLATIONAL SOFTWARE INC/INOVA GENOMICS LABORATORY-STRATEGIC ALLIANCE</t>
  </si>
  <si>
    <t xml:space="preserve">Translational Software Inc and Inova Genomics Laboratory formed a strategic
alliance in United States to co-develop pediatric pharmacogenomics (PGx)
solutions to help in determining safe and effective medication prescribing
and dosing. The testing panel includes genes which can influence the
metabolism of anti-cancer agents, antidepressants, cardiovascular and
gastrointestinal drugs, certain opioids and more.</t>
  </si>
  <si>
    <t xml:space="preserve">0J1690
2J0469</t>
  </si>
  <si>
    <t xml:space="preserve">Humanyze
Ungrp Ltd</t>
  </si>
  <si>
    <t xml:space="preserve">Custom Computer Programming Services
Other Management Consulting Services</t>
  </si>
  <si>
    <t xml:space="preserve">Humanyze is a provider of
custom computer programming
services. The Company is
located in Boston,
Massachusetts.
Ungroup Ltd is a provider of
management consulting
services. The Company is
located in the United
Kingdom.</t>
  </si>
  <si>
    <t xml:space="preserve">7371
8748</t>
  </si>
  <si>
    <t xml:space="preserve">HUMANYZE/UNGROUP LTD-STRATEGIC ALLIANCE</t>
  </si>
  <si>
    <t xml:space="preserve">Humanyze and Ungroup Ltd formed a strategic alliance. will provide advanced
research on workspace and productivity and direct access to industry
experts through the research platform WORKTECH Academy, and WORKTECH global
conferences offerings in over 20 cities.</t>
  </si>
  <si>
    <t xml:space="preserve">2J0342
2J0351</t>
  </si>
  <si>
    <t xml:space="preserve">Gemalto NV
Huawei Technologies Co Ltd</t>
  </si>
  <si>
    <t xml:space="preserve">Dvlp digital security software
Provide information tech svcs</t>
  </si>
  <si>
    <t xml:space="preserve">Gemalto NV, located in
Amsterdam, Netherlands,
develops digital security
software and solutions. Its
activities range from the
development of software
applications through the
design and production of
secure personal devices,
such as smart cards,
subscriber identity modules
(SIMs), e-passports and
tokens to the deployment of
managed services for its
customers. It specializes in
microprocessor card
applications; mobile
communication; secure
transactions, such as
financial services, pay
television, and healthcare;
transportation; security,
comprising government
programs and identity and
access management; public
telephony, and
point-of-sales terminals.
The Company was founded in
2007.
Huawei Technologies Co Ltd
is a software publisher. The
Company was founded in 1987
and is located in Shenzhen,
China.</t>
  </si>
  <si>
    <t xml:space="preserve">Gemalto NV
Union of Huawei Invest &amp; Hldg</t>
  </si>
  <si>
    <t xml:space="preserve">GEMALTO NV/HUAWEI TECHNOLOGIES CO LTD-STRATEGIC ALLIANCE</t>
  </si>
  <si>
    <t xml:space="preserve">Gemalto NV and Huawei Technologies Co Ltd formed a strategic alliance
around the world to develop the next generation of modules that combine an
extra level of security and consume very low power. By combining the
expertise from both companies, these NB-IoT modules will help manufacturers
reduce the cost and size of their devices, and lengthen the battery life of
the devices to up to ten years.</t>
  </si>
  <si>
    <t xml:space="preserve">Research &amp; Development Services
Software Development Services
Computer Programming Services</t>
  </si>
  <si>
    <t xml:space="preserve">36894P
44334L</t>
  </si>
  <si>
    <t xml:space="preserve">RavenQuest BioMed Inc
McGill University</t>
  </si>
  <si>
    <t xml:space="preserve">Manufactures cannabis products
Own,op college,university</t>
  </si>
  <si>
    <t xml:space="preserve">RavenQuest BioMed Inc,
located in Vancouver,
British Columbia,
manufactures cannabis
products. It is focused on
cannabis production,
management services &amp;
consulting and specialized
research &amp; development. The
Company was founded on
August 25, 1987.
Own and operate college and
university</t>
  </si>
  <si>
    <t xml:space="preserve">RAVENQUEST BIOMED INC/MCGILL UNIVERSITY-STRATEGIC ALLIANCE</t>
  </si>
  <si>
    <t xml:space="preserve">RavenQuest BioMed Inc and McGill University formed a strategic alliance in
Canada to focus on Cannabis Cultivar Recognition &amp; Identification, Cannabis
Plant Stabilization &amp; Cannabis Cultivation and Yield Improvements.</t>
  </si>
  <si>
    <t xml:space="preserve">754387
58052R</t>
  </si>
  <si>
    <t xml:space="preserve">EnviroLeach Technologies Inc
Element Six Ltd</t>
  </si>
  <si>
    <t xml:space="preserve">Testing Laboratories
Mnfr advanced diamond prod</t>
  </si>
  <si>
    <t xml:space="preserve">Enviroleach Technologies Inc
is a testing laboratory. The
Company is located in
Calgary, Canada.
Manufacture advanced diamond
products for optical, thermal,
industrial and medical &amp;
scientific components</t>
  </si>
  <si>
    <t xml:space="preserve">8734
3291</t>
  </si>
  <si>
    <t xml:space="preserve">EnviroLeach Technologies Inc
DB Investments SA</t>
  </si>
  <si>
    <t xml:space="preserve">8734
1499</t>
  </si>
  <si>
    <t xml:space="preserve">ENVIROLEACH TECHNOLOGIES INC/ELEMENT SIX LTD-STRATEGIC ALLIANCE</t>
  </si>
  <si>
    <t xml:space="preserve">EnviroLeach Technologies Inc and Element Six Ltd formed a strategic
alliance around the world to incorporate Element Six's proprietary
synthetic diamond based Diamox technology as part of EnviroLeach's process
for the extraction of precious metals from E-waste.</t>
  </si>
  <si>
    <t xml:space="preserve">29407V
28642C</t>
  </si>
  <si>
    <t xml:space="preserve">James Cook University
NQBP</t>
  </si>
  <si>
    <t xml:space="preserve">Pvd envi,ecological,tech
port authority</t>
  </si>
  <si>
    <t xml:space="preserve">Provide environmental,
ecological and technology
research
North Queensland Bulk Ports
Corporation Limited (NQBP) is
one of Australia's largest
port authorities. It is
responsible in strategic port
planning, port business
development, port
infrastructure development,
environmental management, port
security and safety,
efficiency and maintenance. It
was formed in July 1, 2009.</t>
  </si>
  <si>
    <t xml:space="preserve">8731
4492</t>
  </si>
  <si>
    <t xml:space="preserve">JAMES COOK UNIVERSITY/NORTH QUEENSLAND BULK PORT -STRATEGIC ALLIANCE</t>
  </si>
  <si>
    <t xml:space="preserve">James Cook University and North Queensland Bulk Port Corp{NQBP} formed a
strategic alliance.would deliver a rigorous marine water quality and
habitat program.</t>
  </si>
  <si>
    <t xml:space="preserve">47029H
66176X</t>
  </si>
  <si>
    <t xml:space="preserve">Promore Pharma AB
Transdermal Therapeutic Tech</t>
  </si>
  <si>
    <t xml:space="preserve">Promore Pharma AB is a
manufacturer of
pharmaceutical preparation.
The Company was founded in
2002 and is located in
Solna, Sweden. It is a
biopharmaceutical company
that develops peptide-based
product candidates aimed for
the bioactive wound care
market
Transdermal Therapeutic
Technologies LLC is a
manufacturer of
pharmaceutical preparation.
The Company is located in
New York, New York.</t>
  </si>
  <si>
    <t xml:space="preserve">PROMORE PHARMA AB/TRANSDERMAL THERAPEUTIC TECHNOLOGIES LLC-STRATEGIC
ALLIANCE</t>
  </si>
  <si>
    <t xml:space="preserve">Promore Pharma AB and Transdermal Therapeutic Technologies LLC formed a
strategic alliance around the world for its antimicrobial peptide DPK-060.
Under the terms of the agreement, Promore has granted TTT to develop and
commercialize antimicrobial peptide DPK-060, an anti-infective and patent
protected peptide. The agreement intends to develop the peptide for the
treatment of infectious diseases.</t>
  </si>
  <si>
    <t xml:space="preserve">5F5384
2J1887</t>
  </si>
  <si>
    <t xml:space="preserve">Study Group International Ltd
Ruffalo Noel Levitz LLC</t>
  </si>
  <si>
    <t xml:space="preserve">Pvd educational svcs
Administrative Management and General Management Consulting Services</t>
  </si>
  <si>
    <t xml:space="preserve">Study Group International
Ltd is a provider of
professional and management
development training
services. The Company is
located in Hove, the United
Kingdom.
Ruffalo Noel Levitz LLC,
located in Cedar Rapids,
Iowa, is a provider of
administrative management
and general management
consulting services.</t>
  </si>
  <si>
    <t xml:space="preserve">8299
8742</t>
  </si>
  <si>
    <t xml:space="preserve">CHAMP Private Equity Pty Ltd
Ruffalo Noel Levitz LLC</t>
  </si>
  <si>
    <t xml:space="preserve">6799
8742</t>
  </si>
  <si>
    <t xml:space="preserve">STUDY GROUP INTERNATIONAL LTD/RUFFALO NOEL LEVITZ LLC-STRATEGIC ALLIANCE</t>
  </si>
  <si>
    <t xml:space="preserve">New York
Foreign</t>
  </si>
  <si>
    <t xml:space="preserve">Study Group International Ltd and Ruffalo Noel Levitz LLC planned to form a
strategic alliance to provide partner institutions with enhanced
international support services. This partnership will manifest through
collaborative research and the creation of resources to support
international enrollment and student support for colleges and universities
across North America.</t>
  </si>
  <si>
    <t xml:space="preserve">86408F
6F9941</t>
  </si>
  <si>
    <t xml:space="preserve">Arconic Inc
Airbus SE</t>
  </si>
  <si>
    <t xml:space="preserve">Manufactures, wholesales aluminum products
Aircraft Manufacturing</t>
  </si>
  <si>
    <t xml:space="preserve">Arconic Inc manufactures and
wholesales primary aluminum,
fabricated aluminum,
alumina, aluminum automotive
wheels and aluminum foil and
packaging products. It is
also a holding Company and
serves the aerospace,
automotive, packaging,
building and construction,
commercial transportation
and industrial markets,
bringing design, engineering
and other capabilities to
its customers. In addition
to aluminum products and
components, it also markets
Arconic wheels, fastening
systems, precision and
investment castings and
building systems. The
Company operates through
three segments including
Global Rolled Products,
Engineered Products and
Solutions, and
Transportation and
Construction Solutions. The
Company was founded in
September 1888 and is
located in New York, New
York.
Airbus SE, located in
Toulouse,
France,manufactures and
wholesales aircraft,
missiles and defense systems
for the aerospace and
defense industries. The
Company operates through
three segments: Airbus,
Airbus Helicopters and
Airbus Defence and Space.
The Airbus segment focuses
on the development,
manufacturing, marketing and
sale of commercial jet
aircraft and aircraft
components, as well as on
aircraft conversion and
related services. The Airbus
Helicopters segment
specializes in the
development, manufacturing,
marketing and sale of civil
and military helicopters, as
well as on the provision of
helicopter related services.
The Airbus Defence and Space
segment produces military
combat aircraft and training
aircraft, provides defense
electronics and global
security market solutions,
and manufacturers and
markets missiles.</t>
  </si>
  <si>
    <t xml:space="preserve">3356
3721</t>
  </si>
  <si>
    <t xml:space="preserve">ARCONIC INC/AIRBUS GROUP SE-STRATEGIC ALLIANCE</t>
  </si>
  <si>
    <t xml:space="preserve">Arconic Inc and Airbus Group SE planned to form a strategic alliance around
the world to advance metal 3D printing for aircraft manufacturing.
Together, the companies will develop customized processes and parameters to
produce and qualify large, structural 3D printed components, such as pylon
spars and rib structures, up to approximately 1 meter (3 feet) in length.</t>
  </si>
  <si>
    <t xml:space="preserve">Research &amp; Development Services
Printing &amp; Publishing Services
Manufacturing Services
Automotive Services</t>
  </si>
  <si>
    <t xml:space="preserve">03965L
N0280G</t>
  </si>
  <si>
    <t xml:space="preserve">Janssen Biotech Inc
Ionis Pharmaceuticals Inc</t>
  </si>
  <si>
    <t xml:space="preserve">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
Ionis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t>
  </si>
  <si>
    <t xml:space="preserve">J&amp;J
Ionis Pharmaceuticals Inc</t>
  </si>
  <si>
    <t xml:space="preserve">JANSSEN BIOTECH INC/IONIS PHARMACEUTICALS INC-STRATEGIC ALLIANCE</t>
  </si>
  <si>
    <t xml:space="preserve">Janssen Biotech Inc and Ionis Pharmaceuticals Inc formed a strategic
alliance to license a orally delivered Generation 2.5 antisense drug to
Janssen, who will now assume all global development, regulatory and
commercialization responsibilities for IONIS-JBI2-2.5 for GI diseases.</t>
  </si>
  <si>
    <t xml:space="preserve">44300K
462222</t>
  </si>
  <si>
    <t xml:space="preserve">Almost Never Films Inc
Big Film Factory Llc
Pure Flix Ent Llc</t>
  </si>
  <si>
    <t xml:space="preserve">Sporting and Athletic Goods Manufacturing
Motion Picture and Video Production
Motion Picture and Video Production</t>
  </si>
  <si>
    <t xml:space="preserve">Almost Never Films Inc is a
manufacturer of sporting and
athletic goods. The Company is
located in Torrance,
California.
Big Film Factory LLC is
engaged in the motion
pictures and videos services
business. The Company is
located in Nashville,
Tennessee.
Pure Flix Entertainment LLC
is engaged in the motion
pictures and videos services
business. The Company is
located in Arizona.</t>
  </si>
  <si>
    <t xml:space="preserve">3949
7812
7812</t>
  </si>
  <si>
    <t xml:space="preserve">CA
TN
AZ</t>
  </si>
  <si>
    <t xml:space="preserve">ALMOST NEVER FILMS INC/BIG FILM FACTORY LLC/PURE FLIX ENTERTAINMENT
LLC-STRATEGIC ALLIANCE</t>
  </si>
  <si>
    <t xml:space="preserve">Almost Never Films Inc, Big Film Factory LLC and Pure Flix Entertainment
LLC formed a strategic alliance in United States to the development,
packaging, production, post-production and worldwide distribution of the
films intended for initial and primary worldwide exhibition.</t>
  </si>
  <si>
    <t xml:space="preserve">Research &amp; Development Services
Retail &amp; Wholesale Services
Motion Picture Services</t>
  </si>
  <si>
    <t xml:space="preserve">020410
2J0513
0J5044</t>
  </si>
  <si>
    <t xml:space="preserve">Mid Atlantic Crossroads
CIENA Corp</t>
  </si>
  <si>
    <t xml:space="preserve">Wireless Telecommunications Carriers (Except Satellite)
Mnfr,whl fiber optic cable sys</t>
  </si>
  <si>
    <t xml:space="preserve">Mid Atlantic Crossroads is
an automotive parts and
accessories retailer. The
Company is located in
Maryland.
CIENA Corp is a manufacturer
and wholesaler of fiber
optic cable systems,
headquartered in Hanover,
Maryland. The Company offers
cable systems for the cable
television industry. The
Company also manufactures
and wholesales dense
wavelength division
multiplexing systems for
fiber optic communications
networks. The Group
specializes in transitioning
legacy communications
networks to converged,
next-generation
architectures, capable of
efficiently delivering a
broader mix of
high-bandwidth services. The
Group operates in North
America, Europe, Latin
America and Asia Pacific.
The Company was founded in
1992.</t>
  </si>
  <si>
    <t xml:space="preserve">MID ATLANTIC CROSSROADS/CIENA CORP-STRATEGIC ALLIANCE</t>
  </si>
  <si>
    <t xml:space="preserve">Mid Atlantic Crossroads and CIENA Corp planned to form a strategic
alliance. The purpose of the strategic alliance is that will leverage the
resources of both organizations to enable and expand sophisticated research
activities in the science and higher education communities.</t>
  </si>
  <si>
    <t xml:space="preserve">2J3323
171779</t>
  </si>
  <si>
    <t xml:space="preserve">Cue Biopharma Inc
Merck Sharp &amp; Dohme Corp</t>
  </si>
  <si>
    <t xml:space="preserve">Biological Product (Except Diagnostic) Manufacturing
Mnfr,whl pharmaceutical prod</t>
  </si>
  <si>
    <t xml:space="preserve">Cue Biopharma Inc is a
manufacturer of biological
products. The Company is
located in Cambridge,
Massachusetts.
Merck Sharp &amp; Dohme Corp,
located in Kenilworth, New
Jersey, is a manufacturer of
pharmaceutical preparation.
It is focused on researching
on hepatitis C, HIV,
diabetes and
immuno-oncology. The Company
was founded in 1891.</t>
  </si>
  <si>
    <t xml:space="preserve">Cue Biopharma Inc
Merck &amp; Co Inc</t>
  </si>
  <si>
    <t xml:space="preserve">CUE BIOPHARMA INC/MERCK SHARP &amp; DOHME CORP-STRATEGIC ALLIANCE</t>
  </si>
  <si>
    <t xml:space="preserve">Cue Biopharma Inc and Merck Sharp Dohme Corp planned to form a strategic
alliance to enter into a strategic research collaboration and license
agreement to develop biologics engineered to selectively modulate
disease-relevant T cell subsets for the treatment of autoimmune disease in
the United States.</t>
  </si>
  <si>
    <t xml:space="preserve">8F5387
U58933</t>
  </si>
  <si>
    <t xml:space="preserve">Hyperloop Technologies Inc
Pune Metro Region Dvlp Auth</t>
  </si>
  <si>
    <t xml:space="preserve">Custom Computer Programming Services
National Government Agency</t>
  </si>
  <si>
    <t xml:space="preserve">Hyperloop Technologies Inc,
located in Los Angeles,
California, is engaged in
building transportation
technology. The Company''s
Hyperloop is a mode of
transportation that moves
freight and people from
origin to destination.
Passengers or cargo are
loaded into the Hyperloop
vehicle and transported
through electric propulsion
through a low-pressure tube.
The vehicle floats above the
track using magnetic
levitation and glides at
airline speeds for long
distances due to ultra-low
aerodynamic drag. The
company was founded in 2014.
Pune Metropolitan Region
Development Authority is a
government administration
establishment for general
economic. The Company is
located in India.</t>
  </si>
  <si>
    <t xml:space="preserve">7371
999B</t>
  </si>
  <si>
    <t xml:space="preserve">HYPERLOOP TECHNOLOGIES INC/PUNE METROPOLITAN REGION DEVELOPMENT
AUTHORITY-STRATEGIC ALLIANCE</t>
  </si>
  <si>
    <t xml:space="preserve">Hyperloop Technologies Inc and Pune Metropolitan Region Development
Authority formed a strategic alliance. The purpose of the strategic
alliance is to identify potential routes and analyze the high-level
economic impact and technical viability of hyperloop transportation
solutions in India.</t>
  </si>
  <si>
    <t xml:space="preserve">0H7955
2J0361</t>
  </si>
  <si>
    <t xml:space="preserve">Arradiance LLC
Inredox LLC</t>
  </si>
  <si>
    <t xml:space="preserve">Semiconductor and Related Device Manufacturing
Architectural Services</t>
  </si>
  <si>
    <t xml:space="preserve">Arradiance LLC is a
manufacturer of
semiconductors and related
device. The Company was
founded in 1970 and is
located in Sudbury,
Massachusetts.
Inredox LLC is a
manufacturer of
institutional furniture. The
Company was founded in June
2011 and is located in
Longmont, Colorado.</t>
  </si>
  <si>
    <t xml:space="preserve">3674
8712</t>
  </si>
  <si>
    <t xml:space="preserve">MA
CO</t>
  </si>
  <si>
    <t xml:space="preserve">ARRADIANCE LLC/INREDOX LLC-STRATEGIC ALLIANCE</t>
  </si>
  <si>
    <t xml:space="preserve">Arradiance LLC and Inredox LLC planned to form a strategic alliance. The
purpose of the strategic alliance is to provide nanotechnology researchers
with ALD-functionalized nanostructured materials (wafers, membranes and
nanotemplates).</t>
  </si>
  <si>
    <t xml:space="preserve">2J0197
2J0199</t>
  </si>
  <si>
    <t xml:space="preserve">Science Exchange Inc
Alector Inc</t>
  </si>
  <si>
    <t xml:space="preserve">Science Exchange Inc is a
provider of biotechnology
research and development
services. The Company is
located in Palo Alto,
California.
Alector Inc, located in San
Francisco, California, is a
biotechnology company. The
Company is engaged in the
discovery and development of
immuno-modulatory therapies
for Alzheimers disease and
other neurodegenerative
disorders. The Company has
built a platform of
new-generation therapeutics,
which mobilize the immune
system to eliminate multiple
disease-causing pathologies.
The Company is combining
antibody technology and
recent discoveries in
neuro-immunology and human
genetics to develop a
platform of therapeutics
that harness the immune
system to fight dementia and
neurodegeneration.</t>
  </si>
  <si>
    <t xml:space="preserve">SCIENCE EXCHANGE INC/ALECTOR INC-STRATEGIC ALLIANCE</t>
  </si>
  <si>
    <t xml:space="preserve">Science Exchange Inc and Alector Inc formed a strategic alliance. The
purpose of strategic alliance were to provide the companys scientists
access to a private R&amp;D marketplace to accelerate their research.</t>
  </si>
  <si>
    <t xml:space="preserve">4E7689
014442</t>
  </si>
  <si>
    <t xml:space="preserve">Cerveau Technologies Inc
Enigma Biomed Grp Inc
Centre for Addiction and Menta</t>
  </si>
  <si>
    <t xml:space="preserve">Pharmaceutical Preparation Manufacturing
Software Publishers
Mental health hospital</t>
  </si>
  <si>
    <t xml:space="preserve">Cerveau Technologies Inc is
a manufacturer of
pharmaceutical preparation.
The Company is located in
Boston, Massachusetts.
Enigma Biomedical Group Inc
is a software publisher. The
Company is located in
Canada.
Centre for Addiction and
Mental Health, headquartered
in Canada, is a mental health
and addiction teaching
hospital. The company offers
clinical care, research,
education, policy development
and health promotion services.
The company was founded in
1988.</t>
  </si>
  <si>
    <t xml:space="preserve">2834
7376
8063</t>
  </si>
  <si>
    <t xml:space="preserve">CERVEAU TECHNOLOGIES INC/ENIGMA BIOMEDICAL GROUP INC/CENTRE FOR ADDICTION
AND-STRATEGIC ALLIANCE</t>
  </si>
  <si>
    <t xml:space="preserve">Cerveau Technologies Inc, Enigma Biomedical Group Inc and Centre for
Addiction and Mental Health planned to form a strategic alliance.The
purpose of the straetegic alliance was to support multiple projects over
the next several years.</t>
  </si>
  <si>
    <t xml:space="preserve">2F8524
8H7856
15598H</t>
  </si>
  <si>
    <t xml:space="preserve">ChemAxon Ltd
DEXSTR SA</t>
  </si>
  <si>
    <t xml:space="preserve">Dvlp chem software
Software Publishers</t>
  </si>
  <si>
    <t xml:space="preserve">ChemAxon Ltd is a software
publisher. The Company was
founded in 1982 and is
located in Budapest,
Hungary.
DEXSTR SA is a software
publisher. The Company is
located in Toulouse Cedex1,
France.</t>
  </si>
  <si>
    <t xml:space="preserve">CHEMAXON LTD/DEXSTR SA-STRATEGIC ALLIANCE</t>
  </si>
  <si>
    <t xml:space="preserve">ChemAxon Ltd and DEXSTR SA formed a strategic alliance to boost chemistry
in unstructured data.</t>
  </si>
  <si>
    <t xml:space="preserve">23598F
0H6714</t>
  </si>
  <si>
    <t xml:space="preserve">Oxford Genetics Ltd
MeiraGTx Ltd</t>
  </si>
  <si>
    <t xml:space="preserve">Oxford Genetics Ltd is a
provider of biotechnology
research and development
services. The Company was a
leader in synthetic biology,
is a specialised contract
research organisation
offering services to support
the discovery, development
and production of biologics,
gene and cell therapies. A
unifying theme across the
portfolio is expertise in
designing DNA, optimising
expression of proteins, cell
line development, and
improving viral delivery
systems. The Company was
founded in April 2011 and is
located in the United
Kingdom.
MeiraGTx Ltd is a provider of
ambulatory health care
services. The Company is
located in the United Kingdom.</t>
  </si>
  <si>
    <t xml:space="preserve">OXFORD GENETICS LTD/MEIRAGTX LTD-STRATEGIC ALLIANCE</t>
  </si>
  <si>
    <t xml:space="preserve">Oxford Genetics Ltd and MeiraGTx Ltd formed a strategic alliance to to
develop novel adeno-associated virus (AAV) vectors, as well as packaging
and producer cell lines.</t>
  </si>
  <si>
    <t xml:space="preserve">3F6134
0H5854</t>
  </si>
  <si>
    <t xml:space="preserve">Fabryka Obrabiarek RAFAMET SA
Hebei K.N.T. Tech Dvlp Co Ltd</t>
  </si>
  <si>
    <t xml:space="preserve">Machine Tool (Metal Cutting Types) Manufacturing
Turbine and Turbine Generator Set Units Manufacturing</t>
  </si>
  <si>
    <t xml:space="preserve">Fabryka Obrabiarek RAFAMET
SA, located in Kuznia
Raciborska, Poland,
manufactures machine tools
for railway wheel sets. It
also offers machine tools
for the power industry,
machine building industry,
shipbuilding industry,
metallurgical and aerospace
industry. The Company was
founded in 1846.
Hebei K.N.T. Technology
Development Co Ltd is a
manufacturer of turbines and
turbine generator set units.
The Company is located in
Shijiazhuang, China.</t>
  </si>
  <si>
    <t xml:space="preserve">3541
3823</t>
  </si>
  <si>
    <t xml:space="preserve">Poland
China</t>
  </si>
  <si>
    <t xml:space="preserve">FABRYKA OBRABIAREK RAFAMET SA/HEBEI K.N.T. TECHNOLOGY DEVELOPMENT CO
LTD-JOINT VENTURE</t>
  </si>
  <si>
    <t xml:space="preserve">Fabryka Obrabiarek RAFAMET SA and Hebei K.N.T. Technology Development Co
Ltd planned to form a 50:50 joint venture named Hebei Rafamet Machinery Co
Ltd. The JV was to have a share capital of USD 0.453 mil.</t>
  </si>
  <si>
    <t xml:space="preserve">Manufacturing Services
Industrial Maintenance Services
Research &amp; Development Services</t>
  </si>
  <si>
    <t xml:space="preserve">The JV was to have a share capital of USD 0.453 mil.</t>
  </si>
  <si>
    <t xml:space="preserve">75069F
1H4628</t>
  </si>
  <si>
    <t xml:space="preserve">Angle PLC
Koninklijke Philips NV</t>
  </si>
  <si>
    <t xml:space="preserve">Biological Product (Except Diagnostic) Manufacturing
Audio and Video Equipment Manufacturing</t>
  </si>
  <si>
    <t xml:space="preserve">Angle PLC is a manufacturer
of biological products. The
Company was founded in April
1994 and is located in
Guildford, the United
Kingdom.
Koninklijke Philips NV,
located in Amsterdam, the
Netherlands, manufactures and
wholesales consumer electronic
products including diagnostic
imaging, image-guided therapy,
patient monitoring, and health
informatics. It also offers
entertainment products and
house appliances; lighting
products, and automotive
accessories. Likewise, it is
engaged in the production of
telecommunication equipment
and other electronic products.
It serves as holding and
parent company of the Philips
Group. The Company was founded
in May 1891.</t>
  </si>
  <si>
    <t xml:space="preserve">ANGLE PLC/KONINKLIJKE PHILIPS NV-STRATEGIC ALLIANCE</t>
  </si>
  <si>
    <t xml:space="preserve">Angle PLC and Koninklijke Philips NV formed a strategic alliance. The
purpose of strategic alliance were to develop liquid biopsy solutions.</t>
  </si>
  <si>
    <t xml:space="preserve">03466P
N7637U</t>
  </si>
  <si>
    <t xml:space="preserve">Gazprom gazomotornoye toplivo
YPFB</t>
  </si>
  <si>
    <t xml:space="preserve">OOO "Gazprom gazomotornoye
toplivo", located in Mocow,
Russian Federation, is an
investment company.
Yacimientos Petroliferos
Fiscales Bolivianos {YPFB},
located in Las Paz, Bolivia,
is an oil and gas exploration
and production company. The
company was founded in 1936.</t>
  </si>
  <si>
    <t xml:space="preserve">Russian Fed
Bolivia</t>
  </si>
  <si>
    <t xml:space="preserve">Gazprom
YPFB</t>
  </si>
  <si>
    <t xml:space="preserve">OOO "GAZPROM GAZOMOTORNOYE/YACIMIENTOS PETROLIFEROS-JOINT VENTURE</t>
  </si>
  <si>
    <t xml:space="preserve">OOO "Gazprom gazomotornoye toplivo" and Yacimientos Petroliferos Fiscales
Bolivianos{YPFB} planned to form joint venture develop the production and
marketing infrastructure for compressed and liquefied natural gas to be
sold as a vehicle fuel, as well as for the purposes of autonomous
gasification in the Plurinational State of Bolivia and other Latin American
countries.</t>
  </si>
  <si>
    <t xml:space="preserve">1A0329
98429F</t>
  </si>
  <si>
    <t xml:space="preserve">Hologic Inc
Clarius Mobile Health Corp</t>
  </si>
  <si>
    <t xml:space="preserve">Navigational, Measuring, Electromedical, and Control Instruments Manufacturing
Navigational, Measuring, Electromedical, and Control Instruments Manufacturing</t>
  </si>
  <si>
    <t xml:space="preserve">Hologic Inc, located in
Bedford, Massachusetts,
manufactures and wholesales
diagnostic products, medical
imaging systems and surgical
products for the healthcare
needs of women. Its core
business units are focused
on breast health,
diagnostics, GYN surgical,
and skeletal health. Its
products are used for
mammography and breast
biopsy, radiation treatment
for early-stage breast
cancer, cervical cancer
screening, treatment for
menorrhagia, permanent
contraception, osteoporosis
assessment, preterm birth
risk assessment, mini C-arm
for extremity imaging and
molecular diagnostic
products including HPV and
reagents for a variety of
DNA and RNA analysis
applications. The Company
was founded in 1985.
was founded in 1985.
Clarius Mobile Health Corp,
located in Burnaby, Canada,
is a manufacturer of
navigational, measuring,
electromedical and control
instruments.</t>
  </si>
  <si>
    <t xml:space="preserve">3845
3842</t>
  </si>
  <si>
    <t xml:space="preserve">HOLOGIC INC/CLARIUS MOBILE HEALTH CORP-STRATEGIC ALLIANCE</t>
  </si>
  <si>
    <t xml:space="preserve">Hologic Inc and Clarius Mobile Health Corp formed a strategic alliance in
United States &amp; Canada for its wireless, handheld ultrasound scanner. The
partnership supports Hologic's commitment to early detection and will help
ensure that women around the globe have access to the most accurate breast
health solutions that are rooted in clinical superiority.</t>
  </si>
  <si>
    <t xml:space="preserve">436440
5H0372</t>
  </si>
  <si>
    <t xml:space="preserve">Orchard Therapeutics Ltd
University of Manchester</t>
  </si>
  <si>
    <t xml:space="preserve">Research and Development in The Social Sciences and Humanities
Own,op college,university</t>
  </si>
  <si>
    <t xml:space="preserve">Orchard Therapeutics Ltd is
a provider of social
sciences research and
development services. The
Company was founded in
September 2015 and is
located in London, the
United Kingdom and also has
office in US.
University of Manchester is
a college operator. The
Company was founded in 1824
and is located in
Manchester, the United
Kingdom.</t>
  </si>
  <si>
    <t xml:space="preserve">ORCHARD THERAPEUTICS LTD/UNIVERSITY OF MANCHESTER-STRATEGIC ALLIANCE</t>
  </si>
  <si>
    <t xml:space="preserve">Orchard Therapeutics Ltd and University of Manchester formed a strategic
alliance to develop lentivirus-based autologous ex-vivo gene therapy for
Sanfilippo syndrome type B.</t>
  </si>
  <si>
    <t xml:space="preserve">0F7591
91439N</t>
  </si>
  <si>
    <t xml:space="preserve">Robert Bosch (Australia) Pty
Monash University</t>
  </si>
  <si>
    <t xml:space="preserve">Industrial Supplies Merchant Wholesalers
Own,operate university</t>
  </si>
  <si>
    <t xml:space="preserve">Robert Bosch (Australia) Pty
Ltd is an industrial
supplies wholesaler. The
Company is located in
Clayton, Australia.
Monash University owns and
operates a university. The
Company was founded in 1958
and is located in Gippsland
Victoria, Australia.</t>
  </si>
  <si>
    <t xml:space="preserve">5085
8221</t>
  </si>
  <si>
    <t xml:space="preserve">Robert Bosch Stiftung GmbH
Monash University</t>
  </si>
  <si>
    <t xml:space="preserve">ROBERT BOSCH (AUSTRALIA) PTY LTD/MONASH UNIVERSITY-STRATEGIC ALLIANCE</t>
  </si>
  <si>
    <t xml:space="preserve">Robert Bosch (Australia) Pty Ltd and Monash University planned to form a
strategic alliance in Australia to innovate new smart farming techniques
including automated harvesting and driverless vehicles in response to the
growing challenges faced by the agriculture sector. A partnership between
Monash University and Bosch Australia to collaborate on future-oriented
smart agriculture will enable the establishment of the ag-tech launch pad
facility and accompanying development centre that will occupy one hectare
at Boschs headquarters in Clayton.</t>
  </si>
  <si>
    <t xml:space="preserve">1J9336
60919Y</t>
  </si>
  <si>
    <t xml:space="preserve">Neurotech International Ltd
Eemagine Med Imaging</t>
  </si>
  <si>
    <t xml:space="preserve">Irradiation Apparatus Manufacturing
Specialty (Except Psychiatric and Substance Abuse) Hospitals</t>
  </si>
  <si>
    <t xml:space="preserve">Neurotech International Ltd,
located in Australia, is a
medical device company
providing neuro-stimulation
and neuro-diafnostics
products and services
primarily designed with
Autism care and management
in mind.
Eemagine Medical Imaging
Solutions Gmbh, located in
Berlin, Germany, is a
specialty hospital operator.
The Company was founded in
1999.</t>
  </si>
  <si>
    <t xml:space="preserve">3845
8069</t>
  </si>
  <si>
    <t xml:space="preserve">NEUROTECH INTERNATIONAL LTD/EEMAGINE MEDICAL IMAGING SOLUTIONS
GMBH-STRATEGIC ALLIANCE</t>
  </si>
  <si>
    <t xml:space="preserve">Neurotech International Ltd and Eemagine Medical Imaging Solutions Gmbh
formed a strategic alliance to eemagine Medical Imaging Solutions GmbH
delivers design enhancements to the Neurotech International Ltds Mente
Autism headband.</t>
  </si>
  <si>
    <t xml:space="preserve">0F0367
0H2637</t>
  </si>
  <si>
    <t xml:space="preserve">Rio Tinto Ltd
Tsinghua University</t>
  </si>
  <si>
    <t xml:space="preserve">Iron,coal,copper mining co
Colleges, Universities, and Professional Schools</t>
  </si>
  <si>
    <t xml:space="preserve">Rio Tinto Ltd, headquartered
in Melbourne, Australia is
an iron, coal and copper
mining company, with
interests in aluminum,
industrial materials such as
borates, industrial salt,
talc and titanium dioxide
feedstock, diamonds and
other minerals and metals.
It has operations in the
global resource sector but
most are centered in
Australia and North America,
while also having businesses
in South America, Asia,
Europe and southern Africa.
The company was established
in 1962.
Tsinghua University is a
college operator. The
Company was founded in 1911
and is located in Beijing,
China.</t>
  </si>
  <si>
    <t xml:space="preserve">Rio Tinto PLC
Tsinghua University</t>
  </si>
  <si>
    <t xml:space="preserve">1041
8221</t>
  </si>
  <si>
    <t xml:space="preserve">RIO TINTO LTD/TSINGHUA UNIVERSITY-STRATEGIC ALLIANCE</t>
  </si>
  <si>
    <t xml:space="preserve">Rio Tinto Ltd and Tsinghua University formed a strategic alliance.</t>
  </si>
  <si>
    <t xml:space="preserve">767202
89855L</t>
  </si>
  <si>
    <t xml:space="preserve">Gilead Sciences Inc
X-Chem Inc</t>
  </si>
  <si>
    <t xml:space="preserve">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
X-Chem, Inc., located in
Waltham, Massachusetts, is a
biotechnology company. The
company identifies and
discovers novel small
molecule therapeutics. It
also provides product engine
to the discovery of small
molecule lead compounds
against high therapeutic
targets, such as protein
interactions, epigenetic
targets, ubiquitin family,
and antibacterial targets.
The Company was founded in
2009.</t>
  </si>
  <si>
    <t xml:space="preserve">Gilead Sciences Inc
Clariant AG</t>
  </si>
  <si>
    <t xml:space="preserve">GILEAD SCIENCES INC/X-CHEM INC-STRATEGIC ALLIANCE</t>
  </si>
  <si>
    <t xml:space="preserve">Gilead Sciences Inc and X-Chem Inc planned to form a strategic alliance to
screen DEX(TM) libraries.</t>
  </si>
  <si>
    <t xml:space="preserve">375558
3C1633</t>
  </si>
  <si>
    <t xml:space="preserve">Amazing Energy Oil &amp; Gas Co
JH Fossil Energy LLC</t>
  </si>
  <si>
    <t xml:space="preserve">Oil,gas exploration,prodn
Oil &amp; gas company</t>
  </si>
  <si>
    <t xml:space="preserve">Amazing Energy Oil &amp; Gas Co,
located in Amarillo, Texas, is
an oil and gas exploration and
production company. It
primarily engages in the
exploration, development,
production and acquisition of
oil and natural gas
properties. Its primary
leasehold is in the Permian
Basin of West Texas working
within a 70,000 acre leasehold
in Pecos County, Texas. The
company was founded in 1968.
JH Fossil Energy LLC,
located in Houston, Texas,
is engaged in the crude
petroleum and natural gas
services business.</t>
  </si>
  <si>
    <t xml:space="preserve">AMAZING ENERGY OIL &amp; GAS CO/JH FOSSIL ENERGY LLC-STRATEGIC ALLIANCE</t>
  </si>
  <si>
    <t xml:space="preserve">Amazing Energy Oil Gas Co and JH Fossil Energy LLC planned to form a
strategic alliance to develop Amazing's current holdings in Pecos County
Texas. Under the agreement, JH can utilize Amazing's drilling rigs and
associated equipment for the drilling and development of the Queen pay zone
in Pecos County.</t>
  </si>
  <si>
    <t xml:space="preserve">4E1434
2H2130</t>
  </si>
  <si>
    <t xml:space="preserve">Guided Therapeutics Inc
DSS Imagetech Pte Ltd</t>
  </si>
  <si>
    <t xml:space="preserve">Manufacture medical equipment
Research and Development in Biotechnology</t>
  </si>
  <si>
    <t xml:space="preserve">Guided Therapeutics Inc,
located in Norcross, Georgia,
manufactures medical equipment
to provide painless,
non-invasive and minimally
invasive alternatives to blood
and tissue sampling procedures
to painlessly detect cervical
disease. The company is into
research and development of
insulin delivery and glucose
monitoring products for the
diabetes management market, as
well as on biophotonic devices
and technology for the
non-invasive cancer
diagnostics market. The
insulin delivery and glucose
monitoring activities are
marketed under brand name
SimpleChoice. The company was
founded in 1992.
DSS Imagetech Pte Ltd is a
provider of biotechnology
research and development
services. The Company was
founded in July 1998 and is
located in New Delhi, India.</t>
  </si>
  <si>
    <t xml:space="preserve">GUIDED THERAPEUTICS INC/DSS IMAGETECH PTE LTD-STRATEGIC ALLIANCE</t>
  </si>
  <si>
    <t xml:space="preserve">Guided Therapeutics Inc and DSS Imagetech Pte Ltd formed a strategic
alliance.</t>
  </si>
  <si>
    <t xml:space="preserve">40171F
3H3643</t>
  </si>
  <si>
    <t xml:space="preserve">Genomic Health Inc
Cleveland Diagnostics Inc</t>
  </si>
  <si>
    <t xml:space="preserve">Genomic Health Inc, located
in Redwood City, California,
provides genomic-based
diagnostic tests services
that address both the
overtreatment and optimal
treatment of early and late
stage cancer. It develops
and commercializes
genomic-based clinical
laboratory services. Its
Oncotype IQ Genomic
Intelligence Platform is
consisted of its flagship
line of Oncotype DX gene
expression tests, as well as
its Oncotype SEQ Liquid
Select test. Its research
and development activities
are focused on developing a
pipeline of tests to
optimize the treatment of
various cancers including
breast, colon, prostate and
other cancers. It offers its
Oncotype DX tests as a
clinical laboratory service,
where it analyzes the
expression levels of genes
in tumor tissue samples and
provides physicians with a
quantitative gene expression
profile expressed as a
single quantitative score,
which it calls a Recurrence
Score for invasive breast
cancer and colon cancer, a
DCIS Score for ductal
carcinoma in situ (DCIS),
and a Genomic Prostate
Score, for prostate cancer.
The Company was founded in
August 2000.
Cleveland Diagnostics Inc is
a biotechnology firm focused
on early detection and
diagnostics of cancer and
neurodegenerative diseases.
The Company was founded in
October 2013 and is located
in Cleveland, Ohio.</t>
  </si>
  <si>
    <t xml:space="preserve">GENOMIC HEALTH INC/CLEVELAND DIAGNOSTICS INC-STRATEGIC ALLIANCE</t>
  </si>
  <si>
    <t xml:space="preserve">Genomic Health Inc and Cleveland Diagnostics Inc formed a strategic allianc
to provide provide Genomic Health with broad exclusive global rights to
develop and commercialize early- and late-stage cancer diagnostic tests
based on Cleveland Diagnostics' proprietary IsoPSA reagent and SIA
technology.</t>
  </si>
  <si>
    <t xml:space="preserve">The strategic alliance was to be capitalized at USD 10 mil through USD 2
mil convertible note investment and USD 8 mil in milestone payments.</t>
  </si>
  <si>
    <t xml:space="preserve">37244C
2H0829</t>
  </si>
  <si>
    <t xml:space="preserve">Survey Sampling International
Caesars Entertainment Corp</t>
  </si>
  <si>
    <t xml:space="preserve">Research and Development in The Social Sciences and Humanities
Owns and operates hotels and casinos</t>
  </si>
  <si>
    <t xml:space="preserve">Survey Sampling
International LLC, located
in Shelton, Connecticut,
provides survey research
sampling services. It offers
research services that
requires knowledge of target
markets. The company was
founded in 1977.
Caesars Entertainment Corp,
located in Las Vegas,
Nevada, owns and operates
hotels and casinos. Its
brands include Harrahs,
Caesars and Horseshoe. It
also owns the London Clubs
International. It has 34
casinos and resorts in
Kentucky, Illinois, Indiana,
Iowa, Louisiana,
Mississippi, Missouri,
Nevada and New Jersey. It
has 48,000 slot machines and
video lottery terminals and
approximately 3,000 table
games, and over 39,000 hotel
rooms. The Company was
founded on October 30, 1937.</t>
  </si>
  <si>
    <t xml:space="preserve">8732
7011</t>
  </si>
  <si>
    <t xml:space="preserve">CT
NV</t>
  </si>
  <si>
    <t xml:space="preserve">HGGC LLC
Caesars Entertainment Corp</t>
  </si>
  <si>
    <t xml:space="preserve">6799
7011</t>
  </si>
  <si>
    <t xml:space="preserve">SURVEY SAMPLING INTERNATIONAL LLC/CAESARS ENTERTAINMENT CORP-STRATEGIC
ALLIANCE</t>
  </si>
  <si>
    <t xml:space="preserve">Survey Sampling International LLC and Caesars Entertainment Corp (Caesars)
formed a strategic alliance to create a new rewards partnership called Say
and Play for Ceasars' Total Rewards program members. It gives it members
the opportunity to earn Reward Credit by participating in its surveys.</t>
  </si>
  <si>
    <t xml:space="preserve">86902W
127686</t>
  </si>
  <si>
    <t xml:space="preserve">Auckland UniServices Ltd
Achieve Life Sciences Inc</t>
  </si>
  <si>
    <t xml:space="preserve">All Other Miscellaneous Schools and Instruction
Manufactures, wholesales prescription pharmaceuticals</t>
  </si>
  <si>
    <t xml:space="preserve">Auckland UniServices Ltd is
a provider of instruction
services. The Company is
located in Auckland, New
Zealand.
Achieve Life Sciences Inc,
located in Bothell,
Washington, manufactures and
wholesales prescription
pharmaceuticals intended for
final consumption, including
biotech products and
antibiotics. The company is
also involved in development
and commercialization of new
cancer therapies. The
Company was founded in 1991.</t>
  </si>
  <si>
    <t xml:space="preserve">8299
2834</t>
  </si>
  <si>
    <t xml:space="preserve">AUCKLAND UNISERVICES LTD/ACHIEVE LIFE SCIENCES INC-STRATEGIC ALLIANCE</t>
  </si>
  <si>
    <t xml:space="preserve">Auckland Uniservices Ltd and Achieve Life Sciences Inc to provide cytisine
for use in the Phase 3 "RAUORA" clinical trial.</t>
  </si>
  <si>
    <t xml:space="preserve">2H5316
004468</t>
  </si>
  <si>
    <t xml:space="preserve">Accenture PLC
1QB Info Tech Inc</t>
  </si>
  <si>
    <t xml:space="preserve">Provides technology, management consulting and business process outsourcing services
software publisher</t>
  </si>
  <si>
    <t xml:space="preserve">Accenture PLC is a provider
of technology, management
consulting and business
process outsourcing services
to the aerospace and
defense, airline,
automotive, chemicals,
communications, consumer
goods and services,
electronics, energy,
financial, forest products,
logistics, government,
health and sciences,
industrial equipment, metals
and mining, public
transportation, retail,
travel, and utilities
industries. The Company was
founded in 1989 and is
located in Dublin, the
Republic of Ireland.
1QB Information Technologies
Inc,located in Vancouver,
Canada,is a software
publisher. The Company was
founded in December 1, 2012.</t>
  </si>
  <si>
    <t xml:space="preserve">Ireland-Rep
Canada</t>
  </si>
  <si>
    <t xml:space="preserve">ACCENTURE PLC/1QB INFORMATION TECHNOLOGIES INC-STRATEGIC ALLIANCE</t>
  </si>
  <si>
    <t xml:space="preserve">Accenture PLC and 1QB Information Technologies Inc formed a strategic
alliance to use the 1QBit platform for demonstration, training, and the
development and testing of Accenture tools and assets and also to develop a
quantum-inspired analytics capability through Accenture Analytics and scale
pilot opportunities identified through the Accenture Labs in World Wide.</t>
  </si>
  <si>
    <t xml:space="preserve">G1151C
0H1840</t>
  </si>
  <si>
    <t xml:space="preserve">Herbalife Intl of America Inc
Tasly Holding Group Co Ltd</t>
  </si>
  <si>
    <t xml:space="preserve">Whl personal care products
Pharmaceutical Preparation Manufacturing</t>
  </si>
  <si>
    <t xml:space="preserve">Herbalife International of
America Inc, located in Los
Angels, California, wholesales
weight-management products,
nutritional supplements and
personal care products
intended to support
weight-management and a
healthy lifestyle. The Company
was founded in 1980.
Tasly Holding Group Co Ltd
is a manufacturer of
pharmaceutical preparation.
The Company was founded in
March 2000 and is located in
Tianjin, China.</t>
  </si>
  <si>
    <t xml:space="preserve">Herbalife Intl of America Inc
Tianjin Fuhuade Tech Dvlp</t>
  </si>
  <si>
    <t xml:space="preserve">HERBALIFE INTERNATIONAL OF/TASLY HOLDING GROUP CO LTD-JOINT VENTURE</t>
  </si>
  <si>
    <t xml:space="preserve">Herbalife International of America Inc and Tasly Holding Group Co Ltd
planned to form a joint venture named Ht Innovations Lp to create a conduit
to develop and commercialize high-quality consumer health products based on
Tasly's deep portfolio of formulations, patents, and clinical studies,
while leveraging Herbalife Nutrition's scientific, regulatory and
commercial development expertise. in the United States.</t>
  </si>
  <si>
    <t xml:space="preserve">426908
9C3569</t>
  </si>
  <si>
    <t xml:space="preserve">Obp Med Corp
Establishment Labs SA</t>
  </si>
  <si>
    <t xml:space="preserve">Surgical Appliance and Supplies Manufacturing
Surgical Appliance and Supplies Manufacturing</t>
  </si>
  <si>
    <t xml:space="preserve">Obp Medical Corp is a
manufacturer of surgical
appliance and supplies. The
Company is located in
Lawrence, Massachusetts.
Establishment Labs SA is a
manufacturer of surgical
supplies that focuses on
aesthetic technologies with
emphasis on product
development and innovation.
The Company is located in
Alajuela, Costa Rica.</t>
  </si>
  <si>
    <t xml:space="preserve">United States
Costa Rica</t>
  </si>
  <si>
    <t xml:space="preserve">OBP MEDICAL CORP/ESTABLISHMENT LABS SA-STRATEGIC ALLIANCE</t>
  </si>
  <si>
    <t xml:space="preserve">Obp Medical Corp and Establishment Labs SA formed a strategic alliance to
deliver innovative new tool for advanced breast aesthetics procedures.</t>
  </si>
  <si>
    <t xml:space="preserve">2H1087
7F8098</t>
  </si>
  <si>
    <t xml:space="preserve">Yale University
Zixin Pharms Usa Corp</t>
  </si>
  <si>
    <t xml:space="preserve">Own,op university
All Other Miscellaneous Ambulatory Health Care Services</t>
  </si>
  <si>
    <t xml:space="preserve">Yale University, located in
New Haven, Connecticut, owns
and operates university.
Zixin Pharmaceuticals Usa
Corp is a manufacturer of
medicinals and botanicals.
The Company is located in
Connecticut.</t>
  </si>
  <si>
    <t xml:space="preserve">8221
8099</t>
  </si>
  <si>
    <t xml:space="preserve">CT
CT</t>
  </si>
  <si>
    <t xml:space="preserve">Yale University
Jilin Zixin Pharm Industrial</t>
  </si>
  <si>
    <t xml:space="preserve">YALE UNIVERSITY/ZIXIN PHARMACEUTICALS USA CORP-STRATEGIC ALLIANCE</t>
  </si>
  <si>
    <t xml:space="preserve">Yale University and Zixin Pharmaceuticals Usa Corp formed a strategic
alliance for gene sequencing project.</t>
  </si>
  <si>
    <t xml:space="preserve">98458R
9H8530</t>
  </si>
  <si>
    <t xml:space="preserve">Assn Of Certified Anti Money
Frankfurt School Of Fin &amp;</t>
  </si>
  <si>
    <t xml:space="preserve">Professional and Management Development Training
Elementary and Secondary Schools</t>
  </si>
  <si>
    <t xml:space="preserve">Association of certified
anti money laundering
specialists is an
international membership
organization. The Company is
located in Miami, Florida.
Frankfurt School of Finance
&amp; Management, owns and
operates a school. The
company is headquartered in
Germany. The company isis
a research-led business
school, covering every
aspect of business,
management, banking and
finance.</t>
  </si>
  <si>
    <t xml:space="preserve">8299
8211</t>
  </si>
  <si>
    <t xml:space="preserve">Adtalem Global Education Inc
Frankfurt School Of Fin &amp;</t>
  </si>
  <si>
    <t xml:space="preserve">8221
8211</t>
  </si>
  <si>
    <t xml:space="preserve">ASSOCIATION OF CERTIFIED ANTI MONEY LAUNDERING SPECIALISTS/FRANKFURT SCHOOL
OF FINANCE &amp; MANAGEMENT-STRATEGIC ALLIANCE</t>
  </si>
  <si>
    <t xml:space="preserve">Association Of Certified Anti Money Laundering Specialists and Frankfurt
School Of Finance Management formed a strategic alliance to provide
globally recognized anti-money laundering qualification in local language
with high-quality professional training.</t>
  </si>
  <si>
    <t xml:space="preserve">6E0067
4C1945</t>
  </si>
  <si>
    <t xml:space="preserve">SMU
Tata Consultancy Svcs Asia
SMU-TCS iCity Lab</t>
  </si>
  <si>
    <t xml:space="preserve">Own,op university
Computer Systems Design Services
Research and Development in The Physical, Engineering and Lifesciences (Except Biotechnology)</t>
  </si>
  <si>
    <t xml:space="preserve">The Singapore Management
University officially became
the third university in
Singapore on January 12, 2000.
SMU accommodates over 5,000
students and comprises six
schools: Lee Kong Chian School
of Business, School of
Accountancy, School of
Information Systems, School of
Economics, School of Social
Sciences and School of Law.
Its educational practices are
patterned after the Wharton
School of the University of
Pennsylvania.
Tata Consultancy Services
Asia Pacific Pte Ltd,
located in Singapore,
Singapore, provides
information technology
consulting services and
software solutions.
SMU-TCS iCity Lab, located
in Singapore, Singapore, is
a provider of research and
development services.</t>
  </si>
  <si>
    <t xml:space="preserve">8221
7373
8733</t>
  </si>
  <si>
    <t xml:space="preserve">Singapore
Singapore
Singapore</t>
  </si>
  <si>
    <t xml:space="preserve">SMU
Tata Sons Pvt Ltd
SMU-TCS iCity Lab</t>
  </si>
  <si>
    <t xml:space="preserve">Singapore
India
Singapore</t>
  </si>
  <si>
    <t xml:space="preserve">8221
6799
8733</t>
  </si>
  <si>
    <t xml:space="preserve">SINGAPORE MANAGEMENT/TATA CONSULTANCY SERVICES ASIA PACIFIC PTE LTD/SMU-TCS
ICITY LAB-STRATEGIC ALLIANCE</t>
  </si>
  <si>
    <t xml:space="preserve">Singapore Management University {SMU}, Tata Consultancy Services Asia
Pacific Pte Ltd and SMU-TCS iCity Lab formed a strategic alliance to
collaborate in research and develop solutions in digital technology..</t>
  </si>
  <si>
    <t xml:space="preserve">83122W
1H7498
8H2764</t>
  </si>
  <si>
    <t xml:space="preserve">Biocure Pharm Corp
Pharos Vaccine Inc</t>
  </si>
  <si>
    <t xml:space="preserve">Biocure Pharm Corp is a
manufacturer of
pharmaceutical preparation.
The Company was founded in
August 2005 and is located
in Daejon, South Korea.
Pharos Vaccine Inc is a
manufacturer of
pharmaceutical preparation.
The Company is located in
Seongnam, South Korea.</t>
  </si>
  <si>
    <t xml:space="preserve">Biocure Technology Inc
Kodi Co Ltd</t>
  </si>
  <si>
    <t xml:space="preserve">1094
3825</t>
  </si>
  <si>
    <t xml:space="preserve">BIOCURE PHARM CORP/PHAROS VACCINE INC-STRATEGIC ALLIANCE</t>
  </si>
  <si>
    <t xml:space="preserve">Biocure Pharm Corp and Pharos Vaccine Inc planned to form a strategic
alliance in South Korea for research and development activities relating to
the commercialization of anti-CD19 CAR-T (chimeric antigen receptor T cell)
and for the pursuit of preclinical and clinical trials.</t>
  </si>
  <si>
    <t xml:space="preserve">3F7665
1F5306</t>
  </si>
  <si>
    <t xml:space="preserve">Thai Nakorn Patana
Srinanaphon Marketing PCL</t>
  </si>
  <si>
    <t xml:space="preserve">Thai Nakorn Patana is a
manufacturer of
pharmaceutical preparation.
The Company is located in
Thailand.
Srinanaphon Marketing PCL is
a provider of marketing
consulting services. The
Company is located in</t>
  </si>
  <si>
    <t xml:space="preserve">THAI NAKORN PATANA/SRINANAPORN MARKETING CO LIMITED-JOINT VENTURE</t>
  </si>
  <si>
    <t xml:space="preserve">Thai Nakorn Patana and Srinanaporn Marketing Co Limited formed a 40:60
joint venture.The purpose of the joint venture was to to explore the food
business in Cambodia and Vietnam next year.</t>
  </si>
  <si>
    <t xml:space="preserve">88327Y
2J2450</t>
  </si>
  <si>
    <t xml:space="preserve">Expres2ion Biotechnologies ApS
Institut Virion\Serion GmbH</t>
  </si>
  <si>
    <t xml:space="preserve">Biological Product (Except Diagnostic) Manufacturing
In-Vitro Diagnostic Substance Manufacturing</t>
  </si>
  <si>
    <t xml:space="preserve">Expres2ion Biotechnologies ApS
is a manufacturer of
biological products. The
Company was founded in 2010
and is located in Hoersholm,
Denmark.
Institut Virion\Serion GmbH is
a manufacturer of in-vitro
diagnostic substances. The
Company was founded in 1978
and is located in Wurzburg,
Germany.</t>
  </si>
  <si>
    <t xml:space="preserve">ExpreS2ion Biotech Holding AB
Institut Virion\Serion GmbH</t>
  </si>
  <si>
    <t xml:space="preserve">EXPRES2ION BIOTECHNOLOGIES APS/INSTITUT VIRION\SERION GMBH-STRATEGIC
ALLIANCE</t>
  </si>
  <si>
    <t xml:space="preserve">Expres2ion Biotechnologies ApS and Institut Virion\Serion GmbH formed a
strategic alliance. to evaluate a number of new in vitro diagnostic product
candidates, as well as commercial rights to promote, sell and distribute
protein antigens produced using ExpreS2. The SA was expected to have
revenues of EUR 0.25 mil (USD 0.341 mil).</t>
  </si>
  <si>
    <t xml:space="preserve">The SA was expected to have revenues of EUR 0.25 mil (USD 0.341 mil).</t>
  </si>
  <si>
    <t xml:space="preserve">6F9060
1H6238</t>
  </si>
  <si>
    <t xml:space="preserve">NanoCarrier Co Ltd
Accurna Inc</t>
  </si>
  <si>
    <t xml:space="preserve">Pvd drug research svcs
Research and Development in Biotechnology</t>
  </si>
  <si>
    <t xml:space="preserve">NanoCarrier Co Ltd is a
provider of research and
development services. The
Company was founded in June
1996 and is located in
Kashiwa-Shi Chiba, Japan.
AccuRna Inc, located at
Tokyo, Japan, provides
research and development of
nucleic acid-based drugs
using drug delivery system
technologies.</t>
  </si>
  <si>
    <t xml:space="preserve">NANOCARRIER CO LTD/ACCURNA INC-STRATEGIC ALLIANCE</t>
  </si>
  <si>
    <t xml:space="preserve">NanoCarrier Co Ltd and Accurna Inc formed a strategic alliance to develop
drugs that is based on NanoCarrier's gene delivery technology.</t>
  </si>
  <si>
    <t xml:space="preserve">62790L
1H8904</t>
  </si>
  <si>
    <t xml:space="preserve">Vertax Wind Ltd
The University of Edinburgh</t>
  </si>
  <si>
    <t xml:space="preserve">Turbine and Turbine Generator Set Units Manufacturing
Own,op univ</t>
  </si>
  <si>
    <t xml:space="preserve">VertAx Wind Ltd, located in
London, the United Kingdom,
is a manufacturer of
turbines and turbine
generator set units. The
Company was founded in 2007.
The University of Edinburgh,
located in Edinburgh, UK,
owns and operates a
university. The company was
founded in 1582.</t>
  </si>
  <si>
    <t xml:space="preserve">VERTAX WIND LTD/THE UNIVERSITY OF EDINBURGH-STRATEGIC ALLIANCE</t>
  </si>
  <si>
    <t xml:space="preserve">VertAx Wind Ltd and The University of Edinburgh formed a strategic alliance
to use C-Gen technology into VertAx wind's multi-megawatt vertical axis
wind turbine.</t>
  </si>
  <si>
    <t xml:space="preserve">2H1356
28060F</t>
  </si>
  <si>
    <t xml:space="preserve">Beth Israel Deaconess Med Ctr
Mustang Bio Inc
Harvard University</t>
  </si>
  <si>
    <t xml:space="preserve">Own,operate hospital
Research and Development in Biotechnology
Own,operate university</t>
  </si>
  <si>
    <t xml:space="preserve">Beth Israel Deaconess Medical
Center Inc, located in Boston,
Massachusetts, owns and
operates a hospital that
offers cancer, chest and
digestive disease, and spine
center services, as well as
transplant institute and
nursing services. The company
also provides Biomedical
Research, such as vascular and
transplantation research,
signal transduction in cancer,
and molecular imaging
services. In addition, it
offers nursing, social work,
and health sciences training
to medical students, interns,
residents, and professionals,
as well as graduate and
undergraduate medical
education services. The
company was founded in 1915.
Mustang Bio Inc is a
provider of biotechnology
research and development
services. The Company was
founded in March 2015 and is
located in New York City,
New York.
Harvard University, located
in Cambridge, Massachusetts,
owns and operates a
university. The company was
founded in 1638.</t>
  </si>
  <si>
    <t xml:space="preserve">8062
8731
8221</t>
  </si>
  <si>
    <t xml:space="preserve">Lahey Health System Inc
Fortress Biotech Inc
Harvard University</t>
  </si>
  <si>
    <t xml:space="preserve">8099
2834
8221</t>
  </si>
  <si>
    <t xml:space="preserve">BETH ISRAEL DEACONESS MEDICAL/MUSTANG BIO INC/HARVARD UNIVERSITY-STRATEGIC
ALLIANCE</t>
  </si>
  <si>
    <t xml:space="preserve">Beth Israel Deaconess Medical Center Inc, Mustang Bio Inc and Harvard
University formed a strategic alliance. The purpose of strategic alliance
were to the development of CRISPR/Cas9-enhanced CAR T therapies for the
treatment of cancer.</t>
  </si>
  <si>
    <t xml:space="preserve">08647P
62818Q
41748A</t>
  </si>
  <si>
    <t xml:space="preserve">CSL Ltd
Vitaeris Inc</t>
  </si>
  <si>
    <t xml:space="preserve">Mnfr,whl pharm,diagnostic prod
Biological Product (Except Diagnostic) Manufacturing</t>
  </si>
  <si>
    <t xml:space="preserve">CSL Ltd, located in
Victoria, Australia,
manufactures and wholesales
pharmaceutical and
diagnostic products, cell
culture media and human
plasma fractions. It has
operations in Australia, New
Zealand and Asia, North and
South America, Europe, the
Middle East and Africa. It
is also a holding company.
The company was founded in
April 1991.
Vitaeris Inc, located in
Vancouver, Canada, is a
manufacturer of biological
products. The Company was
founded in 2016.</t>
  </si>
  <si>
    <t xml:space="preserve">CSL LTD/VITAERIS INC-STRATEGIC ALLIANCE</t>
  </si>
  <si>
    <t xml:space="preserve">CSL Ltd and Vitaeris Inc formed a strategic alliance in Canada &amp; Australia
to expedite the development of clazakizumab (an anti-IL6 MAB, formerly
ALD518) as a therapeutic option for solid organ transplant rejection.</t>
  </si>
  <si>
    <t xml:space="preserve">12637R
0H3877</t>
  </si>
  <si>
    <t xml:space="preserve">IntelGenx Technologies Corp
Redhill Biopharma Ltd</t>
  </si>
  <si>
    <t xml:space="preserve">Biotech co
Manufactures pharmaceuticals</t>
  </si>
  <si>
    <t xml:space="preserve">IntelGenx Technologies Corp,
located in Ville St-Laurent,
Quebec is a biotechnology
company focused on improving
existing medications by
incorporating its proprietary,
advanced controlled-release
technologies. The company was
founded in 1999.
RedHill Biopharma Ltd,
located in Tel Aviv, Israel,
manufactures
pharmaceuticals. It is
focused primarily on
acquisition and development
of late clinical-stage new,
improved and patented
formulations of existing
drugs and on late
clinical-stage orphan drugs.
It was founded in 2009.</t>
  </si>
  <si>
    <t xml:space="preserve">INTELGENX TECHNOLOGIES CORP/REDHILL BIOPHARMA LTD-STRATEGIC ALLIANCE</t>
  </si>
  <si>
    <t xml:space="preserve">IntelGenx Technologies Corp and Redhill Biopharma Ltd terminated their
alliance prior to the expiration date. The purpose of teminating the
agreement is for the co-development and commercialisation of Rizaport .</t>
  </si>
  <si>
    <t xml:space="preserve">45822R
757468</t>
  </si>
  <si>
    <t xml:space="preserve">Blue Origin LLC
Palo Alto Research Center Inc</t>
  </si>
  <si>
    <t xml:space="preserve">Guided Missile and Space Vehicle Manufacturing
Pvd research,dvlp svcs</t>
  </si>
  <si>
    <t xml:space="preserve">Blue Origin LLC is a
manufacturer of guided
missiles and space vehicles.
The Company was founded in
September 2000 and is
located in Kent, Washington.
Palo Alto Research Center Inc,
located in Palo Alto,
California, provides research
and development services of
physical, computational and
social sciences. It provides
custom research and
development services,
technology, expertise, best
practices and intellectual
property to Fortune 500 and
Global 1000 companies,
startups and government
agencies and partners. The
Company was founded in 1970.</t>
  </si>
  <si>
    <t xml:space="preserve">3761
8731</t>
  </si>
  <si>
    <t xml:space="preserve">Blue Origin LLC
Xerox Corp</t>
  </si>
  <si>
    <t xml:space="preserve">3761
3579</t>
  </si>
  <si>
    <t xml:space="preserve">BLUE ORIGIN LLC/PALO ALTO RESEARCH CENTER INC-STRATEGIC ALLIANCE</t>
  </si>
  <si>
    <t xml:space="preserve">Blue Origin LLC and Palo Alto Research Center Inc planned to form a
strategic alliance to Explore Advanced Technologies and Launch Suborbital
Space R&amp;D Projects.</t>
  </si>
  <si>
    <t xml:space="preserve">0J2211
69743P</t>
  </si>
  <si>
    <t xml:space="preserve">Crossbeta
Probiodrug AG</t>
  </si>
  <si>
    <t xml:space="preserve">Crossbeta Biosciences BV is
a Netherlands-based company
that aims at developing
therapeutic applications of
its crossbeta technology in
the field of protein
misfolding diseases, such as
Alzheimers disease, and as
tool for the
immune-potentiation of
vaccines. The Crossbeta
technology is a system in
the body that recognizes and
eliminates obsolete
misfolded proteins. The
Company was founded as a
spin-off of the University
Medical Hospital
(Universitair Medisch
Centrum) Utrecht, the
Netherlands.
Probiodrug AG is a clinical
stage biopharmaceutical
company . It develops
therapeutic products for the
treatment of alzheimer's
disease. It was founded in
1997 and is located in
Halle/Saale, Germany.</t>
  </si>
  <si>
    <t xml:space="preserve">CROSSBETA BIOSCIENCES BV/PROBIODRUG AG-STRATEGIC ALLIANCE</t>
  </si>
  <si>
    <t xml:space="preserve">Crossbeta Biosciences BV and Probiodrug AG formed a strategic alliance
regarding the use of Crossbetas proprietary technology for biomarker
development, in support of Probiodrugs clinical program in Alzheimers
disease.</t>
  </si>
  <si>
    <t xml:space="preserve">0H9353
74538A</t>
  </si>
  <si>
    <t xml:space="preserve">Genera Biosys Ltd
Beckman Coulter Life Sciences</t>
  </si>
  <si>
    <t xml:space="preserve">Biotechnology company
Mnfr laboratory instruments</t>
  </si>
  <si>
    <t xml:space="preserve">Genera Biosystems Ltd,
located in Scoresby,
Victoria, Australia, is a
biotechnology company. Its
principal activity is
developing a series of
products for human health,
food, and environmental
testing based on its
patented detection
technologies. The Company
was founded on November 1,
2001.
Beckman Coulter Life
Sciences, located in Brea,
California, is a
manufacturer of analytical
laboratory instruments.</t>
  </si>
  <si>
    <t xml:space="preserve">Genera Biosys Ltd
Danaher Corp</t>
  </si>
  <si>
    <t xml:space="preserve">2836
3823</t>
  </si>
  <si>
    <t xml:space="preserve">GENERA BIOSYSTEMS LTD/BECKMAN COULTER LIFE SCIENCES-STRATEGIC ALLIANCE</t>
  </si>
  <si>
    <t xml:space="preserve">Genera Biosystems Ltd and Beckman Coulter Life Sciences formed a strategic
alliance to improve workflow and lab throughput capacity.</t>
  </si>
  <si>
    <t xml:space="preserve">Health &amp; Medical Services
Research &amp; Development Services
Supply Services</t>
  </si>
  <si>
    <t xml:space="preserve">37141J
5A3905</t>
  </si>
  <si>
    <t xml:space="preserve">Bristol-Myers Squibb-IXEMPRA
Ayala Pharms</t>
  </si>
  <si>
    <t xml:space="preserve">Ixempra of Bristol-Myers
Squibb Co, located in New
York.
Ayala Pharmaceuticals Inc.,
a clinical-stage
biopharmaceutical company,
develops targeted cancer
therapies for people with
genetically defined cancers</t>
  </si>
  <si>
    <t xml:space="preserve">Bristol-Myers Squibb Co
Ayala Pharms</t>
  </si>
  <si>
    <t xml:space="preserve">BRISTOL-MYERS SQUIBB CO-IXEMPRA/AYALA PHARMACEUTICALS-STRATEGIC ALLIANCE</t>
  </si>
  <si>
    <t xml:space="preserve">Bristol-Myers Squibb Co-IXEMPRA and Ayala Pharmaceuticals formed a
strategic alliance.The purpose of strategic alliance was to Ayala will have
exclusive worldwide development and commercialization rights for BMS-906024
and BMS-986115, two gamma secretase inhibitors previously developed by BMS
as a Notch inhibitor for oncology indications and all future development
and commercialization of BMS-906024 and BMS-986115</t>
  </si>
  <si>
    <t xml:space="preserve">9C7266
1J8917</t>
  </si>
  <si>
    <t xml:space="preserve">Tata Consultancy Services Ltd
Cornell Tech</t>
  </si>
  <si>
    <t xml:space="preserve">Pvd info tech consulting svcs
Office Administrative Services</t>
  </si>
  <si>
    <t xml:space="preserve">Tata Consultancy Services
Ltd, headquartered in
Mumbai, India, is an
Information Technology (IT)
services, consulting and
business solutions company.
The Company provides
consulting-led integrated
portfolio of IT and
IT-enabled services
delivered through a network
of multiple locations around
the globe. The Company's
domain knowledge and
technology expertise helps
global corporations to focus
on their core business,
while TCS manages their
investments in technology
and helps transform their
business processes. The
Company's services
portfolio consists of
Application Development and
Maintenance, Business
Intelligence, Enterprise
Solutions, Assurance,
Engineering and Industrial
Services, IT Infrastructure
Services, Business Process
Outsourcing, Consulting and
Asset Leveraged Solutions.
The Company was founded in
1968.
Cornell Tech is a provider
of office administrative
services. The Company is
located in New York.</t>
  </si>
  <si>
    <t xml:space="preserve">7375
8741</t>
  </si>
  <si>
    <t xml:space="preserve">Tata Sons Pvt Ltd
Cornell University</t>
  </si>
  <si>
    <t xml:space="preserve">TATA CONSULTANCY SERVICES LTD/CORNELL TECH-STRATEGIC ALLIANCE</t>
  </si>
  <si>
    <t xml:space="preserve">Tata Consultancy Services Ltd and Cornell Tech formed a strategic alliance
to collaborate on technology research and expand K-12 digital literacy
programs in New York City.</t>
  </si>
  <si>
    <t xml:space="preserve">Research &amp; Development Services
Software Development Services
Educational Services</t>
  </si>
  <si>
    <t xml:space="preserve">87656P
2J0005</t>
  </si>
  <si>
    <t xml:space="preserve">TetraGenetics Inc
ModiQuest Research BV</t>
  </si>
  <si>
    <t xml:space="preserve">TetraGenetics Inc is a
manufacturer of biological
products. The Company is
located in Arlington,
Massachusetts.
ModiQuest Research BV is a
provider of biotechnology
research and development
services. It specializes in
the generation of monoclonal
antibodies against difficult
target antigens for R&amp;D,
diagnostic and therapeutic
applications. The Company
was founded in 2004 and is
located in Oss, the
Netherlands.</t>
  </si>
  <si>
    <t xml:space="preserve">TETRAGENETICS INC/MODIQUEST RESEARCH BV-STRATEGIC ALLIANCE</t>
  </si>
  <si>
    <t xml:space="preserve">TetraGenetics Inc and ModiQuest Research BV formed a strategic alliance to
focus on the discovery of novel monoclonal antibodies against KCa3.1.</t>
  </si>
  <si>
    <t xml:space="preserve">8E3601
0H4655</t>
  </si>
  <si>
    <t xml:space="preserve">Fate Therapeutics Inc
University of CA,San Diego</t>
  </si>
  <si>
    <t xml:space="preserve">Research and Development in Biotechnology
Own,operate university</t>
  </si>
  <si>
    <t xml:space="preserve">Fate Therapeutics Inc,
located in San Diego,
California, is a provider of
biotechnology research and
development services. The
Company was founded in April
2007.
University of CaliforniaSan
Diego is a college operator.
The company was founded in
1960 and is located in San
Diego, California.</t>
  </si>
  <si>
    <t xml:space="preserve">FATE THERAPEUTICS INC/UNIVERSITY OF CALIFORNIA,SAN-STRATEGIC ALLIANCE</t>
  </si>
  <si>
    <t xml:space="preserve">Fate Therapeutics Inc and University of California,San Diego formed a
strategic alliance. The purpose of strategic alliance were to Launch
Research Collaboration to Develop iPSC-Derived CAR NK Cell Cancer
Immunotherapies.</t>
  </si>
  <si>
    <t xml:space="preserve">31189P
91411M</t>
  </si>
  <si>
    <t xml:space="preserve">HSBC Holdings PLC
Massachusetts Inst Of Tech</t>
  </si>
  <si>
    <t xml:space="preserve">Bank investment holding company
Colleges, Universities, and Professional Schools</t>
  </si>
  <si>
    <t xml:space="preserve">HSBC Holdings PLC, located
in London, the United
Kingdom, is the bank
investment holding company.
The Company also provides
financial services. The
Company manages its products
and services through four
businesses: Retail Banking
and Wealth Management
(RBWM), Commercial Banking
(CMB), Global Banking and
Markets (GB&amp;M) and Global
Private Banking (GPB). It
operates across various
geographical regions, which
include Europe, Asia, Middle
East and North Africa, North
America and Latin America.
RBWM business offers Retail
Banking, Wealth Management,
Asset Management and
Insurance. CMB services
include working capital,
term loans, payment services
and international trade
facilitation, among other
services, as well as in
mergers and acquisitions and
access to financial markets.
GB&amp;M supports government,
corporate and institutional
clients across the world.
GPB''s products and services
include Investment
Management, Private Wealth
Solutions and a range of
Private Banking services. It
was founded in 1865.
Massachusetts Institute Of
Technology is a college
operator. The Company is
located in Cambridge,
Massachusetts.</t>
  </si>
  <si>
    <t xml:space="preserve">6000
8221</t>
  </si>
  <si>
    <t xml:space="preserve">HSBC HOLDINGS PLC/MASSACHUSETTS INSTITUTE OF TECHNOLOGY{MIT}-STRATEGIC
ALLIANCE</t>
  </si>
  <si>
    <t xml:space="preserve">Foreign
Massachusetts</t>
  </si>
  <si>
    <t xml:space="preserve">HSBC Holdings PLC and Massachusetts Institute of Technology{MIT} planned to
form a strategic alliance. The purpose of strategic alliance is to enable
HSBC to be able to monitor research development, identify and make use of
MIT resources of interest, arrange expert face-to-face meetings with
faculty, and leverage innovation from MIT-connected startups. The
partnership also provides HSBC with the ability to attract and recruit top
talent from the university.</t>
  </si>
  <si>
    <t xml:space="preserve">404280
57571T</t>
  </si>
  <si>
    <t xml:space="preserve">Tamid Bio Inc
University of North Carolina</t>
  </si>
  <si>
    <t xml:space="preserve">Tamid Bio Inc is a
manufacturer of biological
products. The Company was
founded in June 2015 and is
located in Na02, New York.
University</t>
  </si>
  <si>
    <t xml:space="preserve">Fortress Biotech Inc
University of North Carolina</t>
  </si>
  <si>
    <t xml:space="preserve">TAMID BIO INC/UNIVERSITY OF NORTH CAROLINA-STRATEGIC ALLIANCE</t>
  </si>
  <si>
    <t xml:space="preserve">Tamid Bio Inc and University of North Carolina at Chapel Hill formed a
strategic alliance. The purpose of strategic alliance was to develop novel
gene therapies in areas of unmet medical need and for the development &amp;
coomercialisayion of three preclinical gene therapies that could treat an
eye disease, certain muscular dystrophies and rejection of corneal
transplants.</t>
  </si>
  <si>
    <t xml:space="preserve">1J9234
914710</t>
  </si>
  <si>
    <t xml:space="preserve">Tata Motors Ltd
IIT BHU</t>
  </si>
  <si>
    <t xml:space="preserve">Mnfr,whl motor vehicles, parts
Colleges, Universities, and Professional Schools</t>
  </si>
  <si>
    <t xml:space="preserve">Tata Motors Ltd manufactures
and wholesales motor
vehicles and parts. The
Company''s automotive
segment consists of
commercial and passenger
automobile manufacturing as
well as financing of the
vehicles sold by the
company. Other activities
primarily include the
manufacture of construction
equipment and software
operations. It has
operations in the United
Kingdom, South Korea,
Thailand and Spain. The
Company was founded in
September 1945 and is
located in Mumbai, India.
Indian Institute Of
Technology Bhu Varanasi is a
college operator. The
Company is located in India.</t>
  </si>
  <si>
    <t xml:space="preserve">TATA MOTORS LTD/INDIAN INSTITUTE OF TECHNOLOGY BHU VARANASI-STRATEGIC
ALLIANCE</t>
  </si>
  <si>
    <t xml:space="preserve">Tata Motors Ltd and Indian Institute Of Technology Bhu Varanasi planned to
form a strategic alliance. The purpose of strategic alliance were to work
in areas of mutual interest, with an aim to cater to the future engineering
needs of the industry and academia.</t>
  </si>
  <si>
    <t xml:space="preserve">876568
1J8748</t>
  </si>
  <si>
    <t xml:space="preserve">Expres2ion Biotechnologies ApS
Intravacc</t>
  </si>
  <si>
    <t xml:space="preserve">Biological Product (Except Diagnostic) Manufacturing
Research and Development in The Physical, Engineering and Lifesciences (Except Biotechnology)</t>
  </si>
  <si>
    <t xml:space="preserve">Expres2ion Biotechnologies ApS
is a manufacturer of
biological products. The
Company was founded in 2010
and is located in Hoersholm,
Denmark.
Intravacc is a provider of
research and development
services. The Company is
located in Bilthoven, the
Netherlands.</t>
  </si>
  <si>
    <t xml:space="preserve">ExpreS2ion Biotech Holding AB
Intravacc</t>
  </si>
  <si>
    <t xml:space="preserve">Sweden
Netherlands</t>
  </si>
  <si>
    <t xml:space="preserve">EXPRES2ION BIOTECHNOLOGIES APS/INTRAVACC-STRATEGIC ALLIANCE</t>
  </si>
  <si>
    <t xml:space="preserve">Expres2ion Biotechnologies ApS and Intravacc formed a strategic alliance to
service customers and collaboration partners across the full value chain of
development of vaccines, from discovery up till GMP production and clinical
trials.</t>
  </si>
  <si>
    <t xml:space="preserve">6F9060
1H7424</t>
  </si>
  <si>
    <t xml:space="preserve">Huawei Technologies Co Ltd
Trinity College Dublin</t>
  </si>
  <si>
    <t xml:space="preserve">Provide information tech svcs
Own,operate college</t>
  </si>
  <si>
    <t xml:space="preserve">Huawei Technologies Co Ltd
is a software publisher. The
Company was founded in 1987
and is located in Shenzhen,
China.
Trinity College Dublin,
located in Ireland, owns and
operates college.</t>
  </si>
  <si>
    <t xml:space="preserve">Union of Huawei Invest &amp; Hldg
University of Colorado</t>
  </si>
  <si>
    <t xml:space="preserve">HUAWEI TECHNOLOGIES CO LTD/TRINITY COLLEGE DUBLIN-STRATEGIC ALLIANCE</t>
  </si>
  <si>
    <t xml:space="preserve">Huawei Technologies Co Ltd and Trinity College Dublin planned to form a
strategic alliance.The purpose of the strategic alliance was to R&amp;D
operation, which is growing from a small team to nearly 20 highly-skilled
staff.</t>
  </si>
  <si>
    <t xml:space="preserve">44334L
89648Q</t>
  </si>
  <si>
    <t xml:space="preserve">Bone Therapeutics SA
Sellera Farm</t>
  </si>
  <si>
    <t xml:space="preserve">Biological Product (Except Diagnostic) Manufacturing
Research and Development in The Social Sciences and Humanities</t>
  </si>
  <si>
    <t xml:space="preserve">Bone Therapeutics SA is a
manufacturer of biological
products. It develops
products related to
orthopaedics sector and bone
diseases. The Company was
founded in 2006 and is
located in Gosselies,
Belgium.
Sellera Farm OOO is a provider
of social sciences research
and development services. The
company is located in Poselok
Volginskii, the Russian Fed.</t>
  </si>
  <si>
    <t xml:space="preserve">Bone Therapeutics SA
Augment Investments</t>
  </si>
  <si>
    <t xml:space="preserve">Belgium
Cyprus</t>
  </si>
  <si>
    <t xml:space="preserve">BONE THERAPEUTICS SA/SELLERA FARM OOO-STRATEGIC ALLIANCE</t>
  </si>
  <si>
    <t xml:space="preserve">Bone Therapeutics SA and Sellera Farm OOO planned to form a strategic
alliance to collaborate in the field of cell-based therapies for
orthopaedics and bone diseases.</t>
  </si>
  <si>
    <t xml:space="preserve">5C5418
5E7887</t>
  </si>
  <si>
    <t xml:space="preserve">Almirall SA
Athenex Inc</t>
  </si>
  <si>
    <t xml:space="preserve">Almirall SA, located in
Barcelona, Spain is a
company principally engaged
in the pharmaceuticals
manufacture. The Company
focuses on development and
marketing of drugs applied
in various therapeutic
areas, such as nervous
system, gastrointestinal,
dermatological, respiratory
system, antiinfectives, as
well as antineoplastic and
immunomodulating agents. The
Company's activities are
divided into four business
segments: Own network, which
focuses on the
commercialization of
pharmaceuticals through own
brand names; Licenses, which
sells product rights to
third parties; Research and
development (R&amp;D), which is
responsible for the creation
of drug candidates, as well
as Dermatology, which
includes sale of
dermatological medicines in
the United States. The
Company operates through
numerous subsidiaries in
Europe, the Americas,
Africa, Asia and Australia.
The Company was founded in
1943.
Kinex Pharmaceuticals Inc,
based in Buffalo, New York,
is a pharmaceutical company
focused on the development
and commercialization of
next generation therapies
for cancer and
immunomodulatory diseases.
The company's products
include Oraxol, an oral
formulation of paclitaxel
for breast, lung, ovarian,
and pancreatic cancer
patients; Oratecan, an oral
formulation of Irinotecan,
used in the treatment of
colorectal cancers; KX01, an
inhibitor of Src tyrosine
kinase signaling and tubulin
polymerization; and KX02, a
dual src/pretubulin
inhibitor to eliminate
glioblastoma. It has offices
in the United States,
Taiwan, and Hong Kong. The
company was founded in 2004.</t>
  </si>
  <si>
    <t xml:space="preserve">Grupo Corporativo Landon SL
Athenex Inc</t>
  </si>
  <si>
    <t xml:space="preserve">ALMIRALL SA/ATHENEX INC-STRATEGIC ALLIANCE</t>
  </si>
  <si>
    <t xml:space="preserve">Almirall SA and Athenex Inc planned to form a strategic alliance.The
purpose of the strategic alliance is to further develop and commercialize
KX2-391 for the treatment of actinic keratosis and other skin conditions.</t>
  </si>
  <si>
    <t xml:space="preserve">E0459K
04685N</t>
  </si>
  <si>
    <t xml:space="preserve">Vernalis PLC
Daiichi Sankyo Co Ltd</t>
  </si>
  <si>
    <t xml:space="preserve">Pharma manufacturer
Mnfr,whl pharmaceuticals</t>
  </si>
  <si>
    <t xml:space="preserve">Vernalis PLC is a
manufacturer of
pharmaceutical preparation.
The Company is a commercial
stage pharmaceutical company
with three marketed
products; Tuzistra XR in the
US prescription cough cold
market, Moxatag, a
once-a-day formulation of
the antibiotic amoxicillin,
also for the US prescription
market, and frovatriptan an
acute treatment for
migraine. The Company also
has four further
prescription cough cold
products under development
with Tris and a broad
pipeline of research and NCE
development programmes. The
Company is located in
Winnersh, the United
Kingdom.
Daiichi Sankyo Co Ltd is
located in Chuo-Ku Tokyo,
Japan, mainly engaged in the
manufacture and sale of
pharmaceuticals. The Company
is involved in the research,
development, manufacture and
sale of pharmaceuticals, as
well as the provision of
intermediates and basic
materials for pharmaceutical
producing in Japan, the
United States, Europe and
other markets. The Company
is also engaged in the
research, development,
over-the-counter drugs and
vaccines, the provision of
administrative services such
as human resources and
accounting services, real
estate leasing and insurance
agency business. The Company
was founded in 2005.</t>
  </si>
  <si>
    <t xml:space="preserve">VERNALIS PLC/DAIICHI SANKYO CO LTD-STRATEGIC ALLIANCE</t>
  </si>
  <si>
    <t xml:space="preserve">Vernalis PLC and Daiichi Sankyo Co Ltd formed a strategic alliance.The
purpose of the strategic alliance was to endorse of our market leading
fragment and structure-based drug discovery platform</t>
  </si>
  <si>
    <t xml:space="preserve">92430N
J11257</t>
  </si>
  <si>
    <t xml:space="preserve">Ono Pharmaceutical Co Ltd
Bristol-Myers Squibb-IXEMPRA</t>
  </si>
  <si>
    <t xml:space="preserve">Ono Pharmaceutical Co Ltd,
located in Osaka, Japan,
manufactures and wholesales
pharmaceuticals and
diagnostic reagents focusing
primarily on prescription
pharmaceuticals. The company
was founded in 1717.
Ixempra of Bristol-Myers
Squibb Co, located in New
York.</t>
  </si>
  <si>
    <t xml:space="preserve">Ono Pharmaceutical Co Ltd
Bristol-Myers Squibb Co</t>
  </si>
  <si>
    <t xml:space="preserve">ONE PHARMACEUTICAL CO LTD/BRISTOL-MYERS SQUIBB CO-IXEMPRA-STRATEGIC
ALLIANCE</t>
  </si>
  <si>
    <t xml:space="preserve">One Pharmaceutical Co Ltd and Bristol-Myers Squibb Co-IXEMPRA formed a
strategic alliance. The purpose of strategic alliance is to enable
Bristol-Myers Squibb to strengthen its oncology development program with
potential to expand and enhance the benefit of immunotherapy in a broad
range of tumor indications.</t>
  </si>
  <si>
    <t xml:space="preserve">68273Q
9C7266</t>
  </si>
  <si>
    <t xml:space="preserve">Research Now Group Inc
FullContact Inc</t>
  </si>
  <si>
    <t xml:space="preserve">Marketing Research and Public Opinion Polling
Human Resources and Executive Search Consulting Services</t>
  </si>
  <si>
    <t xml:space="preserve">Research Now Group Inc,
located in Plano, Texas, is a
provider of digital data
market research services. The
company hosts opinion polls
through the internet. The
company operates a strong
portfolio of brands including
Research Now, e-Miles, and
Peanut Labs. The company was
founded in 1999.
FullContact Inc is a
provider of human resources
and executive search
consulting services. It
bridges the gap of
professionals and
enterprises through
connected contact platform
management. The Company is
located in Denver, Colorado
and was founded in 2010.</t>
  </si>
  <si>
    <t xml:space="preserve">8732
8748</t>
  </si>
  <si>
    <t xml:space="preserve">Court Square Capital Partners
FullContact Inc</t>
  </si>
  <si>
    <t xml:space="preserve">6799
8748</t>
  </si>
  <si>
    <t xml:space="preserve">RESEARCH NOW GROUP INC/FULLCONTACT INC-STRATEGIC ALLIANCE</t>
  </si>
  <si>
    <t xml:space="preserve">Research Now Group Inc and FullContact Inc planned to form a strategic
alliance. The purpose of strategic alliance was to allow social data to be
appended to survey data or incorporated into sample selection to spur fresh
thinking about potential customers and prospects.</t>
  </si>
  <si>
    <t xml:space="preserve">5C7009
8A5027</t>
  </si>
  <si>
    <t xml:space="preserve">Cerveau Technologies Inc
KU Leuven VZW</t>
  </si>
  <si>
    <t xml:space="preserve">Pharmaceutical Preparation Manufacturing
Investment Company</t>
  </si>
  <si>
    <t xml:space="preserve">Cerveau Technologies Inc is
a manufacturer of
pharmaceutical preparation.
The Company is located in
Boston, Massachusetts.
KULeuven, located in Leuven,
Belgium, provides educational
services. It also acts as an
investment company.</t>
  </si>
  <si>
    <t xml:space="preserve">CERVEAU TECHNOLOGIES INC/KU LEUVEN VZW-STRATEGIC ALLIANCE</t>
  </si>
  <si>
    <t xml:space="preserve">Cerveau Technologies Inc and KU Leuven VZW formed a strategic alliance to
support multiple projects over the next several years.</t>
  </si>
  <si>
    <t xml:space="preserve">2F8524
50770T</t>
  </si>
  <si>
    <t xml:space="preserve">Actifio
ZE PowerGroup Inc</t>
  </si>
  <si>
    <t xml:space="preserve">Custom Computer Programming Services
Custom Computer Programming Services</t>
  </si>
  <si>
    <t xml:space="preserve">Actifio's products are able
to reduce unnecessary
duplication of application
data and software
requirements for its
users.[3]The technology is
designed to maintain data
integrity while ensuring
rapid access to that data
throughout its entire life
cycle.
Ze Powergroup Inc is a
provider of custom computer
programming services. The
Company was founded in 1970
and is located in Richmond,
Canada.</t>
  </si>
  <si>
    <t xml:space="preserve">ACTIFIO/ZE POWERGROUP INC-STRATEGIC ALLIANCE</t>
  </si>
  <si>
    <t xml:space="preserve">Actifio and Ze Powergroup Inc formed a strategic alliance. The purpose of
strategic alliance was to virtualize its database, increase revenue, and
accelerate testing by providing self-service and automation.</t>
  </si>
  <si>
    <t xml:space="preserve">1J3058
1J8483</t>
  </si>
  <si>
    <t xml:space="preserve">VIQ Solutions Inc
Pesa Switching Systems(Pesa)
University of Virginia Medical</t>
  </si>
  <si>
    <t xml:space="preserve">Develop prepackaged software
Mnfr radio,tv commun equipment
Pvd medical/health svcs</t>
  </si>
  <si>
    <t xml:space="preserve">VIQ Solutions Inc, located
in Mississauga, Ontario,
develops computer-based
digital audio and video
capture and management
software. Its solutions
offers capture, digitize,
and compress audio and video
data. It subsidiary includes
Spark &amp; Cannon Australasia
Pty Ltd, which provides
reporting and transcription
services. It also operates
in Ontario, Canada. The
Company was founded on
November 10, 2014.
Manufacture radio and
television communications
equipment
Provide medical/health
services</t>
  </si>
  <si>
    <t xml:space="preserve">7372
3663
8099</t>
  </si>
  <si>
    <t xml:space="preserve">FF
AL
VA</t>
  </si>
  <si>
    <t xml:space="preserve">VIQ Solutions Inc
Sepa Technologies
University of Virginia Medical</t>
  </si>
  <si>
    <t xml:space="preserve">Canada
Spain
United States</t>
  </si>
  <si>
    <t xml:space="preserve">7372
3679
8099</t>
  </si>
  <si>
    <t xml:space="preserve">VIQ SOLUTIONS INC/PESA SWITCHING SYSTEMS INC/UNIVERSITY OF VIRGINIA
MEDICAL-STRATEGIC ALLIANCE</t>
  </si>
  <si>
    <t xml:space="preserve">VIQ Solutions Inc, Pesa Switching Systems Inc (Pesa Inc/Pesa Electronica
SA/Amper) and University of Virginia Medical Center planned to form a
strategic alliance. The purpose of strategic alliance is for VIQ Satellite
AV capture, management, and collaborative web portal solution.</t>
  </si>
  <si>
    <t xml:space="preserve">Management Services
Research &amp; Development Services</t>
  </si>
  <si>
    <t xml:space="preserve">91825V
71571F
91521E</t>
  </si>
  <si>
    <t xml:space="preserve">Remynd NV
Novo Nordisk A/S</t>
  </si>
  <si>
    <t xml:space="preserve">Research and Development in Biotechnology
Healthcare company</t>
  </si>
  <si>
    <t xml:space="preserve">Remynd NV is a provider of
biotechnology research and
development services. The
Company was founded in
February 2002 and is located
in Heverlee, Belgium.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</si>
  <si>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Remynd NV
Novo Nordisk Foundation</t>
  </si>
  <si>
    <t xml:space="preserve">8731
6732</t>
  </si>
  <si>
    <t xml:space="preserve">REMYND NV/NOVO NORDISK A/S-STRATEGIC ALLIANCE</t>
  </si>
  <si>
    <t xml:space="preserve">Remynd NV and Novo Nordisk A/S formed a strategic alliance to further
develop novel treatments improving beta-cell health and insulin signaling.</t>
  </si>
  <si>
    <t xml:space="preserve">1H7827
670100</t>
  </si>
  <si>
    <t xml:space="preserve">Luxottica Group SpA
Tiffany &amp; Co</t>
  </si>
  <si>
    <t xml:space="preserve">Ophthalmic Goods Manufacturing
Retails and manufactures jewelries</t>
  </si>
  <si>
    <t xml:space="preserve">Luxottica Group SpA, located
in Milan, Italy,
manufactures, retails and
wholesales traditional and
designer eyewear, such as
eyeglass frames and
sunglasses for the mid and
high priced segments of the
market covering 130
countries. The Company is
engaged in the design,
manufacture and distribution
of fashion, luxury, sport
and performance eyewear. It
operates through two
segments: manufacturing and
wholesale distribution, and
retail distribution. Through
its manufacturing and
wholesale distribution
operations, the Company is
engaged in design,
manufacturing, wholesale
distribution and marketing
of brands and designer lines
of prescription frames and
sunglasses, as well as of
performance optics products.
It operates its retail
segment principally through
its retail brands, which
include LensCrafters,
Sunglass Hut, Pearle Vision,
ILORI, The Optical Shop of
Aspen, GMO, OPSM, Laubman &amp;
Pank, Oakley O Stores and
Vaults, David Clulow, and
its retail licensed brands,
Sears Optical and Target
Optical. The Company's
network covers over 150
countries across five
continents and has
approximately 50 commercial
subsidiaries.Its brands
include Ray-Ban, Vogue,
Revo, Oakley and Tersol. The
Company was founded in 1961.
Tiffany &amp; Co, located in New
York City, New York, retails
and manufactures jewelries.
It offers timepieces,
leather goods, sterling
silverware, china, crystal,
stationery, fragrances and
accessories. It also sells
its products through
internet, catalog,
business-to-business and
wholesale operations. It is
a holding company for its
segments located in
Americas, Asia-Pacific,
Japan, and Europe. The
Company was founded on
September 18, 1837.</t>
  </si>
  <si>
    <t xml:space="preserve">3851
5944</t>
  </si>
  <si>
    <t xml:space="preserve">Delfin Sarl
Tiffany &amp; Co</t>
  </si>
  <si>
    <t xml:space="preserve">LUXOTTICA GROUP SPA/TIFFANY &amp; CO-STRATEGIC ALLIANCE</t>
  </si>
  <si>
    <t xml:space="preserve">Luxottica Group SpA and Tiffany Co extended their strategic alliance. The
purpose of strategic alliance is for the development, production and
worldwide distribution of sunglasses and prescription frames under the
Tiffany &amp; Co brand.</t>
  </si>
  <si>
    <t xml:space="preserve">55068R
886547</t>
  </si>
  <si>
    <t xml:space="preserve">TFS International Ltd
OmniComm Systems Inc</t>
  </si>
  <si>
    <t xml:space="preserve">Mnfr semiconductors
Pvd web-based software svcs</t>
  </si>
  <si>
    <t xml:space="preserve">Manufacture semiconductors
OmniComm Systems Inc,
located in Fort Lauderdale,
Florida, provides web-based
software services to
pharmaceutical, biotech, and
medical device companies
that integrate the
significant elements of the
clinical trial process, data
collection, data validation
and reporting. Its principal
product is called
TrialMaster eClinical Suite
specialized in electronic
data capture (EDC) for
clinical trials. The company
has operations in
California, Maryland, New
York, North Carolina and
Texas, and in Europe through
its unit OmniComm Europe
GmbH, based in Bonn,
Germany. It was founded as
Coral Development Corp in
1996.</t>
  </si>
  <si>
    <t xml:space="preserve">Three Five Systems Inc
OmniComm Systems Inc</t>
  </si>
  <si>
    <t xml:space="preserve">TFS INTERNATIONAL LTD/OMNICOMM SYSTEMS INC-STRATEGIC ALLIANCE</t>
  </si>
  <si>
    <t xml:space="preserve">TFS International Ltd and OmniComm Systems Inc formed a strategic alliance.
The purpose of strategic alliance was to develop clinical studies in
multiple TFS research sites around the world.</t>
  </si>
  <si>
    <t xml:space="preserve">88577T
68212U</t>
  </si>
  <si>
    <t xml:space="preserve">Chery Automobile Co Ltd
NQ Mobile Inc</t>
  </si>
  <si>
    <t xml:space="preserve">Automobile Manufacturing
Provide mobile security svcs</t>
  </si>
  <si>
    <t xml:space="preserve">Chery Automobile Co Ltd,
located in China,
manufactures and wholesales
motor vehicles. The company
was founded in January 1997.
NQ Mobile Inc is a software
publisher. The Company was
founded in 2005 and is
located in Beijing, China.</t>
  </si>
  <si>
    <t xml:space="preserve">3711
7372</t>
  </si>
  <si>
    <t xml:space="preserve">Shanghai Automotive Ind Corp
NQ Mobile Inc</t>
  </si>
  <si>
    <t xml:space="preserve">CHERY AUTOMOBILE CO LTD/LINK MOTION INC-STRATEGIC ALLIANCE</t>
  </si>
  <si>
    <t xml:space="preserve">Chery Automobile Co Ltd and NQ Mobile Inc formed a strategic alliance,
provide research and development services on technology platform for the
future connected automobiles.</t>
  </si>
  <si>
    <t xml:space="preserve">6F5733
64118U</t>
  </si>
  <si>
    <t xml:space="preserve">Wuxi Biologics (Cayman) Inc
Phanes Therapeutics Inc</t>
  </si>
  <si>
    <t xml:space="preserve">Wuxi Biologics (Cayman) Inc,
located in Shanghai, China
is an investment holding
company. The Company along
with its subsidiaries is
mainly engaged in the
discovery, research and
development, manufacturing
and sales of biologics
products. The Company''s
primary products include the
clinical active
pharmaceutical ingredients,
sterile liquid preparations,
freeze-dried preparations,
as well as small molecules
antibiotics for injection
drugs. The Company mainly
distributes its products in
the United States of America
(USA) and the Peoples
Republic of China (PRC)
markets.
Phanes Therapeutics Inc is a
provider of biotechnology
research and development
services. The Company was
founded in July 2016 and is
located in San Diego,
California.</t>
  </si>
  <si>
    <t xml:space="preserve">New Wuxi Life Science Hldg Ltd
Phanes Therapeutics Inc</t>
  </si>
  <si>
    <t xml:space="preserve">WUXI BIOLOGICS (CAYMAN) INC/PHANES THERAPEUTICS INC-STRATEGIC ALLIANCE</t>
  </si>
  <si>
    <t xml:space="preserve">Wuxi Biologics (Cayman) Inc and Phanes Therapeutics Inc formed a strategic
alliance in United States to form a strategic biologics development and
manufacturing partnership. Under the partnership, WuXi Biologics will be
the exclusive clinical manufacturer for multiple biologics molecules for
Phanes worldwide. WuXi Biologics will also be Phanes' preferred partner to
manufacture potential new products.</t>
  </si>
  <si>
    <t xml:space="preserve">0F6437
9H8495</t>
  </si>
  <si>
    <t xml:space="preserve">Lightsource Renewable Energy
BP PLC</t>
  </si>
  <si>
    <t xml:space="preserve">Other Electric Power Generation
Oil and gas company</t>
  </si>
  <si>
    <t xml:space="preserve">Lightsource Renewable Energy
Holdings Ltd is an electric
power generation facility
operator. The Company was
founded in March 2015 and is
located in London, the
United Kingdom.
BP PLC, located in London,
the United Kingdom, is an
oil and gas company. Its
segments include Upstream,
Downstream, Rosneft, and
Other businesses and
corporate. The Upstream
segment is engaged in oil
and natural gas exploration,
field development and
production, as well as
midstream transportation,
storage and processing. The
Downstream segment has
global manufacturing and
marketing operations. The
Rosneft segment has a
resource base of
hydrocarbons onshore and
offshore. The Other
businesses and corporate
segment comprises the
biofuels and wind
businesses, shipping and
treasury functions, and
corporate activities around
the world. It provides its
customers with fuel for
transportation, energy for
heat and light, lubricants
to keep engines moving and
the petrochemicals products
used to make everyday items
as diverse as paints,
clothes and packaging. The
Company was founded on April
14, 1909.</t>
  </si>
  <si>
    <t xml:space="preserve">4911
2911</t>
  </si>
  <si>
    <t xml:space="preserve">LIGHTSOURCE RENEWABLE ENERGY HOLDINGS LTD/BP PLC-STRATEGIC ALLIANCE</t>
  </si>
  <si>
    <t xml:space="preserve">Lightsource Renewable Energy Holdings Ltd and BP PLC formed a strategic
alliance. The purpose of strategic alliance is to drive growth in solar
power development worldwide.</t>
  </si>
  <si>
    <t xml:space="preserve">0H7106
055622</t>
  </si>
  <si>
    <t xml:space="preserve">Orchard Therapeutics Ltd
Genethon SA</t>
  </si>
  <si>
    <t xml:space="preserve">Research and Development in The Social Sciences and Humanities
Pvd commercial research svcs</t>
  </si>
  <si>
    <t xml:space="preserve">Orchard Therapeutics Ltd is
a provider of social
sciences research and
development services. The
Company was founded in
September 2015 and is
located in London, the
United Kingdom and also has
office in US.
Genethon SA is a provider of
research and development
services. The Company is
located in Evry, France.</t>
  </si>
  <si>
    <t xml:space="preserve">ORCHARD THERAPEUTICS LTD/GENETHON SA-STRATEGIC ALLIANCE</t>
  </si>
  <si>
    <t xml:space="preserve">Orchard Therapeutics Ltd and Genethon SA formed a strategic alliance to
develop gene therapy for X-linked chronic granulomatous disease.</t>
  </si>
  <si>
    <t xml:space="preserve">0F7591
37184N</t>
  </si>
  <si>
    <t xml:space="preserve">Horizon Discovery Group PLC
Roche Diagnostics Corp</t>
  </si>
  <si>
    <t xml:space="preserve">Biological Product (Except Diagnostic) Manufacturing
Mnfr diagnostic equip,prod</t>
  </si>
  <si>
    <t xml:space="preserve">Horizon Discovery Group PLC,
located in Cambridge, UK, is
a life sciences company that
supplies research tools to
organizations engaged in
genomics research and the
development of personalized
medicines. It offers
genetically-defined cell
lines, reporter gene assay
kits, genomic reference
standards and contract
research services to
bio-pharmaceutical process
optimization, drug discovery
&amp; development, and clinical
diagnostic development
sectors.
Roche Diagnostics Corp,
located in Indianapolis,
Indiana, manufactures
diagnostic equipment, products
and hematology instruments.
These are used for early
detection, targeted screening,
evaluation and monitoring of
the diseases. The company was
founded in 1968.</t>
  </si>
  <si>
    <t xml:space="preserve">Horizon Discovery Group PLC
Roche Holdings AG</t>
  </si>
  <si>
    <t xml:space="preserve">HORIZON DISCOVERY GROUP PLC/ROCHE DIAGNOSTICS CORP-STRATEGIC ALLIANCE</t>
  </si>
  <si>
    <t xml:space="preserve">Horizon Discovery Group PLC and Roche Diagnostics Corp formed a strategic
alliance to develop and provide Reference Standard material expressing
neurotrophic tropomyosin receptor kinase (NTRK) fusion biomarkers.</t>
  </si>
  <si>
    <t xml:space="preserve">9A1489
77117P</t>
  </si>
  <si>
    <t xml:space="preserve">PAION AG
Mundipharma Int Ltd</t>
  </si>
  <si>
    <t xml:space="preserve">Manufacture,wholesale pharmaceutical products
Manufacture pharmaceuticals</t>
  </si>
  <si>
    <t xml:space="preserve">PAION AG, loctaed in Aachen,
Germany, manufactures and
wholesales pharmaceutical
products for treatment of
stroke and other thrombotic
diseases. Its lead compound
includes Remimazolam, a
short-acting general
anaesthetic/sedative agent
that is in Phase-III clinical
trials for the treatment of
anaesthesia and procedural
sedation, as well as in
Phase-II clinical trials for
ICU sedation. The Company was
founded in 2000.
Mundipharma Int Ltd is a
manufacturer of
pharmaceutical preparation.
The Company was founded in
1992 and is located in
Cambridge, the United
Kingdom.</t>
  </si>
  <si>
    <t xml:space="preserve">PAION AG/MUNDIPHARMA INT LTD-STRATEGIC ALLIANCE</t>
  </si>
  <si>
    <t xml:space="preserve">PAION AG and Mundipharma Int Ltd formed a strategic alliance to develop and
commercialize remimazolam in Japan.</t>
  </si>
  <si>
    <t xml:space="preserve">69579J
62615M</t>
  </si>
  <si>
    <t xml:space="preserve">Tripwire Inc
Incedo Inc</t>
  </si>
  <si>
    <t xml:space="preserve">Pvd info tech security svcs
Provide information tech svcs</t>
  </si>
  <si>
    <t xml:space="preserve">Tripwire Inc, located in
Portland, Oregon, develops
security and compliance
solutions. It has operations
in North America, EMEA, and
Asia. The company was
incorporated in September
1997.
Incedo Inc, provides
information technology
services. The Company was
founded in 2011 and is located
in Santa Clara, California.</t>
  </si>
  <si>
    <t xml:space="preserve">7376
7376</t>
  </si>
  <si>
    <t xml:space="preserve">OR
CA</t>
  </si>
  <si>
    <t xml:space="preserve">Belden Inc
Incedo Inc</t>
  </si>
  <si>
    <t xml:space="preserve">3357
7376</t>
  </si>
  <si>
    <t xml:space="preserve">TRIPWIRE INC/INCEDO INC-STRATEGIC ALLIANCE</t>
  </si>
  <si>
    <t xml:space="preserve">Tripwire Inc and Incedo Inc formed a strategic alliance to expand
Tripwire's engineering capabilities with Incedo resources. Under the
agreement, Incedo will launch a research and development and product
engineering development center for cybersecurity solutions.</t>
  </si>
  <si>
    <t xml:space="preserve">Computer Integrated Systems Svcs
Engineering Services
Research &amp; Development Services</t>
  </si>
  <si>
    <t xml:space="preserve">89689R
6E6096</t>
  </si>
  <si>
    <t xml:space="preserve">DelSiTech Oy
Chem Tech Research Inc</t>
  </si>
  <si>
    <t xml:space="preserve">DelSiTech Oy is a provider
of biotechnology research
and development services.
The Company was founded in
April 2001 and is located in
Turku, Finland.
Chem Tech Research Inc, is a
pharmaceutical manufacturing
firm, headquartered in
Namyangju, South Korea. It
was founded in 1998.
Namyangju, South Korea.</t>
  </si>
  <si>
    <t xml:space="preserve">Finland
South Korea</t>
  </si>
  <si>
    <t xml:space="preserve">DELSITECH OY/CHEM TECH RESEARCH INC-STRATEGIC ALLIANCE</t>
  </si>
  <si>
    <t xml:space="preserve">DelSiTech Oy and Chem Tech Research Inc formed a strategic alliance to
develop long-acting controlled release formulations with significant
commercial potential.</t>
  </si>
  <si>
    <t xml:space="preserve">1H8945
9A7217</t>
  </si>
  <si>
    <t xml:space="preserve">Sensorion SA
Cochlear Ltd</t>
  </si>
  <si>
    <t xml:space="preserve">Pharmaceutical Preparation Manufacturing
Mnfr surgical,med instruements</t>
  </si>
  <si>
    <t xml:space="preserve">Sensorion SA is a
manufacturer of
pharmaceutical preparation.
It specializes in therapies
for deb ilitationg inner ear
disorders. The Company was
founded in 2009 and is
located in Montpellier,
France.
Cochlear Australia, located
in New South Wales,
Australia, is involved in
the design, development, and
manufacture of implantable
devices for the hearing
impaired. Its products
include Nucleus 22 and Baha.
The company was founded in
1983.</t>
  </si>
  <si>
    <t xml:space="preserve">France
Australia</t>
  </si>
  <si>
    <t xml:space="preserve">SENSORION SA/COCHLEAR LTD-STRATEGIC ALLIANCE</t>
  </si>
  <si>
    <t xml:space="preserve">Sensorion SA and Cochlear Ltd formed a strategic alliance to study
combination therapies for cochlear implant patients.</t>
  </si>
  <si>
    <t xml:space="preserve">4A0888
19145R</t>
  </si>
  <si>
    <t xml:space="preserve">Science Exchange Inc
Breakout Labs</t>
  </si>
  <si>
    <t xml:space="preserve">Research and Development in Biotechnology
Environmental Consulting Services</t>
  </si>
  <si>
    <t xml:space="preserve">Science Exchange Inc is a
provider of biotechnology
research and development
services. The Company is
located in Palo Alto,
California.
Breakout Labs is a
grantmaking foundation. The
Company is located in
California.</t>
  </si>
  <si>
    <t xml:space="preserve">SCIENCE EXCHANGE INC/BREAKOUT LABS-STRATEGIC ALLIANCE</t>
  </si>
  <si>
    <t xml:space="preserve">Science Exchange Inc and Breakout Labs formed a strategic alliance.to
Empower its Portfolio Companies with External Research Innovations</t>
  </si>
  <si>
    <t xml:space="preserve">4E7689
1J9116</t>
  </si>
  <si>
    <t xml:space="preserve">Globavir Biosciences Inc
SingHealth Medical Centre</t>
  </si>
  <si>
    <t xml:space="preserve">Research and Development in The Social Sciences and Humanities
Pvd health svcs</t>
  </si>
  <si>
    <t xml:space="preserve">Globavir Biosciences Inc is a
provider of social sciences
research and development
services. The company was
founded in June 2013 and is
located in Los Altos,
California.
Provide health svcs</t>
  </si>
  <si>
    <t xml:space="preserve">GLOBAVIR BIOSCIENCES INC/SINGHEALTH MEDICAL CENTRE-STRATEGIC ALLIANCE</t>
  </si>
  <si>
    <t xml:space="preserve">Globavir Biosciences Inc and SingHealth Medical Centre planned to form a
strategic alliance. The purpose of the strategic alliance is to conduct
research for the treatment of dengue and chikungunya through its newly
established Viral Research and Experimental Medicine Centre.</t>
  </si>
  <si>
    <t xml:space="preserve">0F1832
83018W</t>
  </si>
  <si>
    <t xml:space="preserve">Lens International (HK) Ltd
Shandong Sinocera Functional</t>
  </si>
  <si>
    <t xml:space="preserve">Wholesale Trade Agents and Brokers
All Other Basic Inorganic Chemical Manufacturing</t>
  </si>
  <si>
    <t xml:space="preserve">Lens International (HK) Ltd is
a wholesale trade agent. The
company is located in Hong
Kong.
Shandong Sinocera Functional
Material Co Ltd is a
manufacturer and wholesaler
of inorganic chemicals. The
Company was founded in April
2005 and is located in
Dongying, China.</t>
  </si>
  <si>
    <t xml:space="preserve">5131
2819</t>
  </si>
  <si>
    <t xml:space="preserve">LENS Technology (HK) Co Ltd
Shandong Sinocera Functional</t>
  </si>
  <si>
    <t xml:space="preserve">6799
2819</t>
  </si>
  <si>
    <t xml:space="preserve">LENS INTERNATIONAL (HK) LTD/SHANDONG SINOCERA FUNCTIONAL-JOINT VENTURE</t>
  </si>
  <si>
    <t xml:space="preserve">Changsha Lens Sinocera New
Material Co Ltd is a
manufacturer and wholesaler
of inorganic chemicals. The
Company was founded in
January 2018 and is located
in Changsha, China.</t>
  </si>
  <si>
    <t xml:space="preserve">Lens International (HK) Ltd and Shandong Sinocera Functional Material Co
Ltd formed a 49:51 joint venture named Changsha Lens Sinocera New Material
Co Ltd to develop and manufacture ceramics materials. The JV was to be
capitalized at CNY 100 mil (USD 15.117 mil).</t>
  </si>
  <si>
    <t xml:space="preserve">The value was to be capitalized at CNY 100 mil (USD 15.117 mil).</t>
  </si>
  <si>
    <t xml:space="preserve">1H6575</t>
  </si>
  <si>
    <t xml:space="preserve">8E9847
84180K</t>
  </si>
  <si>
    <t xml:space="preserve">Onconova Therapeutics Inc
Hanx Biopharms Inc</t>
  </si>
  <si>
    <t xml:space="preserve">Manfr pharma preparations
biotechnology company</t>
  </si>
  <si>
    <t xml:space="preserve">Onconova Therapeutics Inc,
located in Newtown,
Pennsylvania, manufactures
pharmaceuticals
preparations. It is focused
on developing novel small
molecule drug candidates to
treat cancer. The company
was founded in December
1998.
Hanx Biopharmaceuticals Inc
is a manufacturer of
biological products. The
Company is located in China.</t>
  </si>
  <si>
    <t xml:space="preserve">ONCONOVA THERAPEUTICS INC/HANX BIOPHARMACEUTICALS INC-STRATEGIC ALLIANCE</t>
  </si>
  <si>
    <t xml:space="preserve">Onconova Therapeutics Inc and Hanx Biopharmaceuticals Inc formed a
strategic alliance to research, development, register and commercialization
of ON 123300, which is a first-in-class dual inhibitor of CDK4/6 + ARK5.</t>
  </si>
  <si>
    <t xml:space="preserve">68232V
1H4651</t>
  </si>
  <si>
    <t xml:space="preserve">F Hoffmann-La Roche Ltd
Confo Therapeutics NV</t>
  </si>
  <si>
    <t xml:space="preserve">F Hoffmann-La Roche Ltd,
located in Basel,
Switzerland, manufactures
pharmaceuticals, biological
products, medicines,
chemicals and wholesale
medical research
instruments. The Company
also provides research
services and acts as a
holding company. The Company
was founded in 1896.
Confo Therapeutics NV is a
provider of biotechnology
research and development
services. The Company was
founded in June 2015 and is
located in Brussels,
Belgium.</t>
  </si>
  <si>
    <t xml:space="preserve">Roche Holdings AG
Confo Therapeutics NV</t>
  </si>
  <si>
    <t xml:space="preserve">F HOFFMANN-LA ROCHE LTD/CONFO THERAPEUTICS NV-STRATEGIC ALLIANCE</t>
  </si>
  <si>
    <t xml:space="preserve">F Hoffmann-La Roche Ltd and Confo Therapeutics NV formed a strategic
alliance for the discovery, development and commercialization of novel,
small molecule agonists of an undisclosed G-protein coupled receptor (GPCR)
for the treatment of neurological and developmental disorders.</t>
  </si>
  <si>
    <t xml:space="preserve">7H3783
1H9083</t>
  </si>
  <si>
    <t xml:space="preserve">Turgut Ilaclari AS
Selexis SA</t>
  </si>
  <si>
    <t xml:space="preserve">Turgut Ilaclari AS is a
manufacturer of pharmaceutical
preparation. The company is
located in Istanbul, Turkey.
Selexis SA is a manufacturer
of biological products. The
Company is located in
Plan-Les-Ouates Geneva,
Switzerland.</t>
  </si>
  <si>
    <t xml:space="preserve">Turkey
Switzerland</t>
  </si>
  <si>
    <t xml:space="preserve">TURGUT ILACLARI AS/SELEXIS SA-STRATEGIC ALLIANCE</t>
  </si>
  <si>
    <t xml:space="preserve">Selexis SA and Turgut Ilaclari AS formed a strategic alliance to provide
Turgut with access to Selexis SUREtechnology Platform and SURE CHO-M Cell
Line for the development of a high-quality biosimilar product for the
treatment of two ultra-rare diseases: paroxysmal nocturnal hemoglobinuria
(PNH) and atypical hemolytic uremic syndrome (aHUS).</t>
  </si>
  <si>
    <t xml:space="preserve">4E0549
81652J</t>
  </si>
  <si>
    <t xml:space="preserve">Dongfeng Motor Corp
Chongqing Changan Auto Co Ltd
Shanghai Baolong Automotive
China Mobile Commun Grp Co
China United Network Commun
Didi Chuxing Tech Co Ltd
Guangzhou Auto Grp Co Ltd
Beijing Auto Research Inst Co
Zhengzhou Yutong Group Co Ltd
China Natl Heavy Duty Truck
China Automotive Engineering
China Automotive Tech &amp;
China N Inds Grp Co Ltd
Shanghai Songhong Smart Auto
Navinfo Co Ltd
TUS International Ltd
Jiangling Motors Group Co
Zhejiang Asia-Pacific
Wuhan Zhong Hai Ting Data
Beijing Shunyi Tech
China FAW Group Co Ltd</t>
  </si>
  <si>
    <t xml:space="preserve">Automobile Manufacturing
Automobile Manufacturing
All Other Motor Vehicle Parts Manufacturing
Pvd telecommun svcs
Wired Telecommunications Carriers
Software Publishers
Automobile Manufacturing
Pvd research, dvlp svcs
Mnfr,whl automobile parts
Heavy Duty Truck Manufacturing
Mnfr,whl auto prod
Research and Development in The Physical, Engineering and Lifesciences (Except Biotechnology)
Guided Missile and Space Vehicle Manufacturing
Pvd research, dvlp svcs
Search Detection Navigation Guidance Aeronautical and Nautical System and Instrument Manufacturing
Motor Vehicle Seating and Interior Trim Manufacturing
Mnfr,whl motor vehicles
Mnfr,whl auto brake sys
Develop software
Software Publishers
Automobile Manufacturing</t>
  </si>
  <si>
    <t xml:space="preserve">Dongfeng Motor Corp is a
manufacturer and wholesaler
of automobiles. The Company
was founded in June 1991 and
is located in Wuhan, China.
Chongqing Changan Automobile
Co Ltd is a manufacturer and
wholesaler of automobiles.
The Company was founded in
October 1996 and is located
in Chongqing, China.
Shanghai Baolong Automotive
Corp is a manufacturer of
motor vehicle parts. The
Company was founded in May
1997 and is located in
Shanghai, China.
China Mobile Communications
Group Co Ltd is a wired
telecommunications carrier.
The Company was founded in
April 2000 and is located in
Beijing, China.
China United Network
Communications Ltd is
principally engaged in the
telecommunication industry.
The cmpany operates business
through Mobile Communication
segment and Fixed Network
segment. Mobile Communication
segment provides global system
for mobile communications
(GSM) services and
3rd-generation (3G) services,
among others. Fixed Network
segment provides fixed network
broadband and data
communication services,
traditional fixed network
services and other services.
The company is also engaged in
broadband and convergence
businesses. The company
operates its business in
domestic markets. The company
was founded in July 1994 and
is located in Shanghai, China.
Didi Chuxing Technology Co
Ltd is a software publisher.
The Company was founded in
June 2012 and is located in
Beijing, China.
Guangzhou Automobile Group
Co Ltd located in Guangzhou,
China is a manufacturer of
automobiles. The Company was
founded in June 1997.
Beijing Automobile Research
Institute Co Ltd is a
provider of research and
development services. The
Company is located in China.
Zhengzhou Yutong Group Co
Ltd is a manufacturer of
motor vehicle parts. The
Company was founded in April
2003 and is located in
Zhengzhou, China.
China National Heavy Duty
Truck Group Co Ltd is a
manufacturer and wholesaler
of heavy duty trucks. The
Company was founded in May
2001 and is located in
Jinan, China.
China Automotive Engineering
Research Institute Co Ltd is
a manufacturer of
automobiles. The Company was
founded in January 2001 and
is located in Chongqing,
China.
China Automotive Technology
&amp; Research Center Co Ltd is
a provider of auto testing
and certification research,
auto industry planning and
policies research,
standardization and
technical regulation,
quality systems
certification, engineering
design, and training and
consultation services.The
Company was founded in 1985
and is located in Tianjin,
China.
China North Industries Group
Co Ltd located in Beijing,
China is a manufacturer of
guided missiles and space
vehicles. The Company was
founded in July 1999.
Shanghai Songhong Smart
Automobile Technology Co Ltd
is a provider of research
and development services.
The Company is located in
Shanghai, China.
China NavInfo Co Ltd,
located in Beijing, China,
manufactures navigation
equipment. It is
specializing in proving
professional navigable e-map
products and service for the
top automobile OEMs,
automotive electronics
suppliers,
telecommunications
operators, mobile phone /
PND and other
internationally well-known
manufacturers of terminal
equipment, software and
Internet platform providers.
It is headquartered in
China. It was founded in Jan
2006.
TUS International Ltd
located in Beijing, China is
a manufacturer of motor
vehicle seats and interior
trims. The Company was
founded in July 2004.
Jiangling Motors Group Co,
located in China, is a
manufacturer and wholesaler
of motor vehicles.
Zhejiang Asia-Pacific
Mechanical &amp; Electronic Co Ltd
is a manufacturer and
wholesaler of motor vehicle
electrical equipment. The
Company is located in
Hangzhou, China.
Wuhan Zhong Hai Ting Data
Technology Co Ltd is a
software publisher. The
Company was founded in
September 2016 and is located
in China.
Beijing Shunyi Technology
Innovation Co Ltd is a
software publisher. The
company is located in China.
China FAW Group Co Ltd is a
manufacturer of automobiles.
The Company was founded in
July 1953 and is located in
Changchun, China.</t>
  </si>
  <si>
    <t xml:space="preserve">3711
3711
3714
4813
4813
7372
3711
8731
3711
3711
3711
8731
3761
8731
3812
3714
3711
3714
7372
7376
3711</t>
  </si>
  <si>
    <t xml:space="preserve">China
China
China
China
China
China
China
China
China
China
China
China
China
China
China
China
China
China
China
China
China</t>
  </si>
  <si>
    <t xml:space="preserve">FF
FF
FF
FF
FF
FF
FF
FF
FF
FF
FF
FF
FF
FF
FF
FF
FF
FF
FF
FF
FF</t>
  </si>
  <si>
    <t xml:space="preserve">Dongfeng Motor Corp
Chongqing Changan Auto Co Ltd
Shanghai Baolong Automotive
China Mobile Commun Grp Co
China United Network Commun
Didi Chuxing Tech Co Ltd
Guangzhou Auto Ind Grp Co Ltd
Beijing Auto Research Inst Co
Zhengzhou Tongtai Renhe
China Natl Heavy Duty Truck
China Gen Tech Grp Hldg Ltd
China Automotive Tech &amp;
China N Inds Grp Co Ltd
Shanghai Songhong Smart Auto
Navinfo Co Ltd
TUS International Ltd
Jiangling Motors Group Co
Zhejiang Asia-Pacific
Guangzhou Hi-Target
Beijing Shunyi Tech
China FAW Group Co Ltd</t>
  </si>
  <si>
    <t xml:space="preserve">3711
3711
3714
4813
4813
7372
3711
8731
6799
3711
5099
8731
3761
8731
3812
3714
3711
3714
3812
7376
3711</t>
  </si>
  <si>
    <t xml:space="preserve">DONGFENG MOTOR CORP/CHINA UNITED NETWORK COMMUN/CHONGQING CHANGAN AUTO CO
LTD/DIDI CHUXING TECHNOLOGY CO LTD-JOINT VENTURE</t>
  </si>
  <si>
    <t xml:space="preserve">Shanghai Baolong Automotive Corp, China FAW Group Corp and Dongfeng Motor
Corp and other 18 entities planned to form a joint venture named China
Intelligent &amp; Connected Vehicle Research Institute to provide research and
development for smart car and internet-connected cars. The JV was to have a
cost of USD 151.435 mil.</t>
  </si>
  <si>
    <t xml:space="preserve">4.80
4.80
4.80
4.80
4.80
4.80
4.80
4.80
4.80
4.80
4.80
4.80
4.80
4.80
4.80
4.80
4.80
4.80
4.80
4.80
4.00</t>
  </si>
  <si>
    <t xml:space="preserve">The JV was to have a cost of USD 151.435 mil.</t>
  </si>
  <si>
    <t xml:space="preserve">25859H
15888N
81403Z
6H2809
7F8796
8C0339
Y2931M
1H5283
98846F
42248W
17479R
17071M
9J2581
1H5289
Y62121
4E9854
47710E
98997V
4F4192
5E8941
4H8356</t>
  </si>
  <si>
    <t xml:space="preserve">Acerus Pharmaceuticals Corp
Viramal Ltd</t>
  </si>
  <si>
    <t xml:space="preserve">Trimel Pharmaceuticals Corp,
located in Mississauga,
Ontario, is a specialty
pharmaceutical company
actively developing
medications for female
sexual health and conditions
related to aging and well
being. The Company was
founded in July 15, 2009.
Viramal Ltd, located in
London, the United Kingdom,
manufactures and develops
therapeutics used to improve
women's health. It offers
TestoCream, OTC products for
female sexual health, and
Elegant Vaginal Moisturizer.
The Company was founded in
April 2013.</t>
  </si>
  <si>
    <t xml:space="preserve">ACERUS PHARMACEUTICALS CORP/VIRAMAL LTD-STRATEGIC ALLIANCE</t>
  </si>
  <si>
    <t xml:space="preserve">Acerus Pharmaceuticals Corp and Viramal Ltd formed a strategic alliance to
grant Acerus the exclusive rights to commercialize the Elegant franchise in
Canada.</t>
  </si>
  <si>
    <t xml:space="preserve">Exclusive Licensing Services
Licensing Services
Research &amp; Development Services
Supply Services</t>
  </si>
  <si>
    <t xml:space="preserve">00444G
1H4047</t>
  </si>
  <si>
    <t xml:space="preserve">Eurofarma Laboratorios SA
Summit Therapeutics PLC</t>
  </si>
  <si>
    <t xml:space="preserve">Manufacture,whl pharm products
Pharmaceutical Preparation Manufacturing</t>
  </si>
  <si>
    <t xml:space="preserve">Eurofarma Laboratorios SA,
headquartered in Sao Paulo,
Brazil, manufactures and
wholesales pharmaceutical
products. It offers a
pharmaceutical manufacturing
and wholesaling firm that
operates 8 business
divisions, namely: Pharma
(Medical Prescription),
Hospital, Generic Drugs,
Oncology, Pearson
(Veterinary), Third Parties,
Export and Euroglass. Their
products are for human and
veterinary use. The Company
was founded in 1972.
Summit Therapeutics PLC,
located in Abingdon, the
United Kingdom, is a
biopharmaceutical company
focused on the discovery,
development and
commercialization of novel
medicines for indications for
which there are no existing or
only inadequate therapies. It
conducts clinical programs
focused on the genetic disease
Duchenne muscular dystrophy,
or DMD, and the infectious
disease Clostridium difficile
infection, or CDI. The Company
was founded in 2003.</t>
  </si>
  <si>
    <t xml:space="preserve">EUROFARMA LABORATORIOS SA/SUMMIT THERAPEUTICS PLC-STRATEGIC ALLIANCE</t>
  </si>
  <si>
    <t xml:space="preserve">Eurofarma Laboratorios SA and Summit Therapeutics PLC planned to form a
strategic alliance to grant Eurofarma rights in Latin America to Summits
precision antibiotic ridinilazole in development for the treatment of CDI.
The transaction was subjected to regulatory approvals.</t>
  </si>
  <si>
    <t xml:space="preserve">29836P
86627R</t>
  </si>
  <si>
    <t xml:space="preserve">Immatics Biotechnologies GmbH
F Hoffmann-La Roche Ltd</t>
  </si>
  <si>
    <t xml:space="preserve">Immatics Biotechnologies
GmbH is a manufacturer of
biological products. The
Company was founded in 2000
and is located in Tuebingen,
Germany.
F Hoffmann-La Roche Ltd,
located in Basel,
Switzerland, manufactures
pharmaceuticals, biological
products, medicines,
chemicals and wholesale
medical research
instruments. The Company
also provides research
services and acts as a
holding company. The Company
was founded in 1896.</t>
  </si>
  <si>
    <t xml:space="preserve">Immatics Biotechnologies GmbH
Roche Holdings AG</t>
  </si>
  <si>
    <t xml:space="preserve">IMMATICS BIOTECHNOLOGIES GMBH/F HOFFMANN-LA ROCHE LTD-STRATEGIC ALLIANCE</t>
  </si>
  <si>
    <t xml:space="preserve">Immatics Biotechnologies GmbH and F Hoffmann-La Roche Ltd formed a
strategic alliance to be identified and validated using Immatics
world-leading XPRESIDENT technology platform.</t>
  </si>
  <si>
    <t xml:space="preserve">44780L
7H3783</t>
  </si>
  <si>
    <t xml:space="preserve">Janssen Biotech Inc
Legend Biotech USA Inc
Legend Biotech Ireland Ltd</t>
  </si>
  <si>
    <t xml:space="preserve">Biotechnology company
Biotechnology Company
Biotechnology Company</t>
  </si>
  <si>
    <t xml:space="preserve">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
Legend Biotech USA Inc,
located in Piscataway, New
Jersey, is a manufacturer of
biological products. The
Company was founded in 2014.
Legend Biotech Ireland Ltd
is a manufacturer of
biological products. The
Company is located in
Dublin, the Republic of
Ireland.</t>
  </si>
  <si>
    <t xml:space="preserve">United States
United States
Ireland-Rep</t>
  </si>
  <si>
    <t xml:space="preserve">PA
NJ
FF</t>
  </si>
  <si>
    <t xml:space="preserve">J&amp;J
Genscript USA Corp
Genscript USA Corp</t>
  </si>
  <si>
    <t xml:space="preserve">JANSSEN BIOTECH INC/LEGEND BIOTECH USA INC/LEGEND BIOTECH IRELAND
LTD-STRATEGIC ALLIANCE</t>
  </si>
  <si>
    <t xml:space="preserve">Janssen Biotech Inc, Legend Biotech USA Inc and Legend Biotech Ireland Ltd
formed a strategic alliance to to develop, manufacture and commercialize a
chimeric antigen receptor (CAR) T-cell drug candidate, LCAR-B38M, which
specifically targets the B-cell maturation antigen (BCMA) globally.</t>
  </si>
  <si>
    <t xml:space="preserve">44300K
1H5965
1H5972</t>
  </si>
  <si>
    <t xml:space="preserve">vTv Therapeutics LLC
Reneo Pharms Inc</t>
  </si>
  <si>
    <t xml:space="preserve">vTv Therapeutics LLC,
located in High Point, North
Carolina, is a provider of
biotechnology research and
development services.
Reneo Pharmaceuticals Inc,
located in San Diego,
California, is a
biotechnology company
focused on licensing and
developing drugs to treat
fibrosis. The Company was
founded in September 2014.</t>
  </si>
  <si>
    <t xml:space="preserve">vTv Therapeutics Inc
Reneo Pharms Inc</t>
  </si>
  <si>
    <t xml:space="preserve">VTV THERAPEUTICS LLC/RENEO PHARMACEUTICALS INC-STRATEGIC ALLIANCE</t>
  </si>
  <si>
    <t xml:space="preserve">vTv Therapeutics LLC and Reneo Pharmaceuticals Inc formed a strategic
alliance to grant Reneo the exclusive worldwide rights to research, develop
and commercialize vTv's selective peroxisome proliferator-activated
receptor delta (PPAR-delta) program.</t>
  </si>
  <si>
    <t xml:space="preserve">1H4059
1H4063</t>
  </si>
  <si>
    <t xml:space="preserve">Aristo Pharma GmbH
Formycon AG</t>
  </si>
  <si>
    <t xml:space="preserve">Pharmaceutical Preparation Manufacturing
Manufacture biotechnology products</t>
  </si>
  <si>
    <t xml:space="preserve">Aristo Pharma GmbH is a
manufacturer of pharmaceutical
preparation. The Company was
founded in 2008 and is located
in Berlin, Germany.
Formycon AG is a
manufacturer of biological
products. The Company was
founded in 1999 and is
located in Martinsried,
Germany.</t>
  </si>
  <si>
    <t xml:space="preserve">ARISTO PHARMA GMBH/FORMYCON AG-JOINT VENTURE</t>
  </si>
  <si>
    <t xml:space="preserve">FYB202 GmbH &amp; Co KG is a
provider of social sciences
research and development
services. The Company is
located in Berlin, Germany.</t>
  </si>
  <si>
    <t xml:space="preserve">Aristo Pharma GmbH and Formycon AG formed a 75:25 joint venture named
FYB202 GmbH &amp; Co KG to develop FYB202 in Berlin, Germany.</t>
  </si>
  <si>
    <t xml:space="preserve">1H9993</t>
  </si>
  <si>
    <t xml:space="preserve">1H9991
2A1468</t>
  </si>
  <si>
    <t xml:space="preserve">Huawei Technologies Co Ltd
Baidu Inc</t>
  </si>
  <si>
    <t xml:space="preserve">Provide information tech svcs
Pvd Internet search engine svc</t>
  </si>
  <si>
    <t xml:space="preserve">Huawei Technologies Co Ltd
is a software publisher. The
Company was founded in 1987
and is located in Shenzhen,
China.
Baidu Inc, located in
Beijing, China, provides
Chinese language Internet
search engine services with
functional product coverage
such as regional search,
movie, map, ancient
literature, government,
education, new, mobile and
file search, entertainment,
yellow pages, postal codes,
legal, education, blog and
videos. The Company was
founded in 1999.</t>
  </si>
  <si>
    <t xml:space="preserve">7376
7375</t>
  </si>
  <si>
    <t xml:space="preserve">Union of Huawei Invest &amp; Hldg
Baidu Inc</t>
  </si>
  <si>
    <t xml:space="preserve">6799
7375</t>
  </si>
  <si>
    <t xml:space="preserve">HUAWEI TECHNOLOGIES CO LTD/BAIDU INC-STRATEGIC ALLIANCE</t>
  </si>
  <si>
    <t xml:space="preserve">Huawei Technologies Co Ltd and Baidu Inc formed a strategic alliance,
provide research and development software services on AI platforms and
technology, internet services and content ecosystems.</t>
  </si>
  <si>
    <t xml:space="preserve">44334L
056752</t>
  </si>
  <si>
    <t xml:space="preserve">JiangSu Yabaite Technology Co
Undisclosed JV Partner</t>
  </si>
  <si>
    <t xml:space="preserve">Other Construction Material Merchant Wholesalers
Investment company</t>
  </si>
  <si>
    <t xml:space="preserve">JiangSu Yabaite Technology Co
Ltd is a construction material
wholesaler. The company was
founded in October 2002 and is
located in Yancheng, China.
Investment company</t>
  </si>
  <si>
    <t xml:space="preserve">5039
6799</t>
  </si>
  <si>
    <t xml:space="preserve">JIANGSU YABAITE TECHNOLOGY CO/UNDISCLOSED PARTNER-STRATEGIC ALLIANCE</t>
  </si>
  <si>
    <t xml:space="preserve">JiangSu Yabaite Technology Co Ltd and Undisclosed Joint Venture Partner
formed a strategic alliance, provide development of Building Information
Modeling in construction industry services.</t>
  </si>
  <si>
    <t xml:space="preserve">4E5288
904JVP</t>
  </si>
  <si>
    <t xml:space="preserve">Hyundai Motor Co
Kakao Corp</t>
  </si>
  <si>
    <t xml:space="preserve">Mnfr, whl motor vehicles
Advertising Material Distribution Services</t>
  </si>
  <si>
    <t xml:space="preserve">Hyundai Motor Co is a
manufacturer of automobiles.
The Company is engaged in
the manufacture and
distribution of automobiles
and automobile parts. Along
with its subsidiaries, the
Company operates its
business through three
segments. The Vehicle
Segment manufactures
automobiles mainly under the
brand names of Genesis,
Tucson, Equus, Veloster,
Azera, Sonata, Elantra,
Accent. This segment also
produces commercial vehicles
including trucks, buses,
special vehicles and others,
as well as automobile
components. Meanwhile, it
also involves in providing
automobile maintenance
services. The Company was
founded in December 1967 and
is located in Seoul, South
Korea.
Kakao Corp is a provider of
aInternet portal services
and online advertising
services. The Company
provides search, e-mail,
contents, Internet protocol
television (IPTV), cyber
community, online shopping,
mobile Web, online news
broadcasting, online maps
and other services through
the operation of
www.daum.net. In addition,
through its subsidiaries,
the Company provides online
advertising products include
search advertising and
display advertising, and
engages in the game
business, which operates
personal computer (PC) games
and mobile game platforms.
The Company provides online
community services through
cafe.daum.net,
blog.daum.net,
www.tistory.com,
www.hanmail.net and others.
It also involves in the
provision of mobile
communication platform, game
and advertising services
through merger with
Kakao.Corp. The Company was
founded in February 1995 and
is located in Jeju, South
Korea.</t>
  </si>
  <si>
    <t xml:space="preserve">3711
7319</t>
  </si>
  <si>
    <t xml:space="preserve">HYUNDAI MOTOR CO LTD/KAKAO CORP-STRATEGIC ALLIANCE</t>
  </si>
  <si>
    <t xml:space="preserve">Hyundai Motor Service Co and Kakao Corp formed a strategic alliance,
provide research &amp; development services and software development services.</t>
  </si>
  <si>
    <t xml:space="preserve">44918T
238216</t>
  </si>
  <si>
    <t xml:space="preserve">Baofeng Group Co Ltd
Metaverse Corp</t>
  </si>
  <si>
    <t xml:space="preserve">Internet Service Providers
Pvd online retail svcs</t>
  </si>
  <si>
    <t xml:space="preserve">Baofeng Group Co Ltd, located
in China, is an internet video
company. It develops and
operates a series of software,
which include storm personal
computer (PC), storm wireless
application (APP) and
BFVCenter video browser. It
provides multi-terminal
comprehensive video services
and Internet advertising
information services for users
through these software. The
company was founded in January
2007.
Metaverse Corp, located in
Hamilton, New Jersey, provides
online retailing of art
projects, canvas, accessories,
and custom framing. The
company was founded in 2002.</t>
  </si>
  <si>
    <t xml:space="preserve">7375
5961</t>
  </si>
  <si>
    <t xml:space="preserve">BAOFENG GROUP CO LTD/METAVERSE CORP-STRATEGIC ALLIANCE</t>
  </si>
  <si>
    <t xml:space="preserve">New Jersey
Foreign</t>
  </si>
  <si>
    <t xml:space="preserve">Baofeng Group Co Ltd and Metaverse Corp formed a strategic alliance. The
purpose of strategic alliance is to jointly research and develop the
Blockchain Consensus Network (BCN) as well as Blockchain-as-a-Service
architecture, with the aim of expanding blockchain technology
applications.</t>
  </si>
  <si>
    <t xml:space="preserve">6E3701
59097T</t>
  </si>
  <si>
    <t xml:space="preserve">Westport Fuel Systems Inc
Tata Motors Ltd</t>
  </si>
  <si>
    <t xml:space="preserve">Other Engine Equipment Manufacturing
Mnfr,whl motor vehicles, parts</t>
  </si>
  <si>
    <t xml:space="preserve">Westport Fuel Systems Inc is
a manufacturer of engine
equipment. The Company was
founded in March 1995 and is
located in Vancouver,
Canada.
Tata Motors Ltd manufactures
and wholesales motor
vehicles and parts. The
Company''s automotive
segment consists of
commercial and passenger
automobile manufacturing as
well as financing of the
vehicles sold by the
company. Other activities
primarily include the
manufacture of construction
equipment and software
operations. It has
operations in the United
Kingdom, South Korea,
Thailand and Spain. The
Company was founded in
September 1945 and is
located in Mumbai, India.</t>
  </si>
  <si>
    <t xml:space="preserve">3519
3711</t>
  </si>
  <si>
    <t xml:space="preserve">WESTPORT FUEL SYSTEMS INC/TATA MOTORS LTD-STRATEGIC ALLIANCE</t>
  </si>
  <si>
    <t xml:space="preserve">Westport Fuel Systems Inc and Tata Motors Ltd formed a strategic alliance
to develop and supply 4 cylinder and 6 cylinder natural gas spark-ignited
commercial vehicle engine family that will meet the Indian Governments new
Bharat Stage VI (BS-VI) emission standards.</t>
  </si>
  <si>
    <t xml:space="preserve">Research &amp; Development Services
Supply Services
Automotive Services</t>
  </si>
  <si>
    <t xml:space="preserve">8E3757
876568</t>
  </si>
  <si>
    <t xml:space="preserve">Syros Pharmaceuticals Inc
Janssen Research &amp; Development</t>
  </si>
  <si>
    <t xml:space="preserve">Medicinal and Botanical Manufacturing
Research and Development in The Physical, Engineering and Lifesciences (Except Biotechnology)</t>
  </si>
  <si>
    <t xml:space="preserve">Syros Pharmaceuticals, Inc.
is a United States-based
biopharmaceutical company.
The Company focuses on
discovering and developing
medicines that control the
expression of genes with the
aim of treating cancer and
other serious diseases. It
has a gene control platform
that provides the Company
with lens to identify genes
that become dysregulated in
diseased cells. Its platform
maps gene control circuits
in human disease tissue and
identifies optimal points of
intervention for
therapeutics. Its platform
identifies genes controlling
cell state and disease.
Through the construction of
gene control maps, molecular
targets can be identified in
the way that disease driving
genes, such as oncogenes has
been identified through
mutational analysis. Its
platform can identify
specific patients that
respond to these gene
control therapies. It is
advancing several
preclinical programs towards
the clinic for the treatment
of cancer. The company was
founded in 2012 and it was
located in Massachusetts,
US.
Janssen Research &amp;
Development LLC is a
provider of research and
development services. The
Company is located in
Raritan, New Jersey.</t>
  </si>
  <si>
    <t xml:space="preserve">Syros Pharmaceuticals Inc
J&amp;J</t>
  </si>
  <si>
    <t xml:space="preserve">SYROS PHARMACEUTICALS INC/JANSSEN RESEARCH &amp; DEVELOPMENT LLC-STRATEGIC
ALLIANCE</t>
  </si>
  <si>
    <t xml:space="preserve">Syros Pharmaceuticals Inc and Janssen Research Development LLC formed a
strategic alliance.The purpose of the strategic alliance is to supply
daratumumab for a recently added combination dosing cohort in Syros ongoing
Phase 2 clinical trial of SY-1425, a first-in-class selective retinoic acid
receptor alpha (RAR) agonist, in genomically defined subsets of patients
with acute myeloid leukemia (AML) and myelodysplastic syndrome (MDS).</t>
  </si>
  <si>
    <t xml:space="preserve">87184Q
8A8125</t>
  </si>
  <si>
    <t xml:space="preserve">Perennial RE Hldg Ltd
Imagine Properties Pte Ltd
Shun Tak Holdings Ltd
Bangkok Bank PCL
S1F Pte Ltd
HPRY Holdings Ltd
WCA Pte Ltd</t>
  </si>
  <si>
    <t xml:space="preserve">Lessors Of Residential Buildings and Dwellings
Real estate development firm
Provide water transportation services
Bank (foreign)
Miscellaneous Financial Investment Activities
Investment company
Investment company</t>
  </si>
  <si>
    <t xml:space="preserve">Perennial Real Estate
Holdings Ltd is an
integrated real estate and
healthcare Company. The
Company was founded in
November 2001 and is located
in Singapore.
Imagine Properties Pte Ltd,
located in Singapore, is an
real estate development firm.
Shun Tak Holdings Ltd,
located in Hong Kong, is an
an investment holding
company principally engaged
in the provision of
passenger transportation
services. Along with
subsidiaries, the Company
operates its business
through four segments. The
Transportation segment is
engaged in the provision of
passenger transportation
services. The Hospitality
segment is engaged in hotel
operation, hotel management
and the provision of travel
agency services. The
Property segment is engaged
in the development, sale,
leasing of properties, as
well as the provision of
management services. The
Investment segment is
engaged in investment
holding and other business.
Bangkok Bank PCL,
headquartered in Bangkok,
Thailand, is a provider of
corporate, commercial,
business and consumer
banking and other financial
services. The company
conducts its business
through a network of
branches covering all parts
of Thailand and some major
parts of the world. The
Company was founded in 1944.
S1F Pte Ltd is a provider of
financial investment services.
The Company was founded in
June 2014 and is located in
Singapore.
HPRY Holdings Ltd, located in
Singapore, is an investment
company.
WCA Pte Ltd, located in
Singapore, is an investment
company.</t>
  </si>
  <si>
    <t xml:space="preserve">6531
6552
4482
6000
6799
6799
6799</t>
  </si>
  <si>
    <t xml:space="preserve">Singapore
Singapore
Hong Kong
Thailand
Singapore
Singapore
Singapore</t>
  </si>
  <si>
    <t xml:space="preserve">Perennial RE Hldg Ltd
BreadTalk Group Ltd
Shun Tak Holdings Ltd
Bangkok Bank PCL
S1F Pte Ltd
HPRY Holdings Ltd
Wilmar International Ltd</t>
  </si>
  <si>
    <t xml:space="preserve">6531
2051
4482
6000
6799
6799
2076</t>
  </si>
  <si>
    <t xml:space="preserve">PERENNIAL RE HLDG/IMAGINE PROPERTIES PTE/SHUN TAK HOLDINGS/BANGKOK BANK/S1F
PTE/HPRY HOLDINGS/WCA PTE-JOINT VENTURE</t>
  </si>
  <si>
    <t xml:space="preserve">Perennial Real Estate Holdings Ltd, Imagine Properties Pte Ltd, Shun Tak
Holdings Ltd, Bangkok Bank PCL, S1F Pte Ltd, HPRY Holdings Ltd and WCA Pte
Ltd planned to form a 45:5:30:10:4:4:2 joint venture named Perennial HC
Holdings Pte. Ltd in Singapore to invest in HSR Healthcare Integrated
Mixed-Use Developments located in Tier 1 or strong Tier 2 cities and
provincial capitals in China, with good connectivity to subways and/or
accessibility to the HSR.</t>
  </si>
  <si>
    <t xml:space="preserve">Health &amp; Medical Services
Transportation (Rail/Train) Services
Research &amp; Development Services</t>
  </si>
  <si>
    <t xml:space="preserve">45.00
5.00
30.00
10.00
4.00
4.00
2.00</t>
  </si>
  <si>
    <t xml:space="preserve">3C8399
44403W
Y78567
059895
1H7240
40852V
1A0827</t>
  </si>
  <si>
    <t xml:space="preserve">Addex Therapeutics Ltd
Indivior PLC</t>
  </si>
  <si>
    <t xml:space="preserve">Addex Therapeutics Ltd,
located in Geneva,
Switzerland, manufactures
diagnostic pharmaceuticals.
It manufactures, discovers
and develops therapeutic
compounds for the treatment
of central nervous system
disorders such as CNS
indications including
Alzheimer''s and Parkinson
diseases, schizophrenia,
anxiety, depression, pain
and nicotine and alcohol
dependence. The Company was
founded in 2002.
Indivior PLC is a
manufacturer of
pharmaceutical preparation.
The company is located in
Bristol, the United Kingdom.
Its portfolio includes
SUBOXONE (buprenorphine and
naloxone) Sublingual Film
(CIII), SUBOXONE
(buprenorphine and naloxone)
Sublingual Tablet, and
SUBUTEX (buprenorphine)
Sublingual Tablet.</t>
  </si>
  <si>
    <t xml:space="preserve">ADDEX THERAPEUTICS LTD/INDIVIOR PLC-STRATEGIC ALLIANCE</t>
  </si>
  <si>
    <t xml:space="preserve">Addex Therapeutics Ltd and Indivior PLC formed a strategic alliance around
the world for global development and commercialization of ADX71441 for the
treatment of addiction. ADX71441 is a potent, selective positive allosteric
modulator (PAM) that potentiates GABA responses at the GABAB receptor. In
addition, Indivior will fund a research program at Addex to discover
additional GABAB PAM compounds.</t>
  </si>
  <si>
    <t xml:space="preserve">Licensing Services
Research &amp; Development Services
Manufacturing Services
Health &amp; Medical Services</t>
  </si>
  <si>
    <t xml:space="preserve">02370Y
5E4073</t>
  </si>
  <si>
    <t xml:space="preserve">Symbiotix Biotherapies Inc
Paragon Bioservices Inc</t>
  </si>
  <si>
    <t xml:space="preserve">Research and Development in Biotechnology
Manufactures pharmaceutical preparation</t>
  </si>
  <si>
    <t xml:space="preserve">Symbiotix Biotherapies Inc
is a provider of
biotechnology research and
development services. The
Company was founded in
December 2009 and is located
in Brookline, Massachusetts.
Paragon Bioservices Inc,
located in Baltimore,
Maryland, manufactures
pharmaceutical preparation.
It provides cell
culture-based contract
production and research
services specializing in
recombinant protein
expression, protein
purification, adenovirus
production and purification,
recombinant vaccines,
process development,
histology and
immunohistochemistry.</t>
  </si>
  <si>
    <t xml:space="preserve">SYMBIOTIX BIOTHERAPIES INC/PARAGON BIOSERVICES INC-STRATEGIC ALLIANCE</t>
  </si>
  <si>
    <t xml:space="preserve">Symbiotix Biotherapies Inc and Paragon Bioservices Inc formed a strategic
alliance to optimize the downstream production process for SYMB-104 in
preparation for production of clinical material at scale.</t>
  </si>
  <si>
    <t xml:space="preserve">2H2564
69961K</t>
  </si>
  <si>
    <t xml:space="preserve">Locus Biosciences Inc
IDbyDNA Inc</t>
  </si>
  <si>
    <t xml:space="preserve">Locus Biosciences Inc is a
manufacturer of biological
products. The Company is
located in Morrisville,
North Carolina.
IDbyDNA Inc is a United
States-based precision
medicine company. The
Company is focused on
metagenomic approaches for
infectious disease
identification. It is
engaged in developing
technologies to enable
universal microorganism
detection. It helps doctors
and scientists to detect
pathogen in any sample,
thereby removing barriers
for the adoption of
metagenomics in clinical
settings, leading to faster
public health responses
during infectious disease
outbreaks. It offers
Taxonomer, which is a next
generation sequencing
(NGS)-based metagenomic
analysis technology.
Taxonomer enables universal,
real-time detection of
viruses, bacteria and fungi
through a Web interface. For
every sequencing read,
Taxonomer provides the
taxonomic classification
that is supported by the
reference database through
both, nucleic acid and
protein-based classification
for improved detection. With
ribonucleic acid
(RNA)-sequencing data,
Taxonomer also provides host
messenger RNA (mRNA)
expression profiles.</t>
  </si>
  <si>
    <t xml:space="preserve">LOCUS BIOSCIENCES INC/IDBYDNA INC-STRATEGIC ALLIANCE</t>
  </si>
  <si>
    <t xml:space="preserve">Locus Biosciences Inc and IDbyDNA Inc planned to form a strategic alliance
in United States to develop companion diagnostic test for pseudomonas
aeruginosa Infection. Test will support patient selection and evaluation in
clinical trials of precision antimicrobials.</t>
  </si>
  <si>
    <t xml:space="preserve">5H7160
7F1482</t>
  </si>
  <si>
    <t xml:space="preserve">Fabre-Kramer Pharms Inc
Mission Pharmacal Co</t>
  </si>
  <si>
    <t xml:space="preserve">Fabre-Kramer Pharmaceuticals
Inc is a manufacturer of
pharmaceutical preparation.
The Company is located in
Houston, Texas.
Mission Pharmacal Co,
located in San Antonio,
Texas, manufactures and
wholesales prescription and
Over-The-Counter
pharmaceuticals for women,
pediatrics, urology, and
dermatology. Its products
include CitraNatal,
Tindamax, Ferralet 90, and
Uribel. The Company was
founded in 1946.</t>
  </si>
  <si>
    <t xml:space="preserve">FABRE-KRAMER PHARMACEUTICALS INC/MISSION PHARMACAL CO-STRATEGIC ALLIANCE</t>
  </si>
  <si>
    <t xml:space="preserve">Fabre-Kramer Pharmaceuticals Inc and Mission Pharmacal Co formed a
strategic alliance in United States to develop and manufacture the
registration batches of Fabre-Kramers novel antidepressant, Travivo
(gepirone HCl) Extended Release Tablets.</t>
  </si>
  <si>
    <t xml:space="preserve">1J7979
60510C</t>
  </si>
  <si>
    <t xml:space="preserve">ChroMedX Corp
Dxeconomix Inc</t>
  </si>
  <si>
    <t xml:space="preserve">Manufactures novel medical devices
Marketing Consulting Services</t>
  </si>
  <si>
    <t xml:space="preserve">ChroMedX Corp, located in
Toronto, Ontario,
manufactures novel medical
devices for in vitro
diagnostics and
point-of-care testing. The
Company was founded on March
26, 1987.
Dxeconomix Inc is a provider
of marketing consulting
services. The Company is
located in New York.</t>
  </si>
  <si>
    <t xml:space="preserve">2835
8742</t>
  </si>
  <si>
    <t xml:space="preserve">CHROMEDX CORP/DXECONOMIX INC-STRATEGIC ALLIANCE</t>
  </si>
  <si>
    <t xml:space="preserve">ChroMedX Corp and Dxeconomix Inc formed a strategic alliance in United
States to lead value based transactions, the companies focused on improving
the marketing and develop the diagnostic market.</t>
  </si>
  <si>
    <t xml:space="preserve">9C1603
1J8010</t>
  </si>
  <si>
    <t xml:space="preserve">Cannabis Science Inc
Crown Baus Capital Corp</t>
  </si>
  <si>
    <t xml:space="preserve">Manufacture pharmaceutical
Miscellaneous Financial Investment Activities</t>
  </si>
  <si>
    <t xml:space="preserve">Cannabis Science Inc,
located in Irvine,
California, manufactures
pharmaceuticals. It works
with world authorities on
phytocannabinoid science
targeting critical
illnesses, and adheres to
scientific methodologies to
develop, produce, and
commercialize
phytocannabinoid-based
pharmaceutical products. It
is dedicated to the creation
of cannabis-based medicines,
both with and without
psychoactive properties, to
treat disease and the
symptoms of disease, as well
as for general health
maintenance. The Company was
founded in 1995.
Crown Baus Capital Corp is a
provider of financial
investment services. The
Company is located in Beverly
Hills, California.</t>
  </si>
  <si>
    <t xml:space="preserve">CANNABIS SCIENCE INC/CROWN BAUS CAPITAL CORP-STRATEGIC ALLIANCE</t>
  </si>
  <si>
    <t xml:space="preserve">Cannabis Science Inc and Crown Baus Capital Corp planned to form a
strategic alliance to strengthen CBIS planned blockchain crypto-currency
ICO offering while adding strength to its pharmacy openings and
pharmaceutical drug development programs.</t>
  </si>
  <si>
    <t xml:space="preserve">137648
2H8684</t>
  </si>
  <si>
    <t xml:space="preserve">RocTool SA
Amorphous Tech Intl Inc</t>
  </si>
  <si>
    <t xml:space="preserve">Pvd industrial engineering svc
All Other Basic Inorganic Chemical Manufacturing</t>
  </si>
  <si>
    <t xml:space="preserve">Roctool SA, headquartered in
Le Bourget du Lac, France,
provides industrial
engineering services. The
Company specializes in the
design and development of
processes for transforming
and molding composite
materials. The Company
offers the use of its
patented technology through
development or production
licensing agreements. It has
locations in France and in
the US. The Companys
products and services
include The Cage System, a
patented molding technology,
which heats the tool surface
by induction. It also offers
licenses of its patents and
know-how to companies
wanting to use a RocTool
technology for their
production. The Company was
created in 2000.
Amorphous Technologies
International Inc, located
in Lake Forest, California,
develops and manufactures
amorphous metals.</t>
  </si>
  <si>
    <t xml:space="preserve">8731
2819</t>
  </si>
  <si>
    <t xml:space="preserve">ROCTOOL SA/AMORPHOUS TECHNOLOGIES INTERNATIONAL INC-STRATEGIC ALLIANCE</t>
  </si>
  <si>
    <t xml:space="preserve">RocTool SA and Amorphous Technologies International Inc formed a strategic
alliance to jointly develop and implement Roctool's innovative technology
for use with amorphous metal alloys.</t>
  </si>
  <si>
    <t xml:space="preserve">77498Q
1H4411</t>
  </si>
  <si>
    <t xml:space="preserve">Greaves Cotton Ltd
Piaggio &amp; Co SpA</t>
  </si>
  <si>
    <t xml:space="preserve">Gasoline Engine and Engine Parts Manufacturing
Mnfr motorcycles,scooters</t>
  </si>
  <si>
    <t xml:space="preserve">Greaves Cotton Ltd is
engaged in manufacturing of
engines and engine
applications, manufacturing
and wholesaling of agro
products, trading of spares
related to engines and
construction equipment. the
company's segments include
engines, infrastructure
equipment and others. The
Company was founded in 1859
and is located in Mumbai,
India.
India.
Piaggio &amp; C SpA, located in
Pisa, Italy, manufactures
and wholesales two-wheeled
vehicles such as scooters
with engine sizes ranging
from 50cc up to 500cc and
motorcycles from 50cc up to
1.100cc, under Piaggio,
Vespa, Gilera, Aprilia, Moto
Guzzi, Derbi and Scarabeo
brands. It also manufactures
three and four-wheel light
commercial vehicles (VTL)
for utility and personal
mobility, with the Ape,
Porter and Quargo brands.
Other activities include
designing and producing of
engines for scooters,
motorbikes, minibikes and
karts. It was founded in
1884.</t>
  </si>
  <si>
    <t xml:space="preserve">3714
3751</t>
  </si>
  <si>
    <t xml:space="preserve">GREAVES COTTON LTD/PIAGGIO &amp; CO SPA-STRATEGIC ALLIANCE</t>
  </si>
  <si>
    <t xml:space="preserve">Greaves Cotton Ltd and Piaggio Co SpA formed a strategic alliance around
the world to develop a new generation of powertrain solutions meeting BS VI
norms using diesel and alternate fuels in the clean energy space and also
to supply BS-VI diesel and alternative-fuel engines.</t>
  </si>
  <si>
    <t xml:space="preserve">39241M
71944Q</t>
  </si>
  <si>
    <t xml:space="preserve">Pfizer Inc
Berkeley Lights Inc</t>
  </si>
  <si>
    <t xml:space="preserve">Manufacture,wholesale pharmaceuticals
Analytical Laboratory Instrument Manufacturing</t>
  </si>
  <si>
    <t xml:space="preserve">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Berkeley Lights Inc, located
in Emeryville, California,
is a manufacturer of
analytical laboratory
instruments. The Company
develops and commercializes
platforms on which
bio-pharmaceutical, genomic
and cellular therapy
applications will run. The
Company offers a platform,
the Beacon, which is
released for single
cell-based antibody
discovery and cell line
development. Its OptoSelect
light technology automates
various tasks that are
required in research
applications, such as single
cell profiling by
morphology, surface markers,
protein secretions and
genomics. Its Beacon
OptoFluidic platform enables
the tracking, monitoring and
visualization of single cell
manipulation and to cell
interaction in a
nano-fluidic chip. The
Company was founded in April
2011.</t>
  </si>
  <si>
    <t xml:space="preserve">PFIZER INC/BERKELEY LIGHTS INC-STRATEGIC ALLIANCE</t>
  </si>
  <si>
    <t xml:space="preserve">Pfizer Inc and Berkeley Lights Inc formed a strategic alliance to perform
research collaboration focused on optimizing Berkeley's Beacon Optofluidic
platform that will be used to accelerate Pfizer's monoclonal antibody
discovery and gene editing workflows.</t>
  </si>
  <si>
    <t xml:space="preserve">717081
1H4696</t>
  </si>
  <si>
    <t xml:space="preserve">Cabrera Capital Markets LLC
mBank SA</t>
  </si>
  <si>
    <t xml:space="preserve">Securities Brokerage
Commercial Banking</t>
  </si>
  <si>
    <t xml:space="preserve">Cabrera Capital Markets LLC
is a securities brokerage
company. The Company is
located in Chicago,
Illinois.
mBank SA, located in Warsaw,
Poland, is a bank. It is a
commercial bank with
activities that includes
maintenance of bank
accounts, acceptance of
savings and term deposit
accounts, performance of
financial settlement
services, granting and
drawing of loans, bills of
exchange and cheque
operations, accepting and
placing bank deposits,
guarantees, dealing in
foreign currencies,
servicing of state loans,
issuing and trading of
securities, custodial
services, provision of
future and forward financial
transactions and factoring.
The Company was founded in
1986.</t>
  </si>
  <si>
    <t xml:space="preserve">6211
6000</t>
  </si>
  <si>
    <t xml:space="preserve">Cabrera Capital Markets LLC
Commerzbank AG</t>
  </si>
  <si>
    <t xml:space="preserve">CABRERA CAPITAL MARKETS LLC/MBANK SA-STRATEGIC ALLIANCE</t>
  </si>
  <si>
    <t xml:space="preserve">Cabrera Capital Markets LLC and mBank SA formed a strategic alliance in
United States to provide unique research, corporate access and execution
services to US institutional investors. This arrangement will also broaden
the scope of investment options outside of the US for Cabrera's
Institutional clients.</t>
  </si>
  <si>
    <t xml:space="preserve">Research &amp; Development Services
Banking Services
Consulting Services</t>
  </si>
  <si>
    <t xml:space="preserve">13284H
8A7306</t>
  </si>
  <si>
    <t xml:space="preserve">MacroGenics Inc
Roche Holdings AG
Hoffmann-La Roche Inc</t>
  </si>
  <si>
    <t xml:space="preserve">Biopharmaceutical company
Manufactures, wholesales pharmaceuticals and medical instruments
Mnfr pharmaceuticals</t>
  </si>
  <si>
    <t xml:space="preserve">MacroGenics Inc, located in
Rockville, Maryland, is a
biopharmaceutical company
focused on discovering and
developing innovative
monoclonal antibody-based
therapeutics for the
treatment of cancer and
autoimmune diseases. The
company was founded in 2000.
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Hoffman-La Roche Inc is a
pharmaceuticals manufacturer,
headquartered in Nutley, New
Jersey, US. Its operations
includes research and
development centers that
conduct leading-edge work in
advancing disease detection
and treatment The company was
founded in 1905.</t>
  </si>
  <si>
    <t xml:space="preserve">MD
FF
NJ</t>
  </si>
  <si>
    <t xml:space="preserve">MacroGenics Inc
Roche Holdings AG
Roche Holdings AG</t>
  </si>
  <si>
    <t xml:space="preserve">MACROGENICS INC/ROCHE HOLDINGS AG/HOFFMANN-LA ROCHE INC-STRATEGIC ALLIANCE</t>
  </si>
  <si>
    <t xml:space="preserve">MacroGenics Inc, Roche Holdings AG and Hoffmann-La Roche Inc formed a
strategic alliance to jointly discover and develop novel bispecific
molecules. Under the agreement, the companies will use their MacroGenics'
DART platform, Roche's CrossMAb and DutaFab technologies to select a
bispecific format and lead product candidate. Roche would then further
develop and commercialize any resulting product candidate.</t>
  </si>
  <si>
    <t xml:space="preserve">556099
77119M
43454M</t>
  </si>
  <si>
    <t xml:space="preserve">Adaptive Biotechnologies Corp
Microsoft Corp</t>
  </si>
  <si>
    <t xml:space="preserve">Biotechnology company
Develops and wholesales computer software products</t>
  </si>
  <si>
    <t xml:space="preserve">Adaptive Biotechnologies
Corp is a manufacturer of
biological products. The
Company is located in
Seattle, Washington.
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t>
  </si>
  <si>
    <t xml:space="preserve">ADAPTIVE BIOTECHNOLOGIES CORP/MICROSOFT CORP-STRATEGIC ALLIANCE</t>
  </si>
  <si>
    <t xml:space="preserve">Adaptive Biotechnologies Corp and Microsoft Corp planned to form a
strategic alliance in United States to Decode the Human Immune System to
Improve the Diagnosis of Disease. This infographic outlines the process for
learning to decode the human immune system to diagnose disease and also to
map the genetics of the human immune system, or immunome, in order to
detect cancers and other diseases in their earliest stage.</t>
  </si>
  <si>
    <t xml:space="preserve">00650F
594918</t>
  </si>
  <si>
    <t xml:space="preserve">NanoString Technologies Inc
Riken Genesis Co Ltd</t>
  </si>
  <si>
    <t xml:space="preserve">Mnfr lab instr,biological prod
Research and Development in Biotechnology</t>
  </si>
  <si>
    <t xml:space="preserve">NanoString Technologies Inc,
located in Seattle,
Washington, manufactures,
develop and sells laboratory
analytical instruments and
biological product that
unlock scientifically
valuable and clinically
actionable genomic
information from minute
amounts of tissue. It was
founded in 2003.
Riken Genesis Co Ltd, located
in Tokyo, Japan, provides
medical ancillary services.
The company was founded in
2007.</t>
  </si>
  <si>
    <t xml:space="preserve">NanoString Technologies Inc
Sysmex Corp</t>
  </si>
  <si>
    <t xml:space="preserve">NANOSTRING TECHNOLOGIES INC/RIKEN GENESIS CO LTD-STRATEGIC ALLIANCE</t>
  </si>
  <si>
    <t xml:space="preserve">NanoString Technologies Inc and Riken Genesis Co Ltd formed a strategic
alliance to register, obtain, reimbursement and commercialize companion
diagnostic assays in Japan.</t>
  </si>
  <si>
    <t xml:space="preserve">63009R
1C0339</t>
  </si>
  <si>
    <t xml:space="preserve">Rhythmlink International LLC
Dignity Health</t>
  </si>
  <si>
    <t xml:space="preserve">All Other Health and Personal Care Stores
Provides health services</t>
  </si>
  <si>
    <t xml:space="preserve">Rhythmlink International
LLC, located in Columbia,
South Carolina, is a
manufacturer of
navigational, measuring,
electromedical and control
instruments.It designs,
manufactures and distributes
consumable medical
electrodes and provides
custom packaging, private
labeling, and custom
products to hospitals,
medical centers, and service
providers. Its products
include New Part Numbers, MR
Conditional Quick Connect
System, MR Conditional/CT
Electrodes, Invisa-Electrode
(CT), PressOn Electrodes,
EEG Electrodes, Stimulating
Probes, Alligator Clips,
Extension Cables and Sticky
Pad Surface Electrodes. Its
products provide the
connection between people
and machines in order to
identify, record, and
monitor important
neurophysiological
information. The Company was
founded in 1970.
Dignity Health, located in
San Francisco, California,
provides health services. It
has 10,000 physicians and
55,000 employees across
Arizona, California and
Nevada. It has a network of
150 ancillary care sites and
40 acute care hospitals. The
Company was founded in 1986.</t>
  </si>
  <si>
    <t xml:space="preserve">5047
8099</t>
  </si>
  <si>
    <t xml:space="preserve">SC
CA</t>
  </si>
  <si>
    <t xml:space="preserve">RHYTHMLINK INTERNATIONAL LLC/DIGNITY HEALTH-STRATEGIC ALLIANCE</t>
  </si>
  <si>
    <t xml:space="preserve">Rhythmlink International LLC and Dignity Health planned to form a strategic
alliance in United States for improving and expanding brain health
monitoring options for caregivers and patients. This technology expands the
ability of both large and small hospitals to perform brain health
monitoring to identify dangerous patient conditions including subclinical
seizure and stroke. It even extends the ability to perform brain health
monitoring outside of the hospital to ambulances, urgent care clinics and
the home.</t>
  </si>
  <si>
    <t xml:space="preserve">1J5818
82245R</t>
  </si>
  <si>
    <t xml:space="preserve">Xinogen Hong Kong Pharma Co
Angiochem Inc</t>
  </si>
  <si>
    <t xml:space="preserve">Xinogen Hong Kong Pharma Co
Ltd is a manufacturer of
pharmaceutical preparation.
The Company is located in
Kowloon, Hong Kong.
Angiochem Inc is a
biotechnology company
headquartered in Montreal,
Canada. The companys brands
include GRN1005, ANG1007, GRN
Collaboration which are used
for Treating primary brain
cancers; ANG2002 and ANG 2010
used for managing moderate to
severe pain from cancer;
ANG2004, used for the
treatment of Type 2 Diabetes
and Obesity and ANG2008 that
is used for the treatment of
Parkinson's Disease. The
company was founded in 2003.</t>
  </si>
  <si>
    <t xml:space="preserve">Hong Kong
Canada</t>
  </si>
  <si>
    <t xml:space="preserve">XINOGEN HONG KONG PHARMA CO LTD/ANGIOCHEM INC-STRATEGIC ALLIANCE</t>
  </si>
  <si>
    <t xml:space="preserve">Xinogen Hong Kong Pharma Co Ltd and Angiochem Inc planned to form a
licensing and collaboration, to provide research and development services
and marketing services.</t>
  </si>
  <si>
    <t xml:space="preserve">1H5364
03571N</t>
  </si>
  <si>
    <t xml:space="preserve">NIO
Guangzhou Auto Grp Co Ltd</t>
  </si>
  <si>
    <t xml:space="preserve">NEXTEV Co Ltd is a
manufacturer of automobiles.
The Company is located in
Shanghai, China.
Guangzhou Automobile Group
Co Ltd located in Guangzhou,
China is a manufacturer of
automobiles. The Company was
founded in June 1997.</t>
  </si>
  <si>
    <t xml:space="preserve">NIO
Guangzhou Auto Ind Grp Co Ltd</t>
  </si>
  <si>
    <t xml:space="preserve">NEXTEV CO LTD/GUANGZHOU AUTOMOBILE GROUP CO LTD-STRATEGIC ALLIANCE</t>
  </si>
  <si>
    <t xml:space="preserve">NEXTEV Co Ltd and Guangzhou Automobile Group Co Ltd formed a strategic
alliance, provide development, manufacturing, operation and marketing of
electric vehicles services.</t>
  </si>
  <si>
    <t xml:space="preserve">7E7939
Y2931M</t>
  </si>
  <si>
    <t xml:space="preserve">H Lundbeck A/S
Vanderbilt University</t>
  </si>
  <si>
    <t xml:space="preserve">Manufactures and wholesales pharmaceutical products
Owns and operates a university</t>
  </si>
  <si>
    <t xml:space="preserve">H Lundbeck A/S, located in
Valby, Denmark, manufactures
and wholesales
pharmaceutical products. It
is engaged in the research,
development, manufacturing
and marketing of
pharmaceuticals for the
treatment of brain disorders
such as Alzheimer's
disease, Bipolar disorder,
depression, epilepsy,
Huntington's disease,
Parkinson's disease and
schizophrenia. Its product
portfolio includes: Cipralex
for the treatment of
depression and anxiety
disorders, Ebixa for the
treatment of Alzheimer's
disease, Azilect for the
treatment of Parkinson's
disease, Xenazine for the
treatment of Huntington's
disease and Sabril for the
treatment of epilepsy, among
others. It also operates
through a number of
subsidiaries, such as
Lundbeck SAS, Lundbeck GmbH,
SIA Lundbeck Latvia and
Lundbeck LLC. The Company
was founded on August 14,
2015.
Vanderbilt University,
located in Nashville,
Tennessee, owns and operates
a university. It offers full
range of undergraduate,
graduate, and professional
degrees. The Company was
founded in 1873.</t>
  </si>
  <si>
    <t xml:space="preserve">Lundbeckfonden
Vanderbilt University</t>
  </si>
  <si>
    <t xml:space="preserve">H LUNDBECK A/S/VANDERBILT UNIVERSITY-STRATEGIC ALLIANCE</t>
  </si>
  <si>
    <t xml:space="preserve">H Lundbeck A/S and Vanderbilt University formed a strategic alliance to
research and develop new and better treatments for schizophrenia. Under the
agreement, Lundbeck and Vanderbilt will collaborate to further develop the
compounds invented by Vanderbilt with a new way of working in the brain as
compared to existing treatments.</t>
  </si>
  <si>
    <t xml:space="preserve">4F8715
92179Z</t>
  </si>
  <si>
    <t xml:space="preserve">Manufacture biological products
Manufactures pharmaceuticals products</t>
  </si>
  <si>
    <t xml:space="preserve">Alnylam Pharmaceuticals Inc,
located in Cambridge,
Massachusetts, is a
manufacturer of biological
products specifically
medicine developed through
RNA translation to cure rare
genetic, cardio-metabolic,
hepatic infectious, and
central nervous system
(CNS)/ocular diseases.. The
Company was founded in 2002.
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t>
  </si>
  <si>
    <t xml:space="preserve">ALNYLAM PHARMACEUTICALS INC/SANOFI SA-STRATEGIC ALLIANCE</t>
  </si>
  <si>
    <t xml:space="preserve">Alnylam Pharmaceuticals Inc and Sanofi SA formed a strategic alliance to
restructure of RNAi therapeutics alliance to streamline and optimize
development and commercialization of certain products for the treatment of
rare genetic diseases.</t>
  </si>
  <si>
    <t xml:space="preserve">02043Q
80105N</t>
  </si>
  <si>
    <t xml:space="preserve">Harbour Biomed
BeiGene Ltd</t>
  </si>
  <si>
    <t xml:space="preserve">Harbour Biomed is a provider
of biotechnology research
and development services.
The Company is located in
Shanghai, China.
BeiGene Ltd, located in
Beijing, China, manufactures
biological products. It is a
global, clinical-stage,
research-based biotechnology
company focused on
molecularly targeted and
immuno-oncology cancer
therapeutics. It is
advancing a pipeline
consisting of novel oral
small molecules and
monoclonal antibodies for
the treatment of cancer. It
is working to create
combination solutions aimed
at having both a meaningful
and lasting impact on cancer
patients. The Company was
founded in October 2010.</t>
  </si>
  <si>
    <t xml:space="preserve">HARBOUR BIOMED/BEIGENE LTD-STRATEGIC ALLIANCE</t>
  </si>
  <si>
    <t xml:space="preserve">Harbour Biomed and BeiGene Ltd formed a strategic alliance to license
transgenic mouse platforms to BeiGene Ltd for generating fully human
therapeutic monoclonal antibodies.</t>
  </si>
  <si>
    <t xml:space="preserve">1F2821
5A3942</t>
  </si>
  <si>
    <t xml:space="preserve">Teva Pharms Intl Gmbh
Alder BioPharmaceuticals Inc</t>
  </si>
  <si>
    <t xml:space="preserve">Pharmaceutical Preparation Manufacturing
Clinical-stage biopharmaceutical company</t>
  </si>
  <si>
    <t xml:space="preserve">Teva Pharmaceuticals
International Gmbh, located
in Jona, Switzerland, is a
manufacturer of
pharmaceutical preparation.
Alder BioPharmaceuticals
Inc, located in Bothell,
Washington, is a
clinical-stage
biopharmaceutical company.
It discovers, develops and
seeks to commercialize
genetically engineered
therapeutic antibodies with
the potential to
meaningfully transform
current treatment paradigms.
Its pivotal-stage product
candidate, eptinezumab, is
being evaluated for migraine
prevention. Eptinezumab is a
monoclonal antibody that
inhibits calcitonin
gene-related peptide (CGRP),
a protein that is active in
mediating the initiation of
migraine. It also evaluates
ALD1910, a preclinical
product candidate also in
development as a migraine
prevention therapy; and
Clazakizumabis, a monoclonal
antibody candidate that
inhibits interleukin-6 and
is licensed to Vitaeris Inc.
The Company was founded in
May 2002.</t>
  </si>
  <si>
    <t xml:space="preserve">Teva Pharm Inds Ltd
Alder BioPharmaceuticals Inc</t>
  </si>
  <si>
    <t xml:space="preserve">TEVA PHARMACEUTICALS INTERNATIONAL GMBH/ALDER BIOPHARMACEUTICALS
INC-STRATEGIC ALLIANCE</t>
  </si>
  <si>
    <t xml:space="preserve">Teva Pharmaceuticals International Gmbh and Alder BioPharmaceuticals Inc
formed a strategic alliance to develop, manufacture and commercialize
eptinezumab in worldwide.</t>
  </si>
  <si>
    <t xml:space="preserve">Shipping Services
Health &amp; Medical Services
Research &amp; Development Services</t>
  </si>
  <si>
    <t xml:space="preserve">2H0612
014339</t>
  </si>
  <si>
    <t xml:space="preserve">Varian Medical Systems Inc
Ping An Health Tech Co Ltd</t>
  </si>
  <si>
    <t xml:space="preserve">Irradiation Apparatus Manufacturing
Research and Development in Biotechnology</t>
  </si>
  <si>
    <t xml:space="preserve">Varian Medical Systems Inc
is a manufacturer of
irradiation apparatuses. The
Company also has Varian
Particle Therapy (VPT) and
the operations of the
Ginzton Technology Center
(GTC). Its VPT business
develops, designs,
manufactures, sells and
services products and
systems for delivering
proton therapy, another form
of external beam
radiotherapy using proton
beams for the treatment of
cancer. Its ProBeam system
is capable of delivering
intensity modulated proton
therapy (IMPT) using pencil
beam scanning technology.
The Company was founded in
1948 and is located in Palo
Alto, California.
Ping An Health Technology Co
Ltd is a provider of
biotechnology research
focused on medical
technology and product
incubation. The Company is
located in China.</t>
  </si>
  <si>
    <t xml:space="preserve">Varian Medical Systems Inc
Ping An Ins (Grp) Co Of China</t>
  </si>
  <si>
    <t xml:space="preserve">3845
6311</t>
  </si>
  <si>
    <t xml:space="preserve">VARIAN MEDICAL SYSTEMS INC/PING AN HEALTH TECHNOLOGY CO LTD-STRATEGIC
ALLIANCE</t>
  </si>
  <si>
    <t xml:space="preserve">Varian Medical Systems Inc and Ping An Health Technology Co Ltd formed a
strategic alliance to expand access to cancer care in China. Under the
agreement, Varian and Ping An will research for the utilization of
artificial intelligence, cloud computing and big data technologies which
will be used to deliver quality and cost-effective cancer care services.</t>
  </si>
  <si>
    <t xml:space="preserve">Health &amp; Medical Services
Research &amp; Development Services
Computer Integrated Systems Svcs</t>
  </si>
  <si>
    <t xml:space="preserve">92220P
1H6041</t>
  </si>
  <si>
    <t xml:space="preserve">GE Healthcare
Roche Diagnostics Corp</t>
  </si>
  <si>
    <t xml:space="preserve">Manufacture diagnostic imaging equipment
Mnfr diagnostic equip,prod</t>
  </si>
  <si>
    <t xml:space="preserve">GE Healthcare, located in
Wauwatosa, Wisconsin,
manufactures and distributes
diagnostic imaging equipment
and patient monitoring
systems, which enables
healthcare enterprises to
comprehensively diagnose and
treat cancer, heart disease,
neurological diseases and
other conditions earlier, and
provide disease research and
drug discovery services.
Roche Diagnostics Corp,
located in Indianapolis,
Indiana, manufactures
diagnostic equipment, products
and hematology instruments.
These are used for early
detection, targeted screening,
evaluation and monitoring of
the diseases. The company was
founded in 1968.</t>
  </si>
  <si>
    <t xml:space="preserve">3845
2835</t>
  </si>
  <si>
    <t xml:space="preserve">General Electric Co
Roche Holdings AG</t>
  </si>
  <si>
    <t xml:space="preserve">3612
2834</t>
  </si>
  <si>
    <t xml:space="preserve">GE HEALTHCARE/ROCHE DIAGNOSTICS CORP-STRATEGIC ALLIANCE</t>
  </si>
  <si>
    <t xml:space="preserve">GE Healthcare and Roche Diagnostics Corp formed a strategic alliance to
jointly develop and co-market digital clinical decision support solutions
in US.</t>
  </si>
  <si>
    <t xml:space="preserve">36069Q
77117P</t>
  </si>
  <si>
    <t xml:space="preserve">Exelixis Inc
Stemsynergy Therapeutics Inc</t>
  </si>
  <si>
    <t xml:space="preserve">Exelixis Inc, located in South
San Francisco, California, is
a biotechnology company
focused on the discovery and
development of novel small
molecule therapeutics for
cancer and other serious
diseases. The company was
founded in 1994.
StemSynergy Therapeutics
Inc, located in Miami,
Florida, is a provider of
biotechnology research and
development services.</t>
  </si>
  <si>
    <t xml:space="preserve">EXELIXIS INC/STEMSYNERGY THERAPEUTICS INC-STRATEGIC ALLIANCE</t>
  </si>
  <si>
    <t xml:space="preserve">Exelixis Inc and StemSynergy Therapeutics Inc planned to form a strategic
alliance to conduct preclinical and clinical studies with compounds from
StemSynergys CK1 Activator Program.</t>
  </si>
  <si>
    <t xml:space="preserve">30161Q
1H5970</t>
  </si>
  <si>
    <t xml:space="preserve">Cypralis Ltd
Gilead Sciences Inc</t>
  </si>
  <si>
    <t xml:space="preserve">Cypralis Ltd, headquartered
in Essex, United Kingdom, is
a biotechnology company.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</si>
  <si>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CYPRALIS LTD/GILEAD SCIENCES INC-STRATEGIC ALLIANCE</t>
  </si>
  <si>
    <t xml:space="preserve">Cypralis Ltd and Gilead Sciences Inc formed a strategic alliance to exploit
the properties of cyprolides in areas outside of oncology and virology.</t>
  </si>
  <si>
    <t xml:space="preserve">7E4310
375558</t>
  </si>
  <si>
    <t xml:space="preserve">Frequency Networks Inc
Reznick Digital</t>
  </si>
  <si>
    <t xml:space="preserve">Internet Service Provider{ISP}
Display Advertising</t>
  </si>
  <si>
    <t xml:space="preserve">Frequency Networks Inc is an
internet service provider. The
company was founded in 2010
and is located in California.
Reznick Digital The Company
is located in Colorado.</t>
  </si>
  <si>
    <t xml:space="preserve">7375
7312</t>
  </si>
  <si>
    <t xml:space="preserve">FREQUENCY NETWORKS INC/REZNICK DIGITAL-STRATEGIC ALLIANCE</t>
  </si>
  <si>
    <t xml:space="preserve">Frequency Networks Inc and Reznick Digital planned to form a strategic
alliance. The purpose of startegic alliance is to provide business
development and strategy expertise to help Frequency expand its footprint
in the audio industry, specifically with key partners interested in
leveraging Frequencys creative management platform.</t>
  </si>
  <si>
    <t xml:space="preserve">5E1764
1J7701</t>
  </si>
  <si>
    <t xml:space="preserve">Shanghai Precise Pkg Co Ltd
Hunan Bonya Intelligence</t>
  </si>
  <si>
    <t xml:space="preserve">Packaging Machinery Manufacturing
All Other Miscellaneous General Purpose Machinery Manufacturing</t>
  </si>
  <si>
    <t xml:space="preserve">Shanghai Precise Packaging
Co Ltd is a manufacturer of
packaging machinery. The
Company was founded in June
2007 and is located in
Shanghai, China.
Hunan Bonya Intelligence
Equipment Co Ltd is a
manufacturer and wholesaler
of machinery. The Company
was founded in January 2007
and is located in Changsha,
China.</t>
  </si>
  <si>
    <t xml:space="preserve">3565
3569</t>
  </si>
  <si>
    <t xml:space="preserve">SHANGHAI PRECISE PACKAGING CO LTD/HUNAN BONYA INTELLIGENCE EQUIPMENT CO
LTD-JOINT VENTURE</t>
  </si>
  <si>
    <t xml:space="preserve">Shanghai Pulisheng Bonya
Intelligence Equipment
Engineering Co Ltd is an
industrial machinery and
equipment wholesaler. The
Company was founded in
January 2018 and is located
in Shanghai, China.</t>
  </si>
  <si>
    <t xml:space="preserve">Shanghai Precise Packaging Co Ltd and Undisclosed Joint Venture Partner
formed a 60:40 joint venture, provide manufacturing and marketing services
on liqueur.</t>
  </si>
  <si>
    <t xml:space="preserve">2H1267</t>
  </si>
  <si>
    <t xml:space="preserve">9A4088
2H1264</t>
  </si>
  <si>
    <t xml:space="preserve">Appili Therapeutics Inc
National Research Council</t>
  </si>
  <si>
    <t xml:space="preserve">Biotechnology company
State agency</t>
  </si>
  <si>
    <t xml:space="preserve">Appili Therapeutics Inc is a
manufacturer of biological
products. The Company was
founded in May 2015 and is
located in Halifax, Canada.
National Research Council of
Canada is a state agency which
provides research and
development services since
1916.</t>
  </si>
  <si>
    <t xml:space="preserve">2836
999D</t>
  </si>
  <si>
    <t xml:space="preserve">Appili Therapeutics Inc
Canada</t>
  </si>
  <si>
    <t xml:space="preserve">APPILI THERAPEUTICS INC/NATIONAL RESEARCH COUNCIL-STRATEGIC ALLIANCE</t>
  </si>
  <si>
    <t xml:space="preserve">Appili Therapeutics Inc and National Research Council of Canada formed a
strategic alliance. The purpose of the strategic alliance was to develop
ATI-1701, a vaccine to protect against Francisella tularensis, a potential
bioterrorism agent that causes tularemia.</t>
  </si>
  <si>
    <t xml:space="preserve">03783R
63790A</t>
  </si>
  <si>
    <t xml:space="preserve">PulteGroup Inc
Georgia Power Co</t>
  </si>
  <si>
    <t xml:space="preserve">Construct residential homes
Electric utility</t>
  </si>
  <si>
    <t xml:space="preserve">Pulte Homes Inc, headquartered
in Atlanta, Georgia,
constructs residential homes.
The company has operations in
49 markets and 25 states. The
company provides construction
and financial services, land
acquisition and development
services for residential
purposes. The company also
provides mortgage banking
services and is an investment
holding company. The company
was founded in 1950.
Georgia Power Company is a
wholly owned subsidiary of
Southern Company. It provides
electricity and services the
state of Georgia. The company
is also engaged in the
transmission, distribution and
sale of electricity in over
600 communities. The regulated
utility provides electricity
to more than2.3 million
residential, commercial, and
industrial customers
throughout most of Georgia. It
is fossil-fueled, nuclear, and
hydroelectric power plant
interests that give it more
than 14,500 MW of generating
capacity. Georgia Power sells
wholesale electricity to
several cooperatives and
municipalities in the region.
Also, it offers energy
efficiency, surge protection,
and outdoor lighting products
and services. The company was
founded in 1883.</t>
  </si>
  <si>
    <t xml:space="preserve">1531
4911</t>
  </si>
  <si>
    <t xml:space="preserve">PulteGroup Inc
Southern Co</t>
  </si>
  <si>
    <t xml:space="preserve">PULTEGROUP INC/GEORGIA POWER CO-STRATEGIC ALLIANCE</t>
  </si>
  <si>
    <t xml:space="preserve">PulteGroup Inc and Georgia Power Co planned to form a strategic alliance.
The purpose of startegic alliance is to develop Atlanta's first Smart
NeighborhoodTM at Pulte's Altus at the Quarter development.</t>
  </si>
  <si>
    <t xml:space="preserve">745867
373334</t>
  </si>
  <si>
    <t xml:space="preserve">New Context Services Inc
Department of Energy
Idaho National Laboratory</t>
  </si>
  <si>
    <t xml:space="preserve">Custom Computer Programming Services
State agcy
Regional/State Government</t>
  </si>
  <si>
    <t xml:space="preserve">New Context Services Inc is
a provider of custom
computer programming
services. The Company is
located in San Francisco,
California.
Department of Energy, located
in Washington, D. of Columbia,
is a state agency.
Idaho National Laboratory is
a regional government. The
Company was founded in March
2011 and is located in Idaho
Falls, Idaho.</t>
  </si>
  <si>
    <t xml:space="preserve">7371
999D
999C</t>
  </si>
  <si>
    <t xml:space="preserve">CA
DC
ID</t>
  </si>
  <si>
    <t xml:space="preserve">New Context Services Inc
United States of America
Idaho National Laboratory</t>
  </si>
  <si>
    <t xml:space="preserve">7371
999A
999C</t>
  </si>
  <si>
    <t xml:space="preserve">NEW CONTEXT SERVICES INC/DEPARTMENT OF ENERGY/IDAHO NATIONAL
LABORATORY-STRATEGIC ALLIANCE</t>
  </si>
  <si>
    <t xml:space="preserve">Idaho</t>
  </si>
  <si>
    <t xml:space="preserve">New Context Services Inc, Department of Energy and Idaho National
Laboratory planned to form a strategic alliance in United States to develop
next generation cyber security technologies and tools.</t>
  </si>
  <si>
    <t xml:space="preserve">1J7390
91176Q
0J0651</t>
  </si>
  <si>
    <t xml:space="preserve">Abbott Labs
YR Gaitonde Centre for AIDS</t>
  </si>
  <si>
    <t xml:space="preserve">Mnfr,whl pharm,med equip
All Other Outpatient Care Centers</t>
  </si>
  <si>
    <t xml:space="preserve">Abbott Laboratories,
headquartered in Chicago,
Illinois, manufactures and
wholesales general
pharmaceuticals and medical
equipment. The company
operates through its four
divisions namely,
Pharmaceutical Products, which
offers adult and pediatric
pharmaceuticals; Diagnostic
Products, responsible for
providing diagnostic systems
and tests for blood banks,
hospitals, commercial
laboratories, physicians'
offices, alternate-care
testing sites, plasma protein
therapeutic companies, and
consumers; Nutritional
Products, concerned with
pediatrics and adult
nutritional items; and
Vascular Products, which
provides a line of coronary,
endovascular, and vessel
closure devices for the
treatment of vascular
diseases. The company was
founded in 1888.
YR Gaitonde Centre for AIDS
Research &amp; Education,
located in Chennai, India,
provides medical services to
persons with HIV disease. It
provides outpatient clinics,
counseling programs,
pharmacy, operation theatre,
pediatric clinic, laboratory
diagnosis, clinical
training, peripheral clinic,
community outreach and
outpatient services.</t>
  </si>
  <si>
    <t xml:space="preserve">2834
8093</t>
  </si>
  <si>
    <t xml:space="preserve">ABBOTT LABORATORIES/YR GAITONDE CENTRE FOR AIDS RESEARCH &amp;
EDUCATION-STRATEGIC ALLIANCE</t>
  </si>
  <si>
    <t xml:space="preserve">Abbott Laboratories and YR Gaitonde Centre for AIDS Research Education
formed a strategic alliance to study the country's viral diversity to
improve accuracy of diagnostic tests. Under the agreement, Abbott will
provide study protocol and diagnostic equipment. Meanwhile, YR will screen
and sequence rich patient data from infected populations in India.</t>
  </si>
  <si>
    <t xml:space="preserve">002824
1H5111</t>
  </si>
  <si>
    <t xml:space="preserve">Vital Usa Inc
Lenovo Group Ltd
Motorola Solutions Inc</t>
  </si>
  <si>
    <t xml:space="preserve">All Other Miscellaneous Ambulatory Health Care Services
Mnfr,wholesale computer prod
Manufactures integrated communication products</t>
  </si>
  <si>
    <t xml:space="preserve">Vital Usa Inc is a provider
of ambulatory health care
services. The Company was
founded in May 1999 and is
located in Redmond,
Washington.
Lenovo Group Ltd, located in
Quarry Bay, Hong Kong,
manufactures and wholesales
computer products. The
Products of the company
include the Thinkpad notebooks
and Thinkcentre desktops as
well as a full line of PC
accessories and options. The
Group also offers mobile
handsets, servers, peripherals
and digital entertainment
products for the China market.
The Group has research centers
in Yamato, Japan; Beijing,
Shanghai and Shenzhen, China;
and Raleigh, North Carolina.
They even provide services
worldwide for their products
with executive offices in
Beijing, China, and Singapore.
The Company was founded in
1984.
Motorola Solutions Inc,
located in Chicago,
Illinois, manufactures
integrated communication and
embedded electronic
products. It offers
software-enhanced wireless
telephone, two-way radio,
messaging and satellite
communications products and
systems, as well as
networking and
Internet-access products.
The Company was founded in
1928.</t>
  </si>
  <si>
    <t xml:space="preserve">8099
3571
3663</t>
  </si>
  <si>
    <t xml:space="preserve">United States
Hong Kong
United States</t>
  </si>
  <si>
    <t xml:space="preserve">WA
FF
IL</t>
  </si>
  <si>
    <t xml:space="preserve">VITAL USA INC/LENOVO GROUP LTD/MOTOROLA SOLUTIONS INC-STRATEGIC ALLIANCE</t>
  </si>
  <si>
    <t xml:space="preserve">United States
United States
Hong Kong</t>
  </si>
  <si>
    <t xml:space="preserve">Illinois
Washington
Foreign</t>
  </si>
  <si>
    <t xml:space="preserve">Vital Usa Inc, Lenovo Group Ltd and Motorola Solutions Inc planned to form
a strategic alliance. The purpose of strategic alliance is to offer
demonstrations of the Vital Moto Mod during CES at the Lenovo product
showcase, an invitation-only event held at the Venetian HotelJanuary 9-11.</t>
  </si>
  <si>
    <t xml:space="preserve">1J7683
526250
620076</t>
  </si>
  <si>
    <t xml:space="preserve">Gopath Laboratories LLC
IntegraGen SA</t>
  </si>
  <si>
    <t xml:space="preserve">General Medical and Surgical Hospitals
Biotechnology company</t>
  </si>
  <si>
    <t xml:space="preserve">Gopath Laboratories LLC is a
hospital operator. The
Company was founded in
January 2012 and is located
in Buffalo Grove, Illinois.
IntegraGen SA is a
manufacturer of biological
products. The Company
specializes in researching
and identifying genetic
biomarkers and in developing
and marketing molecular
diagnostic products and
services, primarily in the
fields of autism and
oncology. The Company was
founded in 2000 and is
located in Evry, France.</t>
  </si>
  <si>
    <t xml:space="preserve">GOPATH LABORATORIES LLC/INTEGRAGEN SA-STRATEGIC ALLIANCE</t>
  </si>
  <si>
    <t xml:space="preserve">Illinois
Foreign</t>
  </si>
  <si>
    <t xml:space="preserve">Gopath Laboratories LLC and IntegraGen SA formed a strategic alliance to
develop and provide a test based on IntegraGen's proprietary miR-31-3p
biomarker to physicians in the United States and Canada.</t>
  </si>
  <si>
    <t xml:space="preserve">1J7369
46223M</t>
  </si>
  <si>
    <t xml:space="preserve">Q-State Biosciences Inc
ID Pharma Co Ltd</t>
  </si>
  <si>
    <t xml:space="preserve">Q-State Biosciences Inc is a
manufacturer of biological
products. The Company was
founded in April 2003 and is
located in Cambridge,
Massachusetts.
ID Pharma Co. Ltd is a
provider of biotechnology
research and development
services. The Company was
founded in September 2003 and
is located in Tsukuba-Shi
Ibaraki, Japan.</t>
  </si>
  <si>
    <t xml:space="preserve">Q-State Biosciences Inc
I'rom Group Co Ltd</t>
  </si>
  <si>
    <t xml:space="preserve">Q-STATE BIOSCIENCES INC/ID PHARMA CO LTD-STRATEGIC ALLIANCE</t>
  </si>
  <si>
    <t xml:space="preserve">Q-State Biosciences Inc and ID Pharma Co Ltd formed a strategic alliance in
United States &amp; Japan for induced pluripotent stem (IPS) cell technology.</t>
  </si>
  <si>
    <t xml:space="preserve">1J7400
25602L</t>
  </si>
  <si>
    <t xml:space="preserve">Multi-Tech Systems Inc
Infatrac Llc</t>
  </si>
  <si>
    <t xml:space="preserve">Mnfr telephony
Custom Computer Programming Services</t>
  </si>
  <si>
    <t xml:space="preserve">Multi-Tech Systems Inc,
located in Mounds View,
Minnesota, manufactures
telephony, Internet, remote
access, and device networking
products that connect voice
and data over IP networks. The
company was founded in 1970.
Infatrac LLC The Company is
located in Ladera Ranch,
California.</t>
  </si>
  <si>
    <t xml:space="preserve">3661
7371</t>
  </si>
  <si>
    <t xml:space="preserve">MULTI-TECH SYSTEMS INC/INFATRAC LLC-STRATEGIC ALLIANCE</t>
  </si>
  <si>
    <t xml:space="preserve">California
Minnesota</t>
  </si>
  <si>
    <t xml:space="preserve">Multi-Tech Systems Inc and Infatrac LLC planned to form a strategic
alliance. The purpose of strategic alliance is to focus our development on
the Life Safety Industry..</t>
  </si>
  <si>
    <t xml:space="preserve">62590M
1J7618</t>
  </si>
  <si>
    <t xml:space="preserve">Nanovetores Tecnologia SA
Horn Co</t>
  </si>
  <si>
    <t xml:space="preserve">All Other Miscellaneous Chemical Product and Preparation Manufacturing
Mnfr,whl specialty chemicals</t>
  </si>
  <si>
    <t xml:space="preserve">Nanovetores Tecnologia SA is
a manufacturer of chemical
products. The Company was
founded in 2008 and is
located in Florianopolis,
Brazil.
Horn Co manufactures and
wholesale specialty
ingredients, raw materials
and chemicals for coatings,
composites, resins, building
materials, elastomers,
adhesives, nutraceuticals,
cosmetics, personal care
products, food ingredients,
cleaning products and animal
wellness products. It has
three main divisions that
include Industrial,
Ingredients, and
Nutrichemicals. The Company
was founded in 1961 and is
located in La Mirada,
California.</t>
  </si>
  <si>
    <t xml:space="preserve">NANOVETORES TECNOLOGIA SA/HORN CO-STRATEGIC ALLIANCE</t>
  </si>
  <si>
    <t xml:space="preserve">Nanovetores Tecnologia SA and Horn Co formed a strategic alliance to
develop exhaustive list of aqueous-based microencapsulated active
ingredients with a commitment to sustainability for use in personal care
and cosmetics applications.</t>
  </si>
  <si>
    <t xml:space="preserve">2H0668
44226A</t>
  </si>
  <si>
    <t xml:space="preserve">Adimab LLC
Boehringer Ingelheim GmbH</t>
  </si>
  <si>
    <t xml:space="preserve">Rsch, devlp human antibodies
Pharmaceutical Preparation Manufacturing</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</si>
  <si>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Boehringer Ingelheim GmbH,
located in Ingelheim,
Germany, manufactures and
develops prescription
pharmaceuticals intended for
human and veterinary
medicine.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t>
  </si>
  <si>
    <t xml:space="preserve">Adimab LLC
CH Boehringer Sohn AG &amp; Co KG</t>
  </si>
  <si>
    <t xml:space="preserve">ADIMAB LLC/BOEHRINGER INGELHEIM GMBH-STRATEGIC ALLIANCE</t>
  </si>
  <si>
    <t xml:space="preserve">Adimab LLC and Boehringer Ingelheim GmbH planned to form a strategic
alliance.The purpose of the strategic alliance was to develop and
commercialize therapeutic programs resulting from the collaboration.</t>
  </si>
  <si>
    <t xml:space="preserve">02255X
09710W</t>
  </si>
  <si>
    <t xml:space="preserve">TARGET PharmaSolutions Inc
Novartis AG</t>
  </si>
  <si>
    <t xml:space="preserve">TARGET PharmaSolutions Inc,
located in Durham, North
Carolina, is a clinical data
company. It offers solutions
to improve clinical,
medical, and commercial
outcomes. The Company was
founded in February 2015.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</si>
  <si>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TARGET PHARMASOLUTIONS, INC./NOVARTIS AG-STRATEGIC ALLIANCE</t>
  </si>
  <si>
    <t xml:space="preserve">TARGET PharmaSolutions, Inc. and Novartis AG formed a strategic
alliance.The purpose of the strategic alliance was to conduct a
longitudinal observational study that evaluates adult and pediatric
patients with nonalcoholic fatty liver disease (NAFLD) or nonalcoholic
steatohepatitis (NASH).</t>
  </si>
  <si>
    <t xml:space="preserve">9F4346
66987V</t>
  </si>
  <si>
    <t xml:space="preserve">Ligand Pharmaceuticals Inc
Glenmark Pharmaceuticals Ltd</t>
  </si>
  <si>
    <t xml:space="preserve">Biotechnology company
Manufacture,wholesale pharmaceutical products</t>
  </si>
  <si>
    <t xml:space="preserve">Ligand Pharmaceuticals Inc,
headquartered in San Diego,
California, is a
biopharmaceutical company
that focuses on developing
and acquiring technologies
that help pharmaceutical
companies discover and
develop medicines. It is
involved in the development
and licensing of
biopharmaceutical assets. It
employs research
technologies, such as
nuclear receptor assays,
high throughout computer
screening, formulation
science, liver targeted
pro-drug technologies and
antibody discovery
technologies to assist
companies in their work
toward obtaining
prescription drug approvals.
It had partnerships and
license agreements with over
85 pharmaceutical and
biotechnology companies, and
over 140 various programs
under license with it were
in various stages of
commercialization and
development. It has
contributed research and
technologies for approved
medicines that treat cancer,
osteoporosis, fungal
infections and low blood
platelets, among others. The
Company was founded in 1987.
Glenmark Pharmaceuticals
Ltd, located in Mumbai,
India, manufactures and
wholesales pharmaceutical
products. Its formulations
business spans product
segments such as
dermatology, internal
medicine, respiratory,
diabetes, pediatrics,
gynecology, ENT, and
oncology. It also offers
related research services.
The Group operates in North
America, Latin America,,
Africa, Middle East, Asia,
Russia, Europe, and India.
The Company was founded in
1977.</t>
  </si>
  <si>
    <t xml:space="preserve">LIGAND PHARMACEUTICALS INC/GLENMARK PHARMACEUTICALS LTD-STRATEGIC ALLIANCE</t>
  </si>
  <si>
    <t xml:space="preserve">Ligand Pharmaceuticals Inc and Glenmark Pharmaceuticals Ltd formed a
strategic alliance around the world to use OmniAb platform including
OmniChicken, OmniRat, OmniMouse and OmniFlic to discover fully human
mono-and multispecific antibodies. This agreement enables Glenmark Pharma
to discover fully human mono- and multispecific antibodies.</t>
  </si>
  <si>
    <t xml:space="preserve">53220K
37868Y</t>
  </si>
  <si>
    <t xml:space="preserve">Zhejiang Huayou Cobalt Co Ltd
POSCO Co Ltd</t>
  </si>
  <si>
    <t xml:space="preserve">Primary Smelting and Refining Of Nonferrous Metal (Except Copper and Aluminum)
Mnfr,whl iron,steel products</t>
  </si>
  <si>
    <t xml:space="preserve">Zhejiang Huayou Cobalt Co
Ltd located in Jiaxing,
China is engaged in the
nonferrous metals services
business. The Company was
founded in May 2002.
POSCO Co Ltd, located in
Pohang, South Korea,
manufactures and wholesales
iron and steel products. The
Company operates in steel
business, engaged in the
manufacture of hot rolled
steels, steel plates, wire
rods, cold rolled steels,
galvanized steels,
electrical galvanized
steels, stainless steels,
titanium products, magnesium
products and others; trading
trading of steel products,
chemical products,
automobile parts and others;
construction business,
mainly engaged in the
construction of commercial
and residential buildings,
and other business, engaged
in the operation of power
plants, and distribution of
electricity. It was founded
in 1968.</t>
  </si>
  <si>
    <t xml:space="preserve">3339
3312</t>
  </si>
  <si>
    <t xml:space="preserve">ZHEJIANG HUAYOU COBALT CO LTD/POSCO CO LTD-JOINT VENTURE</t>
  </si>
  <si>
    <t xml:space="preserve">Zhejiang Huayou Cobalt Co Ltd and Pohang Iron Steel Co Ltd planned to form
a 60:40 joint venture named Zhejiang HUAYOU-POSCO New Energy Co Ltd to
development, manufacture and wholesale lithium materials. The JV was to be
capitalized at CNY 336 mil (USD 51.649 mil).</t>
  </si>
  <si>
    <t xml:space="preserve">The value was to be capitalized at CNY 336 mil (USD 51.649 mil).</t>
  </si>
  <si>
    <t xml:space="preserve">99532V
693483</t>
  </si>
  <si>
    <t xml:space="preserve">Kantar Group Ltd
Second City Works</t>
  </si>
  <si>
    <t xml:space="preserve">Marketing Consulting Services
Convention and Trade Show Organizers</t>
  </si>
  <si>
    <t xml:space="preserve">Kantar Group Ltd is a
provider of market research
and consultancy services.
The Company offers a wide
range of custom and
syndicated research services
covering such sectors as
business-to-business,
financial services, health
care and retail. The Company
also publish Kantar US
Insights, Kantar UK
Insights, Kantar France
Insights, Kantar Spain
Insights, Kantar Brazil
Insights and Kantar China
Insights, with several more
countries in the pipeline.
It is also a holding
company. The Company was
founded in 1993 and is
located in London, the
United Kingdom.
Second City Works is a trade
show organizer. The Company
is located in Illinois.</t>
  </si>
  <si>
    <t xml:space="preserve">8742
7389</t>
  </si>
  <si>
    <t xml:space="preserve">WPP PLC
Second City Works</t>
  </si>
  <si>
    <t xml:space="preserve">7311
7389</t>
  </si>
  <si>
    <t xml:space="preserve">KANTAR GROUP LTD/SECOND CITY WORKS-STRATEGIC ALLIANCE</t>
  </si>
  <si>
    <t xml:space="preserve">Kantar Group Ltd and Second City Works formed a strategic alliance.The
purpose of strategic alliance was to work with marketing organizations to
drive new product innovation, originate captivating marketing and
communications ideas, explore customer experience opportunities and remove
the guesswork and over-reliance on dated, silo-based groupthink from
critical marketing initiatives.</t>
  </si>
  <si>
    <t xml:space="preserve">48550L
1J7317</t>
  </si>
  <si>
    <t xml:space="preserve">Zhejiang Huayou Cobalt Co Ltd and POSCO Co Ltd planned to form a 40:60
joint venture named Zhejiang POSCO-HUAYOU New Energy Co Ltd to development,
manufacture and wholesale lithium materials. The JV was to be capitalized
at CNY 310 mil (USD 47.652 mil).</t>
  </si>
  <si>
    <t xml:space="preserve">The value was to be capitalized at CNY 310 mil (USD 47.652 mil).</t>
  </si>
  <si>
    <t xml:space="preserve">Cell Therapy Catapult Ltd
CombiGene AB</t>
  </si>
  <si>
    <t xml:space="preserve">Provide research,dvlp svcs
Biological Product (Except Diagnostic) Manufacturing</t>
  </si>
  <si>
    <t xml:space="preserve">Cell Therapy Catapult Ltd is a
provider of research and
development services. The
Company was founded in
February 2012 and is located
in London, the United Kingdom.
The Company is involved in the
development, delivery and
commercialization of cell and
gene therapy.
CombiGene AB is a
manufacturer of biological
products. The Company
specializes in development
of treatments for
neurological disorders.
It''s platform comprises the
use of gene therapy vectors
delivering a combination of
transgenes encoding two or
more of neuropeptide Y (NPY)
receptors, galanin, galanin
receptors, somatostatin, and
somatostatin receptors, for
the treatment of
neurological and psychiatric
diseases in humans and
animals. The Company focuses
on the development of an
epilepsy treatment by means
of an adeno-associated virus
(AAV) vector carrying the
transgenes for the
neurotransmitter NPY and one
of its receptors, the G
protein-coupled receptor Y2.
The Company was founded in
1990 and is located in Lund,
Sweden.</t>
  </si>
  <si>
    <t xml:space="preserve">CELL THERAPY CATAPULT LTD/COMBIGENE AB-STRATEGIC ALLIANCE</t>
  </si>
  <si>
    <t xml:space="preserve">Cell Therapy Catapult Ltd and CombiGene AB formed a strategic alliance to
develop manufacturing process for novel gene therapy to treat epilepsy.</t>
  </si>
  <si>
    <t xml:space="preserve">6F1916
3E4132</t>
  </si>
  <si>
    <t xml:space="preserve">Molnlycke Health Care AB
Tissue Analytics Inc</t>
  </si>
  <si>
    <t xml:space="preserve">Manufactre surgical products
Software Publishers</t>
  </si>
  <si>
    <t xml:space="preserve">Molnlycke Health Care AB,
located in Gothenburg,
Sweden, manufactures
single-use surgical and
wound care products to the
health care sector. It has
production sites in Belgium,
the Czech Republic, Finland,
Malaysia, Thailand and the
UK. The Company was founded
in 1997.
Tissue Analytics Inc,
located in Baltimore,
Maryland, is a software
publisher. It develops
artificial intelligence
software that serve
clinicians, industry, payer,
and research stakeholders in
various therapy areas. The
Company was founded in 2013.</t>
  </si>
  <si>
    <t xml:space="preserve">3842
7372</t>
  </si>
  <si>
    <t xml:space="preserve">Investor AB
Tissue Analytics Inc</t>
  </si>
  <si>
    <t xml:space="preserve">MOLNLYCKE HEALTH CARE AB/TISSUE ANALYTICS INC-STRATEGIC ALLIANCE</t>
  </si>
  <si>
    <t xml:space="preserve">Molnlycke Health Care AB and Tissue Analytics Inc formed a strategic
alliance o simplify and standardize chronic wound care.</t>
  </si>
  <si>
    <t xml:space="preserve">60866R
2H2072</t>
  </si>
  <si>
    <t xml:space="preserve">NKI
Desktop Genetics Ltd</t>
  </si>
  <si>
    <t xml:space="preserve">Provide cancer research svcs
Research and Development in The Physical, Engineering and Lifesciences (Except Biotechnology)</t>
  </si>
  <si>
    <t xml:space="preserve">Netherlands Cancer Institute
is a provider of research and
development services. The
Company is located in
Amsterdam, the Netherlands.
Desktop Genetics Ltd.
provides clustered regularly
interspaced short
palendromic repeats (CRISPR)
bioinformatics support to
industry and academic
laboratories that perform
genome editing for
fundamental and clinical
research.</t>
  </si>
  <si>
    <t xml:space="preserve">8731
3721</t>
  </si>
  <si>
    <t xml:space="preserve">NETHERLANDS CANCER INSTITUTE/DESKTOP GENETICS LTD-STRATEGIC ALLIANCE</t>
  </si>
  <si>
    <t xml:space="preserve">Netherlands Cancer Institute and DESKTOP GENETICS LTD formed a strategic
alliance.The purpose of strategic alliance was to The TIDE technology will
allow investigators to quantitatively assess genome editing on the DESKGEN
Cloud, the free CRISPR design software from DTG, and the tool will rapidly
calculates the efficiency of CRISPR using Sanger DNA sequencing data.</t>
  </si>
  <si>
    <t xml:space="preserve">64110X
1J7700</t>
  </si>
  <si>
    <t xml:space="preserve">Waters Corp
Malvern Panalytical Ltd</t>
  </si>
  <si>
    <t xml:space="preserve">Manufacture,wholesale chromatography instrument systems
Mnfr,whl analytical sys</t>
  </si>
  <si>
    <t xml:space="preserve">Waters Corp, located in
Milford, Massachusetts,
manufactures and wholesales
chromatography instrument
systems. It also offers mass
spectrometry instrument
systems and associated
service and support products
including chromatography
columns and other consumable
products for the
pharmaceutical, life
science, biochemical,
industrial, academic and
government industries, for
research and development,
quality assurance and other
laboratory applications. The
company was founded in 1958.
Malvern Instruments Ltd,
headquartered in Malvern,
Worcestershire, manufactures
and wholesales advanced
analytical systems for
particle sizing, rheology
and dispersion stability.</t>
  </si>
  <si>
    <t xml:space="preserve">Waters Corp
Spectris PLC</t>
  </si>
  <si>
    <t xml:space="preserve">3826
3823</t>
  </si>
  <si>
    <t xml:space="preserve">WATERS CORP/MALVERN PANALYTICAL LTD-STRATEGIC ALLIANCE</t>
  </si>
  <si>
    <t xml:space="preserve">Waters Corp and Malvern Panalytical Ltd planned to form a strategic
alliance. The purpose of strategic alliance were to Improve Polymer
Characterization.</t>
  </si>
  <si>
    <t xml:space="preserve">941848
56145N</t>
  </si>
  <si>
    <t xml:space="preserve">Phivida Holdings Inc
Dynamic Processors Llc</t>
  </si>
  <si>
    <t xml:space="preserve">Manufactures in-vitro diagnostic substances.
Pharmaceutical Preparation Manufacturing</t>
  </si>
  <si>
    <t xml:space="preserve">Phivida Holdings Inc,
located in Vancouver,
Canada, manufactures
in-vitro diagnostic
substances. The Company was
founded in April 24, 2015.
Dynamic Processors LLC,
located in Sedro-Woolley,
Washington, manufactures
legal cannabinoid products.</t>
  </si>
  <si>
    <t xml:space="preserve">PHIVIDA HOLDINGS INC/DYNAMIC PROCESSORS LLC-STRATEGIC ALLIANCE</t>
  </si>
  <si>
    <t xml:space="preserve">Phivida Holdings Inc and Dynamic Processors LLC formed a strategic alliance
to license Dynamic to manufacture and distribute Phivida and Vida-plus
products to Washington State's regulated cannabinoid retailers.</t>
  </si>
  <si>
    <t xml:space="preserve">Licensing Services
Research &amp; Development Services
Manufacturing Services
Retail &amp; Wholesale Services
Supply Services
Marketing Services</t>
  </si>
  <si>
    <t xml:space="preserve">0H8161
1H6958</t>
  </si>
  <si>
    <t xml:space="preserve">Oracle Corp-Oracle Health
Informa Engage</t>
  </si>
  <si>
    <t xml:space="preserve">Software Publishers
Marketing Research and Public Opinion Polling</t>
  </si>
  <si>
    <t xml:space="preserve">Oracle health sciences of
Oracle Corp, located in
Redwood City, California, is
a software publisher.
Informa Engage, located in
New York City, New York, is
a provider of marketing
research and opinion polling
services. It connects
marketers with B2B decision
makers</t>
  </si>
  <si>
    <t xml:space="preserve">Oracle Corp
Informa PLC</t>
  </si>
  <si>
    <t xml:space="preserve">7372
2721</t>
  </si>
  <si>
    <t xml:space="preserve">ORACLE CORP-ORACLE HEALTH SCIENCES/INFORMA ENGAGE-STRATEGIC ALLIANCE</t>
  </si>
  <si>
    <t xml:space="preserve">Oracle Corp-Oracle Health Sciences and Informa Engage formed a strategic
alliance to study challenges and frustrations of clinical trial
professionals with current Randomisation and Trial Supply Management/
Interactive Response Technology (RTSM/IRT) systems in United States.</t>
  </si>
  <si>
    <t xml:space="preserve">1H8249
1H8252</t>
  </si>
  <si>
    <t xml:space="preserve">Talga Resources Ltd
Haydale Graphene Inds PLC</t>
  </si>
  <si>
    <t xml:space="preserve">All Other Nonmetallic Mineral Mining
All Other Business Support Services</t>
  </si>
  <si>
    <t xml:space="preserve">Talga Resources Ltd, located
in West Perth, Australia, is
engaged in graphite
exploration and development,
including trial mining, in
Sweden and graphite/graphene
research and development
through its pilot plant test
facility in Germany. The
Company operates through
three segments: graphite
exploration and development
in Sweden; gold exploration
and evaluation in Australia,
and graphite/graphene
research and development in
Germany. Its graphite
projects include Vittangi,
Raitajarvi, Pitea, Jalkunen
and Pajala. It owns over two
iron ore projects,
Masugnsbyn and Vittangi,
located in Norrbotten
County, north Sweden. It
owns approximately four gold
exploration projects in
Western Australia. The
Bullfinch project is located
in the Yilgarn region,
approximately 50 kilometers
north of the town of
Southern Cross. The other
three projects, including
Talga Talga, Warrawoona and
Mosquito Creek projects are
located in the East Pilbara
gold region, near the towns
of Marble Bar and Nullagine.
The Company was founded in
July 2009.
Haydale Graphene Industries
PLC is a provider of
business support services.
The Company provide
application of graphenes and
nanomaterials in fields such
as inks, sensors, energy
storage, photovoltaics,
composites, paints and
coatings. The Company was
founded in 2003 and is
located in Ammanford, the
United Kingdom.</t>
  </si>
  <si>
    <t xml:space="preserve">1499
7389</t>
  </si>
  <si>
    <t xml:space="preserve">TALGA RESOURCES LTD/HAYDALE GRAPHENE INDUSTRIES PLC-STRATEGIC ALLIANCE</t>
  </si>
  <si>
    <t xml:space="preserve">Talga Resources Ltd and Haydale Graphene Industries PLC formed a strategic
alliance to produce and sell graphene based transparent conductive ink
products for industrial applications in Asia. Under the agreement, Talga
and Haydale will enhance the properties of graphene conductive ink and
develop it for use in larger scale; and develop new formulations of
graphene conductive inks for emerging applications in the Asian packaging
and whitegoods markets. Also, the term of the alliance will be an initial
twelve-month period with the option to extend and mutually agreed by the
parties.</t>
  </si>
  <si>
    <t xml:space="preserve">Supply Services
Research &amp; Development Services
Manufacturing Services
Marketing Services
Retail &amp; Wholesale Services</t>
  </si>
  <si>
    <t xml:space="preserve">0A3398
9A6284</t>
  </si>
  <si>
    <t xml:space="preserve">Science Exchange Inc
Nanome Inc</t>
  </si>
  <si>
    <t xml:space="preserve">Research and Development in Biotechnology
Custom Computer Programming Services</t>
  </si>
  <si>
    <t xml:space="preserve">Science Exchange Inc is a
provider of biotechnology
research and development
services. The Company is
located in Palo Alto,
California.
Nanome Inc is a Software
company located in US</t>
  </si>
  <si>
    <t xml:space="preserve">8731
7371</t>
  </si>
  <si>
    <t xml:space="preserve">SCIENCE EXCHANGE INC/NANOME INC-STRATEGIC ALLIANCE</t>
  </si>
  <si>
    <t xml:space="preserve">Science Exchange Inc and Nanome Inc planned to form a strategic
alliance.The purpose of strategic alliance was to offer scientists
on-demand access to Nanome's blockchain and virtual reality technology.</t>
  </si>
  <si>
    <t xml:space="preserve">4E7689
1J7275</t>
  </si>
  <si>
    <t xml:space="preserve">PolyNovo Ltd
Establishment Labs SA</t>
  </si>
  <si>
    <t xml:space="preserve">Biological Product (Except Diagnostic) Manufacturing
Surgical Appliance and Supplies Manufacturing</t>
  </si>
  <si>
    <t xml:space="preserve">PolyNovo Ltd, located in
Melbourne, Australia, is a
biotechnology company. It
operates in the
pharmaceutical and
healthcare industries. The
Company is focused on the
development of medical
devices for medical
applications using its
NovoSorb technology.
NovoSorb is non-toxic and
non-immunogenic and produces
safe biodegradation products
on erosion. The Company has
two wholly owned
subsidiaries, PolyNovo
Biomaterials Pty Ltd and
Metabolic Pharmaceuticals
Pty Ltd. It was founded in
1998.
Establishment Labs SA is a
manufacturer of surgical
supplies that focuses on
aesthetic technologies with
emphasis on product
development and innovation.
The Company is located in
Alajuela, Costa Rica.</t>
  </si>
  <si>
    <t xml:space="preserve">Australia
Costa Rica</t>
  </si>
  <si>
    <t xml:space="preserve">POLYNOVO LTD/ESTABLISHMENT LABS SA-STRATEGIC ALLIANCE</t>
  </si>
  <si>
    <t xml:space="preserve">PolyNovo Ltd and Establishment Labs SA formed a strategic alliance.The
purpose of the strategic alliance is to jointly develop a range of medical
devices for use in breast aesthetics and reconstruction.</t>
  </si>
  <si>
    <t xml:space="preserve">1E7107
7F8098</t>
  </si>
  <si>
    <t xml:space="preserve">Sandoz International GmbH
Biocon Ltd</t>
  </si>
  <si>
    <t xml:space="preserve">Sandoz International GmbH,
located in Holzkirchen,
Germany, manufactures and
wholesales generic
pharmaceutical products. Its
therapeutic areas include
systemic anti-infectives,
hormone therapy,
respiratory, cardiovascular,
central nervous, and
gastrointestinal systems.
The Company was founded in
1886.
Biocon Ltd is a manufacturer
of biological products. The
Company focused on
biopharmaceuticals, contract
research, clinical research
and enzymes. It offers
active pharmaceutical
ingredients, including
anti-diabetic,
anti-inflammatory,
cardiovascular,
anti-obesity, hemostatic,
hepatoprotective, and
gastro-intestinal agents, as
well as anti-oxidants,
digestive-aid enzymes,
immunosuppressants, and
neutraceuticals. The Company
was founded on 29th November
1978 and is located in
Bangalore, India.</t>
  </si>
  <si>
    <t xml:space="preserve">Novartis AG
Biocon Ltd</t>
  </si>
  <si>
    <t xml:space="preserve">SANDOZ INTERNATIONAL GMBH/BIOCON LTD-STRATEGIC ALLIANCE</t>
  </si>
  <si>
    <t xml:space="preserve">Sandoz International GmbH and Biocon Ltd formed a strategic alliance to
develop, manufacture and commercialize multiple biosimilars in immunology
and oncology for patients worldwide.</t>
  </si>
  <si>
    <t xml:space="preserve">79999E
Y0905C</t>
  </si>
  <si>
    <t xml:space="preserve">SQI Diagnostics Inc
Global Biotech Inc</t>
  </si>
  <si>
    <t xml:space="preserve">Mnfr,dvlp medical sys prod
Research and Development in Biotechnology</t>
  </si>
  <si>
    <t xml:space="preserve">SQI Diagnostics Inc, located
in Toronto, Ontario, is a
manufacturer and developer
of medical system products.
It is focused on developing
and launching an automated,
multiplex immunoassay
platform. The Company was
founded in 1999.
Global Biotech is a pioneer
global distributor for
biological technologies</t>
  </si>
  <si>
    <t xml:space="preserve">SQI DIAGNOSTICS INC/GLOBAL BIOTECH INC-STRATEGIC ALLIANCE</t>
  </si>
  <si>
    <t xml:space="preserve">SQI Diagnostics Inc and Global Biotech Inc planned to form a strategic
alliance.The purpose of strategic alliance was to provide assay development
and future sample testing and analysis services and create an
immunogenicity assay utilizing SQI's multiplexing technology</t>
  </si>
  <si>
    <t xml:space="preserve">78466B
1J8173</t>
  </si>
  <si>
    <t xml:space="preserve">Cabrera Capital Markets LLC
Hc Brkg Sae</t>
  </si>
  <si>
    <t xml:space="preserve">Securities Brokerage
Miscellaneous Financial Investment Activities</t>
  </si>
  <si>
    <t xml:space="preserve">Cabrera Capital Markets LLC
is a securities brokerage
company. The Company is
located in Chicago,
Illinois.
Hc Brokerage Sae The Company
is located in Egypt.</t>
  </si>
  <si>
    <t xml:space="preserve">6211
6289</t>
  </si>
  <si>
    <t xml:space="preserve">United States
Egypt</t>
  </si>
  <si>
    <t xml:space="preserve">CABRERA CAPITAL MARKETS LLC/HC BROKERAGE SAE-STRATEGIC ALLIANCE</t>
  </si>
  <si>
    <t xml:space="preserve">Cabrera Capital Markets LLC and Hc Brokerage Sae planned to form a
strategic alliance. The purpose of strategic alliance is to Bring
Independent Institutional Egyptian Research to US Investors.</t>
  </si>
  <si>
    <t xml:space="preserve">13284H
1J7316</t>
  </si>
  <si>
    <t xml:space="preserve">Abattis Bioceuticals Corp
Faculty Brewing Co</t>
  </si>
  <si>
    <t xml:space="preserve">Pharmaceutical Preparation Manufacturing
Drinking Places (Alcoholic Beverages)</t>
  </si>
  <si>
    <t xml:space="preserve">Abattis Bioceuticals Corp,
located in Vancouver,
Canada, is a life sciences
and biotechnology company.
It integrates, and invests
in cannabis technologies and
biotechnology services for
the legal cannabis industry
in Canada. The Company was
founded on September 29,
1997.
Faculty Brewing Co is a
drinking place operator. The
Company is located in
Canada.</t>
  </si>
  <si>
    <t xml:space="preserve">2834
5813</t>
  </si>
  <si>
    <t xml:space="preserve">ABATTIS BIOCEUTICALS CORP/FACULTY BREWING CO-STRATEGIC ALLIANCE</t>
  </si>
  <si>
    <t xml:space="preserve">Abattis Bioceuticals Corp and Faculty Brewing Co formed a strategic
alliance. The purpose of the strategic alliance is to develop a
hemp-infused, cannabinoid-rich, THC-free craft beer. Pursuant to a research
services agreement between Abattis and Faculty Brewing, Abattis will
conduct research and development activities related to the development of a
hemp-infused, cannabinoid-rich, THC-free craft beer, or a line of such
beers, for Faculty Brewing.</t>
  </si>
  <si>
    <t xml:space="preserve">00258G
1J7622</t>
  </si>
  <si>
    <t xml:space="preserve">Galaxy Digital LP
Block.One</t>
  </si>
  <si>
    <t xml:space="preserve">Digital assets merchant bank
Software Reproducing</t>
  </si>
  <si>
    <t xml:space="preserve">Galaxy Digital LP, located
in New York City, New York,
is a digital assets merchant
bank. The Company was
founded in 2016.
Block.One, located in George
Town, Cayman Islands,
develops free market systems
that can be used by everyone
to disrupt existing
centralized business models.</t>
  </si>
  <si>
    <t xml:space="preserve">6282
7372</t>
  </si>
  <si>
    <t xml:space="preserve">United States
Cayman Islands</t>
  </si>
  <si>
    <t xml:space="preserve">Bradmer Pharmaceuticals Inc
Block.One</t>
  </si>
  <si>
    <t xml:space="preserve">Canada
Cayman Islands</t>
  </si>
  <si>
    <t xml:space="preserve">GALAXY DIGITAL LP/BLOCK.ONE-JOINT VENTURE</t>
  </si>
  <si>
    <t xml:space="preserve">EOS.IO Ecosystem Fund is an
open-end investment fund. It
is located in New York.</t>
  </si>
  <si>
    <t xml:space="preserve">Galaxy Digital LP and Block.One formed a joint venture named Eos.Io Ecosys
Fund to develop the EOS.IO ecosystem and make strategic investments in
projects that utilize EOS.IO blockchain software. The JV was expected to
have revenues of USD 325 million.</t>
  </si>
  <si>
    <t xml:space="preserve">The JV was to be capitalized at USD 325 mil.</t>
  </si>
  <si>
    <t xml:space="preserve">2H4949</t>
  </si>
  <si>
    <t xml:space="preserve">2H4948
2H4944</t>
  </si>
  <si>
    <t xml:space="preserve">Science Exchange Inc
Rapid Novor Inc</t>
  </si>
  <si>
    <t xml:space="preserve">Science Exchange Inc is a
provider of biotechnology
research and development
services. The Company is
located in Palo Alto,
California.
Rapid Novor Inc is a
manufacturer of biological
products. The Company was
founded in April 2015 and is
located in Kitchener,
Canada.</t>
  </si>
  <si>
    <t xml:space="preserve">SCIENCE EXCHANGE INC/RAPID NOVOR INC-STRATEGIC ALLIANCE</t>
  </si>
  <si>
    <t xml:space="preserve">Science Exchange Inc and Rapid Novor Inc planned to form a strategic
alliance.The purpose of the strategic alliance is to offer its REmAb
Antibody Protein Sequencing Services to scientists around the world using
Science Exchanges R&amp;D platform.</t>
  </si>
  <si>
    <t xml:space="preserve">4E7689
1J6922</t>
  </si>
  <si>
    <t xml:space="preserve">CemtrexVR Ltd
Lucyd Pte Ltd</t>
  </si>
  <si>
    <t xml:space="preserve">Software Publishers
Ophthalmic Goods Manufacturing</t>
  </si>
  <si>
    <t xml:space="preserve">Cemtrexvr Ltd is a software
publisher. The Company is
located in Pune, India.
Lucyd Pte Ltd is a
manufacturer of ophthalmic
goods. The Company is
located in Singapore.</t>
  </si>
  <si>
    <t xml:space="preserve">7372
3851</t>
  </si>
  <si>
    <t xml:space="preserve">India
Singapore</t>
  </si>
  <si>
    <t xml:space="preserve">Cemtrex Inc
Lucyd Pte Ltd</t>
  </si>
  <si>
    <t xml:space="preserve">3823
3851</t>
  </si>
  <si>
    <t xml:space="preserve">CEMTREXVR LTD/LUCYD PTE LTD-STRATEGIC ALLIANCE</t>
  </si>
  <si>
    <t xml:space="preserve">CemtrexVR Ltd and Lucyd Pte Ltd formed a strategic alliance in Singapore &amp;
India to develop augmented reality (AR) solutions.</t>
  </si>
  <si>
    <t xml:space="preserve">1J7018
1J7021</t>
  </si>
  <si>
    <t xml:space="preserve">Biocartis Group NV
Immunexpress Inc</t>
  </si>
  <si>
    <t xml:space="preserve">Biological Product (Except Diagnostic) Manufacturing
Molecular diagnostic co</t>
  </si>
  <si>
    <t xml:space="preserve">Biocartis Group NV, located
in Mechelen, Belgium, is a
biotechnology company
specialized in molecular
diagnostics. It focuses on
oncology. It was founded in
2007.
Immunexpress Group is a
molecular diagnostic company
committed to improving
outcomes for patients with,
or at risk of, sepsis. The
company provides the
discovery and clinical
validation of genomic and
proteomic biomarkers, and
the translation of these
novel biomarkers into
clinical diagnostic and
monitoring assays for
readily available platforms,
including point-of-care
(POC). The company is
headquartered in Seattle,
USA and with locations in
Brisbane, Australia. The
company was founded in 2006.</t>
  </si>
  <si>
    <t xml:space="preserve">BIOCARTIS GROUP NV/IMMUNEXPRESS INC-STRATEGIC ALLIANCE</t>
  </si>
  <si>
    <t xml:space="preserve">Biocartis Group NV and Immunexpress Inc agreed to form a strategic
alliance.</t>
  </si>
  <si>
    <t xml:space="preserve">09256X
49050R</t>
  </si>
  <si>
    <t xml:space="preserve">Singapore Press Holdings Ltd
Samsung Asia Pte Ltd</t>
  </si>
  <si>
    <t xml:space="preserve">Publish,wholesale newspapers
Whl,retail elec appliance</t>
  </si>
  <si>
    <t xml:space="preserve">Singapore Press Holdings
Ltd, located in Singapore,
publishes and wholesale
newspapers. The Company has
18 newspapers being
published, distributing more
than 100 periodicals across
Singapore. It is also
involved in providing
Internet portal services,
providing online news and
e-commerce facilities. Its
other business units are
engaged in operating radio
and television stations,
property development, and
advertising. The Company was
founded in August 4, 1984.
founded in August 4, 1984.
Samsung Asia Pte Ltd, located
in Singapore, wholesale and
retail electrical appliances
like televisions (TVs), air
conditioners, refrigerators,
washers, cell phones, network
systems and computers. The
company is also an investment
holding company. founded in
2006.</t>
  </si>
  <si>
    <t xml:space="preserve">2731
5064</t>
  </si>
  <si>
    <t xml:space="preserve">Singapore Press Holdings Ltd
Samsung Electronics Co Ltd</t>
  </si>
  <si>
    <t xml:space="preserve">Singapore
South Korea</t>
  </si>
  <si>
    <t xml:space="preserve">2731
3663</t>
  </si>
  <si>
    <t xml:space="preserve">SINGAPORE PRESS HOLDINGS LTD/SAMSUNG ASIA PTE LTD-STRATEGIC ALLIANCE</t>
  </si>
  <si>
    <t xml:space="preserve">Singapore Press Holdings Ltd and Samsung Asia Pte Ltd formed a strategic
alliance in Singapore to work on innovative technologies and marketing
campaigns that will benefit both companies' customers.</t>
  </si>
  <si>
    <t xml:space="preserve">Y7990F
79582L</t>
  </si>
  <si>
    <t xml:space="preserve">Sanochemia Pharmazeutika AG
Newfield Therapeutics Corp</t>
  </si>
  <si>
    <t xml:space="preserve">Manufacture pharmaceuticals
Research and Development in Biotechnology</t>
  </si>
  <si>
    <t xml:space="preserve">Sanochemia Pharmazeutika AG,
located in Vienna, Austria,
manufactures prescription
pharmaceuticals intended for
final consumption, including
biotech products and
antibiotics. The
pharmaceuticals produced
mainly focus on combating
forms of age-related
dementia and on the nervous
system. The company was
founded in 1990.
Newfield Therapeutics Corp
is a provider of
biotechnology research and
development services. The
Company is located in
Charlotte, North Carolina.</t>
  </si>
  <si>
    <t xml:space="preserve">Sanochemia Ltd
Newfield Therapeutics Corp</t>
  </si>
  <si>
    <t xml:space="preserve">Malta
United States</t>
  </si>
  <si>
    <t xml:space="preserve">SANOCHEMIA PHARMAZEUTIKA AG/NEWFIELD THERAPEUTICS CORP-STRATEGIC ALLIANCE</t>
  </si>
  <si>
    <t xml:space="preserve">Sanochemia Pharmazeutika AG and Newfield Therapeutics Corp formed a
strategic alliance for development and commercialization of Vidon in the
United States.</t>
  </si>
  <si>
    <t xml:space="preserve">78363N
2H4218</t>
  </si>
  <si>
    <t xml:space="preserve">Delivra Corp
Intervivo Solutions Inc</t>
  </si>
  <si>
    <t xml:space="preserve">Biotechnology company
Veterinary Services</t>
  </si>
  <si>
    <t xml:space="preserve">Delivra Corp, located in
Hamilton, Ontario, is a
developer of transdermal
technologies for the
delivery of pharmaceutical
and natural molecules,
through the skin, rather
than via pills. The Company
manufactures and sells
natural topical creams under
its brand names, LivRelief,
which is indicated for
conditions, including joint
and muscle pain, nerve pain,
circulation and wound
healing, and LivSport brand,
which is indicated for
sports performance. Its
business is divided into two
areas of focus: Consumer
Healthcare Over the Counter
(OTC) Retail products, and
Technology Licensing. Its
OTC natural topical products
include LivRelief Pain
Relief Cream, LivRelief
Varicose Vein Cream,
LivRelief Nerve Pain Relief
Cream, LivRelief Healing
Cream, LivSport Pre-Workout
Cream and LivSport
Post-Workout Cream. It
utilizes Delivra transdermal
delivery system, a platform
that enables
through-the-skin penetration
and delivery of a range of
active ingredients intended
to treat various symptoms
and conditions. The Company
was founded in October 21,
2013.
2013.
Intervivo Solutions Inc,
located in Toronto, Canada,
is a provider of veterinary
services. The Company was
founded in August 23, 2010.</t>
  </si>
  <si>
    <t xml:space="preserve">2836
0741</t>
  </si>
  <si>
    <t xml:space="preserve">DELIVRA CORP/INTERVIVO SOLUTIONS INC-JOINT VENTURE</t>
  </si>
  <si>
    <t xml:space="preserve">Delivra Corp and Intervivo Solutions Inc planned to form a joint venture to
develop a therapeutic topical cream for sleep, anxiety and separation
anxiety for companion animals, as well as transdermal delivery of
therapeutics for osteoarthritic pain in United States.</t>
  </si>
  <si>
    <t xml:space="preserve">24701U
2H7818</t>
  </si>
  <si>
    <t xml:space="preserve">Elanco Animal Health Inc
Ab E Discovery LLC</t>
  </si>
  <si>
    <t xml:space="preserve">Manufacture protein,animal health products
Professional Organizations</t>
  </si>
  <si>
    <t xml:space="preserve">Elanco Animal Health Inc,
located in Greenfield,
Indiana, manufactures
protein, companion animal
health and food safety
products. It also provides
research and development
services for the health and
production of animals. The
Company was founded in 1954.
Ab E Discovery LLC is a
professional organization.
The Company is located in
Madison, Wisconsin.</t>
  </si>
  <si>
    <t xml:space="preserve">2834
8621</t>
  </si>
  <si>
    <t xml:space="preserve">IN
WI</t>
  </si>
  <si>
    <t xml:space="preserve">Eli Lilly &amp; Co
Ab E Discovery LLC</t>
  </si>
  <si>
    <t xml:space="preserve">ELANCO ANIMAL HEALTH INC/AB E DISCOVERY LLC-STRATEGIC ALLIANCE</t>
  </si>
  <si>
    <t xml:space="preserve">Elanco Animal Health Inc and Ab E Discovery LLC formed a strategic alliance
to further develop and bring to market an egg antibody focused on
supporting gut health, and thereby the growth and welfare, of poultry in
the United States.</t>
  </si>
  <si>
    <t xml:space="preserve">28418Z
2H3730</t>
  </si>
  <si>
    <t xml:space="preserve">Denka Co Ltd
Plexbio Co Ltd</t>
  </si>
  <si>
    <t xml:space="preserve">All Other Basic Inorganic Chemical Manufacturing
Instrument Manufacturing For Measuring and Testing Electricity and Electrical Signals</t>
  </si>
  <si>
    <t xml:space="preserve">Denka Co Ltd, headquartered in
Tokyo, Japan, is mainly
engaged in the manufacturing
of chemical products. The
Company has five business
segments. The Organic Material
segment offers chemical
products, such as styrene
monomer, polystyrene plastic,
acrylonitrile butadiene
styrene (ABS) plastic,
transparent resin, acetic acid
and vinyl acetate, among
others. The Inorganic Material
segment offers fertilizers,
carbide, refractory products,
cement and specialty
admixtures. The Electronics
Material segment offers molten
silica, electronic circuit
cards, fine ceramics and
electronic packaging
materials. The Functional and
Processing Product segment
offers food packaging
materials, vaccines, joint
function improvement
medicines, diagnostic reagent
and materials for
construction, environment and
industrial uses. The Others
segment is engaged in the
plant engineering, wholesale
and electric power supply
businesses. The company was
founded in 1915.
PlexBio Co Ltd is a
manufacturer of electrical
signals measuring and
testing instruments. The
Company was founded in
December 2009 and is located
in Taipei, Taiwan.</t>
  </si>
  <si>
    <t xml:space="preserve">2819
3825</t>
  </si>
  <si>
    <t xml:space="preserve">DENKA CO LTD/PLEXBIO CO LTD-STRATEGIC ALLIANCE</t>
  </si>
  <si>
    <t xml:space="preserve">Denka Co Ltd and PlexBio Co Ltd formed a strategic alliance to an
infectious disease diagnostic testing system comprising a set of new
equipment and reagents.</t>
  </si>
  <si>
    <t xml:space="preserve">1E9921
3E6434</t>
  </si>
  <si>
    <t xml:space="preserve">Merck &amp; Co Inc
Prokaryotics Inc</t>
  </si>
  <si>
    <t xml:space="preserve">Manufactures and wholesales pharmaceuticals
Research and Development in Biotechnology</t>
  </si>
  <si>
    <t xml:space="preserve">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
Prokaryotics Inc is a
provider of biotechnology
research and development
services. The Company was
founded in November 2016 and
is located in Union, New
Jersey.</t>
  </si>
  <si>
    <t xml:space="preserve">MERCK &amp; CO INC/PROKARYOTICS INC-STRATEGIC ALLIANCE</t>
  </si>
  <si>
    <t xml:space="preserve">Merck Co Inc and Prokaryotics Inc formed a strategic alliance to develop,
manufacture and commercialize a collection of early pre-clinical programs
and compounds with potential application as novel antibiotics targeting
Gram-negative and Gram-positive bacterial cell envelope enzymes.</t>
  </si>
  <si>
    <t xml:space="preserve">58933Y
2H3782</t>
  </si>
  <si>
    <t xml:space="preserve">Cabrera Capital Markets LLC
BT Capital Partners</t>
  </si>
  <si>
    <t xml:space="preserve">Securities Brokerage
Sales Financing</t>
  </si>
  <si>
    <t xml:space="preserve">Cabrera Capital Markets LLC
is a securities brokerage
company. The Company is
located in Chicago,
Illinois.
BT Capital Partners is a
provider of sales financing
services. The Company is
located in Cluj-Napoca,
Romania.</t>
  </si>
  <si>
    <t xml:space="preserve">6211
6141</t>
  </si>
  <si>
    <t xml:space="preserve">Cabrera Capital Markets LLC
Banca Transilvania SA</t>
  </si>
  <si>
    <t xml:space="preserve">CABRERA CAPITAL MARKETS LLC/BT CAPITAL PARTNERS-STRATEGIC ALLIANCE</t>
  </si>
  <si>
    <t xml:space="preserve">Cabrera Capital Markets LLC and BT Capital Partners planned to form a
strategic alliance in United States provide unique research and execution
services to US institutional investors. This arrangement will also broaden
the scope of investment options outside of the US for Cabreras
institutional clients.</t>
  </si>
  <si>
    <t xml:space="preserve">13284H
14027E</t>
  </si>
  <si>
    <t xml:space="preserve">RaQualia Pharma Inc
Zte Coming Biotech Co Ltd</t>
  </si>
  <si>
    <t xml:space="preserve">Provide medical research svcs
Research and Development in Biotechnology</t>
  </si>
  <si>
    <t xml:space="preserve">RaQualia Pharma Inc is a
medical laboratory operator.
The Company was founded in
February 2008 and is located
in Nagoya-Shi Aichi, Japan.
ZTE Coming Biotech Co Ltd is
a provider of biotechnology
research and development
services. The Company is
located in China.</t>
  </si>
  <si>
    <t xml:space="preserve">RAQUALIA PHARMA INC/ZTE COMING BIOTECH CO LTD-JOINT VENTURE</t>
  </si>
  <si>
    <t xml:space="preserve">RaQualia Pharma Inc and ZTE Coming Biotech Co Ltd planned to form a 35:65
joint venture to provide medical research and development services in
China.</t>
  </si>
  <si>
    <t xml:space="preserve">35.00
65.00</t>
  </si>
  <si>
    <t xml:space="preserve">74812Y
2H2971</t>
  </si>
  <si>
    <t xml:space="preserve">Shire PLC
AB Biosciences Inc</t>
  </si>
  <si>
    <t xml:space="preserve">Manufacture,wholesale pharmaceutical production
Research and Development in Biotechnology</t>
  </si>
  <si>
    <t xml:space="preserve">Shire PLC, located in
Dublin, the Republic of
Ireland, manufactures and
wholesales pharmaceutical
products. The Company
focuses on the central
nervous system,
gastrointestinal and human
genetic therapies. Its
brands include Adderall XR,
Dynepo, Equetro, Forsenol,
Adderall, Carbatrol,
Pentasa, Colazide, Agrylin,
Xagrid, Fosrenol,
Proamatine, Epivir,
Combivir, Trizivir, Vaniqa,
Xagrid, Zeffix, Calcichew,
Solaraze, Reminyl/Reminyl
XL, Lodine, Replagal,
Daytrana, Elaprase and
Mesavance. The Group
operates in the UK, the US,
the Netherlands, France,
Germany, Italy, Spain,
Ireland, Canada, Cayman
Islands and Sweden. The
Company distributes its
products in Australia,
Denmark, Finland, Hong Kong,
Israel, Malaysia, Norway,
Philippines, Singapore,
South Africa, South Korea
and Thailand. It was founded
in 1986.
AB Biosciences Inc, located
in Concord, Massachusetts,
provides research and
development services in
biomedical and
biopharmaceutical
communities. The Company was
founded in 2007.</t>
  </si>
  <si>
    <t xml:space="preserve">SHIRE PLC/AB BIOSCIENCES INC-STRATEGIC ALLIANCE</t>
  </si>
  <si>
    <t xml:space="preserve">Shire PLC and AB Biosciences Inc (ABB) formed a strategic alliance to
develop and commercialize ABB's pan receptor interacting molecule (PRIM)
program.</t>
  </si>
  <si>
    <t xml:space="preserve">82481R
8H0968</t>
  </si>
  <si>
    <t xml:space="preserve">Petra Energy Bhd
Uzma Bhd</t>
  </si>
  <si>
    <t xml:space="preserve">Provide engineering services
Oil,gas expln,prodn</t>
  </si>
  <si>
    <t xml:space="preserve">Petra Energy Bhd, located in
Petaling Jaya, Malaysia,
provides engineering and
maintenance services for
oil, gas, petrochemical and
power generation industries.
The company engages in the
provision of services in
operations and maintenance,
oil field optimization,
retrofits, domestic vessel
recharter, geophysical,
design and fabrication of
process equipment and
packaging and supply of
engineered equipment for the
oil and gas industry. It
also engages in the design,
fabrication, supply and
installation of pressure
vessels, heat exchangers,
skid packages and other
process equipment for oil
and gas and petrochemical
industries, as well as
industrial boilers and
ancillary equipment. It is
also an holding company. It
was founded in 1988.
Uzma Bhd, located in Kuala
Lumpur, Malaysia, is an oil
and gas exploration and
production company. The
company is engaged in the
provision of oil and gas
geoscience, oil and gas
drilling services, provision
of oil and gas project
operation services and
reservoir engineering
services. It is also engaged
in investment holding. The
company was founded in 2000.</t>
  </si>
  <si>
    <t xml:space="preserve">8711
1311</t>
  </si>
  <si>
    <t xml:space="preserve">Dayang Enterprise Holdings Bhd
Uzma Bhd</t>
  </si>
  <si>
    <t xml:space="preserve">PETRA ENERGY BHD/UZMA BHD-JOINT VENTURE</t>
  </si>
  <si>
    <t xml:space="preserve">Khausar Energy Sdn Bhd is a
commodity contracts
brokerage company. The
Company is located in
Malaysia.</t>
  </si>
  <si>
    <t xml:space="preserve">Petra Energy Bhd and Uzma Bhd formed a joint venture named Khausar Energy
Sdn Bhd to undertake business development activities focusing on building a
portfolio of production and development assets to operate under the various
contractual regimes.</t>
  </si>
  <si>
    <t xml:space="preserve">9H3110</t>
  </si>
  <si>
    <t xml:space="preserve">74628W
91781Z</t>
  </si>
  <si>
    <t xml:space="preserve">NOTE AB
CellMark AB</t>
  </si>
  <si>
    <t xml:space="preserve">Mnfr electronic components
Other Direct Selling Establishments</t>
  </si>
  <si>
    <t xml:space="preserve">NOTE AB is a manufacturer of
electronic products and
provides after-sales
services. The Company's
product segments include
telekom, industrial, vehicle
and maritime, medical and
technology, safety &amp;
security. The Company was
founded in 1999 and is
located in Kista, Sweden.
CellMark AB is a retailer.
The Company is located in
Gothenburg, Sweden.</t>
  </si>
  <si>
    <t xml:space="preserve">3679
5963</t>
  </si>
  <si>
    <t xml:space="preserve">NOTE AB/CELLMARK AB-STRATEGIC ALLIANCE</t>
  </si>
  <si>
    <t xml:space="preserve">NOTE AB and CellMark AB formed a strategic alliance to develop and
manufacture medtech products in Sweden.</t>
  </si>
  <si>
    <t xml:space="preserve">67154P
15112C</t>
  </si>
  <si>
    <t xml:space="preserve">Deinove SA
Oleos SAS</t>
  </si>
  <si>
    <t xml:space="preserve">Deinove SA is a
biotechnology company. It
specializes in the
development and commercial
exploitation of processes
for production of biofuels
and other compounds of
industrial or pharmaceutical
value. The processes
developed by Deinove use the
natural properties of
Deinococcus bacteria. The
green chemistry process
includes the production of
organic acids, such as
succinic, lactic, fumaric
and butyric acids used in
the petrochemical,
pharmaceutical, cosmetics
and food industries. In
addition, the Company is
engaged in the production of
antibiotics and antifungal
agents. The Company is
located in Grabels, France.
Oleos SAS is a manufacturer of
pharmaceutical preparation.
The Company is located in
Mauguio, France.</t>
  </si>
  <si>
    <t xml:space="preserve">Deinove SA
Hallstar Services Corp</t>
  </si>
  <si>
    <t xml:space="preserve">DEINOVE SA/OLEOS SAS-STRATEGIC ALLIANCE</t>
  </si>
  <si>
    <t xml:space="preserve">Deinove SA and Oleos SAS formed a strategic alliance to develop a new 100%
natural cosmetic active ingredient combining the exclusive properties of
DEINOVE bacteria and the patented Oleo-Eco-Extraction Oleos technology in
France.</t>
  </si>
  <si>
    <t xml:space="preserve">23965L
7E8199</t>
  </si>
  <si>
    <t xml:space="preserve">JSR Corp
BiomX Ltd</t>
  </si>
  <si>
    <t xml:space="preserve">Mnfr,whl synthetic rubber
Research and Development in Biotechnology</t>
  </si>
  <si>
    <t xml:space="preserve">JSR Corp, located in
Minato-Ku Tokyo, Japan, is a
manufacturer of synthetic
rubber.The Company offers
products such as
general-purpose synthetic
rubber and special synthetic
rubber, thermoplastic
elastomer (TPE) which has
the characteristics of
synthetic rubber and
synthetic resin, and
emulsion in which synthetic
rubber and synthetic resin
are dispersed in liquid
products. In addition, it
provides a variety of
materials such as
high-performance
dispersants,
high-performance sol-gel
agents, industrial
particles, battery
materials, and thermal
management materials that
contribute to energy saving
as functional chemicals. The
Company was founded in
December 1957.
BiomX Ltd is a provider of
biotechnology research and
development services. The
Company was founded in March
2015 and is located in Ness
Ziona, Israel.</t>
  </si>
  <si>
    <t xml:space="preserve">Japan
Israel</t>
  </si>
  <si>
    <t xml:space="preserve">JSR CORP/BIOMX LTD-STRATEGIC ALLIANCE</t>
  </si>
  <si>
    <t xml:space="preserve">JSR Corp and BiomX Ltd formed a strategic alliance to develop and
commercialize phage therapies based on the intellectual property.</t>
  </si>
  <si>
    <t xml:space="preserve">46577N
0H8023</t>
  </si>
  <si>
    <t xml:space="preserve">Talkwalker SARL
Weibo Corp</t>
  </si>
  <si>
    <t xml:space="preserve">Software Publishers
Internet Service Providers</t>
  </si>
  <si>
    <t xml:space="preserve">Talkwalker SARL is a
Luxembourg-based company,
which is primarily engaged
in the information
technology (IT) industry.
The Company operates as a
provider of social media
analytics platform. The
Company offers a wide range
of solutions, such as
online, social, print, TV
and radio content analytics
tools, market research,
brand analysis, marketing
campaigns measurement,
competitive benchmarking,
consumer behavior, among
others.
weibo.com, located in Beijing
China, is a provider of social
networking services. It is a
holding company and it
conducts business in China
through Weibo Technology and
their VIE, Beijing Weimeng
Technology Co., Ltd., or
Weimeng, and Weimengs
subsidiary. It was founded in
2010.</t>
  </si>
  <si>
    <t xml:space="preserve">Luxembourg
China</t>
  </si>
  <si>
    <t xml:space="preserve">Marlin Equity Partners LLC
Sina Corp</t>
  </si>
  <si>
    <t xml:space="preserve">TALKWALKER SARL/WEIBO CORP-STRATEGIC ALLIANCE</t>
  </si>
  <si>
    <t xml:space="preserve">Talkwalker SARL and Weibo Corp formed a strategic alliance to provide
advanced analytics insights in China.</t>
  </si>
  <si>
    <t xml:space="preserve">1H5151
948596</t>
  </si>
  <si>
    <t xml:space="preserve">NEOMED Institute
Artelo Biosciences Inc</t>
  </si>
  <si>
    <t xml:space="preserve">Provide research,dvlp svcs
Research and Development in Biotechnology</t>
  </si>
  <si>
    <t xml:space="preserve">NEOMED Institute is a provider
of research and development
services. The company was
founded in 2012 and is located
in Canada.
Artelo Biosciences Inc,
located in La Jolla,
California, develops and
produces therapeutic
treatments used to modulate
the endocannabinoid system.
It develops its own drugs
and delivery methods by
conducting clinical efforts
through existing and new
contracted research
collaborations. It has an
office in Dublin, Ireland.
The Company was founded in
May 2011.</t>
  </si>
  <si>
    <t xml:space="preserve">NEOMED INSTITUTE/ARTELO BIOSCIENCES INC-STRATEGIC ALLIANCE</t>
  </si>
  <si>
    <t xml:space="preserve">Artelo Biosciences Inc and NEOMED Institute formed a strategic alliance to
collaborate in developing NEO1940 which can be an anti-cancer therapeutic
and a treatment for cancer patients suffering from anorexia/weight loss.
Under the agreement, Artelo have the right to exercise an exclusive
worldwide license to develop and commercialize NEO1940 in a 12-month
period.</t>
  </si>
  <si>
    <t xml:space="preserve">Exclusive Licensing Services
Licensing Services
Research &amp; Development Services
Manufacturing Services
Health &amp; Medical Services</t>
  </si>
  <si>
    <t xml:space="preserve">5E6163
04301G</t>
  </si>
  <si>
    <t xml:space="preserve">Luminor Med Tech Inc
Rise Research Inc
Constance Therapeutics Inc</t>
  </si>
  <si>
    <t xml:space="preserve">Biological Product (Except Diagnostic) Manufacturing
Administrative Management and General Management Consulting Services
Research and Development in Biotechnology</t>
  </si>
  <si>
    <t xml:space="preserve">Luminor Medical
Technologies, located in
Toronto, Canada, is a
medical diagnostic company,
focusing on acquisition,
development, and
commercialization of
diagnostic tests and risk
assessment technologies for
unmet clinical needs
primarily in the United
States and Canada. The
Company was founded in
November 2000.
Rise Research Inc is a
provider of administrative
management and general
management consulting
services. The Company is
located in Surrey, Canada.
Constance Therapeutics Inc,
located in San Francisco,
California, provides
biotechnology research and
development services. The
Company was founded in May
2015.</t>
  </si>
  <si>
    <t xml:space="preserve">2836
8742
8731</t>
  </si>
  <si>
    <t xml:space="preserve">Canada
Canada
United States</t>
  </si>
  <si>
    <t xml:space="preserve">FF
FF
CA</t>
  </si>
  <si>
    <t xml:space="preserve">LUMINOR MEDICAL TECHNOLOGIES INC/RISE RESEARCH INC/CONSTANCE THERAPEUTICS
INC-STRATEGIC ALLIANCE</t>
  </si>
  <si>
    <t xml:space="preserve">Luminor Medical Technologies Inc (Luminor), Rise Research Inc (Rise) and
Constance Therapeutics (CT) Inc formed a strategic alliance, to build and
manage a retail sales and distribution channel for both CT and RISE
products in the California market.</t>
  </si>
  <si>
    <t xml:space="preserve">60462L
1H5851
7F7297</t>
  </si>
  <si>
    <t xml:space="preserve">JSR Corp
Keio University</t>
  </si>
  <si>
    <t xml:space="preserve">Mnfr,whl synthetic rubber
Colleges, Universities, and Professional Schools</t>
  </si>
  <si>
    <t xml:space="preserve">JSR Corp, located in
Minato-Ku Tokyo, Japan, is a
manufacturer of synthetic
rubber.The Company offers
products such as
general-purpose synthetic
rubber and special synthetic
rubber, thermoplastic
elastomer (TPE) which has
the characteristics of
synthetic rubber and
synthetic resin, and
emulsion in which synthetic
rubber and synthetic resin
are dispersed in liquid
products. In addition, it
provides a variety of
materials such as
high-performance
dispersants,
high-performance sol-gel
agents, industrial
particles, battery
materials, and thermal
management materials that
contribute to energy saving
as functional chemicals. The
Company was founded in
December 1957.
Keio University, located in
Tokyo, Japan, owns and
operates universities. The
company was founded in 1858.</t>
  </si>
  <si>
    <t xml:space="preserve">2822
8221</t>
  </si>
  <si>
    <t xml:space="preserve">JSR CORP/KEIO UNIVERSITY-STRATEGIC ALLIANCE</t>
  </si>
  <si>
    <t xml:space="preserve">JSR Corp and Keio University formed a strategic alliance to develop and
commercialize phage therapies based on the intellectual property</t>
  </si>
  <si>
    <t xml:space="preserve">Licensing Services
Research &amp; Development Services
Exclusive Licensing Services</t>
  </si>
  <si>
    <t xml:space="preserve">46577N
48753F</t>
  </si>
  <si>
    <t xml:space="preserve">Gratomic Inc
Undisclosed SA Partner</t>
  </si>
  <si>
    <t xml:space="preserve">Carbon and Graphite Product Manufacturing
Investment company</t>
  </si>
  <si>
    <t xml:space="preserve">Gratomic Inc, located in
Toronto, Ontario, is an
advanced materials company
focused on mine to market
commercialization of
graphite products. Its
projects involve Aukam,
located in Namibia, and The
Buckingham Graphite
property, located in Quebec,
Canada. The Company was
founded in 27 February 2007.
Investment company</t>
  </si>
  <si>
    <t xml:space="preserve">3624
6799</t>
  </si>
  <si>
    <t xml:space="preserve">GRATOMIC INC/UNDISCLOSED SA PARTNER-STRATEGIC ALLIANCE</t>
  </si>
  <si>
    <t xml:space="preserve">Gratomic Inc and Undisclosed SA Partner formed a strategic alliance to
establish, fund, design, develop, market, and create an ecosystem for
producers and users of graphene in all parts of the graphene food chain
based on blockchain technology..</t>
  </si>
  <si>
    <t xml:space="preserve">38900X
90438T</t>
  </si>
  <si>
    <t xml:space="preserve">Progressive Brands Bv
eSense-Lab Ltd</t>
  </si>
  <si>
    <t xml:space="preserve">Wholesale alcoholic beverages
Pharmaceutical Preparation Manufacturing</t>
  </si>
  <si>
    <t xml:space="preserve">Progressive Brands Bv,
located in Greece, is an
alcoholic beverages
wholesaler.
eSense-Lab Ltd, located in
Ness Ziona, Israel is a
pharmaceutical technology
company. The Company
re-engineers cannabis into a
virtual plant, namely
terpene, a naturally
occurring chemical compounds
that generate the flavor and
fragrance synthesized by
plants. Tarpene can be used
both for medicinal purposes
and for the production of
cannabis-based consumer
products. The Company mainly
serves the legal cannabis
and para-cannabis markets.
It also serves the: e-liquid
market; pharmaceuticals
market, creating on demand
customized profiles and
personalized medicine, as
well as rare plants market,
providing sustainability to
rare and sought after plants
such as ginseng and saffron.
Its cannabis terpenes
address the cannabis
edibles, e-liquids and
energy drinks, as well as
the essential oils markets.</t>
  </si>
  <si>
    <t xml:space="preserve">5182
2834</t>
  </si>
  <si>
    <t xml:space="preserve">Netherlands
Israel</t>
  </si>
  <si>
    <t xml:space="preserve">PROGRESSIVE BRANDS BV/ESENSE-LAB LTD-STRATEGIC ALLIANCE</t>
  </si>
  <si>
    <t xml:space="preserve">Progressive Brands Bv and Esense-Lab Ltd planned to form a strategic
alliance to develop a terpene-infused line of beer in Netherlands.</t>
  </si>
  <si>
    <t xml:space="preserve">1H9922
1F6419</t>
  </si>
  <si>
    <t xml:space="preserve">Puma Biotechnology Inc
CANbridge Life Sciences Ltd</t>
  </si>
  <si>
    <t xml:space="preserve">Bio-pharmaceutical company
Pharmaceutical Preparation Manufacturing</t>
  </si>
  <si>
    <t xml:space="preserve">Puma Biotechnology Inc,
located in Los Angeles,
California, is a
biopharmaceutical company.
The company is focused in
in-licensing and developing
therapeutics for cancer
treatment. The company
currently license the rights
to three drug candidates:
PB272(oral) for advanced
breast cancer, gastric
cancer and melanoma
patients, PB272(intravenous)
for advanced cancer patients
and PB357 as a backup
compound for PB272. The
Company was founded on April
27, 2007.
CANbridge Life Sciences Ltd
is a manufacturer of
pharmaceutical preparation.
The company is located in
Beijing, China.</t>
  </si>
  <si>
    <t xml:space="preserve">PUMA BIOTECHNOLOGY INC/CANBRIDGE LIFE SCIENCES LTD-STRATEGIC ALLIANCE</t>
  </si>
  <si>
    <t xml:space="preserve">Puma Biotechnology Inc and CANbridge Life Sciences Ltd formed a strategic
alliance to develop and commercialize NERLYNX (neratinib) in China, Taiwan,
Hong Kong and Macao.</t>
  </si>
  <si>
    <t xml:space="preserve">74587V
7E9612</t>
  </si>
  <si>
    <t xml:space="preserve">University of Glasgow
Portage Pharmaceuticals Ltd</t>
  </si>
  <si>
    <t xml:space="preserve">Own,op university
Mnfr pharm</t>
  </si>
  <si>
    <t xml:space="preserve">Own and operate university
Portage Pharmaceuticals Ltd is
a manufacturer of
pharmaceutical preparation.
The company is located in
Toronto, Canada.</t>
  </si>
  <si>
    <t xml:space="preserve">University of Glasgow
Portage Biotech Inc</t>
  </si>
  <si>
    <t xml:space="preserve">UNIVERSITY OF GLASGOW/PORTAGE PHARMACEUTICALS LTD-JOINT VENTURE</t>
  </si>
  <si>
    <t xml:space="preserve">Portage Glasgow Ltd is a
provider of social sciences
research and development
services. The Company was
founded in December 2017 and
is located in the United
Kingdom.</t>
  </si>
  <si>
    <t xml:space="preserve">University of Glasgow and Portage Pharmaceuticals Ltd formed a joint
venture named Portage Glasgow Ltd in Scotland, UK to develop more
effectively-targeted drugs to treat chronic conditions including cancer.</t>
  </si>
  <si>
    <t xml:space="preserve">2H8336</t>
  </si>
  <si>
    <t xml:space="preserve">91427Y
5E4527</t>
  </si>
  <si>
    <t xml:space="preserve">Proteomics Intl Labs Ltd
CPR Pharma Svcs Pty Ltd</t>
  </si>
  <si>
    <t xml:space="preserve">Medical Laboratories
Research and Development in Biotechnology</t>
  </si>
  <si>
    <t xml:space="preserve">Proteomics International
Laboratories Ltd, located in
West Perth, Western
Australia, is a biological
research and drug discovery
company to treat patients
for common diseases and
discovering new therapeutic
drugs. The Company aims to
treat patients with
Alzheimer diseases. The
Company was founded in 2001.
CPR Pharma Services Pty Ltd,
located in Thebarton,
Australia, provides clinical
studies and laboratory
services. The Company offers
in-house services ideal for
conducting early phase
clinical trials. Its
services include clinical
project management and
monitoring, data services,
pharmacokinetics, statistics
and report writing through
to bioanalytical services
including ground-breaking
work in biomarker and
peptide studies.</t>
  </si>
  <si>
    <t xml:space="preserve">PROTEOMICS INTERNATIONAL LABORATORIES LTD/CPR PHARMA SERVICES PTY
LTD-STRATEGIC ALLIANCE</t>
  </si>
  <si>
    <t xml:space="preserve">Proteomics International Laboratories Ltd and CPR Pharma Services Pty Ltd
formed a strategic alliance to formulate a new series of predictive
diagnostics and analytical services capabilities in compliment to CPR's
position. Under the agreement, the alliance will offer regional and local
project management, certified bioanalysis, trial monitoring, data
management and biostatistical services, analytical platforms of mass
spectrometry and immunoassay for small and large molecules, sample storage
and stability testing, and development of new methods and diagnostic
tests.</t>
  </si>
  <si>
    <t xml:space="preserve">4C1308
2H2083</t>
  </si>
  <si>
    <t xml:space="preserve">Portage Pharmaceuticals Ltd
Undisclosed JV Partner</t>
  </si>
  <si>
    <t xml:space="preserve">Mnfr pharm
Investment company</t>
  </si>
  <si>
    <t xml:space="preserve">Portage Pharmaceuticals Ltd is
a manufacturer of
pharmaceutical preparation.
The company is located in
Toronto, Canada.
Investment company</t>
  </si>
  <si>
    <t xml:space="preserve">Portage Biotech Inc
Undisclosed JV Partner</t>
  </si>
  <si>
    <t xml:space="preserve">PORTAGE PHARMACEUTICALS LTD/UNDISCLOSED PARTNER-JOINT VENTURE</t>
  </si>
  <si>
    <t xml:space="preserve">Portage Pharmaceuticals Ltd and Undisclosed Joint Venture Partner formed
joint venture in Canada to develop more effectively-targeted drugs to treat
chronic conditions including cancer.</t>
  </si>
  <si>
    <t xml:space="preserve">5E4527
904JVP</t>
  </si>
  <si>
    <t xml:space="preserve">Cronos Group Inc
New S Capital Pty Ltd</t>
  </si>
  <si>
    <t xml:space="preserve">Manufactures,wholesales medical cannabis products
Financial Sponsor</t>
  </si>
  <si>
    <t xml:space="preserve">Cronos Group Inc, located in
Toronto, Ontario,
manufactures and wholesales
medical cannabis products.
It has operations across
Canada, particularly in
Simcoe County, Ontario and
Okanagan Valley, British
Columbia. It wholly owns and
operates two licensed
producers such as Peace
Naturals, a company licensed
to produce and sell medical
marijuana and cultivate
cannabis oil and Original BC
Ltd, a company licensed to
cultivate and sell medical
marijuana products. It also
has a partial ownership in
Whistler Medical Marijuana
Corp, a company also
licensed to produce and sell
marijuana products and
cultivate cannabis oil. The
Company was founded in
August 2012.
New South Capital Pty Ltd is
a financial sponsor. The
Company was founded in 2005
and is located in Sydney,
Australia.</t>
  </si>
  <si>
    <t xml:space="preserve">CRONOS GROUP INC/NEW SOUTH CAPITAL PTY LTD-JOINT VENTURE</t>
  </si>
  <si>
    <t xml:space="preserve">Cronos Australia Ltd,
located in Melbourne,
Australia provides medicinal
cannabis products, as well
as supplying export markets
globally.</t>
  </si>
  <si>
    <t xml:space="preserve">Cronos Group Inc and New South Capital Pty Ltd formed a 50:50 joint venture
named Cronos Australia Ltd.The purpose of the joint venture is to serve as
the Group's hub for Australia, New Zealand, and South East Asia, bolstering
the Group's import/export supply capabilities and distribution network.</t>
  </si>
  <si>
    <t xml:space="preserve">8H2343</t>
  </si>
  <si>
    <t xml:space="preserve">22717L
5H1799</t>
  </si>
  <si>
    <t xml:space="preserve">Hemacare Corp
Charles River Labs Intl Inc</t>
  </si>
  <si>
    <t xml:space="preserve">HemaCare Corp, located in
Van Nuys, California is a
provider of research and
development services. The
Company was founded in 1978.
Charles River Laboratories
International Inc, located
in Wilmington,
Massachusetts, provides
biotechnology research and
development services. It
also has offices in North
America, Europe and Asia.
The Company was founded in
1947.</t>
  </si>
  <si>
    <t xml:space="preserve">HEMACARE CORP/CHARLES RIVER LABORATORIES INTERNATIONAL INC-STRATEGIC
ALLIANCE</t>
  </si>
  <si>
    <t xml:space="preserve">HemaCare Corp and Charles River Laboratories International Inc formed a
strategic alliance.The purpose of strategic partnership was to advance
human immune system research by developing a more efficient and reliable
method of working with humanized mice.</t>
  </si>
  <si>
    <t xml:space="preserve">423498
159864</t>
  </si>
  <si>
    <t xml:space="preserve">Saab AB
Lund University</t>
  </si>
  <si>
    <t xml:space="preserve">Mnfr surveillance sys,aircraft
University</t>
  </si>
  <si>
    <t xml:space="preserve">Saab AB, located in
Stockholm, Sweden, is a
manufacturer of search,
detection, navigation,
guidance, aeronautical and
nautical systems and
instruments. It offers
solutions such as underwater
weapon systems,
anti-submarine warfare
training, mine counter
measures, surveillance and
underwater operations for
both civil and military
sub-surface operations as
well as state of the art
solutions for the off-shore
industry. Within mine
warfare, Saab offers a range
of advanced, unmanned
solutions that provide naval
forces with the ability to
secure and sustain their
freedom of movement. The
Company was founded in 1937.
Lund University, located in
Lund, Sweden, is an
university. It also provides
venture capital activities.</t>
  </si>
  <si>
    <t xml:space="preserve">3812
8221</t>
  </si>
  <si>
    <t xml:space="preserve">SAAB AB/LUND UNIVERSITY-STRATEGIC ALLIANCE</t>
  </si>
  <si>
    <t xml:space="preserve">Saab AB and Lund University formed a strategic alliance to be a platform
for long term and strategic competence provisioning, providing added value
to mutually strengthen Lund University and the Saab Group in Sweden.</t>
  </si>
  <si>
    <t xml:space="preserve">78519M
55038X</t>
  </si>
  <si>
    <t xml:space="preserve">Deutsche Telekom AG
Carl Zeiss AG</t>
  </si>
  <si>
    <t xml:space="preserve">Pvd telecommunications svcs
Manufacture,wholesale optical instrument,lenses</t>
  </si>
  <si>
    <t xml:space="preserve">Deutsche Telekom AG, located
in Bonn, Germany, provides
telecommunications services.
Its products include mobile
and broadband devices, TV,
online services, cloud
products, information &amp;
communication technology
solutions, outsourcing and
cloud services, intelligent
network solutions for the
health care, automotive and
energy industries. The
Company also offers fixed
network operations for
residential customers and
small and medium sized
business customers,
technical platform for
customers in Germany, the
United Kingdom, the United
States, Austria, Czech
Republic, and the
Netherlands. The Company was
founded in 1995.
Carl Zeiss AG, located in
Oberkochen, Germany,
manufactures and wholesales
optical instruments and
lenses. It also offers
ophthalmic goods, surgical
and medical instruments,
measuring and controlling
devices and photographic
equipment and supplies. Its
product portfolio includes
binoculars, riflescopes,
camera, cine lenses and
microscopes. It has
production centers in
Europe, North America,
Central America and Asia.
The Company was founded in
1846.</t>
  </si>
  <si>
    <t xml:space="preserve">4812
3827</t>
  </si>
  <si>
    <t xml:space="preserve">Deutsche Telekom AG
Carl-Zeiss-Stiftung</t>
  </si>
  <si>
    <t xml:space="preserve">DEUTSCHE TELEKOM AG/CARL ZEISS AG-JOINT VENTURE</t>
  </si>
  <si>
    <t xml:space="preserve">Tooz Technologies Inc is a
manufacturer of optical
instruments and lenses. The
Company is located in the
United States.</t>
  </si>
  <si>
    <t xml:space="preserve">Deutsche Telekom AG and Carl Zeiss AG formed a 50:50 joint venture named
Tooz Tech Inc to drive the development of Smart Glasses technology in the
areas of optics and connectivity in the United States.</t>
  </si>
  <si>
    <t xml:space="preserve">2H4605</t>
  </si>
  <si>
    <t xml:space="preserve">251566
98931B</t>
  </si>
  <si>
    <t xml:space="preserve">Clinivantage Healthcare Tech
Sah Global Llc</t>
  </si>
  <si>
    <t xml:space="preserve">Direct Health and Medical Insurance Carriers
Home Health Care Services</t>
  </si>
  <si>
    <t xml:space="preserve">Clinivantage Healthcare
Technologies Pvt Ltd is a
direct health and medical
insurance carrier. The
Company is located in India.
Sah Global Llc is a provider
of home health care
services. The Company is
located in Georgia. also
has office in Bahrain</t>
  </si>
  <si>
    <t xml:space="preserve">8082
8082</t>
  </si>
  <si>
    <t xml:space="preserve">CLINIVANTAGE HEALTHCARE TECHNOLOGIES PVT LTD/SAH GLOBAL LLC-STRATEGIC
ALLIANCE</t>
  </si>
  <si>
    <t xml:space="preserve">India
Bahrain</t>
  </si>
  <si>
    <t xml:space="preserve">Clinivantage Healthcare Technologies Pvt Ltd and Sah Global Llc formed a
strategic alliance. The purpose od strategic alliance was to deliver joint
solutions designed to leverage and deploy their connected healthcare
ecosystem for the cancer patients across the globe.</t>
  </si>
  <si>
    <t xml:space="preserve">9H4749
9H4746</t>
  </si>
  <si>
    <t xml:space="preserve">ProBioGen AG
Teva Pharm Inds Ltd</t>
  </si>
  <si>
    <t xml:space="preserve">ProBioGen AG, located in
Berlin, Germany, is a
biotechnology company. The
company is specialized in
mammalian cell technology.
The company was founded in
1994.
Teva Pharmaceutical
Industries Ltd is a
manufacturer of
pharmaceutical preparation.
The Company was founded in
1901 and is located in
Petach Tikva, Israel.</t>
  </si>
  <si>
    <t xml:space="preserve">Triquera BV
Teva Pharm Inds Ltd</t>
  </si>
  <si>
    <t xml:space="preserve">PROBIOGEN AG/TEVA PHARMACEUTICAL INDUSTRIES LTD-STRATEGIC ALLIANCE</t>
  </si>
  <si>
    <t xml:space="preserve">ProBioGen AG and Teva Pharmaceutical Industries Ltd formed a strategic
alliance.</t>
  </si>
  <si>
    <t xml:space="preserve">74564E
881624</t>
  </si>
  <si>
    <t xml:space="preserve">ShanghaiTech University
Jing Medicine Tech Shanghai</t>
  </si>
  <si>
    <t xml:space="preserve">Colleges, Universities, and Professional Schools
Pharmaceutical Preparation Manufacturing</t>
  </si>
  <si>
    <t xml:space="preserve">Shanghai University of Science
and Technology, located in
Shanghai, China, owns and
operates a university. It
currently has four schools and
two advanced research
institutes: School of Physical
Science and Technology, School
of Information Science and
Technology, School of
Entrepreneurship and
Management, Shanghai Institute
for Advanced Immunochemical
Studies, and iHuman Institute.
Jing Medicine Technology
Shanghai Co Ltd is a
manufacturer of
pharmaceutical preparation.
The Company was founded in
2017 and is located in
Shanghai, China.</t>
  </si>
  <si>
    <t xml:space="preserve">SHANGHAI UNIVERSITY OF SCIENCE AND TECHNOLOGY/JING MEDICINE TECHNOLOGY
SHANGHAI CO LTD-STRATEGIC ALLIANCE</t>
  </si>
  <si>
    <t xml:space="preserve">Shanghai University of Science and Technology and Jing Medicine Technology
Shanghai Co Ltd formed a strategic alliance to discover and develop small
molecule anti-cancer drugs.</t>
  </si>
  <si>
    <t xml:space="preserve">1C9973
2H4770</t>
  </si>
  <si>
    <t xml:space="preserve">Denali Therapeutics Inc
Lonza Pharma &amp; Biotech</t>
  </si>
  <si>
    <t xml:space="preserve">Denali Therapeutics Inc is a
biotechnology company focused
on the discovery and
development of therapies for
patients with
neurodegenerative diseases,
including Alzheimer disease,
Parkinson disease, ALS and
others. The Company was
founded in 2015 and is located
in South San Francisco,
California.
Lonza Pharma &amp; Biotech is a
manufacturer of biological
products. The Company is
located in Basel,
Switzerland.</t>
  </si>
  <si>
    <t xml:space="preserve">Denali Therapeutics Inc
Lonza Group AG</t>
  </si>
  <si>
    <t xml:space="preserve">DENALI THERAPEUTICS INC/LONZA PHARMA &amp; BIOTECH-STRATEGIC ALLIANCE</t>
  </si>
  <si>
    <t xml:space="preserve">Denali Therapeutics Inc and Lonza Pharma Biotech formed a strategic
alliance to develop and produce biologic medicines.</t>
  </si>
  <si>
    <t xml:space="preserve">24823R
2H4597</t>
  </si>
  <si>
    <t xml:space="preserve">Meridian Waste Solutions Inc
Genarex FD LLC</t>
  </si>
  <si>
    <t xml:space="preserve">Solid Waste Collection
Plastics Material and Resin Manufacturing</t>
  </si>
  <si>
    <t xml:space="preserve">Meridian Waste Solutions
Inc, located in Atlanta,
Georgia, is a comprehensive
provider of solid waste
management and environmental
services for small to medium
sized municipalities. It
provides turnkey solid waste
removal and environmental
management services to
municipalities, individuals,
companies. The Company was
founded in 2004.
Genarex FD LLC, located in
Alpharetta, Georgia,
manufactures and develops
materials from corn ethanol
byproducts and uses which
are used as bioadditives in
plastics. The Company was
founded in March 2015.</t>
  </si>
  <si>
    <t xml:space="preserve">4953
2821</t>
  </si>
  <si>
    <t xml:space="preserve">MERIDIAN WASTE SOLUTIONS INC/GENAREX FD LLC-STRATEGIC ALLIANCE</t>
  </si>
  <si>
    <t xml:space="preserve">Meridian Waste Solutions Inc and Genarex FD LLC formed a strategic alliance
to develop a broader range of bioadditives for the plastics market.</t>
  </si>
  <si>
    <t xml:space="preserve">114003
2H4099</t>
  </si>
  <si>
    <t xml:space="preserve">Roche Diagnostics Corp
BioPorto A/S</t>
  </si>
  <si>
    <t xml:space="preserve">Mnfr diagnostic equip,prod
Biotechnology company</t>
  </si>
  <si>
    <t xml:space="preserve">Roche Diagnostics Corp,
located in Indianapolis,
Indiana, manufactures
diagnostic equipment, products
and hematology instruments.
These are used for early
detection, targeted screening,
evaluation and monitoring of
the diseases. The company was
founded in 1968.
BioPorto A/S is a provider
of biotechnology research
and development services.
The Company was founded in
2000 and is located in
Hellerup, Denmark. It is an
in-vitro diagnostics Company
that provides healthcare
professionals in clinical
and research settings a
range of diagnostic tests
and antibodies. Its product
portfolio includes assays
for underserved disease
states such as NGAL for
acute kidney injury. The
Company sells products in
more than 80 countries
through diverse sales
channels and partners.</t>
  </si>
  <si>
    <t xml:space="preserve">Roche Holdings AG
BioPorto A/S</t>
  </si>
  <si>
    <t xml:space="preserve">ROCHE DIAGNOSTICS CORP/BIOPORTO A/S-STRATEGIC ALLIANCE</t>
  </si>
  <si>
    <t xml:space="preserve">Roche Diagnostics Corp and BioPorto A/S formed a strategic alliance to
deliver a neutrophil gelatinase-associated lipocalin (NGAL) test for use on
Roches cobas c 501/c 502 analysers.</t>
  </si>
  <si>
    <t xml:space="preserve">77117P
09129W</t>
  </si>
  <si>
    <t xml:space="preserve">Rexahn Pharmaceuticals Inc
Zhejing Haichng Biotech Co Ltd</t>
  </si>
  <si>
    <t xml:space="preserve">Mnfr diagnostic pharmaceutical
Biological Product (Except Diagnostic) Manufacturing</t>
  </si>
  <si>
    <t xml:space="preserve">Rexahn Pharmaceuticals Inc,
located in Rockville,
Maryland, is a manufacturer
of pharmaceutical
preparation. The Company was
founded in 2001.
Zhejiang Haichang
Biotechnology Co Ltd is a
manufacturer of biological
products. The Company is
located in Hangzhou, China.</t>
  </si>
  <si>
    <t xml:space="preserve">REXAHN PHARMACEUTICALS INC/ZHEJIANG HAICHANG BIOTECHNOLOGY CO.
LTD-STRATEGIC ALLIANCE</t>
  </si>
  <si>
    <t xml:space="preserve">Rexahn Pharmaceuticals Inc and Zhejiang Haichang Biotechnology Co. Ltd
formed a strategic alliance to develop Rexahn's RX-0201 (Archexin) for the
treatment of hepatocellular carcinoma (HCC), the most common form of liver
cancer.</t>
  </si>
  <si>
    <t xml:space="preserve">761640
2H4773</t>
  </si>
  <si>
    <t xml:space="preserve">Panasonic Corp of N America
Enphase Energy Inc</t>
  </si>
  <si>
    <t xml:space="preserve">Mnfr,whl consumer electn prod
Manufactures solar energy management systems</t>
  </si>
  <si>
    <t xml:space="preserve">Panasonic Corp of North
America, located in Newark,
New Jersey, manufactures and
wholesales consumer
electronic products such as
home appliances, plasma TV,
camcorders, DVDs &amp; VCRs,
men's shavers, business
products like copiers, fax
machines, printers, and
industrial electronics
products, including computer
components, semiconductors,
appliance motors under the
Panasonic, Technics, and
Quasar trademarks.
Enphase Energy Inc, located
in Fremont, California, is
an energy company that
manufactures solar energy
management systems for
residential and commercial
customers to improve the
performance of solar power
systems. It develops a solar
micro-inverter system that
consists of components,
including a micro-converter
that attaches to the racking
beneath solar modules and
converts DC power to
grid-compliant AC power; an
envoy communications gateway
that collects and transmits
performance information from
each solar module to a
Website; and Enlighten, a
Website that is used by its
customers to monitor and
manage their solar power
systems. The company offers
microinverter systems for
residential and commercial
solar PV applications; and
Environ Smart Thermostat, an
advanced thermostat that
wirelessly connects to the
Enphase Microinverter
System, allowing owners to
manage their solar
installations, and heating
and cooling systems. It
offers its products through
a network of distributors in
the United States. The
company has offices in
France and Italy. The
Company was founded in 2006.</t>
  </si>
  <si>
    <t xml:space="preserve">Panasonic Corp
Enphase Energy Inc</t>
  </si>
  <si>
    <t xml:space="preserve">PANASONIC CORP OF NORTH/ENPHASE ENERGY INC-STRATEGIC ALLIANCE</t>
  </si>
  <si>
    <t xml:space="preserve">Panasonic Corp of North America and Enphase Energy Inc formed a strategic
alliance to continue with the co-development of high efficiency AC Modules
(ACMs).</t>
  </si>
  <si>
    <t xml:space="preserve">69845P
29355A</t>
  </si>
  <si>
    <t xml:space="preserve">Bridgestone Americas Hldg Inc
Versalis SpA</t>
  </si>
  <si>
    <t xml:space="preserve">Mnfr,whl tires,rubber products
Manufacture industrial chemicals</t>
  </si>
  <si>
    <t xml:space="preserve">Bridgestone Americas Holding
Inc, located in Nashville,
Tennessee, manufactures and
wholesales tires and rubber
products. Its operating
subsidiaries include
Bridgestone/Firestone North
American Tire LLC, BFS
Retail &amp; Commercial
Operations LLC, BFS
Diversified Products LLC and
Bridgestone Metalpha UA Inc.
It is also a holding
company. The Company was
founded in 1990.
Versalis SpA is a
manufacturer of inorganic
chemicals. Its products
portfolio includes
intermediates, polyethylene,
styrenics, elastomers and
other oilfield chemicals.
The Company was founded in
2012 and is located in San
Donato Milanese, Italy.</t>
  </si>
  <si>
    <t xml:space="preserve">3011
2819</t>
  </si>
  <si>
    <t xml:space="preserve">Bridgestone Corp
Eni SpA</t>
  </si>
  <si>
    <t xml:space="preserve">3011
2911</t>
  </si>
  <si>
    <t xml:space="preserve">BRIDGESTONE AMERICAS HOLDING/VERSALIS SPA-STRATEGIC ALLIANCE</t>
  </si>
  <si>
    <t xml:space="preserve">Bridgestone Americas Holding Inc and Versalis SpA formed a strategic
alliance to develop and deploy a comprehensive technology package to
commercialize guayule in the agricultural, sustainable-rubber and
renewable-chemical sectors.</t>
  </si>
  <si>
    <t xml:space="preserve">Research &amp; Development Services
Services (NEC)
Modernization Services</t>
  </si>
  <si>
    <t xml:space="preserve">10887A
93635L</t>
  </si>
  <si>
    <t xml:space="preserve">Shenzhen Hepalink Pharm Grp
Aridis Pharmaceuticals LLC</t>
  </si>
  <si>
    <t xml:space="preserve">Pharmaceutical Preparation Manufacturing
Medicinal and Botanical Manufacturing</t>
  </si>
  <si>
    <t xml:space="preserve">Shenzhen Hepalink
Pharmaceutical Group Co Ltd
is a manufacturer of
pharmaceutical preparation.
The Company was founded in
April 1998 and is located in
Shenzhen, China.
Aridis Pharmaceuticals LLC
is a manufacturer of
medicinals and botanicals.
The Company was founded in
April 2003 and is located in
San Jose, California.</t>
  </si>
  <si>
    <t xml:space="preserve">SHENZHEN HEPALINK PHARMACEUTICAL GROUP CO LTD/ARIDIS PHARMACEUTICALS
LLC-JOINT VENTURE</t>
  </si>
  <si>
    <t xml:space="preserve">Shenzhen Hepalink Pharmaceutical Group Co Ltd and Aridis Pharmaceuticals
LLC were rumored to be planning to form joint venture.The purpose of joint
venture was to develop, produce and sale of antibody products.</t>
  </si>
  <si>
    <t xml:space="preserve">8F2206
9H4176</t>
  </si>
  <si>
    <t xml:space="preserve">Advanced Accelerator
Cancer Targeted Technology</t>
  </si>
  <si>
    <t xml:space="preserve">Advanced Accelerator
Applications SA, located in
Saint Genis Pouilly, France,
develops, manufactures and
commercializes molecular
nuclear medicine, as well as
diagnostic and therapeutic
products. It specializes in
the fields of oncology,
neurology, cardiology and
infectious &amp; inflammatory
diseases. The Company has
its operations in Europe,
United States Canada &amp;
Israel, and its distribution
network spans over 30
countries. It was founded in
2002.
Cancer Targeted Technology,
located in Woodinville,
Washington, is a provider of
biotechnology research and
development services.</t>
  </si>
  <si>
    <t xml:space="preserve">Novartis AG
Cancer Targeted Technology</t>
  </si>
  <si>
    <t xml:space="preserve">ADVANCED ACCELERATOR APPLICATIONS SA/CANCER TARGETED TECHNOLOGY-STRATEGIC
ALLIANCE</t>
  </si>
  <si>
    <t xml:space="preserve">Advanced Accelerator Applications SA and Cancer Targeted Technology formed
a strategic alliance to develop and market an investigational new drug
product, F-18-labeled CTT1057. CTT1057 is a ligand of Prostate-Specific
Membrane Antigen (PSMA) for Positron Emission Tomography (PET) imaging of
prostate cancer.</t>
  </si>
  <si>
    <t xml:space="preserve">00790T
2H4448</t>
  </si>
  <si>
    <t xml:space="preserve">Shenzhen Ideal Jewellery Co
Undisclosed JV Partner</t>
  </si>
  <si>
    <t xml:space="preserve">Jewelry (Except Costume) Manufacturing
Investment company</t>
  </si>
  <si>
    <t xml:space="preserve">Shenzhen Ideal Jewellery Co
Ltd is a manufacturer of
jewelry. The Company was
founded in August 2001 and
is located in Shenzhen,
China.
Investment company</t>
  </si>
  <si>
    <t xml:space="preserve">3911
6799</t>
  </si>
  <si>
    <t xml:space="preserve">SHENZHEN IDEAL JEWELLERY CO LTD/UNDISCLOSED PARTNER-STRATEGIC ALLIANCE</t>
  </si>
  <si>
    <t xml:space="preserve">Shenzhen Ideal Jewellery Co Ltd and Undisclosed Joint Venture Partner
formed a strategic alliance to cooperate on construction of block chain
technology related joint research center and jewelry products traceability
system.</t>
  </si>
  <si>
    <t xml:space="preserve">81324W
904JVP</t>
  </si>
  <si>
    <t xml:space="preserve">Oncologie Inc
Mologen AG</t>
  </si>
  <si>
    <t xml:space="preserve">Oncologie Inc is a
manufacturer of
pharmaceutical preparation.
The Company is a next
generation, oncology
therapeutics company. The
Company leverages its unique
biomarker platform to
develop targeted therapies
that are matched to
individual tumors based on
the dominant biology of the
tumor microenvironment. The
Company was founded in 2018
and is located in Waltham,
Massachusetts.
Mologen AG, based in Berlin,
Germany, is a biotechnology
Company. It researches and
develops deoxyribonucleic
acid (DNA)-based drugs for
diseases that require a high
degree of medical treatment.
The Companys activities
concentrate on creating new
and improving existing
immunological drugs and
therapies to combat cancer
and developing vaccines for
the prevention and treatment
of serious infectious
diseases in humans, as well
as animals. The Company was
founded in 1998.</t>
  </si>
  <si>
    <t xml:space="preserve">ONCOLOGIE INC/MOLOGEN AG-STRATEGIC ALLIANCE</t>
  </si>
  <si>
    <t xml:space="preserve">Oncologie Inc and Mologen AG formed a strategic alliance across the world
for an exclusive license for the development, manufacturing and
commercialization for MOLOGEN's lead compound lefitolimod.</t>
  </si>
  <si>
    <t xml:space="preserve">9H8203
60870P</t>
  </si>
  <si>
    <t xml:space="preserve">Origin Agritech Ltd
Elastos Foundation</t>
  </si>
  <si>
    <t xml:space="preserve">Biotechnology company
Software Publishers</t>
  </si>
  <si>
    <t xml:space="preserve">Origin Agritech Ltd is a crop
farming establishment. The
Company was founded in Jan
1997 and is located in
Beijing, China.
Elastos Foundation is a
software publisher. The
Company is located in China.</t>
  </si>
  <si>
    <t xml:space="preserve">0191
7372</t>
  </si>
  <si>
    <t xml:space="preserve">ORIGIN AGRITECH LTD/ELASTOS FOUNDATION-STRATEGIC ALLIANCE</t>
  </si>
  <si>
    <t xml:space="preserve">Origin Agritech Ltd and Elastos Foundation formed a strategic alliance in
China to help in in Developing An Agribusiness Transaction, Data Service
Platform using Blockchain Technologies and also to develop a unique, a much
more comprehensive technology platform with our decentralized applications
(Dapps) powered by blockchain technologies. We warmly welcome Origin to
become a key member in our Elastos community</t>
  </si>
  <si>
    <t xml:space="preserve">68659F
9H8483</t>
  </si>
  <si>
    <t xml:space="preserve">Santhera Pharm Hldg AG
Polyphor Ltd</t>
  </si>
  <si>
    <t xml:space="preserve">Manufacture pharmaceutical products
Manufacture,develop drugs</t>
  </si>
  <si>
    <t xml:space="preserve">Santhera Pharmaceuticals
Holding AG is a manufactures
pharmaceutical products. The
Company focused on the
research and development of
pharmaceutical drugs for the
treatment of severe
neuromuscular diseases. It
addresses the medical needs
associated with
neuromuscular diseases where
few therapies exist. The
Company was founded in 1998
and is located in Pratteln,
Switzerland.
Polyphor Ltd is a
manufacturer of
pharmaceutical preparation.
It develops antibiotics and
other efficacious therapies
against specialty diseases.
The Company was founded in
1996 and is located in
Allschwil, Switzerland.</t>
  </si>
  <si>
    <t xml:space="preserve">SANTHERA PHARMACEUTICALS/POLYPHOR LTD-STRATEGIC ALLIANCE</t>
  </si>
  <si>
    <t xml:space="preserve">Santhera Pharmaceuticals Holding AG and Polyphor Ltd formed a strategic
alliance.The purpose of strategic alliance was to further develop and
commercialize the inhaled neutrophil elastase inhibitor, POL6014, in cystic
fibrosis (CF) and other neutrophilic lung diseases.</t>
  </si>
  <si>
    <t xml:space="preserve">80291F
73190P</t>
  </si>
  <si>
    <t xml:space="preserve">Xebec Adsorption Inc
SAPIO Produzione Idrogeno</t>
  </si>
  <si>
    <t xml:space="preserve">Mnfr filtration equip
Mnfr industrial gases;hldg co</t>
  </si>
  <si>
    <t xml:space="preserve">Xebec Adsorption Inc,
located in Blainville,
Quebec, manufactures
filtration, purification,
separation, and dehydration
equipment for gases and
compressed air. The Company
was founded in 1967.
SAPIO Produzione Idrogeno
Ossigeno Srl is a
manufacturer of industrial
gas. The Company was founded
in 1923 and is located in
Milano, Italy.</t>
  </si>
  <si>
    <t xml:space="preserve">3564
2813</t>
  </si>
  <si>
    <t xml:space="preserve">Canada
Italy</t>
  </si>
  <si>
    <t xml:space="preserve">XEBEC ADSORPTION INC/SAPIO PRODUZIONE IDROGENO-STRATEGIC ALLIANCE</t>
  </si>
  <si>
    <t xml:space="preserve">Xebec Adsorption Inc and SAPIO Group formed a strategic alliance in Italy
to help develop Italys renewable natural gas (RNG) upgrading infrastructure
from biogas facilities such as landfills, digesters and waste water
treatment plants..</t>
  </si>
  <si>
    <t xml:space="preserve">Research &amp; Development Services
Gas Utility Services</t>
  </si>
  <si>
    <t xml:space="preserve">983891
80305J</t>
  </si>
  <si>
    <t xml:space="preserve">Genexine Inc
PharmaJet Inc</t>
  </si>
  <si>
    <t xml:space="preserve">Research and Development in The Physical, Engineering and Lifesciences (Except Biotechnology)
Medical, Dental, and Hospital Equipment and Supplies Merchant Wholesalers</t>
  </si>
  <si>
    <t xml:space="preserve">Genexine Inc, located in
Seongnam, South Korea,
provides research and
development services. The
Company mainly provides
three categories of
products: biosimilar, used
for the therapy of
infertility multiple
sclerosis; antibody-fusion
proteins, used for the
therapy of anemia,
neutropenia, diabetes,
growth hormone deficiency,
blood clotting diseases and
others, and genetic
therapeutic vaccines, used
for the therapy of
hepatitis, brain cancer,
breast cancer, skin cancer,
cervical intraepithelial
neoplasia and others.The
company was founded in 1999.
PharmaJet Inc, located in
Golden, Colorado, provides
needle-free devices in the
vaccine delivery market. The
Company's PharmaJet Stratis
Needle-Free Injection System
is intended to deliver
various medications and
vaccines either
intramuscularly or
subcutaneously by means of a
narrow, precise fluid
stream, which penetrates the
skin and delivers the
medicine or vaccine to the
body. Its PharmaJet
Needle-Free Injection System
is used by healthcare
providers to routinely
administer injections. It
may be used for adults and
children. It can also be
used by patients authorized
by their physicians to
self-inject, or to have
other individuals administer
injections of prescribed
medication. The PharmaJet
Needle-Free Injector is the
intramuscular Jet Injector
that is approved for
delivery of an influenza
vaccine. A range of clinical
trial demonstrated that
needle-free flu vaccine
delivery with Afluria is
comparable to administration
using a needle and syringe
for adults. The Company was
founded in June 2005.</t>
  </si>
  <si>
    <t xml:space="preserve">8731
5047</t>
  </si>
  <si>
    <t xml:space="preserve">GENEXINE INC/PHARMAJET INC-STRATEGIC ALLIANCE</t>
  </si>
  <si>
    <t xml:space="preserve">Genexine Inc and PharmaJet Inc formed a strategic alliance to develop and
commercialize DNA vaccines for human applications by using the PharmaJet
needle-free injection systems. Under the agreement, Genexine will use
PharmaJet Stratis and Tropis devices in their Phase 1 and IIa human
clinical studies. The agreement also includes provision for potential
expansion to include Phase III studies and commercialization.</t>
  </si>
  <si>
    <t xml:space="preserve">5E4705
2H6587</t>
  </si>
  <si>
    <t xml:space="preserve">Southern Cross University
Solaris Nutraceuticals Pty</t>
  </si>
  <si>
    <t xml:space="preserve">Own,op univ
Medicinal and Botanical Manufacturing</t>
  </si>
  <si>
    <t xml:space="preserve">Southern Cross University owns
and operates a university. The
university is headquartered in
Lismore and with locations in
Coffs Harbour, Tweed Heads,
Byron Bay, and Sydney.
Academic faculties include
Faculty of Arts and Sciences
and Faculty of Business and
Law. The university was
founded in 1994.
Solaris Nutraceuticals Pty
Ltd, located in Canberra,
Australia, develops
medicinal cannabis and
plant-based nutraceuticals.</t>
  </si>
  <si>
    <t xml:space="preserve">8221
2833</t>
  </si>
  <si>
    <t xml:space="preserve">SOUTHERN CROSS UNIVERSITY/SOLARIS NUTRACEUTICALS PTY LTD-STRATEGIC
ALLIANCE</t>
  </si>
  <si>
    <t xml:space="preserve">Southern Cross University and Solaris Nutraceuticals Pty Ltd formed a
strategic alliance to develop hemp and medicinal cannabis products in the
New South Wales Northern Rivers region which aims to enhance animal and
human health.</t>
  </si>
  <si>
    <t xml:space="preserve">84267L
2H4578</t>
  </si>
  <si>
    <t xml:space="preserve">Atum Inc
Just Biotherapeutics Inc</t>
  </si>
  <si>
    <t xml:space="preserve">Atum , located in Newark,
California, manufactures
bioengineering solutions. It
offers gene design,
optimization and synthesis,
expression vectors, and
platforms for protein and
strain engineering services.
The Company was founded in
2003.
Just Biotherapeutics, Inc.
is a United States-based
design company, which is
focused on technologies that
will improve development of
biotherapeutics. The Company
is engaged in molecular
design, process design, drug
product design and
manufacturing plant design.
The Company is focused on
manufacturing of biologics,
including antibodies and
vaccines, and develops
antibodies. The Companys
integrated design framework
consists of J.Design,
Abacus, JP3 and JP3. The
Company designs molecules
for efficacy and improved
manufacturability. The
Company designs the process
for productivity and control
of product quality. The
Company operates in Seattle,
Washington.</t>
  </si>
  <si>
    <t xml:space="preserve">ATUM INC/JUST BIOTHERAPEUTICS INC-STRATEGIC ALLIANCE</t>
  </si>
  <si>
    <t xml:space="preserve">Atum Inc and Just Biotherapeutics Inc planned to form a strategic alliance.
The purpose of the strategic alliance is to provide Leap-In technology will
be used to help democratize access to life-changing, life-saving drugs. The
Leap-In Transposase system fits well with our biologics platform, helping
us achieve higher expression levels more rapidly than conventional cell
line development methods.</t>
  </si>
  <si>
    <t xml:space="preserve">5F4644
9H2750</t>
  </si>
  <si>
    <t xml:space="preserve">Sangamo Therapeutics Inc
Kite Pharma Inc</t>
  </si>
  <si>
    <t xml:space="preserve">Biological Product (Except Diagnostic) Manufacturing
Manufactures biopharmaceutical products</t>
  </si>
  <si>
    <t xml:space="preserve">Sangamo Therapeutics Inc is
a manufacturer of biological
products. It focuses on
gene-based therapies and
genome editing in order to
trat patients with genetic
diseases. The Company was
founded in 1995 and is
located in Richmond,
California.
Kite Pharma Inc,
headquartered in Foster
City, California,
manufactures
biopharmaceutical products.
It is focused on the
development and
commercialization of cancer
immunotherapy products
designed to harness the
power of a patients own
immune system to eradicate
cancer cells. Its
therapeutic
platform-engineered
Autologous Cell Therapy
(eACT) functions where a
patients own T cells, or
white blood cells, are
engineered to recognize and
destroy their cancer. Its
eACT technology includes the
genetic engineering of T
cells to express either
chimeric antigen receptors
(CARs), or T cell receptors
(TCRs). The Company was
founded in 2009.</t>
  </si>
  <si>
    <t xml:space="preserve">Sangamo Therapeutics Inc
Gilead Sciences Inc</t>
  </si>
  <si>
    <t xml:space="preserve">SANGAMO THERAPEUTICS INC/KITE PHARMA INC-STRATEGIC ALLIANCE</t>
  </si>
  <si>
    <t xml:space="preserve">Sangamo Therapeutics Inc and Kite Pharma Inc formed a strategic alliance to
use Sangamo's zinc finger nuclease technology platform to develop ex vivo
cell therapies in oncology. Under the agreement, Kite will develop,
manufacture and commercialize the products during the strategic alliance.</t>
  </si>
  <si>
    <t xml:space="preserve">800677
49803L</t>
  </si>
  <si>
    <t xml:space="preserve">SurModics Inc
Abbott Vascular Inc</t>
  </si>
  <si>
    <t xml:space="preserve">Mnfr,dvlp drug delivery tech
Mnfr med devices,pharm</t>
  </si>
  <si>
    <t xml:space="preserve">SurModics Inc, located in
Eden Prairie, Minnesota,
manufactures and develops
drug delivery technology, as
well as, surface
modification technology for
the healthcare industry. Its
offerings include: drug
delivery technologies
(coatings, microparticles
and implants) and surface
modification coating
technologies that impart
lubricity, prohealing, and
biocompatibility
capabilities. The Company
was founded in 1979.
Abbott Vascular Inc, located
in Santa Clara, California,
is a manufacturer and
supplier of surgical and
medical instruments and
solutions for the treatment
of cardiac and vascular
diseases. The Company was
founded in 1995.</t>
  </si>
  <si>
    <t xml:space="preserve">SurModics Inc
Abbott Labs</t>
  </si>
  <si>
    <t xml:space="preserve">SURMODICS INC/ABBOTT VASCULAR INC-STRATEGIC ALLIANCE</t>
  </si>
  <si>
    <t xml:space="preserve">SurModics Inc and Abbott Vascular Inc formed a strategic alliance to treat
the superficial femoral artery in United States.</t>
  </si>
  <si>
    <t xml:space="preserve">868873
00552L</t>
  </si>
  <si>
    <t xml:space="preserve">Rogers Corp
Xonano Smartfoam</t>
  </si>
  <si>
    <t xml:space="preserve">Mnfr composite materials
Industrial Supplies Merchant Wholesalers</t>
  </si>
  <si>
    <t xml:space="preserve">Rogers Corp, located in
Rogers, Connecticut,
manufactures
high-performance specialty
material products, serving a
diverse range of markets
that includes portable
communication devices,
communication
infrastructure, consumer
products, computer and
office equipment, ground
transportation and aerospace
and defense. Its four broad
product categories are as
follows: Advanced Circuit
Materials; high frequency
circuit materials and
flexible circuit substrates;
High Performance Foams;
silicone foams and
polyurethane foams; Custom
Electrical Components;
electroluminescent lamps,
inverters, busbars and
engineered thermal
materials; and Other Polymer
Products; nitrile rubber
floats, elastomeric
components, polyolefin
foams, and non-woven
composite material. The
Company was founded in 1832.
Xonano Smartfoam, located in
Orem, Utah, is an industrial
supplies wholesaler. The
Company was founded in 2013.</t>
  </si>
  <si>
    <t xml:space="preserve">2821
5085</t>
  </si>
  <si>
    <t xml:space="preserve">CT
UT</t>
  </si>
  <si>
    <t xml:space="preserve">ROGERS CORP/XONANO SMARTFOAM-STRATEGIC ALLIANCE</t>
  </si>
  <si>
    <t xml:space="preserve">Rogers Corp and Xonano Smartfoam formed a strategic alliance to combine
XOnanos patented piezoresponsive technology with the unique
impact-absorption qualities of Rogers PORON polyurethane foam materials in
United States.</t>
  </si>
  <si>
    <t xml:space="preserve">775133
2H8433</t>
  </si>
  <si>
    <t xml:space="preserve">Polyskope Labs
Thermo Fisher Scientific Inc</t>
  </si>
  <si>
    <t xml:space="preserve">Research and Development in The Physical, Engineering and Lifesciences (Except Biotechnology)
Mnfr analytical tech,equipment</t>
  </si>
  <si>
    <t xml:space="preserve">Polyskope Labs The Company
is located in Oklahoma.
Thermo Fisher Scientific
Inc, headquartered in
Waltham, Massachusetts,
manufactures analytical
technologies, scientific
equipment, and laboratory
consumables, including mass
spectrometers, liquid and
gas chromatographs, and
affiliated software, vials,
syringes, and columns
necessary for
chromatography,
microplate-based handling
and reading equipment,
optical biosensors, thermal
cyclers, DNA purification
systems, SNP scoring
systems, and capillary
electrophoresis (CE),
ultralow-temperature
freezers, high-speed
centrifuges, centrifugal
vacuum concentrators, and
laboratory freeze dryers,
precision control
instruments. It clients
include the pharmaceutical
and biotech companies,
hospitals and clinical
diagnostic labs,
universities, research
institutions and government
agencies, as well as in
environmental and process
control industries. Its
brands include Thermo
Scientific and Fisher
Scientific. The Company was
founded in 1956.</t>
  </si>
  <si>
    <t xml:space="preserve">3721
3829</t>
  </si>
  <si>
    <t xml:space="preserve">OK
MA</t>
  </si>
  <si>
    <t xml:space="preserve">POLYSKOPE LABS/THERMO FISHER SCIENTIFIC INC-STRATEGIC ALLIANCE</t>
  </si>
  <si>
    <t xml:space="preserve">Polyskope Labs and Thermo Fisher Scientific Inc formed a strategic alliance
is to detect of pathogens in food and environmental samples.The transaction
was subjected to regulatory approvals.</t>
  </si>
  <si>
    <t xml:space="preserve">9H0122
883556</t>
  </si>
  <si>
    <t xml:space="preserve">Greenland Hong Kong Hldg Ltd
Provectus Care Pty Ltd
Shanghai Intl Med Ctr</t>
  </si>
  <si>
    <t xml:space="preserve">Land Subdivision
Home Health Care Services
Own,operate hospital</t>
  </si>
  <si>
    <t xml:space="preserve">Greenland Hong Kong Holdings
Ltd, headquartered in China,
is a real estate development
firm. Its activities include
the development and sale of
quality private residential
properties, investment
holding, property agency and
consulting, hotel
development and operation,
property management
services, clubhouse
operations and technical
training and technology
consultancy, landscape
construction project and
college education. The
operations of the group are
carried out in the British
Virgin Island and China.
Provectus Care Pty Ltd is a
provider of home health care
services. The Company is
located in Australia.
Shanghai International Medical
Center, owns and operates a
hospital. The company is
headquartered in China.</t>
  </si>
  <si>
    <t xml:space="preserve">6552
8082
8062</t>
  </si>
  <si>
    <t xml:space="preserve">China
Australia
China</t>
  </si>
  <si>
    <t xml:space="preserve">Greenland Holdings Corp Ltd
Provectus Care Pty Ltd
Shanghai Intl Med Ctr</t>
  </si>
  <si>
    <t xml:space="preserve">GREENLAND HONG KONG HOLDINGS LTD/PROVECTUS CARE PTY LTD/SHANGHAI
INTERNATIONAL MEDICAL CENTER-JOINT VENTURE</t>
  </si>
  <si>
    <t xml:space="preserve">Greenland Hong Kong Holdings Ltd, Provectus Care Pty Ltd and Shanghai
International Medical Center formed joint venture.The purpose odf joint
venture was to provide professional care for Alzheimer's patients.</t>
  </si>
  <si>
    <t xml:space="preserve">70.00
20.00
10.00</t>
  </si>
  <si>
    <t xml:space="preserve">6A6125
9H0410
3C5369</t>
  </si>
  <si>
    <t xml:space="preserve">Astellas Pharma Inc
Tottori Daigaku</t>
  </si>
  <si>
    <t xml:space="preserve">Manufactures and wholesales pharmaceutical
Colleges, Universities, and Professional Schools</t>
  </si>
  <si>
    <t xml:space="preserve">Astellas Pharma Inc, located
in Chuo-Ku, Tokyo,
manufactures and wholesales
pharmaceutical. It is
involved in the manufacture
and sale of pharmaceutical
products in Japan, the
United States, Europe,
China, Korea, Taiwan and
other markets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osteoporosis, hypertension,
schizophrenia, rheumatoid
arthritis, atopic dermatitis
and other diseases. The
Company was founded in 1923.
Tottori Daigaku is a college
operator. The Company was
founded in 1874 and is
located in Japan.</t>
  </si>
  <si>
    <t xml:space="preserve">ASTELLAS PHARMA INC/TOTTORI DAIGAKU-STRATEGIC ALLIANCE</t>
  </si>
  <si>
    <t xml:space="preserve">Astellas Pharma Inc and Tottori University formed a strategic alliance to
provide research and development services related to of immune-stimulating
gene loading oncolytic virus worldwide.</t>
  </si>
  <si>
    <t xml:space="preserve">J03393
2H9651</t>
  </si>
  <si>
    <t xml:space="preserve">Indiana University
Stemcell Technologies Inc</t>
  </si>
  <si>
    <t xml:space="preserve">Own,op college,university
Biological Product (Except Diagnostic) Manufacturing</t>
  </si>
  <si>
    <t xml:space="preserve">Own and operate college and
university
Stemcell Technologies Inc,
located in Vancouver,
British Columbia, is a
manufacturer of biological
products. It develops
specialty cell culture media
and cell separation products
to support research in the
fields of immunology,
hematology, neuroscience,
mesenchymal cell, stem cell
and epithelial cell
biology.. The Company was
founded in 1993.</t>
  </si>
  <si>
    <t xml:space="preserve">United States of America
Stemcell Technologies Inc</t>
  </si>
  <si>
    <t xml:space="preserve">INDIANA UNIVERSITY/STEMCELL TECHNOLOGIES INC-STRATEGIC ALLIANCE</t>
  </si>
  <si>
    <t xml:space="preserve">Indiana University and Stemcell Technologies Inc planned to form a
strategic alliance. The partnership done to develop products that enable
scientists to have access to sensory cells in sufficient quantities needed
for therapeutic cures for hearing and balance disorders.</t>
  </si>
  <si>
    <t xml:space="preserve">45513Z
5F2541</t>
  </si>
  <si>
    <t xml:space="preserve">Athersys Inc
Healios KK</t>
  </si>
  <si>
    <t xml:space="preserve">Mnfr biopharmaceuticals
Medicinal and Botanical Manufacturing</t>
  </si>
  <si>
    <t xml:space="preserve">Athersys Inc, headquartered
in Cleveland, Ohio, is a
biopharmaceutical company.
It is engaged in the
discovery and development of
therapeutic product
candidates designed to
extend and enhance the
quality of human life. The
Company was founded in 2005.
Healios KK, located in
Tokyo, Japan, is mainly
engaged in research and
development of
pharmaceutical products. The
Company has compound
pharmaceutical products line
and induced pluripotent stem
cell (iPSC) regenerative
medicine product line. The
compound pharmaceutical
HLM0021, HLM0022 and
HLM0023. The products are
ophthalmological surgery
adjuvants, mainly contain
brilliant blue G-250
(BBG250) which help capsule
temporarily safely stained
to protect the inner
limiting membranes and lens
during surgery of vitreous
and cataract. The iPSC
regenerative medicine
product line contains
HLCR011 and HLCR012. The
products are in the
preclinical testing and
preparation for trial in
Japan, which are candidate
of regenerative medicine
products. The products are
iPS cell derived retinal
pigment epithelium (RPE)
cell suspension and sheet
developed in Japan, United
States and Europe. The
company was founded in 2011.</t>
  </si>
  <si>
    <t xml:space="preserve">ATHERSYS INC/HEALIOS KK-STRATEGIC ALLIANCE</t>
  </si>
  <si>
    <t xml:space="preserve">Athersys Inc and Healios KK extended their strategic alliance in Japan to
expand their collaboration into additional therapeutic areas. Under the
terms of the agreements, Healios obtained exclusive licenses for the
development and commercialization in Japan of MultiStem therapy for the
treatment of acute respiratory distress syndrome (ARDS) and of MultiStem
cells used in combination with iPSC-derived cells for the treatment of
certain organs.</t>
  </si>
  <si>
    <t xml:space="preserve">047440
7C7327</t>
  </si>
  <si>
    <t xml:space="preserve">Ohm Oncology Inc
Aptose Biosciences Inc</t>
  </si>
  <si>
    <t xml:space="preserve">OHM ONCOLOGY INC. is a
manufacturer of
pharmaceutical preparation.
The Company was founded in
December 2013 and is located
in San Jose, California.
Aptose Biosciences Inc,
formerly Lorus Therapeutics
Inc., is a life sciences
company. The Company is
focused on the discovery,
research and development of
effective anticancer
therapies with a safety
profile. The Company has
worked to establish a
diverse anticancer product
pipeline, with products in
various stages of
development ranging from
pre-clinical to a completed
Phase I clinical trial.
Intellectual property
portfolio supports its
diverse product pipeline.</t>
  </si>
  <si>
    <t xml:space="preserve">OHM ONCOLOGY INC./APTOSE BIOSCIENCES INC-STRATEGIC ALLIANCE</t>
  </si>
  <si>
    <t xml:space="preserve">OHM ONCOLOGY INC. and Aptose Biosciences Inc formed a strategic alliance.
The purpose of strategic alliance was to enables OHM Oncology and Aptose
Biosciences to develop APL-581 and its related molecules to treat certain
types of cancers.</t>
  </si>
  <si>
    <t xml:space="preserve">9H1362
03835T</t>
  </si>
  <si>
    <t xml:space="preserve">ReWalk Robotics Ltd
Timwell Corp Ltd</t>
  </si>
  <si>
    <t xml:space="preserve">Surgical Appliance and Supplies Manufacturing
Research and Development in The Physical, Engineering and Lifesciences (Except Biotechnology)</t>
  </si>
  <si>
    <t xml:space="preserve">ReWalk Robotics Ltd, located
in Yokneam Ilit, Israel, is
a medical device company
engaged in developing and
commercializing exoskeletons
that allow wheelchair-bound
individuals with mobility
impairments or other medical
conditions the ability to
stand and walk once again.
It has developed and are
continuing to commercialize
ReWalk, an exoskeleton that
uses our patented
tilt-sensor technology and
an on-board computer and
motion sensors to drive
motorized legs that power
movement. It was founded on
2001.
Timwell Corp Ltd is a
provider of research and
development services. The
Company was founded in 1970
and is located in Shenzhen,
China.</t>
  </si>
  <si>
    <t xml:space="preserve">3842
8731</t>
  </si>
  <si>
    <t xml:space="preserve">Israel
China</t>
  </si>
  <si>
    <t xml:space="preserve">REWALK ROBOTICS LTD/TIMWELL CORP LTD-JOINT VENTURE</t>
  </si>
  <si>
    <t xml:space="preserve">ReWalk Robotics Ltd and Timwell Corp Ltd planned to form joint venture in
China.The purpose of joint venture were for the purposes of research and
development, assembly, registration, import, operations, sales and
marketing of the ReWalk's products in China</t>
  </si>
  <si>
    <t xml:space="preserve">M8216Q
9H0101</t>
  </si>
  <si>
    <t xml:space="preserve">WeedMD Inc
Phivida Holdings Inc</t>
  </si>
  <si>
    <t xml:space="preserve">Pharmaceutical Preparation Manufacturing
Manufactures in-vitro diagnostic substances.</t>
  </si>
  <si>
    <t xml:space="preserve">WeedMD Inc, located in
Aylmer, Ontario,
manufactured and wholesales
medical cannabis. It is a
licensed producer of medical
marijuana under the Access
to Cannabis for Medical
Purposes Regulations (ACMPR)
and operates an
approximately 20,000 square
foot production facility in
Aylmer, Ontario. Its
products include: Dried
Cannabis, Cannabis Extracts
and Cannabis Vaporizes. The
Company was founded on July
16, 2014.
Phivida Holdings Inc,
located in Vancouver,
Canada, manufactures
in-vitro diagnostic
substances. The Company was
founded in April 24, 2015.</t>
  </si>
  <si>
    <t xml:space="preserve">WEEDMD INC/PHIVIDA HOLDINGS INC-JOINT VENTURE</t>
  </si>
  <si>
    <t xml:space="preserve">WeedMD Inc and Phivida Holdings Inc planned to form a joint venture to
develop a production facility at WeedMDs state-of-the-art greenhouse in
Canada.</t>
  </si>
  <si>
    <t xml:space="preserve">948525
0H8161</t>
  </si>
  <si>
    <t xml:space="preserve">Sanofi SA
Evotec AG</t>
  </si>
  <si>
    <t xml:space="preserve">Manufactures pharmaceuticals products
Mnfr small molecule drugs</t>
  </si>
  <si>
    <t xml:space="preserve">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t>
  </si>
  <si>
    <t xml:space="preserve">SANOFI SA/EVOTEC AG-STRATEGIC ALLIANCE</t>
  </si>
  <si>
    <t xml:space="preserve">Sanofi SA and Evotec AG formed a strategic alliance.The purpose of
strategic alliance was to create an Evotec-led Infectious Disease open
innovation R&amp;D platform.</t>
  </si>
  <si>
    <t xml:space="preserve">80105N
D1646D</t>
  </si>
  <si>
    <t xml:space="preserve">CSIR
Lupin Ltd
Dept Of Science And Tech</t>
  </si>
  <si>
    <t xml:space="preserve">Pvd scientific research
Mnfr,whl pharmaceutical prod
Research and Development in The Physical, Engineering and Lifesciences (Except Biotechnology)</t>
  </si>
  <si>
    <t xml:space="preserve">Council of Scientific and
Industrial Research,
headquartered in New Delhi,
India, is an institution
provides scientific and
industrial research
promotion and guidance,
information collection and
dissemination, journal
publishing, and fellowship
awarding services. The
institution caters to
aerospace, healthcare,
electronics, and energy
sectors. It was founded in
1942.
Lupin Ltd, located in
Mumbai, India, manufactures
and wholesales
pharmaceutical products. It
offers products in various
therapeutic areas, such as
the anti-tuberculosis,
cephalosporins,
cardiovascular, anti-asthma,
anti-infectives, pain
management, diabetes,
pediatrics, gynecology, and
non-steroidal
anti-inflammatory drugs, as
well as ace inhibitors,
statins and prils. Its
anti-TB products include
Ethambutol Hydrochloride,
Pyrazinamide, Rifampicin,
and Rifabutene;
cardiovascular products are
Benazeprila Hydrochloride,
Fosinopril Sodium,
Lisinopril, Quinapril
Hydrochloride, Ramipril,
Lovastatin, and Simvastatin;
and cephalosporins products
include Cefaclor,
Cefadroxil, Cefdinir,
Cefixime, Cefotaxime Sodium,
Cefuroxime Axetil,
Ceftazidime Pentahydrate,
Ceftriaxone Sodium, and
Cephalexin Monohydrate. The
company was founded in 1968.
Department Of Science And
Technology India is a
provider of research and
development services. The
Company is located in India.</t>
  </si>
  <si>
    <t xml:space="preserve">8733
2834
8731</t>
  </si>
  <si>
    <t xml:space="preserve">India
India
India</t>
  </si>
  <si>
    <t xml:space="preserve">COUNCIL OF SCIENTIFIC AND INDUSTRIAL RESEARCH/LUPIN LTD/DEPARTMENT OF
SCIENCE AND TECHNOLOGY INDIA-STRATEGIC ALLIANCE</t>
  </si>
  <si>
    <t xml:space="preserve">Council of Scientific and Industrial Research, Lupin Ltd and Department Of
Science And Technology India planned to form a strategic alliance in
India.The purpose of strategic alliance were to develop continuous
manufacturing process for bio similar monoclonal antibody therapeutic.</t>
  </si>
  <si>
    <t xml:space="preserve">5A9697
55043Q
9H0151</t>
  </si>
  <si>
    <t xml:space="preserve">Adagene (Suzhou) Ltd
Wuxi Biologics (Cayman) Inc</t>
  </si>
  <si>
    <t xml:space="preserve">Adagene (Suzhou) Ltd,
located in China, provides
biotechnology research and
development services. It is
an antibody discovery and
engineering company with
proprietary smart antibody
technology, which increases
success rates, substantially
accelerates time to market,
and reduces the costs
associated with developing a
therapeutic antibody. The
company was founded in
February 2012.
Wuxi Biologics (Cayman) Inc,
located in Shanghai, China
is an investment holding
company. The Company along
with its subsidiaries is
mainly engaged in the
discovery, research and
development, manufacturing
and sales of biologics
products. The Company''s
primary products include the
clinical active
pharmaceutical ingredients,
sterile liquid preparations,
freeze-dried preparations,
as well as small molecules
antibiotics for injection
drugs. The Company mainly
distributes its products in
the United States of America
(USA) and the Peoples
Republic of China (PRC)
markets.</t>
  </si>
  <si>
    <t xml:space="preserve">Adagene (Suzhou) Ltd
New Wuxi Life Science Hldg Ltd</t>
  </si>
  <si>
    <t xml:space="preserve">ADAGENE (SUZHOU) LTD/WUXI BIOLOGICS (CAYMAN) INC-STRATEGIC ALLIANCE</t>
  </si>
  <si>
    <t xml:space="preserve">Adagene (Suzhou) Ltd and Wuxi Biologics (Cayman) Inc formed a strategic
alliance.The purpose of strategic alliance was to developing and
manufacturing some urgently-needed antibody therapeutics through the
world-class, high-quality biologics platform at WuXi Biologics.</t>
  </si>
  <si>
    <t xml:space="preserve">4E0780
0F6437</t>
  </si>
  <si>
    <t xml:space="preserve">Immutep Ltd
Merck &amp; Co Inc</t>
  </si>
  <si>
    <t xml:space="preserve">Biotech co
Manufactures and wholesales pharmaceuticals</t>
  </si>
  <si>
    <t xml:space="preserve">Immutep Ltd, located in
Sydney, Australia, is a
biotechnology company
developing novel
immunotherapy treatments for
cancer and autoimmune
disease, with operations in
Europe, Australia, and the
U.S.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</si>
  <si>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IMMUTEP LTD/MERCK &amp; CO INC-STRATEGIC ALLIANCE</t>
  </si>
  <si>
    <t xml:space="preserve">Immutep Ltd and Merck Co Inc formed a strategic alliance. The purpose of
strategic alliance was to evaluate the combination of Immuteps lead
immunotherapy product candidate eftilagimod alpha with MSD's anti-PD-1
therapy KEYTRUDA (pembrolizumab) in a new clinical trial that will evaluate
the combination in several different solid tumours.</t>
  </si>
  <si>
    <t xml:space="preserve">2H8333
58933Y</t>
  </si>
  <si>
    <t xml:space="preserve">Dare Bioscience Inc
Orbis Biosciences Inc</t>
  </si>
  <si>
    <t xml:space="preserve">Dare Bioscience Inc, located
in Waltham, Massachusetts,
is a clinical-stage,
oncology-focused company. It
applies its Dynamic Tumor
Targeting platform to
develop differentiated
therapies. Its platform
utilizes nanoparticle-drug
conjugates (NDCs), which
consist of polymers that are
covalently linked to
anti-cancer therapeutics or
payloads. Its NDC platform
is designed to create NDCs
that accumulate high
concentrations of active
drug in tumor cells, without
exposure to healthy tissue.
Its platform is applicable
to a range of payloads. It
has created NDCs with a
range of small molecule
payloads, including Jevtana
(cabazitaxel), gemcitabine,
methotrexate and Xeljanz
(tofacitinib). The
Company''s product pipeline
consists of CRLX101 and
CRLX301. Its CRLX101 is a
tumor targeted NDC. Its
CRLX301 has docetaxel as its
anti-cancer payload. CRLX101
has a camptothecin payload,
which is a topoisomerase 1
(topo 1) inhibitor. CRLX301
is designed to concentrate
docetaxel in tumor cells and
spare healthy tissue. The
Company was founded in
December 2005.
Orbis Biosciences Inc is a
manufacturer of biological
products. The Company was
founded in December 2007 and
is located in Lenexa,
Kansas.</t>
  </si>
  <si>
    <t xml:space="preserve">CA
KS</t>
  </si>
  <si>
    <t xml:space="preserve">DARE BIOSCIENCE INC/ORBIS BIOSCIENCES INC-STRATEGIC ALLIANCE</t>
  </si>
  <si>
    <t xml:space="preserve">Dare Bioscience Inc and Orbis Biosciences Inc formed a strategic alliThe
purpose of strtegic alliance was development of an injectable etonogestrel
contraceptive with 6- and 12-month durations (ORB-204 and ORB-214,
respectively).ance.</t>
  </si>
  <si>
    <t xml:space="preserve">6F9119
9H0373</t>
  </si>
  <si>
    <t xml:space="preserve">Novartis AG
Science 37 Inc</t>
  </si>
  <si>
    <t xml:space="preserve">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
Science 37 Inc is a provider
of research and development
services. The Company was
founded in September 2014
and is located in Los
Angeles, California.</t>
  </si>
  <si>
    <t xml:space="preserve">2834
3721</t>
  </si>
  <si>
    <t xml:space="preserve">NOVARTIS AG/SCIENCE 37 INC-STRATEGIC ALLIANCE</t>
  </si>
  <si>
    <t xml:space="preserve">Novartis AG and Science 37 Inc planned to form a strategic alliance.The
purpose of strategic alliance was to employ emerging digital technologies
to improve patient participation in clinical trials.</t>
  </si>
  <si>
    <t xml:space="preserve">66987V
8H9945</t>
  </si>
  <si>
    <t xml:space="preserve">Bext360
Boulder Ai</t>
  </si>
  <si>
    <t xml:space="preserve">Software Publishers
Engineering Services</t>
  </si>
  <si>
    <t xml:space="preserve">Bext360 is a government
administration establishment
for public health. The
Company is located in
Denver, Colorado. Bext360
focuses on supply chains
such as coffee, seafood,
timber, minerals, cotton and
palm oil to provide a
traceable fingerprint from
producer to consumer
Boulder Ai is a provider of
engineering services. The
Company is located in
Boulder, Colorado.</t>
  </si>
  <si>
    <t xml:space="preserve">BEXT360/BOULDER AI-STRATEGIC ALLIANCE</t>
  </si>
  <si>
    <t xml:space="preserve">Bext360 and Boulder Ai planned to form a strategic alliance. The purpose of
the strategic alliance is used for a range of commodities though, it is
currently being used for coffee cherries. The BextMachine uses artificial
intelligence, IoT and blockchain technology to collect and analyze coffee
cherries, and make electronic payments to coffee farmers, as well as
provide complete traceability and critical data to improve the quality of
the coffee supply chain.</t>
  </si>
  <si>
    <t xml:space="preserve">9H1014
9H1029</t>
  </si>
  <si>
    <t xml:space="preserve">AveXis Inc
Genethon SA</t>
  </si>
  <si>
    <t xml:space="preserve">Biological Product (Except Diagnostic) Manufacturing
Pvd commercial research svcs</t>
  </si>
  <si>
    <t xml:space="preserve">AveXis Inc, located in
Bannockburn, Illinois, is
clinical stage gene therapy
company that develops and
researches treatments for
neurological genetic
diseases. The Company's
AVXS-101, is its gene
therapy product candidate
that is in a Phase I
clinical trial for the
treatment of spinal muscular
atrophy (SMA) Type 1, which
is a genetic disorder
characterized by motor
neuron loss and associated
muscle deterioration. The
survival motor neuron (SMN)
is a protein for normal
motor neuron signaling and
function. Patients with SMA
Type 1 either have
experienced a deletion of
their SMN1 genes, which
prevents them from producing
adequate levels of
functional SMN protein, or
carry a mutation in their
SMN1 gene. AVXS-101 is
designed to deliver a
functional human SMN gene
into the nuclei of motor
neurons that then generates
an increase in SMN protein
levels. The Company was
founded in 2010.
Genethon SA is a provider of
research and development
services. The Company is
located in Evry, France.</t>
  </si>
  <si>
    <t xml:space="preserve">AVEXIS INC/GENETHON SA-STRATEGIC ALLIANCE</t>
  </si>
  <si>
    <t xml:space="preserve">AveXis Inc and Genethon SA formed a strategic alliance.purpose of strategic
alliance : for the treatment of spinal muscular atrophy (SMA).</t>
  </si>
  <si>
    <t xml:space="preserve">05366U
37184N</t>
  </si>
  <si>
    <t xml:space="preserve">TumorGenesis Inc
Syntarray Llc</t>
  </si>
  <si>
    <t xml:space="preserve">TumorGenesis Inc is a
provider of biotechnology
research and development
services. The Company was
founded in February 2018 and
is located in Pittsburgh,
Pennsylvania.
SyntArray LLC, located in
Salem, Massachusetts, is a
provider of biotechnology
research and development
services.</t>
  </si>
  <si>
    <t xml:space="preserve">Precision Therapeutics Inc
Syntarray Llc</t>
  </si>
  <si>
    <t xml:space="preserve">TUMORGENESIS INC/SYNTARRAY LLC-STRATEGIC ALLIANCE</t>
  </si>
  <si>
    <t xml:space="preserve">TumorGenesis Inc and SyntArray LLC formed a strategic alliance to develop
the next generation of patient derived tumor models for precision cancer
therapy and drug development by granting it access to SyntArrays targeted
peptide cell capture technology.</t>
  </si>
  <si>
    <t xml:space="preserve">2H9759
2H9742</t>
  </si>
  <si>
    <t xml:space="preserve">Macleods Pharmaceuticals Ltd
J&amp;J</t>
  </si>
  <si>
    <t xml:space="preserve">Pharmaceutical Preparation Manufacturing
Manufactures and Wholesales Pharmaceuticals</t>
  </si>
  <si>
    <t xml:space="preserve">Macleods Pharmaceuticals Ltd
is a manufacturer of
pharmaceutical preparation.
The Company was founded in
1986 and is located in
Mumbai, India.
Johnson &amp; Johnson,
headquartered in New
Brunswick, New Jersey,
manufactures and wholesales
pharmaceuticals. Its
segments include Consumer,
Pharmaceutical and Medical
Devices. It also
manufactures wound care
sponges and dressings,
sterilizing and disinfecting
solutions, latex surgical
and medical gloves, topical
absorbable haemostatic
agents, medical equipment
and instruments,
prescription and non
prescription drugs, health
care products for first-aid,
skin, oral and baby care,
toiletries, medicinal,
biological and diagnostic
pharmaceuticals, tampons,
diapers and other sanitary
products, contact lenses,
and nonwoven textile
fabrics. It also provides
medical research and
development services and
functions as a holding
company. Its subsidiaries
operate over 120
manufacturing facilities.
Its brands include Johnsons
Bedtime, Listerine,
Carefree, Tylenol, and
Visine. The Company was
founded in 1886.</t>
  </si>
  <si>
    <t xml:space="preserve">MACLEODS PHARMACEUTICALS LTD/JOHNSON &amp; JOHNSON-STRATEGIC ALLIANCE</t>
  </si>
  <si>
    <t xml:space="preserve">Macleods Pharmaceuticals Ltd and Johnson Johnson were rumored to be
planning to form an alliance.</t>
  </si>
  <si>
    <t xml:space="preserve">8H9472
478160</t>
  </si>
  <si>
    <t xml:space="preserve">Ono Pharmaceutical Co Ltd
Merus NV</t>
  </si>
  <si>
    <t xml:space="preserve">Ono Pharmaceutical Co Ltd,
located in Osaka, Japan,
manufactures and wholesales
pharmaceuticals and
diagnostic reagents focusing
primarily on prescription
pharmaceuticals. The company
was founded in 1717.
Merus NV, located in Utrecht,
Netherlands, is a
pharmaceutical company
manufacturing anticancer
pharmaceutical products.</t>
  </si>
  <si>
    <t xml:space="preserve">Ono Pharmaceutical Co Ltd
Norgine BV</t>
  </si>
  <si>
    <t xml:space="preserve">ONE PHARMACEUTICAL CO LTD/MERUS NV-STRATEGIC ALLIANCE</t>
  </si>
  <si>
    <t xml:space="preserve">Ono Pharmaceutical Co Ltd and Merus NV formed a strategic alliance carrying
out their operations around the world. The Strategic Alliance focuses on
health and medical services and also about research and development.</t>
  </si>
  <si>
    <t xml:space="preserve">68273Q
9C9540</t>
  </si>
  <si>
    <t xml:space="preserve">ImmunoRestoration Inc
University of Pennsylvania</t>
  </si>
  <si>
    <t xml:space="preserve">ImmunoRestoration Inc,
located in Warminster,
Pennsylvania, develops
immunotherapeutic cancer
vaccine products. It
performs clinical research
focused on minimizing the
effects of breast cancer and
other cancers.
Own and operate university</t>
  </si>
  <si>
    <t xml:space="preserve">IMMUNORESTORATION INC/UNIVERSITY OF PENNSYLVANIA-STRATEGIC ALLIANCE</t>
  </si>
  <si>
    <t xml:space="preserve">ImmunoRestoration Inc and University of Pennsylvania formed a strategic
alliance to license ImmunoRestoration to commercialize certain intellectual
property and technology related for the treatment of breast and other
cancers.</t>
  </si>
  <si>
    <t xml:space="preserve">3H0765
91476C</t>
  </si>
  <si>
    <t xml:space="preserve">TruRating Inc
Poynt Corp</t>
  </si>
  <si>
    <t xml:space="preserve">Marketing Research and Public Opinion Polling
Dvlp mobile search software</t>
  </si>
  <si>
    <t xml:space="preserve">TruRating Inc is a provider of
marketing research and opinion
polling services. The company
is located in the United
Kingdom.
Poynt Corp, located in
Calgary, Alberta, develops
mobile search software. It
mainly deals with Blackberry
smart phones, iPhone and iPod
Touch, Android devices and
Windows Phone 7. It is a
global positioning system
(GPS)-enabled mobile
application that connects
consumers to local businesses,
events, restaurants, movie
theatres, gas prices and
weather information. The
company was founded on
December 8, 2006.</t>
  </si>
  <si>
    <t xml:space="preserve">TRURATING INC/POYNT CORP-STRATEGIC ALLIANCE</t>
  </si>
  <si>
    <t xml:space="preserve">TruRating Inc and Poynt Corp formed a strategic alliance around the globe
to provide innovative solutions that enhance business operations where
merchants can gain access to representative feedback from all their
customers simply by activating on the terminal.</t>
  </si>
  <si>
    <t xml:space="preserve">Communications Services
Research &amp; Development Services</t>
  </si>
  <si>
    <t xml:space="preserve">0F3453
73942D</t>
  </si>
  <si>
    <t xml:space="preserve">First Eagle Invest Mgmt LLC
Boston College</t>
  </si>
  <si>
    <t xml:space="preserve">Investment Advice
Own,op college,university</t>
  </si>
  <si>
    <t xml:space="preserve">First Eagle Investment
Management LLC, located in
New York, New York, provides
investment management
services serving
corporations, foundations,
endowments, major retirement
programs and high net worth
individuals. It also
provides asset management
advisory services. The
Company was founded in 1803.
Own and operate college and
university</t>
  </si>
  <si>
    <t xml:space="preserve">FIRST EAGLE INVESTMENT MANAGEMENT LLC/BOSTON COLLEGE-STRATEGIC ALLIANCE</t>
  </si>
  <si>
    <t xml:space="preserve">First Eagle Investment Management (First Eagle) is pleased to announce a
multi-year partnership with Boston Colleges Center for Retirement Research
(CRR). Their objective is to work together to develop actionable insights
and tools for plan sponsors and financial advisors to use when helping
retirement savers reach their goal of living a dignified life throughout
retirement.</t>
  </si>
  <si>
    <t xml:space="preserve">04258P
10058N</t>
  </si>
  <si>
    <t xml:space="preserve">iHear Medical Inc
Atlazo Inc</t>
  </si>
  <si>
    <t xml:space="preserve">Mnfr,whl medical devices
Software Publishers</t>
  </si>
  <si>
    <t xml:space="preserve">iHear Medical Inc, located in
San Leandro, California,
manufactures and wholesales
medical devices.
Atlazo Inc, located in San
Diego, California, develops
software used for health
tracking and medical
devices.</t>
  </si>
  <si>
    <t xml:space="preserve">3841
7372</t>
  </si>
  <si>
    <t xml:space="preserve">IHEAR MEDICAL INC/ATLAZO INC-STRATEGIC ALLIANCE</t>
  </si>
  <si>
    <t xml:space="preserve">iHear Medical Inc and Atlazo Inc formed a strategic alliance to develop
digital hardware platform to power iHEAR's hearing aids and hearables that
will enable smart hearing solutions with connectivity for health tracking
and IoT applications.</t>
  </si>
  <si>
    <t xml:space="preserve">47961N
3H1512</t>
  </si>
  <si>
    <t xml:space="preserve">Monsanto Co
Agrimetis LLC</t>
  </si>
  <si>
    <t xml:space="preserve">Monsanto Co, located in St
Louis, Missouri,
manufactures and wholesales
agricultural products
including herbicides, seeds
and animal pharmaceuticals
to improve dairy cow
productivity, and swine
genetics and lawn-and-garden
herbicides for the
residential market in Latin
America, Europe, Africa,
Asia-Pacific and Canada. It
also owns and operates corn,
cotton, and oilseed farms.
It assists farmers to grow
crops by applying
biotechnology and genomics
to seeds and herbicides. Its
brands include Asgrow,
Channel, DEKALB, Deltapine,
Fielders Choice, Gold
Country Seed, Hubner Seed,
and Jung Seed Genetics. The
Company was founded in 1901.
AgriMetis LLC is a United
States-based company, which
offers AgriMetis platform.
The Company focuses on
sustainable crop protection
products through discovery,
development and delivery
methods. The Company uses
biology, biochemistry and
chemistry to harness the
potential in bioactive
molecules. The Company's
scientific approach is
multidisciplinary and
integrated, which allows its
platform to exploit areas of
chemical space and
production routes that are
inaccessible to others. The
AgriMetis platform delivers
solutions to challenges in
crop protection by bringing
products and their
production processes to the
market. The Company is also
engaged in developing
fungicides, herbicides,
insecticides and nematicides
derived from, or inspired by
natural products. The
Company's programs focuses
on managing methods for
active ingredient
manufacturing. The
Company's programs focuses
on creating chemical active
ingredients.</t>
  </si>
  <si>
    <t xml:space="preserve">MO
MD</t>
  </si>
  <si>
    <t xml:space="preserve">MONSANTO CO/AGRIMETIS LLC-STRATEGIC ALLIANCE</t>
  </si>
  <si>
    <t xml:space="preserve">Monsanto Co and Agrimetis LLC formed a strategic alliance.</t>
  </si>
  <si>
    <t xml:space="preserve">61166W
8H7354</t>
  </si>
  <si>
    <t xml:space="preserve">Qa Graphics
Solvent Web Llc</t>
  </si>
  <si>
    <t xml:space="preserve">Graphic Design Services
Software Reproducing</t>
  </si>
  <si>
    <t xml:space="preserve">Qa Graphics is a provider of
graphic design services. The
Company was founded in 2006
and is located in Ankeny,
Iowa.
Solvent Web LLC is a
software. The Company is
located in Iowa.</t>
  </si>
  <si>
    <t xml:space="preserve">7336
7372</t>
  </si>
  <si>
    <t xml:space="preserve">IA
IA</t>
  </si>
  <si>
    <t xml:space="preserve">QA GRAPHICS/SOLVENT WEB LLC-JOINT VENTURE</t>
  </si>
  <si>
    <t xml:space="preserve">QA Graphics and Solvent Web LLC planned to form a joint venture named QA
Web in United States of America to provide unique web development and
design services.</t>
  </si>
  <si>
    <t xml:space="preserve">8H8737
8H8742</t>
  </si>
  <si>
    <t xml:space="preserve">Borealis AG
United Chemical Co LLP</t>
  </si>
  <si>
    <t xml:space="preserve">Manufacture plastics products
All Other Miscellaneous Chemical Product and Preparation Manufacturing</t>
  </si>
  <si>
    <t xml:space="preserve">Borealis AG, located in
Vienna, Austria,
manufactures plastics
products. It provides
chemical and plastics
solutions for the
infrastructure, automotive,
and advanced packaging
markets primarily in Europe,
the Middle East, and Asia.
The Company offers
polyolefin plastic solutions
for various applications,
including water and gas
distribution, waste and
sewage disposal, chemical
and industrial projects, and
in-house plumbing and
heating, as well as oil and
gas exploration and
transport. It also provides
polyolefin compounds for the
wire and cable industry for
applications in low, medium,
and high-voltage energy
transmission and
distribution cables; data
and communication cables;
and building and automotive
wires. It offers basic
chemicals, which include
ethylene and propylene, as
well as pygas and butadiene;
phenol for use in adhesives,
construction materials,
carpets, CDs and DVDs,
mobile phones, and household
appliances; benzene and
cumene, which are used as
feed stocks for other
chemical processes; acetone
for use in solvents for
paints, acrylics, fibers,
and pharmaceuticals; and
melamine and plant
nutrients. The Company was
founded in 1993.
United Chemical Co LLP is a
manufacturer of chemical
products. The Company was
founded in 2009 and is
located in Astana,
Kazakhstan.</t>
  </si>
  <si>
    <t xml:space="preserve">Austria
Kazakhstan</t>
  </si>
  <si>
    <t xml:space="preserve">Mubadala Invest Co PJSC
United Chemical Co LLP</t>
  </si>
  <si>
    <t xml:space="preserve">Utd Arab Em
Kazakhstan</t>
  </si>
  <si>
    <t xml:space="preserve">6799
2899</t>
  </si>
  <si>
    <t xml:space="preserve">BOREALIS AG/UNITED CHEMICAL CO LLP-STRATEGIC ALLIANCE</t>
  </si>
  <si>
    <t xml:space="preserve">Borealis AG and United Chemical Co LLP formed a strategic alliance.The
purpose of the strategic alliance is to develop a world-scale polyethylene
project, integrated with an ethane cracker, in the Republic of Kazakhstan.</t>
  </si>
  <si>
    <t xml:space="preserve">09981C
3H6020</t>
  </si>
  <si>
    <t xml:space="preserve">Knipbio Inc
ICM Inc</t>
  </si>
  <si>
    <t xml:space="preserve">Research and Development in Biotechnology
Ethanol plant construction co</t>
  </si>
  <si>
    <t xml:space="preserve">Knipbio Inc is a provider of
biotechnology research and
development services for the
aquaculture industry. The
Company was founded in May
2013 and is located in
Lowell, Massachusetts.
ICM, Inc is an ethanol plant
construction company,
headquartered in Colwich,
Kansas. It designs, builds,
and installs
Bio-Methanators, ethanol
plant from the ground up,
expanding an existing
facility, improving plant
efficiencies, or supporting
everyday operations. It was
f founded in 1995.</t>
  </si>
  <si>
    <t xml:space="preserve">8731
1541</t>
  </si>
  <si>
    <t xml:space="preserve">MA
KS</t>
  </si>
  <si>
    <t xml:space="preserve">KNIPBIO INC/ICM INC-STRATEGIC ALLIANCE</t>
  </si>
  <si>
    <t xml:space="preserve">Knipbio Inc and ICM Inc formed a strategic alliance.</t>
  </si>
  <si>
    <t xml:space="preserve">8H0922
44721L</t>
  </si>
  <si>
    <t xml:space="preserve">BP PLC
Petroleo Brasileiro SA</t>
  </si>
  <si>
    <t xml:space="preserve">Oil and gas company
Crude Petroleum and Natural Gas Extraction</t>
  </si>
  <si>
    <t xml:space="preserve">BP PLC, located in London,
the United Kingdom, is an
oil and gas company. Its
segments include Upstream,
Downstream, Rosneft, and
Other businesses and
corporate. The Upstream
segment is engaged in oil
and natural gas exploration,
field development and
production, as well as
midstream transportation,
storage and processing. The
Downstream segment has
global manufacturing and
marketing operations. The
Rosneft segment has a
resource base of
hydrocarbons onshore and
offshore. The Other
businesses and corporate
segment comprises the
biofuels and wind
businesses, shipping and
treasury functions, and
corporate activities around
the world. It provides its
customers with fuel for
transportation, energy for
heat and light, lubricants
to keep engines moving and
the petrochemicals products
used to make everyday items
as diverse as paints,
clothes and packaging. The
Company was founded on April
14, 1909.
Petroleo Brasileiro SA
Petrobras, headquartered in
Rio de Janeiro, Brazil, is
an oil and gas exploration
and production company that
is also engaged in the
distribution, import and
export of oil, gas, energy
and its by-products. It
deals with oil refineries,
production of crude oil, and
natural gas and generation
of energy. Its products
include gasoline, diesel,
base oil, LPG, natural gas,
kerosene, solvents,
paraffin, fertilizers,
sulfur and aviation fuels.
It operates in 27 countries
with 4 continents. The
Company was founded in 1953.</t>
  </si>
  <si>
    <t xml:space="preserve">United Kingdom
Brazil</t>
  </si>
  <si>
    <t xml:space="preserve">BP PLC/PETROLEO BRASILEIRO SA PETROBRAS-STRATEGIC ALLIANCE</t>
  </si>
  <si>
    <t xml:space="preserve">BP PLC and Petroleo Brasileiro SA Petrobras formed a strategic alliance to
explore potential joint commercial agreements in areas of mutual interest
in upstream, downstream, trading and across low carbon initiatives, inside
and outside Brazil.</t>
  </si>
  <si>
    <t xml:space="preserve">Exploration Services
Oil and Gas; Petroleum Services
Research &amp; Development Services</t>
  </si>
  <si>
    <t xml:space="preserve">055622
71654V</t>
  </si>
  <si>
    <t xml:space="preserve">Bristol-Myers Squibb Co
Illumina Inc</t>
  </si>
  <si>
    <t xml:space="preserve">Manufactures pharmaceuticals and medical products
Manufacture,wholesale science tools,systems</t>
  </si>
  <si>
    <t xml:space="preserve">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</si>
  <si>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BRISTOL-MYERS SQUIBB CO/ILLUMINA INC-STRATEGIC ALLIANCE</t>
  </si>
  <si>
    <t xml:space="preserve">Bristol-Myers Squibb Co and Illumina Inc formed a strategic alliance to
develop and globally commercialize in-vitro diagnostic assays in support of
Bristol-Myers Squibb's oncology portfolio.</t>
  </si>
  <si>
    <t xml:space="preserve">110122
452327</t>
  </si>
  <si>
    <t xml:space="preserve">Ares Management Corp
ARM Energy Management LLC</t>
  </si>
  <si>
    <t xml:space="preserve">Investment Advice
Support Activities For Oil and Gas Operations</t>
  </si>
  <si>
    <t xml:space="preserve">Ares Management Corp,
located in Los Angeles,
California, provides
alternative asset management
services. It operates
through three segments:
Credit Group, Private Equity
Group and Real Estate Group.
The Credit Group segment
manages credit strategies
across the non-investment
grade credit universe in the
United States and Europe. It
offers a range of credit
strategies across the liquid
and illiquid spectrum,
including syndicated loans,
high yield bonds, credit
opportunities, structured
credit investments and the
United States and European
direct lending. The Credit
Group provides solutions for
traditional fixed income
investors. The Private
Equity Group segment
categorizes its investment
strategies as corporate
private equity, the United
States power and energy
infrastructure and special
situations. The Real Estate
Group segment manages public
and private equity and debt
strategies. The Company was
founded in 1997.
ARM Energy Management LLC,
located in Houston, Texas,
is a provider of support
services for oil and gas
operations. It is a natural
gas marketing company that
services commercial and
industrial customers in
Western Pennsylvania. The
Company was founded in 2004.</t>
  </si>
  <si>
    <t xml:space="preserve">6282
1382</t>
  </si>
  <si>
    <t xml:space="preserve">Ares Management Corp
Chesapeake Utilities Corp</t>
  </si>
  <si>
    <t xml:space="preserve">6282
4923</t>
  </si>
  <si>
    <t xml:space="preserve">ARES MANAGEMENT LP/ARM ENERGY MANAGEMENT LLC-JOINT VENTURE</t>
  </si>
  <si>
    <t xml:space="preserve">Salt Creek Midstream LLC,
located in Houston, Texas,
is engaged in the crude
petroleum and natural gas
services business. The
Company was founded in 2017.</t>
  </si>
  <si>
    <t xml:space="preserve">ARM Energy Management LLC and Ares Management LP planned to form joint
venture named Salt Creek Midstream LLC, located in Houston, Texas, is
engaged in the crude petroleum and natural gas services business. The
Company was founded in 2017.</t>
  </si>
  <si>
    <t xml:space="preserve">8H3987</t>
  </si>
  <si>
    <t xml:space="preserve">03990B
7F2593</t>
  </si>
  <si>
    <t xml:space="preserve">Flipkart Internet Pvt Ltd
Asustek Computer Inc</t>
  </si>
  <si>
    <t xml:space="preserve">Provide online ecommerce retail services
Mnfr,whl computer motherboards</t>
  </si>
  <si>
    <t xml:space="preserve">Flipkart Internet Pvt Ltd
owns and operates an online
shopping portal in India.
The Company retails products
in various categories, such
as electronics, footwear,
clothing, watches,
accessories, bags, belts and
wallets, fragrances and
perfumes, grooming and
wellness products, beauty
and personal care products,
jewelry, spectacle frames
and contact lenses,
sunglasses, toys, baby care
products, home products and
furniture, books and media
products, and auto and
sports products online. It
serves women, men, babies,
and kids. The Company was
founded on 01 October, 2007
and is located in Bangalore,
India.
ASUSTeK Computer Inc,
located in Taipei City,
Taiwan, manufactures and
wholesales computer
peripherals and motherboards
and develops desktop and
computer software. The
Company's products include
desktop barebone systems,
servers, notebooks,
handhelds, network devices,
broadband communications,
LCD monitors, TVs, wireless
applications, and CPT
(chassis, power supply and
thermal) products. The
Company was founded on 2
April 1990.</t>
  </si>
  <si>
    <t xml:space="preserve">5961
3577</t>
  </si>
  <si>
    <t xml:space="preserve">India
Taiwan</t>
  </si>
  <si>
    <t xml:space="preserve">Flipkart Pvt Ltd
Asustek Computer Inc</t>
  </si>
  <si>
    <t xml:space="preserve">FLIPKART INTERNET PVT LTD/ASUSTEK COMPUTER INC-STRATEGIC ALLIANCE</t>
  </si>
  <si>
    <t xml:space="preserve">Flipkart Internet Pvt Ltd and Asustek Computer Inc formed a strategic
alliance to develop new products for the Indian market, and to sell and
market the products of Flipkart.</t>
  </si>
  <si>
    <t xml:space="preserve">33924N
04658T</t>
  </si>
  <si>
    <t xml:space="preserve">Fusion Pharmaceuticals Inc
Isogenica Ltd</t>
  </si>
  <si>
    <t xml:space="preserve">Fusion Pharmaceuticals Inc,
located in Hamilton, Ontario,
is a provider of biotechnology
research and development
services focused in developing
radiopharmaceuticals as
precision medicines. The
Company was founded on
December 22, 2014.
Isogenica Ltd, located in
Essex, United Kingdom, is a
biotechnology company that
develops and commercializes
innovative in vitro
molecular evolution
technologies. The Company
was founded in December
2000.</t>
  </si>
  <si>
    <t xml:space="preserve">FUSION PHARMACEUTICALS INC/ISOGENICA LTD-STRATEGIC ALLIANCE</t>
  </si>
  <si>
    <t xml:space="preserve">Fusion Pharmaceuticals Inc and Isogenica Ltd formed a strategic alliance to
grant Fusion Isogenica's proprietary in vitro CIS Display technology, for
the discovery, development and commercialisation of therapeutic products..</t>
  </si>
  <si>
    <t xml:space="preserve">36118A
45441W</t>
  </si>
  <si>
    <t xml:space="preserve">Research Foundation for the
Artelo Biosciences Inc</t>
  </si>
  <si>
    <t xml:space="preserve">Research Foundation for the
State University of New York
is a provider of research and
development services. The
Company is located in Albany,
New York.
Artelo Biosciences Inc,
located in La Jolla,
California, develops and
produces therapeutic
treatments used to modulate
the endocannabinoid system.
It develops its own drugs
and delivery methods by
conducting clinical efforts
through existing and new
contracted research
collaborations. It has an
office in Dublin, Ireland.
The Company was founded in
May 2011.</t>
  </si>
  <si>
    <t xml:space="preserve">United States of America
Artelo Biosciences Inc</t>
  </si>
  <si>
    <t xml:space="preserve">RESEARCH FOUNDATION FOR THE STATE UNIVERSITY OF NEW YORK/ARTELO BIOSCIENCES
INC-STRATEGIC ALLIANCE</t>
  </si>
  <si>
    <t xml:space="preserve">Research Foundation for the State University of New York and Artelo
Biosciences Inc extended their strategic alliance to obtain an exclusive
worldwide license to an intellectual property portfolio of Fatty Acid
Binding Protein (FABP) inhibitor drug candidates, which have multiple
potential indications, including cancer, inflammation and pain.</t>
  </si>
  <si>
    <t xml:space="preserve">3F8416
04301G</t>
  </si>
  <si>
    <t xml:space="preserve">ATL Technology LLC
Biomerics LLC</t>
  </si>
  <si>
    <t xml:space="preserve">Other Electronic Component Manufacturing
Other Electronic Component Manufacturing</t>
  </si>
  <si>
    <t xml:space="preserve">ATL Technology LLC, located
in Springville, Utah, is a
manufacturer of electronic
components. The Company was
founded in September 2000.
Biomerics LLC, located in
Salt Lake City, Utah,
provider of solutions for
medical device manufacturing
process. It specializes in
the design, development, and
production of medical
devices for diagnostic and
interventional procedures.
The Company was founded in
1994.</t>
  </si>
  <si>
    <t xml:space="preserve">3679
3679</t>
  </si>
  <si>
    <t xml:space="preserve">UT
UT</t>
  </si>
  <si>
    <t xml:space="preserve">ATL TECHNOLOGY LLC/BIOMERICS LLC-STRATEGIC ALLIANCE</t>
  </si>
  <si>
    <t xml:space="preserve">ATL Technology LLC and Biomerics LLC extended their strategic alliance. The
purpose of extending the partnership to dissolve their joint venture,
Biomerics ATL LLC. Biomerics has purchased ATL Technology's interests in
the joint venture and will rename the business unit Biomerics CRI (BCRI)
and invest in expanding its footprint and capabilities. With the addition
of Biomerics CRI, Biomerics will now operate seven business units with over
1300 employees.</t>
  </si>
  <si>
    <t xml:space="preserve">8C8134
3H9571</t>
  </si>
  <si>
    <t xml:space="preserve">Guangzhou Auto Grp Co Ltd
Didi Chuxing Tech Co Ltd</t>
  </si>
  <si>
    <t xml:space="preserve">Automobile Manufacturing
Software Publishers</t>
  </si>
  <si>
    <t xml:space="preserve">Guangzhou Automobile Group
Co Ltd located in Guangzhou,
China is a manufacturer of
automobiles. The Company was
founded in June 1997.
Didi Chuxing Technology Co
Ltd is a software publisher.
The Company was founded in
June 2012 and is located in
Beijing, China.</t>
  </si>
  <si>
    <t xml:space="preserve">Guangzhou Auto Ind Grp Co Ltd
Didi Chuxing Tech Co Ltd</t>
  </si>
  <si>
    <t xml:space="preserve">GUANGZHOU AUTOMOBILE GROUP CO LTD/DIDI CHUXING TECHNOLOGY CO LTD-STRATEGIC
ALLIANCE</t>
  </si>
  <si>
    <t xml:space="preserve">Guangzhou Automobile Group Co Ltd and Didi Chuxing Technology Co Ltd
extended their strategic alliance in China to develop in areas such as
ride-hailing operations and autonomous driving. Both the companies will
work on fleet expansion and management, development of new mobility
products, and collaboration on smart driving, including autonomous driving
technology.</t>
  </si>
  <si>
    <t xml:space="preserve">Y2931M
8C0339</t>
  </si>
  <si>
    <t xml:space="preserve">Triumvira Immunologics Inc
Centre For Comlization Of</t>
  </si>
  <si>
    <t xml:space="preserve">Triumvira Immunologics Inc
is a manufacturer of
biological products. The
Company is located in
Austin, Texas.
Centre For Commercialization
Of Cancer Immunotherapy is a
manufacturer of biological
products. The Company is
located in Canada.</t>
  </si>
  <si>
    <t xml:space="preserve">TRIUMVIRA IMMUNOLOGICS INC/CENTRE FOR COMMERCIALIZATION OF CANCER
IMMUNOTHERAPY-STRATEGIC ALLIANCE</t>
  </si>
  <si>
    <t xml:space="preserve">Triumvira Immunologics Inc and Centre For Commercialization Of Cancer
Immunotherapy planned to form a strategic alliance in United States &amp;
Canada to deliver cell therapy products for Triumviras global Phase 1 and 2
clinical trials and has committed to underwrite an investment in the
company.</t>
  </si>
  <si>
    <t xml:space="preserve">1J5905
1J6510</t>
  </si>
  <si>
    <t xml:space="preserve">Animoca Brands Corp Ltd
Red Robot Kk</t>
  </si>
  <si>
    <t xml:space="preserve">Develops mobile games and applications
Software Publishers</t>
  </si>
  <si>
    <t xml:space="preserve">Animoca Brands Corp Ltd,
located in Hong Kong,
develops mobile games and
applications for smartphones
and tablets. It also
provides additional products
orientated to educational
learning, including e-books
and a book application. Its
brands include Garfield,
Ben10, Doraemon, Astro Boy,
Norm of the North and
Chocolate Rain. Its products
include Garfield Games,
Astro Boy Games, Doraemon
Games, Ben 10 Games, Norm of
the North's, Simulation
Games, Robot Academy and
Action Games. The Company
was founded on November 30,
2006.
Red Robot KK is a software
publisher. The Company is
located in Minato, Japan.</t>
  </si>
  <si>
    <t xml:space="preserve">ANIMOCA BRANDS CORP LTD/RED ROBOT KK-JOINT VENTURE</t>
  </si>
  <si>
    <t xml:space="preserve">Animoca Brands Corp Ltd and Red Robot KK formed joint venture in Hong Kong
to develop, market and operate a gamified multiple cryptocurrency
(ERC-20/ERC-721) wallet mobile app (the App) for audiences with little
knowledge of cryptocurrency.</t>
  </si>
  <si>
    <t xml:space="preserve">Research &amp; Development Services
Software Development Services
Marketing Services</t>
  </si>
  <si>
    <t xml:space="preserve">8C7818
1J5321</t>
  </si>
  <si>
    <t xml:space="preserve">Williams Grand Prix
Omnitude Ltd</t>
  </si>
  <si>
    <t xml:space="preserve">Own,op Formula 1 racing team
Software Reproducing</t>
  </si>
  <si>
    <t xml:space="preserve">Williams Grand Prix
Engineering Ltd, located in
Wantage, UK, owns and operates
a Formula 1 racing team. The
company was founded in 1977.
Omnitude Ltd is a software.
The Company was founded in
1970 and is located in the
United Kingdom.</t>
  </si>
  <si>
    <t xml:space="preserve">Williams Grand Prix Holdings
Omnitude Ltd</t>
  </si>
  <si>
    <t xml:space="preserve">WILLIAMS GRAND PRIX/OMNITUDE LTD-STRATEGIC ALLIANCE</t>
  </si>
  <si>
    <t xml:space="preserve">Williams Grand Prix Engineering Ltd and Omnitude Ltd formed a strategic
alliance. to look at how blockchain technology can become a crucial tool
within a Formula One team.</t>
  </si>
  <si>
    <t xml:space="preserve">96992Z
9H9188</t>
  </si>
  <si>
    <t xml:space="preserve">Olympus Scientific Solutions
Ai4gi Solutions Inc</t>
  </si>
  <si>
    <t xml:space="preserve">Mnfr,whl imaging equipment
All Other Miscellaneous Ambulatory Health Care Services</t>
  </si>
  <si>
    <t xml:space="preserve">Olympus Scientific Solutions
America Corp is a
manufacturer of analytical
laboratory instruments. The
Company is located in Center
Valley, Pennsylvania.
Ai4gi Solutions Inc is a
provider of ambulatory
health care services. The
Company is located in
Vancouver, Canada.</t>
  </si>
  <si>
    <t xml:space="preserve">Olympus Corp
Ai4gi Solutions Inc</t>
  </si>
  <si>
    <t xml:space="preserve">OLYMPUS AMERICA INC/AI4GI SOLUTIONS INC-STRATEGIC ALLIANCE</t>
  </si>
  <si>
    <t xml:space="preserve">Foreign
Pennsylvania</t>
  </si>
  <si>
    <t xml:space="preserve">Olympus America Inc and Ai4gi Solutions Inc formed a strategic alliance in
Canada &amp; United States for investing in technology that will elevate all
clinicians while unlocking new ways to treat disease for patients. This
agreement is intended to raise the bar for all physicians to ultimately
improve clinical outcomes, reduce overall costs and enhance quality of life
for patients.</t>
  </si>
  <si>
    <t xml:space="preserve">Investment Services
Research &amp; Development Services
Health &amp; Medical Services</t>
  </si>
  <si>
    <t xml:space="preserve">68164E
1J6503</t>
  </si>
  <si>
    <t xml:space="preserve">Toyota Industries Corp
FINsix Corp</t>
  </si>
  <si>
    <t xml:space="preserve">Mnfr,whl textile machinery,automobiles
Power, Distribution, and Specialty Transformer Manufacturing</t>
  </si>
  <si>
    <t xml:space="preserve">Toyota Industries Corp,
located in Aichi, Japan,
manufactures and wholesales
textile machinery,
automobiles. The operations
are carried out through the
following divisions:
Automobile; Industrial
vehicles; Logistics; Textile
machinery and others. The
Automobile division oversees
the development and
manufacturing of vehicles
and automotive products,
including automobile
assembly, engines, and car
air-conditioning
compressors. Industrial
vehicle division provides
system development and
manufacturing not only of
industrial vehicles such as
forklift trucks, but also of
materials handling systems
covering transport, storage,
and sorting. Logistics
division provides land
transportation and
distribution plan. Textile
machinery includes looming
machines. Other includes
electronic components used
in automobiles, LCD display
devices, and plastic package
substrates for IC chip sets.
The Company was founded in
1926.
FINsix Corp is a
manufacturer of power,
distribution, and specialty
transformers. The company is
located in California.</t>
  </si>
  <si>
    <t xml:space="preserve">3552
3629</t>
  </si>
  <si>
    <t xml:space="preserve">TOYOTA INDUSTRIES CORP/FINSIX CORP-STRATEGIC ALLIANCE</t>
  </si>
  <si>
    <t xml:space="preserve">Toyota Industries Corp and FINsix Corp planned to form a strategic alliance
around the world to develop a new generation of highly miniaturized power
electronics modules for hybrid vehicles. The two companies are
collaborating under a recently signed research and development agreement.
TICO intends to offer this new class of small, lightweight and high
efficiency power electronics modules based on FINsixs technology.</t>
  </si>
  <si>
    <t xml:space="preserve">Research &amp; Development Services
Electrical &amp; Electronic Services
Automotive Services</t>
  </si>
  <si>
    <t xml:space="preserve">89259V
6E6079</t>
  </si>
  <si>
    <t xml:space="preserve">Cevec Pharmaceuticals Gmbh
CSL Ltd</t>
  </si>
  <si>
    <t xml:space="preserve">Research and Development in Biotechnology
Mnfr,whl pharm,diagnostic prod</t>
  </si>
  <si>
    <t xml:space="preserve">Cevec Pharmaceuticals Gmbh
is a Germany-based company
that develops a human cell
lines technology and
selected biopharmaceuticals.
The Company's technology
uses human amniocytes to
establish permanent cell
lines (CAP cell lines) for
production of
biopharmaceuticals. The
Company was founded in 2001
and is located in Cologne,
Germany.
CSL Ltd, located in
Victoria, Australia,
manufactures and wholesales
pharmaceutical and
diagnostic products, cell
culture media and human
plasma fractions. It has
operations in Australia, New
Zealand and Asia, North and
South America, Europe, the
Middle East and Africa. It
is also a holding company.
The company was founded in
April 1991.</t>
  </si>
  <si>
    <t xml:space="preserve">CEVEC PHARMACEUTICALS GMBH/CSL LTD-STRATEGIC ALLIANCE</t>
  </si>
  <si>
    <t xml:space="preserve">Cevec Pharmaceuticals Gmbh and CSL Ltd formed a strategic alliance in
Germany &amp; Australia for the development, manufacture and commercialization
of recombinant C1 Esterase Inhibitor (C1-INH) proteins for Hereditary
Angioedema (HAE) and other potential indications using CEVECs proprietary
CAPGo technology.</t>
  </si>
  <si>
    <t xml:space="preserve">1J4933
12637R</t>
  </si>
  <si>
    <t xml:space="preserve">VSP Global Inc
PokitDok Inc</t>
  </si>
  <si>
    <t xml:space="preserve">Pvd eyecare services
Software Publishers</t>
  </si>
  <si>
    <t xml:space="preserve">VSP Global Inc, located in
Rancho Cordova, California,
provides eye care services.
The Company was founded in
1995.
PokitDok Inc, located in San
Mateo, California, is a
software publisher for
healthcare services. It
allows its customers to have
an easier access to their
healthcare transactions. The
Company was founded in 2011.</t>
  </si>
  <si>
    <t xml:space="preserve">8099
7372</t>
  </si>
  <si>
    <t xml:space="preserve">VSP GLOBAL INC/POKITDOK INC-STRATEGIC ALLIANCE</t>
  </si>
  <si>
    <t xml:space="preserve">VSP Global Inc and PokitDok Inc formed a strategic alliance in United
States to invest in the platform to explore and test solutions using
PokitDoks HIPAA-compliant blockchain solution, DokChain.</t>
  </si>
  <si>
    <t xml:space="preserve">93699P
8E2132</t>
  </si>
  <si>
    <t xml:space="preserve">VolitionRX Ltd
Active Motif Inc</t>
  </si>
  <si>
    <t xml:space="preserve">In-Vitro Diagnostic Substance Manufacturing
Mnfr,whl research tools</t>
  </si>
  <si>
    <t xml:space="preserve">VolitionRX Limited, based in
Singapore and formerly
Standard Capital
Corporation, through its
wholly owned subsidiary
Singapore Volition Pte
Limited (Volition), is a
life sciences company
focused on developing
blood-based diagnostic
tests. As of October 12,
2011, Volition was
developing a range of
blood-based epigenetic
cancer screening tests,
which will be released for
research then clinical use
in Europe, North America and
globally. The tests will
enable doctors to screen for
the general presence of
cancer in the body with a
single blood test, and
investigate, which cancer is
present in many of those
cancer positive patients
using a panel of tests. On
October 6, 2011, the Company
announced the closure of the
share exchange agreement
with the Company. On October
6, 2011, Volition became a
wholly owned subsidiary of
the Company. It was founded
in 1998.
Active Motif Inc, located in
Carlsbad, California,
manufactures and wholesales
research tools and
bio-computing resources. The
company was founded in 1999.</t>
  </si>
  <si>
    <t xml:space="preserve">2835
3821</t>
  </si>
  <si>
    <t xml:space="preserve">VOLITIONRX LTD/ACTIVE MOTIF INC-STRATEGIC ALLIANCE</t>
  </si>
  <si>
    <t xml:space="preserve">VolitionRX Ltd and Active Motif Inc planned to form a strategic alliance.
The purpose of strategic alliance is to distribute range of Research Use
Only ("RUO") kits globally.</t>
  </si>
  <si>
    <t xml:space="preserve">928661
3A0911</t>
  </si>
  <si>
    <t xml:space="preserve">NeuroVive Pharmaceutical AB
Track-Tbi</t>
  </si>
  <si>
    <t xml:space="preserve">NeuroVive Pharmaceutical AB
is a biotechnology company
engaged in mitochondrial
medicine. The Company was
founded in 2000 and is
located in Lund, Sweden. Its
primary projects are
NeuroSTAT and KL1333.
NeuroSTAT aims to prevent
moderate to severe traumatic
brain injury, while KL1333
aims to treat genetic
mitochondrial disease.
NeuroSTAT is in clinical
phase II and KL1333 is in
clinical phase I. The
Company possesses the
research and development
(R&amp;D) portfolio, which
consists of several late
stage research programs in
such areas as genetic
mitochondrial disorders,
cancer and metabolic
diseases, among others. In
R&amp;D work the Company
partners with Skane
University Hospital in
Sweden, Copenhagen
University Hospital in
Denmark, University of
Pennsylvania in the United
States, as well as with a
range of contract research
organizations.
Track-Tbi is a provider of
biotechnology research and
development services. The
Company is located in
California.</t>
  </si>
  <si>
    <t xml:space="preserve">NeuroVive Pharmaceutical AB
UCSF</t>
  </si>
  <si>
    <t xml:space="preserve">NEUROVIVE PHARMACEUTICAL AB/TRACK-TBI-STRATEGIC ALLIANCE</t>
  </si>
  <si>
    <t xml:space="preserve">NeuroVive Pharmaceutical AB and Track-Tbi planned to form a strategic
alliance. The purpose of strategic alliance was to get access to the
world's top TBI clinicians and researchers and to deliver a medicine that
protects the brain of TBI patients in the acute stage.</t>
  </si>
  <si>
    <t xml:space="preserve">W5943E
1J6470</t>
  </si>
  <si>
    <t xml:space="preserve">Hong Kong Univ of Science
Chiaphua Industries Ltd</t>
  </si>
  <si>
    <t xml:space="preserve">Own,op college,university
Jewelry, Watch, Precious Stone, and Precious Metal Merchant Wholesalers</t>
  </si>
  <si>
    <t xml:space="preserve">Own and operate college and
university
Chiaphua Industries Ltd is a
jewelry wholesaler. The
company was founded in
February 1959 and is located
in Hong Kong.</t>
  </si>
  <si>
    <t xml:space="preserve">8221
5094</t>
  </si>
  <si>
    <t xml:space="preserve">HONG KONG UNIVERSITY OF/CHIAPHUA INDUSTRIES LTD-STRATEGIC ALLIANCE</t>
  </si>
  <si>
    <t xml:space="preserve">Hong Kong University of Science Technology and Chiaphua Industries Ltd
planned to form a strategic alliance. The purpose of startegic alliance is
to nurture cutting-edge research in environmental health technologies to
enhance the quality of the environment as well as health and well-being of
individuals and communities.</t>
  </si>
  <si>
    <t xml:space="preserve">43861P
8C7653</t>
  </si>
  <si>
    <t xml:space="preserve">FORMA Therapeutics Inc
Oxford University</t>
  </si>
  <si>
    <t xml:space="preserve">FORMA Therapeutics Inc,
located in Cambridge,
Massachusetts, is a
biotechnology company that
aims at integrating
transformative chemistry and
biology to unlock the best
targets and pathways that
genomics medicine has
revealed. It has additional
research operations in
Connecticut, Singapore and
Beijing. The Company was
founded in 2007.
Oxford University, owns and
operates a
college/university. The
college/university is
headquartered in Oxford,
United Kingdom.</t>
  </si>
  <si>
    <t xml:space="preserve">FORMA THERAPEUTICS INC/OXFORD UNIVERSITY-STRATEGIC ALLIANCE</t>
  </si>
  <si>
    <t xml:space="preserve">FORMA Therapeutics Inc and Oxford University formed a strategic alliance
around the world to advance the development of deubiquitinating enzyme
(DUB) inhibitors for the treatment of neurodegenerative diseases. The
FORMA/Oxford collaboration brings together world class expertise in disease
molecular pathology and DUB biology from University teams, including the
Alzheimers Research UK Oxford Drug Discovery Institute (ODDI) and the
Oxford Parkinsons Disease Centre (OPDC), and FORMAs deep expertise in small
molecule drug design and development.</t>
  </si>
  <si>
    <t xml:space="preserve">34652L
69182Y</t>
  </si>
  <si>
    <t xml:space="preserve">Illumina Inc
CareDx Inc</t>
  </si>
  <si>
    <t xml:space="preserve">Manufacture,wholesale science tools,systems
Pharmaceutical Preparation Manufacturing</t>
  </si>
  <si>
    <t xml:space="preserve">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
CareDx Inc, located in
Brisbane, California is a
molecular diagnostics company
focused on the discovery,
development and
commercialization of
noninvasive gene
expression-based tests for the
monitoring of transplant
rejection and autoimmune
diseases. The Company focuses
on immune-mediated conditions
that require life-long
monitoring and testing to
avoid, or to quickly respond
to, serious complications. The
Company launched its first
commercial test, the AlloMap
HTx molecular expression test,
in January 2005. The Company
is also engaged in designing a
clinical study to create a
gene expression test to
monitor for disease flares in
patients affected by systemic
lupus erythematosus, or lupus.
It was founded in 1998.</t>
  </si>
  <si>
    <t xml:space="preserve">ILLUMINA INC/CAREDX INC-STRATEGIC ALLIANCE</t>
  </si>
  <si>
    <t xml:space="preserve">Illumina Inc and CareDx Inc formed a strategic alliance to provide CareDx
with worldwide distribution, development and commercialization rights to
Illuminas next generation sequencing (NGS) product line for use in
transplantation diagnostic testing.</t>
  </si>
  <si>
    <t xml:space="preserve">Licensing Services
Research &amp; Development Services
Marketing Services
Retail &amp; Wholesale Services
Health &amp; Medical Services</t>
  </si>
  <si>
    <t xml:space="preserve">452327
1C0268</t>
  </si>
  <si>
    <t xml:space="preserve">Ather Energy Pvt Ltd
Sanmina Corp</t>
  </si>
  <si>
    <t xml:space="preserve">Motorcycle, Bicycle, and Parts Manufacturing
Manufacture electric equipment</t>
  </si>
  <si>
    <t xml:space="preserve">Ather Energy Pvt Ltd is a
manufacturer of motorcycles.
The Company manufactures
electric bikes. The Company
was founded in 2013 and is
located in Bangalore, India.
Sanmina-SCI Corp,
headquartered in San Jose,
California, US, manufactures
customized and integrated
electronics for original
equipment manufacturers in
the computing, multimedia,
industrial, defense and
aerospace, medical and
automotive industries, and
provides integrated
manufacturing services.
Products include printed
circuit boards, printed
circuit board assemblies,
backplanes and backplane
assemblies, enclosures,
cable assemblies, precision
machine components, optical
modules, and memory modules.
Its services consist of
product design and
engineering, including
initial development,
detailed design,
preproduction services, and
manufacturing design; volume
manufacturing of complete
systems, components, and
subassemblies; final system
assembly and test; direct
order fulfillment and
logistic services; and
after-market product service
and support. The company was
founded in 1980.</t>
  </si>
  <si>
    <t xml:space="preserve">3751
3672</t>
  </si>
  <si>
    <t xml:space="preserve">ATHER ENERGY PVT LTD/SANMINA CORP-STRATEGIC ALLIANCE</t>
  </si>
  <si>
    <t xml:space="preserve">Ather Energy Pvt Ltd and Sanmina Corp formed a strategic alliance.The
purpose of the strategic alliance is to develop and manufacture key
components designed by Ather for its maiden scooter the Ather S340.</t>
  </si>
  <si>
    <t xml:space="preserve">9E8669
800907</t>
  </si>
  <si>
    <t xml:space="preserve">Konfoong Materials Intl Co
Undisclosed JV Partner</t>
  </si>
  <si>
    <t xml:space="preserve">Manufacture semiconductors
Investment company</t>
  </si>
  <si>
    <t xml:space="preserve">Konfoong Materials
International Co Ltd is a
manufacturer of
semiconductors and related
device. The Company was
founded in April 2005 and is
located in Yuyao, China.
Investment company</t>
  </si>
  <si>
    <t xml:space="preserve">KONFOONG MATERIALS INTERNATIONAL CO LTD/UNDISCLOSED PARTNER-JOINT VENTURE</t>
  </si>
  <si>
    <t xml:space="preserve">In January 1, Konfoong Materials International Co Ltd and Undisclosed Joint
Venture Partner were seeking partners to form a 60:40 joint venture to
develop chemical mechanical polishing (CMP) business. The Joint Venture was
to have a capitalization of 1.5763 million USD(10 million Chinese Yuan).</t>
  </si>
  <si>
    <t xml:space="preserve">The Joint Venture was to have a capitalization of 1.5763 million USD(10
million Chinese Yuan).</t>
  </si>
  <si>
    <t xml:space="preserve">2E9768
904JVP</t>
  </si>
  <si>
    <t xml:space="preserve">Catalent Pharma Solutions Inc
Valerius Biopharma AG</t>
  </si>
  <si>
    <t xml:space="preserve">Mnfr pharm prod
Research and Development in Biotechnology</t>
  </si>
  <si>
    <t xml:space="preserve">Catalent Pharma Solutions
Inc is a manufacturer of
pharmaceutical preparation.
The Company was founded in
April 2007 and is located in
Somerset, New Jersey.
Valerius Biopharma AG is a
biopharmaceutical company
that has been founded to
provide interchangeable
treatment options for
high-priced biologics, by
developing specialty
biosimilars including but
not limited to orphan drug
biosimilars.</t>
  </si>
  <si>
    <t xml:space="preserve">Catalent Inc
Valerius Biopharma AG</t>
  </si>
  <si>
    <t xml:space="preserve">CATALENT PHARMA SOLUTIONS INC/VALERIUS BIOPHARMA LTD-STRATEGIC ALLIANCE</t>
  </si>
  <si>
    <t xml:space="preserve">Catalent Pharma Solutions Inc and Valerius Biopharma Ltd formed a strategic
alliance.The purpose of strategic alliance was to Catalent will provide
cell line development and support cGMP manufacturing activities from Phase
I through to commercial stages at its state-of-the-art biologics
manufacturing facility in Madison, Wisconsin</t>
  </si>
  <si>
    <t xml:space="preserve">14883F
1J6508</t>
  </si>
  <si>
    <t xml:space="preserve">Icon PLC
DuPage Medical Group</t>
  </si>
  <si>
    <t xml:space="preserve">ICON PLC, located in Dublin,
the Ireland-Rep, is a
provider of drug development
solutions and services to
the pharmaceutical,
biotechnology and medical
device industries. The
Company was founded in 1990.
DuPage Medical Group Ltd,
located in Downers Grove,
Illinois, provides medical and
health services. The Company
has 490 multi-specialty
physicians in more than 60
locations providing quality,
efficient, and accessible
health care.</t>
  </si>
  <si>
    <t xml:space="preserve">ICON PLC/DUPAGE MEDICAL GROUP LTD-STRATEGIC ALLIANCE</t>
  </si>
  <si>
    <t xml:space="preserve">ICON PLC and DuPage Medical Group Ltd planned to form a strategic
alliance.The purpose of the strategic alliance is to enhances ICON's
ability to increase access and engagement with investigator sites and
patients, helping customers to reduce the overall time and cost associated
with drug development.</t>
  </si>
  <si>
    <t xml:space="preserve">45103T
26370Y</t>
  </si>
  <si>
    <t xml:space="preserve">NanoCarrier Co Ltd
Orient Europharma Co Ltd</t>
  </si>
  <si>
    <t xml:space="preserve">Pvd drug research svcs
Biotech co</t>
  </si>
  <si>
    <t xml:space="preserve">NanoCarrier Co Ltd is a
provider of research and
development services. The
Company was founded in June
1996 and is located in
Kashiwa-Shi Chiba, Japan.
Orient Europharma Co Ltd is
a manufacturer of biological
products. The company was
founded in 1982 and is
located in Tapei, Taiwan.</t>
  </si>
  <si>
    <t xml:space="preserve">NANOCARRIER CO LTD/ORIENT EUROPHARMA CO LTD-STRATEGIC ALLIANCE</t>
  </si>
  <si>
    <t xml:space="preserve">NanoCarrier Co Ltd and Orient Europharma Co Ltd formed a strategic
alliance.The purpose of the strategic alliance is to integrate clinical
development of NC-6004 for the treatment of head and neck cancer.</t>
  </si>
  <si>
    <t xml:space="preserve">62790L
68650J</t>
  </si>
  <si>
    <t xml:space="preserve">Novo Nordisk A/S
Lund University</t>
  </si>
  <si>
    <t xml:space="preserve">Healthcare company
University</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</si>
  <si>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Lund University, located in
Lund, Sweden, is an
university. It also provides
venture capital activities.</t>
  </si>
  <si>
    <t xml:space="preserve">Denmark
Sweden</t>
  </si>
  <si>
    <t xml:space="preserve">Novo Nordisk Foundation
Lund University</t>
  </si>
  <si>
    <t xml:space="preserve">NOVO NORDISK A/S/LUND UNIVERSITY-STRATEGIC ALLIANCE</t>
  </si>
  <si>
    <t xml:space="preserve">Novo Nordisk A/S and Lund University formed a strategic alliance.The
purpose of the strategic alliance was to develop stem cell-based treatments
for Parkinson's disease.</t>
  </si>
  <si>
    <t xml:space="preserve">670100
55038X</t>
  </si>
  <si>
    <t xml:space="preserve">Abu Dhabi Natl Oil Co
Ravago SA</t>
  </si>
  <si>
    <t xml:space="preserve">Crude Petroleum and Natural Gas Extraction
Wholesale plastic materials</t>
  </si>
  <si>
    <t xml:space="preserve">Abu Dhabi National Oil Co is
engaged in the crude
petroleum and natural gas
services business. The
Company was founded in
November 1971 and is located
in Abu Dhabi, the United
Arab Emirates.
Ravago SA, located in
Luxembourg, Luxembourg,
wholesales plastic
materials. It also offers
electrometric raw materials.
The Company distributes,
resales and provides a
recycling service for
plastic and electrometric
raw materials to the
petrochemical industry. It
was founded in 1961.</t>
  </si>
  <si>
    <t xml:space="preserve">1311
5162</t>
  </si>
  <si>
    <t xml:space="preserve">Utd Arab Em
Luxembourg</t>
  </si>
  <si>
    <t xml:space="preserve">ABU DHABI NATIONAL OIL CO/RAVAGO SA-STRATEGIC ALLIANCE</t>
  </si>
  <si>
    <t xml:space="preserve">Abu Dhabi National Oil Co and Ravago SA formed a strategic alliance.The
purpose of the strategic alliance was to explore opportunities for
cooperation at the Ruwais Industrial Complex in the UAE.</t>
  </si>
  <si>
    <t xml:space="preserve">Exploration Services
Research &amp; Development Services</t>
  </si>
  <si>
    <t xml:space="preserve">00386A
75427C</t>
  </si>
  <si>
    <t xml:space="preserve">Indian Institute of Technology
Excelra Knowledge Solutions</t>
  </si>
  <si>
    <t xml:space="preserve">Own,op college,university
Research and Development in Biotechnology</t>
  </si>
  <si>
    <t xml:space="preserve">Own and operate college and
university
Excelra Knowledge Solutions,
Pvt Ltd is a Biotechnology
company located in india</t>
  </si>
  <si>
    <t xml:space="preserve">INDIAN INSTITUTE OF TECHNOLOGY/EXCELRA KNOWLEDGE SOLUTIONS PVT
LTD-STRATEGIC ALLIANCE</t>
  </si>
  <si>
    <t xml:space="preserve">Indian Institute of Technology Kanpur and Excelra Knowledge Solutions Pvt
Ltd planned to form a strategic alliance.The purpose of strategic alliance
was to Advance Drug Repurposing Using NLP and Machine Learning Approaches
and The alliance will leverage diverse skill-sets and domain expertise of
the two partners and integrate Natural Language Processing (NLP) and
Machine Learning (ML) technology in Excelra's Drug Repurposing engine.</t>
  </si>
  <si>
    <t xml:space="preserve">45429C
1J6742</t>
  </si>
  <si>
    <t xml:space="preserve">Biolamina AB
Novo Nordisk A/S</t>
  </si>
  <si>
    <t xml:space="preserve">Biolamina AB is a manufacturer
of biological products. The
company was founded in 2009
and is located in Sweden.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</si>
  <si>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Biolamina AB
Novo Nordisk Foundation</t>
  </si>
  <si>
    <t xml:space="preserve">BIOLAMINA AB/NOVO NORDISK A/S-STRATEGIC ALLIANCE</t>
  </si>
  <si>
    <t xml:space="preserve">Biolamina AB and Novo Nordisk A/S planned to form a strategic alliance.The
purpose of strategic alliance was to develop novel stem cell based
therapies based on Biolaminins, human recombinant laminin cell culture
matrices, developed and produced by BioLamina.</t>
  </si>
  <si>
    <t xml:space="preserve">4E3509
670100</t>
  </si>
  <si>
    <t xml:space="preserve">xG Health Solutions Inc
Healthwise Inc</t>
  </si>
  <si>
    <t xml:space="preserve">Administrative Management and General Management Consulting Services
All Other Miscellaneous Ambulatory Health Care Services</t>
  </si>
  <si>
    <t xml:space="preserve">xG Health Solutions Inc is a
provider of administrative
management and general
management consulting
services. The Company is
located in Maryland.
Healthwise Inc, headquartered
in Boise, Idaho, is a provider
of health information,
decision support tools,
behavior change assistance,
and personal care planning for
the top health plans, care
management companies,
hospitals, and consumer health
portals. It was founded in
1975.</t>
  </si>
  <si>
    <t xml:space="preserve">8742
8099</t>
  </si>
  <si>
    <t xml:space="preserve">MD
ID</t>
  </si>
  <si>
    <t xml:space="preserve">XG HEALTH SOLUTIONS INC/HEALTHWISE INC-STRATEGIC ALLIANCE</t>
  </si>
  <si>
    <t xml:space="preserve">xG Health Solutions Inc and Healthwise Inc formed a strategic alliance in
United States for Fully Integrated Evidence-Based Assessments, Care Plans
and Patient Education in Epic's Healthy Planet which will enable Epic
Healthy Planet users to leverage their evidence-based clinical protocols
and personalized plans of care in conjunction with Healthwise's industry
leading patient education, thereby improving care manager-patient
interactions.</t>
  </si>
  <si>
    <t xml:space="preserve">Health &amp; Medical Services
Research &amp; Development Services
Consulting Services</t>
  </si>
  <si>
    <t xml:space="preserve">5F7732
9A0354</t>
  </si>
  <si>
    <t xml:space="preserve">Weichai Power Co Ltd
Ceres Power Holdings PLC</t>
  </si>
  <si>
    <t xml:space="preserve">Manufacture,wholesale engines
Support Activities For Oil and Gas Operations</t>
  </si>
  <si>
    <t xml:space="preserve">Weichai Power Co Ltd is a
manufacturer and wholesaler
of engine equipment. The
Company was founded in
December 2002 and is located
in Weifang, China.
Ceres Power Holdings PLC is
a provider of support
services for oil and gas
operations. It provides
development and
commercialization services
of a core fuel cell product
to bring cleaner and cheaper
energy to businesses, homes
and vehicles. The Company
was founded in May 2001 and
is located in Horsham, the
United Kingdom with offices
in Japan and South Korea.</t>
  </si>
  <si>
    <t xml:space="preserve">3519
1382</t>
  </si>
  <si>
    <t xml:space="preserve">WEICHAI POWER CO LTD/CERES POWER HOLDINGS PLC-STRATEGIC ALLIANCE</t>
  </si>
  <si>
    <t xml:space="preserve">Weichai Power Co Ltd and Ceres Power Holdings PLC planned to form joint
venture.The purpose of joint venture was to provides access to the Chinese
market for our SteelCell technology and also scale-up capital for our
growth in the UK</t>
  </si>
  <si>
    <t xml:space="preserve">94853X
15699V</t>
  </si>
  <si>
    <t xml:space="preserve">Zapata Computing Inc
Harvard Office Of Tech Dvlp</t>
  </si>
  <si>
    <t xml:space="preserve">Develops quantum computing platform
Colleges, Universities, and Professional Schools</t>
  </si>
  <si>
    <t xml:space="preserve">Zapata Computing Inc,
located in Boston,
Massachusetts, develops
quantum computing software
and algorithms to create
algorithms for chemistry,
encryption, decryption,
machine learning, security
and error. The Company was
founded in 2017.
Harvards research enterprise
is a wellspring of
innovation with the
potential to improve lives,
transform industries, and
create tremendous social and
economic value. We make that
a reality.</t>
  </si>
  <si>
    <t xml:space="preserve">ZAPATA COMPUTING INC/HARVARD OFFICE OF TECHNOLOGY DEVELOPMENT
(OTD)-STRATEGIC ALLIANCE</t>
  </si>
  <si>
    <t xml:space="preserve">Zapata Computing Inc and Harvard Office Of Technology Development (Otd)
planned to form a strategic alliance.The purpose of the strategic alliance
was to to commercialize the quantum algorithms research conducted in the
lab of Aln Aspuru-Guzik, Professor of Chemistry and Chemical Biology at
Harvard University.</t>
  </si>
  <si>
    <t xml:space="preserve">1J6084
1J6094</t>
  </si>
  <si>
    <t xml:space="preserve">EABR
TTK AO</t>
  </si>
  <si>
    <t xml:space="preserve">Bank
Provide telecommunications services</t>
  </si>
  <si>
    <t xml:space="preserve">Eurasian Development Bank is
a commercial bank. The
Company was founded in 2006
and is located in Almaty,
Kazakhstan.
Kompaniia TransTeleKom AO is
a telecommunications
reseller. The Company was
founded in 1997 and is
located in Moscow, the
Russian Federation.</t>
  </si>
  <si>
    <t xml:space="preserve">6000
4813</t>
  </si>
  <si>
    <t xml:space="preserve">Kazakhstan
Russian Fed</t>
  </si>
  <si>
    <t xml:space="preserve">EABR
RZD</t>
  </si>
  <si>
    <t xml:space="preserve">6000
4011</t>
  </si>
  <si>
    <t xml:space="preserve">EURASIAN DEVELOPMENT BANK/KOMPANIIA TRANSTELEKOM ZAO-STRATEGIC ALLIANCE</t>
  </si>
  <si>
    <t xml:space="preserve">Eurasian Development Bank and Kompaniia TransTeleKom ZAO formed a strategic
alliance.The purpose of strategic alliance was to project finance and the
exchange of experience and knowledge by participation in workshops,
conferences, and business forums.</t>
  </si>
  <si>
    <t xml:space="preserve">29985A
89405T</t>
  </si>
  <si>
    <t xml:space="preserve">Hydro-Quebec
Nouveau Monde Graphite Inc</t>
  </si>
  <si>
    <t xml:space="preserve">Electric utility company
Manufacture chemicals</t>
  </si>
  <si>
    <t xml:space="preserve">Hydro-Quebec, located in
Montreal, Quebec, is an
electric utility company
that generates, transmits
and distributes electricity,
mainly using renewable
energy sources, in
particular hydroelectricity.
It also conducts research in
energy-related fields and
takes an active interest in
energy efficiency. It is
also a holding company that
is comprised of four
divisions: Hydro-Quebec
Production, Hydro-Quebec
TransEnergie, Hydro-Quebec
Distribution and
Hydro-Quebec Equipment. The
Company was founded in 1944.
Nouveau Monde Graphite Inc is
a manufacturer of chemical
products. The Company is
located in Canada.</t>
  </si>
  <si>
    <t xml:space="preserve">4911
2899</t>
  </si>
  <si>
    <t xml:space="preserve">Canada
Nouveau Monde Graphite Inc</t>
  </si>
  <si>
    <t xml:space="preserve">999A
2899</t>
  </si>
  <si>
    <t xml:space="preserve">HYDRO-QUEBEC/NOUVEAU MONDE GRAPHITE INC-STRATEGIC ALLIANCE</t>
  </si>
  <si>
    <t xml:space="preserve">Hydro-Quebec and Nouveau Monde Graphite Inc formed a strategic alliance.The
purpose of the strategic alliance was to commercialize battery material
technologies developed by HQ over the past 30 years, helping to position
Quebec strategically in the lithium-ion battery market.</t>
  </si>
  <si>
    <t xml:space="preserve">Mining Services
Research &amp; Development Services
Licensing Services</t>
  </si>
  <si>
    <t xml:space="preserve">448814
7F2758</t>
  </si>
  <si>
    <t xml:space="preserve">Agri-Food &amp; Biosciences
Queen's University Belfast</t>
  </si>
  <si>
    <t xml:space="preserve">All Other Miscellaneous Food Manufacturing
Own,op college,university</t>
  </si>
  <si>
    <t xml:space="preserve">Agri-Food &amp; Biosciences
Institute is a manufacturer
of foods. The Company was
founded in 1970 and is
located in Belfast, the
United Kingdom.
Queens University, located in
Northern Ireland, UK, owns and
operates a college and
university. The University
combines the best of tradition
with a progressive outlook.
The University offers academic
developments range from a
substantial expansion in
Medicine to new postgraduate
courses in Governance and
Sustainable Development, from
the Centre for Cancer Research
and Cell Biology to the Sonic
Arts Research Centre, and from
the Seamus Heaney Centre for
Poetry to novel approaches to
"green technology". The
university was founded in
1845.</t>
  </si>
  <si>
    <t xml:space="preserve">2015
8221</t>
  </si>
  <si>
    <t xml:space="preserve">AGRI-FOOD AND BIOSCIENCES INSTITUTE/QUEEN'S UNIVERSITY BELFAST-STRATEGIC
ALLIANCE</t>
  </si>
  <si>
    <t xml:space="preserve">Agri-Food and Biosciences Institute and Queen's University Belfast formed a
strategic alliance. The purpose of strategic alliance was to create a
globally competitive research and education partnership, developing the
next generation of leaders and experts in agri-food and bioscience.</t>
  </si>
  <si>
    <t xml:space="preserve">Construction Services
Educational Services
Research &amp; Development Services</t>
  </si>
  <si>
    <t xml:space="preserve">1J6698
76532W</t>
  </si>
  <si>
    <t xml:space="preserve">SpeakEasy Cannabis Club Ltd
Valens GroWorks Corp</t>
  </si>
  <si>
    <t xml:space="preserve">Medicinal and Botanical Manufacturing
Biological Product (Except Diagnostic) Manufacturing</t>
  </si>
  <si>
    <t xml:space="preserve">SpeakEasy Cannabis Club Ltd,
located in Rock Creek,
British Columbia, is a
manufacturer of medicinals
and botanicals. The Company
was founded on March 26,
2010.
Valens GroWorks Corp is a
manufacturer of biological
products. The Company was
founded in January 1981 and
is located in Kelowna,
Canada.</t>
  </si>
  <si>
    <t xml:space="preserve">Winston Resources Inc
Valens GroWorks Corp</t>
  </si>
  <si>
    <t xml:space="preserve">1041
2836</t>
  </si>
  <si>
    <t xml:space="preserve">SPEAKEASY CANNABIS CLUB LTD/VALENS GROWORKS CORP-STRATEGIC ALLIANCE</t>
  </si>
  <si>
    <t xml:space="preserve">Speakeasy Cannabis Club Ltd and Valens GroWorks Corp formed a strategic
alliance.The purpose of strategic alliance was to helping us secure a
consistent quality product for our extraction process, we jointly benefit
to increase our distribution platform internationally.</t>
  </si>
  <si>
    <t xml:space="preserve">4H4137
91913D</t>
  </si>
  <si>
    <t xml:space="preserve">Xinhua News Media Holdings Ltd
Undisclosed JV Partner</t>
  </si>
  <si>
    <t xml:space="preserve">All Other Miscellaneous Waste Management Services
Investment company</t>
  </si>
  <si>
    <t xml:space="preserve">Xinhua News Media Holdings
Ltd is a provider of waste
management, cleaning and
advertising services. The
Company was founded in 1975
and is located in Hong Kong.
Investment company</t>
  </si>
  <si>
    <t xml:space="preserve">4959
6799</t>
  </si>
  <si>
    <t xml:space="preserve">XINHUA NEWS MEDIA HOLDINGS LTD/UNDISCLOSED PARTNER-STRATEGIC ALLIANCE</t>
  </si>
  <si>
    <t xml:space="preserve">Xinhua News Media Holdings Ltd and Undisclosed Joint Venture Partner formed
a strategic alliance.</t>
  </si>
  <si>
    <t xml:space="preserve">Real Estate Investment Services
Marketing Services
Supply Services
Research &amp; Development Services</t>
  </si>
  <si>
    <t xml:space="preserve">99416K
904JVP</t>
  </si>
  <si>
    <t xml:space="preserve">Sadara Chemical Co
Harcros Chemicals(HCI)</t>
  </si>
  <si>
    <t xml:space="preserve">Mnfr petrochemicals
Whl chemicals</t>
  </si>
  <si>
    <t xml:space="preserve">Sadara Chemical Co, located
in Jubail, Saudi Arabia, is
an manufacturer of
petrochemicals. Its products
include Amines, Glycol
Ethers, Lsocyanates,
Polyethylene, Polyolefin
Elastomers and Propylene
Glycol. The Company was
founded in 2011.
Wholesale chemicals</t>
  </si>
  <si>
    <t xml:space="preserve">2869
5169</t>
  </si>
  <si>
    <t xml:space="preserve">Saudi Arabia
United States</t>
  </si>
  <si>
    <t xml:space="preserve">Saudi Arabian Oil Co
HCI Acquisitions Inc</t>
  </si>
  <si>
    <t xml:space="preserve">SADARA CHEMICAL CO/HARCROS CHEMICALS INC(HCI-STRATEGIC ALLIANCE</t>
  </si>
  <si>
    <t xml:space="preserve">Sadara Chemical Co and Harcros Chemicals Inc(HCI Acquisitions Inc) formed a
strategic alliance. The purpose of strategic alliance was to establish a
chemical facility in PlasChem Park, a collaborative industrial park between
Sadara and the Royal Commission for Jubail and Yanbu (RCJY) in Jubail
Industrial City II, and will offtake Ethylene Oxide (EO) and Propylene
Oxide (PO) from Sadara to fuel the p</t>
  </si>
  <si>
    <t xml:space="preserve">74103Q
41162H</t>
  </si>
  <si>
    <t xml:space="preserve">Evotec AG
Celgene Corp</t>
  </si>
  <si>
    <t xml:space="preserve">Mnfr small molecule drugs
Manufacture,wholesale biopharmaceutical products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</si>
  <si>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</si>
  <si>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EVOTEC AG/CELGENE CORP-STRATEGIC ALLIANCE</t>
  </si>
  <si>
    <t xml:space="preserve">Evotec AG and Celgene Corp extended their strategic alliance in United
States to extent their long-term strategic drug discovery and development
partnership to identify new therapeutics in oncology.</t>
  </si>
  <si>
    <t xml:space="preserve">D1646D
151020</t>
  </si>
  <si>
    <t xml:space="preserve">POLITICO
SCMP</t>
  </si>
  <si>
    <t xml:space="preserve">Political journalism org
Mnfr plastic products</t>
  </si>
  <si>
    <t xml:space="preserve">POLITICO, headquartered in
Arlington, Virginia, is a
political journalism
organization serving as
one-stop shop for the coverage
of the White House, Congress,
politics and policy. It
delivers its services through
its website, newspaper and
apps, events and POLITICO Pro.
The company was founded in
2007.
Manufacture plastic products</t>
  </si>
  <si>
    <t xml:space="preserve">2711
3089</t>
  </si>
  <si>
    <t xml:space="preserve">POLITICO/SCMP-STRATEGIC ALLIANCE</t>
  </si>
  <si>
    <t xml:space="preserve">POLITICO and SCMP planned to form a strategic alliance. The purpose of
strategic alliance was to content sharing and reporting opportunities,
expert contributed content and event partnerships in the U.S. andAsia.</t>
  </si>
  <si>
    <t xml:space="preserve">5A9925
78402K</t>
  </si>
  <si>
    <t xml:space="preserve">TP Group PLC
Micropore Inc</t>
  </si>
  <si>
    <t xml:space="preserve">Research and Development in The Physical, Engineering and Lifesciences (Except Biotechnology)
All Other Plastics Product Manufacturing</t>
  </si>
  <si>
    <t xml:space="preserve">TP Group PLC, located in
Farnborough, the United
Kingdom, is engaged in the
innovation, research,
development and
commercialization of
oil-free industrial air
compressors, dynamic gas
seals and downhole gas
compressors. The Company
specializes in technologies,
including gas bearings and
rotor dynamics, direct high
speed permanent magnet motor
drives, power electronic
motor drives, compressor
aerodynamics and dynamic gas
seals.
Micropore Inc, located in
Elkton, Maryland, is a
manufacturer of plastics
products. The Company was
founded in March 1997.</t>
  </si>
  <si>
    <t xml:space="preserve">8731
3089</t>
  </si>
  <si>
    <t xml:space="preserve">TP GROUP PLC/MICROPORE INC(BERWIND CAPITAL-STRATEGIC ALLIANCE</t>
  </si>
  <si>
    <t xml:space="preserve">TP Group PLC and Micropore Inc(Berwind Capital Partners) formed a strategic
alliance. The purpos of the strategic alliance is to develop and market new
submarine re-breathing equipment.</t>
  </si>
  <si>
    <t xml:space="preserve">2F6961
59494Z</t>
  </si>
  <si>
    <t xml:space="preserve">Wolters Kluwer Legal &amp;
Dispute Resolution Data Llc</t>
  </si>
  <si>
    <t xml:space="preserve">Software Publishers
Data Processing, Hosting, and Related Services</t>
  </si>
  <si>
    <t xml:space="preserve">Wolters Kluwer Legal &amp;
Regulatory US is a software
publisher. The Company is
located in New York.
Dispute Resolution Data LLC
is a provider of data
processing and hosting
services. The Company is
located in Washington.</t>
  </si>
  <si>
    <t xml:space="preserve">7376
7374</t>
  </si>
  <si>
    <t xml:space="preserve">Wolters Kluwer NV
Dispute Resolution Data Llc</t>
  </si>
  <si>
    <t xml:space="preserve">2731
7374</t>
  </si>
  <si>
    <t xml:space="preserve">WOLTERS KLUWER LEGAL &amp; REGULATORY US/DISPUTE RESOLUTION DATA LLC-STRATEGIC
ALLIANCE</t>
  </si>
  <si>
    <t xml:space="preserve">Wolters Kluwer Legal Regulatory Us and Dispute Resolution Data LLC planned
to form a strategic alliance to provide our customers with expert tools to
support research and case strategies, and to contribute to greater
transparency in commercial arbitration</t>
  </si>
  <si>
    <t xml:space="preserve">0J6951
0J6958</t>
  </si>
  <si>
    <t xml:space="preserve">Rostelekom
Nokia Oyj</t>
  </si>
  <si>
    <t xml:space="preserve">Provide telecommunications services
Mnfr network infrastructure products</t>
  </si>
  <si>
    <t xml:space="preserve">Rostelekom PAO is a wired
telecommunications carrier.
The Company was founded in
November 1993 and is located
in Moscow, the Russian
Federation.
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t>
  </si>
  <si>
    <t xml:space="preserve">4822
3663</t>
  </si>
  <si>
    <t xml:space="preserve">Russian Fed
Finland</t>
  </si>
  <si>
    <t xml:space="preserve">MEZHDUGORODNOI I MEZHDUNARODNOI ELEKTRICHESKOI/NOKIA OYJ-JOINT VENTURE</t>
  </si>
  <si>
    <t xml:space="preserve">Mezhdugorodnoi i mezhdunarodnoi elektricheskoi sviazi Rostelekom PAO and
Nokia Oyj formed joint venture. The purpose of joint venture is to create a
portfolio of Russian technology solutions combining the developments of
domestic technological start-ups and Nokia solutions.</t>
  </si>
  <si>
    <t xml:space="preserve">778529
654902</t>
  </si>
  <si>
    <t xml:space="preserve">Prismhealthdx Inc
Proteomics Intl Labs Ltd</t>
  </si>
  <si>
    <t xml:space="preserve">All Other Miscellaneous Ambulatory Health Care Services
Medical Laboratories</t>
  </si>
  <si>
    <t xml:space="preserve">Prismhealthdx Inc is a
provider of ambulatory
health care services. The
Company was founded in
September 2015 and is
located in Austin, Texas.
Proteomics International
Laboratories Ltd, located in
West Perth, Western
Australia, is a biological
research and drug discovery
company to treat patients
for common diseases and
discovering new therapeutic
drugs. The Company aims to
treat patients with
Alzheimer diseases. The
Company was founded in 2001.</t>
  </si>
  <si>
    <t xml:space="preserve">8099
8071</t>
  </si>
  <si>
    <t xml:space="preserve">PRISMHEALTHDX INC/PROTEOMICS INTERNATIONAL LABORATORIES LTD-STRATEGIC
ALLIANCE</t>
  </si>
  <si>
    <t xml:space="preserve">Prismhealthdx Inc and Proteomics International Laboratories Ltd formed a
strategic alliance to launch PromarkerD predictive test for diabetic kidney
disease in USA.</t>
  </si>
  <si>
    <t xml:space="preserve">1J3900
4C1308</t>
  </si>
  <si>
    <t xml:space="preserve">University of Texas MD
Ipsen SA</t>
  </si>
  <si>
    <t xml:space="preserve">University of Texas MD
Anderson Cancer Center,
located in Houston, Texas, is
a biotechnology company. It
provides programs that
integrate patient care,
research and prevention and
through education for
undergraduate and graduate
students, trainees,
professionals, employees and
the public.
Ipsen SA, located in Paris,
France, is a manufacturer of
pharmaceutical preparation.
It manufactures prescription
pharmaceuticals used in
therapeutic areas in
Oncology, endocrinology and
neuromuscular disorders. Its
products include Decapeptyl,
Somatuline, NutropinAq,
Testim and Dysport. It also
offers products on primary
care which includes the
areas of gastroenterology,
cardiovascular and cognitive
disorders. The Company was
founded in 1929.</t>
  </si>
  <si>
    <t xml:space="preserve">University of Texas MD
Mayroy SA</t>
  </si>
  <si>
    <t xml:space="preserve">UNIVERSITY OF TEXAS MD/IPSEN SA-STRATEGIC ALLIANCE</t>
  </si>
  <si>
    <t xml:space="preserve">University of Texas MD Anderson Cancer Center and Ipsen SA formed a
strategic alliance.The purpose of startegic alliance was to progress the
drug candidate through Phase I clinical development with Ipsen being
responsible for further global development and commercialization and
pre-clinical oncology drug candidate discovered by researchers in the
latter's Institute for Applied Cancer Science.</t>
  </si>
  <si>
    <t xml:space="preserve">91511P
44837P</t>
  </si>
  <si>
    <t xml:space="preserve">Urbanimmersive Inc
Xmn Blockchain Svcs Ltd</t>
  </si>
  <si>
    <t xml:space="preserve">Develops business management solutions
Custom Computer Programming Services</t>
  </si>
  <si>
    <t xml:space="preserve">Urbanimmersive Inc, located
in Laval, Quebec, develops
business management
solutions for visual content
providers. The company is
engaged in the development
and commercialization of a
virtual tour gamification
platform for serious game
and online gaming markets.
It offers services such as
creation of rendered images,
3-D animations and
interactive designer tools
to photo shooting of
immersive AVU3DA
environments. The Company
was founded in 2007
Xmn Blockchain Services Ltd
The Company is located in
the United Kingdom.</t>
  </si>
  <si>
    <t xml:space="preserve">Urbanimmersive Techno Inc
Xmn Blockchain Svcs Ltd</t>
  </si>
  <si>
    <t xml:space="preserve">6799
7371</t>
  </si>
  <si>
    <t xml:space="preserve">URBANIMMERSIVE INC/XMN BLOCKCHAIN SERVICES LTD-STRATEGIC ALLIANCE</t>
  </si>
  <si>
    <t xml:space="preserve">Urbanimmersive Inc and Xmn Blockchain Services Ltd formed a strategic
alliance. The purpose of strategic alliance is to develop, integrate and
implement XMN blockchain technology within Urbanimmersive line of credit at
no charge in order to create a first real life showcase financial
application using OpenXMN blockchain technology and tokens.</t>
  </si>
  <si>
    <t xml:space="preserve">91996H
1J5679</t>
  </si>
  <si>
    <t xml:space="preserve">Arix Bioscience PLC
Evotec AG
Fred Hutchinson Cancer Rsch</t>
  </si>
  <si>
    <t xml:space="preserve">Research and Development in Biotechnology
Mnfr small molecule drugs
Own,op cancer research center</t>
  </si>
  <si>
    <t xml:space="preserve">The Company focuses on
Arix Bioscience PLC, located
technologies and discoveries.
commercialization of
Its principal activity is to
provide operational oversight
businesses across the world.
from the development and
to, healthcare and life
focused on generating value
and life science sector.
is a holding company that is
science company. The Company
it partners in the healthcare
acquiring interests in, and
based healthcare and life
science businesses with which
in London, the United Kingdom,
healthcare and life science
source, finance and develop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Own and operate cancer
research center</t>
  </si>
  <si>
    <t xml:space="preserve">8731
2834
8731</t>
  </si>
  <si>
    <t xml:space="preserve">United Kingdom
Germany
United States</t>
  </si>
  <si>
    <t xml:space="preserve">ARIX BIOSCIENCE PLC/EVOTEC AG/FRED HUTCHINSON CANCER-STRATEGIC ALLIANCE</t>
  </si>
  <si>
    <t xml:space="preserve">Foreign
Foreign
California</t>
  </si>
  <si>
    <t xml:space="preserve">Arix Bioscience PLC, Evotec AG and Fred Hutchinson Cancer Research Center
planned to form a strategic alliance. The purpose for forming a strategic
alliance was to accelerate research discoveries at Fred Hutch and leverage
these discoveries to form new companies focused on cancer and infectious
disease drug development.</t>
  </si>
  <si>
    <t xml:space="preserve">2F7330
D1646D
35560F</t>
  </si>
  <si>
    <t xml:space="preserve">The Griffin 105 Grp Llc
Kemper House</t>
  </si>
  <si>
    <t xml:space="preserve">Commercial Banking
General Medical and Surgical Hospitals</t>
  </si>
  <si>
    <t xml:space="preserve">The Griffin 105 Group LLC
The Company is located in
California.
Kemper House The Company is
located in Strongsville,
Ohio.</t>
  </si>
  <si>
    <t xml:space="preserve">6021
8062</t>
  </si>
  <si>
    <t xml:space="preserve">THE GRIFFIN 105 GROUP LLC/KEMPER HOUSE-STRATEGIC ALLIANCE</t>
  </si>
  <si>
    <t xml:space="preserve">The Griffin 105 Group LLC and Kemper House planned to form a strategic
alliance. The purpose of strategic alliance is for the development plan for
Kemper House Worthington, a Specialized Alzheimers/Dementia Care &amp; Well
Living Community in Central Ohio.</t>
  </si>
  <si>
    <t xml:space="preserve">1J6165
1J6183</t>
  </si>
  <si>
    <t xml:space="preserve">FORMA Therapeutics Inc
HitGen Inc</t>
  </si>
  <si>
    <t xml:space="preserve">FORMA Therapeutics Inc,
located in Cambridge,
Massachusetts, is a
biotechnology company that
aims at integrating
transformative chemistry and
biology to unlock the best
targets and pathways that
genomics medicine has
revealed. It has additional
research operations in
Connecticut, Singapore and
Beijing. The Company was
founded in 2007.
HitGen Inc is a manufacturer
of biological products. The
Company was founded in
February 2012 and is located
in Chengdu, China.</t>
  </si>
  <si>
    <t xml:space="preserve">FORMA THERAPEUTICS INC/HITGEN LTD-STRATEGIC ALLIANCE</t>
  </si>
  <si>
    <t xml:space="preserve">FORMA Therapeutics Inc and Hitgen Ltd planned to form a strategic alliance.
The purpose of strategic alliance were to build and screen proprietary
DNA-encoded libraries an d both organizations will contribute innovative
library design and screening approaches to identify novel leads against a
selected number of FORMAs therapeutic targets.</t>
  </si>
  <si>
    <t xml:space="preserve">34652L
4F5139</t>
  </si>
  <si>
    <t xml:space="preserve">Nerviano Medical Sciences Srl
Merck KGaA</t>
  </si>
  <si>
    <t xml:space="preserve">Biological Product (Except Diagnostic) Manufacturing
Manufactures and wholesales pharmaceuticals, specialty chemicals, and cosmetic pigments</t>
  </si>
  <si>
    <t xml:space="preserve">Nerviano Medical Sciences
Srl is a manufacturer of
biological products. It
provides carbon-dioxide
pharmaceutical research and
development services with
oncology-focused integrated
technology for the treatment
of cancer. The Company was
founded in May 2004 and is
located in Nerviano, Italy.
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</si>
  <si>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Shanghai Advanced Research
Merck KGaA</t>
  </si>
  <si>
    <t xml:space="preserve">NERVIANO MEDICAL SCIENCES SRL/MERCK KGAA-STRATEGIC ALLIANCE</t>
  </si>
  <si>
    <t xml:space="preserve">Nerviano Medical Sciences Srl and Merck KGaA planned to form a strategic
alliance. The purpose of strategic alliance were to conduct joint research
and to develop, manufacture and commercialize inhibitors of certain
molecular targets in the area of DNA damage repair.</t>
  </si>
  <si>
    <t xml:space="preserve">64013C
589339</t>
  </si>
  <si>
    <t xml:space="preserve">NTPC Ltd
Greater Hyderabad Municipal</t>
  </si>
  <si>
    <t xml:space="preserve">Fossil Fuel Electric Power Generation
Government</t>
  </si>
  <si>
    <t xml:space="preserve">NTPC Ltd is a provider of
electric utility services.
The Company''s other
business includes providing
consultancy, project
management and supervision,
oil and gas exploration, and
coal mining. The Company is
also a holding Company and
its subsidiaries are NTPC
Electric Supply Co Ltd, NTPC
Vidyut Vyapar Nigam Ltd,
NTPC Hydro Ltd, Kanti Bijlee
Utpadan Nigam Ltd and
Bhartiya Rail Bijlee Co Ltd.
The Company was founded in
November 1975 and is located
in New Delhi, India.
Greater Hyderabad Municipal
Corp is a city government.
The Company is located in
Hyderabad, India.</t>
  </si>
  <si>
    <t xml:space="preserve">4911
999E</t>
  </si>
  <si>
    <t xml:space="preserve">NTPC LTD/GREATER HYDERABAD MUNICIPAL CORP-STRATEGIC ALLIANCE</t>
  </si>
  <si>
    <t xml:space="preserve">NTPC Ltd and Greater Hyderabad Municipal Corp formed a strategic alliance.
The purpose of strategic alliance is for implementation of development and
beautification works under Charminar Pedestrianization Project in
Hyderabad.</t>
  </si>
  <si>
    <t xml:space="preserve">63138M
3H2460</t>
  </si>
  <si>
    <t xml:space="preserve">Sidney Kimmel Cancer Center
Sarah Cannon Research</t>
  </si>
  <si>
    <t xml:space="preserve">Pvd cancer research svcs
Biotech co</t>
  </si>
  <si>
    <t xml:space="preserve">Sidney Kimmel Cancer Center,
located in Baltimore,
Maryland, provides cancer
research services. It was
founded in 1973.
Sarah Cannon Research
Institute is a manufacturer of
biological products. The
Company is located in
Nashville, Tennessee.</t>
  </si>
  <si>
    <t xml:space="preserve">MD
TN</t>
  </si>
  <si>
    <t xml:space="preserve">Burnham Institute for Med Rese
Sarah Cannon Research</t>
  </si>
  <si>
    <t xml:space="preserve">SIDNEY KIMMEL CANCER CENTER/SARAH CANNON RESEARCH INSTITUTE-STRATEGIC
ALLIANCE</t>
  </si>
  <si>
    <t xml:space="preserve">Sidney Kimmel Cancer Center and Sarah Cannon Research Institute planned to
form a strategic alliance. The purpose of strategic alliance were to
advance clinical research through an expanded early phase drug development
program and investigator initiated trials, leveraging the strengths of
each.</t>
  </si>
  <si>
    <t xml:space="preserve">82810H
80295T</t>
  </si>
  <si>
    <t xml:space="preserve">Virpax Pharmaceuticals Inc
Lipocure Ltd</t>
  </si>
  <si>
    <t xml:space="preserve">Virpax Pharmaceuticals Inc
is a manufacturer of
pharmaceutical preparation.
The Company was founded in
May 2018 and is located in
Malvern, Pennsylvania.
Lipocure Ltd is a
manufacturer of
pharmaceutical preparation.
The Company is located in
Jerusalem, Israel.</t>
  </si>
  <si>
    <t xml:space="preserve">VIRPAX PHARMACEUTICALS INC/LIPOCURE LTD-STRATEGIC ALLIANCE</t>
  </si>
  <si>
    <t xml:space="preserve">Virpax Pharmaceuticals Inc and Lipocure Ltd formed a strategic alliance in
United States to develop pain management products using its liposome drug
delivery technology.</t>
  </si>
  <si>
    <t xml:space="preserve">1J3938
1J3948</t>
  </si>
  <si>
    <t xml:space="preserve">Lonza Pharma &amp; Biotech
Innosieve Diagnostics Bv</t>
  </si>
  <si>
    <t xml:space="preserve">Lonza Pharma &amp; Biotech is a
manufacturer of biological
products. The Company is
located in Basel,
Switzerland.
Innosieve Diagnostics Bv is
a manufacturer of biological
products. The Company is
located in Wageningen, the
Netherlands.</t>
  </si>
  <si>
    <t xml:space="preserve">Lonza Group AG
Innosieve Diagnostics Bv</t>
  </si>
  <si>
    <t xml:space="preserve">LONZA PHARMA &amp; BIOTECH/INNOSIEVE DIAGNOSTICS BV-STRATEGIC ALLIANCE</t>
  </si>
  <si>
    <t xml:space="preserve">Lonza Pharma Biotech and Innosieve Diagnostics Bv planned to form a
strategic alliance for rapid bioburden testing technology. This agreement
expands Lonzas extensive offering of endotoxin products, services and
software and provides pharmaceutical testing professionals with a
comprehensive set of quality control (QC) tools.</t>
  </si>
  <si>
    <t xml:space="preserve">2H4597
1J2479</t>
  </si>
  <si>
    <t xml:space="preserve">Lmkr Corp
Red Buffer Ltd</t>
  </si>
  <si>
    <t xml:space="preserve">Crude Petroleum and Natural Gas Extraction
Software Publishers</t>
  </si>
  <si>
    <t xml:space="preserve">Lmkr Corp is engaged in the
crude petroleum and natural
gas services business. The
Company is located in the
United Arab Emirates.
Red Buffer Ltd is a software
publisher. The Company is
located in Islamabad,
Pakistan.</t>
  </si>
  <si>
    <t xml:space="preserve">Utd Arab Em
Pakistan</t>
  </si>
  <si>
    <t xml:space="preserve">LMKR CORP/RED BUFFER LTD-STRATEGIC ALLIANCE</t>
  </si>
  <si>
    <t xml:space="preserve">Lmkr Corp and Red Buffer Ltd formed a strategic alliance in Pakistan to
provide continuous innovation. With the aim of making advanced geoscience
affordable as well as easy to access, the partnership will have LMKR
investing in AI and deep learning in hydrocarbon exploration.</t>
  </si>
  <si>
    <t xml:space="preserve">Research &amp; Development Services
Investment Services
Exploration Services
Oil and Gas; Petroleum Services</t>
  </si>
  <si>
    <t xml:space="preserve">1J2386
1J2384</t>
  </si>
  <si>
    <t xml:space="preserve">Molecularmd
Genoptix Inc</t>
  </si>
  <si>
    <t xml:space="preserve">Offices Of Physicians (Except Mental Health Specialists)
Pvd diagnostic,testing svcs</t>
  </si>
  <si>
    <t xml:space="preserve">MolecularMD, located in
Portland, Oregon, provides
its clients by developing a
special molecular diagnostic
tests for oncology
applications.
Genoptix Inc, located in
Carlsbad, California,
provides diagnostic and
testing services. It offers
bone marrow and blood
evaluation and morphology,
flow cytometric phenotyping
for hematologic
malignancies, circulating
tumor call test for
metastatic breast cancer,
and tumor response
assessment services for
chemoresponse. The Company
was founded in 1999.</t>
  </si>
  <si>
    <t xml:space="preserve">8011
8071</t>
  </si>
  <si>
    <t xml:space="preserve">Molecularmd
Novartis AG</t>
  </si>
  <si>
    <t xml:space="preserve">8011
2834</t>
  </si>
  <si>
    <t xml:space="preserve">MOLECULARMD CORP/GENOPTIX INC-STRATEGIC ALLIANCE</t>
  </si>
  <si>
    <t xml:space="preserve">Molecularmd Corp and Genoptix Inc formed a strategic alliance. The purpose
of strategic alliance was to Market the MRDx BCR-ABL Test, a Companion
Diagnostic for Treatment-free Remission in Ph+ CML-CP Patients Treated with
Tasigna.</t>
  </si>
  <si>
    <t xml:space="preserve">0J9984
37243V</t>
  </si>
  <si>
    <t xml:space="preserve">Altona Energy PLC
Gcat Energy Grp Inc</t>
  </si>
  <si>
    <t xml:space="preserve">Coal mining
Alternative Energy Sources</t>
  </si>
  <si>
    <t xml:space="preserve">Altona Energy PLC, located
in London, UK, is a coal
mining company. The company
is engaged in the evaluation
of the development of an
integrated coal-to-liquid
plant at its Arckaringa
project in South Australia.
Gcat Energy Group Inc is an
alternative energy sources
establishment. The Company
is located in Spain.</t>
  </si>
  <si>
    <t xml:space="preserve">1221
499A</t>
  </si>
  <si>
    <t xml:space="preserve">United Kingdom
Spain</t>
  </si>
  <si>
    <t xml:space="preserve">ALTONA ENERGY PLC/GCAT ENERGY GROUP INC-JOINT VENTURE</t>
  </si>
  <si>
    <t xml:space="preserve">Altona Energy PLC and Gcat Energy Group Inc planned to form joint venture
in Spain to invest in the Joint Venture to exploit the technology. The
pyrolysis technology which converts carbon matter into a variety of outputs
including syngas, which can be used to generate electricity, carbon black,
naptha and diesel. The technology has already been demonstrated
successfully and is expected to be suitable for the conversion of thermal
coal into these outputs.</t>
  </si>
  <si>
    <t xml:space="preserve">02170M
1J3412</t>
  </si>
  <si>
    <t xml:space="preserve">iBio Inc
Undisclosed JV Partner</t>
  </si>
  <si>
    <t xml:space="preserve">iBio Inc is a biotechnology
company headquartered in
Newark, Delaware. The company
uses plants as sources of
novel, high quality
nutritional supplements. It
engages in the development and
commercialization of vaccines
and therapeutic proteins
through its proprietary
technology, the iBioLaunch
launch.
platform. Its product
portfolio consists of seasonal
and H1N1 influenza vaccines
for the seasonal influenza
virus strains; pandemic avian
influenza vaccine for the
pathogenic avian influenza
viruses; and therapeutic
vaccines for human papilloma
virus. The company also offers
oral anthrax booster vaccine
candidates and candidate
plague vaccines.
Investment company</t>
  </si>
  <si>
    <t xml:space="preserve">IBIO INC/UNDISCLOSED PARTNER-STRATEGIC ALLIANCE</t>
  </si>
  <si>
    <t xml:space="preserve">iBio Inc and Undisclosed Joint Venture Partner formed a strategic
alliance.Under the agreement, iBio will provide antigen and antibody
manufacturing for product prototype development, regulatory approval,
commercial launch and ongoing commercial exploitation</t>
  </si>
  <si>
    <t xml:space="preserve">451033
904JVP</t>
  </si>
  <si>
    <t xml:space="preserve">Premaitha Health PLC
Undisclosed JV Partner</t>
  </si>
  <si>
    <t xml:space="preserve">Medical Laboratories
Investment company</t>
  </si>
  <si>
    <t xml:space="preserve">Premaitha Health PLC is a
medical laboratory operator.
The Company was founded in
1999 and is located in
Manchester, the United
Kingdom.
Investment company</t>
  </si>
  <si>
    <t xml:space="preserve">PREMAITHA HEALTH PLC/UNDISCLOSED PARTNER-STRATEGIC ALLIANCE</t>
  </si>
  <si>
    <t xml:space="preserve">Premaitha Health PLC and Undisclosed Joint Venture Partner planned to form
a strategic alliance. The purpose of strategic alliance were to provide a
bespoke, high quality and scalable NIPT( non-invasive prenatal testing)
solution in the Indian market.</t>
  </si>
  <si>
    <t xml:space="preserve">8C9716
904JVP</t>
  </si>
  <si>
    <t xml:space="preserve">Hookipa Biotech AG
Gilead Sciences Inc</t>
  </si>
  <si>
    <t xml:space="preserve">Hookipa Biotech AG is an
Austria-based company
involved in medical research
in genetic vaccines for the
prophylactic and therapeutic
treatment of viral diseases.
The Company researches,
develops, produces and
distributes profilactic and
therapeutic vaccines and
medicines, such as Vaxwave
that provides stimulation of
both cellular and humoral
immunity.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</si>
  <si>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HOOKIPA BIOTECH AG/GILEAD SCIENCES INC-STRATEGIC ALLIANCE</t>
  </si>
  <si>
    <t xml:space="preserve">Hookipa Biotech AG and Gilead Sciences Inc formed a strategic alliance in
United States to grant Gilead exclusive rights to Hookipas TheraT and
Vaxwave arenavirus vector-based immunization technologies for two major
chronic infectious disease indications, hepatitis B virus (HBV) and human
immunodeficiency virus (HIV).</t>
  </si>
  <si>
    <t xml:space="preserve">1J3863
375558</t>
  </si>
  <si>
    <t xml:space="preserve">Inmarsat PLC
Hellenic Space Agcy</t>
  </si>
  <si>
    <t xml:space="preserve">Wired Telecommunications Carriers
National Government Agency</t>
  </si>
  <si>
    <t xml:space="preserve">Inmarsat PLC is a provider
of mobile satellite
communication services. The
Company provides mobile
voice and high-speed data
services that can be used on
land, at sea or in the air.
It offers a range of voice,
fax and data services to
suit various types and
tonnages of vessel,
including small yachts and
ocean-going ships, enabling
seafarers to communicate on
board as they can when they
are on shore. It also
provides services for
in-flight connectivity. It
serves shipping merchants,
governments, airlines, the
broadcast media, the oil and
gas industry, mining,
construction and
humanitarian aid agencies.
The Company is also an
holding company. The Company
was founded in 1979 and is
located in London, the
United Kingdom.
Hellenic Space Agency is a
national government agency.
The Company is located in
Athens, Greece.</t>
  </si>
  <si>
    <t xml:space="preserve">4813
999B</t>
  </si>
  <si>
    <t xml:space="preserve">United Kingdom
Greece</t>
  </si>
  <si>
    <t xml:space="preserve">INMARSAT PLC/HELLENIC SPACE AGENCY-STRATEGIC ALLIANCE</t>
  </si>
  <si>
    <t xml:space="preserve">Inmarsat PLC and Hellenic Space Agency formed a strategic alliance in
Greece to allow greater collaboration on research and potential technology
development. MOU will include a focus on satellite projects related to IOT
and the maritime sector.</t>
  </si>
  <si>
    <t xml:space="preserve">G4807U
1J3531</t>
  </si>
  <si>
    <t xml:space="preserve">Eloro Resources Ltd
Ehr Resources Ltd</t>
  </si>
  <si>
    <t xml:space="preserve">Mineral mining company
Crude Petroleum and Natural Gas Extraction</t>
  </si>
  <si>
    <t xml:space="preserve">Eloro Resources Ltd is a
gold ore mine operator. The
Company was founded in March
1975 and is located in
Toronto, Canada.
EHR Resources Ltd, located
in West Perth, Western
Australia, is an early stage
oil and gas exploration
company. It owns 100%
interest in Cottesloe Oil
and Gas Pty Ltd, which is a
petroleum company that
acquires prospective oil and
gas acreage in Western
Superbasin, Papua New guinea
and Indonesia. It was
incorporated on August 2012.</t>
  </si>
  <si>
    <t xml:space="preserve">1041
1311</t>
  </si>
  <si>
    <t xml:space="preserve">ELORO RESOURCES LTD/EHR RESOURCES LTD-JOINT VENTURE</t>
  </si>
  <si>
    <t xml:space="preserve">Eloro Resources Ltd and EHR Resources Ltd formed a joint venture. The
purpose of joint venture is to proceed with a 4,000m diamond drilling
program to test the Rufina and San Markito target areas on the La Victoria
Au Property in the North-Central Mineral Belt of Peru.</t>
  </si>
  <si>
    <t xml:space="preserve">289900
6F3413</t>
  </si>
  <si>
    <t xml:space="preserve">Valencell Inc
Sonion A/S</t>
  </si>
  <si>
    <t xml:space="preserve">Dvlp monitoring solutions
Mnfr mechanical components</t>
  </si>
  <si>
    <t xml:space="preserve">Valencell Inc, located in
Raleigh, California, is a
developer of biometric
sensor technology for
wearables and hearables. It
develops vital signs and
activity monitoring
solutions for mobile
communications, gaming,
consumer electronics,
fitness, wellness, military,
medical, clinical, and first
responders markets. It was
founded in 2006.
Sonion A/S, located in
Roskilde, manufactures micro
acoustical and micro
mechanical components and
solutions for manufacturers
of hearing instruments,
advanced acoustic devices,
medical devices and mobile
communication devices. The
group has facilities in
Poland, China, Vietnam and
the Netherlands. The company
was founded in 2000.</t>
  </si>
  <si>
    <t xml:space="preserve">Valencell Inc
Novo Nordisk Foundation</t>
  </si>
  <si>
    <t xml:space="preserve">7372
6732</t>
  </si>
  <si>
    <t xml:space="preserve">VALENCELL INC/SONION A/S-STRATEGIC ALLIANCE</t>
  </si>
  <si>
    <t xml:space="preserve">Valencell Inc and Sonion A/S formed a strategic alliance in United States &amp;
Denmark to focus on designing, developing and manufacturing biometric
sensing ear modules for the medical, hearing health, consumer and
professional communications markets. Under the terms of the partnership,
Sonion will introduce a range of sensor modules for different applications
in the ear and Valencell will continue to further develop its portfolio of
advanced, accurate biometric sensor capabilities for all form factors.</t>
  </si>
  <si>
    <t xml:space="preserve">91993J
83707E</t>
  </si>
  <si>
    <t xml:space="preserve">Swedish Univ Of Agricultural
Stora Enso Oyj</t>
  </si>
  <si>
    <t xml:space="preserve">Colleges, Universities, and Professional Schools
Mnfr paper,packaging prod</t>
  </si>
  <si>
    <t xml:space="preserve">Swedish University Of
Agricultural Sciences is a
college operator. The
Company was founded in 1970
and is located in Uppsala,
Sweden.
Stora Enso Oyj, located in
Helsinki, Finland,
manufactures publication and
fine papers, packaging
boards and wood products
used in magazines, printed
advertising material,
catalogues, directories,
direct marketing,
newspapers, books, document
printing, commercial
printing, highquality books,
print-on-demand applications
and protecting,
transporting, labelling and
identifying products. Its
products include liquid
packaging boards, cupstock,
cartonboards,
containerboards, corrugated
packaging, coreboards,
cores, laminating papers,
paper sacks, sack, kraft
papers, windows, doors,
windor shutters, floors,
walls, ceilings, stairs,
furniture, and decks. It has
operations in Europe, North
and Latin America and Asia.
The Company was founded in
1998.</t>
  </si>
  <si>
    <t xml:space="preserve">8221
2679</t>
  </si>
  <si>
    <t xml:space="preserve">Sweden
Finland</t>
  </si>
  <si>
    <t xml:space="preserve">SWEDISH UNIVERSITY OF AGRICULTURAL SCIENCES/STORA ENSO OYJ-STRATEGIC
ALLIANCE</t>
  </si>
  <si>
    <t xml:space="preserve">Swedish University Of Agricultural Sciences and Stora Enso Oyj formed a
strategic alliance. The purpose of strategic alliance was to establish a
long-term collaboration in research and development, education, competence
building, and innovation within the fields of forestry and bio-based
materials.</t>
  </si>
  <si>
    <t xml:space="preserve">1J3461
W9T04F</t>
  </si>
  <si>
    <t xml:space="preserve">Cambridge Cognition Hldgs Plc
University of Bristol</t>
  </si>
  <si>
    <t xml:space="preserve">Specialty (Except Psychiatric and Substance Abuse) Hospitals
University</t>
  </si>
  <si>
    <t xml:space="preserve">Cambridge Cognition Holdings
Plc is a specialty hospital
operator. The Company is
located in Cambridge, the
United Kingdom.
University</t>
  </si>
  <si>
    <t xml:space="preserve">8069
8221</t>
  </si>
  <si>
    <t xml:space="preserve">CAMBRIDGE COGNITION HOLDINGS/UNIVERSITY OF BRISTOL-STRATEGIC ALLIANCE</t>
  </si>
  <si>
    <t xml:space="preserve">Cambridge Cognition Holdings Plc and University of Bristol planned to form
a strategic alliance. The purpose of strategic alliance is to accelerate
the development of novel brain health products.</t>
  </si>
  <si>
    <t xml:space="preserve">13218L
91410M</t>
  </si>
  <si>
    <t xml:space="preserve">Canopy Growth Corp
Molecular Science Corp</t>
  </si>
  <si>
    <t xml:space="preserve">Medicinal and Botanical Manufacturing
Medical Laboratories</t>
  </si>
  <si>
    <t xml:space="preserve">Canopy Growth Corp, located
in Smiths Falls, Ontario, is
a cannabis and hemp company.
It offers distinct brands
and curated cannabis
varieties in dried, oil and
softgel capsule forms. The
Company, through its
subsidiaries Tweed Inc,
Bedrocan Canada Inc, Tweed
Farms Inc and Mettrum Health
Corp is engaged in the
business of producing and
selling legal marijuana in
the Canadian medical market.
It is also focusing on
producing and selling
marijuana in the
recreational market in
Canada. Its core brands are
Tweed and Bedrocan. Tweed is
a licensed producer of
medical marijuana. Tweed's
commercial license covers
approximately 168,000 square
feet of its Smiths Falls
facility and allows Tweed to
produce and sell
approximately 3,540
kilograms of medical
marijuana per year. Tweed's
built-out production
capacity is over 10 climate
controlled indoor growing
rooms. Bedrocan is a
medical-grade cannabis.
Bedrocan's over 52,000
square feet production
facility in Toronto, Ontario
is licensed, and includes
over 30 vegetative and
growing rooms, and over
three dispensing rooms. The
Company was founded on
August 5, 2009.
Molecular Science Corp is a
medical laboratory operator.
The Company was founded in
2017 and is located in
Toronto, Canada.</t>
  </si>
  <si>
    <t xml:space="preserve">2833
8071</t>
  </si>
  <si>
    <t xml:space="preserve">CANOPY GROWTH CORP/MOLECULAR SCIENCE CORP-STRATEGIC ALLIANCE</t>
  </si>
  <si>
    <t xml:space="preserve">Canopy Growth Corp and Molecular Science Corp formed a strategic alliance.
The purpose of strategic alliance was to advance cannabis testing, support
product knowledge and enhance safety awareness, all part of the responsible
development of the Canadian cannabis industry.</t>
  </si>
  <si>
    <t xml:space="preserve">138035
1J3446</t>
  </si>
  <si>
    <t xml:space="preserve">Luye Pharma Group Ltd
Elpis Biopharmaceuticals Corp</t>
  </si>
  <si>
    <t xml:space="preserve">Luye Pharma Group Ltd,
located in Shanghai, China,
manufactures and wholesales
pharmaceutical . The drugs
manufactured by the company
are used in orthopedics,
neurology, gastroenterology
and hepatology, focusing on
naturaland chemical drugs
with new formulations. The
group's key products are
Maitongna, Nuosen,
Lutingnuo, Olai and
Elcatonin for injection.
Other activities include
distribution of products of
other pharmaceutical
manufacturers in China,
processing and sale of
active ingredients, mainly
chondroitin sulphate, for
the manufacture of
pharmaceutical drugs and
sale of R&amp;D results and/or
patents of new drugs and
provision of research
services on a contract
basis. The group principally
operates in the People's
Republic of China. The
Company was founded in 2003.
Elpis Biopharmaceuticals
Corp is a manufacturer of
pharmaceutical preparation.
The Company was founded in
June 2017 and is located in
Lexington, Massachusetts.</t>
  </si>
  <si>
    <t xml:space="preserve">LUYE PHARMA GROUP/ELPIS BIOPHARMACEUTICALS CORP-STRATEGIC ALLIANCE</t>
  </si>
  <si>
    <t xml:space="preserve">LUYE PHARMA GROUP and Elpis Biopharmaceuticals Corp formed a strategic
alliance to work on dual target based therapies for cancer patients who
fail to respond to current treatment. As a continuing effort of the
collaboration initiated last year, the two companies signed a license
agreement recently to jointly develop chimeric antigen receptor T-cell (CAR
T) therapies and biologic drug candidates in immuno-oncology..</t>
  </si>
  <si>
    <t xml:space="preserve">54925K
1J2552</t>
  </si>
  <si>
    <t xml:space="preserve">Avitru LLC
Ul LLC</t>
  </si>
  <si>
    <t xml:space="preserve">Electronic Computer Manufacturing
Provides product safety test services</t>
  </si>
  <si>
    <t xml:space="preserve">Avitru, LLC is a United
States-based company that
provides software and
specifications to architects
and designers, engineers,
specification writers and
owners. The Company's
solutions include
construction specifications,
specification software and
manufacturer solutions. The
Company's products include
MasterSpec, SpecText, Spec
Editor, office master
automation and building
information modeling (BIM)
integration. The Company
provides building
specifications for both
vertical and horizontal
construction. The Company's
specification writer
services include office
master management, Revit BIM
model integration, peer
review, and project manual
reports, summaries and
submittals.
UL LLC, located in
Northbrook, Illinois,
provides product safety test
services. The company's key
areas of interest are
Certification Bodies,
Management Systems
Certifications, About Dqs.
The Company was founded in
1894.</t>
  </si>
  <si>
    <t xml:space="preserve">3571
8734</t>
  </si>
  <si>
    <t xml:space="preserve">UT
IL</t>
  </si>
  <si>
    <t xml:space="preserve">Avitru LLC
Underwriters Laboratories Inc</t>
  </si>
  <si>
    <t xml:space="preserve">AVITRU LLC/UL LLC-STRATEGIC ALLIANCE</t>
  </si>
  <si>
    <t xml:space="preserve">Avitru LLC and Ul LLC planned to form a strategic alliance in United States
to collaborate and develop a sustainable product database that will enable
MasterSpec users to access product sustainability data from UL SPOT.</t>
  </si>
  <si>
    <t xml:space="preserve">9H4797
93641Y</t>
  </si>
  <si>
    <t xml:space="preserve">Ministry of Economic Affairs
European Union</t>
  </si>
  <si>
    <t xml:space="preserve">Provide economic services
Supranational Org</t>
  </si>
  <si>
    <t xml:space="preserve">Ministry of Economic Affairs
(Taiwan) is a government
administration establishment
for general economic. The
Company is located in
Taiwan.
European Union is a
supranational organization
consisting of 27 member
nations.</t>
  </si>
  <si>
    <t xml:space="preserve">9611
999G</t>
  </si>
  <si>
    <t xml:space="preserve">Taiwan
Luxembourg</t>
  </si>
  <si>
    <t xml:space="preserve">Taiwan Government
European Union</t>
  </si>
  <si>
    <t xml:space="preserve">999A
999G</t>
  </si>
  <si>
    <t xml:space="preserve">MINISTRY OF ECONOMIC AFFAIRS (TAIWAN)/EUROPEAN UNION-STRATEGIC ALLIANCE</t>
  </si>
  <si>
    <t xml:space="preserve">Ministry of Economic Affairs (Taiwan) and European Union formed a strategic
alliance in Taiwan to help with the development of 5G wireless systems. The
country already has a 5G alliance to promote the commercial use of the
systems, while it focuses on both applications and on research and
development.</t>
  </si>
  <si>
    <t xml:space="preserve">60367Z
29890S</t>
  </si>
  <si>
    <t xml:space="preserve">Meikang Biotech Co Ltd
Pingyang Yongzheng Yongxin Eq</t>
  </si>
  <si>
    <t xml:space="preserve">Mnfr of med rapid test
Miscellaneous Intermediation</t>
  </si>
  <si>
    <t xml:space="preserve">Meikang Biotech (Shanghai) Co
Ltd, located in Shanghai,
China, is a manufacturer of
medical rapid test , such as
test for pregnancy, drugs of
abuse, infectious disease and
tumor marker. The company is
establish in 1991.
Pingyang Yongzheng Yongxin
Equity Investment is an
intermediating company. The
Company is located in China.</t>
  </si>
  <si>
    <t xml:space="preserve">MEIKANG BIOTECH (SHANGHAI) CO /PINGYANG YONGZHENG YONGXIN EQUITY
INVESTMENT-JOINT VENTURE</t>
  </si>
  <si>
    <t xml:space="preserve">Jiangxi Weirui Biotechnology
Co Ltd is an intermediating
company. The Company is
located in China.</t>
  </si>
  <si>
    <t xml:space="preserve">Meikang Biotech (Shanghai) Co Ltd and Pingyang Yongzheng Yongxin Equity
Investment planned to form joint venture named Jiangxi Weirui Biotech Co
Ltd. The purpose of joint venture was for biotechnology Jiangxi Weirui
Biotechnology Co Ltd is an intermediating company. The Company is located
in China.</t>
  </si>
  <si>
    <t xml:space="preserve">1J3947</t>
  </si>
  <si>
    <t xml:space="preserve">58674H
1J3945</t>
  </si>
  <si>
    <t xml:space="preserve">Respirerx Pharmaceuticals Inc
Noramco Inc</t>
  </si>
  <si>
    <t xml:space="preserve">Cortex Pharmaceuticals Inc,
headquartered in Irvine,
California, is a
biopharmaceutical company
that engages in the
discovery, development and
commercialization of a novel
technology called AMPAKINE
(R) compounds, which already
have shown
proof-of-principal efficacy
in human clinical trials. It
was founded in 1987.
Noramco Inc, located in
Athens, Georgia, is a
manufacturer of
pharmaceuticals such as
thebaine and oripavine. It
has locations in Athens and
Wilmington with affiliate
sites in Switzerland,
Belguim, Australia, and UK.
It was founded in 1979.</t>
  </si>
  <si>
    <t xml:space="preserve">Respirerx Pharmaceuticals Inc
SK Capital Partners LP</t>
  </si>
  <si>
    <t xml:space="preserve">RESPIRERX PHARMACEUTICALS INC/NORAMCO INC-STRATEGIC ALLIANCE</t>
  </si>
  <si>
    <t xml:space="preserve">RespireRx Pharmaceuticals Inc and Noramco Inc signed a letter of intent to
form an alliance.The purpose of the strategic alliance is to cooperate in
the co-development of both a first-generation gel capsule of dronabinol in
sesame oil and a second-generation modified formulation of dronabinol with
enhanced pharmaceutical properties.</t>
  </si>
  <si>
    <t xml:space="preserve">220524
65542C</t>
  </si>
  <si>
    <t xml:space="preserve">WeedMD Inc
Revive Therapeutics Ltd</t>
  </si>
  <si>
    <t xml:space="preserve">Pharmaceutical Preparation Manufacturing
Provides biotechnology research, development services</t>
  </si>
  <si>
    <t xml:space="preserve">WeedMD Inc, located in
Aylmer, Ontario,
manufactured and wholesales
medical cannabis. It is a
licensed producer of medical
marijuana under the Access
to Cannabis for Medical
Purposes Regulations (ACMPR)
and operates an
approximately 20,000 square
foot production facility in
Aylmer, Ontario. Its
products include: Dried
Cannabis, Cannabis Extracts
and Cannabis Vaporizes. The
Company was founded on July
16, 2014.
Revive Therapeutics Ltd,
located in Toronto, Ontario,
provides biotechnology
research and development
services. The Company was
founded in March 2012.</t>
  </si>
  <si>
    <t xml:space="preserve">WEEDMD INC/REVIVE THERAPEUTICS LTD-STRATEGIC ALLIANCE</t>
  </si>
  <si>
    <t xml:space="preserve">WeedMD Inc and Revive Therapeutics Ltd were seeking partners to form an
alliance. Revive with cannabidiol (CBD) for the research program evaluating
CBD in the treatment of liver disease, specifically non-alcoholic
steatohepatitis (NASH) and autoimmune hepatitis (AIH).</t>
  </si>
  <si>
    <t xml:space="preserve">948525
761516</t>
  </si>
  <si>
    <t xml:space="preserve">Microbiotica Ltd
University of Adelaide</t>
  </si>
  <si>
    <t xml:space="preserve">Biological Product (Except Diagnostic) Manufacturing
Own,op college,university</t>
  </si>
  <si>
    <t xml:space="preserve">Microbiotica Ltd is a
manufacturer of biological
products. The Company was
founded in December 2016 and
is located in Cambridge, the
United Kingdom.
University of Adelaide,
located in Adelaide,
Australia, owns and operates
college and university that
offers graduate, post
graduate, and doctorate
programs. The company was
founded in 1874.</t>
  </si>
  <si>
    <t xml:space="preserve">Microbiome Therapeutics LLC
University of Adelaide</t>
  </si>
  <si>
    <t xml:space="preserve">MICROBIOTICA LTD/UNIVERSITY OF ADELAIDE-STRATEGIC ALLIANCE</t>
  </si>
  <si>
    <t xml:space="preserve">Microbiotica Ltd and University of Adelaide formed a strategic alliance.
The purpose of strategic alliance were to develop a defined bacterial
product for ulcerative colitis (UC).</t>
  </si>
  <si>
    <t xml:space="preserve">4H8344
00678V</t>
  </si>
  <si>
    <t xml:space="preserve">Enamine Ltd
TBD Biodiscovery OU</t>
  </si>
  <si>
    <t xml:space="preserve">Enamine Ltd is a
manufacturer of biological
products. The Company is
located in Kiev, Ukraine.
Tbd Biodiscovery is a
provider of biotechnology
research and development
services. The Company was
founded in 1970 and is
located in Tartu, Estonia.</t>
  </si>
  <si>
    <t xml:space="preserve">Ukraine
Estonia</t>
  </si>
  <si>
    <t xml:space="preserve">ENAMINE LTD/TBD BIODISCOVERY-STRATEGIC ALLIANCE</t>
  </si>
  <si>
    <t xml:space="preserve">Enamine Ltd and Tbd Biodiscovery formed a strategic alliance.The purpose of
the strategic alliance is to manage the transition of chemical synthesis of
novel intermediates from laboratory to bulk scale under GMP standards
utilizing Enamine's know-how and process development expertise.</t>
  </si>
  <si>
    <t xml:space="preserve">29557J
1J2981</t>
  </si>
  <si>
    <t xml:space="preserve">Information Resources Inc
Spins LLC
PlaceIQ Inc
Geoscape International Inc</t>
  </si>
  <si>
    <t xml:space="preserve">Dvlp information svcs software
Internet Publishing and Broadcasting and Web Search Portals
Computer Systems Design Services
Pvd mkt intelligence svcs</t>
  </si>
  <si>
    <t xml:space="preserve">Information Resources Inc,
located in Chicago,
Illinois, develops
information services and
business intelligence
software, providing
enterprise market
information solution and
services, consumer-driven
enterprise management
solutions using market
information and analytic
insights for the consumer
packaged goods, retail
enterprise and healthcare
industries. The Company was
founded in 1979.
Spins LLC, located in
Chicago, Illinois, is an
internet portal operator.
PlaceIQ, Inc. located in New
York City, New York, is a
software company, which
collects data on consumer
activity. It provides
location intelligence,
enabling advertisers to
reach and define mobile
brand audiences for a range
of marketing activities. The
Company offers the PIQ
platform. The PlaceIQ
technology platform connects
the world to the set of
digital signals associated
with mobile devices,
providing marketers with an
understanding of consumer
activity. Its enterprise
offering provides solutions
in audience understanding,
real-world measurement,
custom analytics and
customer relationship
management (CRM)
enhancement. For brands
seeking to understand
consumer behavior, the
Company connects physical
and digital activities
across time, space, and
mobile devices to learn and
connect with audiences. It
provides consumer analytics
and media targeting for
brands in retail, consumer
packaged goods (CPG),
automotive, entertainment
and travel industries.
Geoscape International Inc,
located in Miami, Florida,
provides market intelligence
with demographic data
services via information
products, software and
consulting services in order
to help clients recognize
opportunities for
multinational and
multi-cultural business
growth; develop web-based
market intelligence
software. The Company was
founded in 1995.</t>
  </si>
  <si>
    <t xml:space="preserve">7372
7375
7373
8732</t>
  </si>
  <si>
    <t xml:space="preserve">IL
IL
NY
FL</t>
  </si>
  <si>
    <t xml:space="preserve">New Mountain Capital Group LLC
Spins LLC
PlaceIQ Inc
The Carlyle Group LP</t>
  </si>
  <si>
    <t xml:space="preserve">6799
7375
7373
6799</t>
  </si>
  <si>
    <t xml:space="preserve">INFORMATION RESOURCES INC/SPINS LLC/PLACEIQ INC/GEOSCAPE INTERNATIONAL
INC-STRATEGIC ALLIANCE</t>
  </si>
  <si>
    <t xml:space="preserve">Information Resources Inc, Spins LLC, Placeiq Inc and Geoscape
International Inc planned to form a strategic alliance.The purpose of the
strategic alliance is to develop and deploy new audience solutions for IRI
Verified Audiences , which provides CPG manufacturers and retailers with
unparalleled personalization capabilities based on actual purchase
behavior, rather than modeled data.</t>
  </si>
  <si>
    <t xml:space="preserve">5A9121
3H6834
0F5419
37389L</t>
  </si>
  <si>
    <t xml:space="preserve">Bugcrowd Inc
Upwork Inc</t>
  </si>
  <si>
    <t xml:space="preserve">Custom Computer Programming Services
Data Processing, Hosting, and Related Services</t>
  </si>
  <si>
    <t xml:space="preserve">Bugcrowd Inc, located in San
Francisco, California, is a
provider of custom computer
programming services. It
offers Crowdcontrol, a
vulnerability reporting
platform. It makes bug
bounty programs accessible
for testing applications. It
also provides a range of
responsible disclosure and
managed service options that
allow companies to
commission a customized
security testing program
that fits their specific
requirements. The Company
was founded in 1970.
Upwork Inc is a provider of
data processing and hosting
services. The Company is
located in Mountain View,
California.</t>
  </si>
  <si>
    <t xml:space="preserve">7371
7374</t>
  </si>
  <si>
    <t xml:space="preserve">BUGCROWD INC/UPWORK INC-STRATEGIC ALLIANCE</t>
  </si>
  <si>
    <t xml:space="preserve">Bugcrowd Inc and Upwork Inc planned to form a strategic alliance.The
purpose of the strategic alliance is to tap into a global community of
security researchers who use multidimensional techniques to help identify
vulnerabilities at a faster rate and enhance the overall security of our
products for our customers.</t>
  </si>
  <si>
    <t xml:space="preserve">1J3843
6H6649</t>
  </si>
  <si>
    <t xml:space="preserve">Merck KGaA
Tongji University</t>
  </si>
  <si>
    <t xml:space="preserve">Manufactures and wholesales pharmaceuticals, specialty chemicals, and cosmetic pigments
Own,op university</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</si>
  <si>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Own and operate university</t>
  </si>
  <si>
    <t xml:space="preserve">MERCK KGAA/TONGJI UNIVERSITY-STRATEGIC ALLIANCE</t>
  </si>
  <si>
    <t xml:space="preserve">Merck KGaA and Tongji University formed a strategic alliance.The purpose of
the strategic alliance was to to get exclusive access to Merck's
genome-editing technology, comprehensive technical support - University
joins a network of 70 CRISPR core labs around the world.</t>
  </si>
  <si>
    <t xml:space="preserve">589339
89024Z</t>
  </si>
  <si>
    <t xml:space="preserve">Intelligent Prod Solutions
ZX Ventures LLC</t>
  </si>
  <si>
    <t xml:space="preserve">Other Scientific and Technical Consulting Services
Miscellaneous Financial Investment Activities</t>
  </si>
  <si>
    <t xml:space="preserve">Intelligent Product
Solutions Inc, located in
Hauppauge, New York,
provides product design and
development services. It
offers end-to-end services
that range from ideation
through sustaining
engineering. The Company was
founded in 2008.
ZX Ventures LLC, located in
New York, New York, provides
financial investment
services. The Company was
founded in 2015.</t>
  </si>
  <si>
    <t xml:space="preserve">Forward Industries Inc
Anheuser-Busch Inbev SA/NV</t>
  </si>
  <si>
    <t xml:space="preserve">3089
2082</t>
  </si>
  <si>
    <t xml:space="preserve">INTELLIGENT PRODUCT SOLUTIONS INC/ZX VENTURES LLC-STRATEGIC ALLIANCE</t>
  </si>
  <si>
    <t xml:space="preserve">Intelligent Product Solutions Inc and ZX Ventures LLC formed a strategic
alliance. The purpose of the strategic alliance is to design and develop an
Internet "connected" beer vending machine that dispenses cans of cold beer,
featuring a cashless payment system that accepts all major credit cards and
mobile wallets.</t>
  </si>
  <si>
    <t xml:space="preserve">6E5568
0F2174</t>
  </si>
  <si>
    <t xml:space="preserve">AmeriCann Inc
Cannabis Cmnty Care And</t>
  </si>
  <si>
    <t xml:space="preserve">Administrative Management and General Management Consulting Services
Research and Development in Biotechnology</t>
  </si>
  <si>
    <t xml:space="preserve">AmeriCann Inc is located in
Denver, Colorado. The
company is a provider of
administrative management
and general management
consulting services.
Cannabis Community Care and
Research Network (C3RN) is
an public benefit
corporation (B Corp) based
out of Somerville, MA that
specializes in providing
high-quality research and
analytic services related to
the impacts of medical and
adult-use recreational
cannabis.</t>
  </si>
  <si>
    <t xml:space="preserve">CO
DE</t>
  </si>
  <si>
    <t xml:space="preserve">AMERICANN INC/CANNABIS COMMUNITY CARE &amp; RESEARCH NETWORK-STRATEGIC
ALLIANCE</t>
  </si>
  <si>
    <t xml:space="preserve">AmeriCann Inc and Cannabis Community Care Research Network planned to form
a strategic alliance.The purpose of the strategic alliance was to conduct
research and programs to improve the quality of life for medical cannabis
patients.</t>
  </si>
  <si>
    <t xml:space="preserve">8E7765
1J3965</t>
  </si>
  <si>
    <t xml:space="preserve">Vde Assn
Clarion Co Ltd</t>
  </si>
  <si>
    <t xml:space="preserve">Other Electronic Component Manufacturing
Audio and Video Equipment Manufacturing</t>
  </si>
  <si>
    <t xml:space="preserve">Vde Association is a
manufacturer of electronic
components. The Company is
located in Germany.
Clarion Co Ltd,
headquartered in Saitama,
Japan, is engaged in the
manufacture and sale of
audio and video equipment,
as well as car navigation
and driving control system
for motor vehicles and
business cars. Its
automobile equipment
business provides car
navigation system, car audio
equipment and multi-media
equipment, as well as its
peripheral devices. Its
special equipment business
provides audio-visual (AV)
products, driving control
system and its peripherals
for business cars. The other
business provides
communications equipment and
others. As of March 31,
2011, the Company had 21
subsidiaries and one
associated company. It was
founded in 1940.</t>
  </si>
  <si>
    <t xml:space="preserve">3679
3651</t>
  </si>
  <si>
    <t xml:space="preserve">Vde Assn
Hitachi Ltd</t>
  </si>
  <si>
    <t xml:space="preserve">3679
3577</t>
  </si>
  <si>
    <t xml:space="preserve">VDE ASSOCIATION/CLARION CO LTD-STRATEGIC ALLIANCE</t>
  </si>
  <si>
    <t xml:space="preserve">Vde Association and Clarion Co Ltd formed a strategic alliance. The purpose
of strategic alliance were to educate and discuss with the utilities and
energy start-ups about the importance of quality assurance and the upcoming
challenges in digitalization.</t>
  </si>
  <si>
    <t xml:space="preserve">1J3653
18051M</t>
  </si>
  <si>
    <t xml:space="preserve">Bbk Worldwide LLC
Clinicalconnection Inc</t>
  </si>
  <si>
    <t xml:space="preserve">Human Resources and Executive Search Consulting Services
General Medical and Surgical Hospitals</t>
  </si>
  <si>
    <t xml:space="preserve">Bbk Worldwide LLC is a
provider of human resources
and executive search
consulting services. The
Company was founded in
February 2012 and is located
in Needham Heights,
Massachusetts.
Clinicalconnection Inc is a
hospital operator. The
Company is located in Maine.</t>
  </si>
  <si>
    <t xml:space="preserve">7361
8062</t>
  </si>
  <si>
    <t xml:space="preserve">MA
ME</t>
  </si>
  <si>
    <t xml:space="preserve">BBK WORLDWIDE LLC/CLINICALCONNECTION INC-STRATEGIC ALLIANCE</t>
  </si>
  <si>
    <t xml:space="preserve">Bbk Worldwide LLC and Clinicalconnection Inc planned to form a strategic
alliance. The purpose of strategic alliance were to release of new Patient
Voice research results.</t>
  </si>
  <si>
    <t xml:space="preserve">1J4086
1J4089</t>
  </si>
  <si>
    <t xml:space="preserve">Wuxi Biologics (Cayman) Inc
Harbour Biomed</t>
  </si>
  <si>
    <t xml:space="preserve">Wuxi Biologics (Cayman) Inc,
located in Shanghai, China
is an investment holding
company. The Company along
with its subsidiaries is
mainly engaged in the
discovery, research and
development, manufacturing
and sales of biologics
products. The Company''s
primary products include the
clinical active
pharmaceutical ingredients,
sterile liquid preparations,
freeze-dried preparations,
as well as small molecules
antibiotics for injection
drugs. The Company mainly
distributes its products in
the United States of America
(USA) and the Peoples
Republic of China (PRC)
markets.
Harbour Biomed is a provider
of biotechnology research
and development services.
The Company is located in
Shanghai, China.</t>
  </si>
  <si>
    <t xml:space="preserve">New Wuxi Life Science Hldg Ltd
Harbour Biomed</t>
  </si>
  <si>
    <t xml:space="preserve">WUXI BIOLOGICS (CAYMAN) INC/HARBOUR BIOMED-STRATEGIC ALLIANCE</t>
  </si>
  <si>
    <t xml:space="preserve">Wuxi Biologics (Cayman) Inc and Harbour Biomed planned to form a strategic
alliance around the world for the development and manufacturing of
Harbour's leading HCAb antibody. The collaboration with WuXi Biologics will
support the supply of Harbour's products for clinical trials under
Investigational New Drug (IND) applications in China and worldwide.</t>
  </si>
  <si>
    <t xml:space="preserve">0F6437
1F2821</t>
  </si>
  <si>
    <t xml:space="preserve">YDreams Global Interactive
Quanta Dgt</t>
  </si>
  <si>
    <t xml:space="preserve">All Other Metal Ore Mining
Computer Systems Design Services</t>
  </si>
  <si>
    <t xml:space="preserve">YDreams Global Interactive
Technologies Inc, located in
Vancouver, Canada, is a
software publisher. The
Company was founded in April
2007.
Quanta Dgt is a provider of
computer systems design
services. The Company is
located in Brazil.</t>
  </si>
  <si>
    <t xml:space="preserve">YDREAMS GLOBAL INTERACTIVE TECHNOLOGIES INC/QUANTA DGT-STRATEGIC ALLIANCE</t>
  </si>
  <si>
    <t xml:space="preserve">YDreams Global Interactive Technologies Inc and Quanta Dgt formed a
strategic alliance in Brazil to create thousands of Virtual Reality ("VR")
experience rooms inside movie theaters, initially in Brazil, but with the
intention to be scaled out into an international product.</t>
  </si>
  <si>
    <t xml:space="preserve">037832
9H8574</t>
  </si>
  <si>
    <t xml:space="preserve">Wuxi Biologics Ireland Ltd
Ligand Pharmaceuticals Inc</t>
  </si>
  <si>
    <t xml:space="preserve">Wuxi Biologics Ireland Ltd
is a manufacturer of
pharmaceutical preparation.
The Company is located in
the Republic of Ireland.
Ligand Pharmaceuticals Inc,
headquartered in San Diego,
California, is a
biopharmaceutical company
that focuses on developing
and acquiring technologies
that help pharmaceutical
companies discover and
develop medicines. It is
involved in the development
and licensing of
biopharmaceutical assets. It
employs research
technologies, such as
nuclear receptor assays,
high throughout computer
screening, formulation
science, liver targeted
pro-drug technologies and
antibody discovery
technologies to assist
companies in their work
toward obtaining
prescription drug approvals.
It had partnerships and
license agreements with over
85 pharmaceutical and
biotechnology companies, and
over 140 various programs
under license with it were
in various stages of
commercialization and
development. It has
contributed research and
technologies for approved
medicines that treat cancer,
osteoporosis, fungal
infections and low blood
platelets, among others. The
Company was founded in 1987.</t>
  </si>
  <si>
    <t xml:space="preserve">New Wuxi Life Science Hldg Ltd
Ligand Pharmaceuticals Inc</t>
  </si>
  <si>
    <t xml:space="preserve">WUXI BIOLOGICS IRELAND LTD/LIGAND PHARMACEUTICALS INC-STRATEGIC ALLIANCE</t>
  </si>
  <si>
    <t xml:space="preserve">Wuxi Biologics Ireland Ltd and Ligand Pharmaceuticals Inc formed a
strategic alliance in United States &amp; Ireland to use Ligand's OmniRat,
OmniMouse and OmniFlic platforms solely to research, develop and make
antibodies, and Ligand has agreed to use commercially reasonable efforts to
deliver to WuXi Bio.</t>
  </si>
  <si>
    <t xml:space="preserve">The Strategic Alliance was to have a cost of 47 million USD</t>
  </si>
  <si>
    <t xml:space="preserve">9H9619
53220K</t>
  </si>
  <si>
    <t xml:space="preserve">BSES Yamuna Power Ltd
Bus Finland</t>
  </si>
  <si>
    <t xml:space="preserve">Electric Power Distribution
Other Financial Vehicles</t>
  </si>
  <si>
    <t xml:space="preserve">BSES Yamuna Power Ltd is an
electric power distributor.
The Company was founded in
2001 and is located in
Delhi, India.
Business Finland is a
financial vehicle. The
Company is located in
Finland.</t>
  </si>
  <si>
    <t xml:space="preserve">4911
6371</t>
  </si>
  <si>
    <t xml:space="preserve">Reliance Infrastructure Ltd
Bus Finland</t>
  </si>
  <si>
    <t xml:space="preserve">BSES YAMUNA POWER LTD/BUSINESS FINLAND-STRATEGIC ALLIANCE</t>
  </si>
  <si>
    <t xml:space="preserve">BSES Yamuna Power Ltd and Business Finland formed a strategic alliance.</t>
  </si>
  <si>
    <t xml:space="preserve">09815R
1J4059</t>
  </si>
  <si>
    <t xml:space="preserve">Enel SpA
Intesa Sanpaolo Spa</t>
  </si>
  <si>
    <t xml:space="preserve">Electric,gas utility
Commercial bank, holding company</t>
  </si>
  <si>
    <t xml:space="preserve">Enel SpA, located in Rome,
Italy, is an electric and
gas utility Company. It
operates in seven divisions.
The Sales segment focuses on
the sale of electricity and
gas products and services
for end users. The
Generation and Energy
Management is involved in
generation with thermal,
natural gas regasification
and schedulable
hydroelectric power plants.
The Infrastructure and
Networks distributes
electricity and public
lighting. The Iberia and
Latin America operates in
the electricity and gas
markets of Spain, Portugal
and Latin America. The
International segment
supports strategies for the
European and Russian
markets. The Renewable
Energy is active in the
generation of electricity
from renewable resources.
The Engineering and Research
develops the conventional
and nuclear construction of
power plants. The Company
was founded in 1962.
Intesa Sanpaolo SpA, located
in Turin, Italy, is a
commercial bank. The Company
also serves as a holding
company and its principal
activity is the provision of
an extensive range of banking
and financial services
worldwide, including
commercial and merchant
banking, telephone and
Internet banking, on-line
services, mutual fund issuing,
management, insurance, real
estate, factoring and leasing.
Founded in 1988.</t>
  </si>
  <si>
    <t xml:space="preserve">4911
6000</t>
  </si>
  <si>
    <t xml:space="preserve">ENEL SPA/INTESA SANPAOLO SPA-STRATEGIC ALLIANCE</t>
  </si>
  <si>
    <t xml:space="preserve">Enel SpA and Intesa Sanpaolo Spa planned to form a strategic alliance. The
purpose of strategic alliance is to support innovation in the energy
sector, promote the development of the circular economy and open
innovation.</t>
  </si>
  <si>
    <t xml:space="preserve">29265W
46115H</t>
  </si>
  <si>
    <t xml:space="preserve">Forest City Realty Trust Inc
Greenland Usa</t>
  </si>
  <si>
    <t xml:space="preserve">Real estate investment trust
Offices Of Real Estate Agents and Brokers</t>
  </si>
  <si>
    <t xml:space="preserve">Forest City Realty Trust
Inc, located in Cleveland,
Ohio, is a real estate
investment trust. It is
engaged in the ownership,
development, management and
acquisition of commercial,
residential and mixed-use
real estate in key urban
markets in the United
States. Its operating
segments includes Office,
Retail, Apartments,
Development, Corporate and
Other. Its Office segment
owns, acquires and operates
office and life science
buildings. Its Retail
segment owns, acquires and
operates regional malls,
specialty/urban retail
centers and amenity retail
within its mixed-use
projects. Its Apartments
operates rental properties,
including upscale and
middle-market apartments,
adaptive reuse developments
and subsidized senior
housing. Its Development
segment represents the
development and construction
of office and life science
buildings, regional malls,
centers, amenity retail,
apartments, condominiums and
mixed-use projects.
Greenland Usa The Company is
located in California.</t>
  </si>
  <si>
    <t xml:space="preserve">6798
6531</t>
  </si>
  <si>
    <t xml:space="preserve">FOREST CITY REALTY TRUST INC/GREENLAND USA-JOINT VENTURE</t>
  </si>
  <si>
    <t xml:space="preserve">Forest City Realty Trust Inc and Greenland Usa formed joint venture. The
purpose of joint venture is for developing Pacific Park Brooklyn, a 22-acre
mixed-use development in Brooklyn adjacent to the Barclays Center arena.</t>
  </si>
  <si>
    <t xml:space="preserve">345605
1J2816</t>
  </si>
  <si>
    <t xml:space="preserve">Piper Jaffray Cos
Kepler Cheuvreux SA</t>
  </si>
  <si>
    <t xml:space="preserve">Pvd investment banking svcs
Miscellaneous Financial Investment Activities</t>
  </si>
  <si>
    <t xml:space="preserve">Piper Jaffray Cos,
headquartered in
Minneapolis, Minnesota,
provides investment banking,
institutional sales, trading
and research, and investment
management services. The
holding company also
provides financial advisory
services relating to mergers
and acquisitions;
underwrites debt issuances;
and offers financial
advisory and interest rate
risk management services for
government and non-profit
client. In addition, the
company offers both equity
and fixed income advisory
and trade execution services
for public and private
corporations, public
entities, non profit
clients, and institutional.
The Company was founded in
1975.
Kepler Cheuvreux SA, located
in Paris, France, provides
financial services. Its core
business is equity
brokerage, including
research, sales and trading,
in addition to fixed income,
asset management and
corporate finance platforms.
It has offices in Amsterdam,
Frankfurt, Geneva, Madrid,
Milan, Paris, Zurich and New
York. The Company was
founded in 1997.</t>
  </si>
  <si>
    <t xml:space="preserve">PIPER JAFFRAY COS/KEPLER CHEUVREUX SA-STRATEGIC ALLIANCE</t>
  </si>
  <si>
    <t xml:space="preserve">Piper Jaffray Cos and Kepler Cheuvreux SA planned to form a strategic
alliance. The purpose of strategic alliance is to bringing Piper Jaffray
research to clients in France, Benelux, Germany, Italy, Spain and Finland.</t>
  </si>
  <si>
    <t xml:space="preserve">724078
4E8437</t>
  </si>
  <si>
    <t xml:space="preserve">Southern California Gas Co
Energir Inc
GRDF
GRTgaz SA</t>
  </si>
  <si>
    <t xml:space="preserve">Pvd natural gas distn svcs
Pvd natural gas distn svcs
Pvd natural gas distn
Pipeline Transportation Of Natural Gas</t>
  </si>
  <si>
    <t xml:space="preserve">Southern California Gas Co,
located in Los Angeles,
California, provides natural
gas distribution services. The
company is a subsidiary of
Sempra Energy Inc. The
company's principal activity
is to distribute and transport
natural gas, covering 20.9
million consumers in over 500
communities throughout Central
and Southern California.
Energir Inc, located in
Montreal, Quebec, transports
and distributes natural gas
in Quebec, in Canada and the
northeastern portion of
North America. It also sells
drinking and wastewater
systems, urban heating
plants, the maintenance and
rental of energy equipment,
and wind energy. The
Company, founded in 1955.
Gaz Reseau Distribution France
provides natural gas
distribution. The company is
headquartered in Paris,
France. It connects the
consumers to the distribution
network and provides services
associated with natural gas
delivery. Its activities
include transportation of
natural gas, designing,
building, developing,
operating and maintaining the
natural gas distribution
network. The company was
founded in 2004.
GRTgaz SA is a pipeline
transportation services of
natural gas. The Company was
founded in 2005 and is located
in Paris, France.</t>
  </si>
  <si>
    <t xml:space="preserve">4922
4924
4924
4923</t>
  </si>
  <si>
    <t xml:space="preserve">United States
Canada
France
France</t>
  </si>
  <si>
    <t xml:space="preserve">CA
FF
FF
FF</t>
  </si>
  <si>
    <t xml:space="preserve">Sempra Energy Inc
Trencap LP
GRDF
Engie SA</t>
  </si>
  <si>
    <t xml:space="preserve">4932
4925
4924
4911</t>
  </si>
  <si>
    <t xml:space="preserve">SOUTHERN CALIFORNIA GAS CO/ENERGIR INC/GRDF SA/GRTGAZ SA-STRATEGIC
ALLIANCE</t>
  </si>
  <si>
    <t xml:space="preserve">Southern California Gas Co, Energir Inc, GRDF SA and GRTgaz SA formed a
strategic alliance. The purpose of strategic alliance is to aim at
advancing the research and development of renewable natural gas and
technologies such as power-to-gas.</t>
  </si>
  <si>
    <t xml:space="preserve">842434
2H3148
36902H
36514Q</t>
  </si>
  <si>
    <t xml:space="preserve">Orgenesis Inc
Great Point Partners LLC</t>
  </si>
  <si>
    <t xml:space="preserve">Manufactures biological products
Private equity firm</t>
  </si>
  <si>
    <t xml:space="preserve">Orgenesis Inc, located in
Germantown, Maryland,
manufactures biological
products. It develops,
manufactus and processes
technologies and services in
the cell and gene therapy
industry. It operates a
point-of-care (POCare) cell
therapy platform (POC). The
POC platform develops
Advanced Therapy Medicinal
Products (ATMPs) through
collaborations and
in-licensing with other
pre-clinical and
clinical-stage
biopharmaceutical companies
and research and healthcare
institutes to bring such
ATMPs to patient. The POC
platform include a multitude
of cell therapies, including
autoimmune, oncologic,
neurologic and metabolic
diseases and other
indications. The Company was
founded in June 2008.
Great Point Partners LLC,
located in Greenwich,
Connecticut, is a private
equity firm focused in all
sectors of health care
including specialty
pharmaceuticals, medical
devices, biotechnology, and
healthcare services. The
Company was founded in 2003.</t>
  </si>
  <si>
    <t xml:space="preserve">MD
CT</t>
  </si>
  <si>
    <t xml:space="preserve">ORGENESIS INC/GREAT POINT PARTNERS LLC-STRATEGIC ALLIANCE</t>
  </si>
  <si>
    <t xml:space="preserve">Orgenesis Inc and Great Point Partners LLC formed a strategic alliance. The
purpose of strategic allaince is to finance, strengthen and expand
Orgenesis contract development and manufacturing organization (CDMO)
business through the Companys newly formed subsidiary, Masthercell Global
Inc. (Masthercell Global).</t>
  </si>
  <si>
    <t xml:space="preserve">68619K
39120P</t>
  </si>
  <si>
    <t xml:space="preserve">Jam Prodns Inc
Farpoint Dvlp Llc</t>
  </si>
  <si>
    <t xml:space="preserve">Drinking Places (Alcoholic Beverages)
Offices Of Real Estate Agents and Brokers</t>
  </si>
  <si>
    <t xml:space="preserve">Jam Productions Inc The
Company is located in
Chicago, Illinois.
Farpoint Development LLC The
Company is located in
Illinois.</t>
  </si>
  <si>
    <t xml:space="preserve">5813
6531</t>
  </si>
  <si>
    <t xml:space="preserve">JAM PRODUCTIONS INC/FARPOINT DEVELOPMENT LLC-JOINT VENTURE</t>
  </si>
  <si>
    <t xml:space="preserve">Jam Productions Inc and Farpoint Development LLC formed joint venture. The
purpose of joint venture is to comprehensively restore the Spanish
Revival-style building as modern entertainment venue.</t>
  </si>
  <si>
    <t xml:space="preserve">1J3646
1J3647</t>
  </si>
  <si>
    <t xml:space="preserve">Hexcel Corp
Sichuan Mingri Yuhang Ind Co</t>
  </si>
  <si>
    <t xml:space="preserve">Manufacture structural materials
Aircraft Manufacturing</t>
  </si>
  <si>
    <t xml:space="preserve">Hexcel Corp, located in
Stamford, Connecticut, is a
composites company. It
develops, manufactures, and
markets lightweight,
structural materials,
including carbon fibers,
specialty reinforcements,
prepregs and other
fiber-reinforced matrix
materials, honeycomb,
adhesives, engineered
honeycomb and structures,
for use in Commercial
Aerospace, Space and Defense
and Industrial markets. It
operates in two segments:
Composite Materials and
Engineered Products. The
Composite Materials segment
consists of its carbon
fiber, specialty
reinforcements, resins,
materials, and honeycomb
core product lines. The
Engineered Products segment
consists of lightweight
structures, molded
components, engineered core
and honeycomb products with
added functionality. Its
products are used in a range
of end applications, such as
commercial and military
aircraft, space launch
vehicles and satellites,
wind turbine blades,
automotive, and recreational
products. The Company was
founded in 1946.
Sichuan Mingri Yuhang
Industry Co Ltd is a
manufacturer of aircrafts.
The Company was founded in
December 2009 and is located
in Deyang, China.</t>
  </si>
  <si>
    <t xml:space="preserve">2821
3728</t>
  </si>
  <si>
    <t xml:space="preserve">Hexcel Corp
Xinjiang Mach Research Inst</t>
  </si>
  <si>
    <t xml:space="preserve">2821
3523</t>
  </si>
  <si>
    <t xml:space="preserve">HEXCEL CORP/SICHUAN MINGRI YUHANG INDUSTRY-JOINT VENTURE</t>
  </si>
  <si>
    <t xml:space="preserve">Shanghai Future Aerospace
Hexcel Commercial Composite
Testing Ltd is a
manufacturer of guided
missiles and space vehicles.
The Company is located in
China.</t>
  </si>
  <si>
    <t xml:space="preserve">Hexcel Corp and Sichuan Mingri Yuhang Industry Co Ltd formed joint venture.
The purpose of Joint Venture is to establish a materials testing lab in
China and to provide a world-class laboratory for the Shanghai area,
offering testing services to commercial aerospace industries in China and
Asia Pacific.</t>
  </si>
  <si>
    <t xml:space="preserve">1J4765</t>
  </si>
  <si>
    <t xml:space="preserve">428291
7E6906</t>
  </si>
  <si>
    <t xml:space="preserve">Premier Gold Mines Ltd
Barrick Gold Corp</t>
  </si>
  <si>
    <t xml:space="preserve">Ggold mining company
Gold Ore Mining</t>
  </si>
  <si>
    <t xml:space="preserve">Premier Gold Mines Ltd,
located in Thunder Bay,
Ontario, is a gold mining
company focused on the
exploration and development
of gold deposits
strategically located in the
Red Lake, Ontario joint
venture properties. It holds
interests in Rahill-Bonanza
Project, Trans-Canada
Project, Saddle Project, and
PQ North Project. It has
operations in the US,
Canada, and Mexico. The
Company was founded on May
29, 2006.
Barrick Gold Corp, located
in Toronto, Ontario, is a
gold mining company. The
Company has a portfolio of
27 operating mines and
advanced exploration and
development projects across
the world. It is also
engaged in exploration and
development of copper and
nickel mines. It has
operations in the United
States, Canada, South
America, Australia, and
Africa. Its projects include
Pueblo Viejo, Pascua-Lama,
Cerro Casale, Bald Mountain,
Cortez, Cowal, Kanowna, and
Zaldivar Projects, among
others. The Company was
founded in 1984.</t>
  </si>
  <si>
    <t xml:space="preserve">PREMIER GOLD MINES LTD/BARRICK GOLD CORP-JOINT VENTURE</t>
  </si>
  <si>
    <t xml:space="preserve">Premier Gold Mines Ltd and Barrick Gold Corp planned to form joint venture.
The purpose of joint venture is to provide an update of development
programs initiated at the Company's South Arturo Property located in the
Carlin Trend of Nevada where construction of both the Phase 1 open pit and
the El Nino underground mine have commenced.</t>
  </si>
  <si>
    <t xml:space="preserve">Research &amp; Development Services
Property Development Services
Construction Services</t>
  </si>
  <si>
    <t xml:space="preserve">74051D
067901</t>
  </si>
  <si>
    <t xml:space="preserve">Brainstorm Cell Therapeutics
Dana-Farber Cancer Institute</t>
  </si>
  <si>
    <t xml:space="preserve">Biotechnology company
Provide cancer research svcs</t>
  </si>
  <si>
    <t xml:space="preserve">BrainStorm Cell Therapeutics
Inc, based in New York, New
York, is a biotechnology
company focuses on developing
innovative, autologous stem
cell therapies for highly
debilitating neurodegenerative
diseases such as Amyotrophic
Lateral Sclerosis (ALS, also
known as Lou Gehrig's
disease), Multiple Sclerosis
(MS) and Parkinsons Disease
(PD).
Provide cancer research
services</t>
  </si>
  <si>
    <t xml:space="preserve">BRAINSTORM CELL THERAPEUTICS/DANA-FARBER CANCER INSTITUTE-STRATEGIC
ALLIANCE</t>
  </si>
  <si>
    <t xml:space="preserve">Brainstorm Cell Therapeutics Inc and Dana-Farber Cancer Institute planned
to form a strategic alliance. The purpose of strategic alliance was to
supply NurOwn for the BrainStorm's ongoing randomized, double-blind,
multi-dose Phase 3 clinical trial in patients with amyotrophic lateral
sclerosis (ALS) as well as other potential indications.</t>
  </si>
  <si>
    <t xml:space="preserve">10501E
23581X</t>
  </si>
  <si>
    <t xml:space="preserve">Athenex Inc
Xiangxue Life Sciences Co Ltd</t>
  </si>
  <si>
    <t xml:space="preserve">Kinex Pharmaceuticals Inc,
based in Buffalo, New York,
is a pharmaceutical company
focused on the development
and commercialization of
next generation therapies
for cancer and
immunomodulatory diseases.
The company's products
include Oraxol, an oral
formulation of paclitaxel
for breast, lung, ovarian,
and pancreatic cancer
patients; Oratecan, an oral
formulation of Irinotecan,
used in the treatment of
colorectal cancers; KX01, an
inhibitor of Src tyrosine
kinase signaling and tubulin
polymerization; and KX02, a
dual src/pretubulin
inhibitor to eliminate
glioblastoma. It has offices
in the United States,
Taiwan, and Hong Kong. The
company was founded in 2004.
Xiangxue Life Sciences Co
Ltd is a manufacturer of
pharmaceutical preparation.
The Company was founded in
February 2015 and is located
in China.</t>
  </si>
  <si>
    <t xml:space="preserve">Athenex Inc
Xiangxue Pharm Co Ltd</t>
  </si>
  <si>
    <t xml:space="preserve">ATHENEX INC/XIANGXUE LIFE SCIENCES CO LTD-JOINT VENTURE</t>
  </si>
  <si>
    <t xml:space="preserve">Axis Therapeutics Ltd is a
manufacturer of
pharmaceutical preparation.
The Company was founded in
1970 and is located in Na01.</t>
  </si>
  <si>
    <t xml:space="preserve">Athenex Inc and Xiangxue Life Sciences Co Ltd formed a joint venture named
Axis Therapeutics Ltd.The purpose of the joint venture was to develop
therapeutic products for oncology indications worldwide except in China.</t>
  </si>
  <si>
    <t xml:space="preserve">1J1418</t>
  </si>
  <si>
    <t xml:space="preserve">04685N
0J1737</t>
  </si>
  <si>
    <t xml:space="preserve">Xiamen King Long Motor Grp Co
Baidu Inc
SB Drive Corp</t>
  </si>
  <si>
    <t xml:space="preserve">Mnfr,whl motor vehicles,parts
Pvd Internet search engine svc
Other Scientific and Technical Consulting Services</t>
  </si>
  <si>
    <t xml:space="preserve">Xiamen King Long Motor Group
Co Ltd is a manufacturer and
wholesaler of automobiles.
The Company was founded in
December 1992 and is located
in Xiamen, China.
Baidu Inc, located in
Beijing, China, provides
Chinese language Internet
search engine services with
functional product coverage
such as regional search,
movie, map, ancient
literature, government,
education, new, mobile and
file search, entertainment,
yellow pages, postal codes,
legal, education, blog and
videos. The Company was
founded in 1999.
SB Drive Corp is a provider of
technical consulting services.
The Company was founded in
April 2016 and is located in
Minato-Ku Tokyo, Japan.</t>
  </si>
  <si>
    <t xml:space="preserve">3711
7375
8748</t>
  </si>
  <si>
    <t xml:space="preserve">China
China
Japan</t>
  </si>
  <si>
    <t xml:space="preserve">Xiamen King Long Motor Grp Co
Baidu Inc
Advanced Smart Mobility Co Ltd</t>
  </si>
  <si>
    <t xml:space="preserve">3711
7375
7371</t>
  </si>
  <si>
    <t xml:space="preserve">XIAMEN KING LONG MOTOR GROUP CO LTD/BAIDU INC/SB DRIVE CORP-STRATEGIC
ALLIANCE</t>
  </si>
  <si>
    <t xml:space="preserve">Xiamen King Long Motor Group Co Ltd, Baidu Inc and SB Drive Corp formed a
strategic alliance in Japan to jointly develop and deploy a version of the
Apolong self-driving mini bus for the Japanese market. Under the agreement,
ten Apolong mini buses will be exported to Japan from China in early 2019.
This agreement marks the first time autonomous vehicles will be exported
from China.</t>
  </si>
  <si>
    <t xml:space="preserve">Research &amp; Development Services
Software Development Services
Manufacturing Services
Automotive Services</t>
  </si>
  <si>
    <t xml:space="preserve">98523K
056752
3F8579</t>
  </si>
  <si>
    <t xml:space="preserve">Enzyvant
Visikol Inc</t>
  </si>
  <si>
    <t xml:space="preserve">Enzyvant is a provider of
biotechnology research and
development services. The
Company is located in
Massachusetts.
Visikol Inc. is a United
States-based biotechnology
company. The Company is
focused on developing tissue
clearing technology to
develop bio-imaging
platforms for 3D tissue
imaging and developmental
toxicology applications. The
Companys HISTO technology
provides a rapid,
non-destructive, easy-to-use
process that allows any
researcher to add a new
dimension to his or her
research with the power of
tissue clearing.</t>
  </si>
  <si>
    <t xml:space="preserve">ENZYVANT/VISIKOL INC-STRATEGIC ALLIANCE</t>
  </si>
  <si>
    <t xml:space="preserve">Enzyvant and Visikol Inc formed a strategic alliance.The purpose of
strategic alliance was to develop a novel assay for thymic histology
samples.</t>
  </si>
  <si>
    <t xml:space="preserve">1J1864
1J1866</t>
  </si>
  <si>
    <t xml:space="preserve">Cellect Biotechnology Ltd
Denovomatrix Gmbh</t>
  </si>
  <si>
    <t xml:space="preserve">Cellect Biotechnology Ltd is
a manufacturer of biological
products. The Company was
founded in 2004 and is
located in Kfar Saba,
Israel. It has developed a
technology platform known as
Powered by Cellect that
functionally selects stem
cells in order to improve
the safety and efficacy of
regenerative medicine stem
cell therapies.
Denovomatrix GmbH is a
provider of biotechnology
research and development
services. The Company is
located in Germany.</t>
  </si>
  <si>
    <t xml:space="preserve">CELLECT BIOTECHNOLOGY LTD/DENOVOMATRIX GMBH-STRATEGIC ALLIANCE</t>
  </si>
  <si>
    <t xml:space="preserve">Cellect Biotechnology Ltd and Denovomatrix GmbH formed a strategic
alliance.</t>
  </si>
  <si>
    <t xml:space="preserve">1J2426
1J1465</t>
  </si>
  <si>
    <t xml:space="preserve">Co Don AG
Xintela AB</t>
  </si>
  <si>
    <t xml:space="preserve">Co.don AG, located in
Teltow, Germany, is a
biotechnology company. It is
active in the tissue
engineering and regenerative
medicine. The Company
manufactures cell-based
biological drugs for the use
in orthopedic and
neurosurgical applications.
Its products are used for
the treatment of focal
particular cartilage
defects, lumbar disc
herniation, non-union
fractures and dental
disorders. The Company was
founded in 1992.
Xintela AB is a biomedical
company engaged in the
fields of regenerative
medicine and cancer, with
particular focus on
cartilage damage and brain
tumors. The Company was
founded in 2009 and is
located in Lund, Sweden. In
the field of regenerative
medicine, it focuses on
cartilage damage and
osteoarthritis, and in the
field of brain tumors, its
focuses on the development
of a treatment for
glioblastoma, an aggressive
tumor. The Company has
developed therapeutic
antibodies, which bind to
cancer cells. It has also
developed XINMARK, a marker
technology which consists of
specific proteins, which
work as recognition flags on
the surface of certain
cells. The markers make it
possible to identify and
select certain types of stem
cells which can develop into
cartilage cells.</t>
  </si>
  <si>
    <t xml:space="preserve">CO DON AG/XINTELA AB-STRATEGIC ALLIANCE</t>
  </si>
  <si>
    <t xml:space="preserve">co don AG and Xintela AB signed a letter of intent to form an alliance. The
purpose of strategic alliance was to jointly develop a stem cell product
for the treatment of osteoarthritis based on Xintela's stem cell
technology.</t>
  </si>
  <si>
    <t xml:space="preserve">21659M
6H7098</t>
  </si>
  <si>
    <t xml:space="preserve">Axovant Sciences Ltd
Benitec Biopharma Ltd</t>
  </si>
  <si>
    <t xml:space="preserve">Axovant Sciences Ltd, located
in Hamilton,Bermuda, is a
biopharmaceutical company
focused on the acquisition,
development and
commercialization of novel
therapeutics for the treatment
of neurodegenerative
disorders. The company''s main
product, RVT-101, aims to
treat Alzheimer''s disease and
other forms of dementia. The
company was founded on 2014.
Benitec Biopharma Ltd,
headquartered in North
Sydney, Australia, is a
biotechnology company. Its
principal activity is
developing therapies for the
treatment of life
threatening diseases. The
Company's primary
therapeutic program focuses
on human immunodeficiency
virus (HIV). Other projects
are in the area of
infectious diseases and
cancer. It also licenses its
technology outside of its
core in-house programs. It
was founded in 1997.</t>
  </si>
  <si>
    <t xml:space="preserve">Bermuda
Australia</t>
  </si>
  <si>
    <t xml:space="preserve">Roivant Sciences Inc
Benitec Biopharma Ltd</t>
  </si>
  <si>
    <t xml:space="preserve">AXOVANT SCIENCES LTD/BENITEC BIOPHARMA LTD-STRATEGIC ALLIANCE</t>
  </si>
  <si>
    <t xml:space="preserve">Axovant Sciences Ltd and Benitec Biopharma Ltd formed a strategic
alliance.</t>
  </si>
  <si>
    <t xml:space="preserve">7C7550
Q14711</t>
  </si>
  <si>
    <t xml:space="preserve">Marita Grp Hldg
Triton Solar Llc</t>
  </si>
  <si>
    <t xml:space="preserve">Other Activities Related To Real Estate
Printed Circuit Assembly (Electronic Assembly) Manufacturing</t>
  </si>
  <si>
    <t xml:space="preserve">Marita Group Holding is a
provider of real estate
services. The Company is
located in Morocco.
Triton Solar LLC The Company
is located in New Jersey.</t>
  </si>
  <si>
    <t xml:space="preserve">6531
3577</t>
  </si>
  <si>
    <t xml:space="preserve">Morocco
United States</t>
  </si>
  <si>
    <t xml:space="preserve">MARITA GROUP HOLDING/TRITON SOLAR LLC-STRATEGIC ALLIANCE</t>
  </si>
  <si>
    <t xml:space="preserve">Marita Group Holding and Triton Solar LLC formed a strategic alliance. The
purpose of strategic alliance is to sell, develop and operate a pipeline of
Nanotechnology next-generation lithium-ion batteries for the African
market, US information website Newswire reports.</t>
  </si>
  <si>
    <t xml:space="preserve">1J0053
1J3716</t>
  </si>
  <si>
    <t xml:space="preserve">ResMed Inc
Verily Life Sciences LLC</t>
  </si>
  <si>
    <t xml:space="preserve">Mnfr,whl respiratory med equip
Manufactures health data collection tools,platforms</t>
  </si>
  <si>
    <t xml:space="preserve">ResMed Inc, located in San
Diego, California,
manufactures and wholesales
medical equipment for the
screening, treatment and
long-term management of
sleep-disordered breathing
and other respiratory
disorders. It operates in
over 68 countries via 18
direct offices and a network
of distributors. The Company
was founded in 1989.
Verily Life Sciences LLC is
a manufactures tools and
platforms for health data
collection and
decision-making. It also
provides biotechnological
research services through
its partnership with
companies that aim to
develop medical devices for
disease prediction and
prevention.The Company was
founded in December 2015 and
is located in South San
Francisco, California.</t>
  </si>
  <si>
    <t xml:space="preserve">ResMed Inc
Alphabet Inc</t>
  </si>
  <si>
    <t xml:space="preserve">RESMED INC/VERILY LIFE SCIENCES LLC-JOINT VENTURE</t>
  </si>
  <si>
    <t xml:space="preserve">ResMed Inc and Verily Life Sciences LLC formed a joint venture in United
States to study the health and financial impacts of undiagnosed and
untreated sleep apnoea, and develop software solutions that enable
healthcare providers to more efficiently identify, diagnose, treat and
manage individuals with the condition and other breathing related sleep
disorders.</t>
  </si>
  <si>
    <t xml:space="preserve">Software Development Services
Research &amp; Development Services
Health &amp; Medical Services</t>
  </si>
  <si>
    <t xml:space="preserve">761152
6E0406</t>
  </si>
  <si>
    <t xml:space="preserve">Merck KGaA
Xian-Janssen Pharm Ltd</t>
  </si>
  <si>
    <t xml:space="preserve">Manufactures and wholesales pharmaceuticals, specialty chemicals, and cosmetic pigments
Mnfr pharmaceuticals</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</si>
  <si>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Manufacture prescription
pharmaceuticals intended for
final consumption, including
biotech products and
antibiotics</t>
  </si>
  <si>
    <t xml:space="preserve">Merck KGaA
J&amp;J</t>
  </si>
  <si>
    <t xml:space="preserve">MERCK KGAA/XIAN-JANSSEN PHARMACEUTICAL-STRATEGIC ALLIANCE</t>
  </si>
  <si>
    <t xml:space="preserve">Merck KGaA and Xian-Janssen Pharmaceutical Ltd(Janssen Pharmaceutica NV,
China) formed a strategic alliance to launch INVOKANA (canagliflozin), an
innovative drug for adults with type 2 diabetes in China. Through this
agreement, the two companies will work closely together on future
development, distribution, promotion, access, marketing and sales of
INVOKANA (canagliflozin) in the country and Merck will hold the exclusive
rights for INVOKANA's promotion in China.</t>
  </si>
  <si>
    <t xml:space="preserve">Research &amp; Development Services
Retail &amp; Wholesale Services
Marketing Services
Health &amp; Medical Services</t>
  </si>
  <si>
    <t xml:space="preserve">589339
98446F</t>
  </si>
  <si>
    <t xml:space="preserve">Dupont Safety &amp; Constr Inc
Skycell AG</t>
  </si>
  <si>
    <t xml:space="preserve">Marketing Consulting Services
Process, Physical Distribution, and Logistics Consulting Services</t>
  </si>
  <si>
    <t xml:space="preserve">Dupont Safety &amp; Construction
Inc is a provider of
marketing consulting
services. The Company is
located in Michigan.
Skycell AG is a provider of
logistics consulting
services. The Company
developed the next
generation of temperature
controlled logistics
containers for the
pharmaceutical industry. The
Company was founded in 2013
and is located in Zurich,
Switzerland.</t>
  </si>
  <si>
    <t xml:space="preserve">Dowdupont Inc
Skycell AG</t>
  </si>
  <si>
    <t xml:space="preserve">2821
8742</t>
  </si>
  <si>
    <t xml:space="preserve">DUPONT SAFETY &amp; CONSTRUCTION INC/SKYCELL AG-STRATEGIC ALLIANCE</t>
  </si>
  <si>
    <t xml:space="preserve">Dupont Safety Construction Inc and Skycell AG planned to form a strategic
alliance around the world to collaborate on technical and market
development. The combined effort is aimed at maintaining the physical and
clinical integrity of pharmaceuticals in transit.</t>
  </si>
  <si>
    <t xml:space="preserve">1J8678
1J8685</t>
  </si>
  <si>
    <t xml:space="preserve">Pharmakrysto Ltd
Rutgers State University</t>
  </si>
  <si>
    <t xml:space="preserve">Pharmakrysto Ltd is a
manufacturer of
pharmaceutical preparation.
The Company was founded in
October 2017 and is located
in the United Kingdom.
Rutgers University, based in
New Jersey, owns and
operates college and
university in the United
States.</t>
  </si>
  <si>
    <t xml:space="preserve">Pharmakrysto Ltd
United States of America</t>
  </si>
  <si>
    <t xml:space="preserve">PHARMAKRYSTO LTD/RUTGERS STATE UNIVERSITY-STRATEGIC ALLIANCE</t>
  </si>
  <si>
    <t xml:space="preserve">Pharmakrysto Ltd and Rutgers State University formed a strategic alliance
for PK10, a potentially revolutionary compound to treat people with
cystinuria. PharmaKrysto also announces that based on preclinical data
demonstrating that this treatment has the potential to be effective in
patients with cystinuria and, in a clear recognition of the seriousness of
this medical condition as well as its rarity in the USA and Europe.</t>
  </si>
  <si>
    <t xml:space="preserve">1J8579
78319M</t>
  </si>
  <si>
    <t xml:space="preserve">Gipp Co Ltd
IngDan Inc</t>
  </si>
  <si>
    <t xml:space="preserve">Other Management Consulting Services
Computer Systems Design Services</t>
  </si>
  <si>
    <t xml:space="preserve">Gipp Co Ltd is a provider of
management consulting
services. The Company is
located in Japan.
IngDan Inc is a provider of
computer systems design
services. The Company was
founded in July 2013 and is
located in China.</t>
  </si>
  <si>
    <t xml:space="preserve">8748
7373</t>
  </si>
  <si>
    <t xml:space="preserve">InfoDeliver Corp
IngDan Inc</t>
  </si>
  <si>
    <t xml:space="preserve">7374
7373</t>
  </si>
  <si>
    <t xml:space="preserve">GIPP CO LTD/INGDAN INC-STRATEGIC ALLIANCE</t>
  </si>
  <si>
    <t xml:space="preserve">Gipp Co Ltd and IngDan Inc formed a strategic alliance in China to make a
investment in Japanese technology companies and providing business
development advisory based on IngDan's ample industry resources.</t>
  </si>
  <si>
    <t xml:space="preserve">Investment Services
Research &amp; Development Services
Computer Programming Services</t>
  </si>
  <si>
    <t xml:space="preserve">1J8711
8F3711</t>
  </si>
  <si>
    <t xml:space="preserve">Nebulas.Io
Egretia Foundation Ltd</t>
  </si>
  <si>
    <t xml:space="preserve">Marketing Consulting Services
Custom Computer Programming Services</t>
  </si>
  <si>
    <t xml:space="preserve">Nebulas.Io The Company is
located in California.
Egretia Foundation Ltd The
Company is located in
Singapore.</t>
  </si>
  <si>
    <t xml:space="preserve">8742
7371</t>
  </si>
  <si>
    <t xml:space="preserve">NEBULAS.IO/EGRETIA FOUNDATION LTD-STRATEGIC ALLIANCE</t>
  </si>
  <si>
    <t xml:space="preserve">Nebulas.Io and Egretia Foundation Ltd planned to form a strategic alliance.
The purpose of strategic alliance is to enhance each other's technology and
community, with the broad aim of strengthening and facilitating
decentralized app (dApp) development, and accelerating mass adoption for
blockchain technology.</t>
  </si>
  <si>
    <t xml:space="preserve">1J3687
1J3688</t>
  </si>
  <si>
    <t xml:space="preserve">MolMed SpA
GlaxoSmithKline PLC</t>
  </si>
  <si>
    <t xml:space="preserve">Molecular Medicine SpA,
located in Milan, Italy, is
a biotechnology company,
focused on discovery, R&amp;D,
and clinical validation of
innovative therapies for the
treatment of cancer. The
Company is active in the
research, development and
clinical validation of
therapies for the treatment
of cancer. The Company''s
activities include
identification and
development of
bio-pharmaceuticals reducing
the tumor mass and slowing
down its growth, as well as
the development of selective
therapies to eliminate
residual tumor tissue.
MolMeds pipeline comprises
two main investigational
anticancer therapies: TK,
which is a cell-based
therapy for the treatment of
leukemia, and NGR-hTNF,
which is a biological drug
targeting tumor blood
vessels for the treatment of
solid tumors. MolMed
develops, conducts and
validates custom studies,
creating testing procedures
and addressing the test
specifications required for
cell-based therapies. It is
also active in the
production of cell-based
medicinal products used in
clinical trials and drug
development of cell-based
therapies. Founded in 1996.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</si>
  <si>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MOLECULAR MEDICINE SPA/GLAXOSMITHKLINE PLC-STRATEGIC ALLIANCE</t>
  </si>
  <si>
    <t xml:space="preserve">Molecular Medicine SpA and GlaxoSmithKline PLC formed a strategic alliance
around the world for the development and manufacturing of lentiviral
vectors to be used for clinical application in GSK's oncology programme.</t>
  </si>
  <si>
    <t xml:space="preserve">55512N
37733W</t>
  </si>
  <si>
    <t xml:space="preserve">MTS
Asustek Computer Inc</t>
  </si>
  <si>
    <t xml:space="preserve">Wireless Telecommunications Carriers (Except Satellite)
Mnfr,whl computer motherboards</t>
  </si>
  <si>
    <t xml:space="preserve">Mobile TeleSystems PJSC,
located in Moscow, Russian
Federation, provides wireless
telecommunications services in
the Russian Federation,
Ukraine Uzbekistan, and
Turkmenistan. The Company
provides network access
services such as mobile
cellular voice, data, and
facsimile communication
services to its subscribers on
various tariff plans. It also
offers various services
including voice mail, short
message services, general
packet radio services, and
multimedia message services.
The Company was founded in
October 1, 1993.
ASUSTeK Computer Inc,
located in Taipei City,
Taiwan, manufactures and
wholesales computer
peripherals and motherboards
and develops desktop and
computer software. The
Company's products include
desktop barebone systems,
servers, notebooks,
handhelds, network devices,
broadband communications,
LCD monitors, TVs, wireless
applications, and CPT
(chassis, power supply and
thermal) products. The
Company was founded on 2
April 1990.</t>
  </si>
  <si>
    <t xml:space="preserve">4812
3577</t>
  </si>
  <si>
    <t xml:space="preserve">Russian Fed
Taiwan</t>
  </si>
  <si>
    <t xml:space="preserve">MOBILE TELESYSTEMS PJSC/ASUSTEK COMPUTER INC-STRATEGIC ALLIANCE</t>
  </si>
  <si>
    <t xml:space="preserve">Mobile TeleSystems PJSC and Asustek Computer Inc formed a strategic
alliance. The purpose of strategic alliance is to cooperate in the
promotion of mobile devices and development of new products.</t>
  </si>
  <si>
    <t xml:space="preserve">607409
04658T</t>
  </si>
  <si>
    <t xml:space="preserve">Lockheed Martin Corp
Arconic Inc</t>
  </si>
  <si>
    <t xml:space="preserve">Mnfr aerospace sys,prod
Manufactures, wholesales aluminum products</t>
  </si>
  <si>
    <t xml:space="preserve">Lockheed Martin Corp,
headquartered in Bethesda,
Maryland, manufactures
guided missiles and space
vehicles, radar systems,
military communications and
information systems. It
performs technical and
supply support, quality
assurance, inventory
management, and technical
documentation functions. It
receive, inspect, induct,
process and issue torpedoes,
performing maintenance
actions and associated
torpedo component and test
equipment troubleshooting,
repair and maintenance. The
Company was founded in 1995.
Arconic Inc manufactures and
wholesales primary aluminum,
fabricated aluminum,
alumina, aluminum automotive
wheels and aluminum foil and
packaging products. It is
also a holding Company and
serves the aerospace,
automotive, packaging,
building and construction,
commercial transportation
and industrial markets,
bringing design, engineering
and other capabilities to
its customers. In addition
to aluminum products and
components, it also markets
Arconic wheels, fastening
systems, precision and
investment castings and
building systems. The
Company operates through
three segments including
Global Rolled Products,
Engineered Products and
Solutions, and
Transportation and
Construction Solutions. The
Company was founded in
September 1888 and is
located in New York, New
York.</t>
  </si>
  <si>
    <t xml:space="preserve">3761
3356</t>
  </si>
  <si>
    <t xml:space="preserve">LOCKHEED MARTIN CORP/ARCONIC INC-STRATEGIC ALLIANCE</t>
  </si>
  <si>
    <t xml:space="preserve">Lockheed Martin Corp and Arconic Inc formed a strategic alliance in United
States to develop customized lightweight material systems and advanced
manufacturing processes, such as metal 3D printing, to advance current and
next-generation aerospace and defense solutions.</t>
  </si>
  <si>
    <t xml:space="preserve">539830
03965L</t>
  </si>
  <si>
    <t xml:space="preserve">CoreRx Inc
Innovation Pharmaceuticals Inc</t>
  </si>
  <si>
    <t xml:space="preserve">CoreRx Inc provides research
and development services.
The Company is headquartered
in Clearwater, Florida. It
offers comprehensive drug
product development services
to the pharmaceutical and
biotechnology industries
which include
Pre-Formulation, Formulation
Development, Clinical
Manufacturing, Analytical
Development, First-in-Man
Studies and Contract
Manufacturing.
Innovation Pharmaceuticals
Inc, located in Beverly,
Massachusetts. Innovation,
formerly Cellceutix
Corporation, is a
clinical-stage
biopharmaceutical company.
It is engaged in developing
therapies with oncology,
dermatology and
antimicrobial applications.
It also owns the rights to
various drug compounds,
including Kevetrin
(thioureidobutyronitrile),
which is its anti-cancer
compound; Prurisol (KM-133),
which is in development for
psoriasis, and Brilacidin,
which is its drug in a class
of compounds known as
defensin-mimetics. The
Company was founded in 2005.</t>
  </si>
  <si>
    <t xml:space="preserve">CORERX INC/INNOVATION PHARMACEUTICALS INC-STRATEGIC ALLIANCE</t>
  </si>
  <si>
    <t xml:space="preserve">CoreRx Inc and Innovation Pharmaceuticals Inc formed a strategic
alliance.The purpose of the strategic alliance is to formulating Brilacidin
into granular form in unit dose sachets. Such drug product packaging in the
form of sachets provides patients with a convenient, portable, quick-mixing
instant Brilacidin oral rinse therapy.</t>
  </si>
  <si>
    <t xml:space="preserve">5A8451
45782D</t>
  </si>
  <si>
    <t xml:space="preserve">KeyHolder Inc
Undisclosed JV Partner</t>
  </si>
  <si>
    <t xml:space="preserve">Amusement Arcades
Investment company</t>
  </si>
  <si>
    <t xml:space="preserve">KeyHolder Inc, headquartered
in Tokyo, Japan, operates
amusement facilities. The
Company operates in four
business segments. The
Amusement Facilities
Operation segment is engaged
in the direct operation of
stores. The Design and
Construction segment is
engaged in the development,
design and construction of
amusement facilities and
pachinko halls. The Rental
segment rents pachi-slot
machines and peripheral
equipment. The Real Estate
segment purchases, sells and
leases real estate. The
company was founded in 1964.
Investment company</t>
  </si>
  <si>
    <t xml:space="preserve">7993
6799</t>
  </si>
  <si>
    <t xml:space="preserve">KEYHOLDER INC/UNDISCLOSED PARTNER-JOINT VENTURE</t>
  </si>
  <si>
    <t xml:space="preserve">KeyHolder Inc and Undisclosed Joint Venture Partner planned to form joint
venture. The purpose of joint venture is for planning, development and
producing of entertainment content, with partners.</t>
  </si>
  <si>
    <t xml:space="preserve">1H7532
904JVP</t>
  </si>
  <si>
    <t xml:space="preserve">Datametrex AI Ltd
Graph Blockchain Ltd</t>
  </si>
  <si>
    <t xml:space="preserve">Data Processing, Hosting, and Related Services
Develops software</t>
  </si>
  <si>
    <t xml:space="preserve">Datametrex AI Ltd,
headquartered in Toronto,
Ontario, is a data and
artificial intelligence
company focused on the
collection and sale of data
from retail Point of Sale
(POS) terminals and
providing AI solutions for
governments and corporations
globally.. The Company was
founded on March 4, 2011.
Graph Blockchain Ltd,
located in Toronto, Ontario,
develops software.</t>
  </si>
  <si>
    <t xml:space="preserve">7374
7372</t>
  </si>
  <si>
    <t xml:space="preserve">Datametrex AI Ltd
Bitnine Co Ltd</t>
  </si>
  <si>
    <t xml:space="preserve">DATAMETREX AI LTD/GRAPH BLOCKCHAIN LTD-JOINT VENTURE</t>
  </si>
  <si>
    <t xml:space="preserve">Datametrex AI Ltd and Graph Blockchain Ltd planned to form joint venture.
The purpose of joint venture is for the development of the prototype
solution for a division of Samsung.</t>
  </si>
  <si>
    <t xml:space="preserve">300080
1H3427</t>
  </si>
  <si>
    <t xml:space="preserve">Axis Therapeutics Ltd
The Hong Kong Polytechnic</t>
  </si>
  <si>
    <t xml:space="preserve">Pharmaceutical Preparation Manufacturing
Colleges, Universities, and Professional Schools</t>
  </si>
  <si>
    <t xml:space="preserve">Axis Therapeutics Ltd is a
manufacturer of
pharmaceutical preparation.
The Company was founded in
1970 and is located in Na01.
The Hong Kong Polytechnic
University is a college
operator. The Company was
founded in March 1972 and is
located in Hong Kong.</t>
  </si>
  <si>
    <t xml:space="preserve">United Kingdom
Hong Kong</t>
  </si>
  <si>
    <t xml:space="preserve">Athenex Inc
The Hong Kong Polytechnic</t>
  </si>
  <si>
    <t xml:space="preserve">AXIS THERAPEUTICS LTD/THE HONG KONG POLYTECHNIC UNIVERSITY-STRATEGIC
ALLIANCE</t>
  </si>
  <si>
    <t xml:space="preserve">Athenex Inc and The Hong Kong Polytechnic University planned to form a
strategic alliance. The purpose of the strategic alliance is to explore the
establishment of a joint research center to advance the application of
immunotherapy in Hong Kong, with the ultimate objective of offering a novel
immunotherapy treatment to cancer patients across the globe.</t>
  </si>
  <si>
    <t xml:space="preserve">1J1418
1J1775</t>
  </si>
  <si>
    <t xml:space="preserve">Beijing Etrol Tech Co Ltd
Loongson Technology Co Ltd</t>
  </si>
  <si>
    <t xml:space="preserve">Software Publishers
Computer Storage Device Manufacturing</t>
  </si>
  <si>
    <t xml:space="preserve">Beijing Etrol Technologies
Co Ltd is a software
publisher. The Company was
founded in September 1998
and is located in Beijing,
China.
Loongson Technology Co Ltd,
located in China, manufactures
and wholesales central
processing unit.</t>
  </si>
  <si>
    <t xml:space="preserve">7376
3572</t>
  </si>
  <si>
    <t xml:space="preserve">Beijing Etrol Tech Co Ltd
Lin Zhi Cnty Zhong Ke Bai Fu</t>
  </si>
  <si>
    <t xml:space="preserve">7376
6799</t>
  </si>
  <si>
    <t xml:space="preserve">BEIJING ETROL TECHNOLOGIES CO LTD/LOONGSON TECHNOLOGY CO LTD-STRATEGIC
ALLIANCE</t>
  </si>
  <si>
    <t xml:space="preserve">Beijing Etrol Technologies Co Ltd and Loongson Technology Co Ltd. The
purpose of strategic alliance were to homebred chip RTU products developed
by the company and Loongson are being in field test application, and will
gradually realize localized substitution under customer demands, Etrol said
on interactive platform. (Edited by Niu Huizhe, niuhuizhe@xinhua.org)</t>
  </si>
  <si>
    <t xml:space="preserve">8C2147
5C8580</t>
  </si>
  <si>
    <t xml:space="preserve">Microsoft Israel R&amp;D Ctr
Namogoo Technologies Ltd</t>
  </si>
  <si>
    <t xml:space="preserve">Research and Development in The Physical, Engineering and Lifesciences (Except Biotechnology)
Security Systems Services (Except Locksmiths)</t>
  </si>
  <si>
    <t xml:space="preserve">Microsoft Israel R&amp;D Center
is a provider of research
and development services.
The Company is located in
Israel.
Namogoo Technologies Ltd,
located in Boston,
Massachusetts, is a provider
of security systems
services.</t>
  </si>
  <si>
    <t xml:space="preserve">3721
7374</t>
  </si>
  <si>
    <t xml:space="preserve">Microsoft Corp
Namogoo Technologies Ltd</t>
  </si>
  <si>
    <t xml:space="preserve">7372
7382</t>
  </si>
  <si>
    <t xml:space="preserve">MICROSOFT ISRAEL R&amp;D CENTER/NAMOGOO TECHNOLOGIES LTD-STRATEGIC ALLIANCE</t>
  </si>
  <si>
    <t xml:space="preserve">Microsoft Israel RD Center and Namogoo Technologies Ltd planned to form a
strategic alliance. The purpose of strategic alliance were to deliver a
GDPR compliance solution.</t>
  </si>
  <si>
    <t xml:space="preserve">Software Development Services
Retail &amp; Wholesale Services
Research &amp; Development Services</t>
  </si>
  <si>
    <t xml:space="preserve">1J0904
1J0906</t>
  </si>
  <si>
    <t xml:space="preserve">Dcprime Bv
Glycotope GmbH</t>
  </si>
  <si>
    <t xml:space="preserve">DCPrime B.V. is a provider
of biotechnology research
and development services.
The Company is located in
the Netherlands.
Glycotope GmbH is a provider
of biotechnology research and
development services. The
Company was founded in 2001
and is located in Berlin,
Germany.</t>
  </si>
  <si>
    <t xml:space="preserve">DCPRIME BV/GLYCOTOPE GMBH-STRATEGIC ALLIANCE</t>
  </si>
  <si>
    <t xml:space="preserve">Dcprime Bv and Glycotope GmbH formed a strategic alliance. The purpose of
strategic alliance were to certain process development patents owned by
Glycotope. In addition, the companies have initiated a research
collaboration to evaluate novel immunotherapeutic approaches to solid
tumours, based on the combination of their proprietary technologies.</t>
  </si>
  <si>
    <t xml:space="preserve">0J9806
2E1738</t>
  </si>
  <si>
    <t xml:space="preserve">Novavax Inc
Cadila Pharmaceuticals Ltd</t>
  </si>
  <si>
    <t xml:space="preserve">Novavax Inc, located in
Rockville, Maryland, is a
biotechnology company
focused in the research,
development, marketing and
distribution of potent
vaccines to protect against
H5N1 pandemic influenza,
seasonal flu and other viral
diseases, including HIV,
SARS, influenza and
E-selection tolerogen for
the prevention of stroke.
The company's trademark
products were Nestabs(R),
NovaNatal(R) and
NovaStart(R), a line of
prescription prenatal
vitamins, Gynodiol(R)
(estradiol tablets, USP), an
oral form of estrogen
therapy, AVC(TM) Cream
(sulphanilamide vaginal
cream) for vaginal
infections and Analpram
HC(R), a prescription
corticosteroid and
antipruritic product for
hemorrhoids. The company was
founded in 1987.
Cadila Pharmaceuticals Ltd,
headquartered in Ahmedabad,
India, manufactures
pharmaceuticals both for
human and veterinary use
such as cardiovascular
drugs, gastrointestinal
drugs, analgesics,
antibiotics, vaccines,
anti-diabetic, vitamins and
haemostatics. Some of its
brands are Amdepin, Lancus,
New Panazox, Symbiotik,
Imuvac and Piozulin. It was
founded in 1951.</t>
  </si>
  <si>
    <t xml:space="preserve">Cpl Biologicals Pvt Ltd is a
manufacturer of biological
products. The Company is
located in Ahmedabad, India.</t>
  </si>
  <si>
    <t xml:space="preserve">Novavax Inc and Cadila Pharmaceuticals Ltd formed joint venture named Cpl
Biologicals Pvt Ltd.The purpose of the joint venture is to develop and
produce vaccines based on virus-like-particle (VLP) methodology.</t>
  </si>
  <si>
    <t xml:space="preserve">0J9590</t>
  </si>
  <si>
    <t xml:space="preserve">670002
12741X</t>
  </si>
  <si>
    <t xml:space="preserve">Aptitive
Snowflake Computing Inc</t>
  </si>
  <si>
    <t xml:space="preserve">Custom Computer Programming Services
Develops cloud storage data warehouse</t>
  </si>
  <si>
    <t xml:space="preserve">Aptitive The Company is
located in Chicago,
Illinois.
Snowflake Computing Inc,
located in San Mateo,
California develops cloud
storage data warehouse for
small and large enterprises.</t>
  </si>
  <si>
    <t xml:space="preserve">APTITIVE/SNOWFLAKE COMPUTING INC-STRATEGIC ALLIANCE</t>
  </si>
  <si>
    <t xml:space="preserve">Aptitive and Snowflake Computing Inc planned to form a strategic alliance.
The purpose of strategic alliance is to provide clients with scalable,
long-term solutions that enable them to quickly gain insights into their
business through advanced data analytics.</t>
  </si>
  <si>
    <t xml:space="preserve">1J0318
4F3458</t>
  </si>
  <si>
    <t xml:space="preserve">Guangdong Guoli Science &amp;
Undisclosed JV Partner</t>
  </si>
  <si>
    <t xml:space="preserve">Guangdong Guoli Science &amp;
Technology Co Ltd is a
manufacturer of plastics
products. The Company was
founded in April 2002 and is
located in Dongguan, China.
Investment company</t>
  </si>
  <si>
    <t xml:space="preserve">GUANGDONG GUOLI SCI&amp;TECH CO LTD/UNDISCLOSED PARTNER-JOINT VENTURE</t>
  </si>
  <si>
    <t xml:space="preserve">Guangdong Guoli SciTech Co Ltd and Undisclosed Joint Venture Partner
planned to form joint venture. The purpose of the joint venture is to be
mainly engaged in R&amp;D, manufacture and sale of metal casting and precision
hardware etc.</t>
  </si>
  <si>
    <t xml:space="preserve">1F2640
904JVP</t>
  </si>
  <si>
    <t xml:space="preserve">Amgen Inc
Cedars-Sinai Health System</t>
  </si>
  <si>
    <t xml:space="preserve">Manufacture human therapeutics
Own,operate hospital</t>
  </si>
  <si>
    <t xml:space="preserve">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
Cedars-Sinai Health System
is a hospital operator. The
Company was founded in 1902
and is located in Los
Angeles, California.</t>
  </si>
  <si>
    <t xml:space="preserve">AMGEN INC/CEDARS-SINAI HEALTH SYSTEM-STRATEGIC ALLIANCE</t>
  </si>
  <si>
    <t xml:space="preserve">Amgen Inc and Cedars-Sinai Health System planned to form a strategic
alliance. The purpose of strategic alliance were to help support the
improvement of healthcare quality in the treatment of multiple therapeutic
areas that could include oncology, cardiovascular disease, osteoporosis and
migraine.</t>
  </si>
  <si>
    <t xml:space="preserve">031162
15051F</t>
  </si>
  <si>
    <t xml:space="preserve">Mitotech SA
Essex Bio-Investment Ltd</t>
  </si>
  <si>
    <t xml:space="preserve">All Other Miscellaneous Ambulatory Health Care Services
Invest co</t>
  </si>
  <si>
    <t xml:space="preserve">Mitotech SA is a provider of
ambulatory health care
services. The Company was
founded in November 2009 and
is located in Luxembourg,
Luxembourg.
Essex Bio-Investment Ltd,
based in Hong Kong, is an
investment company.</t>
  </si>
  <si>
    <t xml:space="preserve">Luxembourg
Hong Kong</t>
  </si>
  <si>
    <t xml:space="preserve">Mitotech SA
Essex Bio-Technology Ltd</t>
  </si>
  <si>
    <t xml:space="preserve">MITOTECH SA/ESSEX BIO-INVESTMENT LTD-STRATEGIC ALLIANCE</t>
  </si>
  <si>
    <t xml:space="preserve">Mitotech SA and Essex Bio-Investment Ltd planned to form a strategic
alliance. The purpose of strategic alliance was for Phase 3 clinical
program in Dry Eye Disease and to co-develop SkQ1 on the global stage,
through a Phase 3 clinical study in the United States.</t>
  </si>
  <si>
    <t xml:space="preserve">1J1228
29166N</t>
  </si>
  <si>
    <t xml:space="preserve">Nervgen Pharma Corp
Case Western Reserve Univ</t>
  </si>
  <si>
    <t xml:space="preserve">Nervgen Pharma Corp is a
provider of biotechnology
research and development
services. The Company was
founded in 1970 and is
located in Vancouver,
Canada.
Case Western Reserve
University is a college
operator. The Company is
located in Cleveland, Ohio.</t>
  </si>
  <si>
    <t xml:space="preserve">NERVGEN PHARMA CORP/CASE WESTERN RESERVE-STRATEGIC ALLIANCE</t>
  </si>
  <si>
    <t xml:space="preserve">Nervgen Pharma Corp and Case Western Reserve University planned to form a
strategic alliance. The purpose of strategic alliance was to research,
develop and commercialize a patented technology with potential to bring new
therapies for spinal cord injury and other conditions associated with nerve
damage.</t>
  </si>
  <si>
    <t xml:space="preserve">64082X
14742Z</t>
  </si>
  <si>
    <t xml:space="preserve">Shanghai Syntheall Pharm Co
Antengene Corp</t>
  </si>
  <si>
    <t xml:space="preserve">Mnfr diagnostic pharmaceutical
Pharmaceutical Preparation Manufacturing</t>
  </si>
  <si>
    <t xml:space="preserve">Shanghai Syntheall
Pharmaceutical Co Ltd is a
manufacturer of in-vitro
diagnostic substances. The
Company was founded in
January 2003 and is located
in Shanghai, China.
Antengene Corp, located in
Shanghai, China, is a
biopharmaceutical company
that focuses on drug
discovery, clinical
development and
commercialization of
therapeutics focusing on the
development of anti-cancer
drugs. The Company was
founded in June 2016.</t>
  </si>
  <si>
    <t xml:space="preserve">WuXi AppTec Co Ltd
Antengene Corp</t>
  </si>
  <si>
    <t xml:space="preserve">SHANGHAI SYNTHEALL PHARMACEUTICAL CO LTD/ANTENGENE CORP-STRATEGIC ALLIANCE</t>
  </si>
  <si>
    <t xml:space="preserve">Shanghai Syntheall Pharmaceutical Co Ltd and Antengene Corp planned to form
a strategic alliance. The purpose of strategic alliance is for the CMC
development and manufacturing of innovative oncology drugs and to provide
Antengene an integrated solution in process R&amp;D and manufacturing, using
the MAH scheme to accelerate new drug development.</t>
  </si>
  <si>
    <t xml:space="preserve">9A8595
9H6076</t>
  </si>
  <si>
    <t xml:space="preserve">Qazgeology Expl Co
Als Kazlab Llc</t>
  </si>
  <si>
    <t xml:space="preserve">Support Activities For Nonmetallic Minerals (Except Fuels)
Testing Laboratories</t>
  </si>
  <si>
    <t xml:space="preserve">Qazgeology Exploration Co is
a provider of support
services for minerals
mining. The Company is
located in Kazakhstan.
Als Kazlab Llc is a testing
laboratory. The Company is
located in Kazakhstan.</t>
  </si>
  <si>
    <t xml:space="preserve">1481
8734</t>
  </si>
  <si>
    <t xml:space="preserve">Kazakhstan
Kazakhstan</t>
  </si>
  <si>
    <t xml:space="preserve">QAZGEOLOGY EXPLORATION CO/ALS KAZLAB LLC-JOINT VENTURE</t>
  </si>
  <si>
    <t xml:space="preserve">Als Qazgeochemistry is a
medical laboratory operator.
The Company is located in
Kazakhstan.</t>
  </si>
  <si>
    <t xml:space="preserve">Qazgeology Exploration Co and Als Kazlab Llc formed joint venture named Als
Qazgeochemistry.</t>
  </si>
  <si>
    <t xml:space="preserve">1J0567</t>
  </si>
  <si>
    <t xml:space="preserve">1J0562
1J0564</t>
  </si>
  <si>
    <t xml:space="preserve">Isogenica Ltd
Aro Biotherapeutics Co</t>
  </si>
  <si>
    <t xml:space="preserve">Isogenica Ltd, located in
Essex, United Kingdom, is a
biotechnology company that
develops and commercializes
innovative in vitro
molecular evolution
technologies. The Company
was founded in December
2000.
Aro Biotherapeutics Co is a
biotechnology is a United
States-based company focused
on the research and
development of a new
generation of protein
biologics called Centyrins.
The company is engaged in
developing a pipeline of
Centyrins for oncology and
immunology, and is focused
on leveraging Centyrins for
delivery of a variety of
drug payloads, including
nucleic acid drugs for a
diverse set of diseases.</t>
  </si>
  <si>
    <t xml:space="preserve">ISOGENICA LTD/ARO BIOTHERAPEUTICS CO-STRATEGIC ALLIANCE</t>
  </si>
  <si>
    <t xml:space="preserve">Isogenica Ltd and Aro Biotherapeutics Co formed a strategic alliance.The
purpose of the strategic alliance is to leverage each others strengths in
recombinant protein technologies and biopharmaceutical development.</t>
  </si>
  <si>
    <t xml:space="preserve">45441W
1J1589</t>
  </si>
  <si>
    <t xml:space="preserve">Assay Depot Inc
Zen-Bio Inc</t>
  </si>
  <si>
    <t xml:space="preserve">Research and Development in The Physical, Engineering and Lifesciences (Except Biotechnology)
Pharmaceutical Preparation Manufacturing</t>
  </si>
  <si>
    <t xml:space="preserve">Assay Depot Inc, located in
Solana Beach, California, is
a provider of research and
development services.
Zen-Bio Inc is a
manufacturer of
pharmaceutical preparation.
The Company was founded in
October 1995 and is located
in Research Triangle Park,
North Carolina.</t>
  </si>
  <si>
    <t xml:space="preserve">ASSAY DEPOT INC/ZEN-BIO INC-STRATEGIC ALLIANCE</t>
  </si>
  <si>
    <t xml:space="preserve">Assay Depot Inc and Zen-Bio Inc planned to form a strategic alliance. The
purpose of strategic alliance is to speed drug discovery and development.</t>
  </si>
  <si>
    <t xml:space="preserve">8F8484
1J0181</t>
  </si>
  <si>
    <t xml:space="preserve">Sutro Biopharma Inc
Merck &amp; Co Inc</t>
  </si>
  <si>
    <t xml:space="preserve">Research and Development in Biotechnology
Manufactures and wholesales pharmaceuticals</t>
  </si>
  <si>
    <t xml:space="preserve">Sutro Biopharma Inc is a
provider of biotechnology
research and development
services. The Company is
located in South San
Francisco, California.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</si>
  <si>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SUTRO BIOPHARMA INC/MERCK &amp; CO INC-STRATEGIC ALLIANCE</t>
  </si>
  <si>
    <t xml:space="preserve">Sutro Biopharma Inc and Merck Co Inc formed a strategic alliance in United
States to discover and develop novel immune-modulating therapies for cancer
and autoimmune disorders. The research and development activities will
leverage Sutro's proprietary cell-free protein synthesis andsite-specific
conjugation platforms. The Strategic Alliance was to have a estimated cost
of 1660 million USD.</t>
  </si>
  <si>
    <t xml:space="preserve">The Strategic Alliance was to have a estimated cost of 1660 million USD.</t>
  </si>
  <si>
    <t xml:space="preserve">1A2507
58933Y</t>
  </si>
  <si>
    <t xml:space="preserve">Transcriptic Inc
Eli Lilly &amp; Co</t>
  </si>
  <si>
    <t xml:space="preserve">Software Publishers
Manufactures,wholesales pharmaceuticals</t>
  </si>
  <si>
    <t xml:space="preserve">Transcriptic, Inc. is a
United States-based company,
which offers a robotic cloud
laboratory for life
sciences. The Company's
automated cellular and
molecular biology platform
enables life science
research. The Company's
Workcells contain various
products and technologies
that are controlled by
transcriptic automation
devices. The Company's lab
information management
system (LIMS) software
tracks various protocol
steps, device instructions
and results can be
integrated into users'
in-house LIMS package. The
Company offers various types
of Workcell devices,
including liquid handling,
plate reading, incubation,
plate sealing, plate
de-sealing, centrifugation,
reagent dispenser, flow
cytometry and colony picker.
It allows users to design
experiments through the Web
browser using a
point-and-click interface.
The Company offers various
types of protocols,
including Genotyping, Kunkel
Mutagenesis, Oligosynthesis
and Picogreen Assay.
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t>
  </si>
  <si>
    <t xml:space="preserve">TRANSCRIPTIC INC/ELI LILLY &amp; CO-STRATEGIC ALLIANCE</t>
  </si>
  <si>
    <t xml:space="preserve">Transcriptic Inc and Eli Lilly Co formed a strategic alliance in United
States to enable on-demand drug discovery operations at its San Diego
Biotechnology Center. The solution Transcriptic is developing for Lilly
will allow researchers across the globe to remotely design, synthesize and
screen investigational molecules at the Lilly Life Science Studio. This
agreement enables Eli Lilly and Transcriptic to revolutionize drug
discovery and find ways to accelerate the process and increase success.</t>
  </si>
  <si>
    <t xml:space="preserve">1J0824
532457</t>
  </si>
  <si>
    <t xml:space="preserve">GTEC Holdings Ltd
Theraprod Inc</t>
  </si>
  <si>
    <t xml:space="preserve">Investment company
Pharmaceutical Preparation Manufacturing</t>
  </si>
  <si>
    <t xml:space="preserve">GTEC Holdings Ltd, located
in Kelowna, British
Columbia, is an investment
company. It is also a
capital pool company that
identifies and evaluates
businesses and assets with a
view to completing a
qualifying transaction. The
Company was founded on
September 24, 2012.
Theraproducts Inc is a
manufacturer of
pharmaceutical preparation.
The Company was founded in
1970 and is located in
Canada.</t>
  </si>
  <si>
    <t xml:space="preserve">GTEC HOLDINGS LTD/THERAPRODUCTS INC-JOINT VENTURE</t>
  </si>
  <si>
    <t xml:space="preserve">GTEC Holdings Ltd and Theraproducts Inc signed a letter of intent to form
joint venture.The purpose of the joint venture is to develop and
commercialize cannabis-based products leveraging OLEO microencapsulation
technology.</t>
  </si>
  <si>
    <t xml:space="preserve">Research &amp; Development Services
Health &amp; Medical Services
Supply Services</t>
  </si>
  <si>
    <t xml:space="preserve">09182Q
1J0560</t>
  </si>
  <si>
    <t xml:space="preserve">Microsoft Corp
Hendrick Motorsports Inc</t>
  </si>
  <si>
    <t xml:space="preserve">Develops and wholesales computer software products
Pvd racing svcs</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</si>
  <si>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Provide racing services</t>
  </si>
  <si>
    <t xml:space="preserve">7372
7948</t>
  </si>
  <si>
    <t xml:space="preserve">MICROSOFT CORP/HENDRICK MOTORSPORTS INC-STRATEGIC ALLIANCE</t>
  </si>
  <si>
    <t xml:space="preserve">Microsoft Corp and Hendrick Motorsports Inc extended their strategic
alliance in United States to use Microsoft technologies, including Azure
cloud services, Windows 10, Office 365 with Microsoft Teams for group chat,
and artificial intelligence (AI) and machine learning, to strengthen
performance at NASCARs highest level.</t>
  </si>
  <si>
    <t xml:space="preserve">594918
42539C</t>
  </si>
  <si>
    <t xml:space="preserve">TimelinePI Inc
Blue Prism Ltd</t>
  </si>
  <si>
    <t xml:space="preserve">Software Publishers
Software Publishers</t>
  </si>
  <si>
    <t xml:space="preserve">TimelinePI Inc, located in
Springfield, Pennsylvania,
provider of process
intelligence platform. The
Company focuses on
delivering intuitive tools.
The Company provides
reporting tools, which
enables the users to access
information in more logical
formats. It also provides
services for processing,
medical patient tracking,
supply chain management,
credit approval and many
more.
Blue Prism Ltd is a software
publisher. The Company was
founded in 2001 and is
located in Warrington, the
United Kingdom.</t>
  </si>
  <si>
    <t xml:space="preserve">TIMELINEPI INC/BLUE PRISM GROUP PLC-STRATEGIC ALLIANCE</t>
  </si>
  <si>
    <t xml:space="preserve">Timelinepi Inc and Blue Prism Group PLC planned to form a strategic
alliance around the world to accelerate digital transformations for
customers with enterprise-class robotic process automation (RPA).
Intelligent process mining combined with real-time monitoring of digital
workers sets the new benchmark for RPA best practices and maximized ROI.</t>
  </si>
  <si>
    <t xml:space="preserve">1J0293
3E9573</t>
  </si>
  <si>
    <t xml:space="preserve">Acquity Group LLC
Invoca Inc</t>
  </si>
  <si>
    <t xml:space="preserve">Commerce,digital marketing co
Develops conversational analytics software</t>
  </si>
  <si>
    <t xml:space="preserve">Acquity Group LLC is a
commerce and digital
marketing company,
headquartered in Chicago,
Illinois with other
locations in Boise, Dallas,
Irvine, Los Angeles,
Overland Park, San
Francisco, and Scottsdale
and Beijing, China. The
companys services include
audience segmentation and
persona development, user
experience and interaction
design, information
architecture, visual and
motion design, copywriting
and content strategy,
campaign development and
execution, and mobile and
social UX and design; and
strategy and planning
comprising digital business
and marketing strategies,
multi-channel evaluation and
strategy, user and market
research, metrics and
analytics, IT strategy and
planning, IT and corporate
governance, and
organizational design and
change management, as well
as content management,
eCommerce, mobile, and
social strategy and roadmap.
The company was founded in
2001.
Invoca Inc, located in Santa
Barbara, California,
develops conversational
analytics software.</t>
  </si>
  <si>
    <t xml:space="preserve">ACQUITY GROUP LLC/INVOCA INC-STRATEGIC ALLIANCE</t>
  </si>
  <si>
    <t xml:space="preserve">Acquity Group LLC and Invoca Inc formed a strategic alliance in United
States to better track data through their call centers and better serve
customers by capitalizing on the analytics provided by Invoca. Invocas
platform allows businesses to optimize campaign performance, personalize
the caller experience, enhance digital interaction and expand audience
reach.</t>
  </si>
  <si>
    <t xml:space="preserve">Research &amp; Development Services
Software Development Services
Data Processing Services</t>
  </si>
  <si>
    <t xml:space="preserve">01718F
8H3036</t>
  </si>
  <si>
    <t xml:space="preserve">QSR International Pty Ltd
Rubicon Technology Partners LP</t>
  </si>
  <si>
    <t xml:space="preserve">Software Publishers
Private equity firm</t>
  </si>
  <si>
    <t xml:space="preserve">QSR International Pty Ltd,
headquartered in Melbourne,
Australia,is an
Australian-based company
which develops software for
analyzing unstructured data.
The Company offers NVivo 9,
a software solution that
supports robust qualitative
and mixed methods research
for virtually any data
source and any research
method; Interpris which
Intuitive data analysis
software designed for public
policy experts analyzing
surveys.
Rubicon Technology Partners
LP, located in Boulder,
Colorado, is a private
equity firm which invests in
lower middle-market
enterprise software
companies with revenues
between $25 million and $150
million.</t>
  </si>
  <si>
    <t xml:space="preserve">QSR INTERNATIONAL PTY LTD/RUBICON TECHNOLOGY PARTNERS LP-STRATEGIC
ALLIANCE</t>
  </si>
  <si>
    <t xml:space="preserve">QSR International Pty Ltd and Rubicon Technology Partners LP formed a
strategic alliance is for QSR International to extend its market leading
position in the academic and social research disciplines and accelerate its
fast-growing business in the commercial and public sectors.</t>
  </si>
  <si>
    <t xml:space="preserve">Marketing Services
Investment Services
Research &amp; Development Services</t>
  </si>
  <si>
    <t xml:space="preserve">9H2297
2E6533</t>
  </si>
  <si>
    <t xml:space="preserve">Konica Minolta Bus Sol USA Inc
Gen Mktg Solutions Inc</t>
  </si>
  <si>
    <t xml:space="preserve">Other Computer Peripheral Equipment Manufacturing
Marketing Consulting Services</t>
  </si>
  <si>
    <t xml:space="preserve">Konica Minolta Business
Solutions USA Inc, located
in Ramsey, New Jersey, is a
manufacturer of computer
peripheral equipments.
General Marketing Solutions
Inc is a provider of
marketing consulting
services. The Company is
located in Minneapolis,
Minnesota.</t>
  </si>
  <si>
    <t xml:space="preserve">3577
8742</t>
  </si>
  <si>
    <t xml:space="preserve">NJ
MN</t>
  </si>
  <si>
    <t xml:space="preserve">Konica Minolta Inc
Gen Mktg Solutions Inc</t>
  </si>
  <si>
    <t xml:space="preserve">3861
8742</t>
  </si>
  <si>
    <t xml:space="preserve">KONICA MINOLTA BUSINESS SOLUTIONS USA INC/GENERAL MARKETING SOLUTIONS
INC-STRATEGIC ALLIANCE</t>
  </si>
  <si>
    <t xml:space="preserve">Konica Minolta Business Solutions USA Inc and General Marketing Solutions
Inc planned to form a strategic alliance in United States to offer
customers the latest technology to help their businesses move forward. For
General Marketing Solutions (GMS), an integrated marketing services
company, it was time to switch to inkjet technology to better support and
deliver its commercial printing jobs.</t>
  </si>
  <si>
    <t xml:space="preserve">50400W
1J0136</t>
  </si>
  <si>
    <t xml:space="preserve">Progressive Care Inc
Wchester Gen Hosp Inc</t>
  </si>
  <si>
    <t xml:space="preserve">Pharmacies and Drug Stores
All Other Miscellaneous Ambulatory Health Care Services</t>
  </si>
  <si>
    <t xml:space="preserve">Progressive Care, Inc,
located in Miami Gardens,
Florida, through its
subsidiary PharmCo, LLC
(PharmCo), is a health
services company. The
Company is engaged in
providing prescription
pharmaceuticals specializing
in health practice risk
management, compounded
medications, the sale of
anti-retroviral medications
and related medication
therapy management, and the
supply of prescription
medications to long term
care facilities. The Company
is a health services
organization focused on
developing the PharmCo
brand. The Company also
provides 340B services to
community organizations,
patient health risk reviews,
free same-day delivery and
serves as a case management
access point. PharmCo
specializes in formularies,
such as non-narcotic topical
pain creams, wound care
creams, scar gels and
hormone replacement
therapies. It offers
EnovaRx, which are Food and
Drug Administration (FDA)
approved manufactured pain
creams that are readily
available with a
prescription.
Westchester General Hospital
Inc is a provider of
ambulatory health care
services. The Company is
located in Miami, Florida.</t>
  </si>
  <si>
    <t xml:space="preserve">5912
8099</t>
  </si>
  <si>
    <t xml:space="preserve">PROGRESSIVE CARE INC/WESTCHESTER GENERAL HOSPITAL INC-STRATEGIC ALLIANCE</t>
  </si>
  <si>
    <t xml:space="preserve">Progressive Care inc and Westchester General Hospital Inc planned to form a
strategic alliance in United States to implement new dischargeRx program
and also to minimizesome of the difficulties that have been dutifully
searching for an effective solution to transitional care management.
DischargeRX will provide Westchester with much-needed support to prevent
unnecessary and costly hospital readmissions. DischargeRX will offer
hospital patients and physicians access to a PharmCo representative, who
will offer medication-related services throughout the patients transitional
process.</t>
  </si>
  <si>
    <t xml:space="preserve">74332G
1J0559</t>
  </si>
  <si>
    <t xml:space="preserve">Harvest Minerals Ltd
Geociclo Biotecnologia SA</t>
  </si>
  <si>
    <t xml:space="preserve">Potash, Soda, and Borate Mineral Mining
Biological Product (Except Diagnostic) Manufacturing</t>
  </si>
  <si>
    <t xml:space="preserve">Harvest Minerals Ltd is a
potash and phosphate
exploration and development
company with projects
located in Brazil. The
Company has four principal
fertilizer projectsthe
Arapua Fertilizer Project,
the Sergi Potash Project,
the Capela Potash Project
and the Mandacaru Phosphate
Project. The Companys
Brazilian subsidiary Triunfo
Mineracao holds 100% of the
mineral rights in respect of
the Arapua Fertilizer
Project, the Sergi Potash
Project and the Mandacaru
Phosphate Project and 51% of
the mineral rights in
respect of and the Capela
Potash Project. The Company
was founded in April 2010
and is located in Perth,
Australia.
Geociclo Biotecnologia SA,
located in Uberlandia, Brazil,
is a biotechnology company.</t>
  </si>
  <si>
    <t xml:space="preserve">1474
2836</t>
  </si>
  <si>
    <t xml:space="preserve">Australia
Brazil</t>
  </si>
  <si>
    <t xml:space="preserve">HARVEST MINERALS LTD/GEOCICLO BIOTECNOLOGIA SA-STRATEGIC ALLIANCE</t>
  </si>
  <si>
    <t xml:space="preserve">Harvest Minerals Ltd and Geociclo Biotecnologia SA formed a strategic
alliance in Brazil to market and sell Harvest's KPfertil product. The
Agreement provides further benefits, namely Geociclo's extensive research
and development facilities which the team will utilise to broaden their
range of products. Geociclo's existing MAPA accredited manufacturing
facilities, capable of blending and producing these new products, allows
them for a fast-track to market.</t>
  </si>
  <si>
    <t xml:space="preserve">Research &amp; Development Services
Retail &amp; Wholesale Services
Supply Services
Marketing Services
Agricultural, Forestry, &amp; Fishing Svcs</t>
  </si>
  <si>
    <t xml:space="preserve">8C0565
7A7005</t>
  </si>
  <si>
    <t xml:space="preserve">Beckman Coulter Inc
ARKRAY Inc</t>
  </si>
  <si>
    <t xml:space="preserve">Mnfr laboratory instruments
Surgical and Medical Instrument Manufacturing</t>
  </si>
  <si>
    <t xml:space="preserve">Beckman Coulter Inc, located
in Fullerton, California,
manufactures laboratory
instrument systems,
reagents, and related
products, which customers
typically use to conduct
basic scientific research,
product research, and
development and diagnostic
analysis of patient samples.
It also provides biomedical
research services. The
company was founded in 1934.
ARKRAY Inc is a manufacturer
of medical instruments. The
Company was founded in June
1960 and is located in
Kyoto, Japan.</t>
  </si>
  <si>
    <t xml:space="preserve">Danaher Corp
ARKRAY Inc</t>
  </si>
  <si>
    <t xml:space="preserve">3823
3841</t>
  </si>
  <si>
    <t xml:space="preserve">BECKMAN COULTER INC/ARKRAY INC-STRATEGIC ALLIANCE</t>
  </si>
  <si>
    <t xml:space="preserve">Beckman Coulter Inc and ARKRAY Inc planned to form a strategic alliance.The
purpose of the strategic alliance is to integrates urine chemistry
solutions with Beckman Coulters urine particle analysis systems in the
United States.</t>
  </si>
  <si>
    <t xml:space="preserve">075811
9C2000</t>
  </si>
  <si>
    <t xml:space="preserve">SIPP Industries Inc
Church St Brewing Co</t>
  </si>
  <si>
    <t xml:space="preserve">Whl alcoholic beverages
Breweries</t>
  </si>
  <si>
    <t xml:space="preserve">SIPP Industries Inc is an
alcoholic beverages
wholesaler. The Company is
located in Henderson,
Nevada.
Church Street Brewing Co is
a brewery. The Company is
located in Itasca, Illinois.</t>
  </si>
  <si>
    <t xml:space="preserve">5182
2082</t>
  </si>
  <si>
    <t xml:space="preserve">NV
IL</t>
  </si>
  <si>
    <t xml:space="preserve">SIPP INDUSTRIES INC/CHURCH STREET BREWING CO-STRATEGIC ALLIANCE</t>
  </si>
  <si>
    <t xml:space="preserve">SIPP Industries Inc and Church Street Brewing Co planned to form a
strategic alliance.The purpose of the strategic alliance is to co-develop
and produce a new hemp beer Major Hemp HIPA which will be the Companys
second hemp beer flavor.</t>
  </si>
  <si>
    <t xml:space="preserve">784276
1J1957</t>
  </si>
  <si>
    <t xml:space="preserve">Eisai Co Ltd
Cy Biotech Co Ltd</t>
  </si>
  <si>
    <t xml:space="preserve">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1941.
Cy Biotech Co Ltd is a
manufacturer of
pharmaceutical preparation.
The Company is located in
Taipei, Taiwan and was
founded in April 2011.</t>
  </si>
  <si>
    <t xml:space="preserve">EISAI CO LTD/CY BIOTECH CO LTD-STRATEGIC ALLIANCE</t>
  </si>
  <si>
    <t xml:space="preserve">Eisai Co Ltd and CY Biotech Co Ltd formed a strategic alliance. The purpose
of strategic alliance were to grant exclusive development and marketing
rights for its anti-obesity agent lorcaserin hydrochloride. Eisai will
supply CYB with lorcaserin. Eisai will receive a one-time contractual
payment and milestone payments.</t>
  </si>
  <si>
    <t xml:space="preserve">282579
5A3121</t>
  </si>
  <si>
    <t xml:space="preserve">Hutchison Telecommun (Hong
Tech Mahindra Ltd
MATRIXX Software Inc
Salesforce.com Inc
Vlocity Inc</t>
  </si>
  <si>
    <t xml:space="preserve">Pvd telecommun svcs
Computer Facilities Management Services
Software Publishers
Provides software integrated services
Develops cloud and mobile software</t>
  </si>
  <si>
    <t xml:space="preserve">Hutchison Telecommunications
(Hong Kong) Ltd, located in
Hong Kong, is a
telecommunication services
provider. It is responsible
for managing Hutchison
Telecom' International
Ltd's operations of mobile
services, telecom retail
services and call centre
services in Hong Kong and
Macau, as well as mobile
communication consultancy
services in Mainland China.
It was founded in 1983.
Tech Mahindra Ltd is a
provider of computer
facilities management
services. The Company was
founded in October 1986 and
is located in Pune, India.
MATRIXX Software Inc,
located in Mountain View,
California, develops digital
commerce platform software
that enables telecom service
providers to profit and
innovate as they transition
to Digital.
Salesforce.com Inc,
headquartered in San
Francisco, California,
provides software integrated
services. It develops
Customer Relationship
Management (CRM) software
for integrated sales force
automation, campaign
management, customer service
and support, and document
and file management. Its
main products include Sales
Cloud 2, Service Cloud 2,
Chatter, and Force.com,
which offered to small
business and mobile
applications. It also
operates in Europe, Asia,
Australia and Latin America.
The Company was founded in
February 1999.
Vlocity Inc, located in San
Francisco, California,
develops cloud and mobile
software that embed
industry-specific
functionality and processes
for customer-centric
industries. Its applications
are omni-channel, allowing
organizations to deliver
interactions across any
channel, including over the
Web, through the contact
center, by field sales and
service organizations, via
indirect partner and
reseller channels, and
through retail locations.
The Company was founded on
February 21, 2014 .</t>
  </si>
  <si>
    <t xml:space="preserve">4813
7376
7372
7372
7372</t>
  </si>
  <si>
    <t xml:space="preserve">Hong Kong
India
United States
United States
United States</t>
  </si>
  <si>
    <t xml:space="preserve">FF
FF
CA
CA
CA</t>
  </si>
  <si>
    <t xml:space="preserve">CK Hutchison Holdings Ltd
Tech Mahindra Ltd
MATRIXX Software Inc
Salesforce.com Inc
Vlocity Inc</t>
  </si>
  <si>
    <t xml:space="preserve">4491
7376
7372
7372
7372</t>
  </si>
  <si>
    <t xml:space="preserve">HUTCHISON TELECOMMUN (HONG/TECH MAHINDRA LTD/MATRIXX SOFTWARE
INC/SALESFORCE.COM INC/VLOCITY INC-STRATEGIC ALLIANCE</t>
  </si>
  <si>
    <t xml:space="preserve">Hutchison Telecommunications (Hong Kong)Ltd, Tech Mahindra Ltd, MATRIXX
Software Inc, Salesforce.com Inc and Vlocity Inc formed a strategic
alliance. A four-phase digital transformation project scheduled for
completion in 2020 has been designed to streamline and automate business
processes and optimise digital experiences. Key areas covered include
digital customer relationship management, omni-channel and intelligent
marketing campaigns, sophisticated product catalogue and order management,
enterprise business workflow, digital commerce with convergent billing,
comprehensive data analytics and enhanced security.</t>
  </si>
  <si>
    <t xml:space="preserve">Research &amp; Development Services
Software Development Services
Telecommunications Services</t>
  </si>
  <si>
    <t xml:space="preserve">45437F
87981Z
4E7705
79466L
8H5902</t>
  </si>
  <si>
    <t xml:space="preserve">Molson Coors Canada Inc
Hydropothecary Corp</t>
  </si>
  <si>
    <t xml:space="preserve">Breweries
Medicinal and Botanical Manufacturing</t>
  </si>
  <si>
    <t xml:space="preserve">Molson Coors Canada Inc,
located in Etobicoke,
Ontario, produces and
wholesales beer and other
beer varieties such as
lagers, ales, light beers,
dry beers and non-alcoholic
beers under the brands, Blue
Moon, Carling, Cobra, Coors
Light, Keystone Light, MGD
64, Miller High Life, Miller
Lite, Molson Canadian,
Molson Dry, Molson Export,
Molson M, Rickards Red, and
Worthingtons White Shield.
The Company was founded in
1786.
The Hydropothecary Corp,
located in Gatineau, Canada,
is a medicinal and botanical
manufacturer. It is a
licensed producer and
distributor of medical
marijuana. The Company was
founded on August 2013.</t>
  </si>
  <si>
    <t xml:space="preserve">2082
2833</t>
  </si>
  <si>
    <t xml:space="preserve">Molson Coors Brewing Co
Hydropothecary Corp</t>
  </si>
  <si>
    <t xml:space="preserve">MOLSON COORS CANADA INC/HEXO CORP-JOINT VENTURE</t>
  </si>
  <si>
    <t xml:space="preserve">Truss, located in Ontario,
produces non-alcoholic
beverages for the Canadian
market. The Company was
founded in October 2018.</t>
  </si>
  <si>
    <t xml:space="preserve">Molson Coors Canada Inc and Hydropothecary Corp formed a joint venture
named Truss to pursue opportunities to develop non-alcoholic,
cannabis-infused beverages for the Canadian market following legalization.
Under terms of the agreement, Molson Coors Canada Inc was to hold 57.5%
interest in Truss while Hydropothecary Corp was to hold the remaining 42.5%
stake.</t>
  </si>
  <si>
    <t xml:space="preserve">57.50
42.50</t>
  </si>
  <si>
    <t xml:space="preserve">8H0367</t>
  </si>
  <si>
    <t xml:space="preserve">608711
44903W</t>
  </si>
  <si>
    <t xml:space="preserve">Leniobio GmbH
Fraunhofer Inst Of Molecular</t>
  </si>
  <si>
    <t xml:space="preserve">LenioBio GmbH is a
manufacturer of biological
products. The Company is
located in Dsseldorf,
Germany.
Fraunhofer Institute Of
Molecular Biology And
Applied Ecology is a
provider of research and
development services. The
Company is located in
Aachen, Germany.</t>
  </si>
  <si>
    <t xml:space="preserve">LENIOBIO GMBH/FRAUNHOFER INSTITUTE OF MOLECULAR BIOLOGY AND APPLIED
ECOLOGY-STRATEGIC ALLIANCE</t>
  </si>
  <si>
    <t xml:space="preserve">Leniobio GmbH and Fraunhofer Institute Of Molecular Biology And Applied
Ecology formed a strategic alliance in Germany to allows LenioBio to
utilize Fraunhofers proprietary vector solution and technology for the
cryopreservation of cell lysates.</t>
  </si>
  <si>
    <t xml:space="preserve">1J1285
1J1286</t>
  </si>
  <si>
    <t xml:space="preserve">Emblem Corp
GreenSpace Brands Inc</t>
  </si>
  <si>
    <t xml:space="preserve">Medicinal and Botanical Manufacturing
All Other Specialty Food Stores</t>
  </si>
  <si>
    <t xml:space="preserve">Emblem Corp, located in
Toronto, Ontario, is a
manufacturer of medicinals
and botanicals.
GreenSpace Brands Inc,
located in Ontario, Canada,
wholesales convenience
natural food products to
consumers across Canada. The
Company was founded on June
11, 2013.</t>
  </si>
  <si>
    <t xml:space="preserve">2833
5149</t>
  </si>
  <si>
    <t xml:space="preserve">EMBLEM CORP/GREENSPACE BRANDS INC-STRATEGIC ALLIANCE</t>
  </si>
  <si>
    <t xml:space="preserve">Emblem Corp and GreenSpace Brands Inc planned to form a strategic alliance
in Canada to launch new CBD-infused health and beauty line. This
Partnership focused on long-term brand building and national distribution
of CBD-infused health and beauty products. The partnership will leverage
GreenSpaces expertise in consumer brand development and distribution to
launch products infused with Emblems CBD extracts across a number of
verticals including beauty, health and wellness, supplements, food and
beverage.</t>
  </si>
  <si>
    <t xml:space="preserve">29082J
39572A</t>
  </si>
  <si>
    <t xml:space="preserve">Senra Tech Pvt Ltd
PNI Sensor Corp</t>
  </si>
  <si>
    <t xml:space="preserve">Provide wireless telecommunications services
Semiconductor and Related Device Manufacturing</t>
  </si>
  <si>
    <t xml:space="preserve">Senra Tech Pvt Ltd is a
wireless telecommunications
carrier. The Company was
founded in 2017 and is
located in New Delhi, India.
PNI Sensor Corp is a
manufacturer of
semiconductors and related
device. The Company was
founded in October 1987 and
is located in Santa Rosa,
California.</t>
  </si>
  <si>
    <t xml:space="preserve">SENRA TECH PVT LTD/PNI SENSOR CORP-STRATEGIC ALLIANCE</t>
  </si>
  <si>
    <t xml:space="preserve">Senra Tech Pvt Ltd and PNI Sensor Corp planned to form a strategic alliance
to bring Smart Parking solutions to India. This coalition between the two
companies combines LoRaWAN technology, connectivity and an end-to-end Smart
Parking solution.</t>
  </si>
  <si>
    <t xml:space="preserve">2H1362
1J1980</t>
  </si>
  <si>
    <t xml:space="preserve">Global Cement And Concrete
World Bus Council For</t>
  </si>
  <si>
    <t xml:space="preserve">Cement Manufacturing
Other Management Consulting Services</t>
  </si>
  <si>
    <t xml:space="preserve">The GCCAs authoritative
voice will help ensure that
the prevailing views of
cement and concrete are
holistic and based on robust
evidence.
forward.</t>
  </si>
  <si>
    <t xml:space="preserve">3241
8748</t>
  </si>
  <si>
    <t xml:space="preserve">GLOBAL CEMENT &amp; CONCRETE ASSOCIATION/WORLD BUSINESS COUNCIL FOR SUSTAINABLE
DEVELOPMENT (WBCSD)-STRATEGIC ALLIANCE</t>
  </si>
  <si>
    <t xml:space="preserve">Global Cement Concrete Association and World Business Council For
Sustainable Development (WBCSD) planned to form a strategic alliance.The
purpose of the strategic alliance was to create synergies between work
programmes to benefit both the GCCA and WBCSD and their respective member
companies.</t>
  </si>
  <si>
    <t xml:space="preserve">1J0718
1J0708</t>
  </si>
  <si>
    <t xml:space="preserve">Genetic Technologies Ltd
Blockchain Global Ltd</t>
  </si>
  <si>
    <t xml:space="preserve">Biotechnology company
Computer Systems Design Services</t>
  </si>
  <si>
    <t xml:space="preserve">Genetic Technologies Ltd,
located in Fitzroy,
Australia,is a molecular
diagnostics company. The
Company is engaged in the
provision of molecular risk
assessment for cancer. The
Company offers predictive
testing and assessment tools
for physicians to manage
women's health. The
Company's lead product,
BREVAGenplus, is a
clinically validated risk
assessment test for
non-hereditary breast
cancer. The Company markets
BREVAGenplus to healthcare
professionals in breast
healthcare and imaging
centers, as well as to
obstetricians/gynecologists
(OBGYNs) and breast cancer
risk assessment specialists,
such as breast surgeons. The
Company operates in
Australia, the United States
and Switzerland. The
Company's subsidiaries
include Genetic Technologies
Corporation Pty. Ltd. and
Genetic Technologies
Corporation Pty. Ltd. is
engaged in genetic testing.
The Company has launched the
BREVAGen test across the
United States through
Phenogen Sciences Inc. The
company was founded in 1987.
Blockchain Global Ltd, located
in Melbourne, Australia, is in
the business of the crypto
currency, Bitcoin. This
includes an exchange platform,
arbitrage, investment and
mining. It was founded in
2014.</t>
  </si>
  <si>
    <t xml:space="preserve">2836
7379</t>
  </si>
  <si>
    <t xml:space="preserve">GENETIC TECHNOLOGIES LTD/BLOCKCHAIN GLOBAL LTD-STRATEGIC ALLIANCE</t>
  </si>
  <si>
    <t xml:space="preserve">Genetic Technologies Ltd and Blockchain Global Ltd planned to form a
strategic alliance. The purpose for forming a strategic alliance was to
unlock opportunities that combine genetic screening capabilities with
blockchain technology to promote better health outcomes for people around
the world.</t>
  </si>
  <si>
    <t xml:space="preserve">37185R
3C5297</t>
  </si>
  <si>
    <t xml:space="preserve">University of California
Quantela Inc</t>
  </si>
  <si>
    <t xml:space="preserve">Colleges, Universities, and Professional Schools
Custom Computer Programming Services</t>
  </si>
  <si>
    <t xml:space="preserve">University of California is
a college operator. The
Company was founded in March
1868 and is located in
Oakland, California.
Quantela Inc. is a United
States-based company that
provides the digital
platform Atlantis. The
Companys platform Atlantis
Atlantis is an artificial
intelligence (AI) platform
that enables its customers
make smarter urban
infrastructure utilization
decisions. Atlantis uses
advances in data
aggregation, operational
intelligence, deep learning
and machine learning to
enable urban service
providers, cities and
communities and other
organizations to efficiently
handle large volumes of
real-time and historical
data from Internet of Things
(IoT), open data sources and
operational technology to
enable better-informed
decisions.</t>
  </si>
  <si>
    <t xml:space="preserve">UNIVERSITY OF CALIFORNIA/QUANTELA INC-STRATEGIC ALLIANCE</t>
  </si>
  <si>
    <t xml:space="preserve">University Of California and Quantela Inc planned to form a strategic
alliance. The purpose of strategic alliance were to Set-up Smart City
Accelerator and Innovation Centers in India.</t>
  </si>
  <si>
    <t xml:space="preserve">91591Z
1J1189</t>
  </si>
  <si>
    <t xml:space="preserve">Boehringer Ingelheim GmbH
Oxford BioMedica PLC
Touchstone Innovations PLC
Cystic Fibrosis Gene Therapy</t>
  </si>
  <si>
    <t xml:space="preserve">Pharmaceutical Preparation Manufacturing
Manufacture pharmaceutical products
Financial Sponsor
Medicinal and Botanical Manufacturing</t>
  </si>
  <si>
    <t xml:space="preserve">Boehringer Ingelheim GmbH,
located in Ingelheim,
Germany, manufactures and
develops prescription
pharmaceuticals for human
and animals.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Oxford BioMedica PLC is a
manufacturer of
pharmaceutical preparation.
The Company was founded in
1995 and is located in
Oxford, the United Kingdom.
Touchstone Innovations PLC
is a venture capital firm
focused on technology
companies. It supports
scientists and entrepreneurs
in the commercialization of
their ideas through the
licensing of intellectual
property, by leading the
formation of new companies,
providing facilities in the
early stages, providing
investment and encouraging
co-investment to accelerate
development, providing
operational expertise and
recruiting management teams.
It is also a holding
company. The Company was
founded in 1986 and is
located in London, the
United Kingdom.
Cystic Fibrosis Gene Therapy
Consortium is a manufacturer
of medicinals and
botanicals. The Company is
located in the United
Kingdom.</t>
  </si>
  <si>
    <t xml:space="preserve">2834
2834
6799
2833</t>
  </si>
  <si>
    <t xml:space="preserve">Laboratorios Sanfer SA de CV
Oxford BioMedica PLC
IP Group PLC
Cystic Fibrosis Gene Therapy</t>
  </si>
  <si>
    <t xml:space="preserve">Mexico
United Kingdom
United Kingdom
United Kingdom</t>
  </si>
  <si>
    <t xml:space="preserve">BOEHRINGER INGELHEIM GMBH/OXFORD BIOMEDICA PLC/TOUCHSTONE INNOVATIONS
PLC/CYSTIC FIBROSIS GENE THERAPY-STRATEGIC ALLIANCE</t>
  </si>
  <si>
    <t xml:space="preserve">The purpose of the strategic alliance was to develop a first-in-class,
long-term therapy for patients with cystic fibrosis (CF), a genetic disease
that causes persistent lung infections.Boehringer Ingelheim GmbH, Oxford
BioMedica PLC, Touchstone Innovations PLC and UK Cystic Fibrosis Gene
Therapy Consortium planned to form a strategic alliance.</t>
  </si>
  <si>
    <t xml:space="preserve">09710W
69140J
3F7145
0J9333</t>
  </si>
  <si>
    <t xml:space="preserve">Oxford BioMedica PLC
Touchstone Innovations PLC
Cystic Fibrosis Gene Therapy</t>
  </si>
  <si>
    <t xml:space="preserve">Manufacture pharmaceutical products
Financial Sponsor
Medicinal and Botanical Manufacturing</t>
  </si>
  <si>
    <t xml:space="preserve">Oxford BioMedica PLC is a
manufacturer of
pharmaceutical preparation.
The Company was founded in
1995 and is located in
Oxford, the United Kingdom.
Touchstone Innovations PLC
is a venture capital firm
focused on technology
companies. It supports
scientists and entrepreneurs
in the commercialization of
their ideas through the
licensing of intellectual
property, by leading the
formation of new companies,
providing facilities in the
early stages, providing
investment and encouraging
co-investment to accelerate
development, providing
operational expertise and
recruiting management teams.
It is also a holding
company. The Company was
founded in 1986 and is
located in London, the
United Kingdom.
Cystic Fibrosis Gene Therapy
Consortium is a manufacturer
of medicinals and
botanicals. The Company is
located in the United
Kingdom.</t>
  </si>
  <si>
    <t xml:space="preserve">2834
6799
2833</t>
  </si>
  <si>
    <t xml:space="preserve">Oxford BioMedica PLC
IP Group PLC
Cystic Fibrosis Gene Therapy</t>
  </si>
  <si>
    <t xml:space="preserve">OXFORD BIOMEDICA PLC/TOUCHSTONE INNOVATIONS PLC/CYSTIC FIBROSIS GENE
THERAPY CONSORTIUM-STRATEGIC ALLIANCE</t>
  </si>
  <si>
    <t xml:space="preserve">Oxford BioMedica PLC, Imperial Innovations Group PLC and Cystic Fibrosis
Gene Therapy Consortium planned to form a strategic alliance. The purpose
of strategic alliance were to Develop First-in-Class Gene Therapy for
Cystic Fibrosis.</t>
  </si>
  <si>
    <t xml:space="preserve">69140J
3F7145
0J9333</t>
  </si>
  <si>
    <t xml:space="preserve">Virtual Instruments Corp
Sanblaze Tech Inc</t>
  </si>
  <si>
    <t xml:space="preserve">Virtual Instruments Corp is
a United States-based
provider of infrastructure
performance management (IPM)
services for physical,
virtual and cloud computing
environments. The Company's
VirtualWisdom platform
provides visibility into the
performance, health and
utilization of the
information technology (IT)
infrastructure empowering
customers to guarantee the
performance of their
applications. The Companys
solutions, including
availability management,
performance management and
cost optimization, allow
customers to stop reactive
troubleshooting, start
managing performance and
achieve cost optimization.
Its services include
SOS-4-IPM, a solution that
resolves IT infrastructure
outage or degradation of
service; Critical
Infrastructure Audit, a
services engagement designed
to measure the health,
utilization and performance
of the end-to-end
virtualized host; Virtual
Instruments Managed
Services, that offers a team
of Virtual Instruments
subject matter experts
(SME), and QuickStart. It is
headquartered in San Jose,
California.
Sanblaze Technologies Inc is
a provider of data
processing and hosting
services. The Company is
located in Massachusetts.</t>
  </si>
  <si>
    <t xml:space="preserve">VIRTUAL INSTRUMENTS CORP/SANBLAZE TECHNOLOGIES INC-STRATEGIC ALLIANCE</t>
  </si>
  <si>
    <t xml:space="preserve">Virtual Instruments Corp and Sanblaze Technologies Inc planned to form a
strategic alliance. The purpose of strategic alliance is to Bring NVMe
Workload Modeling and Analytics to Storage Professionals.</t>
  </si>
  <si>
    <t xml:space="preserve">4E6520
1J1576</t>
  </si>
  <si>
    <t xml:space="preserve">Lexicon Pharmaceuticals Inc
Sanofi SA</t>
  </si>
  <si>
    <t xml:space="preserve">Mnfr biopharmaceuticals
Manufactures pharmaceuticals products</t>
  </si>
  <si>
    <t xml:space="preserve">Lexicon Pharmaceuticals Inc,
located in The Woodlands,
Texas, is a biopharmaceutical
company focusing on the
discovery of breakthrough
treatments for human diseases.
The company was founded in
1995.
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t>
  </si>
  <si>
    <t xml:space="preserve">LEXICON PHARMACEUTICALS INC/SANOFI SA-STRATEGIC ALLIANCE</t>
  </si>
  <si>
    <t xml:space="preserve">Lexicon Pharmaceuticals Inc and Sanofi SA formed a strategic alliance. The
purpose of strategic alliance was to develop, manufacture and commercialise
sotagliflozin.</t>
  </si>
  <si>
    <t xml:space="preserve">528872
80105N</t>
  </si>
  <si>
    <t xml:space="preserve">TeneoBio Inc
Poseida Therapeutics Inc</t>
  </si>
  <si>
    <t xml:space="preserve">TeneoBio Inc is a
manufacturer of biological
products. The Company is
located in Newark,
California.
Poseida Therapeutics Inc,
located in San Diego,
California, is a provider of
biotechnology research and
development services utilizing
a proprietary gene engineering
platform technologies to
create next generation cell
and gene therapeutics with the
capacity to cure.The Company
was founded in December 2014.</t>
  </si>
  <si>
    <t xml:space="preserve">TENEOBIO INC/POSEIDA THERAPEUTICS INC-STRATEGIC ALLIANCE</t>
  </si>
  <si>
    <t xml:space="preserve">TeneoBio Inc and Poseida Therapeutics Inc planned to form a strategic
alliance. The purpose of strategic alliance were to develop novel CAR-T
therapies using Teneobios heavy chain only domain antibodies (UniDabs).</t>
  </si>
  <si>
    <t xml:space="preserve">9E0545
73730P</t>
  </si>
  <si>
    <t xml:space="preserve">Genedrive PLC
Foundation For Innovation Of</t>
  </si>
  <si>
    <t xml:space="preserve">Biological Product (Except Diagnostic) Manufacturing
Hmo Medical Centers</t>
  </si>
  <si>
    <t xml:space="preserve">Genedrive PLCis a
manufacturer of biological
products. It engages in
developing and
commercializing point of
need diagnostics platform
for infectious diseases,
genotyping, pathogen
detection, and other
indications. The Company
operates through segments,
including Preclinical
Research Services,
Pharmacogenomics Services
and Diagnostics. The Company
was founded in 2000 and is
located in Manchester, the
United Kingdom.
Foundation For Innovation Of
New Diagnostics is a HMO
medical center operator. The
Company was founded in 2003
and is located in
Switzerland.</t>
  </si>
  <si>
    <t xml:space="preserve">GENEDRIVE PLC/FOUNDATION FOR INNOVATION OF NEW DIAGNOSTICS-STRATEGIC
ALLIANCE</t>
  </si>
  <si>
    <t xml:space="preserve">Genedrive PLC and Foundation For Innovation Of New Diagnostics planned to
form a strategic alliance. The purpose of strategic alliance were for the
performance evaluation of genedrive plc's hepatitis C virus (HCV)
GenedriveHCV ID Kit.</t>
  </si>
  <si>
    <t xml:space="preserve">9F2416
1J2218</t>
  </si>
  <si>
    <t xml:space="preserve">Grupo Globo
Magic Leap Inc</t>
  </si>
  <si>
    <t xml:space="preserve">Television Broadcasting
Augmented reality company</t>
  </si>
  <si>
    <t xml:space="preserve">Grupo Globo is a television
broadcaster. The Company is
located in Rio de Janeiro,
Brazil.
Magic Leap Inc, located in
Plantation, Florida, is an
augmented reality company.
It offers Magic Leap 1, a
wearable computer for
virtual reality experience.
The Company was founded in
2011.</t>
  </si>
  <si>
    <t xml:space="preserve">4833
3944</t>
  </si>
  <si>
    <t xml:space="preserve">GRUPO GLOBO/MAGIC LEAP INC-STRATEGIC ALLIANCE</t>
  </si>
  <si>
    <t xml:space="preserve">Grupo Globo and Magic Leap Inc planned to form a strategic alliance. The
purpose of the strategic alliance is for research and development in the
context of the Magic launch Leap One Creator Edition in the United States.</t>
  </si>
  <si>
    <t xml:space="preserve">1H4132
68529E</t>
  </si>
  <si>
    <t xml:space="preserve">Ambys Medicines Inc
Takeda Pharmaceutical Co Ltd</t>
  </si>
  <si>
    <t xml:space="preserve">Ambys Medicines Inc is a
provider of biotechnology
research and development
services. The Company was
founded in November 2016 and
is located in San Francisco,
California.
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</si>
  <si>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AMBYS MEDICINES INC/TAKEDA PHARMACEUTICAL CO LTD-STRATEGIC ALLIANCE</t>
  </si>
  <si>
    <t xml:space="preserve">Ambys Medicines Inc and Takeda Pharmaceutical Co Ltd formed a strategic
alliance to to build a transformative approach to liver diseases.</t>
  </si>
  <si>
    <t xml:space="preserve">9H9001
874058</t>
  </si>
  <si>
    <t xml:space="preserve">Tearlab Corp
Minifab (Aust) Pty Ltd</t>
  </si>
  <si>
    <t xml:space="preserve">Mnfr,whl ophthalmic devices
Engineering Services</t>
  </si>
  <si>
    <t xml:space="preserve">TearLab Corp, located in
Escondido, California,
manufactures and wholesales
ophthalmic devices for the
diagnosis and treatment of
age-related eye diseases.
The Company was founded in
1996.
Minifab (AUST) Pty Ltd is a
provider of engineering
services. The Company was
founded in 1970 and is
located in Melbourne,
Australia.</t>
  </si>
  <si>
    <t xml:space="preserve">3841
8711</t>
  </si>
  <si>
    <t xml:space="preserve">TEARLAB CORP/MINIFAB (AUST) PTY LTD-STRATEGIC ALLIANCE</t>
  </si>
  <si>
    <t xml:space="preserve">Tearlab Corp and Minifab (AUST) Pty Ltd formed a strategic alliance.The
purpose of the strategic alliance is to manufacture and supply test cards
for the Company's next generation platform, the TearLab Discovery System.</t>
  </si>
  <si>
    <t xml:space="preserve">878193
0J7728</t>
  </si>
  <si>
    <t xml:space="preserve">Auxly Cannabis Group Inc
Cannabis OneFive Inc</t>
  </si>
  <si>
    <t xml:space="preserve">Miscellaneous Intermediation
Internet Service Providers</t>
  </si>
  <si>
    <t xml:space="preserve">Auxly Cannabis Group Inc,
located in Toronto, Canada,
provides investment services
to the Canadian cannabis
industry. It provides
funding for facility
expansions, operations and
initial construction in
exchange for minority equity
interests and a portion of
the cultivation production.
The Company was founded on
August 24, 1987.
Cannabis OneFive Inc is an
internet service provider.
The Company is located in
Oakville, Canada.</t>
  </si>
  <si>
    <t xml:space="preserve">AUXLY CANNABIS GROUP INC/CANNABIS ONEFIVE INC-STRATEGIC ALLIANCE</t>
  </si>
  <si>
    <t xml:space="preserve">Auxly Cannabis Group Inc and Cannabis OneFive Inc formed a strategic
alliance. The purpose of strategic alliance is to implement and optimize
the system at Dosecann over the coming months as we develop the facility.</t>
  </si>
  <si>
    <t xml:space="preserve">6H3016
9H9359</t>
  </si>
  <si>
    <t xml:space="preserve">Et Solar Group Co Ltd
Tunghsu Kangtu Solar</t>
  </si>
  <si>
    <t xml:space="preserve">Manufacture solar panels
Other Electric Power Generation</t>
  </si>
  <si>
    <t xml:space="preserve">ET Solar Group Co Ltd is an
alternative energy sources
establishment. The Company
was founded in 2005 and is
located in Nanjing, China.
Tunghsu Kangtu Solar is an
electric power generation
facility operator. The
Company is located in China.</t>
  </si>
  <si>
    <t xml:space="preserve">ET SOLAR GROUP CO LTD/TUNGHSU KANGTU SOLAR-STRATEGIC ALLIANCE</t>
  </si>
  <si>
    <t xml:space="preserve">Et Solar Group Co Ltd and Tunghsu Kangtu Solar formed a strategic
alliance.The purpose of the strategic alliance is to develop overseas
markets together and deliver the best products and service to global
customers.</t>
  </si>
  <si>
    <t xml:space="preserve">27188X
0J7847</t>
  </si>
  <si>
    <t xml:space="preserve">Perennial Inc
Aphria Inc</t>
  </si>
  <si>
    <t xml:space="preserve">Local Messengers and Local Delivery
Pharmaceutical Preparation Manufacturing</t>
  </si>
  <si>
    <t xml:space="preserve">Perennial Inc is a provider
of delivery services. The
Company was founded in 1970
and is located in San Jose,
California.
Aphria Inc, located in
Leamington, Ontario, is a
medical cannabis company. It
is engaged in the business
of producing, supplying and
selling medical marijuana.
It has over 40 strains of
medical marijuana in
approximately 30,000 square
feet of operating space
across three light and
computer controlled glass
greenhouses. The Company was
founded in June 2011.</t>
  </si>
  <si>
    <t xml:space="preserve">4215
2834</t>
  </si>
  <si>
    <t xml:space="preserve">DATA Comms Mgmt Corp
Aphria Inc</t>
  </si>
  <si>
    <t xml:space="preserve">7389
2834</t>
  </si>
  <si>
    <t xml:space="preserve">PERENNIAL INC/APHRIA INC-JOINT VENTURE</t>
  </si>
  <si>
    <t xml:space="preserve">Perennial Inc and Aphria Inc signed a letter of intent to form a joint
venture.The purpose of the strategic alliance is to collaborate on the
development of new products, brands and product categories that will drive
the evolution of the Canadian adult-use cannabis market.</t>
  </si>
  <si>
    <t xml:space="preserve">0J7617
03765K</t>
  </si>
  <si>
    <t xml:space="preserve">Samsung Electronics Co Ltd
Seoul National University</t>
  </si>
  <si>
    <t xml:space="preserve">Radio and Television Broadcasting and Wireless Communications Equipment Manufacturing
University</t>
  </si>
  <si>
    <t xml:space="preserve">Samsung Electronics Co Ltd,
located in Suwon, South
Korea, manufactures and
wholesales consumer
electronic products. It
operates in three business
divisions: consumer
electronics (CE) division,
which involves in the color
televisions (CTVs),
monitors, printers, air
conditioners, refrigerators,
laundry machines and others;
information technology &amp;
mobile communications (IM)
division, which involves in
the production of computers,
handhold phones (HHPs),
network systems, digital
cameras and others, as well
as device solutions (DM)
division, which is divided
into semiconductor and
display business parts,
providing dynamic random
access memories (DRAMs),
flashes, thin film
transistor-liquid crystal
displays (TFT-LCDs) and
others. It is also a holding
company. The Company
distributes its products
within domestic market and
to overseas markets. It was
founded in 1969.
University</t>
  </si>
  <si>
    <t xml:space="preserve">SAMSUNG ELECTRONICS CO LTD/SEOUL NATIONAL UNIVERSITY-STRATEGIC ALLIANCE</t>
  </si>
  <si>
    <t xml:space="preserve">Samsung Electronics Co Ltd and Seoul National University formed a strategic
alliance. The purpose of the startegic alliance is to support researchers
in basic sciences including physics, mathematics and chemicals. The
partnerships will also help universities hire semiconductor experts and
Samsung will provide its research infrastructure to the institutions.</t>
  </si>
  <si>
    <t xml:space="preserve">796050
0C3968</t>
  </si>
  <si>
    <t xml:space="preserve">Perennial Grp of Cos
Aphria Inc</t>
  </si>
  <si>
    <t xml:space="preserve">Marketing Consulting Services
Pharmaceutical Preparation Manufacturing</t>
  </si>
  <si>
    <t xml:space="preserve">Perennial Group of Cos,
located in Toronto, Ontario,
is a provider of marketing
consulting services.
Aphria Inc, located in
Leamington, Ontario, is a
medical cannabis company. It
is engaged in the business
of producing, supplying and
selling medical marijuana.
It has over 40 strains of
medical marijuana in
approximately 30,000 square
feet of operating space
across three light and
computer controlled glass
greenhouses. The Company was
founded in June 2011.</t>
  </si>
  <si>
    <t xml:space="preserve">8742
2834</t>
  </si>
  <si>
    <t xml:space="preserve">PERENNIAL GROUP OF COS/APHRIA INC-JOINT VENTURE</t>
  </si>
  <si>
    <t xml:space="preserve">Perennial Group of Cos and Aphria Inc planned to form joint venture to
Develop New, Consumer-Centric, Cannabis-Infused Products and Brands for the
Canadian Market.</t>
  </si>
  <si>
    <t xml:space="preserve">3H9648
03765K</t>
  </si>
  <si>
    <t xml:space="preserve">Crown Bioscience Inc
Shanghai Model Organisms Ctr</t>
  </si>
  <si>
    <t xml:space="preserve">Crown Bioscience Inc, located
in Santa Clara, California, is
a biotechnology company that
provides integrated services
in oncology. Its team of
scientists is highly skilled
in molecular biology,
biochemistry, cell biology,
veterinarian science,
pharmacology, bioanalytics,
and histopathology. It
currently offers services in
Protein Expression, Cancer
pharmacology Antibody
generation and assay
development and Translational
research.
California.
China.</t>
  </si>
  <si>
    <t xml:space="preserve">JSR Corp
Shanghai Model Organisms Ctr</t>
  </si>
  <si>
    <t xml:space="preserve">CROWN BIOSCIENCE INC/SHANGHAI MODEL ORGANISMS CENTER INC-STRATEGIC
ALLIANCE</t>
  </si>
  <si>
    <t xml:space="preserve">Foreign
California</t>
  </si>
  <si>
    <t xml:space="preserve">Crown Bioscience Inc and Shanghai Model Organisms Center Inc formed a
strategic alliance.The purpose of strategic alliance is to exclusively
license and commercialize SMOC's comprehensive collection of genetically
engineered models, including proprietary transgenic and reporter models for
oncology, cardiovascular and immunology research.</t>
  </si>
  <si>
    <t xml:space="preserve">22831W
0J7944</t>
  </si>
  <si>
    <t xml:space="preserve">Scandium International Mining
Impression Technologies Ltd</t>
  </si>
  <si>
    <t xml:space="preserve">All Other Metal Ore Mining
Software Publishers</t>
  </si>
  <si>
    <t xml:space="preserve">Scandium International
Mining Corp is a metal ore
mine operator. The company
was founded in July 2006 and
is located in Sparks,
Nevada.
Impression Technologies Ltd,
located in UK, develops
software.</t>
  </si>
  <si>
    <t xml:space="preserve">1099
7372</t>
  </si>
  <si>
    <t xml:space="preserve">SCANDIUM INTERNATIONAL MINING/IMPRESSION TECHNOLOGIES LTD-STRATEGIC
ALLIANCE</t>
  </si>
  <si>
    <t xml:space="preserve">Scandium International Mining Corp and Impression Technologies Ltd formed a
strategic alliance. The purpose of the startegic alliance is to test
scandium-containing alloys in proprietary aluminum sheet forming
applications.</t>
  </si>
  <si>
    <t xml:space="preserve">80600L
8C9788</t>
  </si>
  <si>
    <t xml:space="preserve">Tiziana Life Sciences PLC
Brigham &amp; Womens Hospital</t>
  </si>
  <si>
    <t xml:space="preserve">Pharmaceutical Preparation Manufacturing
Own,op hospital</t>
  </si>
  <si>
    <t xml:space="preserve">Tiziana Life Sciences PLC,
located in London, the
United Kingdom, is a
manufacturer of
pharmaceutical preparation.
It is focused on compound,
milciclib, a molecule and
also in clinical development
of foralumab. The Company
was founded in February
1998.
Brigham &amp; Women's Hospital,
located in Boston,
Massachusetts, owns and
operates a hospital with
basic, clinical and
translational research on
human diseases, involving
more than 860
physician-investigators and
renowned biomedical
scientists.</t>
  </si>
  <si>
    <t xml:space="preserve">Planwise Group Ltd
Brigham &amp; Womens Hospital</t>
  </si>
  <si>
    <t xml:space="preserve">TIZIANA LIFE SCIENCES PLC/BRIGHAM &amp; WOMEN'S HOSPITAL-STRATEGIC ALLIANCE</t>
  </si>
  <si>
    <t xml:space="preserve">Tiziana Life Sciences PLC and Brigham Women's Hospital planned to form a
strategic alliance. the purpose of the partnership is to create
collaboration in pushing the clinical stage of Foralumab</t>
  </si>
  <si>
    <t xml:space="preserve">G8891H
10916M</t>
  </si>
  <si>
    <t xml:space="preserve">Infusion Biosciences Canada
Trace Research Inst Llc</t>
  </si>
  <si>
    <t xml:space="preserve">Manufactures biotechnology products
Medical Laboratories</t>
  </si>
  <si>
    <t xml:space="preserve">Infusion Biosciences Canada
Inc, located in Canada,
manufactures biotechnology
products.
Trace Research Institute LLC
The Company is located in
Washington, Washington.</t>
  </si>
  <si>
    <t xml:space="preserve">Sproutly Canada Inc
Trace Research Inst Llc</t>
  </si>
  <si>
    <t xml:space="preserve">1481
8071</t>
  </si>
  <si>
    <t xml:space="preserve">INFUSION BIOSCIENCES CANADA INC/TRACE RESEARCH INSTITUTE LLC-STRATEGIC
ALLIANCE</t>
  </si>
  <si>
    <t xml:space="preserve">Infusion Biosciences Canada Inc and Trace Research Institute LLC planned to
form a strategic alliance. The purpose for forming a strategic alliance was
to focus on developing and validating analytical methods for the detection
and measurement of cannabis phytochemicals in water solutions.</t>
  </si>
  <si>
    <t xml:space="preserve">4H4827
9H8731</t>
  </si>
  <si>
    <t xml:space="preserve">Midland Exploration Inc
Altius Minerals Corp</t>
  </si>
  <si>
    <t xml:space="preserve">Mineral mining company
Mineral mining company</t>
  </si>
  <si>
    <t xml:space="preserve">Midland Exploration Inc,
located in Montreal, Quebec,
Canada, is engaged in the
exploration of gold, base
metals, and rare earth
elements. The company was
founded in 1995.
Altius Minerals Corp located
in St. John's, Newfoundland
and Labrador, Canada, is a
mineral mining company. It
is engaged in the
generation, exploration and
acquisition of mining
properties in the Province
of Newfoundland and
Labrador. The Company was
founded in March 5, 1997.</t>
  </si>
  <si>
    <t xml:space="preserve">1041
1099</t>
  </si>
  <si>
    <t xml:space="preserve">MIDLAND EXPLORATION INC/ALTIUS MINERALS CORP-STRATEGIC ALLIANCE</t>
  </si>
  <si>
    <t xml:space="preserve">Midland Exploration Inc and Altius Minerals Corp planned to form a
strategic alliance. The purpose of the strategic alliance is to discovery
the new Cu-Mo-Au-Ag and Au showings in James Bay, Quebec.</t>
  </si>
  <si>
    <t xml:space="preserve">691903
020936</t>
  </si>
  <si>
    <t xml:space="preserve">Harbour Biomed
Sichuan Kelun Bio-Tech Pharma</t>
  </si>
  <si>
    <t xml:space="preserve">Research and Development in Biotechnology
Biotech co</t>
  </si>
  <si>
    <t xml:space="preserve">Harbour Biomed is a provider
of biotechnology research
and development services.
The Company is located in
Shanghai, China.
Sichuan Kelun Bio-Tech
Pharmaceutical Co, is a
biotechnology company</t>
  </si>
  <si>
    <t xml:space="preserve">Harbour Biomed
International Consolidated Cos</t>
  </si>
  <si>
    <t xml:space="preserve">8731
7389</t>
  </si>
  <si>
    <t xml:space="preserve">HARBOUR BIOMED/SICHUAN KELUN BIO-TECH -STRATEGIC ALLIANCE</t>
  </si>
  <si>
    <t xml:space="preserve">Harbour Biomed and Sichuan Kelun Bio-Tech Pharmaceutical Co formed a
strategic alliance. The purpose of strategic alliance was to develop and
commercialize A167, an anti-PD-L1 antibody in Phase II clinical
development, worldwide outside of the Greater China region.</t>
  </si>
  <si>
    <t xml:space="preserve">Health &amp; Medical Services
Marketing Services
Research &amp; Development Services</t>
  </si>
  <si>
    <t xml:space="preserve">1F2821
82399E</t>
  </si>
  <si>
    <t xml:space="preserve">Marlink AS
We4sea Bv</t>
  </si>
  <si>
    <t xml:space="preserve">Miscellaneous Intermediation
Navigational Services To Shipping</t>
  </si>
  <si>
    <t xml:space="preserve">Marlink AS is an
intermediating company. The
Company was founded in
October 2006 and is located
in Lysaker, Norway.
We4Sea BV is a provider of
navigational services to
shipping. The Company was
founded in 1970 and is
located in the Netherlands.</t>
  </si>
  <si>
    <t xml:space="preserve">6799
4492</t>
  </si>
  <si>
    <t xml:space="preserve">MARLINK AS/WE4SEA BV-STRATEGIC ALLIANCE</t>
  </si>
  <si>
    <t xml:space="preserve">Marlink AS and We4Sea BV formed a strategic alliance. The purpose of
strategic alliance were to see Dutch start-up We4Sea leverage Marlinks
broadband satellite communications network, digital solutions and contacts
to further test, develop and mature its fuel efficiency solutions.</t>
  </si>
  <si>
    <t xml:space="preserve">0J8866
0J8867</t>
  </si>
  <si>
    <t xml:space="preserve">Covalon Technologies Ltd
Underwriters Re Holdings</t>
  </si>
  <si>
    <t xml:space="preserve">Mnfr med devices
Pvd re-ins svcs</t>
  </si>
  <si>
    <t xml:space="preserve">Covalon Technologies Ltd,
located in Mississauga,
Ontario, manufactures
medical devices, surgical
products and wound care
applications. Its products
and services addressed needs
of medical device companies,
healthcare providers and
individual consumers. The
Company was founded in 2004.
Underwriters Re Holdings
Corp(Alleghany Corp), located
in Woodland Hills, provides
re-insurance services.</t>
  </si>
  <si>
    <t xml:space="preserve">3841
6321</t>
  </si>
  <si>
    <t xml:space="preserve">Covalon Technologies Ltd
Alleghany Corp</t>
  </si>
  <si>
    <t xml:space="preserve">3841
6331</t>
  </si>
  <si>
    <t xml:space="preserve">COVALON TECHNOLOGIES LTD/UNDERWRITERS RE HOLDINGS-STRATEGIC ALLIANCE</t>
  </si>
  <si>
    <t xml:space="preserve">Covalon Technologies Ltd and Underwriters Re Holdings Corp(Alleghany Corp)
formed a strategic alliance in Canadato use Covalon's patented
antimicrobial medical coating technology with some of its devices. This
agreement enables companies to provide antimicrobial medical coating
technology with some of its devices helps prevent infections.</t>
  </si>
  <si>
    <t xml:space="preserve">The Strategic Alliance was to have a estimated cost of 3.5 million USD.</t>
  </si>
  <si>
    <t xml:space="preserve">22282D
904491</t>
  </si>
  <si>
    <t xml:space="preserve">Structured Immunity LLC
Medigene AG</t>
  </si>
  <si>
    <t xml:space="preserve">Structured Immunity LLC is a
provider of biotechnology
research and development
services. The Company was
founded in April 2016 and is
located in Granger, Indiana.
Medigene AG, located in
Martinsried, Germany, is a
biotechnology company. The
Company is focused on the
development of therapeutics
for cancer and autoimmune
diseases. Its brands include
Eligard, Veregen, Endo TAG,
Rhudex, HSV and mTCR, among
others. The Company was
founded in 1994.</t>
  </si>
  <si>
    <t xml:space="preserve">STRUCTURED IMMUNITY LLC/MEDIGENE AG-STRATEGIC ALLIANCE</t>
  </si>
  <si>
    <t xml:space="preserve">Structured Immunity LLC and Medigene AG formed a strategic alliance to
supply Structured Immunity with a lead TCR candidate for a high-profile
solid tumor target.</t>
  </si>
  <si>
    <t xml:space="preserve">0J7718
58558N</t>
  </si>
  <si>
    <t xml:space="preserve">Lixte Biotechnology Hldgs Inc
H Lee Moffitt Cancer Center</t>
  </si>
  <si>
    <t xml:space="preserve">Blank check co
Specialty (Except Psychiatric and Substance Abuse) Hospitals</t>
  </si>
  <si>
    <t xml:space="preserve">Lixte Biotechnology Holdings
Inc, located in New York, is a
blank check company formed for
the purpose of acquiring
another business.
H Lee Moffitt Cancer Center
&amp; Research Institute Inc,
located in Tampa, Florida,
owns and operates
comprehensive cancer centers
engaged in research,
clinical trials, prevention
and cancer control. The
Company was founded in 1983.</t>
  </si>
  <si>
    <t xml:space="preserve">6726
8069</t>
  </si>
  <si>
    <t xml:space="preserve">LIXTE BIOTECHNOLOGY HOLDINGS/H LEE MOFFITT CANCER CENTER &amp; RESEARCH
INSTITUTE INC-STRATEGIC ALLIANCE</t>
  </si>
  <si>
    <t xml:space="preserve">Lixte Biotechnology Holdings Inc and H Lee Moffitt Cancer Center Research
Institute Inc formed a strategic alliance in United States to conduct a
Phase 1b/2 study of the safety and therapeutic benefit of Lixte's lead
clinical compound, LB-100, in patients with myelodysplastic syndrome. The
agreement enables Moffitt Cancer Center and Lixte Biotechnology to conduct
trail and to license LB-100.</t>
  </si>
  <si>
    <t xml:space="preserve">539319
52795F</t>
  </si>
  <si>
    <t xml:space="preserve">Kpn Ict Services Bv
Hanze Univ Groningen</t>
  </si>
  <si>
    <t xml:space="preserve">All Other Telecommunications
Colleges, Universities, and Professional Schools</t>
  </si>
  <si>
    <t xml:space="preserve">Kpn Ict Services Bv is a
provider of
telecommunications services.
The Company is located in
S-Gravenhage, the
Netherlands.
Hanze University Groningen
is a college operator. The
Company is located in the
Netherlands.</t>
  </si>
  <si>
    <t xml:space="preserve">4899
8221</t>
  </si>
  <si>
    <t xml:space="preserve">KPN ICT SERVICES BV/HANZE UNIVERSITY GRONINGEN-STRATEGIC ALLIANCE</t>
  </si>
  <si>
    <t xml:space="preserve">Kpn Ict Services Bv and Hanze University Groningen formed a strategic
alliance in Netherlands for the data innovation lab new applications are
developed in the field of data and artificial intelligence. KPN will expand
its contribution to research and education for the HBO-ICT program at the
Hanze University of Applied Sciences to four employees. The data &amp;
analytics consultants will provide education and guide students in
innovation assignments in the field of customer intelligence predictive
maintenance and smart buildings.</t>
  </si>
  <si>
    <t xml:space="preserve">0J9635
0J9633</t>
  </si>
  <si>
    <t xml:space="preserve">BMG Resources Ltd
Lithium Chile Inc</t>
  </si>
  <si>
    <t xml:space="preserve">Other Chemical and Fertilizer Mineral Mining
Other Chemical and Fertilizer Mineral Mining</t>
  </si>
  <si>
    <t xml:space="preserve">BMG Resources Ltd, located
in Perth, Australia, is a
mining exploration company
targeting lithium brine in
Chile. The Company focuses
on The Treasure Project, and
Chilean Lithium Brine on the
Salar West, Pajonales, and
Natalie. The Company was
founded in November 2003.
Lithium Chile Inc, located
in Calgary, Alberta, is a
lithium mineral mine
operator. The Company
operates 15 lithium and
copper mine projects across
Chile. It was founded in
October 2010.</t>
  </si>
  <si>
    <t xml:space="preserve">1479
1479</t>
  </si>
  <si>
    <t xml:space="preserve">BMG RESOURCES LTD/LITHIUM CHILE INC-JOINT VENTURE</t>
  </si>
  <si>
    <t xml:space="preserve">BMG Resources Ltd and Lithium Chile Inc formed joint venture explore and
develop three potential lithium brine projects in Chile through a joint
venture. The three projects are located in the lithium triangle, an area in
the Andes that encompasses parts of Northern Chile, Southwest Bolivia and
Northwest Argentina. This area hosts over 50 percent of the worlds lithium
resources, along with the largest and highest-grade lithium brine deposits
in the world.</t>
  </si>
  <si>
    <t xml:space="preserve">Research &amp; Development Services
Exploration Services
Electrical &amp; Electronic Services</t>
  </si>
  <si>
    <t xml:space="preserve">3C2523
53681G</t>
  </si>
  <si>
    <t xml:space="preserve">AbbVie Inc
argenx SE</t>
  </si>
  <si>
    <t xml:space="preserve">AbbVie Inc, located in North
Chicago, Illinois,
manufactures and wholesales
pharmaceutical products. Its
products are focused on
treating conditions such as
chronic autoimmune diseases
in rheumatology,
gastroenterology and
dermatology; oncology,
including blood cancers;
virology, including
hepatitis C virus (HCV) and
human immunodeficiency virus
(HIV); neurological
disorders, such as
Parkinson's disease;
metabolic diseases,
including thyroid disease
and complications associated
with cystic fibrosis; pain
associated with
endometriosis; and other
serious health conditions.
Its brands include HUMIRA,
Kaltera, Lupron, Synagis,
Androgel, Zemplar,
Synthroid, Creon, TriCor,
Trilipix, Simcor, Niaspan
and among others. The
Company was founded in
10, 2012.
January 2013.
argenx SE, located in Breda,
the Netherlands, is a
provider of biotechnology
research and development
services. The Company was
founded in 2008.</t>
  </si>
  <si>
    <t xml:space="preserve">ABBVIE INC/ARGENX SE-STRATEGIC ALLIANCE</t>
  </si>
  <si>
    <t xml:space="preserve">AbbVie Inc and ARGENX SE formed a strategic alliance in United States &amp;
Netherlands to develop and commercialize ARGX-115-based products. Argenx
also has the right to co-promote ARGX-115-based products in the EU and
Swiss Economic Area. The agreement enables AbbVie and Argenx to license
ARGX-115.</t>
  </si>
  <si>
    <t xml:space="preserve">00287Y
N0610Q</t>
  </si>
  <si>
    <t xml:space="preserve">SP Group A/S
Grab Holdings Inc</t>
  </si>
  <si>
    <t xml:space="preserve">All Other Plastics Product Manufacturing
Software Publishers</t>
  </si>
  <si>
    <t xml:space="preserve">SP Group A/S, based in
Sonderso, Denmark,
manufactures and wholesales
moulded plastic components.
It operates in four business
areas: injection moulding,
polyurethane, vacuum
moulding and coatings. The
Company also operates in
Germany, Netherlands,
Poland, USA, Canada and
China. The Plastic Solutions
business area develops and
produces plastic solutions
generated by using such
technologies as: reaction
injection molding
(Polyurethane), vacuum
forming and injection
molding.
Grab Holdings Inc is a
software publisher. The
Company is located in
Singapore. The Company is
also a holding company. The
Company offers ride-hailing
transport services, food
delivery and payment
solutions through Grab Taxi,
Grab Food and GrabPay. Its
operations are spread to
Malaysia, Indonesia,
Philippines, Thailand,
Vietnam and Myanmar.</t>
  </si>
  <si>
    <t xml:space="preserve">3089
7372</t>
  </si>
  <si>
    <t xml:space="preserve">Denmark
Singapore</t>
  </si>
  <si>
    <t xml:space="preserve">SP GROUP A/S/GRAB HOLDINGS INC-STRATEGIC ALLIANCE</t>
  </si>
  <si>
    <t xml:space="preserve">SP Group A/S and Grab Holdings Inc planned to form a strategic alliance in
Singapore to invest in new electric vehicle fleet, enabled by SP Groups
fast-charging DC network and also will bring in 200 new fast-charging
electric vehicles (EVs) and use SPs pervasive fast-charging network. This
will deliver greater cost savings for driver-partners.</t>
  </si>
  <si>
    <t xml:space="preserve">Research &amp; Development Services
Investment Services
Automotive Services
Electrical &amp; Electronic Services</t>
  </si>
  <si>
    <t xml:space="preserve">84928K
4H8593</t>
  </si>
  <si>
    <t xml:space="preserve">Dong-A ST Co Ltd
Takara Bio Inc</t>
  </si>
  <si>
    <t xml:space="preserve">Mnfr,whl ethical drug
Pvd biotech dvlp svcs</t>
  </si>
  <si>
    <t xml:space="preserve">DONG-A ST CO.,LTD is a
Seoul-based company
principally engaged in the
specialized pharmaceutical
business. The Companys
products portfolio consists of
therapeutic for acne
treatment, preparations for
hair and others, hepatitis
drugs, therapeutic for
osteoporosis, anticancer
drugs, antibiotics,
antihypertensive drugs, drugs
for treatment of dermatosis,
peptic ulcer drugs, as well as
anti-fungals, among others. It
also involves in the provision
of medical equipment,
diagnosis services, as well as
overseas sale business. The
company was founded in 2013.
Takara Bio Inc, based in
Shiga, Japan, is engaged in
provide biotech development
services. The Company has
three business segments. The
Genetic Engineering Research
segment is involved in the
research and development of
biotechnology; the
manufacture of research
reagents; the sale,
maintenance and repair of
physics and chemistry
equipment, such as reaction
temperature conversion
equipment, mass
spectroscopes and polymerase
chain reaction (PCR)
equipment, as well as the
provision of other
contracted research
services. The Genetic
Medicine segment is involved
in the research and
development of new drugs;
the provision of gene
therapy methods using retro
nectin; the clinical
development of
thymus-derived cell receptor
(TCR) gene-based treatment,
as well as the cell medical
care-related business, among
others. The Medical Food
segment is involved in the
development and sale of
health food materials, and
the research of cultivation
methods of mushrooms. The
company was founded in 2002.</t>
  </si>
  <si>
    <t xml:space="preserve">Dong-A ST Co Ltd
Takara Holdings Inc</t>
  </si>
  <si>
    <t xml:space="preserve">2834
2084</t>
  </si>
  <si>
    <t xml:space="preserve">DONG-A ST CO LTD/TAKARA BIO INC-STRATEGIC ALLIANCE</t>
  </si>
  <si>
    <t xml:space="preserve">Dong-A ST Co Ltd and Takara Bio Inc formed a strategic alliance. The
purpose of strategic alliance were to conduct clinical development of C-REV
in South Korea exclusively.</t>
  </si>
  <si>
    <t xml:space="preserve">3A2431
87140T</t>
  </si>
  <si>
    <t xml:space="preserve">Election Sys &amp; Software Inc
Homeland Sec And Defense
Info Sharing And Analysis</t>
  </si>
  <si>
    <t xml:space="preserve">Pvd election solutions svcs
National Government
City Government</t>
  </si>
  <si>
    <t xml:space="preserve">Election Systems &amp; Software
Inc, headquartered in Omaha,
Nebraska, is a provider of
total election management
solutions services. It
develops pre election and
voter registration software.
Its products include
PowerProfile, MegaProfile
modular application,
EnterpriseProfile, iVotronic
LS and AutoMARK Voter Assist
Terminal. The company was
founded in 1979.
Homeland Security &amp; Defense
Corp is a national
government. The Company is
located in the United
States.
Information Sharing And
Analysis Centers is a city
government. The Company is
located in Noida, India.</t>
  </si>
  <si>
    <t xml:space="preserve">7372
999A
999E</t>
  </si>
  <si>
    <t xml:space="preserve">United States
United States
India</t>
  </si>
  <si>
    <t xml:space="preserve">NE
WA
FF</t>
  </si>
  <si>
    <t xml:space="preserve">Election Sys &amp; Software Inc
Isonics Corp
Info Sharing And Analysis</t>
  </si>
  <si>
    <t xml:space="preserve">7372
2819
999E</t>
  </si>
  <si>
    <t xml:space="preserve">ELECTION SYSTEMS &amp; SOFTWARE/HOMELAND SECURITY AND DEFENSE CORP/INFORMATION
SHARING AND ANALYSIS CENTERS-STRATEGIC ALLIANCE</t>
  </si>
  <si>
    <t xml:space="preserve">Election Systems Software Inc, Homeland Security and Defense Corp and
Information Sharing And Analysis Centers planned to form a strategic
alliance for the installation of advanced threat monitoring, to further
security in the U.S. voting environment.</t>
  </si>
  <si>
    <t xml:space="preserve">Research &amp; Development Services
Security (Guards) Services</t>
  </si>
  <si>
    <t xml:space="preserve">28475N
43749T
0J9209</t>
  </si>
  <si>
    <t xml:space="preserve">Global Blood Therapeutics Inc
F Hoffmann-La Roche Ltd</t>
  </si>
  <si>
    <t xml:space="preserve">Global Blood Therapeutics
Inc is a manufacturer of
pharmaceutical preparation.
The Company was founded in
February 2011 and is located
in South San Francisco,
California.
F Hoffmann-La Roche Ltd,
located in Basel,
Switzerland, manufactures
pharmaceuticals, biological
products, medicines,
chemicals and wholesale
medical research
instruments. The Company
also provides research
services and acts as a
holding company. The Company
was founded in 1896.</t>
  </si>
  <si>
    <t xml:space="preserve">Third Rock Ventures LP
Roche Holdings AG</t>
  </si>
  <si>
    <t xml:space="preserve">GLOBAL BLOOD THERAPEUTICS INC/F HOFFMANN-LA ROCHE LTD-STRATEGIC ALLIANCE</t>
  </si>
  <si>
    <t xml:space="preserve">Global Blood Therapeutics Inc and F Hoffmann-La Roche Ltd formed a
strategic alliance in United States for the development and
commercialization of inclacumab, a novel fully human monoclonal antibody
against P-selectin. GBT plans to develop inclacumab as a treatment for
vaso-occlusive crises (VOC) in patients with sickle cell disease. GBT will
be responsible for all development, manufacturing, and commercialization of
inclacumab worldwide. Roche will receive an upfront payment of $2.0 million
from GBT and is eligible to receive up to approximately $125 million in
development and commercialization milestone payments for the sickle cell
disease indication. Additionally, Roche is eligible to receive tiered
royalties based on net revenues for inclacumab.</t>
  </si>
  <si>
    <t xml:space="preserve">37890U
7H3783</t>
  </si>
  <si>
    <t xml:space="preserve">Starvr Corp
Avic Vision Technology Co Ltd</t>
  </si>
  <si>
    <t xml:space="preserve">Other Computer Peripheral Equipment Manufacturing
Wired Telecommunications Carriers</t>
  </si>
  <si>
    <t xml:space="preserve">StarVR Corporation is a
Taiwan-based company mainly
engaged in the provision of
complete virtual reality
solution for businesses and
commercial markets,
including hardware,
software, contents, and
services. The Company mainly
provides services based on
the application needs of
customers in different
industries. The Company
provides customized virtual
reality related services and
accessories, such as
controllers for
entertainment industries,
such as virtual reality
entertainment experience
stores, virtual reality
arcade game centers, and
main parks. The Company
mainly provides its products
and services in China,
Europe, and Americas.
Avic Vision Technology Co
Ltd is a wired
telecommunications carrier.
The Company is located in
China.</t>
  </si>
  <si>
    <t xml:space="preserve">3577
4812</t>
  </si>
  <si>
    <t xml:space="preserve">Acer Inc
Aviation Ind Corp Of China</t>
  </si>
  <si>
    <t xml:space="preserve">3577
3721</t>
  </si>
  <si>
    <t xml:space="preserve">STARVR CORP/AVIC VISION TECHNOLOGY CO LTD-STRATEGIC ALLIANCE</t>
  </si>
  <si>
    <t xml:space="preserve">StarVR Corp and Avic Vision Technology Co Ltd formed a strategic alliance
in Taiwan &amp; China for expanding use of advanced commercial VR solutions in
the aviation and aerospace industry.</t>
  </si>
  <si>
    <t xml:space="preserve">0J9280
0J9272</t>
  </si>
  <si>
    <t xml:space="preserve">LEO Pharma A/S
JW Pharmaceutical Corp</t>
  </si>
  <si>
    <t xml:space="preserve">Mnfr pharmaceuticals
Mnfr,whl pharm</t>
  </si>
  <si>
    <t xml:space="preserve">Leo Pharma A/S, located in
Ballerup, Denmark,
manufactures pharmaceuticals
intended for final
consumption, including
biotech products and
antibiotics. The Company
offers drugs for the
treatment of psoriasis,
atopic dermatitis, eczema,
and acne; anti-coagulation,
bone turnover/nephrology,
and antithrombin
deficiencies; inflammation;
thromboembolic disorders;
and infectious diseases. It
was founded in 1908.
JW Pharmaceutical Corp,
based in Seoul, South Korea,
is a Korea-based company
engaged in the development
and manufacture and
wholesale of
pharmaceuticals. The
Company's products include
analgesics, antipyretics and
cold remedies, antidote
agents, antimicrobials,
anticancer agents,
antifungal agents,
circulatory system agents,
gastrointestinal agents,
multivitamins and antianemic
agents, contact lens care
and ophthalmic agents,
alopecia treatments, skin
disease treatments, amino
acid solutions, carbohydrate
solutions, flexible
intravenous (I.V.)
containers, respiratory
agents, nephrology agents,
urology agents, diabetic
agents and others. It also
engages in the research of
anti-cancer drugs. The
Company was founded in 1945.</t>
  </si>
  <si>
    <t xml:space="preserve">Denmark
South Korea</t>
  </si>
  <si>
    <t xml:space="preserve">Leo Fondet
JW Pharmaceutical Corp</t>
  </si>
  <si>
    <t xml:space="preserve">LEO PHARMA A/S/JW PHARMACEUTICAL CORP-STRATEGIC ALLIANCE</t>
  </si>
  <si>
    <t xml:space="preserve">LEO Pharma A/S and JW Pharmaceutical Corp formed a strategic alliance in
South Korea to develop and commercialise South Korean JW Pharmaceuticals
JW1601 drug candidate in a deal worth approximately $402m. Under the terms
of the deal, LEO Pharma will receive exclusive global rights to JW1601.
However, JW Pharmaceutical will retain its exclusivity in South Korea.</t>
  </si>
  <si>
    <t xml:space="preserve">The Strategic Alliance was to have a estimated cost of 402 million USD.</t>
  </si>
  <si>
    <t xml:space="preserve">52668Z
17039M</t>
  </si>
  <si>
    <t xml:space="preserve">Ap Renewables Inc
Philippine Geothermal Prodn</t>
  </si>
  <si>
    <t xml:space="preserve">Cogeneration plant
Plumbing, Heating, and Air-Conditioning Contractors</t>
  </si>
  <si>
    <t xml:space="preserve">Ap Renewables Inc is an
alternative energy sources
establishment. The Company
is located in the
Philippines.
Philippine Geothermal
Production Co Inc is a
plumbing, heating and
air-conditioning contractor.
The Company is located in
the Philippines.</t>
  </si>
  <si>
    <t xml:space="preserve">499A
1796</t>
  </si>
  <si>
    <t xml:space="preserve">Aboitiz Equity Ventures Inc
SM Investments Corp</t>
  </si>
  <si>
    <t xml:space="preserve">4911
5311</t>
  </si>
  <si>
    <t xml:space="preserve">AP RENEWABLES INC/PHILIPPINE GEOTHERMAL PRODUCTION CO INC-STRATEGIC
ALLIANCE</t>
  </si>
  <si>
    <t xml:space="preserve">Philippines
Oman</t>
  </si>
  <si>
    <t xml:space="preserve">Ap Renewables Inc and Philippine Geothermal Production Co Inc formed a
strategic alliance in Oman &amp; Philippine to continue the development of
clean geothermal energy with the signing of a Geothermal Resources Supply
and Services Agreement (GRSSA) for the supply of steam and drilling of new
production wells in the Tiwi and MakBan Geothermal Complex, ensuring the
long-term operations of the two renewable power plant facilities.</t>
  </si>
  <si>
    <t xml:space="preserve">Research &amp; Development Services
Supply Services
Electric Utility Services</t>
  </si>
  <si>
    <t xml:space="preserve">01353M
0J8308</t>
  </si>
  <si>
    <t xml:space="preserve">MYM Nutraceuticals Inc
Univ Of Sherbrooke</t>
  </si>
  <si>
    <t xml:space="preserve">Biological Product (Except Diagnostic) Manufacturing
City Government</t>
  </si>
  <si>
    <t xml:space="preserve">MYM Nutraceuticals Inc,
located in Vancouver,
British Columbia, is a
biotechnology company
focused on developing
high-end organic medicinal
cannabis supplements and
topical products. It is also
engaged in the development
of high-density farming
facilities and technologies.
The Company was founded in
2014.
University Of Sherbrooke is
a city government. The
Company is located in
Sherbrooke, Canada.</t>
  </si>
  <si>
    <t xml:space="preserve">MYM NUTRACEUTICALS INC/UNIVERSITY OF SHERBROOKE-STRATEGIC ALLIANCE</t>
  </si>
  <si>
    <t xml:space="preserve">MYM Nutraceuticals Inc and University Of Sherbrooke formed a strategic
alliance in Canada to study the medicinal and industrial uses of cannabis
and hemp. Researchers at the University of Sherbrooke will work with an
on-site coordinator to create partnerships by targeting expertise in
various faculties and training centres.</t>
  </si>
  <si>
    <t xml:space="preserve">62847G
0J8400</t>
  </si>
  <si>
    <t xml:space="preserve">Unitopia Lab
Ultrain Tech Ltd</t>
  </si>
  <si>
    <t xml:space="preserve">Research and Development in Biotechnology
Software Reproducing</t>
  </si>
  <si>
    <t xml:space="preserve">Unitopia Lab is a provider
of biotechnology research
and development services.
The Company is located in
China.
Ultrain Technology Ltd is a
software. The Company is
located in Hangzhou, China.</t>
  </si>
  <si>
    <t xml:space="preserve">UNITOPIA LAB/ULTRAIN TECHNOLOGY LTD-STRATEGIC ALLIANCE</t>
  </si>
  <si>
    <t xml:space="preserve">Unitopia Lab and Ultrain Technology Ltd planned to form a strategic
alliance in China to establish a presence in this new market and make
Blockchain video games a household product.</t>
  </si>
  <si>
    <t xml:space="preserve">0J8748
0J8747</t>
  </si>
  <si>
    <t xml:space="preserve">Centogene AG
Evotec AG</t>
  </si>
  <si>
    <t xml:space="preserve">Research and Development in Biotechnology
Mnfr small molecule drugs</t>
  </si>
  <si>
    <t xml:space="preserve">Centogene AG is a provider of
biotechnology research and
development services. The
Company was founded in 2006
and is located in Rostock,
Germany.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t>
  </si>
  <si>
    <t xml:space="preserve">CENTOGENE AG/EVOTEC AG-STRATEGIC ALLIANCE</t>
  </si>
  <si>
    <t xml:space="preserve">Centogene AG and Evotec AG planned to form a strategic alliance. The
purpose of strategic alliance were to joint drug discovery projects,
developing compounds to treat rare genetic diseases and initiated the
collaboration to develop a strategic high-throughput platform for testing
novel small molecules in rare hereditary metabolic diseases.</t>
  </si>
  <si>
    <t xml:space="preserve">9A0321
D1646D</t>
  </si>
  <si>
    <t xml:space="preserve">Risen Energy Co Ltd
Massachusetts Inst Of Tech</t>
  </si>
  <si>
    <t xml:space="preserve">Mnfr,whl solar energy prod
Colleges, Universities, and Professional Schools</t>
  </si>
  <si>
    <t xml:space="preserve">Risen Energy Co Ltd, located
in China, is a manufacturer
and wholesaler of solar
energy products. Its main
products include solar
panels and solar cells
etc.The company was founded
in 2002.
Massachusetts Institute Of
Technology is a college
operator. The Company is
located in Cambridge,
Massachusetts.</t>
  </si>
  <si>
    <t xml:space="preserve">RISEN ENERGY CO LTD/MASSACHUSETTS INSTITUTE OF TECHNOLOGY{MIT}-STRATEGIC
ALLIANCE</t>
  </si>
  <si>
    <t xml:space="preserve">Risen Energy Co Ltd and Massachusetts Institute of Technology{MIT} formed a
strategic alliance. The purpose of strategic alliance were to engage in a
series of in-depth collaborations concerning technology R&amp;D, talent
development and retention, as well as information sharing.</t>
  </si>
  <si>
    <t xml:space="preserve">76765E
57571T</t>
  </si>
  <si>
    <t xml:space="preserve">Strategia Holdings LLC
Js Innopharm Ltd</t>
  </si>
  <si>
    <t xml:space="preserve">Floor Covering Stores
Pharmaceutical Preparation Manufacturing</t>
  </si>
  <si>
    <t xml:space="preserve">Strategia Holdings LLC is a
floor coverings retailer.
The Company was founded in
January 2017 and is located
in Natick, Massachusetts.
Js Innopharm Limited is a
manufacturer of
pharmaceutical preparation.
The Company was founded in
1970 and is located in
China.</t>
  </si>
  <si>
    <t xml:space="preserve">5023
2834</t>
  </si>
  <si>
    <t xml:space="preserve">STRATEGIA HOLDINGS LLC/JS INNOPHARM LIMITED-STRATEGIC ALLIANCE</t>
  </si>
  <si>
    <t xml:space="preserve">Strategia Holdings LLC and Js Innopharm Limited planned to form a strategic
alliance. The purpose of strategic alliance were to facilitate global drug
development. Through this partnership, both companies will leverage their
comprehensive knowledge, broad expertise, drug candidates, and networks in
the global development of multiple therapeutics.</t>
  </si>
  <si>
    <t xml:space="preserve">0J7159
0J5945</t>
  </si>
  <si>
    <t xml:space="preserve">AXIM Biotechnologies Inc
Revive Therapeutics Ltd</t>
  </si>
  <si>
    <t xml:space="preserve">Biological Product (Except Diagnostic) Manufacturing
Provides biotechnology research, development services</t>
  </si>
  <si>
    <t xml:space="preserve">AXIM Biotechnologies Inc,
located in New York City,
New York, is a manufacturer
of biological products. The
Company was founded in
November 2010.
Revive Therapeutics Ltd,
located in Toronto, Ontario,
provides biotechnology
research and development
services. The Company was
founded in March 2012.</t>
  </si>
  <si>
    <t xml:space="preserve">AXIM BIOTECHNOLOGIES INC/REVIVE THERAPEUTICS LTD-STRATEGIC ALLIANCE</t>
  </si>
  <si>
    <t xml:space="preserve">Axim Biotechnologies Inc and Revive Therapeutics Ltd planned to form a
strategic alliance to to develop the best position for AXIM and Revive to
successfully enter the emerging, robust market in Canada and meet the
increased demand for high-quality CBD products. George E. Anastassov is the
chief executive officer of AXIM Biotechnologies.</t>
  </si>
  <si>
    <t xml:space="preserve">Supply Services
Licensing Services
Research &amp; Development Services
Health &amp; Medical Services</t>
  </si>
  <si>
    <t xml:space="preserve">9E0413
761516</t>
  </si>
  <si>
    <t xml:space="preserve">Siemens Healthineers AG
Med Univ of South Carolina</t>
  </si>
  <si>
    <t xml:space="preserve">Navigational, Measuring, Electromedical, and Control Instruments Manufacturing
Own,op college,university</t>
  </si>
  <si>
    <t xml:space="preserve">Siemens Healthineers AG,
located in Erlangen,
Germany, manufactures and
wholesales diagnostic and
therapeutic imaging
products. It also offers
laboratory and point of care
diagnostics, and molecular
medicine. It is a holding
company and provides medical
technology and software
solutions, as well as
clinical consulting
services. The Company was
founded in May 2015.
Medical University of South
Carolina, owns and operates a
college/university with broad
range of health professionals,
biomedical scientists and
other health related
personnel. The
college/university is
headquartered in Charleston,
South Carolina. Founded in
1824.</t>
  </si>
  <si>
    <t xml:space="preserve">Siemens AG
Med Univ of South Carolina</t>
  </si>
  <si>
    <t xml:space="preserve">SIEMENS HEALTHINEERS AG/MEDICAL UNIVERSITY OF-STRATEGIC ALLIANCE</t>
  </si>
  <si>
    <t xml:space="preserve">Siemens Healthineers AG and Medical University of South Carolina formed a
strategic alliance to capitalize on the coupling of MUSCs clinical care,
research and education expertise with Siemens Healthineers engineering
innovations and workflow-improvement capabilities.</t>
  </si>
  <si>
    <t xml:space="preserve">Health &amp; Medical Services
Research &amp; Development Services
Educational Services
Hospital &amp; Clinical Services</t>
  </si>
  <si>
    <t xml:space="preserve">0F0902
58586F</t>
  </si>
  <si>
    <t xml:space="preserve">Urovant Sciences Ltd
Ion Channel Innovations Llc</t>
  </si>
  <si>
    <t xml:space="preserve">Urovant Sciences Ltd is a
manufacturer of
pharmaceutical preparation.
The Company is located in
the United Kingdom.
Ion Channel Innovations LLC
is a provider of
biotechnology research and
development services. The
Company was founded in July
2000 and is located in New
York.</t>
  </si>
  <si>
    <t xml:space="preserve">UROVANT SCIENCES LTD/ION CHANNEL INNOVATIONS, LLC-STRATEGIC ALLIANCE</t>
  </si>
  <si>
    <t xml:space="preserve">Urovant Sciences Ltd and ION CHANNEL INNOVATIONS, LLC planned to form a
strategic alliance. The purpose of strategic alliance is for the
development and commercialization of hMaxi-K. hMaxi-K has been evaluated in
two Phase I studies in OAB patients including a small, double-blind,
placebo-controlled Phase Ib clinical trial as an intravesical injection in
women with overactive bladder symptoms.</t>
  </si>
  <si>
    <t xml:space="preserve">5H6326
0J6810</t>
  </si>
  <si>
    <t xml:space="preserve">Lease Analytics Llc
Lone Star Analysis</t>
  </si>
  <si>
    <t xml:space="preserve">Software Reproducing
Software Publishers</t>
  </si>
  <si>
    <t xml:space="preserve">Lease Analytics LLC is a
software. The Company is
located in Texas.
Lone Star Analysis is a
software publisher. The
Company is located in
Dallas, Texas. Lone Star has
gained recognition, and is
sought out by customers,
because we consistently help
solve complex business and
technical challenges</t>
  </si>
  <si>
    <t xml:space="preserve">LEASE ANALYTICS LLC/LONE STAR ANALYSIS-STRATEGIC ALLIANCE</t>
  </si>
  <si>
    <t xml:space="preserve">Lease Analytics LLC and Lone Star Analysis formed a strategic alliance to
allow Lone Star's analytics services to enhance Lease Analytics'
surveillance and recovery solutions by predicting future outcomes in
real-time and turning that knowledge into action.</t>
  </si>
  <si>
    <t xml:space="preserve">0J6491
9H9076</t>
  </si>
  <si>
    <t xml:space="preserve">JAGGAER Inc
Science Exchange Inc</t>
  </si>
  <si>
    <t xml:space="preserve">Software Publishers
Research and Development in Biotechnology</t>
  </si>
  <si>
    <t xml:space="preserve">JAGGAER Inc, located in
Morrisville, North Carolina,
provides web-based
e-procurement services that
integrates customers with
their suppliers to improve
procurement of indirect
goods and services. The
Company was founded in 1995.
Science Exchange Inc is a
provider of biotechnology
research and development
services. The Company is
located in Palo Alto,
California.</t>
  </si>
  <si>
    <t xml:space="preserve">Accel Partners &amp; Co Inc
Science Exchange Inc</t>
  </si>
  <si>
    <t xml:space="preserve">JAGGAER INC/SCIENCE EXCHANGE INC-STRATEGIC ALLIANCE</t>
  </si>
  <si>
    <t xml:space="preserve">JAGGAER Inc and Science Exchange Inc formed a strategic alliance to serve
the life sciences, pharmaceutical, healthcare, higher education, food
science, agrisciences, chemicals, cosmetic, and any industry that relies on
scientific research.</t>
  </si>
  <si>
    <t xml:space="preserve">Research &amp; Development Services
Educational Services
Health &amp; Medical Services</t>
  </si>
  <si>
    <t xml:space="preserve">5F6815
4E7689</t>
  </si>
  <si>
    <t xml:space="preserve">Cronos Group Inc
Agroidea Sas</t>
  </si>
  <si>
    <t xml:space="preserve">Manufactures,wholesales medical cannabis products
Farm Labor Contractors and Crew Leaders</t>
  </si>
  <si>
    <t xml:space="preserve">Cronos Group Inc, located in
Toronto, Ontario,
manufactures and wholesales
medical cannabis products.
It has operations across
Canada, particularly in
Simcoe County, Ontario and
Okanagan Valley, British
Columbia. It wholly owns and
operates two licensed
producers such as Peace
Naturals, a company licensed
to produce and sell medical
marijuana and cultivate
cannabis oil and Original BC
Ltd, a company licensed to
cultivate and sell medical
marijuana products. It also
has a partial ownership in
Whistler Medical Marijuana
Corp, a company also
licensed to produce and sell
marijuana products and
cultivate cannabis oil. The
Company was founded in
August 2012.
Agroidea Sas is a farm labor
contractor. The Company is
located in Colombia.</t>
  </si>
  <si>
    <t xml:space="preserve">2833
0761</t>
  </si>
  <si>
    <t xml:space="preserve">Canada
Colombia</t>
  </si>
  <si>
    <t xml:space="preserve">CRONOS GROUP INC/AGROIDEA SAS-JOINT VENTURE</t>
  </si>
  <si>
    <t xml:space="preserve">Natuera SARL is a
manufacturer of medicinals
and botanicals. The Company
is located in Colombia.</t>
  </si>
  <si>
    <t xml:space="preserve">Cronos Group Inc and Agroidea Sas formed joint venture named Natuera Sarl
to develop, cultivate, manufacture and export cannabis-based medicinal and
consumer products for the Latin American and global markets.</t>
  </si>
  <si>
    <t xml:space="preserve">Research &amp; Development Services
Manufacturing Services
Agricultural, Forestry, &amp; Fishing Svcs
Health &amp; Medical Services</t>
  </si>
  <si>
    <t xml:space="preserve">0J1818</t>
  </si>
  <si>
    <t xml:space="preserve">22717L
0J1813</t>
  </si>
  <si>
    <t xml:space="preserve">Agritech New Zealand Ltd
Western Growers Association</t>
  </si>
  <si>
    <t xml:space="preserve">Other Scientific and Technical Consulting Services
All Other Miscellaneous Crop Farming</t>
  </si>
  <si>
    <t xml:space="preserve">Agritech New Zealand Ltd is
a provider of technical
consulting services. The
Company was founded in 1970
and is located in New
Zealand.
Western Growers Association
is a crop farming
establishment. The Company
was founded in 1970 and is
located in Irvine,
California.</t>
  </si>
  <si>
    <t xml:space="preserve">0781
0831</t>
  </si>
  <si>
    <t xml:space="preserve">AGRITECH NEW ZEALAND LTD/WESTERN GROWERS ASSOCIATION-STRATEGIC ALLIANCE</t>
  </si>
  <si>
    <t xml:space="preserve">Agritech New Zealand Ltd and Western Growers Association formed a strategic
alliance.The purpose of the strategic alliance is to strengthen, share and
accelerate the development of agricultural technologies, as well as help
businesses in both countries access U.S. and New Zealand agriculture
markets.</t>
  </si>
  <si>
    <t xml:space="preserve">Agricultural, Forestry, &amp; Fishing Svcs
Software Development Services
Research &amp; Development Services</t>
  </si>
  <si>
    <t xml:space="preserve">0J6074
0J6091</t>
  </si>
  <si>
    <t xml:space="preserve">Aridis Pharmaceuticals Inc
Shenzhen Hepalink Pharm Grp</t>
  </si>
  <si>
    <t xml:space="preserve">Aridis Pharmaceuticals Inc,
located in San Jose,
California, is a provider of
biotechnology research and
development services. The
Company was founded in May
2014.
Shenzhen Hepalink
Pharmaceutical Group Co Ltd
is a manufacturer of
pharmaceutical preparation.
The Company was founded in
April 1998 and is located in
Shenzhen, China.</t>
  </si>
  <si>
    <t xml:space="preserve">ARIDIS PHARMACEUTICALS INC/SHENZHEN HEPALINK PHARMACEUTICAL GROUP CO
LTD-JOINT VENTURE</t>
  </si>
  <si>
    <t xml:space="preserve">Shenzen Arimab
Biopharmaceuticals Co Ltd is
a manufacturer of
pharmaceutical preparation.
The Company is located in
Shenzhen, China.</t>
  </si>
  <si>
    <t xml:space="preserve">Aridis Pharmaceuticals Inc and Shenzhen Hepalink Pharmaceutical Group Co
Ltd formed joint venture named Shenzen Arimab Biopharms Co.The purpose of
the joint venture is to develop, manufacture, import and distribute the
Company's AR-101 and AR-301 product candidates in China, Hong Kong, Macau
and Taiwan (the "Territory").</t>
  </si>
  <si>
    <t xml:space="preserve">Health &amp; Medical Services
Research &amp; Development Services
Manufacturing Services
Supply Services</t>
  </si>
  <si>
    <t xml:space="preserve">0J7426</t>
  </si>
  <si>
    <t xml:space="preserve">040334
8F2206</t>
  </si>
  <si>
    <t xml:space="preserve">Zhejiang Geely Hldg Grp Co
Smart Eye AB</t>
  </si>
  <si>
    <t xml:space="preserve">Mnf,whlr motor vehicles,parts
Software Publishers</t>
  </si>
  <si>
    <t xml:space="preserve">Zhejiang Geely Holding Group
Co Ltd is a manufacturer of
automobiles. The Company was
founded in November 1986 and
is located in Hangzhou,
China.
Smart Eye AB is a software
publisher. It focuses on
providing eye tracking
solutions. The Company was
founded in 1999 and is
located in Gothenburg,
Sweden.</t>
  </si>
  <si>
    <t xml:space="preserve">ZHEJIANG GEELY HOLDING GROUP CO LTD/SMART EYE AB-STRATEGIC ALLIANCE</t>
  </si>
  <si>
    <t xml:space="preserve">Zhejiang Geely Holding Group Co Ltd and Smart Eye AB planned to form a
strategic alliance.The purpose of the strategic alliance is for development
of a new range of high-end safety systems using Smart Eyes AI-powered
driver monitoring (DMS) technology.</t>
  </si>
  <si>
    <t xml:space="preserve">36882R
0F3463</t>
  </si>
  <si>
    <t xml:space="preserve">Thomas Jefferson Univ Hosp
Monell Chemical Senses Center</t>
  </si>
  <si>
    <t xml:space="preserve">Own,op colleges,universities
Research and Development in Biotechnology</t>
  </si>
  <si>
    <t xml:space="preserve">Thomas Jefferson University,
located in Philadelphia,
Pennsylvania, owns and
operates colleges and
universities.
Monell Chemical Senses
Center is a provider of
biotechnology research and
development services. The
Company is located in
Philadelphia, Pennsylvania.</t>
  </si>
  <si>
    <t xml:space="preserve">Philadelphia University
Jefferson Health</t>
  </si>
  <si>
    <t xml:space="preserve">8211
8062</t>
  </si>
  <si>
    <t xml:space="preserve">THOMAS JEFFERSON UNIVERSITY/MONELL CHEMICAL SENSES CENTER-STRATEGIC
ALLIANCE</t>
  </si>
  <si>
    <t xml:space="preserve">Thomas Jefferson University and Monell Chemical Senses Center formed a
strategic alliance.The purpose of the strategic alliance is to collaborate
on scientific programs, research, and clinical projects aimed at improving
human health.</t>
  </si>
  <si>
    <t xml:space="preserve">53690T
9F3213</t>
  </si>
  <si>
    <t xml:space="preserve">Mitsubishi Corp
Fast Retailing Co Ltd</t>
  </si>
  <si>
    <t xml:space="preserve">All Other Miscellaneous Manufacturing
Family Clothing Stores</t>
  </si>
  <si>
    <t xml:space="preserve">Mitsubishi Corp, based in
Tokyo, Japan, is engaged in
manufacturer and wholesale
business. The New Industrial
Finance segment is involved
in asset management, buyout
investment, leasing and
financing of real estate and
others. The Energy segment
provides petroleum products,
crude oil and others. The
Metal segment offers steel
products and others. The
Machinery segment
manufactures industrial
machinery, automobiles and
others. The Chemical segment
manufactures petrochemicals,
fertilizers, foodstuff,
drugs and others. The Living
Essentials segment provides
distribution services. On
August 19, 2013, M2
Communications reported that
Mitsubishi Corp announced it
had acquired from EDF
Energies Nouvelles 50%
interest in the companies.
The company was founded in
1950.
Fast Retailing Co Ltd is a
clothing retailer. The
Company was founded in May
1963 and is located in
Yamaguchi-Shi Yamaguchi,
Japan.</t>
  </si>
  <si>
    <t xml:space="preserve">2899
5651</t>
  </si>
  <si>
    <t xml:space="preserve">MITSUBISHI CORP/FAST RETAILING CO LTD-STRATEGIC ALLIANCE</t>
  </si>
  <si>
    <t xml:space="preserve">Mitsubishi Corp and Fast Retailing Co Ltd formed a strategic alliance.The
purpose of the strategic alliance is to launch and develop UNIQLO's retail
business in the Republic of Vietnam from Fall, 2019.</t>
  </si>
  <si>
    <t xml:space="preserve">606769
31186V</t>
  </si>
  <si>
    <t xml:space="preserve">Unibap AB
Miba AG</t>
  </si>
  <si>
    <t xml:space="preserve">Search Detection Navigation Guidance Aeronautical and Nautical System and Instrument Manufacturing
Motor Vehicle Transmission and Power Train Parts Manufacturing</t>
  </si>
  <si>
    <t xml:space="preserve">Unibap AB is a Sweden-based
supplier of vision
processing and visual
perception solutions. The
Company conducts academic
research and industrial
cooperation in order to
deliver unmatched safety
critical computing
performance for artificial
intelligence and sensor
fusion methods to detect,
recognize and describe
behaviors and activity seen
by a plethora of advanced
sensors. Its products
include intelligent vision
system, Optimized
Development Environment
development kit,
hetereogeous computing
modules and healthcare
logistics solutions. The
Company's solutions
primarily have such
applications as intelligent
3D, intelligent industry
automation, robots and
drones, quality control and
manned or unmanned
monitoring. It is located in
Uppsala, Sweden and was
founded in 2013.
Miba AG, located in
Laakirchen, Austria,
manufactures automotive
components. It supplies
products to the
international engine and
automotive industries. The
Company operates through
three main business
segments: Miba Sinter Group,
Miba Bearing Group and Miba
Friction Group. Miba Sinter
Group includes engine
components, transmission
components and shock
absorber parts. Miba
Bearing's components
include half-shells,
bushings and thrust washers
for automobiles, trucks,
trains, ships and
compressors for various
applications. Miba Friction
Group offers materials for
wet- and dry-running
applications, steel reaction
plates and complete
pre-assembled disc packs. In
addition, it specializes in
polymer coatings,
electroplated overlays and
physical vapor deposition
(PVD) coatings. The Company
has 18 subsidiaries in
Austria, Singapore, France,
the United Kingdom, China,
and the United States, among
others. The Company was
founded in 1927.</t>
  </si>
  <si>
    <t xml:space="preserve">Sweden
Austria</t>
  </si>
  <si>
    <t xml:space="preserve">Unibap AB
Mitterbauer Beteiligungs AG</t>
  </si>
  <si>
    <t xml:space="preserve">3812
6799</t>
  </si>
  <si>
    <t xml:space="preserve">UNIBAP AB/MIBA AG-STRATEGIC ALLIANCE</t>
  </si>
  <si>
    <t xml:space="preserve">Unibap AB and Miba AG formed a strategic alliance. The purpose of strategic
alliance is to ensure a more complete customer offer, whereas Sebastian
Fgerstrand, CEO of Miba, comments that there exist several interesting
developments, particularly within applications that utilise resonating
systems to control industrial robots.</t>
  </si>
  <si>
    <t xml:space="preserve">0H0059
59388W</t>
  </si>
  <si>
    <t xml:space="preserve">Advaxis Inc
Os Therapies Llc</t>
  </si>
  <si>
    <t xml:space="preserve">Mnfr biopharmaceuticals
All Other Miscellaneous Ambulatory Health Care Services</t>
  </si>
  <si>
    <t xml:space="preserve">Advaxis Inc, located in
Princeton New Jersey, is a
clinical biotechnology company
focuses on the developing
immunotherapies for cancer and
infectious diseases. These
immunotherapies are based on a
platform technology under
license from the University of
Pennsylvania (Penn), which
utilizes live attenuated
Listeria monocytogenes
(Listeria or Lm) ,
bioengineered to secrete
antigen/adjuvant fusion
proteins. These Lm -LLO
strains use a fragment of the
protein listeriolysin (LLO),
fused to a tumor associated
antigen (TAA) or other antigen
of interest. It has focused
its initial development
efforts on therapeutic
immunotherapies targeting
human papillomavirus
(HPV)-associated diseases:
cervical intraepithelial
neoplasia (CIN 2/3), recurrent
or refractory cervical cancer,
and head and neck cancer. It
has also developed
immunotherapies for prostate
cancer, and HER2 expressing
cancers, such as breast,
gastric, bladder, brain,
pancreatic and ovarian cancer.
The company was founded in
2002.
Os Therapies LLC is a
provider of ambulatory
health care services. The
Company was founded in April
2018 and is located in New
Jersey.</t>
  </si>
  <si>
    <t xml:space="preserve">ADVAXIS INC/OS THERAPIES LLC-STRATEGIC ALLIANCE</t>
  </si>
  <si>
    <t xml:space="preserve">Advaxis Inc and Os Therapies LLC formed a strategic alliance in United
States to granted a license to OS Therapies for the use of ADXS31-164, also
known as ADXS-HER2, for evaluation in the treatment of osteosarcoma in
humans. Osteosarcoma is an aggressive cancerous tumor that forms in bone.
Although it is rare, osteosarcoma is the most common type of bone cancer,
and is most frequently found in children and young adults. Current
treatment options are limited and there have been no new treatment options
in more than thirty years</t>
  </si>
  <si>
    <t xml:space="preserve">007624
0J5677</t>
  </si>
  <si>
    <t xml:space="preserve">Cronos Group Inc
Ginkgo Bioworks Inc</t>
  </si>
  <si>
    <t xml:space="preserve">Manufactures,wholesales medical cannabis products
Manufactures biological products</t>
  </si>
  <si>
    <t xml:space="preserve">Cronos Group Inc, located in
Toronto, Ontario,
manufactures and wholesales
medical cannabis products.
It has operations across
Canada, particularly in
Simcoe County, Ontario and
Okanagan Valley, British
Columbia. It wholly owns and
operates two licensed
producers such as Peace
Naturals, a company licensed
to produce and sell medical
marijuana and cultivate
cannabis oil and Original BC
Ltd, a company licensed to
cultivate and sell medical
marijuana products. It also
has a partial ownership in
Whistler Medical Marijuana
Corp, a company also
licensed to produce and sell
marijuana products and
cultivate cannabis oil. The
Company was founded in
August 2012.
Ginkgo Bioworks Inc, located
in Boston, Massachusetts, is
a biotechnology company
engaged in designing custom
microbes for multiple
markets. It focuses on
cultured ingredients, strain
improvement and enzymes. The
Company was founded in 2008.</t>
  </si>
  <si>
    <t xml:space="preserve">CRONOS GROUP INC/GINKGO BIOWORKS INC-STRATEGIC ALLIANCE</t>
  </si>
  <si>
    <t xml:space="preserve">Cronos Group Inc and Ginkgo Bioworks Inc planned to form a strategic
alliance. The purpose of strategic alliance is to produce cultured
cannabinoids.</t>
  </si>
  <si>
    <t xml:space="preserve">22717L
2F2946</t>
  </si>
  <si>
    <t xml:space="preserve">SoundHound Inc
Peugeot SA</t>
  </si>
  <si>
    <t xml:space="preserve">Software publihers
Automobile Manufacturing</t>
  </si>
  <si>
    <t xml:space="preserve">SoundHound Inc. is an audio
and speech recognition
company. The Company is
located in Santa Clara,
California.
Peugeot SA, located in
Paris, France, manufactures
and wholesales motor
vehicles, including
passenger cars and light
commercial vehicles, under
the Peugeot, Citroen and DS
Automobiles brands. It also
runs software development
operations via its Free2Move
brand, rental leasing, via
Banque PSA Finance, and
engine and gear boxes
manufacturing via Mister
Auto. It has operations in
China, CIS countries, Latin
America, Europe, Japan,
Korea, Middle East and
Africa. It also acts as a
holding company. It was
founded in 1976.</t>
  </si>
  <si>
    <t xml:space="preserve">7372
3711</t>
  </si>
  <si>
    <t xml:space="preserve">SOUNDHOUND INC/PEUGEOT SA-STRATEGIC ALLIANCE</t>
  </si>
  <si>
    <t xml:space="preserve">SoundHound Inc and Peugeot SA planned to form a strategic alliance. The
purpose of strategic alliance is to develop a cloud-based and embedded
conversational voice interface for use in cars across the Groupe PSA
portfolio, including Peugeot, Citron, DS, Opel, and Vauxhall models.
Powered by SoundHound Inc.'s Houndify voice AI platform, the in-car voice
interface will be available in European markets starting in 2020.</t>
  </si>
  <si>
    <t xml:space="preserve">4H3866
F72313</t>
  </si>
  <si>
    <t xml:space="preserve">Philadelphia Eagles
Braskem SA</t>
  </si>
  <si>
    <t xml:space="preserve">Professional football team
Manufacture and wholesale basic petrochemical products</t>
  </si>
  <si>
    <t xml:space="preserve">Professional football team
Braskem SA, located in Sao
Paulo, Brazil, manufactures
basic petrochemical products.
The Company operates in five
segments: Basic
petrochemicals, Polyolefins,
Vinyls, International
businesses and Chemical
Distribution. The Company's
products portfolio includes
ethylene, propylene,
butadiene, toluene, xylene,
benzene, gasoline, diesel oil,
liquefied petroleum gas (LPG),
as well as thermoplastic
resins, such as polyethylene
(PE), polypropylene (PP) and
polyvinyl chloride (PVC).
Additionally, Braskem is also
engaged in the import and
export of chemicals,
petrochemicals and fuels; the
production, supply and sale of
utilities, such as steam,
water, compressed air,
industrial gases, as well as
the provision of industrial
services, and the production,
supply and sale of electric
energy for its own use and use
by other companies. It was
founded in 1972.</t>
  </si>
  <si>
    <t xml:space="preserve">7941
2869</t>
  </si>
  <si>
    <t xml:space="preserve">PHILADELPHIA EAGLES/BRASKEM SA-STRATEGIC ALLIANCE</t>
  </si>
  <si>
    <t xml:space="preserve">Philadelphia Eagles and Braskem SA planned to form a strategic alliance.
The purpose of strategic alliance is to includes the development of a
closed loop recycling program for bottle caps and other plastic products
and an online education platform for 30 Philadelphia-area county schools to
teach students about Science, Technology, Engineering and Math career
opportunities to inspire the next generation of STEM leaders.</t>
  </si>
  <si>
    <t xml:space="preserve">71753R
105532</t>
  </si>
  <si>
    <t xml:space="preserve">Global View Capital Mgmt Ltd
Quantitative Analysis Svc Inc</t>
  </si>
  <si>
    <t xml:space="preserve">Administrative Management and General Management Consulting Services
Administrative Management and General Management Consulting Services</t>
  </si>
  <si>
    <t xml:space="preserve">Global View Capital
Management Ltd is a provider
of administrative management
and general management
consulting services. The
Company was founded in
February 2011 and is located
in Waukesha, Wisconsin.
Quantitative Analysis
Service Inc is a provider of
administrative management
and general management
consulting services. The
Company was founded in 1970
and is located in Jersey
City, New Jersey.</t>
  </si>
  <si>
    <t xml:space="preserve">GLOBAL VIEW CAPITAL MANAGEMENT LTD/QUANTITATIVE ANALYSIS SERVICE
INC-STRATEGIC ALLIANCE</t>
  </si>
  <si>
    <t xml:space="preserve">Global View Capital Management Ltd and Quantitative Analysis Service Inc
planned to form a strategic alliance.to conduct joint research, development
and exclusive implementation of new and innovative investment strategies
for U.S. investment advisors.</t>
  </si>
  <si>
    <t xml:space="preserve">0J6433
0J6436</t>
  </si>
  <si>
    <t xml:space="preserve">OneScreen Inc
Konka Group Co Ltd</t>
  </si>
  <si>
    <t xml:space="preserve">Internet Service Providers
Audio and Video Equipment Manufacturing</t>
  </si>
  <si>
    <t xml:space="preserve">OneScreen Inc, located in
Irvine, California, provides
online video programming
services. The Company offers
in-stream video advertising
through a collection of
verticals by audience viewing
network affiliates. These
behavior, provide advertisers
qualified publisher and
targeted marketing sites,
segmented into opportunities.
Konka Group Co Ltd is a
manufacturer and wholesaler
of audio and video
equipment. The Company was
founded in October 1980 and
is located in Shenzhen,
China.</t>
  </si>
  <si>
    <t xml:space="preserve">7375
3651</t>
  </si>
  <si>
    <t xml:space="preserve">ONESCREEN INC/KONKA GROUP CO LTD-STRATEGIC ALLIANCE</t>
  </si>
  <si>
    <t xml:space="preserve">OneScreen Inc and Konka Group Co Ltd planned to form a strategic alliance.
The purpose of strategic alliance was cover development of new screens,
joint marketing campaigns, and a high-level strategic alliance where R&amp;D
teams across continents will work together to customize hardware, firmware,
and software for international customers.</t>
  </si>
  <si>
    <t xml:space="preserve">8A9477
50484Z</t>
  </si>
  <si>
    <t xml:space="preserve">Neonova Network Services Inc
Cronin Co</t>
  </si>
  <si>
    <t xml:space="preserve">Provides network services
Other Construction Material Merchant Wholesalers</t>
  </si>
  <si>
    <t xml:space="preserve">NeoNova Network Services,
located in Raleigh, North
Carolina, provides network
services to the rural Telco
and IOC market. The Company
also provides VOIP, IP
Engineering and IPTV
integration and managed
services. It was founded in
1994.
Cronin Co is a construction
material wholesaler. The
Company was founded in 1970
and is located in Portland,
Oregon.</t>
  </si>
  <si>
    <t xml:space="preserve">7375
5039</t>
  </si>
  <si>
    <t xml:space="preserve">NC
OR</t>
  </si>
  <si>
    <t xml:space="preserve">National Rural Telecom Coop
Cronin Co</t>
  </si>
  <si>
    <t xml:space="preserve">4812
5039</t>
  </si>
  <si>
    <t xml:space="preserve">NEONOVA NETWORK SERVICES INC/CRONIN CO.-STRATEGIC ALLIANCE</t>
  </si>
  <si>
    <t xml:space="preserve">NeoNova Network Services Inc and CRONIN CO. planned to form a strategic
alliance. The purpose of strategic alliance is to add customer service
training for affiliates and internal staff.</t>
  </si>
  <si>
    <t xml:space="preserve">64047V
0J6431</t>
  </si>
  <si>
    <t xml:space="preserve">Lumax Auto Technologies Ltd
Cornaglia Grp</t>
  </si>
  <si>
    <t xml:space="preserve">Mnfr motor vehicle parts
Automotive Glass Replacement Shops</t>
  </si>
  <si>
    <t xml:space="preserve">Manufacture motor vehicle
parts; manufactures for two,
three and four wheeler
industries, specifically,
Sheet Metal products, Lighting
systems, Gear Shift Levers and
Parking Brakes for two, sheet
metal products, chasis
assemblies, silencers, petrol
tanks, fork assemblies, handle
bar assemblies, stand
assemblies and frame sub
assemblies, and lighting
systems, headlamps,
tail-lamps,fog lamps, engine
lamps, for two &amp; three
wheelers
Cornaglia Group The Company
is located in Italy.</t>
  </si>
  <si>
    <t xml:space="preserve">3714
7536</t>
  </si>
  <si>
    <t xml:space="preserve">LUMAX AUTO TECHNOLOGIES LTD/CORNAGLIA GROUP-JOINT VENTURE</t>
  </si>
  <si>
    <t xml:space="preserve">Lumax Auto Technologies Ltd and Cornaglia Group planned to form joint
venture. The purpose of joint venture is to enhance the local design,
development and testing capabilities to provide localised solutions to
OEMs.</t>
  </si>
  <si>
    <t xml:space="preserve">55004P
0J6444</t>
  </si>
  <si>
    <t xml:space="preserve">Adriatic Metals PLC
Sandfire Resources NL</t>
  </si>
  <si>
    <t xml:space="preserve">All Other Professional, Scientific, and Technical Services
Copper Ore and Nickel Ore Mining</t>
  </si>
  <si>
    <t xml:space="preserve">Adriatic Metals PLC is a
provider of minerals
exploration and development
services. The Company is
located in Cheltenham, the
United Kingdom.
Sandfire Resources NL,
located in Perth, Australia,
is a mining and exploration
company. The Company's
principal activities are
production and sale of
copper, gold and silver from
its DeGrussa Mine in Western
Australia, and exploration
and evaluation of mineral
tenements and projects in
Australia and overseas. It
has two segments: The
DeGrussa Copper Mine and
Exploration and evaluation.
The DeGrussa Copper Mine is
a copper-gold mine located
in the Bryah Basin mineral
province of Western
Australia, approximately 900
kilometers north-east of
Perth and 150 kilometers
north of Meekatharra. The
DeGrussa Copper Mine
generates revenue from the
sale of copper-gold products
to customers in Asia. The
Exploration and evaluation
segment includes exploration
and evaluation of the
mineral tenements in
Australia and overseas,
including exploring for
repeats of DeGrussa
Volcanogenic Massive Sulfide
(VMS) mineralized system at
the Doolgunna Project and
its investment in Tintina
Resources Inc and WCB
Resources Ltd. The Company
was founded in 2004.</t>
  </si>
  <si>
    <t xml:space="preserve">7389
1021</t>
  </si>
  <si>
    <t xml:space="preserve">ADRIATIC METALS PLC/SANDFIRE RESOURCES NL-STRATEGIC ALLIANCE</t>
  </si>
  <si>
    <t xml:space="preserve">Adriatic Metals Plc and Sandfire Resources NL planned to form a strategic
alliance. The purpose of strategic alliance is to provide for the Company
to benefit from Sandfire's significant technical expertise to develop its
Veovaca and Rupice Projects.</t>
  </si>
  <si>
    <t xml:space="preserve">G01117
79999M</t>
  </si>
  <si>
    <t xml:space="preserve">Fuel Cycle Inc
User Zoom Inc</t>
  </si>
  <si>
    <t xml:space="preserve">All Other Business Support Services
Software Reproducing</t>
  </si>
  <si>
    <t xml:space="preserve">Fuel Cycle Inc is a provider
of business support
services. The Company is
located in New York.
User Zoom Inc, located in
San Jose, California,
provider of cloud-based
platform for online user
experience research and
remote usability testing of
web-based products and
mobile applications.</t>
  </si>
  <si>
    <t xml:space="preserve">7389
7372</t>
  </si>
  <si>
    <t xml:space="preserve">FUEL CYCLE INC/USERZOOM INC-STRATEGIC ALLIANCE</t>
  </si>
  <si>
    <t xml:space="preserve">Fuel Cycle Inc and UserZoom Inc planned to form a strategic alliance.The
purpose of strategic alliance is to optimize research capabilities in user
experience.</t>
  </si>
  <si>
    <t xml:space="preserve">0J5255
4E0698</t>
  </si>
  <si>
    <t xml:space="preserve">AstraZeneca PLC
Biothera Pharm Inc</t>
  </si>
  <si>
    <t xml:space="preserve">Manufactures, wholesales pharmaceutical products
Research and Development in Biotechnology</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</si>
  <si>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Biothera Pharmaceutical Inc
is a provider of
biotechnology research and
development services. The
Company is located in Eagan,
Minnesota.</t>
  </si>
  <si>
    <t xml:space="preserve">ASTRAZENECA PLC/BIOTHERA PHARMACEUTICAL INC-STRATEGIC ALLIANCE</t>
  </si>
  <si>
    <t xml:space="preserve">AstraZeneca PLC and Biothera Pharmaceutical Inc planned to form a strategic
alliance in United States &amp; United Kingdom to evaluate the combination of
Biotheras Imprime PGG and AstraZenecas durvalumab in a Phase 2 neoadjuvant
study for patients with head and neck cancer. Durvalumab is a human
monocolonal antibody that blocks the immune checkpoint protein, programmed
death-ligand (PD-L1), and allows activated T cells to attack tumor cells.</t>
  </si>
  <si>
    <t xml:space="preserve">046353
0J5174</t>
  </si>
  <si>
    <t xml:space="preserve">PrecisionHawk Inc
Eagleview Technology Corp</t>
  </si>
  <si>
    <t xml:space="preserve">Search Detection Navigation Guidance Aeronautical and Nautical System and Instrument Manufacturing
Software Publishers</t>
  </si>
  <si>
    <t xml:space="preserve">Precisionhawk Inc is located
in Raleigh, North Carolina.
The Company is a provider of
drone technology.
Eagleview Technology Corp is a
software publisher. The
Company was founded in 2013
and is located in Bothell,
Washington.</t>
  </si>
  <si>
    <t xml:space="preserve">PrecisionHawk Inc
Vista Equity Partners LLC</t>
  </si>
  <si>
    <t xml:space="preserve">PRECISIONHAWK INC/EAGLEVIEW TECHNOLOGY CORP-STRATEGIC ALLIANCE</t>
  </si>
  <si>
    <t xml:space="preserve">PrecisionHawk Inc and Eagleview Technology Corp planned to form a strategic
alliance. To significantly expand drone network for remote claims
inspections and fully enable virtual desk adjustments for P&amp;C carriers</t>
  </si>
  <si>
    <t xml:space="preserve">6A2324
8A4335</t>
  </si>
  <si>
    <t xml:space="preserve">Orolia SA
Marine Electricals (India) Ltd
Kdu World</t>
  </si>
  <si>
    <t xml:space="preserve">Watch, Clock, and Part Manufacturing
Electrical Contractors
Navigational Services To Shipping</t>
  </si>
  <si>
    <t xml:space="preserve">Orolia SA, located in Les
Ulis, France, is a
manufacturer and wholesaler
of high-precision time and
frequency systems for
mission-critical
applications. Its products
include Rubidium Oscillator,
Passive Hydrogen Maser, and
Active Maser. The Company
has local offices in UK,
Switzerland, Russia, US, and
China. The Company was
founded in 2006.
Marine Electricals (India)
Ltd is a electrical
contractor. The Company is
located in Mumbai, India. It
is an integrated technical
services provider in the
fields of electrical
automation and information
and communication technology
solutions.Marine Electricals
offers integrated and
multidisciplinary total
solutions that lead to
better business processes
and more efficiency for
customers and the customers
they, in their turn, serve
Kdu World is a provider of
navigational services to
shipping. The Company is
located in Dubai Maritime
City, the United Arab
Emirates.</t>
  </si>
  <si>
    <t xml:space="preserve">3679
1711
4492</t>
  </si>
  <si>
    <t xml:space="preserve">France
India
Utd Arab Em</t>
  </si>
  <si>
    <t xml:space="preserve">Eurazeo SE
Kdu Enterprises Pvt Ltd
Kdu World</t>
  </si>
  <si>
    <t xml:space="preserve">6799
6799
4492</t>
  </si>
  <si>
    <t xml:space="preserve">OROLIA SA/MARINE ELECTRICALS (INDIA) LTD/KDU WORLD-STRATEGIC ALLIANCE</t>
  </si>
  <si>
    <t xml:space="preserve">India
Utd Arab Em
France</t>
  </si>
  <si>
    <t xml:space="preserve">Foreign
Foreign
Foreign</t>
  </si>
  <si>
    <t xml:space="preserve">Orolia SA, Marine Electricals (India) Ltd and Kdu World formed a strategic
alliance to form a domain for search and rescue, cyber security, ocean
surveillance, and resilient PNT (position, navigation and timing). and also
focusing on delivering innovative turnkey solutions in Maritime Domain
Awareness which enhance security of national assets, improve navigational
safety and provide SAR infrastructure across Africa, Middle East and South
Asia.</t>
  </si>
  <si>
    <t xml:space="preserve">68749H
6H2137
0J5578</t>
  </si>
  <si>
    <t xml:space="preserve">Merck KGaA
Pfizer Inc
Checkmate Pharmaceuticals Inc</t>
  </si>
  <si>
    <t xml:space="preserve">Manufactures and wholesales pharmaceuticals, specialty chemicals, and cosmetic pigments
Manufacture,wholesale pharmaceuticals
Research and Development in Biotechnology</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</si>
  <si>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
Checkmate Pharmaceuticals
Inc, located in Cambridge,
Massachusetts, is a provider
of biotechnology research
and development services. It
is a clinical-stage company
pursuing an approach to
activating the innate and
adaptive arms of the immune
system to recognize and
destroy tumor cells . Its
product includes CMP-001, a
CpG-A, which converts
immunologically cold tumors
to immunologically hot
tumors. CMP-001 activates
plasmacytoid DC, Inducing
Cytotoxic T cells (CTLs) and
tumor rejection in
combination with anti-PD-1.
CMP-001 is been licensed
from Kuros Biosciences AG
(Cytos Biotechnology Ltd.).
The Company was founded in
July 2015.</t>
  </si>
  <si>
    <t xml:space="preserve">FF
NY
MA</t>
  </si>
  <si>
    <t xml:space="preserve">MERCK KGAA/PFIZER INC/CHECKMATE PHARMACEUTICALS INC-STRATEGIC ALLIANCE</t>
  </si>
  <si>
    <t xml:space="preserve">Merck KGaA, Pfizer Inc and Checkmate Pharmaceuticals Inc formed a strategic
alliance in Germany &amp; United States to evaluate CMP-001, a TLR9 agonist, in
combination with avelumab, a human anti-PD-L1 antibody. The collaboration
will evaluate the safety and effectiveness of CMP-001 administered in
combination with avelumab in patients with advanced squamous cell cancer of
the head and neck (SCCHN) resistant to a prior PD-1/PD-L1 inhibitor.</t>
  </si>
  <si>
    <t xml:space="preserve">589339
717081
9H2906</t>
  </si>
  <si>
    <t xml:space="preserve">Graphisoft Park SE
Surbana Jurong Pte Ltd</t>
  </si>
  <si>
    <t xml:space="preserve">Re dvlp firm
Provides engineering services</t>
  </si>
  <si>
    <t xml:space="preserve">Graphisoft Park SE
Ingatlanfejleszto Europai Rt
is a provider of land
subdivision services. The
Company is located in
Hungary.GRAPHISOFT is part
of the Nemetschek Group.
Surbana Jurong Pte Ltd is a
provider of engineering
services. The Company
provides consultancy
services on urbanization,
industrialization and
infrastructure domains and
its also offers
architecture, engineering,
project and construction
management, urban planning,
infrastructure, urban
planning and SMART City
services. The Company was
founded in June 2015 and is
located in Singapore,
Singapore.</t>
  </si>
  <si>
    <t xml:space="preserve">6552
8711</t>
  </si>
  <si>
    <t xml:space="preserve">Hungary
Singapore</t>
  </si>
  <si>
    <t xml:space="preserve">NeoDyne Consulting Ltd
Ministry of Finance Singapore</t>
  </si>
  <si>
    <t xml:space="preserve">8742
999B</t>
  </si>
  <si>
    <t xml:space="preserve">GRAPHISOFT PARK SE INGATLANFEJLESZTO EUROPAI RT/SURBANA JURONG PTE
LTD-STRATEGIC ALLIANCE</t>
  </si>
  <si>
    <t xml:space="preserve">Graphisoft Park SE Ingatlanfejleszto Europai Rt and Surbana Jurong Pte Ltd
planned to form a strategic alliance.The purpose of strategic alliance is
to collaborate in BIM, VDC and IDD-related R&amp;D by sharing and contributing
know-how based on their respective areas of expertise.</t>
  </si>
  <si>
    <t xml:space="preserve">38875R
8C6352</t>
  </si>
  <si>
    <t xml:space="preserve">Liquid X Printed Metals Inc
Bonbouton Inc</t>
  </si>
  <si>
    <t xml:space="preserve">Metal Coating, Engraving (Except Jewelry and Silverware), and Allied Services To Manufacturers
All Other Miscellaneous Ambulatory Health Care Services</t>
  </si>
  <si>
    <t xml:space="preserve">Liquid X Printed Metals Inc is
a provider of metal coating
and surfacing services. The
Company was founded in January
2010 and is located in
Pittsburgh, Pennsylvania.
Bonbouton Inc is a provider
of ambulatory health care
services. The Company is
located in New York, New
York.</t>
  </si>
  <si>
    <t xml:space="preserve">3479
8099</t>
  </si>
  <si>
    <t xml:space="preserve">LIQUID X PRINTED METALS INC/BONBOUTON INC-STRATEGIC ALLIANCE</t>
  </si>
  <si>
    <t xml:space="preserve">Liquid X Printed Metals Inc and Bonbouton Inc formed a strategic alliance
in United States to build temperature and pressure sensors directly on
textiles using additive manufacturing techniques.</t>
  </si>
  <si>
    <t xml:space="preserve">8E6778
0J6494</t>
  </si>
  <si>
    <t xml:space="preserve">Cipherloc Corporation
Entanglement Ltd</t>
  </si>
  <si>
    <t xml:space="preserve">Mnfr semiconductors
Custom Computer Programming Services</t>
  </si>
  <si>
    <t xml:space="preserve">Cipherloc Corporation is a
manufacturer of
semiconductors and related
device. The Company is
located in Phoenix, Arizona.
Entanglement Ltd is a
provider of custom computer
programming services. The
Company is located in
Newport, Rhode Island.</t>
  </si>
  <si>
    <t xml:space="preserve">AZ
RI</t>
  </si>
  <si>
    <t xml:space="preserve">CIPHERLOC CORPORATION/ENTANGLEMENT LTD-STRATEGIC ALLIANCE</t>
  </si>
  <si>
    <t xml:space="preserve">Cipherloc Corporation and Entanglement Ltd formed a strategic alliance in
United States to protect and secure its current data used in support of the
Institute's mission. Additionally, CipherLoc's data security solutions have
already been tested to be equally resilient and safe on quantum computers
and their solutions will be made available to companies that leverage the
quantum computer power provided by the Institute.</t>
  </si>
  <si>
    <t xml:space="preserve">637479
0J6129</t>
  </si>
  <si>
    <t xml:space="preserve">University of Pennsylvania
Precision Biosciences Inc</t>
  </si>
  <si>
    <t xml:space="preserve">Own,operate university
Biotechnology company</t>
  </si>
  <si>
    <t xml:space="preserve">Own and operate university
Precision Biosciences Inc is
a biotechnology company
headquartered in Durham,
North Carolina. It develops
novel tools for genome
manipulation. Its technology
called Directed Nuclease
Editor (TM) can be applied
to crop and cell line
engineering, antivirals,
antibacterials, genetic
diagnostics and gene
therapy. The company was
founded in 2005.</t>
  </si>
  <si>
    <t xml:space="preserve">UNIVERSITY OF PENNSYLVANIA/PRECISION BIOSCIENCES INC-STRATEGIC ALLIANCE</t>
  </si>
  <si>
    <t xml:space="preserve">University of Pennsylvania and Precision Biosciences Inc planned to form a
strategic alliance. The purpose of strategic alliance is to o pursue
research and development of gene editing therapies.</t>
  </si>
  <si>
    <t xml:space="preserve">91476C
74019P</t>
  </si>
  <si>
    <t xml:space="preserve">Antibe Therapeutics Inc
Kwang Dong Pharmaceutical Co</t>
  </si>
  <si>
    <t xml:space="preserve">Research and Development in Biotechnology
Mnfr,whl pharm</t>
  </si>
  <si>
    <t xml:space="preserve">Antibe Therapeutics Inc,
located in Toronto, Ontario,
is a provider of
biotechnology research and
development services. The
Company was founded in May
5, 2009.
Kwang Dong Pharmaceutical Co
Ltd, located in Seoul, South
Korea, manufactures, develops
and sells pharmaceuticals for
the treatment of a variety of
diseases and conditions
including flu, anemia, acne,
liver disorder, constipation
and circulatory problems. The
Company also manufactures
tonic drinks, teas, vitamins,
herbal medicines and wound
dressings. Founded in 1963.</t>
  </si>
  <si>
    <t xml:space="preserve">ANTIBE THERAPEUTICS INC/KWANG DONG PHARMACEUTICAL CO-STRATEGIC ALLIANCE</t>
  </si>
  <si>
    <t xml:space="preserve">Antibe Therapeutics Inc and Kwang Dong Pharmaceutical Co Ltd formed a
strategic alliance for the development and commercialization of Antibes
lead drug, ATB-346, in South Korea and also to create a global presence
through selective partnerships. ATB-346 is a novel anti-inflammatory drug,
designed to spare the gastrointestinal (GI) tract of the ulcers and
bleeding normally associated with non-steroidal anti-inflammatory drugs
(NSAIDs).</t>
  </si>
  <si>
    <t xml:space="preserve">037025
50163W</t>
  </si>
  <si>
    <t xml:space="preserve">Senra Tech Pvt Ltd
Imtac India Pvt Ltd</t>
  </si>
  <si>
    <t xml:space="preserve">Provide wireless telecommunications services
Software Publishers</t>
  </si>
  <si>
    <t xml:space="preserve">Senra Tech Pvt Ltd is a
wireless telecommunications
carrier. The Company was
founded in 2017 and is
located in New Delhi, India.
Imtac India Pvt Ltd is a
software publisher. The
Company is located in
Bangalore, India.</t>
  </si>
  <si>
    <t xml:space="preserve">SENRA TECH PVT LTD/IMTAC INDIA PVT LTD-STRATEGIC ALLIANCE</t>
  </si>
  <si>
    <t xml:space="preserve">Senra Tech Pvt Ltd and Imtac India Pvt Ltd planned to form a strategic
alliance to accelerate the development of Smart Cities in India by bringing
innovative end-to-end solutions such as smart street lighting, tracking and
more.</t>
  </si>
  <si>
    <t xml:space="preserve">Research &amp; Development Services
Property Development Services</t>
  </si>
  <si>
    <t xml:space="preserve">2H1362
0J6977</t>
  </si>
  <si>
    <t xml:space="preserve">Theo Tech Nv
Agama Technologies AB</t>
  </si>
  <si>
    <t xml:space="preserve">Film distribution, motion [icture and video
Motion Picture and Video Production</t>
  </si>
  <si>
    <t xml:space="preserve">Theo Technologies NV is a
motion pictures and videos.
The Company was founded in
2012 and is located in
Leuven, Belgium.
Agama Technologies AB is
engaged in the motion
pictures and videos services
business. The Company is
located in Linkoping,
Sweden.</t>
  </si>
  <si>
    <t xml:space="preserve">7822
7812</t>
  </si>
  <si>
    <t xml:space="preserve">Belgium
Sweden</t>
  </si>
  <si>
    <t xml:space="preserve">THEO TECHNOLOGIES NV/AGAMA TECHNOLOGIES AB-STRATEGIC ALLIANCE</t>
  </si>
  <si>
    <t xml:space="preserve">Theo Technologies NV and Agama Technologies AB formed a strategic alliance
to provide OTT video service user, a program that will be able to combine
both technologies to enable services with the highest video quality across
all browsers and devices, leverage unrivalled analytics capabilities and
provide superior customer experience. This strategic partnership enables
OTT video service providers to gain the crucial insights needed into
service performance and subscriber experience, something that is paramount
in todays fast-moving OTT environment.</t>
  </si>
  <si>
    <t xml:space="preserve">Research &amp; Development Services
Software Development Services
Motion Picture Services</t>
  </si>
  <si>
    <t xml:space="preserve">2H3627
0J5195</t>
  </si>
  <si>
    <t xml:space="preserve">LEUKOCARE AG
Xellia Pharmaceuticals ApS</t>
  </si>
  <si>
    <t xml:space="preserve">LEUKOCARE AG is a manufacturer
of biological products. The
Company is located in
Martinsried, Germany.
Xellia Pharmaceuticals ApS,
located in Copenhagen,
Denmark, manufactures and
wholesales pharmaceuticals.
The company supplies
fermented and semi-synthetic
finished dose products and
active pharmaceutical
ingredients for therapies
against infections. It has
global facilities including
operational and
manufacturing capabilities
in Denmark, Hungary and
China. The company was
founded in 2008. (Key words
Vancomycin and
Colistimethate Sodium)</t>
  </si>
  <si>
    <t xml:space="preserve">LEUKOCARE AG
Novo Nordisk Foundation</t>
  </si>
  <si>
    <t xml:space="preserve">LEUKOCARE AG/XELLIA PHARMACEUTICALS APS-STRATEGIC ALLIANCE</t>
  </si>
  <si>
    <t xml:space="preserve">LEUKOCARE AG and Xellia Pharmaceuticals ApS formed a strategic alliance
around the world support the development of Xellia's pipeline of
value-added antibiotic and antifungal products which are intended to
enhance patient care &amp; also to discover innovative formulations which will
enable the development of value-added anti-infective products intended to
enhance patient care.</t>
  </si>
  <si>
    <t xml:space="preserve">9E2608
02063C</t>
  </si>
  <si>
    <t xml:space="preserve">Hilltop Cybersecurity Inc
Island Mining and Exploration</t>
  </si>
  <si>
    <t xml:space="preserve">Gold Ore Mining
Gold and silver mining co</t>
  </si>
  <si>
    <t xml:space="preserve">Hilltop Cybersecurity Inc is
a gold ore mine operator.
The Company was founded in
June 2005 and is located in
Kelowna, Canada.
Gold and silver mining
company; holding company</t>
  </si>
  <si>
    <t xml:space="preserve">HILLTOP CYBERSECURITY INC/ISLAND MINING AND EXPLORATION-STRATEGIC ALLIANCE</t>
  </si>
  <si>
    <t xml:space="preserve">Hilltop Cybersecurity Inc and Island Mining and Exploration Co Ltd formed a
strategic alliance to license Hilltop products as well as provide
cyber-security services for Island Mining SEZC in its Cayman Islands
headquarters as well as Japan, Canada and in other areas that it will
operate.</t>
  </si>
  <si>
    <t xml:space="preserve">Licensing Services
Retail &amp; Wholesale Services
Research &amp; Development Services
Software Development Services
Computer Programming Services</t>
  </si>
  <si>
    <t xml:space="preserve">089747
464475</t>
  </si>
  <si>
    <t xml:space="preserve">JR Simplot Co
Corteva Inc
Broad Institute</t>
  </si>
  <si>
    <t xml:space="preserve">Produce frozen,canned foods
Soil Preparation, Planting, and Cultivating
Biotechnology company</t>
  </si>
  <si>
    <t xml:space="preserve">JR Simplot Co, headquartered
in Boise, Idaho, produces
frozen canned foods and
dehydrated fruits and
vegetables. It owns and
operates beef cattle
feedlots and manufacture
inorganic chemicals,
pesticides and fertilizers.
The Company was founded in
1941.
Corteva Inc, located in
Wilmington, Delaware,
provides pest management and
ornamental plants solutions
for golf courses, lawns,
landscapes, greenhouses, and
nurseries.
Broad Institute is a
manufacturer of biological
products. The Company was
founded in May 2004 and is
located in Cambridge,
Massachusetts.</t>
  </si>
  <si>
    <t xml:space="preserve">2037
0711
2836</t>
  </si>
  <si>
    <t xml:space="preserve">ID
DE
MA</t>
  </si>
  <si>
    <t xml:space="preserve">JR Simplot Co
Dowdupont Inc
Massachusetts Inst Of Tech</t>
  </si>
  <si>
    <t xml:space="preserve">2037
2821
8221</t>
  </si>
  <si>
    <t xml:space="preserve">JR SIMPLOT CO/DOWDUPONT INC-CORTEVA AGRISCIENCE DIVISION/BROAD
INSTITUTE-STRATEGIC ALLIANCE</t>
  </si>
  <si>
    <t xml:space="preserve">JR Simplot Co, DowDuPont Inc-Corteva Agriscience Division and Broad
Institute formed a strategic alliance. The purpose of strategic alliance
was to provide Simplot with another avenue to bring desirable traits
forward in certain fruits and vegetables and advance products to the market
in the United States to benefit both farmers and consumers.</t>
  </si>
  <si>
    <t xml:space="preserve">82889Q
8H2979
11149Z</t>
  </si>
  <si>
    <t xml:space="preserve">Starry Inc
Related Cos LP</t>
  </si>
  <si>
    <t xml:space="preserve">All Other Telecommunications
Real estate development firm</t>
  </si>
  <si>
    <t xml:space="preserve">Starry Inc, located in
Boston, Massachusetts,
provides wireless broadband
internet services. The
Company was founded in 2014.
Related Cos LP, located in
New York, New York, is a
real estate development
firm. It has offices and
major developments in Miami,
Los Angeles, San Francisco,
Chicago and Boston. It
develops, manages and
finances residential,
commercial and mixed-use
real estate. The Company was
founded in 1972.</t>
  </si>
  <si>
    <t xml:space="preserve">4899
6552</t>
  </si>
  <si>
    <t xml:space="preserve">STARRY INC/RELATED COS LP-STRATEGIC ALLIANCE</t>
  </si>
  <si>
    <t xml:space="preserve">Starry Inc and Related Cos LP formed a strategic alliance to cutting-edge,
new choice in broadband internet service to Relateds portfolio of diverse
residential properties including significant portfolio of affordable
housing. Starry expands its footprint outside of Boston, Los Angeles and
Washington, DC with launch of service in New York City this fall and also
to provide Starry Internet across Relateds diverse portfolio of luxury and
affordable residential properties.</t>
  </si>
  <si>
    <t xml:space="preserve">Research &amp; Development Services
Internet Services
Telecommunications Services</t>
  </si>
  <si>
    <t xml:space="preserve">6H1223
82926V</t>
  </si>
  <si>
    <t xml:space="preserve">Varian Medical Systems Inc
Mediheal Grp Of Hosp</t>
  </si>
  <si>
    <t xml:space="preserve">Irradiation Apparatus Manufacturing
General Medical and Surgical Hospitals</t>
  </si>
  <si>
    <t xml:space="preserve">Varian Medical Systems Inc
is a manufacturer of
irradiation apparatuses. The
Company also has Varian
Particle Therapy (VPT) and
the operations of the
Ginzton Technology Center
(GTC). Its VPT business
develops, designs,
manufactures, sells and
services products and
systems for delivering
proton therapy, another form
of external beam
radiotherapy using proton
beams for the treatment of
cancer. Its ProBeam system
is capable of delivering
intensity modulated proton
therapy (IMPT) using pencil
beam scanning technology.
The Company was founded in
1948 and is located in Palo
Alto, California.
Mediheal Group Of Hospitals
is a hospital operator. The
Company is located in Kenya.</t>
  </si>
  <si>
    <t xml:space="preserve">United States
Kenya</t>
  </si>
  <si>
    <t xml:space="preserve">VARIAN MEDICAL SYSTEMS INC/MEDIHEAL GROUP OF HOSPITALS-STRATEGIC ALLIANCE</t>
  </si>
  <si>
    <t xml:space="preserve">Kenya</t>
  </si>
  <si>
    <t xml:space="preserve">Varian Medical Systems Inc and Mediheal Group Of Hospitals formed a
strategic alliance. The purpose of strategic alliance was to expand access
to radiotherapy in Kenya. This comprehensive partnership agreement includes
the supply of advanced linear accelerators to five new radiotherapy centers
across Kenya, as well as service, training and research collaboration
opportunities. The equipment to be supplied will comprise one Varian
TrueBeam system and four Varian Halcyon systems.</t>
  </si>
  <si>
    <t xml:space="preserve">92220P
0J3548</t>
  </si>
  <si>
    <t xml:space="preserve">Ask Your Target Market
Michigan State University</t>
  </si>
  <si>
    <t xml:space="preserve">Research and Development in The Physical, Engineering and Lifesciences (Except Biotechnology)
Own,op college,university</t>
  </si>
  <si>
    <t xml:space="preserve">Ask Your Target Market is a
provider of research and
development services. The
Company is located in New
Jersey.
Own and operate college and
university</t>
  </si>
  <si>
    <t xml:space="preserve">NJ
MI</t>
  </si>
  <si>
    <t xml:space="preserve">ASK YOUR TARGET MARKET/MICHIGAN STATE UNIVERSITY-STRATEGIC ALLIANCE</t>
  </si>
  <si>
    <t xml:space="preserve">Ask Your Target Market and Michigan State University planned to form a
strategic alliance. The purpose of strategic alliance was to offer students
access to sophisticated research automation tools and over 40 million
consumers worldwide.</t>
  </si>
  <si>
    <t xml:space="preserve">0J4066
594712</t>
  </si>
  <si>
    <t xml:space="preserve">Bluewater Learning Inc
Zeroedin Tech Llc</t>
  </si>
  <si>
    <t xml:space="preserve">All Other Business Support Services
Marketing Consulting Services</t>
  </si>
  <si>
    <t xml:space="preserve">Bluewater Learning Inc is a
provider of business support
services. The Company is
located in Texas.
Zeroedin Technologies LLC is
a provider of marketing
consulting services. The
Company is located in
Maryland.</t>
  </si>
  <si>
    <t xml:space="preserve">7389
8742</t>
  </si>
  <si>
    <t xml:space="preserve">BLUEWATER LEARNING INC/ZEROEDIN TECHNOLOGIES LLC-STRATEGIC ALLIANCE</t>
  </si>
  <si>
    <t xml:space="preserve">Bluewater Learning Inc and Zeroedin Technologies LLC planned to form a
strategic alliance. The purpose of strategic alliance was to helping
clients solve business problems by maximizing the value of their learning
and talent management system investments.</t>
  </si>
  <si>
    <t xml:space="preserve">0J6354
0J6357</t>
  </si>
  <si>
    <t xml:space="preserve">Be The Match Biotherapies LLC
Cellex Gesellschaft Fuer</t>
  </si>
  <si>
    <t xml:space="preserve">Be The Match Biotherapies
LLC, located in Minneapolis,
Minnesota, is cellular
therapy development research
organization. It partners
with organizations pursuing
new life-saving treatments
in cellular therapy. The
Company was founded in 2016.
Cellex Gesellschaft Fuer
Zellgewinnung mbH is a
manufacturer of biological
products. The Company was
founded in 1970 and is
located in Dresden, Germany.</t>
  </si>
  <si>
    <t xml:space="preserve">National Marrow Donor Program
Cellex Gesellschaft Fuer</t>
  </si>
  <si>
    <t xml:space="preserve">BE THE MATCH BIOTHERAPIES LLC/CELLEX GESELLSCHAFT FUER ZELLGEWINNUNG
MBH-STRATEGIC ALLIANCE</t>
  </si>
  <si>
    <t xml:space="preserve">Be The Match Biotherapies LLC and Cellex Gesellschaft Fuer Zellgewinnung
mbH planned to form a strategic alliance.The purpose of strategic alliance
is to Provide Global Support for Cell and Gene Therapy Companies.</t>
  </si>
  <si>
    <t xml:space="preserve">7H9480
0J4122</t>
  </si>
  <si>
    <t xml:space="preserve">Definiens AG
Merck KGaA</t>
  </si>
  <si>
    <t xml:space="preserve">Software Publishers
Manufactures and wholesales pharmaceuticals, specialty chemicals, and cosmetic pigments</t>
  </si>
  <si>
    <t xml:space="preserve">Definiens AG, located in
Munich, Germany, develops
image analysis software. The
company is specialized in the
area of interpreting images on
every scale. The company was
founded in 1994.
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</si>
  <si>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AstraZeneca PLC
Merck KGaA</t>
  </si>
  <si>
    <t xml:space="preserve">DEFINIENS AG/MERCK KGAA-STRATEGIC ALLIANCE</t>
  </si>
  <si>
    <t xml:space="preserve">Definiens AG and Merck KGaA formed a strategic alliance.The purpose of
strategic alliance was to support Merck's exploratory and clinical
development programs using Definiens TissuePhenomics solutions for
quantification of biomarkers including immuno-profiling.</t>
  </si>
  <si>
    <t xml:space="preserve">24485T
589339</t>
  </si>
  <si>
    <t xml:space="preserve">Casma Therapeutics Inc
Fondazione Telethon</t>
  </si>
  <si>
    <t xml:space="preserve">Research and Development in Biotechnology
Provide home health care svcs</t>
  </si>
  <si>
    <t xml:space="preserve">Casma Therapeutics, Inc. is
United States-based
preclinical-stage
therapeutics company. The
Company is focused on
modulating the autophagy
pathway to address unmet
medical needs and transform
the lives of patients. The
Company uses several
approaches to intervene at
strategic points throughout
the autophagy system to
improve the cellular process
of clearing out unwanted
proteins, organelles and
invading pathogens.
Fondazione Telethon is a
provider of home health care
services. The Company was
founded in 1990 and is
located in Rome, Italy.</t>
  </si>
  <si>
    <t xml:space="preserve">8731
8082</t>
  </si>
  <si>
    <t xml:space="preserve">CASMA THERAPEUTICS INC/FONDAZIONE TELETHON-STRATEGIC ALLIANCE</t>
  </si>
  <si>
    <t xml:space="preserve">Casma Therapeutics Inc and Fondazione Telethon planned to form a strategic
alliance.The purpose of strategic alliance is to to develop new therapies
for lysosomal storage disorders and more common disorders such as
neurodegeneration.</t>
  </si>
  <si>
    <t xml:space="preserve">0J4550
3E0117</t>
  </si>
  <si>
    <t xml:space="preserve">Client Outlook Inc
Docpanel Tech Inc</t>
  </si>
  <si>
    <t xml:space="preserve">Pvd info tech svcs
General Medical and Surgical Hospitals</t>
  </si>
  <si>
    <t xml:space="preserve">Client Outlook Inc, located
in Waterloo, Ontario,
provides information
technology services to
healthcare professionals.
Its solutions include
eUnity, a server-based
universal viewer that
enables healthcare
professionals to access,
manipulate, and collaborate
in real-time over medical
images using any browser and
eUnity Mobile that enables
collaborate over medical
images through mobile
devices.
Docpanel Technologies Inc is
a hospital operator. The
Company is located in New
York.</t>
  </si>
  <si>
    <t xml:space="preserve">7376
8062</t>
  </si>
  <si>
    <t xml:space="preserve">CLIENT OUTLOOK INC/DOCPANEL TECHNOLOGIES INC-STRATEGIC ALLIANCE</t>
  </si>
  <si>
    <t xml:space="preserve">Client Outlook Inc and Docpanel Technologies Inc planned to form a
strategic alliance.The purpose of startegic alliance is to support a
progressive alternative to traditional radiology reading services.</t>
  </si>
  <si>
    <t xml:space="preserve">0A4712
0J3825</t>
  </si>
  <si>
    <t xml:space="preserve">ABB Ltd
Noble Media Org</t>
  </si>
  <si>
    <t xml:space="preserve">Manufacture and Wholesale Electronic Equipment
Data Processing, Hosting, and Related Services</t>
  </si>
  <si>
    <t xml:space="preserve">ABB Ltd, located in Zurich,
Switzerland, manufactures
and wholesales electronic
equipment. It also offers
electronic testing and
measuring equipment,
electrolyzers, diesel and
electric locomotives,
tramways, power generators,
monitoring systems,
switchgears, motors,
electric controllers, fiber
optic strands, diodes,
rectifiers and industrial
process furnaces.
Automotive, wind power,
water, oil and gas, and
minerals and mining are some
of the industries it serves,
with operations in about 100
countries. It also serves as
an investment holding
company. The Company was
founded in 1988.
Noble Media Org is a
provider of data processing
and hosting services. The
Company is located in
Sweden.</t>
  </si>
  <si>
    <t xml:space="preserve">3613
7374</t>
  </si>
  <si>
    <t xml:space="preserve">Switzerland
Sweden</t>
  </si>
  <si>
    <t xml:space="preserve">ABB LTD/NOBLE MEDIA ORG-STRATEGIC ALLIANCE</t>
  </si>
  <si>
    <t xml:space="preserve">ABB Ltd and Noble Media Org planned to form a strategic alliance to the
development of innovation, education and scientific research, making ABB
one of a select group of Nobel International Partners. Joint investment in
the power of ideas and the worldwide inspiration of The Nobel Prize. The
ABB-Nobel Media partnership aims to share knowledge broadly, inspire people
to engage in science and shed light on our times greatest challenges. As a
pioneering technology leader, ABB will bring deep scientific and innovation
experience and commitment into the partnership.</t>
  </si>
  <si>
    <t xml:space="preserve">000375
0J4491</t>
  </si>
  <si>
    <t xml:space="preserve">Norfolk &amp; Suffolk Group
New Anglia Local Entrp</t>
  </si>
  <si>
    <t xml:space="preserve">Financial,insurance services
City Government</t>
  </si>
  <si>
    <t xml:space="preserve">Provide financial and
insurance services
New Anglia Local Enterprise
Partnership Ltd is a city
government. The Company is
located in Norwich, the
United Kingdom.</t>
  </si>
  <si>
    <t xml:space="preserve">6282
999E</t>
  </si>
  <si>
    <t xml:space="preserve">NORFOLK &amp; SUFFOLK GROUP/NEW ANGLIA LOCAL ENTERPRISE PARTNERSHIP
LTD-STRATEGIC ALLIANCE</t>
  </si>
  <si>
    <t xml:space="preserve">Norfolk Suffolk Group and New Anglia Local Enterprise Partnership Ltd
formed a strategic alliance to focus on inward investment, export and
collaboration on research and development (R&amp;D). Work between the two areas
will focus on exploring niche markets, participating in trade shows and
planning trade visits, potential inter-regional projects, regional
collaboration and creating commercial and organisational ties.</t>
  </si>
  <si>
    <t xml:space="preserve">Research &amp; Development Services
Investment Services
Import &amp; Export (Trading) Services</t>
  </si>
  <si>
    <t xml:space="preserve">65569M
0J4865</t>
  </si>
  <si>
    <t xml:space="preserve">Animal Cancer Therapy
Phacilitate Ltd</t>
  </si>
  <si>
    <t xml:space="preserve">Veterinary Services
All Other Business Support Services</t>
  </si>
  <si>
    <t xml:space="preserve">Animal Cancer Therapy
Subsidization Society is a
provider of veterinary
services. The Company is
located in St. Albert,
Canada.
Phacilitate Ltd is a
provider of business support
services. The Company is
located in the United
Kingdom.</t>
  </si>
  <si>
    <t xml:space="preserve">0741
7389</t>
  </si>
  <si>
    <t xml:space="preserve">ANIMAL CANCER THERAPY SUBSIDIZATION SOCIETY/PHACILITATE LTD-JOINT VENTURE</t>
  </si>
  <si>
    <t xml:space="preserve">Animal Cancer Therapy Subsidization Society and Phacilitate Ltd planned to
form joint venture to produce the Advanced Cell Therapy to multi-billion
dollar patient population in China. ACTSS 2018 will explore developments in
global regulations in cell and gene therapy, discuss critical insights into
cGMP manufacturing best practices and explore next generation technologies
and their potential to shape the autologous CAR-T landscape in the next 3-5
years.</t>
  </si>
  <si>
    <t xml:space="preserve">0J6100
0J6102</t>
  </si>
  <si>
    <t xml:space="preserve">Genecast Biotechnology Co Ltd
Illumina Inc</t>
  </si>
  <si>
    <t xml:space="preserve">Research and Development in Biotechnology
Manufacture,wholesale science tools,systems</t>
  </si>
  <si>
    <t xml:space="preserve">Genecast Biotechnology Co
Ltd is a provider of
biotechnology research and
development services. The
Company was founded in
November 2014 and is located
in Beijing, China.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</si>
  <si>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GENECAST BIOTECHNOLOGY CO LTD/ILLUMINA INC-STRATEGIC ALLIANCE</t>
  </si>
  <si>
    <t xml:space="preserve">Genecast Biotechnology Co Ltd and Illumina Inc planned to form a strategic
alliance to advance cancer diagnosis using Illumina's next-generation
sequencing (NGS) technology.</t>
  </si>
  <si>
    <t xml:space="preserve">0J0320
452327</t>
  </si>
  <si>
    <t xml:space="preserve">Xunlei Ltd
China Hi-Tech Group Co Ltd</t>
  </si>
  <si>
    <t xml:space="preserve">Internet Service Providers
Investment Company % Education services</t>
  </si>
  <si>
    <t xml:space="preserve">Xunlei Ltd, located in
Shenzhen, China, provides
digital media download and
streaming services. It
operates a platform based on
cloud computing that enables
internet users to access and
manage digital content. The
company's product, Xunlei
Accelerator and Xunlei Kankan
enables users to accelerate
digital transmission over the
internet. The company has
about 300 million subscribers
as of March 2014.The Company
was founded in 2005.
China Hi-Tech Group Co Ltd is
a provider of financial
investment services and
education services. The
Company was founded in June
1992 and is located in
Shanghai, China.</t>
  </si>
  <si>
    <t xml:space="preserve">7375
8299</t>
  </si>
  <si>
    <t xml:space="preserve">XUNLEI LTD/CHINA HI-TECH GROUP CO LTD-STRATEGIC ALLIANCE</t>
  </si>
  <si>
    <t xml:space="preserve">Xunlei Ltd and China Hi-Tech Group Co Ltd formed a strategic alliance to
leverage their respective strengths and technology know-how to research and
develop new products and services.</t>
  </si>
  <si>
    <t xml:space="preserve">48905R
16928Y</t>
  </si>
  <si>
    <t xml:space="preserve">VympelKom
Telefonaktiebolaget LM</t>
  </si>
  <si>
    <t xml:space="preserve">Provide wireless telecommunications services
Provides telecommun services</t>
  </si>
  <si>
    <t xml:space="preserve">Vympel-Kommunikatsii PAO,
located in Moscow, Russian
Federation, provides wireless
telecommunications services.
It also offers radiotelephone
communications, electrical
works and other related
services such as GSM and
D-AMPS Wireless networks
through its cellular company
subsidiaries. The Group
includes companies operating
in Russia, Kazakhstan,
Ukraine, Uzbekistan,
Tajikistan, Georgia and
Armenia, in territories with a
total population of about 250
million. Its subsidiaries
operate under the Beeline
brand. The Company was founded
in 1992.
Telefonaktiebolaget LM
Ericsson, located in
Stockholm, Sweden, provides
telecommunications services to
operators. It also
manufactures and wholesales
related telecommunications,
avionics and missile
electronics, defense
communications, mobile data
communications, signaling and
safety equipment and systems
that are offered to rail
traffic, street and highway,
power cables, copper and
aluminum wires industries. It
has operations in Europe,
Middle East, Africa, Asia
Pacific, North America and
Latin America. The Company was
founded in 1876.</t>
  </si>
  <si>
    <t xml:space="preserve">4812
4812</t>
  </si>
  <si>
    <t xml:space="preserve">Russian Fed
Sweden</t>
  </si>
  <si>
    <t xml:space="preserve">VEON Ltd
Telefonaktiebolaget LM</t>
  </si>
  <si>
    <t xml:space="preserve">Netherlands
Sweden</t>
  </si>
  <si>
    <t xml:space="preserve">VYMPEL-KOMMUNIKATSII PAO/TELEFONAKTIEBOLAGET LM ERICSSON-STRATEGIC
ALLIANCE</t>
  </si>
  <si>
    <t xml:space="preserve">Vympel-Kommunikatsii PAO and Telefonaktiebolaget LM Ericsson formed a
strategic alliance around the world to develop 5G and IoT technologies. The
strategic partnership will focus particularly on improving the flexibility
and efficiency of spectrum utilization and implementing new approaches to
network architecture involving projects for core network evolution to 5G
Core. The two companies will also deploy Massive MIMO on Beelines networks
and develop 5G demonstration clusters.</t>
  </si>
  <si>
    <t xml:space="preserve">68370R
294821</t>
  </si>
  <si>
    <t xml:space="preserve">Xunlei Ltd
Beijing Linkchain Co Ltd</t>
  </si>
  <si>
    <t xml:space="preserve">Internet Service Providers
Miscellaneous Intermediation</t>
  </si>
  <si>
    <t xml:space="preserve">Xunlei Ltd, located in
Shenzhen, China, provides
digital media download and
streaming services. It
operates a platform based on
cloud computing that enables
internet users to access and
manage digital content. The
company's product, Xunlei
Accelerator and Xunlei Kankan
enables users to accelerate
digital transmission over the
internet. The company has
about 300 million subscribers
as of March 2014.The Company
was founded in 2005.
Beijing Linkchain Co Ltd is
an intermediating company.
The Company is located in
China.</t>
  </si>
  <si>
    <t xml:space="preserve">XUNLEI LTD/BEIJING LINKCHAIN CO LTD-STRATEGIC ALLIANCE</t>
  </si>
  <si>
    <t xml:space="preserve">Xunlei Ltd and Beijing Linkchain Co Ltd formed a strategic alliance in
China to transfer the exclusive right to operate LinkToken program within
mainland China, including without limitation, the formulation, amendment
and execution of the rules governing the rewarding of LinkToken to users,
LinkToken Pocket and the LinkToken Mall, and the related assets and
liabilities to Beijing LinkChain.</t>
  </si>
  <si>
    <t xml:space="preserve">48905R
0J4872</t>
  </si>
  <si>
    <t xml:space="preserve">Neumodx Molecular Inc
Qiagen NV</t>
  </si>
  <si>
    <t xml:space="preserve">Navigational, Measuring, Electromedical, and Control Instruments Manufacturing
Biotechnology company</t>
  </si>
  <si>
    <t xml:space="preserve">Neumodx Molecular Inc,
located in Ann Arbor,
Michigan, manufactures
molecular diagnostic
devices.
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t>
  </si>
  <si>
    <t xml:space="preserve">NEUMODX MOLECULAR INC/QIAGEN NV-STRATEGIC ALLIANCE</t>
  </si>
  <si>
    <t xml:space="preserve">NeuMoDx Molecular Inc and Qiagen NV formed a strategic alliance.The purpose
of strategic alliance was to commercialize two new fully integrated systems
for automation of PCR (polymerase chain reaction) testing.</t>
  </si>
  <si>
    <t xml:space="preserve">7H2839
N72482</t>
  </si>
  <si>
    <t xml:space="preserve">Formverse Inc
Toll Intl Llc</t>
  </si>
  <si>
    <t xml:space="preserve">Software Publishers
Custom Computer Programming Services</t>
  </si>
  <si>
    <t xml:space="preserve">Formverse Inc is a software
publisher. The Company was
founded in 2012 and is
located in Carlsbad Springs,
Canada.
Toll International LLC is a
provider of custom computer
programming services. The
Company is located in New
York, New York.</t>
  </si>
  <si>
    <t xml:space="preserve">FORMVERSE INC/TOLL INTERNATIONAL LLC-STRATEGIC ALLIANCE</t>
  </si>
  <si>
    <t xml:space="preserve">Formverse Inc and Toll International LLC formed a strategic alliance in
United States to distribute FORMVERSE's patented no-code General Automation
Platform (GAP). Toll International will also provide Implementation,
Project Management, and Application Development Services related to the
FORMVERSE system.</t>
  </si>
  <si>
    <t xml:space="preserve">Retail &amp; Wholesale Services
Research &amp; Development Services
Computer Programming Services</t>
  </si>
  <si>
    <t xml:space="preserve">0J4906
0J4909</t>
  </si>
  <si>
    <t xml:space="preserve">Bestmile SA
Hanseatische Fahrzeug</t>
  </si>
  <si>
    <t xml:space="preserve">Software Publishers
Motor Vehicle Body Manufacturing</t>
  </si>
  <si>
    <t xml:space="preserve">Bestmile Sa is a software
publisher. The Company was
founded in February 2014 and
is located in Lausanne,
Switzerland.
Hanseatische Fahrzeug
Manufaktur GmbH is a
manufacturer of motor
vehicle bodies. The Company
is located in Holm, Germany.</t>
  </si>
  <si>
    <t xml:space="preserve">BESTMILE SA/HANSEATISCHE FAHRZEUG MANUFAKTUR GMBH-STRATEGIC ALLIANCE</t>
  </si>
  <si>
    <t xml:space="preserve">Bestmile Sa and Hanseatische Fahrzeug Manufaktur GmbH planned to form a
strategic alliance in Germany to demonstrate autonomous fleet optimization
in urban jungle at ITS world congress. Integration of Bestmiles Mobility
Services Platform with HFMs Motionboard enables HFM vehicles to be managed
as fleets and deliver next-generation mobility services.</t>
  </si>
  <si>
    <t xml:space="preserve">0J3507
0J4110</t>
  </si>
  <si>
    <t xml:space="preserve">Aster DM Healthcare Ltd
Afe Babalola Univ</t>
  </si>
  <si>
    <t xml:space="preserve">All Other Miscellaneous Ambulatory Health Care Services
Colleges, Universities, and Professional Schools</t>
  </si>
  <si>
    <t xml:space="preserve">Aster DM Healthcare Ltd is a
provider of ambulatory
health care services. The
Company is located in Kochi,
India.
Afe Babalola University is a
college operator. The
Company is located in
Nigeria.</t>
  </si>
  <si>
    <t xml:space="preserve">8099
8221</t>
  </si>
  <si>
    <t xml:space="preserve">India
Nigeria</t>
  </si>
  <si>
    <t xml:space="preserve">Union Investments Pvt Ltd
Afe Babalola Univ</t>
  </si>
  <si>
    <t xml:space="preserve">Mauritius
Nigeria</t>
  </si>
  <si>
    <t xml:space="preserve">ASTER DM HEALTHCARE LTD/AFE BABALOLA UNIVERSITY-STRATEGIC ALLIANCE</t>
  </si>
  <si>
    <t xml:space="preserve">Aster Dm Healthcare Ltd and Afe Babalola University formed a strategic
alliance in Nigeria for setting up centres of excellence across specialties
and also a Telemedicine unit managed by Aster DM Healthcares
internationally certified specialists, majority of whom are from Asters
international network of hospitals.</t>
  </si>
  <si>
    <t xml:space="preserve">6E9781
0J4450</t>
  </si>
  <si>
    <t xml:space="preserve">Epicore Biosystems Inc
Leo Science &amp; Tech Hub</t>
  </si>
  <si>
    <t xml:space="preserve">Medical, Dental, and Hospital Equipment and Supplies Merchant Wholesalers
Research and Development in Biotechnology</t>
  </si>
  <si>
    <t xml:space="preserve">Epicore Biosystems Inc is a
medical equipment and
supplies wholesaler. The
Company was founded in April
2017 and is located in
Cambridge, Massachusetts.
Leo Science &amp; Tech Hub is a
provider of biotechnology
research and development
services. The Company is
located in Cambridge,
Massachusetts.</t>
  </si>
  <si>
    <t xml:space="preserve">Epicore Biosystems Inc
Leo Fondet</t>
  </si>
  <si>
    <t xml:space="preserve">5047
6799</t>
  </si>
  <si>
    <t xml:space="preserve">EPICORE BIOSYSTEMS INC/LEO SCIENCE &amp; TECH HUB-STRATEGIC ALLIANCE</t>
  </si>
  <si>
    <t xml:space="preserve">Epicore Biosystems Inc and Leo Science Tech Hub planned to form a strategic
alliance in United States to explore wearable skin sensors to improve
dermatologic treatment regimens and also focused on exploring the use of a
non-invasive, wearable sweat sensor to measure prognostic biomarkers in
real time, monitor patient response and inform treatment decisions. The
initial project will include a proof of concept study in collaboration with
engineers and dermatologists at Northwestern Universitys Center for
Bio-Integrated Electronics and Feinberg School of Medicines Department of
Dermatology to establish baseline measurements and milestones to validate
the clinical relevance of the approach for patients with atopic
dermatitis.</t>
  </si>
  <si>
    <t xml:space="preserve">0J4925
0J4926</t>
  </si>
  <si>
    <t xml:space="preserve">IDbyDNA Inc
Fleury Michon SA</t>
  </si>
  <si>
    <t xml:space="preserve">Biotechnology company
Produce,whl ham,steak</t>
  </si>
  <si>
    <t xml:space="preserve">IDbyDNA Inc is a United
States-based precision
medicine company. The
Company is focused on
metagenomic approaches for
infectious disease
identification. It is
engaged in developing
technologies to enable
universal microorganism
detection. It helps doctors
and scientists to detect
pathogen in any sample,
thereby removing barriers
for the adoption of
metagenomics in clinical
settings, leading to faster
public health responses
during infectious disease
outbreaks. It offers
Taxonomer, which is a next
generation sequencing
(NGS)-based metagenomic
analysis technology.
Taxonomer enables universal,
real-time detection of
viruses, bacteria and fungi
through a Web interface. For
every sequencing read,
Taxonomer provides the
taxonomic classification
that is supported by the
reference database through
both, nucleic acid and
protein-based classification
for improved detection. With
ribonucleic acid
(RNA)-sequencing data,
Taxonomer also provides host
messenger RNA (mRNA)
expression profiles.
Fleury Michon SA, located in
Pouzauges, produces and
wholesales prepared meals as
well as ham, steak, pork
cuts, pasta, pies. The
Company was founded in 1926.</t>
  </si>
  <si>
    <t xml:space="preserve">2836
2013</t>
  </si>
  <si>
    <t xml:space="preserve">IDBYDNA INC/FLEURY MICHON SA-STRATEGIC ALLIANCE</t>
  </si>
  <si>
    <t xml:space="preserve">IDbyDNA Inc and Fleury Michon SA formed a strategic alliance to Utilize the
Explify Platform Across South America. IDbyDNA to license the Explify
technology platform to Fleury, to perform high quality clinical metagenomic
testing within their markets. Explify is IDbyDNAs metagenomics technology
platform that simultaneously profiles tens of thousands of microorganisms
and pathogens in any sample to deliver actionable information to healthcare
providers.</t>
  </si>
  <si>
    <t xml:space="preserve">7F1482
33935N</t>
  </si>
  <si>
    <t xml:space="preserve">Bestmile SA
Ohmio Automotion</t>
  </si>
  <si>
    <t xml:space="preserve">Software Publishers
Motor and Generator Manufacturing</t>
  </si>
  <si>
    <t xml:space="preserve">Bestmile Sa is a software
publisher. The Company was
founded in February 2014 and
is located in Lausanne,
Switzerland.
Ohmio Automotion is a
manufacturer of motors and
generators. The Company is
located in Pakuranga, New
Zealand.</t>
  </si>
  <si>
    <t xml:space="preserve">7372
3621</t>
  </si>
  <si>
    <t xml:space="preserve">Switzerland
New Zealand</t>
  </si>
  <si>
    <t xml:space="preserve">BESTMILE SA/OHMIO AUTOMOTION-STRATEGIC ALLIANCE</t>
  </si>
  <si>
    <t xml:space="preserve">Bestmile Sa and Ohmio Automotion formed a strategic alliance provide 150
ohmio LIFT vehicles to this exciting new urban development project. The
ohmio LIFT is a 20-person shuttle that can be extended to carry up to 40
passengers. Bestmile is an ideal partner to help ohmio deliver a fully
automated mobility service.</t>
  </si>
  <si>
    <t xml:space="preserve">0J3507
0J3505</t>
  </si>
  <si>
    <t xml:space="preserve">AutoGrid Systems Inc
Macnica Inc</t>
  </si>
  <si>
    <t xml:space="preserve">Develop prepackaged software
Other Electronic Parts and Equipment Merchant Wholesalers</t>
  </si>
  <si>
    <t xml:space="preserve">AutoGrid Systems Inc,
headquartered in Redwood
City, California, develops
software application for the
energy sector. Its platform
enables electricity
providers and consumers to
forecast generation,
consumption, and other grid
conditions at unprecedented
levels. It also provides
demand management system
that utilizes standard
protocols to communicate
with other back-end systems,
meters, and sensors on the
grid. The Company was
founded in 2010.
Macnica Inc is an electronic
parts and equipment
wholesaler. The Company was
founded in October 1972 and
is located in Yokohama-Shi
Shinagawa, Japan.</t>
  </si>
  <si>
    <t xml:space="preserve">7372
5065</t>
  </si>
  <si>
    <t xml:space="preserve">AutoGrid Systems Inc
Macnica Fuji Electns Hldg Inc</t>
  </si>
  <si>
    <t xml:space="preserve">AUTOGRID SYSTEMS INC/MACNICA INC-STRATEGIC ALLIANCE</t>
  </si>
  <si>
    <t xml:space="preserve">AutoGrid Systems Inc and Macnica Inc formed a strategic alliance focus on
extending AutoGrid Virtual Power Plant (VPP), Energy Storage Management
System (ESMS), Distributed Energy Resources Management (DERMS) and Demand
Response Optimization and Management System (DROMS) modules of its Flex
platform to regulated and deregulated energy companies throughout Japan.</t>
  </si>
  <si>
    <t xml:space="preserve">Research &amp; Development Services
Software Development Services
Electric Utility Services</t>
  </si>
  <si>
    <t xml:space="preserve">5C5731
6F7671</t>
  </si>
  <si>
    <t xml:space="preserve">Molecular Templates Inc
Takeda Pharmaceutical Co Ltd</t>
  </si>
  <si>
    <t xml:space="preserve">Manufactures biological products
Mnfr pharmaceutical products</t>
  </si>
  <si>
    <t xml:space="preserve">Molecular Templates Inc is a
manufacturer of biological
products. The Company is
located in Austin, Texas.
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</si>
  <si>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Threshold Pharmaceuticals Inc
Takeda Pharmaceutical Co Ltd</t>
  </si>
  <si>
    <t xml:space="preserve">MOLECULAR TEMPLATES INC/TAKEDA PHARMACEUTICAL CO LTD-STRATEGIC ALLIANCE</t>
  </si>
  <si>
    <t xml:space="preserve">Molecular Templates Inc and Takeda Pharmaceutical Co Ltd planned to form a
strategic alliance in United States &amp; Japan for the joint development of
CD38-targeted engineered toxin bodies (ETBs) for the treatment of patients
with diseases such as multiple myeloma. The lead development candidate is a
CD38-targeted ETB that resulted from a previous discovery collaboration
between the two companies.</t>
  </si>
  <si>
    <t xml:space="preserve">3F6258
874058</t>
  </si>
  <si>
    <t xml:space="preserve">Gfinity PLC
Ove Arup &amp; Partners Intl</t>
  </si>
  <si>
    <t xml:space="preserve">Software Publishers
Pvd engineering svcs</t>
  </si>
  <si>
    <t xml:space="preserve">Gfinity Plc is engaged in
electronic sports business,
it provides online gaming
services. It offers online
and offline esports
tournaments and produces
broadcasts The Company was
founded in September 2012
and is located in London,
the United Kingdom.
Ove Arup &amp; Partners
International is a provider
of engineering services. The
Company is located in
London, the United Kingdom.</t>
  </si>
  <si>
    <t xml:space="preserve">GFINITY PLC/OVE ARUP &amp; PARTNERS INTERNATIONAL-STRATEGIC ALLIANCE</t>
  </si>
  <si>
    <t xml:space="preserve">Gfinity PLC and Ove Arup Partners International formed a strategic
alliance.The purpose of the strategic alliance is to design a world-leading
integrated eSports facility.</t>
  </si>
  <si>
    <t xml:space="preserve">4C4493
69014R</t>
  </si>
  <si>
    <t xml:space="preserve">iGambit Inc
Device Distributors Llc</t>
  </si>
  <si>
    <t xml:space="preserve">Investment company
Data Processing, Hosting, and Related Services</t>
  </si>
  <si>
    <t xml:space="preserve">iGambit Inc, formerly iGambit
LLC, is a provider of
financial investment services.
The Company was founded in
1996 and is located in
Smithtown, New York.
Device Distributors LLC is a
provider of data processing
and hosting services. The
Company is located in Texas.</t>
  </si>
  <si>
    <t xml:space="preserve">6799
7374</t>
  </si>
  <si>
    <t xml:space="preserve">IGAMBIT INC/DEVICE DISTRIBUTORS LLC-STRATEGIC ALLIANCE</t>
  </si>
  <si>
    <t xml:space="preserve">United States
Brazil
Argentina</t>
  </si>
  <si>
    <t xml:space="preserve">California
Foreign
Foreign</t>
  </si>
  <si>
    <t xml:space="preserve">iGambit Inc and Device Distributors LLC formed a strategic alliance to
expand its health monitoring and reporting system into Brazil, Argentina,
and throughout South and Central America.</t>
  </si>
  <si>
    <t xml:space="preserve">45173A
0J9188</t>
  </si>
  <si>
    <t xml:space="preserve">Technovative Group Inc
Joget Inc</t>
  </si>
  <si>
    <t xml:space="preserve">Heating Equipment (Except Warm Air Furnaces) Manufacturing
Software Publishers</t>
  </si>
  <si>
    <t xml:space="preserve">Technovative Group Inc is a
manufacturer of heating
equipment. The Company was
founded in August 2010 and
is located in Tsim Sha Tsui
KLN, Hong Kong.
Joget Inc is a software
publisher. The Company is
located in Columbia,
Maryland.</t>
  </si>
  <si>
    <t xml:space="preserve">3433
7372</t>
  </si>
  <si>
    <t xml:space="preserve">TECHNOVATIVE GROUP INC/JOGET INC-STRATEGIC ALLIANCE</t>
  </si>
  <si>
    <t xml:space="preserve">Technovative Group Inc and Joget Inc formed a strategic alliance.The
purpose of the strategic alliance is to co-develop a new product with its
cloud computing and blockchain technologies to design a blockchain-based
workflow system.</t>
  </si>
  <si>
    <t xml:space="preserve">2H9988
0J5188</t>
  </si>
  <si>
    <t xml:space="preserve">Diagnostic Consulting Network
E25bio Inc</t>
  </si>
  <si>
    <t xml:space="preserve">Medical Laboratories
In-Vitro Diagnostic Substance Manufacturing</t>
  </si>
  <si>
    <t xml:space="preserve">Diagnostic Consulting
Network Inc is a medical
laboratory operator. The
Company was founded in
August 2006 and is located
in Carlsbad, California.
E25BIO INC. is a specialty
hospital operator. The
Company was founded in June
2018 and is located in
Brookline, Massachusetts.</t>
  </si>
  <si>
    <t xml:space="preserve">8071
2835</t>
  </si>
  <si>
    <t xml:space="preserve">DIAGNOSTIC CONSULTING NETWORK INC/E25BIO INC.-STRATEGIC ALLIANCE</t>
  </si>
  <si>
    <t xml:space="preserve">Diagnostic Consulting Network Inc and E25BIO INC. formed a strategic
alliance. The purpose of strategic alliance was to design, development and
manufacture of an innovative new infectious disease testing technology.</t>
  </si>
  <si>
    <t xml:space="preserve">0J2308
0J2311</t>
  </si>
  <si>
    <t xml:space="preserve">T-Mobile Polska Sa
Telefonaktiebolaget LM
Warsaw Univ Of Tech</t>
  </si>
  <si>
    <t xml:space="preserve">Wireless Telecommunications Carriers (Except Satellite)
Provides telecommun services
Colleges, Universities, and Professional Schools</t>
  </si>
  <si>
    <t xml:space="preserve">T-Mobile Polska Sa is a
wireless telecommunications
carrier. The Company was
founded in August 2011 and
is located in Warsaw,
Poland.
Telefonaktiebolaget LM
Ericsson, located in
Stockholm, Sweden, provides
telecommunications services to
operators. It also
manufactures and wholesales
related telecommunications,
avionics and missile
electronics, defense
communications, mobile data
communications, signaling and
safety equipment and systems
that are offered to rail
traffic, street and highway,
power cables, copper and
aluminum wires industries. It
has operations in Europe,
Middle East, Africa, Asia
Pacific, North America and
Latin America. The Company was
founded in 1876.
Warsaw University of
Technology is a college
operator. The Company was
founded in 1970 and is
located in Warsaw, Poland.</t>
  </si>
  <si>
    <t xml:space="preserve">4812
4812
8221</t>
  </si>
  <si>
    <t xml:space="preserve">Poland
Sweden
Poland</t>
  </si>
  <si>
    <t xml:space="preserve">T-MOBILE POLSKA SA/TELEFONAKTIEBOLAGET LM ERICSSON/WARSAW UNIVERSITY OF
TECHNOLOGY-STRATEGIC ALLIANCE</t>
  </si>
  <si>
    <t xml:space="preserve">T-Mobile Polska Sa, Telefonaktiebolaget LM Ericsson and Warsaw University
of Technology planned to form a strategic alliance.The purpose of the
strategic alliance is to cooperate on research and development with the
Warsaw University of Technology.</t>
  </si>
  <si>
    <t xml:space="preserve">0J4431
294821
0J4438</t>
  </si>
  <si>
    <t xml:space="preserve">VenatoRx Pharmaceuticals Inc
Everest Medicines Ltd</t>
  </si>
  <si>
    <t xml:space="preserve">Pharmaceutical Preparation Manufacturing
Manufactures biopharmaceutical products</t>
  </si>
  <si>
    <t xml:space="preserve">VenatoRx Pharmaceuticals Inc
is located in Malvern,
Pennsylvania. The Company is a
Pharmaceutical Company that
focuses on discovery and
development of novel anti
infective agents that address
threat of antibiotic
resistance.
Everest Medicines Ltd,
located in New York City,
New York., manufactures
biopharmaceutical products.</t>
  </si>
  <si>
    <t xml:space="preserve">VENATORX PHARMACEUTICALS INC/EVEREST MEDICINES LTD-STRATEGIC ALLIANCE</t>
  </si>
  <si>
    <t xml:space="preserve">VenatoRx Pharmaceuticals Inc and Everest Medicines Ltd to support the
development, registration and commercialization of cefepime/VNRX-5133 in
Greater China, South Korea and Southeast Asia</t>
  </si>
  <si>
    <t xml:space="preserve">6F9981
2H6771</t>
  </si>
  <si>
    <t xml:space="preserve">CSPC Pharmaceutical Group Ltd
Verastem Inc</t>
  </si>
  <si>
    <t xml:space="preserve">Pharmaceutical Preparation Manufacturing
Mnfr of small molecule drugs</t>
  </si>
  <si>
    <t xml:space="preserve">CSPC Pharmaceutical Group
Ltd is a manufacturer and
wholesaler of pharmaceutical
preparation. The Company was
founded in June 1992 and is
located in Shijiazhuang,
China.
Verastem Inc is a
manufacturer of
pharmaceutical preparation.
The Company was founded in
August 2010 and is located
in Needham, Massachusetts.</t>
  </si>
  <si>
    <t xml:space="preserve">CSPC PHARMACEUTICAL GROUP LTD/VERASTEM INC-STRATEGIC ALLIANCE</t>
  </si>
  <si>
    <t xml:space="preserve">Cspc Pharmaceutical Group Ltd and Verastem Inc planned to form a strategic
alliance.The purpose of the strategic alliance is to develop and
commercialize Verastem's COPIKTRA, an oral inhibitor of phosphoinositide
3-kinase, and the first approved dual inhibitor of PI3K-delta and
PI3K-gamma, for the treatment of all oncology indications in China.</t>
  </si>
  <si>
    <t xml:space="preserve">Y1837N
92337C</t>
  </si>
  <si>
    <t xml:space="preserve">SKF AB
Lulea University of Technology</t>
  </si>
  <si>
    <t xml:space="preserve">Mnfr,wholesale roller bearings
University</t>
  </si>
  <si>
    <t xml:space="preserve">SKF AB manufactures and
wholesales ball and roller
bearings, seals, linear
motion products and high
precision bearings. It has
140 manufacturing sites
distributed all over the
world and its own sales
companies in 32 countries.
The Company was founded in
1907 and located in
Gothenburg, Sweden.
Lulea University of
Technology, located in Lulea,
Sweden, is a university.</t>
  </si>
  <si>
    <t xml:space="preserve">3562
8221</t>
  </si>
  <si>
    <t xml:space="preserve">SKF AB/LULEA UNIVERSITY OF TECHNOLOGY-STRATEGIC ALLIANCE</t>
  </si>
  <si>
    <t xml:space="preserve">SKF AB and Lulea University of Technology planned to form a strategic
alliance. The purpose of the startegic alliance is to cooperation with SKF
concerns the university's researchers in Machine Elements, Operation and
Maintenance Engineering and EISLAB.</t>
  </si>
  <si>
    <t xml:space="preserve">784375
2A1605</t>
  </si>
  <si>
    <t xml:space="preserve">Eidesvik Offshore ASA
Equinor ASA</t>
  </si>
  <si>
    <t xml:space="preserve">Shipping company
Crude Petroleum and Natural Gas Extraction</t>
  </si>
  <si>
    <t xml:space="preserve">Eidesvik Offshore ASA,
located in Bomlo, Norway, is
a shipping company. The
Company operates within
three main segments: Supply
and Logistics, Subsea, and
Seismic survey and cable
laying.
Equinor ASA, located in
Stavanger, Norway, is an oil
and gas exploration and
production Company. Its
principal activities are to
explore, produce, transport,
refine and market petroleum
and petroleum-derived
products. The Group operates
through its division, namely
Exploration &amp; Production
Norway, International
Exploration and Production,
Natural Gas and
Manufacturing and Marketing.
Exploration and Production
Norway includes exploration,
development and production
of oil and gas on the
Norwegian continental shelf.
International Exploration
and Production includes all
upstream related activities
of exploration, development
and production operations
outside Norway. Natural Gas
division transports,
processes and markets oil
and gas from the NCS to
European destinations.
Manufacturing and Marketing
division comprises
downstream activities
including sales and trading
of crude oil, NGL and
petroleum products,
refining, methanol
production, retail and
industrial marketing of oil.
It is also a holding
company. The Company was
founded in 1972.</t>
  </si>
  <si>
    <t xml:space="preserve">4412
1311</t>
  </si>
  <si>
    <t xml:space="preserve">EIDESVIK OFFSHORE ASA/EQUINOR ASA-STRATEGIC ALLIANCE</t>
  </si>
  <si>
    <t xml:space="preserve">Eidesvik Offshore ASA and Equinor ASA formed a strategic alliance to be
part of a research project developing, installing and testing long-distance
sailing fuelled by carbon-free ammonia fuel cells.</t>
  </si>
  <si>
    <t xml:space="preserve">28283T
29446M</t>
  </si>
  <si>
    <t xml:space="preserve">Hill &amp; Knowlton Strategies LLC
Impact Research &amp; Measurement</t>
  </si>
  <si>
    <t xml:space="preserve">Marketing Consulting Services
Administrative Management and General Management Consulting Services</t>
  </si>
  <si>
    <t xml:space="preserve">Hill &amp; Knowlton Strategies
LLC, located in New York, New
York, provides international
communications consulting
services to local,
multinational, and global
clients. It offers business to
business communications,
change and internal
communications, corporate,
digital, marketing and
financial communications,
public affairs, media
relations, and training. The
company was founded in 1927.
Impact Research &amp;
Measurement Pvt Ltd is a
provider of administrative
management and general
management consulting
services. The Company is
located in India.</t>
  </si>
  <si>
    <t xml:space="preserve">WPP PLC
Impact Research &amp; Measurement</t>
  </si>
  <si>
    <t xml:space="preserve">7311
8742</t>
  </si>
  <si>
    <t xml:space="preserve">HILL &amp; KNOWLTON STRATEGIES LLC/IMPACT RESEARCH &amp; MEASUREMENT PVT
LTD-STRATEGIC ALLIANCE</t>
  </si>
  <si>
    <t xml:space="preserve">Hill Knowlton Strategies LLC and Impact Research Measurement Pvt Ltd
planned to form a strategic alliance. The purpose of the strategic alliance
is to deliver media research and monitoring services for the India market.</t>
  </si>
  <si>
    <t xml:space="preserve">0E1640
0J4672</t>
  </si>
  <si>
    <t xml:space="preserve">Ctr For Molecular Immunology
Roswell Pk Comprehensive</t>
  </si>
  <si>
    <t xml:space="preserve">Research and Development in Biotechnology
Offices Of Physicians (Except Mental Health Specialists)</t>
  </si>
  <si>
    <t xml:space="preserve">Center For Molecular
Immunology is a provider of
biotechnology research and
development services. The
Company was founded in
December 1994 and is located
in Havana, Cuba.
Roswell Park Comprehensive
Cancer Center The Company is
located in Buffalo, New
York.</t>
  </si>
  <si>
    <t xml:space="preserve">8731
8011</t>
  </si>
  <si>
    <t xml:space="preserve">Cuba
United States</t>
  </si>
  <si>
    <t xml:space="preserve">CENTER FOR MOLECULAR IMMUNOLOGY/ROSWELL PARK COMPREHENSIVE CANCER
CENTER-JOINT VENTURE</t>
  </si>
  <si>
    <t xml:space="preserve">United States
Cuba</t>
  </si>
  <si>
    <t xml:space="preserve">Center For Molecular Immunology and Roswell Park Comprehensive Cancer
Center planned to form joint venture. The purpose of joint venture is to
access to CIMAvax and three additional Cuban-developed cancer immunotherapy
treatments not previously accessible to U.S. patients or researchers.</t>
  </si>
  <si>
    <t xml:space="preserve">0J2278
0J2282</t>
  </si>
  <si>
    <t xml:space="preserve">BASF SE
Dowdupont Inc</t>
  </si>
  <si>
    <t xml:space="preserve">All Other Basic Inorganic Chemical Manufacturing
Plastics Material and Resin Manufacturing</t>
  </si>
  <si>
    <t xml:space="preserve">BASF SE is a manufacturer
and wholesaler of inorganic
chemicals. The Company's
portfolio is organized into
six segments: Chemicals,
Materials, Industrial
Solutions, Surface
Technologies, Nutrition &amp;
Care and Agricultural
Solutions. BASF generated
sales of around 63 billion
in 2018. The BASF Group
comprises subsidiaries and
joint ventures in more than
80 countries and operates
six integrated production
sites and 390 other
production sites in Europe,
Asia, Australia, the
Americas and Africa. It also
acts as a holding company.
The Company was founded in
April 1865 and is located in
Ludwigshafen, Germany.
DowDuPont Inc is a
manufacturer of plastics
materials. The Company was
founded in May 1897 and is
located in Midland,
Michigan.</t>
  </si>
  <si>
    <t xml:space="preserve">BASF SE/DOWDUPONT INC-STRATEGIC ALLIANCE</t>
  </si>
  <si>
    <t xml:space="preserve">BASF SE and Dowdupont Inc formed a strategic alliance.The purpose of the
strategic alliance is to grant Corteva Agriscience a commercial license to
develop sunflower hybrids tolerant to BASF's Clearfield Plus herbicides in
all Corteva Agriscience seed brands throughout Europe, Africa, Asia, the
United States and Latin America.</t>
  </si>
  <si>
    <t xml:space="preserve">055262
26078J</t>
  </si>
  <si>
    <t xml:space="preserve">Defence Science and Tech Grp
L3 Technologies Inc</t>
  </si>
  <si>
    <t xml:space="preserve">Provide research,dvlp svcs
Other Electronic Component Manufacturing</t>
  </si>
  <si>
    <t xml:space="preserve">Defence Science and Technology
Group is a provider of
research and development
services. The company is
located in Canberra Airport,
Australia.
L3 Technologies Inc, located
in New York, New York,
manufactures secure
communications technology,
training and simulation,
microwave components,
avionics, ocean products and
telemetry, instrumentation,
space and wireless products.
It operates through four
segments: Electronic
Systems, Aerospace Systems,
Communication Systems and
Sensor Systems. Electronic
Systems provides a broad
range of products and
services for military and
commercial customers in
several niche markets across
several business areas.
Aerospace Systems delivers
integrated solutions and
provides engineering,
modernization, upgrade,
sustainment, and maintenance
and logistics support.
Communication Systems
delivers products and
services for the global
communications market.
Sensor Systems provides
diverse sensor technologies.
The Company was founded in
1997.</t>
  </si>
  <si>
    <t xml:space="preserve">DEFENCE SCIENCE AND TECHNOLOGY GROUP/L3 TECHNOLOGIES INC-STRATEGIC
ALLIANCE</t>
  </si>
  <si>
    <t xml:space="preserve">Defence Science and Technology Group and L3 Technologies Inc planned to
form a strategic alliance. The purpose of strategic alliance is to support
the development of new advanced maritime technologies.</t>
  </si>
  <si>
    <t xml:space="preserve">5E3242
502413</t>
  </si>
  <si>
    <t xml:space="preserve">Terumo BCT Inc
Cognate Bioservices Inc</t>
  </si>
  <si>
    <t xml:space="preserve">Manufacture,wholesale transfusion equipment
Research and Development in Biotechnology</t>
  </si>
  <si>
    <t xml:space="preserve">Terumo BCT Inc, located in
Lakewood, Colorado,
manufactures and wholesales
transfusion equipment. Its
products are intended to
assist in Apheresis
Collection, pathogen
reduction, therapeutic
systems, cell therapies,
therapeutic apheresis, and
whole blood processing,
marketed under the brands,
Vista, COBE, Elutra, Mirasol,
and Atreus. The company was
founded in 1964.
Cognate Bioservices Inc is a
provider of biotechnology
research and development
services. The Company was
founded in April 2002 and is
located in Memphis,
Tennessee.</t>
  </si>
  <si>
    <t xml:space="preserve">CO
TN</t>
  </si>
  <si>
    <t xml:space="preserve">Terumo Corp
Cognate Bioservices Inc</t>
  </si>
  <si>
    <t xml:space="preserve">TERUMO BCT INC/COGNATE BIOSERVICES INC-STRATEGIC ALLIANCE</t>
  </si>
  <si>
    <t xml:space="preserve">Terumo BCT Inc and Cognate Bioservices Inc planned to form joint venture.to
incorporate Terumo BCT's existing and future technologies into the Cognate
's Innovation labs.</t>
  </si>
  <si>
    <t xml:space="preserve">2A9399
2H3863</t>
  </si>
  <si>
    <t xml:space="preserve">Melinta Therapeutics Inc
Menarini</t>
  </si>
  <si>
    <t xml:space="preserve">Melinta Therapeutics Inc,
located in New Haven,
Connecticut, is a
clinical-stage
pharmaceutical company. It
focuses on developing
differentiated antibiotics
for the acute care and
community settings to meet
medical needs in the
treatment of bacterial
infectious diseases. Its
product, solithromycin
(CEM-101), which is a
macrolide and
fluoroketolide, is being
developed in oral capsules,
intravenous (IV) and
suspension formulations for
the treatment of
community-acquired bacterial
pneumonia (CABP).
Solithromycin has
therapeutic potential and
activity to target
pathogenic bacteria. The
Company was founded in 2005.
A Menarini Industrie
Farmaceutiche Riunite Srl,
located in Florence, Italy,
manufactures, develops and
wholesales prescription
pharmaceuticals intended for
final consumption, including
biotech products and
antibiotics. Its therapeutic
areas include cardiovascular
diseases, anti-infective
agents, pain-inflammation,
oncology and asthma. It was
founded in 1886.</t>
  </si>
  <si>
    <t xml:space="preserve">MELINTA THERAPEUTICS INC/A MENARINI INDUSTRIE-STRATEGIC ALLIANCE</t>
  </si>
  <si>
    <t xml:space="preserve">Melinta Therapeutics Inc and A Menarini Industrie Farmaceutiche Riunite Srl
planned to form a strategic alliance, to co-develop and commercialize
Vabomere (meropenem and vaborbactam), Orbactiv (oritavancin) and Minocin
(minocycline) for Injection in 68 countries in Europe, Asia-Pacific
including China, South Korea, and Australia (Japan excluded), and the
Commonwealth of Independent States (CIS) including Russia.</t>
  </si>
  <si>
    <t xml:space="preserve">58549G
58650P</t>
  </si>
  <si>
    <t xml:space="preserve">Bioz Inc
Covaris Inc</t>
  </si>
  <si>
    <t xml:space="preserve">Software Publishers
Mnfr,dvlp instr sys prod</t>
  </si>
  <si>
    <t xml:space="preserve">Bioz Inc is a technology
company which offers search
engine for life science
experimentation. The
Company's software platform
combines the work of
scientists with Natural
Language Processing (NLP)
and Machine Learning (ML) to
help life scientists in
academia and biopharma make
experimentation decision.
The Company is located in
Los Altos, California.
Manufacture and develop
instrument systems products
based on biophysical
technology platform for life
sciences</t>
  </si>
  <si>
    <t xml:space="preserve">7372
3826</t>
  </si>
  <si>
    <t xml:space="preserve">BIOZ INC/COVARIS INC-STRATEGIC ALLIANCE</t>
  </si>
  <si>
    <t xml:space="preserve">Bioz Inc and Covaris Inc extended their strategic alliance.The purpose of
strategic alliance was to enable a vast array of non-contact, isothermal
processes to be developed for use in a broad range of applications in
genomics, epigenomics, proteomics, cell biology, drug discovery, and
formulation.</t>
  </si>
  <si>
    <t xml:space="preserve">0J6849
22297N</t>
  </si>
  <si>
    <t xml:space="preserve">Novo Nordisk A/S
Underwriters Re Holdings</t>
  </si>
  <si>
    <t xml:space="preserve">Healthcare company
Pvd re-ins svcs</t>
  </si>
  <si>
    <t xml:space="preserve">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
Underwriters Re Holdings
Corp(Alleghany Corp), located
in Woodland Hills, provides
re-insurance services.</t>
  </si>
  <si>
    <t xml:space="preserve">2833
6321</t>
  </si>
  <si>
    <t xml:space="preserve">Novo Nordisk Foundation
Alleghany Corp</t>
  </si>
  <si>
    <t xml:space="preserve">6732
6331</t>
  </si>
  <si>
    <t xml:space="preserve">NOVO NORDISK A/S/UNDERWRITERS RE HOLDINGS-STRATEGIC ALLIANCE</t>
  </si>
  <si>
    <t xml:space="preserve">Novo Nordisk A/S and Underwriters Re Holdings Corp(Alleghany Corp) planned
to form a strategic alliance in Denmark to make the durable, connected
insulin pens NovoPen 6 and NovoPen Echo Plus commercially available across
key markets commencing in early 2019. Novo Nordisk has signed new
partnership agreements with leading diabetes technology companies that
share Novo Nordisk's vision to improve the lives of people with Diabetes.</t>
  </si>
  <si>
    <t xml:space="preserve">670100
904491</t>
  </si>
  <si>
    <t xml:space="preserve">Henkel AG &amp; Co KGaA
Aculon Inc</t>
  </si>
  <si>
    <t xml:space="preserve">Manufacture,wholesale consumer chemicals
Metal Coating, Engraving (Except Jewelry and Silverware), and Allied Services To Manufacturers</t>
  </si>
  <si>
    <t xml:space="preserve">Henkel AG &amp; Co KGaA is a
manufacturer of detergents.
The Company is a chemical
and consumer goods company
headquartered in
Dsseldorf.Henkel is
organized into three
business units: Adhesive
Technologies, Beauty Care,
and Laundry &amp; Home Care.
Henkel leads the global
market in the field of
adhesives. Henkel''s Beauty
Care and Laundry &amp; Home Care
consumer businesses also
hold top positions in
numerous markets and
categories. And is known for
brands such as Loctite,
Persil, and Fa amongst
others. Founded in September
1876.
Aculon Inc is a provider of
metal coating and surfacing
services. The Company was
founded in 1970 and is
located in the United
States.</t>
  </si>
  <si>
    <t xml:space="preserve">2844
3479</t>
  </si>
  <si>
    <t xml:space="preserve">HENKEL AG &amp; CO KGAA/ACULON INC-STRATEGIC ALLIANCE</t>
  </si>
  <si>
    <t xml:space="preserve">Henkel AG Co KGaA and Aculon Inc formed a strategic alliance to Supply Key
Mobile Device Manufacturers with NanoProof PCB Waterproof Technology. The
partnership affords Aculon and Henkel the opportunity to work with top
electronic partners to bring innovative and essential waterproofing
technologies to the global mobile device market.</t>
  </si>
  <si>
    <t xml:space="preserve">Research &amp; Development Services
Software Development Services
Manufacturing Services
Electrical &amp; Electronic Services</t>
  </si>
  <si>
    <t xml:space="preserve">42550Z
0J0895</t>
  </si>
  <si>
    <t xml:space="preserve">Vitrolife AB
Illumina Inc</t>
  </si>
  <si>
    <t xml:space="preserve">Manufacture fertility systems
Manufacture,wholesale science tools,systems</t>
  </si>
  <si>
    <t xml:space="preserve">Vitrolife AB, located in
Vastra Frolunda, Sweden,
manufactures fertility
systems. It is a
biotechnology company
specializing also on
development and manufacture
of cell therapy and
engineering systems, and
transplantation systems. The
company was founded in 1993.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</si>
  <si>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VITROLIFE AB/ILLUMINA INC-STRATEGIC ALLIANCE</t>
  </si>
  <si>
    <t xml:space="preserve">Vitrolife AB and Illumina Inc planned to form a strategic alliance. The
purpose of strategic alliance is to provides Vitrolife with exclusive
distribution, development and commercialisation rights to Illuminas
preimplantation genetic testing business for IVF in EMEA and Americas.</t>
  </si>
  <si>
    <t xml:space="preserve">92582E
452327</t>
  </si>
  <si>
    <t xml:space="preserve">Crowd Mining Inc
Kp International Group</t>
  </si>
  <si>
    <t xml:space="preserve">Internet Service Providers
Miscellaneous Financial Investment Activities</t>
  </si>
  <si>
    <t xml:space="preserve">Crowd Mining Inc is an
internet service provider.
The Company is located in
Bulgaria.
Kp International Group
Australia Pty Ltd is a
provider of financial
investment services. The
Company is located in
Sydney, Australia.</t>
  </si>
  <si>
    <t xml:space="preserve">7375
6282</t>
  </si>
  <si>
    <t xml:space="preserve">Bulgaria
Australia</t>
  </si>
  <si>
    <t xml:space="preserve">CROWD MINING INC/KP INTERNATIONAL GROUP AUSTRALIA PTY LTD-STRATEGIC
ALLIANCE</t>
  </si>
  <si>
    <t xml:space="preserve">Crowd Mining Inc and Kp International Group Australia Pty Ltd formed a
strategic alliance in Australia to help forex traders make profitable
decisions, using the latest technologies including financial robots and
deep learning system in order to automate. The company is continuing with
its aim of create favorable financing conditions that can help its
customers to generate income efficiently and it has extended its services
to the digital currency space with the recent acquisition of a significant
part of the Crowdmining Platform.</t>
  </si>
  <si>
    <t xml:space="preserve">Research &amp; Development Services
Software Development Services
Financial Services</t>
  </si>
  <si>
    <t xml:space="preserve">0J3142
0J3143</t>
  </si>
  <si>
    <t xml:space="preserve">Go Therapeutics Inc
F Hoffmann-La Roche Ltd</t>
  </si>
  <si>
    <t xml:space="preserve">Go Therapeutics Inc is a
provider of biotechnology
research and development
services. The Company was
founded in June 2010 and is
located in Cambridge,
Massachusetts.
F Hoffmann-La Roche Ltd,
located in Basel,
Switzerland, manufactures
pharmaceuticals, biological
products, medicines,
chemicals and wholesale
medical research
instruments. The Company
also provides research
services and acts as a
holding company. The Company
was founded in 1896.</t>
  </si>
  <si>
    <t xml:space="preserve">Go Therapeutics Inc
Roche Holdings AG</t>
  </si>
  <si>
    <t xml:space="preserve">GO THERAPEUTICS INC/F HOFFMANN-LA ROCHE LTD-STRATEGIC ALLIANCE</t>
  </si>
  <si>
    <t xml:space="preserve">Go Therapeutics Inc and F Hoffmann-La Roche Ltd formed a strategic alliance
in United States &amp; Switzerland to develop antibody-based cancer
therapeutics a company applying new advances in glycoproteomics. Under the
terms of the agreement, GO will grant Roche a worldwide, exclusive license
for antibodies generated to address a novel cancer-specific target to
develop and commercialize a new glycotargeting bispecific antibody.</t>
  </si>
  <si>
    <t xml:space="preserve">0J2132
7H3783</t>
  </si>
  <si>
    <t xml:space="preserve">Normet Oy
University of Oulu</t>
  </si>
  <si>
    <t xml:space="preserve">Mnfr,whl mining equipment
Colleges, Universities, and Professional Schools</t>
  </si>
  <si>
    <t xml:space="preserve">Normet Oy, located in
Iisalmi, Finland,
manufactures and wholesales
mining, tunneling and
mechanized logging
equipment.
University of Oulu is a
college operator. The
Company is located in Oulu,
Finland.</t>
  </si>
  <si>
    <t xml:space="preserve">3532
8221</t>
  </si>
  <si>
    <t xml:space="preserve">NORMET OY/UNIVERSITY OF OULU-STRATEGIC ALLIANCE</t>
  </si>
  <si>
    <t xml:space="preserve">Normet Oy and University of Oulu formed a strategic alliance in Finland to
initiate development, research and training co-operation to strengthen the
development and testing conditions of vehicle technology.</t>
  </si>
  <si>
    <t xml:space="preserve">65624V
0J3211</t>
  </si>
  <si>
    <t xml:space="preserve">Trovagene Inc
Massachusetts Inst Of Tech</t>
  </si>
  <si>
    <t xml:space="preserve">Mnfr medical prod
Colleges, Universities, and Professional Schools</t>
  </si>
  <si>
    <t xml:space="preserve">TrovaGene Inc, located in
San Diego, California,
manufactures medical
products. It also provides
medical research services.
It is a molecular
diagnostics company with a
focus on facilitating and
enhancing personalized
medicine. The company is
developing its patented
technology for the detection
of transrenal DNA and RNA,
short nucleic acid
fragments, originating from
normal and diseased cell
death that cross the kidney
barrier and can be detected
in urine. The company was
founded in 2002.
Massachusetts Institute Of
Technology is a college
operator. The Company is
located in Cambridge,
Massachusetts.</t>
  </si>
  <si>
    <t xml:space="preserve">TROVAGENE INC/MASSACHUSETTS INSTITUTE OF TECHNOLOGY{MIT}-STRATEGIC
ALLIANCE</t>
  </si>
  <si>
    <t xml:space="preserve">Trovagene Inc and Massachusetts Institute of Technology{MIT} formed a
strategic alliance.The purpose of the strategic alliance is to develop
combination therapies that include anti-androgen or androgen antagonist and
a Polo-like Kinase (PLK) inhibitor for the treatment of cancer</t>
  </si>
  <si>
    <t xml:space="preserve">897238
57571T</t>
  </si>
  <si>
    <t xml:space="preserve">University College London
Pall Corp</t>
  </si>
  <si>
    <t xml:space="preserve">Own,op college,university
Mnfr filters,separations equip</t>
  </si>
  <si>
    <t xml:space="preserve">University College London,
located in UK, owns and
operates college and
university. It was founded in
1826.
Pall Corp, located in Port
Washington, New York,
manufactures fine filters
and other filter
clarification and
separations equipment for
the removal of solid,
liquid, and gaseous
contaminants from a variety
of liquids and gases for the
healthcare, aerospace, and
fluid processing industries.
It also has locations in
Argentina, Australia,
Austria, Belgium, Canada,
France, Germany, Hong Kong,
India, Indonesia, Ireland,
Italy, Japan, Korea,
Malaysia, New Zealand,
Norway, Philippines, Poland,
Russia, Singapore, South
Africa, Spain, Sweden,
Switzerland, Taiwan,
Thailand, the UAE and UK and
Vietnam. It operates through
2 segments: Life Sciences
and Industrial. Its products
are air and gas barrier
filters and bags, capsule
filters, centrifugal
devices, chromatography
products, among many others.
The company was founded in
1957.</t>
  </si>
  <si>
    <t xml:space="preserve">8221
3569</t>
  </si>
  <si>
    <t xml:space="preserve">University College London
Danaher Corp</t>
  </si>
  <si>
    <t xml:space="preserve">8221
3823</t>
  </si>
  <si>
    <t xml:space="preserve">UNIVERSITY COLLEGE LONDON/PALL CORP-STRATEGIC ALLIANCE</t>
  </si>
  <si>
    <t xml:space="preserve">University College London and Pall Corp formed a strategic alliance.The
purpose of strategic alliance was to Open Fit-for-Purpose Biotech Centre of
Excellence for Research, Development and Training.</t>
  </si>
  <si>
    <t xml:space="preserve">91416R
696429</t>
  </si>
  <si>
    <t xml:space="preserve">Focuspoint Intl Inc
Texas A&amp;M University</t>
  </si>
  <si>
    <t xml:space="preserve">Other Management Consulting Services
Colleges, Universities, and Professional Schools</t>
  </si>
  <si>
    <t xml:space="preserve">Focuspoint International
Inc, located in Plantation,
Florida, is a global risk
consultancy that specializes
in the full provision of
travel risk management and
crisis response services for
businessleisure
travelers, and dispersed
assets.
Texas A&amp;M University is
headquartered in College
Station, Texas, United
States and is a college
operator. The company was
founded in 1876. State of
Texas is its ultimate
parent.</t>
  </si>
  <si>
    <t xml:space="preserve">FOCUSPOINT INTERNATIONAL INC/TEXAS A&amp;M UNIVERSITY-STRATEGIC ALLIANCE</t>
  </si>
  <si>
    <t xml:space="preserve">Focuspoint International Inc and Texas AM University formed a strategic
alliance in United States to focus on expansion of crisis response practice
as it relates to product recall, contamination, food safety training, and
preparedness. FocusPoint will deliver unprecedented access to food safety
and agricultural competitiveness experts on a global scale. Under the terms
of the agreement, the partnership will allow food &amp; beverage companies,
that bear manufacturing, supply chain distribution, and consumer safety
regulation.</t>
  </si>
  <si>
    <t xml:space="preserve">8F9138
0J2949</t>
  </si>
  <si>
    <t xml:space="preserve">Blackberry Ltd
Mackenzie Innovation Inst</t>
  </si>
  <si>
    <t xml:space="preserve">Manufactures communications equipment
General Medical and Surgical Hospitals</t>
  </si>
  <si>
    <t xml:space="preserve">BlackBerry Ltd, located in
Waterloo, Ontario,
manufactures wireless
internet devices and radio
modems for the mobile data
communications market. It
provides mobile
communications solutions. It
is also engaged in the sale
of smartphones and
enterprise software and
services. Its products and
services include Enterprise
Solutions and Services,
Devices, BlackBerry
Technology Solutions and
Messaging. It is engaged in
providing enterprise
mobility management (EMM)
and mobile security, and
offers a portfolio of
enterprise software
solutions and services that
can be deployed across a
range of ecosystems and
devices, including
BlackBerry Enterprise
Service (BES) 12 and Good
Platforms, BES12 Cloud,
enterprise
file-sync-and-share (EFSS),
SecuSUITE for Enterprise,
Enhanced subscriber identity
module (SIM)-Based Licensing
(ESBL), WorkLife by
BlackBerry solution and
Professional Cybersecurity
Services. The BlackBerry
Technology Solutions
business unit consists of
five units: QNX, Certicom,
Paratek, the BlackBerry IoT
Platform and Intellectual
Property and Patent
Licensing (IPPL). The
Company was founded in 1984.
Mackenzie Innovation
Institute is a hospital
operator. The Company is
located in Canada.</t>
  </si>
  <si>
    <t xml:space="preserve">3669
8062</t>
  </si>
  <si>
    <t xml:space="preserve">BLACKBERRY LTD/MACKENZIE INNOVATION INSTITUTE-STRATEGIC ALLIANCE</t>
  </si>
  <si>
    <t xml:space="preserve">Blackberry Ltd and Mackenzie Innovation Institute planned to form a
strategic alliance, to Improve Patient Outcomes .</t>
  </si>
  <si>
    <t xml:space="preserve">Research &amp; Development Services
Health &amp; Medical Services
Hospital &amp; Clinical Services
Software Development Services</t>
  </si>
  <si>
    <t xml:space="preserve">09228F
0J2848</t>
  </si>
  <si>
    <t xml:space="preserve">Yourgene Bioscience Co Ltd
Undisclosed JV Partner</t>
  </si>
  <si>
    <t xml:space="preserve">Yourgene Bioscience Co Ltd
is a manufacturer of
biological products. The
Company is located in New
Taipei, Taiwan.
Investment company</t>
  </si>
  <si>
    <t xml:space="preserve">Taiwan
Unknown</t>
  </si>
  <si>
    <t xml:space="preserve">YOURGENE BIOSCIENCE CO LTD/UNDISCLOSED PARTNER-STRATEGIC ALLIANCE</t>
  </si>
  <si>
    <t xml:space="preserve">Yourgene Bioscience Co Ltd and Undisclosed Joint Venture Partner planned to
form a strategic alliance, to deliver next generation sequencing ("NGS")
testing in oncology.</t>
  </si>
  <si>
    <t xml:space="preserve">1F5083
904JVP</t>
  </si>
  <si>
    <t xml:space="preserve">Cyclacel Pharmaceuticals Inc
The Univ Of Texas Md Anderson</t>
  </si>
  <si>
    <t xml:space="preserve">Biopharmaceutical co
Own,op cancer research center</t>
  </si>
  <si>
    <t xml:space="preserve">Cyclacel Pharmaceuticals Inc,
located in Berkeley Heights,
New Jersey, is a
biopharmaceutical company. The
company designs and develops
small molecule drugs that act
on key cell cycle regulators
to stop uncontrolled cell
division in cancer and other
diseases involving abnormal
cell proliferation. The
company was founded in
September 8, 1997.
The University Of Texas Md
Anderson Cancer Center,
located in Houston, Texas,
is a specialty hospital
operator. It provides cancer
center services.</t>
  </si>
  <si>
    <t xml:space="preserve">CYCLACEL PHARMACEUTICALS INC/MD ANDERSON CANCER CENTER-STRATEGIC ALLIANCE</t>
  </si>
  <si>
    <t xml:space="preserve">Cyclacel Pharmaceuticals Inc and MD Anderson Cancer Center planned to form
a strategic alliance, to enable clinical evaluation for safety and efficacy
of three Cyclacel medicines in patients with hematological malignancies,
including chronic lymphocytic leukemia (CLL), acute myeloid leukemia (AML),
myelodysplastic syndrome (MDS) and other advanced leukemias. strategic
alliance agreement</t>
  </si>
  <si>
    <t xml:space="preserve">23254L
55266I</t>
  </si>
  <si>
    <t xml:space="preserve">Abattis Bioceuticals Corp
Mitacs Inc</t>
  </si>
  <si>
    <t xml:space="preserve">Pharmaceutical Preparation Manufacturing
Educational Support Services</t>
  </si>
  <si>
    <t xml:space="preserve">Abattis Bioceuticals Corp,
located in Vancouver,
Canada, is a life sciences
and biotechnology company.
It integrates, and invests
in cannabis technologies and
biotechnology services for
the legal cannabis industry
in Canada. The Company was
founded on September 29,
1997.
Mitacs Inc is a provider of
educational support
services. The Company was
founded in 1970 and is
located in Montreal, Canada.</t>
  </si>
  <si>
    <t xml:space="preserve">2834
8299</t>
  </si>
  <si>
    <t xml:space="preserve">ABATTIS BIOCEUTICALS CORP/MITACS INC-STRATEGIC ALLIANCE</t>
  </si>
  <si>
    <t xml:space="preserve">Abattis Bioceuticals Corp and Mitacs Inc planned to form a strategic
alliance, to explore the development of nanoemulsified and liposomal
platforms for transmucosal delivery of cannabinoid-rich hemp oil.</t>
  </si>
  <si>
    <t xml:space="preserve">00258G
0J3207</t>
  </si>
  <si>
    <t xml:space="preserve">Prelude Fertility Inc
Nyu Langone Health</t>
  </si>
  <si>
    <t xml:space="preserve">Owns, operates family planning centers
Own,operate hospitals</t>
  </si>
  <si>
    <t xml:space="preserve">Prelude Fertility Inc,
located in Atlanta, Georgia,
owns and operates family
planning centers.
NYU Langone Medical Center,
located in New York, New York,
is an owner and operator of
four hospitals that provides
acute care, orthopedics and
rheumatology, and pediatric
services. It also provides
medical school services that
train physicians and
scientists. It was founded in
1841.</t>
  </si>
  <si>
    <t xml:space="preserve">8093
8062</t>
  </si>
  <si>
    <t xml:space="preserve">Lee Equity Partners LLC
Nyu Langone Health</t>
  </si>
  <si>
    <t xml:space="preserve">PRELUDE FERTILITY INC/NYU LANGONE HEALTH-STRATEGIC ALLIANCE</t>
  </si>
  <si>
    <t xml:space="preserve">Prelude Fertility Inc and Nyu Langone Health planned to form a strategic
alliance.to establish the NYU Langone Fertility Center (Fertility Center) &amp;
to expand the Fertility Centers geographic footprint with additional
satellite locations and, with particular emphasis on egg freezing, outreach
to Millennials to help them take greater control of their fertility until
they are ready to have a baby.</t>
  </si>
  <si>
    <t xml:space="preserve">8F7642
63354L</t>
  </si>
  <si>
    <t xml:space="preserve">Cantata Health Llc
Telemedicine Solutions Llc</t>
  </si>
  <si>
    <t xml:space="preserve">Cantata Health LLC is a
United States-based provider
of healthcare information
technology solutions. The
Company develops a
healthcare information
technology platform that
provides solutions for
electronic health record,
general accounting, revenue
cycle management, health
information exchange, and
healthcare business
intelligence. It offers its
services to hospitals, acute
care facilities, behavioral
health facilities,
rehabilitation centers, and
senior living facilities.
Telemedicine Solutions LLC
is a software publisher. The
Company is located in
Schaumburg, Illinois.</t>
  </si>
  <si>
    <t xml:space="preserve">TX
IL</t>
  </si>
  <si>
    <t xml:space="preserve">CANTATA HEALTH LLC/TELEMEDICINE SOLUTIONS LLC-STRATEGIC ALLIANCE</t>
  </si>
  <si>
    <t xml:space="preserve">Cantata Health LLC and Telemedicine Solutions LLC formed a strategic
alliance to streamline wound care and prevention and improve patient
outcomes. The partnership includes improved interoperability between
products to better connect healthcare professionals, making them more
effective and efficient in providing patient care. The companies will be
jointly demonstrating their products in the Cantata Health booth at AHCA in
San Diego</t>
  </si>
  <si>
    <t xml:space="preserve">0J2573
0J2575</t>
  </si>
  <si>
    <t xml:space="preserve">Cloudify Platform Ltd
Lumina Networks Inc</t>
  </si>
  <si>
    <t xml:space="preserve">Custom Computer Programming Services
Software Publishers</t>
  </si>
  <si>
    <t xml:space="preserve">Cloudify Platform Ltd is a
provider of custom computer
programming services. The
Company is located in
Herzliya, Israel.
Lumina Networks Inc is a
software publisher. The
Company is located in San
Jose, California.</t>
  </si>
  <si>
    <t xml:space="preserve">7371
7372</t>
  </si>
  <si>
    <t xml:space="preserve">CLOUDIFY PLATFORM LTD/LUMINA NETWORKS INC-STRATEGIC ALLIANCE</t>
  </si>
  <si>
    <t xml:space="preserve">Cloudify Platform Ltd and Lumina Networks Inc formed a strategic alliance
in United States &amp; Israel to bring agility to service providers with legacy
and virtualized networks. The two industry-changing companies will
cooperate on customer deployments to automate service delivery without
vendor lock-in, and also create a platform that gives service providers
exactly what they need to bring VNFs to production - control of both the
virtual and physical network, orchestrated and controlled as one network
and one service</t>
  </si>
  <si>
    <t xml:space="preserve">0J2110
7F3401</t>
  </si>
  <si>
    <t xml:space="preserve">CSPC Pharmaceutical Group Ltd
Sinocelltech Ltd</t>
  </si>
  <si>
    <t xml:space="preserve">CSPC Pharmaceutical Group
Ltd is a manufacturer and
wholesaler of pharmaceutical
preparation. The Company was
founded in June 1992 and is
located in Shijiazhuang,
China.
Sinocelltech Ltd, located in
China, is a biotechnology
company. It was founded in
2002.</t>
  </si>
  <si>
    <t xml:space="preserve">CSPC Pharmaceutical Group Ltd
Lhasa Ailike Invest</t>
  </si>
  <si>
    <t xml:space="preserve">CSPC PHARMACEUTICAL GROUP LTD/SINOCELLTECH LTD-STRATEGIC ALLIANCE</t>
  </si>
  <si>
    <t xml:space="preserve">CSPC Pharmaceutical Group Ltd and Sinocelltech Ltd formed a strategic
alliance to the licensing and commercialization of an antiCD20 monoclonal
antibody for injection (SCT400) developed by Sinocelltech</t>
  </si>
  <si>
    <t xml:space="preserve">Y1837N
83026Q</t>
  </si>
  <si>
    <t xml:space="preserve">Metawave Corp
Infineon Technologies AG
Nvidia Corp</t>
  </si>
  <si>
    <t xml:space="preserve">Research and Development in The Physical, Engineering and Lifesciences (Except Biotechnology)
Manufactures,wholesales semiconductors
Mnfr,whl graphics processors</t>
  </si>
  <si>
    <t xml:space="preserve">Metawave Corp, located in Palo
Alto, California, provides
research and development
services. It is a wireless
technology company that
focuses on wireless
communications and radar
sensing. The Company was
founded in 2017.
Infineon Technologies AG,
located in Neubiberg,
Germany, manufactures and
wholesales semiconductors
and related device. It has 4
business segments namely,
Automotive (ATV), Industrial
Power Control (IPC), Power
Management &amp; Multimarket
(PMM) and Digital Security
Solutions(DSS). Through its
ATV segment, it develops
products and solutions for
conventional drivetrains
such as insulated-gate
bipolar transistors (IGBT);
specializes in radar sensors
and microcontrollers being
used for self-driving cars;
develops LIDAR solutions for
radar systems automation;
automated controls for
steering and braking; and
host controllers for
functional safety and data
security for central
computing platforms. Through
its IPC segment, it develops
IGBT-based power
semiconductors, power
semiconductor modules,
Intelligent Power Modules
integrating controllers,
drivers, and switches. Thru
its PMM segment, it
specializes in power
semiconductors for energy
management and wireless
infrastructures for mobile
devices. Moreover, with its
DSS segment, it delivers
digital security solutions
through embedded security
applications. The Company
was founded in April 1999.
NVIDIA Corp, located in
Santa Clara, California,
manufactures and wholesales
graphics and digital media
processors for computing,
consumer electronics, and
mobile devices. It designs,
develops and markets
graphics processing units
(GPU), media and
communications processors
(MCP) and wireless media
processors (WMP). It
operates in three segments:
graphics processing, market
graphics processing and the
wireless media processors
segment. Its products are
integral to a wide variety
of visual computing
platforms, including
enterprise personal
computers, consumer PCs,
notebook PCs, cellular
phones, game consoles and
digital media centers. It
operates in the United
States, Asia Pacific and
Europe. The Company was
founded in 1993.</t>
  </si>
  <si>
    <t xml:space="preserve">8731
3674
3674</t>
  </si>
  <si>
    <t xml:space="preserve">Xerox Corp
Infineon Technologies AG
Nvidia Corp</t>
  </si>
  <si>
    <t xml:space="preserve">3579
3674
3674</t>
  </si>
  <si>
    <t xml:space="preserve">METAWAVE CORP/INFINEON TECHNOLOGIES AG/NVIDIA CORP-STRATEGIC ALLIANCE</t>
  </si>
  <si>
    <t xml:space="preserve">Metawave Corp, Infineon Technologies AG and NVIDIA Corp formed a strategic
alliance was to deliver a faster and safer road to autonomous driving.</t>
  </si>
  <si>
    <t xml:space="preserve">7F4133
45662N
67066G</t>
  </si>
  <si>
    <t xml:space="preserve">Ablexis LLC
Memorial Sloan-Kettering Ctr</t>
  </si>
  <si>
    <t xml:space="preserve">Provides biotech research services
Own,op hosp</t>
  </si>
  <si>
    <t xml:space="preserve">Ablexis LLC, located in San
Diego, California, provides
biotechnology research
services. It develops a
platform for human
therapeutic antibody drug
discovery. The Company
offers AlivaMab Mouse, a
transgenic mouse platform
that provides the foundation
for the discovery and
development of human
therapeutic antibodies to
treat human diseases.
Own and operate hospitals</t>
  </si>
  <si>
    <t xml:space="preserve">Deerfield Management Co LP
Memorial Sloan-Kettering Ctr</t>
  </si>
  <si>
    <t xml:space="preserve">6799
8069</t>
  </si>
  <si>
    <t xml:space="preserve">ABLEXIS LLC/MEMORIAL SLOAN-KETTERING-STRATEGIC ALLIANCE</t>
  </si>
  <si>
    <t xml:space="preserve">Ablexis LLC and Memorial Sloan-Kettering Cancer Center planned to form a
strategic alliance.The purpose of strategic alliance were to research,
develop and commercialize, with rights to sub-license, certain AlivaMab
antibodies against a specific target.</t>
  </si>
  <si>
    <t xml:space="preserve">2F9607
58601X</t>
  </si>
  <si>
    <t xml:space="preserve">Cornerstone OnDemand Inc
Hec Paris Bus School</t>
  </si>
  <si>
    <t xml:space="preserve">Develops prepackaged software
Colleges, Universities, and Professional Schools</t>
  </si>
  <si>
    <t xml:space="preserve">Cornerstone OnDemand Inc,
located in Santa Monica,
California, develops
prepackaged software. It
provides a unified cloud
platform to recruit, train,
and manage people. The
Company was founded in May
24, 1999.
Hec Paris Business School is
a college operator. The
Company is located in
Jouy-en-Josas, France.</t>
  </si>
  <si>
    <t xml:space="preserve">CORNERSTONE ONDEMAND INC/HEC PARIS BUSINESS SCHOOL-STRATEGIC ALLIANCE</t>
  </si>
  <si>
    <t xml:space="preserve">Cornerstone OnDemand Inc and Hec Paris Business School planned to form a
strategic alliance in France to Build the Digital Human Resources of the
Future for a new research project, focusing on human resources and human
capital management through exhaustive data analysis. The objective of the
project is to help European leaders understand the latest technological
breakthroughs in the new digital economy, and the benefits of implementing
cloud-based HRM tools to manage recruiting, training, performance
management and employee engagement.</t>
  </si>
  <si>
    <t xml:space="preserve">Research &amp; Development Services
Management Services
Data Processing Services</t>
  </si>
  <si>
    <t xml:space="preserve">21925Y
0J2188</t>
  </si>
  <si>
    <t xml:space="preserve">GenAhead Bio Inc
ERS Genomics Ltd</t>
  </si>
  <si>
    <t xml:space="preserve">GenAhead Bio Inc is a
manufacturer of
pharmaceutical preparation.
The Company was founded in
February 2018 and is located
in Fujisawa-Shi, Japan.
ERS Genomics Ltd is a
manufacturer of biological
products. The Company
provides broad access to the
foundational CRISPR-Cas9
intellectual property. The
Company was founded in 2014
and is located in Dublin,
the Republic of Ireland.</t>
  </si>
  <si>
    <t xml:space="preserve">GENAHEAD BIO INC/ERS GENOMICS LTD-STRATEGIC ALLIANCE</t>
  </si>
  <si>
    <t xml:space="preserve">GenAhead Bio Inc and Ers Genomics Ltd planned to form a strategic alliance.
The purpose of strategic alliance were to offer a highly efficient and
accurate platform for genome editing.</t>
  </si>
  <si>
    <t xml:space="preserve">0J2181
5F0103</t>
  </si>
  <si>
    <t xml:space="preserve">Asian Development Bank
Organisation For Econ Co-Op</t>
  </si>
  <si>
    <t xml:space="preserve">Non-govrnment agency
Professional and Management Development Training</t>
  </si>
  <si>
    <t xml:space="preserve">Asian Development Bank,
located in Mandaluyong,
Philippines, is a
non-government agency focusing
on providing loans and
technical assistance for a
broad range of development
activities. The Company's main
scope of services include
covering agriculture and
natural resources, education,
energy, finance, health and
nutrition, social protection,
industry and trade, law,
economic management, public
policy transport and
communications, water supply,
sanitation, and waste
management. The Company
provides different forms of
assistance to governments and
private enterprises in its
developing member countries
through loans, technical
assistance, grants,
guarantees, and equity
investments. The Company was
founded in 1966.
located in Paris, France.</t>
  </si>
  <si>
    <t xml:space="preserve">999G
8299</t>
  </si>
  <si>
    <t xml:space="preserve">Philippines
France</t>
  </si>
  <si>
    <t xml:space="preserve">ASIAN DEVELOPMENT BANK/ORGANIS COOPERATION DEVELOPP ECONOMIQUE-STRATEGIC
ALLIANCE</t>
  </si>
  <si>
    <t xml:space="preserve">France
Philippines</t>
  </si>
  <si>
    <t xml:space="preserve">Asian Development Bank and ORGANIS COOPERATION DEVELOPP ECONOMIQUE planned
to form a strategic alliance. The purpose of strategic alliance is to
deepen their collaboration in promoting effective development policies and
programs in Asia and the Pacific.</t>
  </si>
  <si>
    <t xml:space="preserve">045167
0J2342</t>
  </si>
  <si>
    <t xml:space="preserve">Sayaji Ingritech LLP
Alland &amp; Robert</t>
  </si>
  <si>
    <t xml:space="preserve">All Other Miscellaneous Food Manufacturing
All Other Miscellaneous Food Manufacturing</t>
  </si>
  <si>
    <t xml:space="preserve">Sayaji Ingritech LLP is a
manufacturer of foods. The
Company is located in
Ahmedabad, India.
Alland &amp; Robert is a
manufacturer of foods. The
Company is located in Paris,
France.</t>
  </si>
  <si>
    <t xml:space="preserve">2099
2099</t>
  </si>
  <si>
    <t xml:space="preserve">Sayaji Industries Ltd
Alland &amp; Robert</t>
  </si>
  <si>
    <t xml:space="preserve">2046
2099</t>
  </si>
  <si>
    <t xml:space="preserve">SAYAJI INGRITECH LTD/ALLAND &amp; ROBERT-STRATEGIC ALLIANCE</t>
  </si>
  <si>
    <t xml:space="preserve">Sayaji Ingritech Ltd and Alland Robert planned to form a strategic
alliance. The purpose of strategic alliance is to provide the technological
and gum processing expertise to provide its customers with a quality
product that is currently not being produced in India.</t>
  </si>
  <si>
    <t xml:space="preserve">0J2695
0J0979</t>
  </si>
  <si>
    <t xml:space="preserve">Archos SA
Joyan Hong Kong Ltd</t>
  </si>
  <si>
    <t xml:space="preserve">Manufacture, wholesale electronic equipment
Other Electronic Component Manufacturing</t>
  </si>
  <si>
    <t xml:space="preserve">Archos SA, based in Igny,
France, manufactures and
wholesales electronic
equipment like internet
tablets, notebooks and
MP3/MP4 players. It was
founded in 1988.
Joyan Hong Kong Ltd is a
manufacturer of electronic
components. The Company is
located in Hong Kong.</t>
  </si>
  <si>
    <t xml:space="preserve">France
Hong Kong</t>
  </si>
  <si>
    <t xml:space="preserve">ARCHOS SA/JOYAN HONG KONG LTD-STRATEGIC ALLIANCE</t>
  </si>
  <si>
    <t xml:space="preserve">Archos SA and Joyan Hong Kong Ltd formed a strategic alliance.The purpose
of the strategic alliance is to involves the provision of products to
ARCHOS and the establishment of a collaboration for the development of new
products in the areas of mobile solutions, the Internet of Things,
artificial intelligence and blockchain products.</t>
  </si>
  <si>
    <t xml:space="preserve">03962Y
0J2083</t>
  </si>
  <si>
    <t xml:space="preserve">Smardt Chiller Group Inc
Tica Climate Solutions Ltd</t>
  </si>
  <si>
    <t xml:space="preserve">Pvd refrigeration tech svcs
Recyclable Material Merchant Wholesalers</t>
  </si>
  <si>
    <t xml:space="preserve">Smardt Chiller Group Inc,
located in Plattsburgh, New
York, provides refrigeration
technology services.
Tica Climate Solutions Ltd
is a recyclable material
wholesaler. The Company is
located in Nanjing, China.</t>
  </si>
  <si>
    <t xml:space="preserve">1711
5093</t>
  </si>
  <si>
    <t xml:space="preserve">SMARDT CHILLER GROUP INC/TICA CLIMATE SOLUTIONS LTD-JOINT VENTURE</t>
  </si>
  <si>
    <t xml:space="preserve">Canada
Australia
United States
China
Germany</t>
  </si>
  <si>
    <t xml:space="preserve">Foreign
Foreign
New York
Foreign
Foreign</t>
  </si>
  <si>
    <t xml:space="preserve">Smardt Chiller Group Inc and Tica Climate Solutions Ltd formed joint
venture to accelerate development of comprehensive oil-free solutions in
its key global markets of metros, data centres, pharmaceutical,
manufacturing, healthcare, automotive, hotels, district cooling and process
cooling..</t>
  </si>
  <si>
    <t xml:space="preserve">79032M
0J1312</t>
  </si>
  <si>
    <t xml:space="preserve">Literature Wales
WISERD
Literary Atlas</t>
  </si>
  <si>
    <t xml:space="preserve">Other Individual and Family Services
Research and Development in The Social Sciences and Humanities
Internet Publishing and Broadcasting and Web Search Portals</t>
  </si>
  <si>
    <t xml:space="preserve">Literature Wales is a
provider of individual and
family services. The Company
is located in the United
Kingdom.
Wales Institute Of Social &amp;
Economic Research Data &amp;
Methods (Wiserd) is a
provider of social sciences
research and development
services. The Company is
located in the United
Kingdom.
Literary Atlas is an
internet portal operator.
The Company is located in
the United Kingdom.</t>
  </si>
  <si>
    <t xml:space="preserve">8322
8731
2711</t>
  </si>
  <si>
    <t xml:space="preserve">LITERATURE WALES/WALES INSTITUTE OF SOCIAL &amp; ECONOMIC RESEARCH DATA &amp;
METHODS (WISERD)/LITERARY ATLAS-STRATEGIC ALLIANCE</t>
  </si>
  <si>
    <t xml:space="preserve">Literature Wales, Wales Institute Of Social Economic Research Data Methods
(Wiserd) and Literary Atlas planned to form a strategic alliance. The
purpose of strategic alliance were to do research and development and to
follow each plotline around Wales and the world, exploring every place that
has shaped the novels.</t>
  </si>
  <si>
    <t xml:space="preserve">0J4432
0J4444
0J4446</t>
  </si>
  <si>
    <t xml:space="preserve">UK Workplace Solutions Ltd
Liquidspace Inc</t>
  </si>
  <si>
    <t xml:space="preserve">Investment Advice
Software Publishers</t>
  </si>
  <si>
    <t xml:space="preserve">UK Workplace Solutions Ltd
is a investment advisor. The
Company was founded in
December 2012 and is located
in Glenfield, the United
Kingdom.
LiquidSpace, Inc. is a
United States-based company
that operates an online
marketplace that helps
everyone to find a space to
work or meet. The Company
provides a mobile/Web
application that connects
people seeking workspace
with venues offering
workspaces to share. It
allows browsing, reserving,
and checking in to co
working venues, business
centers, handy hotel lobbies
or libraries. Its mobile
application is available on
iPhone, iPad and Android.</t>
  </si>
  <si>
    <t xml:space="preserve">Devere Group Ltd
Liquidspace Inc</t>
  </si>
  <si>
    <t xml:space="preserve">UK WORKPLACE SOLUTIONS LTD/LIQUIDSPACE INC-STRATEGIC ALLIANCE</t>
  </si>
  <si>
    <t xml:space="preserve">UK Workplace Solutions Ltd and LiquidSpace Inc planned to form a strategic
alliance in United States to bring the LiquidSpace technology and
transaction platform to the Workplace Solutions network, invigorating the
nation's underserved demand for flexible office..</t>
  </si>
  <si>
    <t xml:space="preserve">Software Development Services
Research &amp; Development Services
Computer Programming Services</t>
  </si>
  <si>
    <t xml:space="preserve">6H2178
9H2959</t>
  </si>
  <si>
    <t xml:space="preserve">Microsoft Azure
Eagle Genomics Ltd</t>
  </si>
  <si>
    <t xml:space="preserve">Data Processing, Hosting, and Related Services
Software Publishers</t>
  </si>
  <si>
    <t xml:space="preserve">Microsoft Azure is a
provider of data processing
and hosting services. The
Company is located in
Washington.
Eagle Genomics Ltd is a
United Kingdom-based
software company. The
Company develops products
and services that allow its
clients to organize, analyze
and manage genomic data. It
helps life sciences
companies conducting
genomics research to bring
new candidate medicines,
therapies and products to
patients. It specializes in
bioinformatics,
computational and systems
biology. Its products
include eaglecore,
eaglediscover and
eaglensembl. eaglecore
offers an integrated
Web-based solution for
information management of
large-scale experimental
datasets. Set up as a
central hub and cataloguing
structure, eaglecore,
manages and monitors
experimental information
within and between
organizations. eaglediscover
is a Web-based platform for
the measurement and
profiling of data value.
eaglediscover (working with
eaglecore) guides
information management
strategies. eaglensembl is a
genome browser. eaglensembl
includes customization and
integration of managed
software and data.</t>
  </si>
  <si>
    <t xml:space="preserve">MICROSOFT AZURE/EAGLE GENOMICS LTD-STRATEGIC ALLIANCE</t>
  </si>
  <si>
    <t xml:space="preserve">Microsoft Azure and Eagle Genomics Ltd formed a strategic alliance. The
purpose of the strategic alliance is to popularize the anti-bacterial
products, pesticides and antibiotics in the last century has caused
widespread microbial imbalance and impairment.</t>
  </si>
  <si>
    <t xml:space="preserve">9H9297
0J0930</t>
  </si>
  <si>
    <t xml:space="preserve">Active Energy Group PLC
Georgia Renewable Power Llc</t>
  </si>
  <si>
    <t xml:space="preserve">Renewable energy company
Crude Petroleum and Natural Gas Extraction</t>
  </si>
  <si>
    <t xml:space="preserve">Active Energy Group PLC,
located in London, the
United Kingdom, is a
renewable energy company
focused on second generation
biomass products. It has two
operating business segments:
Forestry and Natural
Resources, which denotes its
initiatives to secure
ownership of the entire
timber supply chain from
forest to finished product,
and CoalSwitch/PeatSwitch,
which denotes its renewable
wood pellet and soil
replacement business. The
Company was founded in 1996.
Georgia Renewable Power LLC
is engaged in the crude
petroleum and natural gas
services business. The
Company is located in
Georgia.</t>
  </si>
  <si>
    <t xml:space="preserve">ACTIVE ENERGY GROUP PLC/GEORGIA RENEWABLE POWER LLC-JOINT VENTURE</t>
  </si>
  <si>
    <t xml:space="preserve">Active Energy Group PLC and Georgia Renewable Power LLC formed joint
venture in United States for the commercial development of AEGs proprietary
Coal Switch black pellet technology and fuel into operational power plants.
The joint venture will install AEGs CoalSwitch manufacturing facilities at
each of GRPs three biomass-to-energy power plant sites in North Carolina
and Georgia, which combined, total around 165 MWe of generating capacity.</t>
  </si>
  <si>
    <t xml:space="preserve">Gas Utility Services
Research &amp; Development Services</t>
  </si>
  <si>
    <t xml:space="preserve">12374J
0J0739</t>
  </si>
  <si>
    <t xml:space="preserve">OMV AG
Schlumberger Ltd</t>
  </si>
  <si>
    <t xml:space="preserve">OMV AG, located in Vienna,
Austria, is an oil and gas
company. It operates through
two segments: upstream and
downstream. It is also a
holding Company. The
upstream segment focuses on
the exploration, development
and production of oil and
gas in three core regions:
Central and Eastern Europe
(CEE), the North Sea, as
well as the Middle East and
Africa. The Company owns
proven reserves of
approximately 1.03 billion
barrel of oil equivalent
(boe) and has a production
capacity of over 300
thousand barrel of oil
equivalent per day (kboe/d).
The downstream segment
comprises two business
units: downstream oil, that
operates around 3,800
filling stations in
approximately 10 countries,
refineries in Austria and
Germany, both of which
feature integrated
petrochemical production, as
well as the Petrobrazi
refinery in Romania, which
processes predominantly
Romanian crude oil, and
downstream gas, that focuses
on gas trade and sales, as
well as owns a pipeline
network and gas storage
facilities in Austria. The
Company was founded in 1956.
Schlumberger Ltd, located in
Houston, Texas, provides
software development and
information management
services to the oil and gas
exploration and production
industry. The Company offers
technology products and
services for seismic
acquisition and processing,
formation evaluation, well
testing, directional drilling
to well cementing and
stimulation, artificial lift
and well completions and
consulting. The Company
operates in more than 85
countries and employing
approximately 100,000 people
who represent over 140
nationalities. The Company was
founded in 1956.</t>
  </si>
  <si>
    <t xml:space="preserve">OMV AG/SCHLUMBERGER LTD-STRATEGIC ALLIANCE</t>
  </si>
  <si>
    <t xml:space="preserve">OMV AG and Schlumberger Ltd formed a strategic alliance. The purpose of
strategic alliance were to evaluate collaboration models for digital
solutions.</t>
  </si>
  <si>
    <t xml:space="preserve">Research &amp; Development Services
Software Development Services
Oil and Gas; Petroleum Services</t>
  </si>
  <si>
    <t xml:space="preserve">670875
806857</t>
  </si>
  <si>
    <t xml:space="preserve">Rx Savings LLC
Sap N America</t>
  </si>
  <si>
    <t xml:space="preserve">RX Savings LLC is a United
States-based software
company. The Company is
focused on providing
clinically-based, proactive
prescription advice. The
Company offers a patented
software system encouraging
employers and their members
to be educated consumers of
healthcare. The Company
offers a range of solutions
such as for health plans,
for employers, and for
employees.
Sap North America is a
software publisher. The
Company is located in
Pennsylvania.</t>
  </si>
  <si>
    <t xml:space="preserve">KS
PA</t>
  </si>
  <si>
    <t xml:space="preserve">Rx Savings LLC
SAP SE</t>
  </si>
  <si>
    <t xml:space="preserve">RX SAVINGS LLC/SAP NORTH AMERICA-STRATEGIC ALLIANCE</t>
  </si>
  <si>
    <t xml:space="preserve">Rx Savings LLC and Sap North America planned to form a strategic alliance
in United States to lower prescription drug costs to help the enterprise
software leader's 20,000 U.S. employees reduce prescription drug spend. The
innovative, patented RxSS engagement software system empowers employers and
employees to become better healthcare consumers.</t>
  </si>
  <si>
    <t xml:space="preserve">0J1702
0J1697</t>
  </si>
  <si>
    <t xml:space="preserve">Department of Urban Planning a
JCDecaux SA</t>
  </si>
  <si>
    <t xml:space="preserve">City Government
Display Advertising</t>
  </si>
  <si>
    <t xml:space="preserve">Department of Urban Planning
and Municipalities is a city
government. The Company is
located in Abu Dhabi, the
United Arab Emirates.
JCDecaux SA, located in
Neuilly-Sur-Seine, France,
provides outdoor advertising
services such as public
service and advertising like
automatic outdoor toilets,
multi-service columns,
newspaper kiosks, city light
panels, public rubbish bins,
public benches, streetlights
and recycling bins for glass
or batteries, billboards,
scrolling panels and
illuminated billboards, and
transport line of business
covers advertising in public
transport systems, including
airports, metros, buses,
tramways and trains. The
Company was founded in 1964.</t>
  </si>
  <si>
    <t xml:space="preserve">999E
7312</t>
  </si>
  <si>
    <t xml:space="preserve">Department of Urban Planning a
JCDecaux Holding SAS</t>
  </si>
  <si>
    <t xml:space="preserve">999E
6799</t>
  </si>
  <si>
    <t xml:space="preserve">DEPARTMENT OF URBAN PLANNING AND MUNICIPALITIES/JCDECAUX SA-STRATEGIC
ALLIANCE</t>
  </si>
  <si>
    <t xml:space="preserve">Department of Urban Planning and Municipalities and JCDecaux SA planned to
form a strategic alliance was to focus on Research and Development for the
delivery of urban services that contribute towards a sustainable urban
environment in Abu Dhabi to enhance the quality of life of citizens and
residents alike.</t>
  </si>
  <si>
    <t xml:space="preserve">0J1078
46643M</t>
  </si>
  <si>
    <t xml:space="preserve">Tripwire Inc
Lastline Inc</t>
  </si>
  <si>
    <t xml:space="preserve">Pvd info tech security svcs
Provides network security products and services</t>
  </si>
  <si>
    <t xml:space="preserve">Tripwire Inc, located in
Portland, Oregon, develops
security and compliance
solutions. It has operations
in North America, EMEA, and
Asia. The company was
incorporated in September
1997.
Lastline Inc, located in San
Mateo, California, provides
network security products
and services that detect and
defeat advanced
cyberattacks. The Company
was founded in 2011.</t>
  </si>
  <si>
    <t xml:space="preserve">7376
7379</t>
  </si>
  <si>
    <t xml:space="preserve">Belden Inc
Lastline Inc</t>
  </si>
  <si>
    <t xml:space="preserve">3357
7379</t>
  </si>
  <si>
    <t xml:space="preserve">TRIPWIRE INC/LASTLINE INC-STRATEGIC ALLIANCE</t>
  </si>
  <si>
    <t xml:space="preserve">Tripwire Inc and Lastline Inc planned to form a strategic alliance in
United States to enhances Tripwire Malware Detection Service with Lastlines
industry leading advanced malware analysis technology. Tripwires resulting
solution combines Lastline malware analysis with Tripwire Enterprise's
change detection capabilities to identify malware as soon as it is
introduced to a system.</t>
  </si>
  <si>
    <t xml:space="preserve">89689R
5F2109</t>
  </si>
  <si>
    <t xml:space="preserve">Duo Sec Inc
Exabeam Inc</t>
  </si>
  <si>
    <t xml:space="preserve">Provide information tech svcs
Provides security intelligence services</t>
  </si>
  <si>
    <t xml:space="preserve">Duo Security Inc,
headquartered in Plymouth,
Michigan, provides security
solutions for organizations.
The Company provides
cloud-based two-factor
authentication solutions to
organizations across the
world, including Facebook,
Etsy, Random House,
Paramount Pictures, Box,
Toyota, Yelp and Threadless.
The Company's solutions
support authentication
through mobile application,
short message service (SMS)
passcodes, phone call back,
bypass codes, universal 2nd
factor (U2F) and hardware
tokens. It integrates with a
range of devices and
applications, such as
virtual private networks
(VPN), cloud application and
on premise applications. The
Company also provides fraud
alerts, security logs and
user and device reports. It
has locations across the US
and in London.
Exabeam Inc, headquartered
in San Mateo, California,
provides security
intelligence and management
solutions to help
organizations protect their
information. The Company was
founded in 2013.</t>
  </si>
  <si>
    <t xml:space="preserve">7376
7382</t>
  </si>
  <si>
    <t xml:space="preserve">Cisco Systems Inc
Exabeam Inc</t>
  </si>
  <si>
    <t xml:space="preserve">3577
7382</t>
  </si>
  <si>
    <t xml:space="preserve">DUO SECURITY INC/EXABEAM INC-STRATEGIC ALLIANCE</t>
  </si>
  <si>
    <t xml:space="preserve">Duo Security Inc and Exabeam Inc planned to form a strategic alliance in
United States to enhance and accelerate organizations threat protection
with data-rich automated monitoring and incident response. The integrated
solution, which combines Duos authentication and device logs with Exabeams
Security Management Platform, helps free up time and resources for
overstretched security teams by providing higher accuracy alerts, reducing
time to detection and orchestrating automated response in case of anomalous
behavior.</t>
  </si>
  <si>
    <t xml:space="preserve">9F2426
8F6418</t>
  </si>
  <si>
    <t xml:space="preserve">Rategain Travel Tech Pvt Ltd
Hms Infotech Pvt Ltd</t>
  </si>
  <si>
    <t xml:space="preserve">Rategain Travel Technology
Pvt Ltd is a software
publisher. The Company is
located in Noida, India.
Hms Infotech Pvt. Ltd, also
known as Hotelogix, is an
India-based company, which
develops Web-based property
management system (PMS). The
Company's PMS is designed
to provide solutions to
mid-market hotels and hotel
chains, resorts, boutique
hotels, service apartments
and hostels. PMS allows
users to access a central
dashboard that provides
control over their hotel's
distribution channels. The
system centralizes
operations of a property,
including their
reservations, front desk,
housekeeping, spa,
restaurant, groups bookings
and other point of sale
(POS).. The Company is
located in India.</t>
  </si>
  <si>
    <t xml:space="preserve">RATEGAIN TRAVEL TECHNOLOGY PVT LTD/HMS INFOTECH PVT LTD-STRATEGIC ALLIANCE</t>
  </si>
  <si>
    <t xml:space="preserve">Rategain Travel Technology Pvt Ltd and HMS Infotech Pvt Ltd planned to form
a strategic alliance in India to help hotels across the world distribute
inventory in real-time. The partnership would establish a two-way
connectivity, where rates and availability from the Hotelogix PMS will
automatically be pushed to RezGain, RateGains Channel Management platform
for distribution across all the connected demand partners.</t>
  </si>
  <si>
    <t xml:space="preserve">Computer Integrated Systems Svcs
Data Processing Services
Research &amp; Development Services</t>
  </si>
  <si>
    <t xml:space="preserve">9H3415
2H7280</t>
  </si>
  <si>
    <t xml:space="preserve">Minotaur Exploration Ltd
Undisclosed JV Partner</t>
  </si>
  <si>
    <t xml:space="preserve">Gold,copper,zinc mining co
Investment company</t>
  </si>
  <si>
    <t xml:space="preserve">Minotaur Exploration Ltd,
located in Adelaide,
Australia, is a gold,
copper, and zinc exploration
and mining company. It
principally focuses on the
Tunkillia gold project and
copper-gold projects in the
western Gawler Craton and
Queensland. Its investment
portfolio include the
projects Eloise JV,
Highlands in
Kalkadoon-Leichhardt domain,
Cloncurry, Windsor
Polymetallic, Osborne Jogmec
JV, Poochera Kaolin, Muster
Dam Magnetite, and Saints
Nickel.
Investment company</t>
  </si>
  <si>
    <t xml:space="preserve">MINOTAUR EXPLORATION LTD/UNDISCLOSED PARTNER-JOINT VENTURE</t>
  </si>
  <si>
    <t xml:space="preserve">Minotaur Exploration Ltd and Undisclosed Joint Venture Partner formed joint
venture,Minotaur Exploration has entered a new exploration joint venture
with a private entity .</t>
  </si>
  <si>
    <t xml:space="preserve">60433N
904JVP</t>
  </si>
  <si>
    <t xml:space="preserve">CK Hutchison Holdings Ltd
Meitu Inc</t>
  </si>
  <si>
    <t xml:space="preserve">Port and Harbor Operations
Software Publishers</t>
  </si>
  <si>
    <t xml:space="preserve">CK Hutchison Holdings Ltd,
located in Hong Kong, is an
investment holding company.
It is engaged in the retail
business. Along with
subsidiaries, the Company
operates its business
through five segments: the
Retail segment, the
Telecommunications segment,
the Infrastructure segment,
the Ports and Related
Services segment, and the
Husky Energy segment. The
Retail segment is involved
in the manufacturing and
sale of health and beauty
products, as well as
consumer electronics and
electrical appliances. It
also operates supermarkets,
as well as manufactures and
distributes bottled water
and beverage products. The
Telecommunications segment
provides mobile
telecommunications and data
services by 3 Group Europe,
Hutchison Telecommunications
Hong Kong Holdings, and
Hutchison Asia
Telecommunications. The
Infrastructure segment is
involved in the energy
infrastructure,
transportation
infrastructure, water
infrastructure, waste
management, waste-to-energy
and infrastructure related
businesses.The Company was
founded on March 18, 2015.
Meitu Inc is a software
publisher and manufacturer
of mobile phones and
cameras. The company has
developed the apps like
MeituPic, Meipai,
SelfieCity, BeautyCam,
BeautyPlus, Airbrush and
MakeupPlus etc. The Company
was founded in October 2008
and is located in Xiamen,
China.</t>
  </si>
  <si>
    <t xml:space="preserve">4491
7372</t>
  </si>
  <si>
    <t xml:space="preserve">CK HUTCHISON HOLDINGS LTD/MEITU INC-STRATEGIC ALLIANCE</t>
  </si>
  <si>
    <t xml:space="preserve">CK Hutchison Holdings Ltd and Meitu Inc planned to form a strategic
alliance was to build a new business model integrating social media and
retail.</t>
  </si>
  <si>
    <t xml:space="preserve">Research &amp; Development Services
Retail &amp; Wholesale Services
Internet Services
Data Processing Services</t>
  </si>
  <si>
    <t xml:space="preserve">5C5727
9C7969</t>
  </si>
  <si>
    <t xml:space="preserve">United Therapeutics Corp
Mannkind Corp</t>
  </si>
  <si>
    <t xml:space="preserve">United Therapeutics Corp is
a biotechnology company
focused on the development
and commercialization of
products for patients with
chronic and life-threatening
diseases. It manufactures
pharmaceuticals to treat
cardiovascular, inflammatory
and infectious diseases. Its
products include Remodulin,
inhaled and oral
Treprostinil, Beraprost-MR,
and inhaled Treprostinil
with AERx essence for the
treatment of pulmonary
arterial hypertension. The
Company was founded in 1996
and is located in Silver
Spring, Maryland.
MannKind Corp is a provider
of biotechnology research
and development services. It
focuses on the discovery,
development and
commercialization of
therapeutic products for
diseases such as diabetes
and cancer. The Company was
founded in February 1991 and
is located in Westlake
Village, California.</t>
  </si>
  <si>
    <t xml:space="preserve">UNITED THERAPEUTICS CORP/MANNKIND CORP-STRATEGIC ALLIANCE</t>
  </si>
  <si>
    <t xml:space="preserve">United Therapeutics Corp and Mannkind Corp formed a strategic alliance for
the development and commercialization of Treprostinil Technosphere in the
United States.</t>
  </si>
  <si>
    <t xml:space="preserve">91307C
56400P</t>
  </si>
  <si>
    <t xml:space="preserve">Tikehau Capital SCA
DWS Group GmbH &amp; Co KGaA</t>
  </si>
  <si>
    <t xml:space="preserve">Financial Sponsor
Investment Advice</t>
  </si>
  <si>
    <t xml:space="preserve">Tikehau Capital SCA is a
private equity firm, asset
management and investment
company. The Company
operates through four
segments: Private Debt,
which includes debt
financing transactions, such
as senior debt, unitranche
and mezzanine, as well as
collateralized loan
obligations; Real Estate,
which focuses on commercial
property and seeks sale and
lease-back transactions in
which the Groups vehicles
act as purchaser; Private
Equity, which encompasses
investments in the equity
capital of listed and
non-listed companies, and
Liquid Strategies, which
comprises investments in
bonds, investment grade
securities and the
management of open-ended
funds. The Company was
founded in 2004 and is
located in Paris, France.
DWS Group GmbH &amp; Co KGaA is
a investment advisor. The
Company was founded in 1956
and is located in Frankfurt,
Germany. DWS Group GmbH &amp; Co
KGaA operates as an asset
management firm. The Company
offers institutional and
private investors a broad
range of products and
services which includes
investment and digital
solutions, equity and real
estate funds, and
retirement.It provides asset
management services in 22
countries worldwide.</t>
  </si>
  <si>
    <t xml:space="preserve">6799
6282</t>
  </si>
  <si>
    <t xml:space="preserve">Tikehau Capital SCA
Deutsche Bank AG</t>
  </si>
  <si>
    <t xml:space="preserve">6799
6000</t>
  </si>
  <si>
    <t xml:space="preserve">TIKEHAU CAPITAL SCA/DWS GROUP GMBH &amp; CO KGAA-STRATEGIC ALLIANCE</t>
  </si>
  <si>
    <t xml:space="preserve">Tikehau Capital SCA and Dws Group GmbH Co KGaA formed a strategic alliance
in France &amp; Germany to identify and develop various business opportunities.
It also creates a framework to deliver significant added-value based on our
respective expertise.</t>
  </si>
  <si>
    <t xml:space="preserve">Research &amp; Development Services
Investment Services
Marketing Services</t>
  </si>
  <si>
    <t xml:space="preserve">2F4015
2H8489</t>
  </si>
  <si>
    <t xml:space="preserve">China Three Gorges Corp
ACS</t>
  </si>
  <si>
    <t xml:space="preserve">Electric utility
Provide construction services</t>
  </si>
  <si>
    <t xml:space="preserve">China Three Gorges Corp is a
hydroelectric power
generation facility
operator. The Company was
founded in September 1993
and is located in Beijing,
China.
Actividades de Construccion
y Servicios SA, located in
Madrid, Spain, provides
construction and
infrastructure management
services. It also provides
other services related to
energy, telecommunications,
e-commerce and sanitation.
The Company was founded on
October 3, 1942.</t>
  </si>
  <si>
    <t xml:space="preserve">China
Spain</t>
  </si>
  <si>
    <t xml:space="preserve">CHINA THREE GORGES CORP/ACTIVIDADES DE CONSTRUCCION Y SERVICIOS
SA-STRATEGIC ALLIANCE</t>
  </si>
  <si>
    <t xml:space="preserve">Dem Rep Congo</t>
  </si>
  <si>
    <t xml:space="preserve">China Three Gorges Corp and Actividades de Construccion y Servicios SA
planned to form a strategic alliance to develop a US$14bn hydropower
project in the Congo.</t>
  </si>
  <si>
    <t xml:space="preserve">Water Utility Services
Research &amp; Development Services</t>
  </si>
  <si>
    <t xml:space="preserve">The Strategic Alliance was to have a capitalization of 14 billion USD</t>
  </si>
  <si>
    <t xml:space="preserve">17060E
00511W</t>
  </si>
  <si>
    <t xml:space="preserve">Eni SpA
Federico Ii Univ Of Naples</t>
  </si>
  <si>
    <t xml:space="preserve">Petroleum Refineries
Colleges, Universities, and Professional Schools</t>
  </si>
  <si>
    <t xml:space="preserve">Eni SpA, located in Rome,
Italy, is engaged in the
exploration, development and
production of hydrocarbons.
It supplies and markets gas,
liquefied natural gas and
power. It provides refining
and marketing of petroleum
products; and produces and
markets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 The Company was
founded in December 1953.
located in Napoli, Italy.</t>
  </si>
  <si>
    <t xml:space="preserve">ENI SPA/FEDERICO II UNIVERSITY OF NAPLES-STRATEGIC ALLIANCE</t>
  </si>
  <si>
    <t xml:space="preserve">Eni SpA and Federico Ii University Of Naples planned to form a strategic
alliance in Italy to focus on research and development sectors for which
the concepts of building a circular economy and Industry 4.0 rely.The
three-year collaboration will involve taking advantage of research sectors
in which the University excels. These include several R&amp;D topics related to
the Industry 4.0 concept and include industrial automation and advanced
robotics, technologies for the development of green energies, big data &amp;
analytics, and innovative materials for optimising production processes.</t>
  </si>
  <si>
    <t xml:space="preserve">26874R
0J1379</t>
  </si>
  <si>
    <t xml:space="preserve">Vapour Media Ltd
Virtual1 Ltd</t>
  </si>
  <si>
    <t xml:space="preserve">Software Publishers
Computer Systems Design Services</t>
  </si>
  <si>
    <t xml:space="preserve">Vapour Media Ltd is provides
cloud technology solutions.
The company qualifies,
designs, implements, installs,
and monitors clients networks;
and provides single site to
multi-site WAN, encompassing
data, voice, and SaaS
services. The Company was
founded in March 2013 and is
located in Halifax, the United
Kingdom.
Virtual1 Ltd is a provider
of computer systems design
services. The Company is
located in the United
Kingdom.</t>
  </si>
  <si>
    <t xml:space="preserve">Everycloud Technologies Ltd
Virtual1 Ltd</t>
  </si>
  <si>
    <t xml:space="preserve">VAPOUR MEDIA LTD/VIRTUAL1 LTD-STRATEGIC ALLIANCE</t>
  </si>
  <si>
    <t xml:space="preserve">Vapour Media Ltd and Virtual1 Ltd planned to form a strategic alliance in
United Kingdom to develop and offer customers high-capacity, low-latency
connectivity.</t>
  </si>
  <si>
    <t xml:space="preserve">0E9673
0J1364</t>
  </si>
  <si>
    <t xml:space="preserve">Genialis Inc
F Hoffmann-La Roche Ltd</t>
  </si>
  <si>
    <t xml:space="preserve">Genialis Inc is a provider
of data processing and
hosting services. The
Companyis a data science
company based in San Ramon,
California, Houston, Texas,
and Ljubljana, Slovenia.
Genialis team of biologists
and data scientists is
passionate about helping
realize the promise of
precision medicine.
Recognizing that each
patients biology is their
own, Genialis champions an
approach to developing model
that consider diverse data
in concert with focused
experiments and trials. The
Company was founded in 2011
and is located in Houston,
Texas.
F Hoffmann-La Roche Ltd,
located in Basel,
Switzerland, manufactures
pharmaceuticals, biological
products, medicines,
chemicals and wholesale
medical research
instruments. The Company
also provides research
services and acts as a
holding company. The Company
was founded in 1896.</t>
  </si>
  <si>
    <t xml:space="preserve">Genialis Inc
Roche Holdings AG</t>
  </si>
  <si>
    <t xml:space="preserve">GENIALIS INC/F HOFFMANN-LA ROCHE LTD-STRATEGIC ALLIANCE</t>
  </si>
  <si>
    <t xml:space="preserve">Genialis Inc and F Hoffmann-La Roche Ltd formed a strategic alliance,
Partnership was to provide researchers with a complete, streamlined
next-generation sequencing (NGS) workflow for gene expression profiling.</t>
  </si>
  <si>
    <t xml:space="preserve">9F4205
7H3783</t>
  </si>
  <si>
    <t xml:space="preserve">Nutritional High Intl Inc
Aura Health Inc</t>
  </si>
  <si>
    <t xml:space="preserve">Manufactures biological products
All Other Miscellaneous Ambulatory Health Care Services</t>
  </si>
  <si>
    <t xml:space="preserve">Nutritional High
International Inc, located
in Toronto, Canada, is a
manufacturer of biological
products. The Company was
founded in July 2004.
Aura Health Inc is a
provider of ambulatory
health care services. The
Company was founded in
September 2011 and is
located in Toronto, Canada.</t>
  </si>
  <si>
    <t xml:space="preserve">NUTRITIONAL HIGH INTERNATIONAL INC/AURA HEALTH INC-STRATEGIC ALLIANCE</t>
  </si>
  <si>
    <t xml:space="preserve">Nutritional High International Inc and Aura Health Inc planned to form a
strategic alliance to announce the development of a framework to bring
Nutritional Highs extraction and edibles technology and products to
European and Israeli markets. Nutritional High will work with Aura Health
to outfit Aura with the knowledge and expertise to extract cannabis oil
utilizing Nutritional Highs cryo ethanol process and other extraction
methods. Aura will develop health and wellness products which, in turn, may
be licensed to Nutritional High for distribution in the US. Management will
work together in the coming months to develop the business plan and
financial metrics for this partnership.</t>
  </si>
  <si>
    <t xml:space="preserve">670684
05154H</t>
  </si>
  <si>
    <t xml:space="preserve">Schindler Holding AG
Council Of Tall Bldg And</t>
  </si>
  <si>
    <t xml:space="preserve">Mnfr,whl elevators;hldg co
New Multifamily Housing Construction (Except Operative Builders)</t>
  </si>
  <si>
    <t xml:space="preserve">Schindler Management AG,
located in Ebikon,
Switzerland, manufactures
elevators, special
industrial machinery, motor
vehicle parts, railroad and
other transportation
equipment. It is also
involved in wholesale
industrial commercial
equipment and computers. The
Company provides repair and
investment management
services, owns and operates
commercial buildings. It is
a holding company. The
Company was founded in 1974.
Council Of Tall Buildings &amp;
Urban Habitat is a housing
construction company. The
Company is located in
Illinois.</t>
  </si>
  <si>
    <t xml:space="preserve">3534
1522</t>
  </si>
  <si>
    <t xml:space="preserve">SCHINDLER HOLDING AG/COUNCIL OF TALL BUILDINGS &amp; URBAN HABITAT-STRATEGIC
ALLIANCE</t>
  </si>
  <si>
    <t xml:space="preserve">Schindler Holding AG and Council Of Tall Buildings Urban Habitat planned to
form a strategic alliance.to introduce innovative robotics system which
provides a new level of worker safety and helps to improve quality.</t>
  </si>
  <si>
    <t xml:space="preserve">80673T
0J0325</t>
  </si>
  <si>
    <t xml:space="preserve">DCP Midstream LLC
Plug &amp; Play LLC</t>
  </si>
  <si>
    <t xml:space="preserve">Pvd natural gas processing svc
Provide investment management services</t>
  </si>
  <si>
    <t xml:space="preserve">DCP Midstream LLC,
headquartered in Denver,
Colorado, is a provider of
oil and natural gas
gathering, processing,
storage and marketing
services. Its primary
product is natural gas
liquids, processed and
transported through its 60
operated plants. It also
processes natural gas
liquids into ethane,
propane, butane and natural
gasoline, offering its
products to multinational
petrochemical and refining
companies as well as
regional propane sellers.
The company was founded in
1929.
Plug &amp; Play LLC is a
investment advisor. The
Company was founded in 2006
and is located in Sunnyvale,
California.</t>
  </si>
  <si>
    <t xml:space="preserve">4922
6282</t>
  </si>
  <si>
    <t xml:space="preserve">Enbridge Inc
Plug &amp; Play LLC</t>
  </si>
  <si>
    <t xml:space="preserve">4612
6282</t>
  </si>
  <si>
    <t xml:space="preserve">DCP MIDSTREAM LLC/PLUG &amp; PLAY LLC-STRATEGIC ALLIANCE</t>
  </si>
  <si>
    <t xml:space="preserve">DCP Midstream LLC and Plug Play LLC formed a strategic alliance in United
States to accelerate their digital transformation via DCP Technology
Ventures and DCP 2.0 for their Energy &amp; Sustainability Innovation Platform.
As innovation and new technology changes all aspects of lives at an extreme
speed, they need to be agile and embrace technology from entrepreneurs and
startups around the world that will affect all industries such as
Automotive, Energy, Supply Chain, etc.</t>
  </si>
  <si>
    <t xml:space="preserve">23170K
6F5145</t>
  </si>
  <si>
    <t xml:space="preserve">Groupon Inc
Ingresso Group Ltd
Accesso Technology Group</t>
  </si>
  <si>
    <t xml:space="preserve">Provides online mktg svcs
Provide information tech svcs
Software Publishers</t>
  </si>
  <si>
    <t xml:space="preserve">Groupon Inc, located in
Chicago, Illinois, provides
online marketing services.
Its main business is based
on collective buying power
to secure discounts on
activities, meals and goods
for their customers. These
discounts are available in
cities in the US, Canada and
Europe. The Company was
founded in 2008.
Ingresso Group Ltd is a
technology company built a
global distribution system for
the entertainment industry.
The Company is located in
London, the United Kingdom.
Accesso Technology Group
PLC, headquartered in
Twyford, the United Kingdom,
develops Twyford, the United
Kingdom. electronic queuing,
messaging and location
tracking systems.</t>
  </si>
  <si>
    <t xml:space="preserve">7375
7376
7376</t>
  </si>
  <si>
    <t xml:space="preserve">Groupon Inc
Accesso Technology Group
Accesso Technology Group</t>
  </si>
  <si>
    <t xml:space="preserve">GROUPON INC/INGRESSO GROUP LTD/ACCESSO TECHNOLOGY GROUP PLC-STRATEGIC
ALLIANCE</t>
  </si>
  <si>
    <t xml:space="preserve">Groupon Inc and Ingresso Group Ltd planned to form a strategic alliance in
United States to utilize the Ingresso technology platform allowing for a
more seamless mobile experience across Ingresso's supplier network. As one
of the biggest marketplaces for live entertainment in North America, this
partnership will enable us to bring even more choices to the tens of
millions of Groupon customers looking for fun things to do near them or
where they travel.</t>
  </si>
  <si>
    <t xml:space="preserve">Research &amp; Development Services
Software Development Services
Internet Services</t>
  </si>
  <si>
    <t xml:space="preserve">399473
4F0300
8A3453</t>
  </si>
  <si>
    <t xml:space="preserve">Sqream Technologies Ltd
Telogic AS</t>
  </si>
  <si>
    <t xml:space="preserve">Software Publishers
Pvd telecommunication svcs</t>
  </si>
  <si>
    <t xml:space="preserve">SQREAM TECHNOLOGIES LTD is a
software publisher. The
Company was founded in June
2012 and is located in New
York, New York.
Telogic AS, located in
Birkerod, Denmark, is a
provider of telecommunication
services. The company is an
enabler of MVNOs (Mobile
Virtual Network Operator) and
a provider of mobile services
supported by capabilities on
fixed, VoIP and broadband. The
company has offices in Sweden,
Germany, Poland, Spain, Italy,
Belgium, France and the
Netherlands. The company was
founded in 1999.</t>
  </si>
  <si>
    <t xml:space="preserve">7372
4812</t>
  </si>
  <si>
    <t xml:space="preserve">SQREAM TECHNOLOGIES LTD/TELOGIC AS-STRATEGIC ALLIANCE</t>
  </si>
  <si>
    <t xml:space="preserve">Thailand
Indonesia
Singapore</t>
  </si>
  <si>
    <t xml:space="preserve">Sqream Technologies Ltd and Telogic AS formed a strategic alliance to
answers growing demand for massive Data analytics in Asia-Pacific. Telogic
to market and resell GPU-accelerated data warehouse SQream DB to
enterprises handling very large volumes of data and also to extend their
portfolio to include the leading GPU SQL data warehouse for analyzing
massive levels of data for our telecom customers and beyond.</t>
  </si>
  <si>
    <t xml:space="preserve">8H6649
89888N</t>
  </si>
  <si>
    <t xml:space="preserve">Atos SE
NATO Commun and Info Agcy</t>
  </si>
  <si>
    <t xml:space="preserve">Provides information technology services
National government</t>
  </si>
  <si>
    <t xml:space="preserve">Atos SE, located in Bezons,
France, provides information
technology services. It
provides consulting &amp;
systems integration
services, managed services &amp;
BPO, cloud operations, big
data &amp; security solutions,
as well as transactional
services through Worldline.
The Group works with clients
across different business
sectors: defense, health,
manufacturing, media &amp;
utilities, public sector,
retail, telecommunications
and transportation. It has
operations worldwide in
countries like France,
Belgium, Germany, Greece,
Hong Kong, China, India,
Indonesia, the United States
and the United Kindgom. The
Company was founded in 1997.
NATO Communications and
Information Agency is a
national government. The
Company is located in Belgium.</t>
  </si>
  <si>
    <t xml:space="preserve">7374
999A</t>
  </si>
  <si>
    <t xml:space="preserve">ATOS SE/NATO COMMUNICATIONS AND INFORMATION AGENCY-STRATEGIC ALLIANCE</t>
  </si>
  <si>
    <t xml:space="preserve">Atos SE and NATO Communications and Information Agency formed a strategic
alliance.to commit to a rigorous and continuous exchange of information
concerning cybersecurity and potentially relevant cyberthreats.</t>
  </si>
  <si>
    <t xml:space="preserve">04966W
1F2876</t>
  </si>
  <si>
    <t xml:space="preserve">Kumpulan Perangsang Selangor
Pengurusan Air Selangor Snd</t>
  </si>
  <si>
    <t xml:space="preserve">Provide construction,engineering services
Investment company</t>
  </si>
  <si>
    <t xml:space="preserve">Kumpulan Perangsang Selangor
Bhd, located in Shah Alam,
Malaysia, provides
construction and engineering
services. The Company also
provides management and
property development services.
It is also a holding company.
The Company was founded in
August 1975 and is located in
Shah Alam, Malaysia.
Pengurusan Air Selangor Snd
Bhd, located in Malaysia is an
investment company.</t>
  </si>
  <si>
    <t xml:space="preserve">1629
6799</t>
  </si>
  <si>
    <t xml:space="preserve">Menteri Besar Selangor Inc
Menteri Besar Selangor Inc</t>
  </si>
  <si>
    <t xml:space="preserve">KUMPULAN PERANGSANG SELANGOR BHD/PENGURUSAN AIR SELANGOR SND BHD-STRATEGIC
ALLIANCE</t>
  </si>
  <si>
    <t xml:space="preserve">Kumpulan Perangsang Selangor Bhd and Pengurusan Air Selangor Snd Bhd formed
a strategic alliance to supply and deliver chemicals.</t>
  </si>
  <si>
    <t xml:space="preserve">40126A
4C0653</t>
  </si>
  <si>
    <t xml:space="preserve">Eurobio Scientific SA
Biogroup LCD SCM</t>
  </si>
  <si>
    <t xml:space="preserve">Biological Product (Except Diagnostic) Manufacturing
Medical Laboratories</t>
  </si>
  <si>
    <t xml:space="preserve">Eurobio Scientific SA,
located in Les Ulis, France,
is a diagnostics and
therapeutics biotechnology
company. It also operates in
Maryland, the United States.
It was founded in 1997.
Biogroup LCD SCM is a
medical laboratory operator.
The Company was founded in
1990 and is located in
Saint-Denis, France.</t>
  </si>
  <si>
    <t xml:space="preserve">EUROBIO SCIENTIFIC SA/BIOGROUP LCD SCM-STRATEGIC ALLIANCE</t>
  </si>
  <si>
    <t xml:space="preserve">Eurobio Scientific SA and Biogroup LCD SCM formed a strategic alliance.to
SUPPLY AND MAINTENANCE OF MULTIPLEX MOLECULAR BIOLOGY AUTOMATED PLATFORMS.</t>
  </si>
  <si>
    <t xml:space="preserve">0J0715
0F2276</t>
  </si>
  <si>
    <t xml:space="preserve">Biogen Inc
Samsung Bioepis Co Ltd</t>
  </si>
  <si>
    <t xml:space="preserve">Biogen Inc, located in
Cambridge, Massachusetts, is
a biopharmaceutical company.
It is focused on developing
therapies for people living
with serious neurological,
rare and autoimmune
diseases. It markets
products, including
TECFIDERA, AVONEX, PLEGRIDY,
TYSABRI, ZINBRYTA and
FAMPYRA for multiple
sclerosis (MS), FUMADERM for
the treatment of severe
plaque psoriasis and
SPINRAZA for the treatment
of spinal muscular atrophy
(SMA). The Company was
founded in 1978.
Samsung Bioepis Co Ltd is a
manufacturer of
pharmaceutical preparation.
The Company was founded in
February 2012 and is located
in Incheon, South Korea.</t>
  </si>
  <si>
    <t xml:space="preserve">Biogen Inc
Samsung BioLogics Co Ltd</t>
  </si>
  <si>
    <t xml:space="preserve">BIOGEN INC/SAMSUNG BIOEPIS CO LTD-STRATEGIC ALLIANCE</t>
  </si>
  <si>
    <t xml:space="preserve">Biogen Inc and Samsung Bioepis Co Ltd formed a strategic alliance to launch
of IMRALDI (adalimumab), a biosimilar referencing HUMIRA. Starting today,
IMRALDI will begin launching in major markets across the world.</t>
  </si>
  <si>
    <t xml:space="preserve">5E4690
9A2232</t>
  </si>
  <si>
    <t xml:space="preserve">Advanced Clinical Hldg
Cognitive Clinical Trials</t>
  </si>
  <si>
    <t xml:space="preserve">Advanced Clinical Holdings
is a provider of
biotechnology research and
development services. The
Company was founded in 1994
and is located in Deerfield,
Illinois.
Cognitive Clinical Trials is
a provider of biotechnology
research and development
services. The Company is
located in Scottsdale,
Arizona.</t>
  </si>
  <si>
    <t xml:space="preserve">ADVANCED CLINICAL HOLDINGS/COGNITIVE CLINICAL TRIALS-STRATEGIC ALLIANCE</t>
  </si>
  <si>
    <t xml:space="preserve">Advanced Clinical Holdings and Cognitive Clinical Trials planned to form a
strategic alliance to expedite Alzheimer's Disease research by providing
patients' access to trials, recruitment and retention for sponsors.</t>
  </si>
  <si>
    <t xml:space="preserve">8H2095
8H2098</t>
  </si>
  <si>
    <t xml:space="preserve">Roquette Freres SA
Equinom Ltd</t>
  </si>
  <si>
    <t xml:space="preserve">All Other Miscellaneous Food Manufacturing
Oilseed (Except Soybean) Farming</t>
  </si>
  <si>
    <t xml:space="preserve">Roquette Freres SA engages
in the production of starch
and starch derivatives. It
transforms renewable
resources corn, wheat,
potatoes, and peas into
ingredients for food and
non-food industries
worldwide. The Company was
founded in 1933 and is
located in Lestrem, France.
EQUI-nom Ltd is an
Israel-based company, which
operates as a seed breeding
and technology company. The
Company develops sesame
varieties, including white
seeds with oil content,
sweet nutty flavor white
seeds, and black seeds, as
well as quinoa varieties,
including flowering plants
with dense panicles and
white seeds, semi-dense
panicles and white seeds,
semi-dense panicles and red
seeds, and dense panicles
and black seeds. It also
develops red, yellow, and
orange blocky peppers, and
sweet bite and sweet point
peppers. In addition, the
Company offers software,
algorithmic tools, and
database, as well as
methodological guidance and
training to assist customers
in integrating sequencing
technology and methodologies
into their breeding
processes.</t>
  </si>
  <si>
    <t xml:space="preserve">2015
0119</t>
  </si>
  <si>
    <t xml:space="preserve">France
Israel</t>
  </si>
  <si>
    <t xml:space="preserve">ROQUETTE FRERES SA/EQUINOM LTD-STRATEGIC ALLIANCE</t>
  </si>
  <si>
    <t xml:space="preserve">Roquette Freres SA and Equinom Ltd formed a strategic alliance.The purpose
of the strategic alliance is to develop high-protein pea varieties for food
markets.</t>
  </si>
  <si>
    <t xml:space="preserve">77674N
0J1028</t>
  </si>
  <si>
    <t xml:space="preserve">Advanced Insulation PLC
Versarien PLC</t>
  </si>
  <si>
    <t xml:space="preserve">Plastics Material and Resin Manufacturing
Provide engineering solution services</t>
  </si>
  <si>
    <t xml:space="preserve">Advanced Insulation PLC,
located in Gloucester, UK,
manufactures syntactic
phenolic resin. It specializes
in the manufacture and
application of unique
syntactic phenolic resin based
foam insulation and fire
protection systems. The
company was founded in 2007.
Versarien PLC, located in
Cheltenham, United Kingdom,
provides engineering
solution services. The
Company operates through
three segments: Hard Wear
Products, Graphene Products
and Thermal Products. The
Thermal Products segment
develops, manufactures and
supplies heat sinks and
other products made from
porous copper and aluminum.
It manufactures thermal
management solutions for
industry sectors, including
telecoms and broadcast,
consumer electronics,
microscopy, defense and
aerospace, automotive
transportation, medical
thermal management and
industrial lighting. The
Hard Wear Products segment
manufactures tungsten
carbide hard wearing parts.
It serves oil and gas,
metrology, paper and
packaging, metal cutting,
spraying, tooling, textile
and tobacco markets. The
Graphene Products segment is
engaged in developing
applications for graphene
based upon the technology
for manufacturing graphene.
The Graphene Products
segment specializes in the
supply, characterization and
early-stage development of
graphene products.</t>
  </si>
  <si>
    <t xml:space="preserve">2821
8711</t>
  </si>
  <si>
    <t xml:space="preserve">ADVANCED INSULATION PLC/VERSARIEN PLC-STRATEGIC ALLIANCE</t>
  </si>
  <si>
    <t xml:space="preserve">Advanced Insulation PLC and Versarien PLC formed a strategic alliance in
United Kingdom to work on a project involving the incorporation of
Versarien's proprietary Nanene few layer graphene nano-platelets into
sub-sea insulation materials, with a view to improving their tear
resistance and reducing water absorption and also to provide significant
enhancements to these materials, allowing Advanced Insulation to provide
even better products for use in hazardous and extreme environments.</t>
  </si>
  <si>
    <t xml:space="preserve">Research &amp; Development Services
Environmental Services
Water Utility Services</t>
  </si>
  <si>
    <t xml:space="preserve">9A7701
2A5468</t>
  </si>
  <si>
    <t xml:space="preserve">Selexis SA
Berkeley Lights Inc</t>
  </si>
  <si>
    <t xml:space="preserve">Biotechnology company
Analytical Laboratory Instrument Manufacturing</t>
  </si>
  <si>
    <t xml:space="preserve">Selexis SA is a manufacturer
of biological products. The
Company is located in
Plan-Les-Ouates Geneva,
Switzerland.
Berkeley Lights Inc, located
in Emeryville, California,
is a manufacturer of
analytical laboratory
instruments. The Company
develops and commercializes
platforms on which
bio-pharmaceutical, genomic
and cellular therapy
applications will run. The
Company offers a platform,
the Beacon, which is
released for single
cell-based antibody
discovery and cell line
development. Its OptoSelect
light technology automates
various tasks that are
required in research
applications, such as single
cell profiling by
morphology, surface markers,
protein secretions and
genomics. Its Beacon
OptoFluidic platform enables
the tracking, monitoring and
visualization of single cell
manipulation and to cell
interaction in a
nano-fluidic chip. The
Company was founded in April
2011.</t>
  </si>
  <si>
    <t xml:space="preserve">SELEXIS SA/BERKELEY LIGHTS INC-STRATEGIC ALLIANCE</t>
  </si>
  <si>
    <t xml:space="preserve">Selexis SA and Berkeley Lights Inc planned to form a strategic alliance.
The purpose for forming a strategic alliance was to accelerate cell line
development (CLD) with the Selexis SUREtechnology Platform.</t>
  </si>
  <si>
    <t xml:space="preserve">81652J
1H4696</t>
  </si>
  <si>
    <t xml:space="preserve">Ocata Therapeutics Inc
Universal Cells Inc</t>
  </si>
  <si>
    <t xml:space="preserve">Ocata Therapeutics Inc,
formerly Advanced Cell
Technology Inc, is a
biotechnology company focused
on developing and
commercializing human
embryonic and adult stem cell
technology in the emerging
field of regenerative
medicine. The Company has
acquired, developed and
maintained a portfolio of
patents and patent
applications that forms the
base for its research and
development efforts in the
area of embryonic and adult
stem cell research. The
Companys emerging field of
treatment called regenerative
medicine or cell therapy
refers to treatments that are
founded on the concept of
producing new cells to replace
malfunctioning or damaged
cells as a vehicle to treat
disease and injury. It focuses
on the development of
effective methods to generate
replacement cells from both
human embryonic and adult stem
cells. The company was founded
on 2000.
Universal Cells Inc, located
in Seattle, Washington,
provides biotechnology
research and development
services. It is developing,
licensing and
commercializing stem cell
therapies that overcome
immune rejection and can be
used to create true
off-the-shelf therapeutic
products. The Company was
founded in January 2013.</t>
  </si>
  <si>
    <t xml:space="preserve">Astellas Pharma Inc
Astellas Pharma Inc</t>
  </si>
  <si>
    <t xml:space="preserve">OCATA THERAPEUTICS INC/UNIVERSAL CELLS INC-STRATEGIC ALLIANCE</t>
  </si>
  <si>
    <t xml:space="preserve">Ocata Therapeutics Inc and Universal Cells Inc formed a strategic alliance
in United States to research, develop and commercialize a novel cell
therapy for an undisclosed indication. This agreement enables AIRM and
Universal Cells to develop a potential new option as a cell therapy to
treat devastating diseases with high unmet medical needs.</t>
  </si>
  <si>
    <t xml:space="preserve">67457L
2H2918</t>
  </si>
  <si>
    <t xml:space="preserve">Orgenesis Inc
Immugenyx Llc</t>
  </si>
  <si>
    <t xml:space="preserve">Manufactures biological products
Pharmaceutical Preparation Manufacturing</t>
  </si>
  <si>
    <t xml:space="preserve">Orgenesis Inc, located in
Germantown, Maryland,
manufactures biological
products. It develops,
manufactus and processes
technologies and services in
the cell and gene therapy
industry. It operates a
point-of-care (POCare) cell
therapy platform (POC). The
POC platform develops
Advanced Therapy Medicinal
Products (ATMPs) through
collaborations and
in-licensing with other
pre-clinical and
clinical-stage
biopharmaceutical companies
and research and healthcare
institutes to bring such
ATMPs to patient. The POC
platform include a multitude
of cell therapies, including
autoimmune, oncologic,
neurologic and metabolic
diseases and other
indications. The Company was
founded in June 2008.
Immugenyx LLC is a
manufacturer of
pharmaceutical preparation.
The Company is located in
the United States.</t>
  </si>
  <si>
    <t xml:space="preserve">MD
DE</t>
  </si>
  <si>
    <t xml:space="preserve">Orgenesis Inc
Hemogenyx Pharmaceuticals Ltd</t>
  </si>
  <si>
    <t xml:space="preserve">ORGENESIS INC/IMMUGENYX LLC-STRATEGIC ALLIANCE</t>
  </si>
  <si>
    <t xml:space="preserve">Orgenesis Inc and Immugenyx LLC planned to form a strategic alliance to
further the development and commercialization of its advanced hematopoietic
chimeras (AHC).</t>
  </si>
  <si>
    <t xml:space="preserve">68619K
0J0813</t>
  </si>
  <si>
    <t xml:space="preserve">Ultragenyx Pharmaceutical Inc
Regenxbio Inc</t>
  </si>
  <si>
    <t xml:space="preserve">Ultragenyx Pharmaceutical
Inc, located in Novato,
California, is a
biopharmaceutical company.
It is focused on the
identification, acquisition,
development, and
commercialization of
products for the treatment
of genetic diseases. Its
clinical-stage pipeline
consists of two product
categories: biologics
(including a monoclonal
antibody and an enzyme
replacement therapy), and
small-molecule substrate
replacement therapies. Its
product candidates under
biologics category include
KRN23 (UX023) and
recombinant human
beta-glucuronidase (rhGUS)
(UX003). Its product
candidates under
small-molecule category
include UX007 and
aceneuramic acid
extended-release (Ace-ER)
(UX001). It is also
developing recombinant human
protective protein
cathepsin-A (rhPPCA). KRN23
is a fully human monoclonal
antibody. rhGUS is an
intravenous (IV) enzyme
replacement therapy. UX007
is a substrate replacement
therapy. It is developing
Ace-ER for the treatment of
GNE myopathy. rhPPCA is in
preclinical development. The
Company was founded on April
22, 2010.
REGENX Biosciences LLC,
located in Rockville,
Maryland, is an
adeno-associated virus (AAV)
gene therapy company. The
Company develops
personalized therapies based
on based on its NAV vector
technology platform. NAV
vector technology includes
AAV vectors such as rAAV7,
rAAV8, rAAV9, and rAAVrh10.
Its treatments in
development include programs
for hypercholesterolemia,
mucopolysaccharidoses, and
retinitis pigmentosa. The
Company's NAV technology is
utilized in a range of
applications including
molecular therapy,
understanding biological
activity and target
validation, creating disease
models and screening in
vivo, and genome-wide
association studies. It also
offers researchers
specialized and custom
products and services
including AAV plasmids, AAV
vector reporter systems, and
custom AAV vectors. The
company was founded in 2008.</t>
  </si>
  <si>
    <t xml:space="preserve">ULTRAGENYX PHARMACEUTICAL INC/REGENXBIO INC-STRATEGIC ALLIANCE</t>
  </si>
  <si>
    <t xml:space="preserve">Ultragenyx Pharmaceutical Inc and Regenxbio Inc planned to form a strategic
alliance in United States to Develop Gene Therapy for CDD (CDKL5 Deficiency
Disorder). utilizing REGENXBIOs adeno-associated virus (AAV) vectors,
including AAV9. CDD is a severe and debilitating neurological disorder that
shares many features of Rett Syndrome, though the two disorders are now
considered distinct from each other.</t>
  </si>
  <si>
    <t xml:space="preserve">90400D
75901B</t>
  </si>
  <si>
    <t xml:space="preserve">University City Science Center
CSL Behring LLC</t>
  </si>
  <si>
    <t xml:space="preserve">Business Development Company
Biological Product (Except Diagnostic) Manufacturing</t>
  </si>
  <si>
    <t xml:space="preserve">University City Science
Center is a provider of
research and development
services. The Company is
located in Pennsylvania.
CSL Behring LLC, located in
King Of Prussia,
Pennsylvania, is a provider
of therapy services that are
used to treat coagulation
disorders, primary immune
deficiencies, hereditary
angioedema, respiratory
disease, and neurological
disorders.</t>
  </si>
  <si>
    <t xml:space="preserve">6726
2836</t>
  </si>
  <si>
    <t xml:space="preserve">University City Science Center
CSL Ltd</t>
  </si>
  <si>
    <t xml:space="preserve">6726
2834</t>
  </si>
  <si>
    <t xml:space="preserve">UNIVERSITY CITY SCIENCE CENTER/CSL BEHRING LLC-STRATEGIC ALLIANCE</t>
  </si>
  <si>
    <t xml:space="preserve">University City Science Center and CSL Behring LLC planned to form a
strategic alliance.The purpose of strategic alliance were to Accelerate
Academic Research in the Search for New Medicines and Possible Cures.</t>
  </si>
  <si>
    <t xml:space="preserve">0J1024
98809J</t>
  </si>
  <si>
    <t xml:space="preserve">Symbeo
NVoicePay Inc</t>
  </si>
  <si>
    <t xml:space="preserve">Symbeo is a provider of
custom computer programming
services. The Company is
located in Portland, Oregon.
NVoicePay Inc, located in
Beaverton, Oregon, provides
payment software. It
delivers payment solutions
to automate accounts
payable. The Company's
cloud-based technology
enables a payment user
experience. Its solutions
automate accounts payable,
enabling customers to pay
100% of their invoices
electronically. The
Company's services include
dynamic supplier enablement,
customer payment support,
supplier payment support and
activation.</t>
  </si>
  <si>
    <t xml:space="preserve">OR
OR</t>
  </si>
  <si>
    <t xml:space="preserve">SYMBEO/NVOICEPAY INC-STRATEGIC ALLIANCE</t>
  </si>
  <si>
    <t xml:space="preserve">Symbeo and NVoicePay Inc formed a strategic alliance in United States to
reduces costs and increases efficiencies for enterprise accounts payable
departments by removing the manual workload associated with paper and
freeing up AP teams to focus on more strategic tasks. The new
Invoice-to-Pay solution integrates Symbeos Managed AP Automation suite with
Nvoicepays intelligent payment automation platform.</t>
  </si>
  <si>
    <t xml:space="preserve">Research &amp; Development Services
Software Development Services
Funding Services</t>
  </si>
  <si>
    <t xml:space="preserve">9H9980
1F4336</t>
  </si>
  <si>
    <t xml:space="preserve">WeedMD Inc
Smart Medicines Gmp Inc</t>
  </si>
  <si>
    <t xml:space="preserve">WeedMD Inc, located in
Aylmer, Ontario,
manufactured and wholesales
medical cannabis. It is a
licensed producer of medical
marijuana under the Access
to Cannabis for Medical
Purposes Regulations (ACMPR)
and operates an
approximately 20,000 square
foot production facility in
Aylmer, Ontario. Its
products include: Dried
Cannabis, Cannabis Extracts
and Cannabis Vaporizes. The
Company was founded on July
16, 2014.
Smart Medicines Gmp Inc is a
provider of ambulatory
health care services. The
Company was founded in
September 2016 and is
located in Laval, Canada.</t>
  </si>
  <si>
    <t xml:space="preserve">WEEDMD INC/SMART MEDICINES GMP INC-STRATEGIC ALLIANCE</t>
  </si>
  <si>
    <t xml:space="preserve">WeedMD Inc and Smart Medicines Gmp Inc planned to form a strategic
alliance.The purpose of strategic alliance were to Spearhead Cannabis
Product Development.Smart Medicines is a leading-edge, research-driven
organization that creates, develops and launches pharmaceuticals, natural
health products and cosmetics.</t>
  </si>
  <si>
    <t xml:space="preserve">948525
0J1105</t>
  </si>
  <si>
    <t xml:space="preserve">Avactis Biosciences Inc
Arbele Ltd</t>
  </si>
  <si>
    <t xml:space="preserve">Software Publishers
Biological Product (Except Diagnostic) Manufacturing</t>
  </si>
  <si>
    <t xml:space="preserve">Avactis Biosciences Inc, a
wholly-owned subsidiary of
Avalon GloboCare Corp,
focused on accelerating
commercial activities
related to its proprietary
Chimeric Antigen Receptor
(CAR)-T technologies. The
company is designed to
integrate and optimize
Avalon GloboCare Corp's
global scientific and
clinical resources.
Arbele Ltd, headquartered at
Hong Kong, develops next-gen
CAR T and BiMAb
immunotherapies to treat
cancer.</t>
  </si>
  <si>
    <t xml:space="preserve">Avalon Globocare Corp
Arbele Ltd</t>
  </si>
  <si>
    <t xml:space="preserve">AVACTIS BIOSCIENCES INC/ARBELE LIMITED-JOINT VENTURE</t>
  </si>
  <si>
    <t xml:space="preserve">Avactis Biosciences Inc and Arbele Limited planned to form a 60:40 joint
venture named AVAR BioTherapeutics (China) Co Ltd to research, develop,
produce, sell, distribute and generally commercialize
CAR-T/CAR-NK/TCR-T/universal cellular immunotherapy in China.</t>
  </si>
  <si>
    <t xml:space="preserve">8H1523
8H1526</t>
  </si>
  <si>
    <t xml:space="preserve">KemPharm Inc
Twoxar Inc</t>
  </si>
  <si>
    <t xml:space="preserve">Pharmaceutical Preparation Manufacturing
Software Publishers</t>
  </si>
  <si>
    <t xml:space="preserve">KemPharm Inc, located in
Celebration, Florida, is a
pharmaceutical company that
manufactures prodrugs to
improve attributes of
approved drugs such as
susceptibility to abuse,
bioavailability and safety.
The company's product
candidate, KP201, was
focused to treat epidemic of
opioid abuse in the United
States and other targets of
such as ADHD and central
nervous system
complications. The company
was founded on 2006.
Twoxar Inc is a software
publisher. The Company was
founded in June 2014 and is
located in Palo Alto,
California.</t>
  </si>
  <si>
    <t xml:space="preserve">KEMPHARM INC/TWOXAR INC-STRATEGIC ALLIANCE</t>
  </si>
  <si>
    <t xml:space="preserve">KemPharm Inc and Twoxar Inc planned to form a strategic alliance to to
develop prodrug-based therapies for multiple therapeutic areas and
indications.</t>
  </si>
  <si>
    <t xml:space="preserve">488445
0J0821</t>
  </si>
  <si>
    <t xml:space="preserve">Ablexis LLC
Voyager Therapeutics Inc</t>
  </si>
  <si>
    <t xml:space="preserve">Provides biotech research services
Biological Product (Except Diagnostic) Manufacturing</t>
  </si>
  <si>
    <t xml:space="preserve">Ablexis LLC, located in San
Diego, California, provides
biotechnology research
services. It develops a
platform for human
therapeutic antibody drug
discovery. The Company
offers AlivaMab Mouse, a
transgenic mouse platform
that provides the foundation
for the discovery and
development of human
therapeutic antibodies to
treat human diseases.
Voyager Therapeutics Inc,
located in Cambridge,
Massachusetts, is a
biotechnology company
developing life-changing
treatments for fatal and
debilitating diseases of the
central nervous system
(CNS). The Company was
founded in 2013.</t>
  </si>
  <si>
    <t xml:space="preserve">Deerfield Management Co LP
Voyager Therapeutics Inc</t>
  </si>
  <si>
    <t xml:space="preserve">ABLEXIS LLC/VOYAGER THERAPEUTICS INC-STRATEGIC ALLIANCE</t>
  </si>
  <si>
    <t xml:space="preserve">Ablexis LLC and Voyager Therapeutics Inc planned to form a strategic
alliance.The purpose of strategic alliance were to use the AlivaMab Mouse
platform for research, development and potential commercialization of
antibodies.</t>
  </si>
  <si>
    <t xml:space="preserve">2F9607
92915B</t>
  </si>
  <si>
    <t xml:space="preserve">Enterome SA
Takeda Pharmaceutical Co Ltd</t>
  </si>
  <si>
    <t xml:space="preserve">Biological Product (Except Diagnostic) Manufacturing
Mnfr pharmaceutical products</t>
  </si>
  <si>
    <t xml:space="preserve">Enterome SA is a
manufacturer of biological
products. The Company was
founded in 2012 and is
located in Paris, France.
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</si>
  <si>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ENTEROME SA/TAKEDA PHARMACEUTICAL CO LTD-STRATEGIC ALLIANCE</t>
  </si>
  <si>
    <t xml:space="preserve">Enterome SA and Takeda Pharmaceutical Co Ltd planned to form a strategic
alliance to Enterome is a clinical-stage company pioneering the development
of novel pharmaceuticals based on its leading knowledge of the interaction
between the immune system and the gut microbiome.</t>
  </si>
  <si>
    <t xml:space="preserve">The Joint Venture was to have a capitalization of 690 million USD</t>
  </si>
  <si>
    <t xml:space="preserve">5E2631
874058</t>
  </si>
  <si>
    <t xml:space="preserve">CANbridge Pharmaceuticals Ltd
Wuxi Biologics (Cayman) Inc</t>
  </si>
  <si>
    <t xml:space="preserve">CANbridge Pharmaceuticals
Ltd is a manufacturer of
pharmaceutical preparation.
The Company is located in
Beijing, China.
Wuxi Biologics (Cayman) Inc,
located in Shanghai, China
is an investment holding
company. The Company along
with its subsidiaries is
mainly engaged in the
discovery, research and
development, manufacturing
and sales of biologics
products. The Company''s
primary products include the
clinical active
pharmaceutical ingredients,
sterile liquid preparations,
freeze-dried preparations,
as well as small molecules
antibiotics for injection
drugs. The Company mainly
distributes its products in
the United States of America
(USA) and the Peoples
Republic of China (PRC)
markets.</t>
  </si>
  <si>
    <t xml:space="preserve">CANbridge Pharmaceuticals Ltd
New Wuxi Life Science Hldg Ltd</t>
  </si>
  <si>
    <t xml:space="preserve">CANBRIDGE LIFE SCIENCES LTD/WUXI BIOLOGICS (CAYMAN) INC-STRATEGIC ALLIANCE</t>
  </si>
  <si>
    <t xml:space="preserve">CANbridge Life Sciences Ltd and Wuxi Biologics (Cayman) Inc formed a
strategic alliance in China to enable CANbridge to develop and
commercialize a portfolio of biotherapeutics for the treatment of rare
diseases. This partnership leverages WuXi Biologics' drug discovery,
development and manufacturing capabilities and CANbridge's clinical,
regulatory and commercial leadership.</t>
  </si>
  <si>
    <t xml:space="preserve">0K6126
0F6437</t>
  </si>
  <si>
    <t xml:space="preserve">Intl Aids Vaccine Initiative
Serum Institute Of India Ltd</t>
  </si>
  <si>
    <t xml:space="preserve">Pvd pharm research svcs
Manufacture pharmaceuticals</t>
  </si>
  <si>
    <t xml:space="preserve">International AIDS Vaccine
Initiative is a provider of
research and development
services. The Company was
founded in 1996 and is
located in New York, New
York.
Serum Institute of India
Ltd, located in Pune, India,
manufactures prescription
pharmaceuticals intended for
final consumption, including
biotech products and
antibiotics focusing on
vaccines and
immuno-biologicals. The
Company was founded in 1966.</t>
  </si>
  <si>
    <t xml:space="preserve">INTERNATIONAL AIDS VACCINE INITIATIVE/SERUM INSTITUTE OF INDIA
LTD-STRATEGIC ALLIANCE</t>
  </si>
  <si>
    <t xml:space="preserve">International Aids Vaccine Initiative and Serum Institute of India Ltd
planned to form a strategic alliance.to develop and manufacture affordable
and accessible monoclonal antibody products for HIV and other global health
challenges.</t>
  </si>
  <si>
    <t xml:space="preserve">45554A
81698Y</t>
  </si>
  <si>
    <t xml:space="preserve">Target Corp
CannaKorp Inc</t>
  </si>
  <si>
    <t xml:space="preserve">Retails general merchandise
Totalizing Fluid Meter and Counting Device Manufacturing</t>
  </si>
  <si>
    <t xml:space="preserve">Target Corp, located in
Minneapolis, Minnesota,
retails general merchandise.
It operates retail stores
that sell clothing, shoes
and accessories for women,
men and children,
electronics, bath and body
products, home appliances,
and pharmaceutical products.
It also provides online
shopping services and serves
as a holding company. The
Company was founded in 1902.
CannaKorp Inc, located in
Stoneham, Massachusetts,
develops single-use pod and
vaporizer system. The
complete system includes the
vaporizer device,
CannaCloud; single-use,
dose-controlled pods
containing pre-ground, lab
tested cannabis called
CannaCloud Pod, and an
automated processing and
filling machine, the
CannaMatic. CannaCloud
vaporizer technology
extracts compounds from
cannabis flower offering an
alternative to smoking. The
Company was founded in
February 2014.</t>
  </si>
  <si>
    <t xml:space="preserve">5331
3829</t>
  </si>
  <si>
    <t xml:space="preserve">TARGET CORP/CANNAKORP INC-STRATEGIC ALLIANCE</t>
  </si>
  <si>
    <t xml:space="preserve">Target Corp and CannaKorp Inc formed a strategic alliance to Bring
Innovative Pod-based Vaporizing Technology to Canada &amp; Europe and also to
offer Wisp Pods to any and all Licensed Producers in Canada, which will
provide Canadian consumers and patients unprecedented variety in a
mainstream, break-through, consumer appliance experience that is clean,
convenient, consistent and easy to use</t>
  </si>
  <si>
    <t xml:space="preserve">87612E
6F8432</t>
  </si>
  <si>
    <t xml:space="preserve">Autonomoustuff LLC
Great Wall Motor Co Ltd</t>
  </si>
  <si>
    <t xml:space="preserve">Motor Vehicle Supplies and New Parts Merchant Wholesalers
Light Truck and Utility Vehicle Manufacturing</t>
  </si>
  <si>
    <t xml:space="preserve">Autonomoustuff LLC is a
motor vehicle supplies and
parts wholesaler. The
Company is located in
Morton, Illinois.
Great Wall Motor Co Ltd is a
sport utility vehicle (SUV)
manufacturer in the
People''s Republic of China
(the PRC). The Company is
principally engaged in the
design, research and
development, manufacture and
sale, as well as
distribution of SUVs,
sedans, pick-up trucks and
automobile-related parts and
components. The Company has
three brands, Great Wall,
Havel and WEY, and its
products include SUVs,
sedans and pick-up trucks.
The Company also
manufactures and supplies
relative automotive parts
and components. The
Company''s vertically
integrated parts and
components production unit
manufactures various
products, including engines,
transmissions, chassis,
electronics, interior and
exterior decoration parts
and molds. The Company was
founded in 1984 and is
located in Baoding, China.</t>
  </si>
  <si>
    <t xml:space="preserve">Hexagon AB
Baoding Great Wall Hldg Grp</t>
  </si>
  <si>
    <t xml:space="preserve">7371
8741</t>
  </si>
  <si>
    <t xml:space="preserve">AUTONOMOUSTUFF LLC/GREAT WALL MOTOR CO LTD-STRATEGIC ALLIANCE</t>
  </si>
  <si>
    <t xml:space="preserve">Autonomoustuff LLC and Great Wall Motor Co Ltd planned to form a strategic
alliance.The purpose of the strategic alliance is to Collaborate on
Development and Deployment of Automated Driving Research Platforms in
China.</t>
  </si>
  <si>
    <t xml:space="preserve">4H7738
39151H</t>
  </si>
  <si>
    <t xml:space="preserve">Aixtron SE
H&amp;Iruja Co Ltd</t>
  </si>
  <si>
    <t xml:space="preserve">Mnfr deposition equipment
Printed Circuit Assembly (Electronic Assembly) Manufacturing</t>
  </si>
  <si>
    <t xml:space="preserve">Aixtron SE, located in
Herzogenrath, Germany,
manufactures deposition
equipment used for the
production of semiconductors.
The Company's business
activities include developing,
producing and installing
equipment for coating
semiconductor materials,
process engineering,
consulting and training,
including ongoing customer
support. The Company was
founded in 1983.
H&amp;Iruja Co Ltd is a
manufacturer of printed
circuit assemblies. The
Company was founded in May
2007 and is located in Asan,
South Korea.</t>
  </si>
  <si>
    <t xml:space="preserve">Aixtron SE
H&amp;Hldg Co Ltd</t>
  </si>
  <si>
    <t xml:space="preserve">AIXTRON SE/H&amp;IRUJA CO LTD-JOINT VENTURE</t>
  </si>
  <si>
    <t xml:space="preserve">Aixtron SE and Hiruja Co Ltd formed joint venture in Germany &amp; South Korea
to develop a OLED deposition technologies. It also maintains the delicate
organic materials' integrity by flash evaporation only at the point of use,
leading to longer lifetimes of OLED panel displays. Furthermore, it allows
for a significantly reduced footprint in addition to a much reduced cost of
ownership through the ability to co-deposit organic materials and as well
as through a significantly increased efficiency in material usage.</t>
  </si>
  <si>
    <t xml:space="preserve">009606
8H7769</t>
  </si>
  <si>
    <t xml:space="preserve">Consortiatx Inc
Brigham &amp; Womens Hospital
Children's Hospital Corp</t>
  </si>
  <si>
    <t xml:space="preserve">Hmo Medical Centers
Own,op hospital
Own,operate hospital</t>
  </si>
  <si>
    <t xml:space="preserve">Consortiatx Inc is a HMO
medical center operator. The
Company is located in
California.
Brigham &amp; Women's Hospital,
located in Boston,
Massachusetts, owns and
operates a hospital with
basic, clinical and
translational research on
human diseases, involving
more than 860
physician-investigators and
renowned biomedical
scientists.
Children's Hospital Corp is
a specialty hospital
operator. The Company was
founded in August 1982 and
is located in Boston,
Massachusetts.</t>
  </si>
  <si>
    <t xml:space="preserve">8011
8062
8062</t>
  </si>
  <si>
    <t xml:space="preserve">CA
MA
MA</t>
  </si>
  <si>
    <t xml:space="preserve">CONSORTIATX INC/BRIGHAM &amp; WOMEN'S HOSPITAL/CHILDREN'S HOSPITAL
CORP-STRATEGIC ALLIANCE</t>
  </si>
  <si>
    <t xml:space="preserve">Consortiatx Inc, Brigham Women's Hospital and Children's Hospital Corp
formed a strategic alliance. to foundational intellectual property related
to CTX-944, Consortia TX's proposed microbial therapy for food allergies.</t>
  </si>
  <si>
    <t xml:space="preserve">9H9988
10916M
2F4040</t>
  </si>
  <si>
    <t xml:space="preserve">Orgenesis Inc
Hemogenyx-Cell Sa</t>
  </si>
  <si>
    <t xml:space="preserve">Manufactures biological products
Direct Health and Medical Insurance Carriers</t>
  </si>
  <si>
    <t xml:space="preserve">Orgenesis Inc, located in
Germantown, Maryland,
manufactures biological
products. It develops,
manufactus and processes
technologies and services in
the cell and gene therapy
industry. It operates a
point-of-care (POCare) cell
therapy platform (POC). The
POC platform develops
Advanced Therapy Medicinal
Products (ATMPs) through
collaborations and
in-licensing with other
pre-clinical and
clinical-stage
biopharmaceutical companies
and research and healthcare
institutes to bring such
ATMPs to patient. The POC
platform include a multitude
of cell therapies, including
autoimmune, oncologic,
neurologic and metabolic
diseases and other
indications. The Company was
founded in June 2008.
Hemogenyx-Cell Sa is a
direct health and medical
insurance carrier. The
Company is located in the
United Kingdom.</t>
  </si>
  <si>
    <t xml:space="preserve">2836
6324</t>
  </si>
  <si>
    <t xml:space="preserve">ORGENESIS INC/HEMOGENYX-CELL SA-STRATEGIC ALLIANCE</t>
  </si>
  <si>
    <t xml:space="preserve">Orgenesis Inc and Hemogenyx-Cell Sa formed joint venture. to collaborate on
the development and commercialization of Hemogenyx's Human Postnatal
Hemogenic Endothelial (Hu-PHEC) technology.</t>
  </si>
  <si>
    <t xml:space="preserve">68619K
9H9958</t>
  </si>
  <si>
    <t xml:space="preserve">AVIC Composite Materials Co
Airbus (Beijing) Engineering</t>
  </si>
  <si>
    <t xml:space="preserve">Hardwood Veneer and Plywood Manufacturing
Other Support Activities For Air Transportation</t>
  </si>
  <si>
    <t xml:space="preserve">AVIC Composite Materials Co
Ltd, located in China,
manufactures composite
materials. It was founded in
2010.
Airbus (Beijing) Engineering
Centre Co Ltd is a provider
of air transportation
support services. The
Company was founded in 1970
and is located in China.</t>
  </si>
  <si>
    <t xml:space="preserve">2435
4581</t>
  </si>
  <si>
    <t xml:space="preserve">AVIC Aviation High-Tech Co
Airbus (Beijing) Engineering</t>
  </si>
  <si>
    <t xml:space="preserve">3812
4581</t>
  </si>
  <si>
    <t xml:space="preserve">AVIC COMPOSITE MATERIALS CO LTD/AIRBUS (BEIJING) ENGINEERING CENTRE CO
LTD-STRATEGIC ALLIANCE</t>
  </si>
  <si>
    <t xml:space="preserve">AVIC Composite Materials Co Ltd and Airbus (Beijing) Engineering Centre Co
Ltd planned to form a strategic alliance. The purpose of strategic alliance
were to conduct research and development on electrically conductive
composite materials for application on aircraft.</t>
  </si>
  <si>
    <t xml:space="preserve">2C9558
0J0251</t>
  </si>
  <si>
    <t xml:space="preserve">Fed Competitiveness
Sustainable Dvlp Solutions</t>
  </si>
  <si>
    <t xml:space="preserve">Navigational Services To Shipping
Other Scientific and Technical Consulting Services</t>
  </si>
  <si>
    <t xml:space="preserve">Federal Competitiveness &amp;
Statistics Authority is a
provider of navigational
services to shipping. The
Company is located in the
United Arab Emirates.
Sustainable Development
Solutions Network is a
provider of technical
consulting services. The
Company was founded in
October 2013 and is located
in Indonesia.</t>
  </si>
  <si>
    <t xml:space="preserve">4492
0781</t>
  </si>
  <si>
    <t xml:space="preserve">Utd Arab Em
Indonesia</t>
  </si>
  <si>
    <t xml:space="preserve">FEDERAL COMPETITIVENESS &amp; STATISTICS AUTHORITY/SUSTAINABLE DEVELOPMENT
SOLUTIONS NETWORK-STRATEGIC ALLIANCE</t>
  </si>
  <si>
    <t xml:space="preserve">Federal Competitiveness Statistics Authority and Sustainable Development
Solutions Network formed a strategic alliance to mobilise global scientific
and technological expertise for sustainable development and to share
knowledge and resources. The specifics of the MoU relate to SDSNs research
network on data and statistics TReNDS and the organisations mutual
objective of providing better-quality data to monitor sustainable
development.</t>
  </si>
  <si>
    <t xml:space="preserve">9H8197
9H9213</t>
  </si>
  <si>
    <t xml:space="preserve">Charles River Labs Intl Inc
Distributed Bio Inc</t>
  </si>
  <si>
    <t xml:space="preserve">Charles River Laboratories
International Inc, located
in Wilmington,
Massachusetts, provides
biotechnology research and
development services. It
also has offices in North
America, Europe and Asia.
The Company was founded in
1947.
Distributed Bio Inc located
in California, is a
computational
immunoengineering
biotechnology group,
self-funded by licensing a
stack of technologies to
partners across the
pharmaceutical industry.</t>
  </si>
  <si>
    <t xml:space="preserve">CHARLES RIVER LABORATORIES INTERNATIONAL INC/DISTRIBUTED BIO INC-STRATEGIC
ALLIANCE</t>
  </si>
  <si>
    <t xml:space="preserve">Charles River Laboratories International Inc and Distributed Bio Inc formed
a strategic alliance in United States to Create an Integrated Antibody
Discovery and Development Platform. Distributed Bios libraries are
computationally optimized for both sequence diversity and engineering
fitness through the analysis of thousands of human antibody repertoires and
all known monoclonal therapeutics in clinical trials. A combination of
Distributed Bios antibody libraries and Charles Rivers extensive drug
development expertise will create a unique end-to-end platform for
therapeutic antibody discovery and development.</t>
  </si>
  <si>
    <t xml:space="preserve">159864
2H0609</t>
  </si>
  <si>
    <t xml:space="preserve">Gemmacert Ltd
Ethnic World Sa</t>
  </si>
  <si>
    <t xml:space="preserve">Surgical and Medical Instrument Manufacturing
Biological Product (Except Diagnostic) Manufacturing</t>
  </si>
  <si>
    <t xml:space="preserve">Gemmacert Ltd is a
manufacturer of medical
instruments. The Company was
founded in June 2015 and is
located in Tel Aviv, Israel.
Ethnic World SA is a
manufacturer of biological
products. The Company is
located in Switzerland.</t>
  </si>
  <si>
    <t xml:space="preserve">GEMMACERT/ETHNIC WORLD SA-STRATEGIC ALLIANCE</t>
  </si>
  <si>
    <t xml:space="preserve">Gemmacert and Ethnic World SA planned to form a strategic alliance.to
distribute GemmaCerts proprietary solution for analyzing cannabis potency,
without harming the flowers or altering their efficacy and commercial
value.</t>
  </si>
  <si>
    <t xml:space="preserve">1J8795
9H9908</t>
  </si>
  <si>
    <t xml:space="preserve">HP Inc
Nanyang Tech University</t>
  </si>
  <si>
    <t xml:space="preserve">Electronic Computer Manufacturing
Colleges, Universities, and Professional Schools</t>
  </si>
  <si>
    <t xml:space="preserve">Hewlett Packard Co, located
in Palo Alto, California,
manufactures and wholesales
computers, electronic
testing and measuring
equipment, medical
electronic equipment,
calculators and other
personal information
products, and solid state
components and
instrumentation for chemical
analysis. It offers software
programming, network,
distributed systems and data
management and maintenance
and repair services. It also
has locations in Miami,
Florida and Houston, Texas.
The Company was founded in
1939.
Nanyang Technological
University is a college
operator. The Company was
founded in 1955 and is
located in Singapore.</t>
  </si>
  <si>
    <t xml:space="preserve">3571
8221</t>
  </si>
  <si>
    <t xml:space="preserve">HP INC/NANYANG TECHNOLOGICAL-STRATEGIC ALLIANCE</t>
  </si>
  <si>
    <t xml:space="preserve">HP Inc and Nanyang Technological University planned to form a strategic
alliance in Singapore to unveil a research facility that concentrates on
digital manufacturing technologies and additive manufacturing, ZD Net
reports.</t>
  </si>
  <si>
    <t xml:space="preserve">428236
63025V</t>
  </si>
  <si>
    <t xml:space="preserve">Tesson New Energy (Shenzhen)
K2 Energy Solutions Inc</t>
  </si>
  <si>
    <t xml:space="preserve">Primary Battery Manufacturing and Wholesaling
Storage Battery Manufacturing</t>
  </si>
  <si>
    <t xml:space="preserve">Tesson New Energy (Shenzhen)
Ltd is a manufacturer and
wholesaler of primary
batteries. The Company was
founded in September 2015
and is located in Shenzhen,
China.
K2 Energy Solutions Inc is a
manufacturer of storage
batteries. The Company is
located in Henderson,
Nevada.</t>
  </si>
  <si>
    <t xml:space="preserve">Double Key International Ltd
K2 Energy Solutions Inc</t>
  </si>
  <si>
    <t xml:space="preserve">2671
3691</t>
  </si>
  <si>
    <t xml:space="preserve">TESSON NEW ENERGY (SHENZHEN) LTD/K2 ENERGY SOLUTIONS INC-JOINT VENTURE</t>
  </si>
  <si>
    <t xml:space="preserve">Foreign
Nevada</t>
  </si>
  <si>
    <t xml:space="preserve">Tesson New Energy (Shenzhen) Ltd and K2 Energy Solutions Inc formed joint
venture to establish multi-level cooperation in technology, products,
brands, marketing and business development to further expand K2 and
Tesson's Engineering Development, R&amp;D, and product cooperation around the
world.</t>
  </si>
  <si>
    <t xml:space="preserve">Electrical &amp; Electronic Services
Supply Services
Research &amp; Development Services</t>
  </si>
  <si>
    <t xml:space="preserve">4E6705
9H9187</t>
  </si>
  <si>
    <t xml:space="preserve">Tesserent Ltd
Darktrace Ltd</t>
  </si>
  <si>
    <t xml:space="preserve">Custom Computer Programming Services
Provides immune system technology services</t>
  </si>
  <si>
    <t xml:space="preserve">Tesserent Ltd, located in
Melbourne, Australia,
provides Internet
Security-as-a-Service to
Australian and international
customers, including
education IT security. The
Company was founded in May
6, 2015.
Darktrace Ltd is a provider
of computer related
services. The Company was
founded in 2013 and is
located in Cambridge, the
United Kingdom.</t>
  </si>
  <si>
    <t xml:space="preserve">7371
7379</t>
  </si>
  <si>
    <t xml:space="preserve">TESSERENT LTD/DARKTRACE LTD-STRATEGIC ALLIANCE</t>
  </si>
  <si>
    <t xml:space="preserve">Tesserent Ltd and Darktrace Ltd formed a strategic alliance.The purpose of
strategic alliance were to offer Darktraces market disruptive AI
technology, alongside its suite of managed security services and delivered
via its world-class Security Operations Centre (SOC).</t>
  </si>
  <si>
    <t xml:space="preserve">2E7268
0E2748</t>
  </si>
  <si>
    <t xml:space="preserve">CannTrust Holdings Inc
Cannatrek Ltd</t>
  </si>
  <si>
    <t xml:space="preserve">Medicinal and Botanical Manufacturing
Medicinal and Botanical Manufacturing</t>
  </si>
  <si>
    <t xml:space="preserve">CannTrust Holdings Inc is a
company, which produces
pharmaceutical-grade medical
cannabis for patients. The
Company is a federally
regulated licensed producer
of medical cannabis
products. The Company
operates a hydroponic
facility and an onsite
laboratory for testing and
research on the medical use
of cannabis. The Company's
exclusive pharmaceutical
partner is Apotex. CannTrust
Holdings Inc's products are
divided into the following:
Products Type, such as oil,
dried cannabis, accessories
and patient ready; Strain
Type, such as hybrid, sativa
dominant and indica
dominant, as well as
Strength, such as strong,
mild and moderate. The
Company's products are sold
online through its Website.
The Company is located in
Vaughan, Canada.
Cannatrek Ltd is a
manufacturer of medicinals
and botanicals. The Company
is located in Australia.</t>
  </si>
  <si>
    <t xml:space="preserve">2833
2833</t>
  </si>
  <si>
    <t xml:space="preserve">CANNTRUST HOLDINGS INC/CANNATREK LTD-STRATEGIC ALLIANCE</t>
  </si>
  <si>
    <t xml:space="preserve">CannTrust Holdings Inc and Cannatrek Ltd formed a strategic alliance to
expand its reach to the Asia Pacific region.</t>
  </si>
  <si>
    <t xml:space="preserve">137800
8H0714</t>
  </si>
  <si>
    <t xml:space="preserve">Eli Lilly &amp; Co
Dicerna Pharmaceuticals Inc</t>
  </si>
  <si>
    <t xml:space="preserve">Manufactures,wholesales pharmaceuticals
Pharmaceutical Preparation Manufacturing</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</si>
  <si>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Dicerna Pharmaceuticals Inc,
located in Cambridge,
Massachusetts, is a
biopharmaceutical company
focused on the discovery and
development of innovative
treatments for rare
inherited diseases involving
the liver and for cancers
that are genetically
defined. The Company was
founded in 2006.</t>
  </si>
  <si>
    <t xml:space="preserve">ELI LILLY &amp; CO/DICERNA PHARMACEUTICALS INC-STRATEGIC ALLIANCE</t>
  </si>
  <si>
    <t xml:space="preserve">Eli Lilly Co and Dicerna Pharmaceuticals Inc formed a strategic alliance to
discover, develop and commercialize potential new medicines in the areas of
cardio-metabolic disease, neurodegeneration and pain.</t>
  </si>
  <si>
    <t xml:space="preserve">532457
253031</t>
  </si>
  <si>
    <t xml:space="preserve">Kali Inc
Puration Inc
Nouveau Life Pharm Inc</t>
  </si>
  <si>
    <t xml:space="preserve">Men'S and Boys' Cut and Sew Other Outerwear Manufacturing
Manufactures medicinals and botanicals
Development stage company</t>
  </si>
  <si>
    <t xml:space="preserve">Kali Inc, based in Fujian,
China, manufactures casual
apparel and clothing
products for 15-34 years
old, middle-class Chinese
male consumers under the
brand name V LOV which the
company sells to
distributors. The company
was founded in 2006.
Puration Inc, located in
Dallas, Texas, manufactures
medicinals and botanicals.
It is engaged in the
development of standardized
and repeatable cannabis
extraction processes that
can deliver a consistent and
high-quality concentrate for
infusion into consumer food
and beverage products that
appeal to the recreational
and wellness market
segments. The Company was
founded in 2011.
Nouveau Life Pharmaceuticals
Inc, located in Niverville,
Manitoba, is a development
stage company founded in 1998.</t>
  </si>
  <si>
    <t xml:space="preserve">2329
2833
6726</t>
  </si>
  <si>
    <t xml:space="preserve">China
United States
Canada</t>
  </si>
  <si>
    <t xml:space="preserve">Kali Inc
Amer Cannabis Innovations
Nouveau Life Pharm Inc</t>
  </si>
  <si>
    <t xml:space="preserve">2329
6799
6726</t>
  </si>
  <si>
    <t xml:space="preserve">KALI INC/PURATION INC/NOUVEAU LIFE PHARMACEUTICALS INC-JOINT VENTURE</t>
  </si>
  <si>
    <t xml:space="preserve">Kali Inc, Puration Inc and Nouveau Life Pharmaceuticals Inc planned to form
US Cannabis Health to develop cannabis pharmaceutical products.</t>
  </si>
  <si>
    <t xml:space="preserve">483380
74609P
8H0632</t>
  </si>
  <si>
    <t xml:space="preserve">Zhuzhou CRRC Times Elec Co Ltd
Chongqing Changan Auto Co Ltd
EPRI
Gree Elec Appl Inc Of Zhuhai
Tianjin Zhonghuan
Hunan Xiangtou Holdings Group
Hunan Crrc Times Elec Vehicle
Zhuzhou Times New Material</t>
  </si>
  <si>
    <t xml:space="preserve">All Other Miscellaneous Electrical Equipment and Component Manufacturing
Automobile Manufacturing
Pvd research svcs
Air-Conditioning and Warm Air Heating Equipment and Refrigeration Equipment Manufacturing
Semiconductor and Related Device Manufacturing
Miscellaneous Intermediation
Automobile Manufacturing
Manufacture chemicals</t>
  </si>
  <si>
    <t xml:space="preserve">Zhuzhou CRRC Times Electric Co
Ltd is a manufacturer of
electrical equipment. The
Company was founded in 2005
and is located in Zhuzhou,
China.
Chongqing Changan Automobile
Co Ltd is a manufacturer and
wholesaler of automobiles.
The Company was founded in
October 1996 and is located
in Chongqing, China.
Provide electrical power
research services in addition
to development of computer
based nuclear power plant
maintenance and inspection
systems
Gree Electric Appliances Inc
of Zhuhai, located in
Zhuhai, China, manufactures
and wholesales
air-conditioners and related
components, and also
imports, exports,
manufactures and wholesales
household electric
appliances, cleaning
utensils, sound equipment,
broadcast system equipment,
mould, plastic products,
quartz watches, special
enameled wires, electronic
components, floppy disks and
ink jet cartridges. Products
of the Group are marketed
under ''Gree'' brand. The
company was founded in 1989.
Tianjin Zhonghuan
Semiconductor Co Ltd is a
manufacturer and wholesaler
of semiconductors and
related device. It is also
involved in the operation of
financial venture capital
business and finance leasing
business, as well as the
development and operation of
efficient photovoltaic power
plant project. Its products
are mainly used in consumer
electronics, integrated
circuits, rail
transportation, new energy
power generation, new energy
vehicles, finance and other
industries. The Company was
founded in December 1988 and
is located in Tianjin,
China.
Hunan Xiangtou Holdings
Group Co Ltd is an
intermediating company. The
Company was founded in
August 1992 and is located
in Changsha, China.
Hunan CRRC Times Electric
Vehicle Co Ltd is a
manufacturer and wholesaler
of s and automobile parts.
The Company was founded in
March 2007 and is located in
Zhuzou, China.
Zhuzhou Times New Material
Technology Co Ltd, located in
China, manufactures and
wholesales plastics materials.
It is principally engaged in
the research and engineering
applications of polymer
composite materials. Its main
products include polymer
elastic components, insulation
products and coatings, special
engineering plastic products,
magnetic lines and composite
materials, among others. Its
products are mainly used in
the rail transportation, wind
power, automobiles, ships,
environmental protection and
other markets. The company was
founded in May 1994.</t>
  </si>
  <si>
    <t xml:space="preserve">3629
3711
8731
3585
3674
6799
3711
2821</t>
  </si>
  <si>
    <t xml:space="preserve">China
China
United States
China
China
China
China
China</t>
  </si>
  <si>
    <t xml:space="preserve">FF
FF
CA
FF
FF
FF
FF
FF</t>
  </si>
  <si>
    <t xml:space="preserve">CRRC Group Co Ltd
Chongqing Changan Auto Co Ltd
EPRI
Gree Elec Appl Inc Of Zhuhai
Tianjin Zhonghuan
Hunan Xiangtou Holdings Group
CRRC Group Co Ltd
Zhuzhou Times New Material</t>
  </si>
  <si>
    <t xml:space="preserve">3743
3711
8731
3585
3674
6799
3743
2821</t>
  </si>
  <si>
    <t xml:space="preserve">ZHUZHOU CRRC/CHONGQING CHANGAN/ELECTRIC POWER/GREE ELECTRIC/TIANJIN/HUNAN
XIANGTOU/HUNAN CRRC/ZHUZHOU TIMES-JOINT VENTURE</t>
  </si>
  <si>
    <t xml:space="preserve">Zhuzhou CRRC Times Electric Co Ltd, Chongqing Changan Automobile Co Ltd,
Electric Power Research Institute{EPRI}, Gree Electric Appliances Inc of
Zhuhai, Tianjin Zhonghuan Semiconductor Co Ltd, Hunan Xiangtou Holdings
Group Co Ltd, Hunan CRRC Times Electric Vehicle Co Ltd and Zhuzhou Times
New Material Technology Co Ltd formed a 25:25:10:10:10:10:5:5 joint venture
in China to provide technology development, technical consultation,
technical services and technology transfer in the field of power
semiconductors; design,research and development, testing and sale of power
semiconductors; import and export of goods and technology; conference and
exhibition services; personnel training. The registered capital of the JV
is RMB 500 million.</t>
  </si>
  <si>
    <t xml:space="preserve">25.00
25.00
10.00
10.00
10.00
10.00
5.00
5.00</t>
  </si>
  <si>
    <t xml:space="preserve">The joint venture was to be capitalized at RMB 500 million.</t>
  </si>
  <si>
    <t xml:space="preserve">5E8757
15888N
28489P
39751Y
Y88171
44012C
9F4821
98862Q</t>
  </si>
  <si>
    <t xml:space="preserve">Schrodinger Inc
WuXi AppTec Inc</t>
  </si>
  <si>
    <t xml:space="preserve">Research and Development in The Physical, Engineering and Lifesciences (Except Biotechnology)
Pvd lab testing svcs</t>
  </si>
  <si>
    <t xml:space="preserve">Schrodinger Inc, located in
New York City, New York, is a
provider of research and
development services. The
Company was founded in August
1990.
AppTec Laboratory Services
Inc, located in St Paul,
Minnesota, is a provider of
laboratory testing, contract
R&amp;D, and cGMP manufacturing
services for the
biopharmaceutical and medical
device industries.</t>
  </si>
  <si>
    <t xml:space="preserve">Schrodinger Inc
New Wuxi Life Science Hldg Ltd</t>
  </si>
  <si>
    <t xml:space="preserve">SCHRDINGER LLC/WUXI APPTEC INC-JOINT VENTURE</t>
  </si>
  <si>
    <t xml:space="preserve">Faxian Therapeutics, located
in New York, provides
molecular research and
development services. The
Company was founded in
October 2018.</t>
  </si>
  <si>
    <t xml:space="preserve">Schrdinger LLC and WuXi AppTec Inc formed a joint venture named Faxian
Therapeutics to enable accelerated drug discovery process.</t>
  </si>
  <si>
    <t xml:space="preserve">8H2102</t>
  </si>
  <si>
    <t xml:space="preserve">80810D
06569E</t>
  </si>
  <si>
    <t xml:space="preserve">NTT DOCOMO Inc
Trend Micro Inc</t>
  </si>
  <si>
    <t xml:space="preserve">Wired Telecommunications Carriers
Develops Internet software</t>
  </si>
  <si>
    <t xml:space="preserve">NTT DOCOMO Inc, located in
Chiyoda-Ku, Tokyo, provides
telecommunications services.
The Company operates in two
business segments. The
Mobile Phone segment is
engaged in the provision of
mobile phone services,
including high-speed data
transmission services (Xi),
third-generation mobile
phone services (FOMA),
second-generation mobile
phone services (mova),
packet communication
services, international call
services, satellite call
services, as well as the
sale of terminal equipment
related to each service. The
others segment is involved
in the credit business, the
mail order business, the
mobile advertising sales
business, as well as the
provision of Internet access
services for hotels, among
others. The Company was
founded in 1991.
Trend Micro Inc, located in
Tokyo, Japan, develops
Internet anti-virus and
content security software
and solutions with products
such as PC-Cillin, ScanMail
and ServerProtect. The
Company was founded in 1988.</t>
  </si>
  <si>
    <t xml:space="preserve">Nippon Telegraph &amp; Telephone
Trend Micro Inc</t>
  </si>
  <si>
    <t xml:space="preserve">NTT DOCOMO INC/TREND MICRO INC-STRATEGIC ALLIANCE</t>
  </si>
  <si>
    <t xml:space="preserve">NTT DOCOMO Inc and Trend Micro Inc formed a strategic alliance to develop a
new solution for the demands of the 5G era in Japan.</t>
  </si>
  <si>
    <t xml:space="preserve">J59399
89486M</t>
  </si>
  <si>
    <t xml:space="preserve">Biological Industries USA Inc
StemExpress LLC</t>
  </si>
  <si>
    <t xml:space="preserve">Biological Industries USA
Inc is a biotechnology
company focusing on
development of technologies
in stem cell research,
cellular reprogramming and
regenerative medicine. The
Company was founded in July
2015 and is located in
Cromwell, Connecticut.
StemExpress LLC is a
biotechnology company which
provides biospecimen of
human bone marrow, cord
blood, peripheral blood,
maternal blood, disease
state products and primary
cells. The Company was
founded in March 2010 and is
located in Folsom,
California.</t>
  </si>
  <si>
    <t xml:space="preserve">Biological Inds Israel Beit
StemExpress LLC</t>
  </si>
  <si>
    <t xml:space="preserve">BIOLOGICAL INDUSTRIES USA INC/STEMEXPRESS LLC-STRATEGIC ALLIANCE</t>
  </si>
  <si>
    <t xml:space="preserve">Biological Industries USA Inc and StemExpress LLC formed a strategic
alliance for the non-exclusive worldwide distribution of StemExpress' human
bone marrow-derived mesenchymal stem cells.</t>
  </si>
  <si>
    <t xml:space="preserve">8H2064
8H2065</t>
  </si>
  <si>
    <t xml:space="preserve">Meiragtx Holdings Plc
National Institute of Dental</t>
  </si>
  <si>
    <t xml:space="preserve">Research and Development in The Physical, Engineering and Lifesciences (Except Biotechnology)
Pvd research on oral health</t>
  </si>
  <si>
    <t xml:space="preserve">MeiraGTx Holdings plc is a
United States-based holding
company. The Company is a
clinical stage company. The
Company develops medical
products for patients
suffering from acquired and
inherited disorders.
Provide research on oral
health</t>
  </si>
  <si>
    <t xml:space="preserve">MEIRAGTX HOLDINGS PLC/NATIONAL INSTITUTE OF DENTAL &amp;-STRATEGIC ALLIANCE</t>
  </si>
  <si>
    <t xml:space="preserve">Meiragtx Holdings Plc and National Institute of Dental Craniofacial
Research (USA) formed a strategic alliance to adeno-associated virus vector
mediated gene delivery of aquaporin-1, designated AAV-AQP1, for Sjgren's
syndrome patients with associated xerostomia (dry mouth) or xerophthalmia
(dry eyes) in the United States.</t>
  </si>
  <si>
    <t xml:space="preserve">G59665
63652M</t>
  </si>
  <si>
    <t xml:space="preserve">Proteona Pte Ltd
National Univ of Singapore</t>
  </si>
  <si>
    <t xml:space="preserve">Proteona Pte Ltd is a
provider of biotechnology
research and development
services. The Company is
located in Singapore,
Singapore.
National University of
located in
Singapore, owns and operates
college and university.</t>
  </si>
  <si>
    <t xml:space="preserve">PROTEONA PTE LTD/NATIONAL UNIVERSITY OF SINGAPORE-STRATEGIC ALLIANCE</t>
  </si>
  <si>
    <t xml:space="preserve">Proteona Pte Ltd and National University of Singapore planned to form a
strategic alliance to offer innovative technology to a broader community of
researchers as well as to biotechnology and pharmaceutical companies.</t>
  </si>
  <si>
    <t xml:space="preserve">8H2160
63838Q</t>
  </si>
  <si>
    <t xml:space="preserve">Hengdian Grp DMEGC Magnetics
Akbattery Co Ltd</t>
  </si>
  <si>
    <t xml:space="preserve">Storage Battery Manufacturing
Storage Battery Manufacturing</t>
  </si>
  <si>
    <t xml:space="preserve">Hengdian Group DMEGC
Magnetics Co Ltd located in
Dongyang, China is a
manufacturer of storage
batteries. The Company was
founded in March 1999.
Akbattery Co Ltd is a
manufacturer of storage
batteries. The company was
founded in December 2014 and
is located in Suzhou, China.</t>
  </si>
  <si>
    <t xml:space="preserve">Hengdian Federation Of
Akbattery Co Ltd</t>
  </si>
  <si>
    <t xml:space="preserve">8399
3691</t>
  </si>
  <si>
    <t xml:space="preserve">HENGDIAN GROUP DMEGC MAGNETICS/AKBATTERY CO LTD-JOINT VENTURE</t>
  </si>
  <si>
    <t xml:space="preserve">Hengdian Group DMEGC Magnetics Co Ltd and Akbattery Co Ltd planned to form
a joint venture, provide research &amp; development services and manufacturing
services.</t>
  </si>
  <si>
    <t xml:space="preserve">42558J
0E9323</t>
  </si>
  <si>
    <t xml:space="preserve">Saregama India Ltd
Harman Kardon</t>
  </si>
  <si>
    <t xml:space="preserve">Integrated Record Production/Distribution
Mnfr audio,video prod</t>
  </si>
  <si>
    <t xml:space="preserve">Saregama India Ltd is a
producer and distributor of
records. The Company was
founded in 1902 and is
located in Mumbai, India.
Manufacture audio and video
products</t>
  </si>
  <si>
    <t xml:space="preserve">3652
3651</t>
  </si>
  <si>
    <t xml:space="preserve">Esgee Legacies Trust
Samsung Electronics Co Ltd</t>
  </si>
  <si>
    <t xml:space="preserve">6733
3663</t>
  </si>
  <si>
    <t xml:space="preserve">SAREGAMA INDIA LTD/HARMAN KARDON(HARMAN CONSUMER-STRATEGIC ALLIANCE</t>
  </si>
  <si>
    <t xml:space="preserve">Saregama India Ltd and Harman Kardon(Harman Consumer Sys Grp/Harman Intl
Inds Inc) formed a strategic alliance, provide research &amp; development
services and manufacturing services on sound technology and speakers</t>
  </si>
  <si>
    <t xml:space="preserve">80362N
41309W</t>
  </si>
  <si>
    <t xml:space="preserve">Ascendis Pharma A/S
Vivo Capital LLC</t>
  </si>
  <si>
    <t xml:space="preserve">Research and Development in Biotechnology
Private equity firm</t>
  </si>
  <si>
    <t xml:space="preserve">Ascendis Pharma A/S, located
in Hellerup, Denmark, is a
provider of biotechnology
research and development
services. The Company was
founded in September 2006.
Vivo Capital LLC, located in
Palo Alto, California, is a
private equity firm. It
invests primarily in later
development stage
pharmaceutical and medical
device companies in the
United States and in revenue
stage healthcare companies
in greater China. The
Company was founded in 1996.</t>
  </si>
  <si>
    <t xml:space="preserve">ASCENDIS PHARMA A/S/VIVO CAPITAL LLC-JOINT VENTURE</t>
  </si>
  <si>
    <t xml:space="preserve">Ascendis Pharma A/S and Vivo Capital LLC planned to form a 50:50 joint
venture to develop, manufacture and commercialize the companys
endocrinology rare disease therapies in Greater China, which includes
mainland China, Hong Kong, Macau and Taiwan.</t>
  </si>
  <si>
    <t xml:space="preserve">04351P
5A9337</t>
  </si>
  <si>
    <t xml:space="preserve">Isodiol International Inc
Record St Brewing Co</t>
  </si>
  <si>
    <t xml:space="preserve">Pharmaceutical Preparation Manufacturing
Breweries</t>
  </si>
  <si>
    <t xml:space="preserve">Isodiol International Inc,
headquartered in Coquitlam,
Canada., manufactures and
develops raw ingredients and
consumer products derived
from hemp. Its nutraceutical
division is focused on
hemp-derived products,
including crystalline
isolate,
micro-encapsulation, and
nanotechnology for the
consumable and topical skin
care products. The Company
was founded on June 2, 2014.
Record Street Brewing Co,
locted in Reno, Nevd, is
a brewery. It has
distribution relationships
for the states of California
and Nevada with Young's
Market Company and Southern
Glazer Wine and Spirits,
respectively.It contract
brews through two breweries
located in California and
Nevada.</t>
  </si>
  <si>
    <t xml:space="preserve">ISODIOL INTERNATIONAL INC/RECORD STREET BREWING CO-STRATEGIC ALLIANCE</t>
  </si>
  <si>
    <t xml:space="preserve">Isodiol International Inc and Record Street Brewing Co planned to form a
strategic alliance to give Record Street's equipment and Isodiol's internal
R&amp;D operations a strategic home in a state that has legalized both adult
and medicinal cannabis use and embraces the sale of both hemp-derived and
cannabis-derived CBD products. While federal and state regulatory
restrictions generally prohibit cannabis activities by licensed breweries,
there are significant opportunities to develop both alcoholic and
non-alcoholic beverages in which Isodiol's hemp-derived ingredients can be
utilized.</t>
  </si>
  <si>
    <t xml:space="preserve">46500L
8F8478</t>
  </si>
  <si>
    <t xml:space="preserve">Marvell Technology Group Ltd
Arm Holdings PLC</t>
  </si>
  <si>
    <t xml:space="preserve">Mnfr,whl integrated circuits
Semiconductor and Related Device Manufacturing</t>
  </si>
  <si>
    <t xml:space="preserve">Marvell Technology Group
Ltd, located in Hamilton,
Bermuda, manufactures and
wholesales digital and
mixed-signal integrated
circuits for data storage
and broadband communications
applications. Its products
include read channels,
preamplifiers, and Ethernet
switch controllers and
transceivers. It also
provides communications
controller products,
including Discovery system
controllers, and Horizon WAN
communication controllers,
cellular and handheld
products, such as
communication processors,
application processors, and
ecosystem partners; wireless
products that include
Libertas wireless LAN
devices; and personal area
networking products. In
addition, it offers voice
over Internet protocol
products for Internet voice
communications market,
printing ASIC products for
laser printers and inkjet
printers, media storage
vault products and PC
connectivity products. It
serves business enterprise,
consumer electronics, and
emerging markets in North
America, Europe, and Asia.
The Company was founded in
1995.
Arm Holdings PLC, located in
Cambridge, the United
Kingdom, manufactures
semiconductors and related
device. Its products
includes but are not limited
to processors, development
solutions, and custom
silicon chips The Company
was founded in October 1990.</t>
  </si>
  <si>
    <t xml:space="preserve">Bermuda
United Kingdom</t>
  </si>
  <si>
    <t xml:space="preserve">Marvell Technology Group Ltd
SoftBank Group Corp</t>
  </si>
  <si>
    <t xml:space="preserve">Bermuda
Japan</t>
  </si>
  <si>
    <t xml:space="preserve">3674
4812</t>
  </si>
  <si>
    <t xml:space="preserve">MARVELL TECHNOLOGY GROUP LTD/ARM HOLDINGS PLC-STRATEGIC ALLIANCE</t>
  </si>
  <si>
    <t xml:space="preserve">Marvell Technology Group Ltd and Arm Holdings PLC extended their strategic
alliance in United States to accelerate the design and development of
next-generation Marvell ThunderX server processor technology.</t>
  </si>
  <si>
    <t xml:space="preserve">Research &amp; Development Services
Computer Integrated Systems Svcs
Electrical &amp; Electronic Services</t>
  </si>
  <si>
    <t xml:space="preserve">G5876H
042068</t>
  </si>
  <si>
    <t xml:space="preserve">Bioz Inc
Dnastar Inc</t>
  </si>
  <si>
    <t xml:space="preserve">Bioz Inc is a technology
company which offers search
engine for life science
experimentation. The
Company's software platform
combines the work of
scientists with Natural
Language Processing (NLP)
and Machine Learning (ML) to
help life scientists in
academia and biopharma make
experimentation decision.
The Company is located in
Los Altos, California.
Dnastar Inc is a provider of
custom computer programming
services. The Company was
founded in 1970 and is
located in Madison,
Wisconsin.</t>
  </si>
  <si>
    <t xml:space="preserve">BIOZ INC/DNASTAR INC-STRATEGIC ALLIANCE</t>
  </si>
  <si>
    <t xml:space="preserve">Bioz Inc and Dnastar Inc planned to form a strategic alliance. The purpose
of strategic alliance were to Increase Researcher Confidence Using
Structured Insights from Peer-Reviewed Scientific Articles.</t>
  </si>
  <si>
    <t xml:space="preserve">0J6849
0J6921</t>
  </si>
  <si>
    <t xml:space="preserve">Relevium Technologies Inc
Holistic Inds Llc</t>
  </si>
  <si>
    <t xml:space="preserve">Food (Health) Supplement Stores
Pharmaceutical Preparation Manufacturing</t>
  </si>
  <si>
    <t xml:space="preserve">Relevium Technologies Inc,
located in Montreal, Quebec,
is a capital pool company
engaged in the the
identification, evaluation,
acquisition and operation of
brands and businesses in the
health and wellness markets
and medical cannabis. Its
subsidiaries include BGX
E-Health LLC and Biocannabix
Health Corp. The Company was
founded in July 2012.
Holistic Industries LLC is a
manufacturer of
pharmaceutical preparation.
The Company is located in
Capitol Heights, Maryland.</t>
  </si>
  <si>
    <t xml:space="preserve">5499
2834</t>
  </si>
  <si>
    <t xml:space="preserve">RELEVIUM TECHNOLOGIES INC/HOLISTIC INDUSTRIES LLC-STRATEGIC ALLIANCE</t>
  </si>
  <si>
    <t xml:space="preserve">Relevium Technologies Inc and Holistic Industries LLC planned to form a
strategic alliance to set out for Biocannabix is to build a fully
integrated biopharma company with control over plant genetics by growing
specialized organic cannabis strains, ensuring the best process to extract
the purest and safest form of cannabis concentrates and develop a true
understanding, at the molecular level, about the beneficial use,
formulation and dosage for pediatric and geriatric applications.</t>
  </si>
  <si>
    <t xml:space="preserve">75942W
8H5805</t>
  </si>
  <si>
    <t xml:space="preserve">Shionogi &amp; Co Ltd
ROHTO Pharmaceutical Co Ltd</t>
  </si>
  <si>
    <t xml:space="preserve">Shionogi &amp; Co Ltd, located
in Osaka-Shi Osaka, Japan,
manufactures pharmaceutical
products.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The Company was
founded in 1878.
ROHTO Pharmaceutical Co Ltd,
located in Osaka, Japan,
principally engaged in the
health and beauty care area.
The Company primarily provides
eye care-related products,
including eye drops and eye
lotions; skin care-related
products, including
dermatological preparations,
lip balms, sunscreens and
functional cosmetics; oral
medication and food-related
products, including digestive
medicines, Chinese herbal
medicines and supplements, as
well as extracorporeal test
drugs and other products. The
Company operates its business
in domestic market and
overseas markets, including
Europe, Asia and America. The
company was founded in 1899.</t>
  </si>
  <si>
    <t xml:space="preserve">SHIONOGI &amp; CO LTD/ROHTO PHARMACEUTICAL CO LTD-STRATEGIC ALLIANCE</t>
  </si>
  <si>
    <t xml:space="preserve">Shionogi Co Ltd and ROHTO Pharmaceutical Co Ltd formed a strategic
alliance. The purpose of strategic alliance was to clinical development and
commercialization of ADR-001 for the treatment of liver cirrhosis in
Japan.</t>
  </si>
  <si>
    <t xml:space="preserve">82466Q
77542C</t>
  </si>
  <si>
    <t xml:space="preserve">MGC Pharmaceuticals Ltd
Royal Melbourne Inst of Tech
Hebrew University Of Jerus</t>
  </si>
  <si>
    <t xml:space="preserve">Pharmacies and Drug Stores
Pvd commercial research svcs
Research and Development in The Physical, Engineering and Lifesciences (Except Biotechnology)</t>
  </si>
  <si>
    <t xml:space="preserve">MGC Pharmaceuticals Ltd is a
manufacturer of
pharmaceutical preparation.
The Company was founded in
October 2005 and is located
in Perth, Australia.
Provide commercial research
and engineering services
Hebrew University Of
Jerusalem is a provider of
research and development
services. The Company was
founded in November 1959 and
is located in Jerusalem,
Israel.</t>
  </si>
  <si>
    <t xml:space="preserve">2834
8731
3721</t>
  </si>
  <si>
    <t xml:space="preserve">Australia
Australia
Israel</t>
  </si>
  <si>
    <t xml:space="preserve">MGC PHARMACEUTICALS LTD/ROYAL MELBOURNE INSTITUTE OF/HEBREW UNIVERSITY OF
JERUSALEM-STRATEGIC ALLIANCE</t>
  </si>
  <si>
    <t xml:space="preserve">Australia
Israel</t>
  </si>
  <si>
    <t xml:space="preserve">MGC Pharmaceuticals Ltd, Royal Melbourne Institute of Technology and Hebrew
University Of Jerusalem planned to form a strategic alliance. The purpose
of strategic alliance were to launch international medicinal cannabis
research hub.</t>
  </si>
  <si>
    <t xml:space="preserve">2E7755
78033Z
0J6027</t>
  </si>
  <si>
    <t xml:space="preserve">TARGET PharmaSolutions Inc
Gilead Sciences Inc</t>
  </si>
  <si>
    <t xml:space="preserve">TARGET PharmaSolutions Inc,
located in Durham, North
Carolina, is a clinical data
company. It offers solutions
to improve clinical,
medical, and commercial
outcomes. The Company was
founded in February 2015.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</si>
  <si>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Wells Fargo &amp; Co
Gilead Sciences Inc</t>
  </si>
  <si>
    <t xml:space="preserve">6021
2836</t>
  </si>
  <si>
    <t xml:space="preserve">TARGET PHARMASOLUTIONS, INC./GILEAD SCIENCES INC-STRATEGIC ALLIANCE</t>
  </si>
  <si>
    <t xml:space="preserve">TARGET PharmaSolutions, Inc. and Gilead Sciences Inc formed a strategic
alliance to do Advance Research in NASH and Hepatitis B.</t>
  </si>
  <si>
    <t xml:space="preserve">9F4346
375558</t>
  </si>
  <si>
    <t xml:space="preserve">Offshore Renewable Energy
GE Renewable Energy</t>
  </si>
  <si>
    <t xml:space="preserve">Alternative Energy Sources
Electric utility company</t>
  </si>
  <si>
    <t xml:space="preserve">Offshore Renewable Energy
Catapult, located in Glasgow,
UK, provides renewable energy
services. Its activities
include procurement, resources
and test and demonstration.
GE Renewable Energy is an
electric power distributor.
The company is located in the
United States.</t>
  </si>
  <si>
    <t xml:space="preserve">Offshore Renewable Energy
General Electric Co</t>
  </si>
  <si>
    <t xml:space="preserve">499A
3612</t>
  </si>
  <si>
    <t xml:space="preserve">OFFSHORE RENEWABLE ENERGY CATAPULT/GE RENEWABLE ENERGY-STRATEGIC ALLIANCE</t>
  </si>
  <si>
    <t xml:space="preserve">Offshore Renewable Energy Catapult and GE Renewable Energy formed a
strategic alliance for minimizing the time people have to spend offshore,
which will enhance both safety and operating costs for offshore wind
farms.</t>
  </si>
  <si>
    <t xml:space="preserve">0C0242
0F2304</t>
  </si>
  <si>
    <t xml:space="preserve">Toyota Motor Corp
Japan Tobacco Inc</t>
  </si>
  <si>
    <t xml:space="preserve">Automobile Manufacturing
Cigarette Manufacturing</t>
  </si>
  <si>
    <t xml:space="preserve">Toyota Motor Corp,
headquartered in Aichi, Japan,
is a manufacturer and seller
of automobiles and a provider
of financial services. The
Group operates through three
segments: Automotive,
Financial Services and others.
Automotive segment designs,
manufactures, assembles and
sells passenger cars,
recreational and sport-utility
vehicles, minivans and trucks
and related parts and
accessories. Financial
services segment provides
financing to dealers and their
customers for the purchase or
lease of Toyota vehicles.
Other services segment
provides intelligent transport
systems, information
technology-based systems
encompassing car multimedia
systems, on-board intelligent
systems, advanced
transportation systems and
transportation infrastructure
and logistics systems. The
Group markets vehicles in more
than 170 countries. The
company was founded in 1937.
Japan Tobacco Inc, located
in Tokyo, Japan, is engaged
in the tobacco business. The
Company operates in four
businesses. The Japanese
Domestic Tobacco business is
engaged in the manufacture
and sale of cigarette
products in Japan, the
delivery of the Company's
products, the wholesale and
sale of imported tobacco
products, as well as the
manufacture of material
products. The International
Tobacco business
manufactures and sells
cigarette products overseas.
The Pharmaceutical business
is engaged in the research,
development, manufacture and
sale of pharmaceutical
products. The Food business
beverages, processed foods
and seasonings. The Company
was founded in 1985.</t>
  </si>
  <si>
    <t xml:space="preserve">3711
2111</t>
  </si>
  <si>
    <t xml:space="preserve">TOYOTA MOTOR CORP/JAPAN TOBACCO INC-STRATEGIC ALLIANCE</t>
  </si>
  <si>
    <t xml:space="preserve">Toyota Motor Corp and Japan Tobacco Inc formed a strategic alliance to
license its unique GRAS-Di DNA analysis technology that can dramatically
accelerate selective breeding.</t>
  </si>
  <si>
    <t xml:space="preserve">892331
47110T</t>
  </si>
  <si>
    <t xml:space="preserve">Puration Inc
Generex Biotechnology Corp</t>
  </si>
  <si>
    <t xml:space="preserve">Manufactures medicinals and botanicals
Biotechnology company</t>
  </si>
  <si>
    <t xml:space="preserve">Puration Inc, located in
Dallas, Texas, manufactures
medicinals and botanicals.
It is engaged in the
development of standardized
and repeatable cannabis
extraction processes that
can deliver a consistent and
high-quality concentrate for
infusion into consumer food
and beverage products that
appeal to the recreational
and wellness market
segments. The Company was
founded in 2011.
Generex Biotechnology Corp,
located in Burlington,
Ontario, is a biotechnology
company engaged primarily in
the research, development
and commercialization of
drug delivery systems and
technologies. It focuses on
the administration of
formulations of large
molecule drugs to the oral
(buccal) cavity using a
hand-held aerosol
applicator. Its subsidiaries
include Generex
Pharmaceuticals Inc, Generex
(Bermuda) Inc, Generex
Pharmaceuticals (USA) LLC
and Generex Marketing &amp;
Distribution Inc. The
Company was founded in 1997.</t>
  </si>
  <si>
    <t xml:space="preserve">Amer Cannabis Innovations
Generex Biotechnology Corp</t>
  </si>
  <si>
    <t xml:space="preserve">PURATION INC/GENEREX BIOTECHNOLOGY CORP-STRATEGIC ALLIANCE</t>
  </si>
  <si>
    <t xml:space="preserve">Puration Inc and Generex Biotechnology Corp formed a strategic alliance to
develop and produce NuGenerex CBD HydroHealth High Alkaline Water.</t>
  </si>
  <si>
    <t xml:space="preserve">74609P
371485</t>
  </si>
  <si>
    <t xml:space="preserve">Umc Utrecht
Quantib Bv</t>
  </si>
  <si>
    <t xml:space="preserve">General Medical and Surgical Hospitals
Diagnostic Imaging Centers</t>
  </si>
  <si>
    <t xml:space="preserve">Netherlands.
Quantib Bv is a diagnostic
imaging center operator. The
Company is located in the
Netherlands.</t>
  </si>
  <si>
    <t xml:space="preserve">8062
8071</t>
  </si>
  <si>
    <t xml:space="preserve">UMC UTRECHT/QUANTIB BV-STRATEGIC ALLIANCE</t>
  </si>
  <si>
    <t xml:space="preserve">Umc Utrecht and Quantib Bv planned to form a strategic alliance. The
purpose of the strategic alliance will invest manpower will be working
closely with researchers from the image sciences institute as well as
clinicians from the department of radiology.</t>
  </si>
  <si>
    <t xml:space="preserve">0J5849
0J5854</t>
  </si>
  <si>
    <t xml:space="preserve">Regenxbio Inc
Rocket Pharmaceuticals Inc</t>
  </si>
  <si>
    <t xml:space="preserve">REGENX Biosciences LLC,
located in Rockville,
Maryland, is an
adeno-associated virus (AAV)
gene therapy company. The
Company develops
personalized therapies based
on based on its NAV vector
technology platform. NAV
vector technology includes
AAV vectors such as rAAV7,
rAAV8, rAAV9, and rAAVrh10.
Its treatments in
development include programs
for hypercholesterolemia,
mucopolysaccharidoses, and
retinitis pigmentosa. The
Company's NAV technology is
utilized in a range of
applications including
molecular therapy,
understanding biological
activity and target
validation, creating disease
models and screening in
vivo, and genome-wide
association studies. It also
offers researchers
specialized and custom
products and services
including AAV plasmids, AAV
vector reporter systems, and
custom AAV vectors. The
company was founded in 2008.
Rocket Pharmaceuticals Inc,
located in Beverly,
Massachusetts, is a
manufacturer of
pharmaceutical preparation.
The Company was founded in
1996.</t>
  </si>
  <si>
    <t xml:space="preserve">REGENXBIO INC/ROCKET PHARMACEUTICALS INC-STRATEGIC ALLIANCE</t>
  </si>
  <si>
    <t xml:space="preserve">Regenxbio Inc and Rocket Pharmaceuticals Inc formed a strategic alliance to
develop and commercialize gene therapy treatments for Danon disease using
REGENXBIO's NAV AAV9 vector, as well as exclusive options for two
additional NAV AAV vectors for the treatment of Danon disease in the United
States.</t>
  </si>
  <si>
    <t xml:space="preserve">75901B
77313F</t>
  </si>
  <si>
    <t xml:space="preserve">BeiGene Ltd
Zymeworks Inc</t>
  </si>
  <si>
    <t xml:space="preserve">BeiGene Ltd, located in
Beijing, China, manufactures
biological products. It is a
global, clinical-stage,
research-based biotechnology
company focused on
molecularly targeted and
immuno-oncology cancer
therapeutics. It is
advancing a pipeline
consisting of novel oral
small molecules and
monoclonal antibodies for
the treatment of cancer. It
is working to create
combination solutions aimed
at having both a meaningful
and lasting impact on cancer
patients. The Company was
founded in October 2010.
Zymeworks Inc is a provider
of biotechnology research
and development services.
The company was founded in
2003 and is located in
Vancouver, Canada.</t>
  </si>
  <si>
    <t xml:space="preserve">BEIGENE LTD/ZYMEWORKS INC-STRATEGIC ALLIANCE</t>
  </si>
  <si>
    <t xml:space="preserve">Beigene Ltd and Zymeworks Inc formed a strategic alliance for the
development of cancer-targeting antibodies.</t>
  </si>
  <si>
    <t xml:space="preserve">5A3942
98985W</t>
  </si>
  <si>
    <t xml:space="preserve">Tetra Bio-Pharma Inc
Altus Formulation Inc</t>
  </si>
  <si>
    <t xml:space="preserve">Tetra Bio-Pharma Inc,
located in Ottawa, Ontario,
is a provider of
biotechnology research and
development services. The
Company was founded in May
17, 2007.
Altus Formulation Inc is a
provider of biotechnology
research and development
services. The Company was
founded in June 2012 and is
located in Mirabel, Canada.</t>
  </si>
  <si>
    <t xml:space="preserve">TETRA BIO-PHARMA INC/ALTUS FORMULATION INC-JOINT VENTURE</t>
  </si>
  <si>
    <t xml:space="preserve">Tetra Bio-Pharma Inc and Altus Formulation Inc planned to form a joint
venture to formulate, develop and deliver cannabinoid-derived therapeutics
for a number of indications in Canada.</t>
  </si>
  <si>
    <t xml:space="preserve">39985Y
8H8276</t>
  </si>
  <si>
    <t xml:space="preserve">Newsummit Biopharma Holdings
Nuformix Ltd</t>
  </si>
  <si>
    <t xml:space="preserve">Pharmaceutical company
Manufacture pharmaceuticals</t>
  </si>
  <si>
    <t xml:space="preserve">Newsummit Biopharma Holdings
Ltd, based in Shanghai, China,
is a pharmaceutical company.
It is a drug development
process solutions provider,
and offers services for new
drug development, to provide
our clients with one-stop
solutions for developing new
drug candidates and making
successful submissions for
investigational new drug, or
IND, and new drug application,
or NDA, to the PRC State Food
and Drug Administration, or
the SFDA. It was incorporated
in Cayman Islands.
Nuformix Ltd is a
manufacturer of
pharmaceutical
cocrystallisation products.
The Company is located in
Cambridge, the United
Kingdom.</t>
  </si>
  <si>
    <t xml:space="preserve">Newsummit Biopharma Holdings
Nuformix PLC</t>
  </si>
  <si>
    <t xml:space="preserve">NEWSUMMIT BIOPHARMA HOLDINGS/NUFORMIX LTD-STRATEGIC ALLIANCE</t>
  </si>
  <si>
    <t xml:space="preserve">Newsummit Biopharma Holdings Ltd and Nuformix Ltd formed a strategic
alliance for cancer supportive care product.</t>
  </si>
  <si>
    <t xml:space="preserve">65932W
8E7635</t>
  </si>
  <si>
    <t xml:space="preserve">Biolog Inc
Cannabis Strategic Ventures</t>
  </si>
  <si>
    <t xml:space="preserve">Mnfr clinical sys,equip
Miscellaneous Intermediation</t>
  </si>
  <si>
    <t xml:space="preserve">Biolog Inc is a manufacturer
of navigational, measuring,
electromedical and control
instruments. The Company was
founded in 1984 and is
located in Hayward,
California.
Cannabis Strategic Ventures
Inc is an intermediating
company. The Company is
located in Beverly Hills,
California.</t>
  </si>
  <si>
    <t xml:space="preserve">BIOLOG INC/CANNABIS STRATEGIC VENTURES INC-STRATEGIC ALLIANCE</t>
  </si>
  <si>
    <t xml:space="preserve">Biolog Inc and Cannabis Strategic Ventures Inc formed a strategic alliance
to develop water-soluble cannabis technologies to be used as ingredients
for cannabis and phyto cannabinoid rich-infused foods, beverages and
consumer products in the United States.</t>
  </si>
  <si>
    <t xml:space="preserve">09012Y
2H0714</t>
  </si>
  <si>
    <t xml:space="preserve">AVIBRAS Divisao Aerea e Naval
Fed Univ Of Santa Maria</t>
  </si>
  <si>
    <t xml:space="preserve">Mnfr,whl aircraft parts,equip
Colleges, Universities, and Professional Schools</t>
  </si>
  <si>
    <t xml:space="preserve">AVIBRAS Divisao Aerea e Naval
SA, headquartered in Sao Jose
Dos Campos, Brazil, designs,
develops, manufactures and
wholesales aircraft parts and
auxiliary equipment for the
military and civilian markets.
The Company products include
artillery rocket systems,
autonomous and guided
missiles, anti-aircraft
systems, weapon systems for
aircraft, military armored
vehicles, remotely piloted
aircraft, command and control
vehicles and complex systems
integration. It was founded in
1961.
Federal University Of Santa
Maria is a college operator.
The Company was founded in
1970 and is located in Santa
Maria, Brazil.</t>
  </si>
  <si>
    <t xml:space="preserve">AVIBRAS DIVISAO AEREA E NAVAL/FEDERAL UNIVERSITY OF SANTA MARIA-STRATEGIC
ALLIANCE</t>
  </si>
  <si>
    <t xml:space="preserve">AVIBRAS Divisao Aerea e Naval SA and Federal University Of Santa Maria
formed a strategic alliance to give technological and scientific research
and development concerning the cooperation in Space, Defense and Security
areas</t>
  </si>
  <si>
    <t xml:space="preserve">2A1233
0J1222</t>
  </si>
  <si>
    <t xml:space="preserve">C4X Discovery Holdings PLC
GTN Ltd</t>
  </si>
  <si>
    <t xml:space="preserve">Pharmaceutical Preparation Manufacturing
Advertising Agencies</t>
  </si>
  <si>
    <t xml:space="preserve">C4X Discovery Holdings PLC,
located in Manchester,
United Kingdom, provides
pharmaceutical drug
discovery services. The
Company uses Nuclear
Magnetic Resonance (NMR)
technology in discovering
drugs and drugs' efficiency.
The Company has solutions in
determining bioactive 3D
structures including natural
products, enzyme co-factors.
The Company was founded in
2008.
GTN Ltd, located in North
Sydney, Australia, is a
broadcast media advertising
agency. The Company's
segments include Australia,
the United Kingdom, Canada
and Brazil. It offers
advertising spots on
television and radio
networks, adjacent to
information reports that
listeners are engaged with,
such as traffic and news. It
is a supplier of traffic
information reports to radio
stations in Australia,
United Kingdom, Canada and
Brazil. In exchange for
providing these reports, and
in certain cases monetary
compensation, it receives
commercial advertising spots
adjacent to traffic, news
and information reports from
its network of affiliates.
These spots are bundled
together by the Company and
sold to advertisers on a
national, regional or
specific market basis. The
Company's advertising spots
are short in duration, and
are read live on the air by
radio and television
personalities during peak
audience hours. Its
subsidiaries include GTCR
Gridlock Management, Inc.
and Global Alert Network,
Inc. The Company was founded
in 1997.</t>
  </si>
  <si>
    <t xml:space="preserve">C4X DISCOVERY HOLDINGS PLC/GTN LTD-STRATEGIC ALLIANCE</t>
  </si>
  <si>
    <t xml:space="preserve">C4X Discovery Holdings PLC and GTN Ltd formed a strategic alliance to
maximise insights from shape-based chemistry and generate novel drug
candidates in neurodegeneration.</t>
  </si>
  <si>
    <t xml:space="preserve">3C6486
6E5020</t>
  </si>
  <si>
    <t xml:space="preserve">Madix Inc
Shekel Brainweigh Ltd</t>
  </si>
  <si>
    <t xml:space="preserve">Showcase, Partition, Shelving, and Locker Manufacturing
Other Electronic and Precision Equipment Repair and Maintenance</t>
  </si>
  <si>
    <t xml:space="preserve">Madix Inc is a manufacturer
of shelving. The Company is
located in Terrell, Texas.
Shekel Brainweight Ltd is
engaged in developing,
manufacturing, marketing and
distributing advanced
weighing systems for the
retail, healthcare and
industrial markets. It
designs and manufactures
weighing systems for OEMs
including GE Healthcare,
Toshiba, Fujitsu,
Diebold-Nixdorf and
Datalogic. The Company was
founded in 1971 and is
located in Lower Galilee,
Israel.</t>
  </si>
  <si>
    <t xml:space="preserve">2542
7629</t>
  </si>
  <si>
    <t xml:space="preserve">MADIX INC/SHEKEL BRAINWEIGHT LTD-JOINT VENTURE</t>
  </si>
  <si>
    <t xml:space="preserve">Madix Inc and Shekel Brainweight Ltd formed a joint venture to design and
develop new joint products integrating Shekels existing technology with
Madix state-of-the-art retail store fixtures.</t>
  </si>
  <si>
    <t xml:space="preserve">Research &amp; Development Services
Manufacturing Services
Retail &amp; Wholesale Services
Industrial Maintenance Services</t>
  </si>
  <si>
    <t xml:space="preserve">55647P
6H9204</t>
  </si>
  <si>
    <t xml:space="preserve">TRACON Pharmaceuticals Inc
I-Mab Biopharma (Shanghai) Co</t>
  </si>
  <si>
    <t xml:space="preserve">TRACON Pharmaceuticals Inc
is a manufacturer of
biological products. It
focuses on the development
of novel targeted
therapeutics for cancer,
age-related macular
degeneration, or AMD, and
fibrotic diseases. The
Company was founded in
October 2004 and is located
in San Diego, California.
I-Mab Biopharma is a
manufacturer of biological
products. The Company is
located in China. District,
China.</t>
  </si>
  <si>
    <t xml:space="preserve">TRACON PHARMACEUTICALS INC/I-MAB BIOPHARMA (SHANGHAI) CO LTD-STRATEGIC
ALLIANCE</t>
  </si>
  <si>
    <t xml:space="preserve">United States
Canada
St. Pierre</t>
  </si>
  <si>
    <t xml:space="preserve">TRACON Pharmaceuticals Inc and I-Mab Biopharma (Shanghai) Co Ltd formed a
strategic alliance for developing multiple immuno-oncology programs.</t>
  </si>
  <si>
    <t xml:space="preserve">89237H
5H3410</t>
  </si>
  <si>
    <t xml:space="preserve">Valens GroWorks Corp
Thermo Fisher Scientific Inc</t>
  </si>
  <si>
    <t xml:space="preserve">Biological Product (Except Diagnostic) Manufacturing
Mnfr analytical tech,equipment</t>
  </si>
  <si>
    <t xml:space="preserve">Valens GroWorks Corp is a
manufacturer of biological
products. The Company was
founded in January 1981 and
is located in Kelowna,
Canada.
Thermo Fisher Scientific
Inc, headquartered in
Waltham, Massachusetts,
manufactures analytical
technologies, scientific
equipment, and laboratory
consumables, including mass
spectrometers, liquid and
gas chromatographs, and
affiliated software, vials,
syringes, and columns
necessary for
chromatography,
microplate-based handling
and reading equipment,
optical biosensors, thermal
cyclers, DNA purification
systems, SNP scoring
systems, and capillary
electrophoresis (CE),
ultralow-temperature
freezers, high-speed
centrifuges, centrifugal
vacuum concentrators, and
laboratory freeze dryers,
precision control
instruments. It clients
include the pharmaceutical
and biotech companies,
hospitals and clinical
diagnostic labs,
universities, research
institutions and government
agencies, as well as in
environmental and process
control industries. Its
brands include Thermo
Scientific and Fisher
Scientific. The Company was
founded in 1956.</t>
  </si>
  <si>
    <t xml:space="preserve">2836
3829</t>
  </si>
  <si>
    <t xml:space="preserve">VALENS GROWORKS CORP/THERMO FISHER SCIENTIFIC INC-STRATEGIC ALLIANCE</t>
  </si>
  <si>
    <t xml:space="preserve">Valens GroWorks Corp and Thermo Fisher Scientific Inc formed a strategic
alliance to develop and validate analytical methods for the study of
cannabis.</t>
  </si>
  <si>
    <t xml:space="preserve">91913D
883556</t>
  </si>
  <si>
    <t xml:space="preserve">Timex Group India Ltd
Huami Corp</t>
  </si>
  <si>
    <t xml:space="preserve">Mnfr,whl,ret watches,clocks
Watch, Clock, and Part Manufacturing</t>
  </si>
  <si>
    <t xml:space="preserve">Timex Group India Ltd, located
in Noida, India manufactures,
wholesales and retails watches
and clocks. The company was
founded in 1850.
Huami Corp is a manufacturer
of clockwork and parts. The
Company is located in Hefei,
China.</t>
  </si>
  <si>
    <t xml:space="preserve">Timex Group Usa Inc
Huami Corp</t>
  </si>
  <si>
    <t xml:space="preserve">TIMEX GROUP INDIA LTD/HUAMI CORP-STRATEGIC ALLIANCE</t>
  </si>
  <si>
    <t xml:space="preserve">Timex Group India Ltd and Huami Corp formed a strategic alliance to develop
a new generation of smart watches.</t>
  </si>
  <si>
    <t xml:space="preserve">Y8840C
44331K</t>
  </si>
  <si>
    <t xml:space="preserve">Bristol-Myers Squibb Co
Wells Fargo &amp; Co</t>
  </si>
  <si>
    <t xml:space="preserve">2834
6021</t>
  </si>
  <si>
    <t xml:space="preserve">BRISTOL-MYERS SQUIBB CO/TARGET PHARMASOLUTIONS INC-STRATEGIC ALLIANCE</t>
  </si>
  <si>
    <t xml:space="preserve">Bristol-Myers Squibb Co and TARGET PharmaSolutions Inc formed a strategic
alliance in United States to advance inflammatory bowel disease (IBD)
research. TARGET-IBD is a longitudinal observational study that evaluates
patients with Inflammatory Bowel Disease, including adult and pediatric
patients with ulcerative colitis, Crohn's disease and indeterminate
Colitis.</t>
  </si>
  <si>
    <t xml:space="preserve">Camil Alimentos SA
Amyris Inc</t>
  </si>
  <si>
    <t xml:space="preserve">Rice Farming
All Other Basic Organic Chemical Manufacturing</t>
  </si>
  <si>
    <t xml:space="preserve">Camil Alimentos SA, located
in Sao Paulo, Brazil,
produces and wholesales rice
and beans in Brazil and
Latin America. Its products
include risottos, soups,
broths, rice puddings,
carioca beans, white beans,
black beans, green peas,
lentils, etc. It's products
are distributed under
various brand names,
including Camil, Pescador,
Coqueiro, Uniao, Barra,
Dolce, Neve and Ducula in
Brazil, Saman in Uruguay,
Tucapel in Chile, as well as
Costeno and Paisana in Peru.
The Company operates grain
processing units, fish
processing plants and sugar
mills.It was founded in
1963.
Amyris Inc, headquartered in
Emeryville, California, is a
biotechnology company. It is
focuses in two major
projects namely the
production of the drug
artemisinin to fight malaria
and production of renewable
biofuels to help reduce
global warming. The Company
was founded in 2003.</t>
  </si>
  <si>
    <t xml:space="preserve">0112
2869</t>
  </si>
  <si>
    <t xml:space="preserve">Camil Investimentos SA
Amyris Inc</t>
  </si>
  <si>
    <t xml:space="preserve">CAMIL ALIMENTOS SA/AMYRIS INC-STRATEGIC ALLIANCE</t>
  </si>
  <si>
    <t xml:space="preserve">Camil Alimentos SA and Amyris Inc formed a strategic alliance to meet
growing consumer demand for zero calorie natural sweeteners in Brazil.</t>
  </si>
  <si>
    <t xml:space="preserve">8F7155
03236M</t>
  </si>
  <si>
    <t xml:space="preserve">TODOS MEDICAL Ltd
Amarantus Biosciences Hldg Inc</t>
  </si>
  <si>
    <t xml:space="preserve">In-Vitro Diagnostic Substance Manufacturing
Biotechnology company</t>
  </si>
  <si>
    <t xml:space="preserve">TODOS MEDICAL Ltd is a
manufacturer of in-vitro
diagnostic substances. The
Company was founded in 2010
and is located in Rehovot,
Israel.
Amarantus Bioscience
Holdings Inc is a
biotechnology company
focused on developing
therapeutic products with
the potential for orphan
drug designation in the
areas of neurology,
psychiatry, ophthalmology
and regenerative medicine,
and diagnostics in
neurology. The Company was
founded in March 2013 and is
located in San Francisco,
California.</t>
  </si>
  <si>
    <t xml:space="preserve">TODOS MEDICAL LTD/AMARANTUS BIOSCIENCE HOLDINGS INC-JOINT VENTURE</t>
  </si>
  <si>
    <t xml:space="preserve">TODOS MEDICAL Ltd and Amarantus Bioscience Holdings Inc planned to form a
20:80 joint venture named Breakthrough Diagnostics to develop LymPro Test
as a diagnostic blood test for Alzheimer's disease in Germany.</t>
  </si>
  <si>
    <t xml:space="preserve">3E8215
02300U</t>
  </si>
  <si>
    <t xml:space="preserve">Icagen Inc
F Hoffmann-La Roche Ltd</t>
  </si>
  <si>
    <t xml:space="preserve">Icagen Inc, located in Durham,
North Carolina, manufactures
prescription pharmaceuticals
focused on the discovery,
development and
commercialization of novel
small molecule drugs that
modulate ion channel targets.
The company was founded in
1992.
F Hoffmann-La Roche Ltd,
located in Basel,
Switzerland, manufactures
pharmaceuticals, biological
products, medicines,
chemicals and wholesale
medical research
instruments. The Company
also provides research
services and acts as a
holding company. The Company
was founded in 1896.</t>
  </si>
  <si>
    <t xml:space="preserve">Pfizer Inc
Roche Holdings AG</t>
  </si>
  <si>
    <t xml:space="preserve">ICAGEN INC/F HOFFMANN-LA ROCHE LTD-STRATEGIC ALLIANCE</t>
  </si>
  <si>
    <t xml:space="preserve">Icagen Inc and F Hoffmann-La Roche Ltd extended their strategic
alliance.The purpose of strategic alliance was to develop and commercialize
small molecule ion channel modulators for the treatment of neurological
disorders.The purpose of expansion of strategic alliance was to develop and
commercialize small molecule ion channel modulators for the treatment of
neurological disorders, by adding a second program to the agreement.</t>
  </si>
  <si>
    <t xml:space="preserve">Licensing Services
Research &amp; Development Services
Health &amp; Medical Services
Hospital &amp; Clinical Services</t>
  </si>
  <si>
    <t xml:space="preserve">45104P
7H3783</t>
  </si>
  <si>
    <t xml:space="preserve">Domain Therapeutics SA
Boehringer Ingelheim GmbH</t>
  </si>
  <si>
    <t xml:space="preserve">Domain Therapeutics SA,
headquartered in Strasbourg,
France, is a
biopharmaceutical company.
It develops small molecules
targeting G-coupled Protein
Receptors.
Boehringer Ingelheim GmbH,
located in Ingelheim,
Germany, manufactures and
develops prescription
pharmaceuticals for human
and animals.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t>
  </si>
  <si>
    <t xml:space="preserve">Domain Therapeutics SA
Laboratorios Sanfer SA de CV</t>
  </si>
  <si>
    <t xml:space="preserve">France
Mexico</t>
  </si>
  <si>
    <t xml:space="preserve">DOMAIN THERAPEUTICS SA/BOEHRINGER INGELHEIM GMBH-STRATEGIC ALLIANCE</t>
  </si>
  <si>
    <t xml:space="preserve">Domain Therapeutics SA and Boehringer Ingelheim GmbH formed a strategic
alliance.</t>
  </si>
  <si>
    <t xml:space="preserve">25720V
09710W</t>
  </si>
  <si>
    <t xml:space="preserve">Sustainalytics BV
FTSE International Ltd</t>
  </si>
  <si>
    <t xml:space="preserve">Pvd research svcs
Internet Service Providers</t>
  </si>
  <si>
    <t xml:space="preserve">Sustainalytics BV, based in
Amsterdam, Netherlands,
provides sustainability
research services to the
financial sector
specializing in analyzing
the Environmental, Social,
and Governance (ESG)
performance of companies,
institutions, and countries.
The Company was founded in
1992.
FTSE International Ltd is an
internet service provider.
It provides index data
services, real time daily
and historical data services
for traders and portfolio
managers to monitor global
market developments,
index-based derivatives that
include futures and options,
and financial contracts, and
custom index solutions. The
Company is located in
London, the United Kingdom.</t>
  </si>
  <si>
    <t xml:space="preserve">8732
7375</t>
  </si>
  <si>
    <t xml:space="preserve">Sustainalytics BV
London Stock Exchange Grp PLC</t>
  </si>
  <si>
    <t xml:space="preserve">8732
6231</t>
  </si>
  <si>
    <t xml:space="preserve">SUSTAINALYTICS BV/FTSE INTERNATIONAL LTD-STRATEGIC ALLIANCE</t>
  </si>
  <si>
    <t xml:space="preserve">Sustainalytics BV and FTSE International Ltd formed a strategic alliance to
develop new FTSE Russell ESG indexes using the new Sustainalytics ESG Risk
Ratings.</t>
  </si>
  <si>
    <t xml:space="preserve">89762M
30185Y</t>
  </si>
  <si>
    <t xml:space="preserve">University of Notre Dame
Indiana Biosciences Research</t>
  </si>
  <si>
    <t xml:space="preserve">The University of Notre Dame,
founded in 1842 by Rev. Edward
F. Sorin, C.S.C., of the
Congregation of Holy Cross, is
an independent, national
Catholic university located in
Notre Dame, Ind., adjacent to
the city of South Bend and
approximately 90 miles east of
Chicago. The University is
organized into four colleges -
Arts and Letters, Science,
Engineering, and the Mendoza
College of Business - the
School of Architecture, the
Law School, the Graduate
School, six major research
institutes, more than 40
centers and special programs,
and the University library
system.
Indiana Biosciences Research
Institute Inc is a provider
of biotechnology research
and development services.
The Company was founded in
May 2013 and is located in
Indianapolis, Indiana.</t>
  </si>
  <si>
    <t xml:space="preserve">UNIV OF NOTRE DAME DU LAC/INDIANA BIOSCIENCES RESEARCH INSTITUTE
INC-STRATEGIC ALLIANCE</t>
  </si>
  <si>
    <t xml:space="preserve">Univ of Notre Dame Du Lac and Indiana Biosciences Research Institute Inc
formed a strategic alliance. The purpose of the strategic alliance is to
enable both organizations to work together on research covering significant
health issues in Indiana and around the world.</t>
  </si>
  <si>
    <t xml:space="preserve">91472T
0J9481</t>
  </si>
  <si>
    <t xml:space="preserve">Avacta Group PLC
LG Chem Ltd</t>
  </si>
  <si>
    <t xml:space="preserve">Biological Product (Except Diagnostic) Manufacturing
Mnfr,whl petrochem,automotive</t>
  </si>
  <si>
    <t xml:space="preserve">Avacta Group PLC is a
develops advanced molecular
detection and analysis
technologies for the
biopharmaceutical, homeland
security, defence and
medical diagnostics
industries. The Company was
founded in 2004 and is
located in Wetherby, the
United Kingdom.
LG Chem Ltd is a company
principally engaged in the
manufacture of petrochemical
materials. The Company
operates its business
through four segments. The
Basic Materials Segment is
mainly engaged in the
manufacture of basic
materials which are mainly
used for petrochemical
industry, and the products
include polyvinyl chloride
(PVC) resins, low-density
polyethylene (LDPE), poly
styrene (PS), acrylonitrile
butadiene styrene (ABS),
acrylate and others. The
Information and Electronic
Material Segment is mainly
engaged in the manufacture
of optics materials whose
main product is polarizing
plates. The Battery Segment
is mainly engaged in the
manufacture of rechargeable
batteries including mobile
phone, automobile and
storage batteries. And the
Material Industry segment
which is engaged in the
manufacture of electronic
materials include liquid
crystal display (LCD) and
the positive pole materials.
The Company was founded in
April 2001 and is located in
Seoul, South Korea.</t>
  </si>
  <si>
    <t xml:space="preserve">AVACTA GROUP PLC/LG CHEM LTD-STRATEGIC ALLIANCE</t>
  </si>
  <si>
    <t xml:space="preserve">Avacta Group PLC and Lg Chem Ltd formed a strategic alliance to develop and
commercialise, on a worldwide basis, multiple Affimer therapeutics intended
for treatment of patients in the fields of inflammatory disorders, and
oncology.</t>
  </si>
  <si>
    <t xml:space="preserve">01846M
50344E</t>
  </si>
  <si>
    <t xml:space="preserve">Merck KGaA
Genoway SA</t>
  </si>
  <si>
    <t xml:space="preserve">Manufactures and wholesales pharmaceuticals, specialty chemicals, and cosmetic pigments
Testing Laboratories</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</si>
  <si>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genOway SA is a testing
laboratory. It focuses on
mouse, rat and cell line
genetical modifications. The
Company was founded in March
1999 and is located in Lyon,
France.</t>
  </si>
  <si>
    <t xml:space="preserve">2834
8734</t>
  </si>
  <si>
    <t xml:space="preserve">MERCK KGAA/GENOWAY SA-STRATEGIC ALLIANCE</t>
  </si>
  <si>
    <t xml:space="preserve">Merck KGaA and genOway SA extended their strategic alliance. The purpose of
the strategic alliance was to Mercks foundational genome-editing patents to
produce, sell rodent models by entering into an additional license
providing genOway with non-exclusive rights to commercialize the
development and use of all other animal cell models for its customers'
internal research uses as well as commercial exploitation.</t>
  </si>
  <si>
    <t xml:space="preserve">Research &amp; Development Services
Licensing Services
Manufacturing Services
Software Development Services
Health &amp; Medical Services</t>
  </si>
  <si>
    <t xml:space="preserve">589339
37270W</t>
  </si>
  <si>
    <t xml:space="preserve">Roosterbio Inc
Tissue Regeneration</t>
  </si>
  <si>
    <t xml:space="preserve">Roosterbio Inc is a provider
of biotechnology research
and development services.
The Company was founded in
June 2012 and is located in
Frederick, Maryland.
Tissue Regeneration
Therapeutics Inc is a
manufacturer of biological
products. The Company was
founded in 1970 and is
located in Toronto, Canada.</t>
  </si>
  <si>
    <t xml:space="preserve">ROOSTERBIO INC/TISSUE REGENERATION THERAPEUTICS INC-STRATEGIC ALLIANCE</t>
  </si>
  <si>
    <t xml:space="preserve">Roosterbio Inc and Tissue Regeneration Therapeutics Inc formed a strategic
alliance to advance their shared goal of accelerating the development of
the Regenerative Medicine and Cellular Therapy fields.</t>
  </si>
  <si>
    <t xml:space="preserve">0J1250
0J1252</t>
  </si>
  <si>
    <t xml:space="preserve">Entera Bio Ltd
Amgen Inc</t>
  </si>
  <si>
    <t xml:space="preserve">Entera Bio Ltd, located in
Israel, is a biotechnology
company. The company is
engaged in development of
oral drugs.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</si>
  <si>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DNA Biomedical Solutions Ltd
Amgen Inc</t>
  </si>
  <si>
    <t xml:space="preserve">3812
2836</t>
  </si>
  <si>
    <t xml:space="preserve">ENTERA BIO LTD/AMGEN INC-STRATEGIC ALLIANCE</t>
  </si>
  <si>
    <t xml:space="preserve">Entera Bio Ltd and Amgen Inc formed a strategic alliance to develop oral
formulations for one preclinical large molecule program that Amgen has
selected. Amgen also has an option to select up to two additional programs
to include in the collaboration in the United States.</t>
  </si>
  <si>
    <t xml:space="preserve">29003L
031162</t>
  </si>
  <si>
    <t xml:space="preserve">Arcblock Inc
Zenzio Inc</t>
  </si>
  <si>
    <t xml:space="preserve">Software Publishers
Commodity Contracts Dealing</t>
  </si>
  <si>
    <t xml:space="preserve">Arcblock Inc is a Blockchain
development platform. The
Company was founded in 1970
and is located in Bellevue,
Washington.
Zenzio Inc is a hub for
cryptocurrency researchers
and blockchain enthusiasts.
The Company is located in
Seattle, Washington.</t>
  </si>
  <si>
    <t xml:space="preserve">7372
6099</t>
  </si>
  <si>
    <t xml:space="preserve">ARCBLOCK INC/ZENZIO INC-STRATEGIC ALLIANCE</t>
  </si>
  <si>
    <t xml:space="preserve">Arcblock Inc and Zenzio Inc formed a strategic alliance to create and drive
industry-leading content and programming by leveraging ArcBlock's
innovative OCAP-enabled services that give users and researchers the
ability to perform in-depth analysis of leading blockchain projects like
Bitcoin, Ethereum and Hyperledger.</t>
  </si>
  <si>
    <t xml:space="preserve">9H8780
9H8781</t>
  </si>
  <si>
    <t xml:space="preserve">SRI International
Q Biomed Inc</t>
  </si>
  <si>
    <t xml:space="preserve">SRI International, located in
Menlo Park, California,
provides research and
development services
conducting client-supported
research and development for
government agencies,
commercial businesses and
nonprofit foundations. It
focuses on communications and
network, computing, drug
discovery &amp; development and
health sciences, economic
development and S&amp;T policy,
education, energy and
environment, engineering
systems, homeland security and
national defense, materials
and structures and robotics.
The company was founded in
1946.
Q Biomed Inc, located in New
York, New York, is a
manufacturer of biological
products. The Company holds
license for a generic drug,
Strontium Chloride (SR89).
SR89 is a
radiopharmaceutical agent
and indicated for the
treatment of pain associated
with metastatic bone cancer.
Its asset, MAN-01, is
indicated for the treatment
of glaucoma. MAN-01 is in
pre-clinical stage. The
Company is assessing
multiple biomedical assets
in various areas of
healthcare and drug
development. It is pursuing
a pipeline of therapeutics,
diagnostics and orphan drug
candidates. The Company was
founded in November 2013.</t>
  </si>
  <si>
    <t xml:space="preserve">SRI INTERNATIONAL/Q BIOMED INC-STRATEGIC ALLIANCE</t>
  </si>
  <si>
    <t xml:space="preserve">SRI International and Q BioMed Inc formed a strategic alliance to provide
formulation development, preclinical development, and early clinical
manufacturing of QBM-001, in support of Q BioMeds Autistic Spectrum
Disorder (ASD) drug development program for non-verbal or minimally verbal
autistic children in the United States.</t>
  </si>
  <si>
    <t xml:space="preserve">78464L
74736N</t>
  </si>
  <si>
    <t xml:space="preserve">Orgenesis Inc
B G Negev Tech And</t>
  </si>
  <si>
    <t xml:space="preserve">Manufactures biological products
Biotechnology company</t>
  </si>
  <si>
    <t xml:space="preserve">Orgenesis Inc, located in
Germantown, Maryland,
manufactures biological
products. It develops,
manufactus and processes
technologies and services in
the cell and gene therapy
industry. It operates a
point-of-care (POCare) cell
therapy platform (POC). The
POC platform develops
Advanced Therapy Medicinal
Products (ATMPs) through
collaborations and
in-licensing with other
pre-clinical and
clinical-stage
biopharmaceutical companies
and research and healthcare
institutes to bring such
ATMPs to patient. The POC
platform include a multitude
of cell therapies, including
autoimmune, oncologic,
neurologic and metabolic
diseases and other
indications. The Company was
founded in June 2008.
B G Negev Technologies &amp;
Applications Ltd is a
manufacturer of biological
products. The Company was
founded in June 1978 and is
located in Beer Sheva,
Israel.</t>
  </si>
  <si>
    <t xml:space="preserve">ORGENESIS INC/B G NEGEV TECHNOLOGIES AND APPLICATIONS LTD-STRATEGIC
ALLIANCE</t>
  </si>
  <si>
    <t xml:space="preserve">Orgenesis Inc and B G Negev Technologies and Applications Ltd formed a
strategic alliance was to develop and commercialize technologies utilizing
the dissolvable carriers for cell culturing.</t>
  </si>
  <si>
    <t xml:space="preserve">Computer Programming Services
Software Development Services
Research &amp; Development Services</t>
  </si>
  <si>
    <t xml:space="preserve">68619K
9E3000</t>
  </si>
  <si>
    <t xml:space="preserve">Symantec Corp
Cymulate Ltd</t>
  </si>
  <si>
    <t xml:space="preserve">Develops sec,sys mgmt software
Software Publishers</t>
  </si>
  <si>
    <t xml:space="preserve">Symantec Corp, headquartered
in Mountain View,
California, develops
security, storage and system
management solutions
software. It operates within
its segments namely:
Consumer Products segment
focuses on delivering its
Internet security, PC
tune-up and backup products
to individual users and home
offices. Security and Data
Management segment focuses
on providing large to small
and medium-sized businesses
with solutions for
compliance. Data Center on
providing enterprise and
large enterprise customers
with storage and server
management, data protection
and application performance
management solutions across
heterogeneous storage and
server platforms. Services
segment provides
consultancy, technical
knowledge, business
expertise and global insight
across multi-vendor
environments that assist
organizations in managing IT
risk on an ongoing basis.
The Company was founded in
1982.
Cymulate Ltd is a software
publisher. The Company is
located in Rishon LeZion,
Israel. Israel.</t>
  </si>
  <si>
    <t xml:space="preserve">SYMANTEC CORP/CYMULATE LTD-STRATEGIC ALLIANCE</t>
  </si>
  <si>
    <t xml:space="preserve">Symantec Corp and Cymulate Ltd formed a strategic alliance was to provide
an Attacker-Defender collabration to share the research related to email
threats and real world attack patterns.</t>
  </si>
  <si>
    <t xml:space="preserve">871503
9H4158</t>
  </si>
  <si>
    <t xml:space="preserve">Eli Lilly &amp; Co
AC Immune SA</t>
  </si>
  <si>
    <t xml:space="preserve">Manufactures,wholesales pharmaceuticals
Pvd research,dvlp svcs</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</si>
  <si>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AC Immune SA, located in
Lausanne, Switzerland,
provides research and
development services. It
involves in the combination of
an immunology and a chemistry
platform technology to develop
therapies against
conformational diseases and
cancer. The company was
founded in 2003.
founded in 2003.</t>
  </si>
  <si>
    <t xml:space="preserve">ELI LILLY &amp; CO/AC IMMUNE SA-STRATEGIC ALLIANCE</t>
  </si>
  <si>
    <t xml:space="preserve">Eli Lilly Co and AC Immune SA formed a strategic alliance to research and
develop tau aggregation inhibitor small molecules for the potential
treatment of alzheimer's disease (AD) and other neurodegenerative
diseases.</t>
  </si>
  <si>
    <t xml:space="preserve">532457
8E9397</t>
  </si>
  <si>
    <t xml:space="preserve">Bruker Corp
Mestrelab Research SL</t>
  </si>
  <si>
    <t xml:space="preserve">Manufacture,wholesale scientific instruments
Dvlp data processing software</t>
  </si>
  <si>
    <t xml:space="preserve">Bruker Corp, located in
Billerica, Massachusetts,
manufactures and wholesales
scientific instruments for
chemical analysis, life
science and pharmaceutical,
biotechnology and molecular
diagnostics research. It has
offices in Africa, Asia,
Pacific, Australia and New
Zealand, Europe, North
America and South America.
The Company was founded in
1991.
Mestrelab Research SL,
located in Santiago de
Compostela, Spain, develops
software for analytical
chemistry and analytical
chemistry data management.
The Company was founded in
January 1996.</t>
  </si>
  <si>
    <t xml:space="preserve">3826
7372</t>
  </si>
  <si>
    <t xml:space="preserve">BRUKER CORP/MESTRELAB RESEARCH SL-STRATEGIC ALLIANCE</t>
  </si>
  <si>
    <t xml:space="preserve">Bruker Corp and Mestrelab Research SL formed a strategic alliance was to
advance chemistry software that handles spectroscopic data and extracts and
manages chemical information from a variety of analytical techniques.</t>
  </si>
  <si>
    <t xml:space="preserve">116794
59067R</t>
  </si>
  <si>
    <t xml:space="preserve">Merck Sharp &amp; Dohme
Butantan Inst</t>
  </si>
  <si>
    <t xml:space="preserve">Merck Sharp &amp; Dohme
Farmaceutica Ltda is a
manufacturer of
pharmaceutical preparation.
The Company was founded in
1952 and is located in
Campinas, Brazil.
Butantan Institute is a
provider of social sciences
research and development
services. The Company is
located in Sao Paulo,
Brazil.</t>
  </si>
  <si>
    <t xml:space="preserve">Merck &amp; Co Inc
Butantan Inst</t>
  </si>
  <si>
    <t xml:space="preserve">MERCK SHARP &amp; DOHME/BUTANTAN INSTITUTE-STRATEGIC ALLIANCE</t>
  </si>
  <si>
    <t xml:space="preserve">Merck Sharp Dohme Farmaceutica Ltda and Butantan Institute formed a
strategic alliance was to development of dengue vaccines.</t>
  </si>
  <si>
    <t xml:space="preserve">59053C
9H1908</t>
  </si>
  <si>
    <t xml:space="preserve">Innovent Biologics Inc
Incyte Corp</t>
  </si>
  <si>
    <t xml:space="preserve">Innovent Biologics Inc,
located in Suzhou China,
develops and produces
monoclonal antibodies and
other biopharmaceuticals. It
has been focusing on
innovation towards
indications in cancer,
ophthalmology, autoimmune
disorders, and
cardiovascular diseases. The
Company was founded in
August 2011.
Incyte Corp is a
manufacturer of
pharmaceutical preparation.
The Company was founded in
1991 and is located in
Wilmington, Delaware. Incyte
is a global
biopharmaceutical company
that investment in strong
science and the relentless
pursuit of R&amp;D excellence
can translate into new
solutions that can
positively affect patients
lives.</t>
  </si>
  <si>
    <t xml:space="preserve">INNOVENT BIOLOGICS INC/INCYTE CORP-STRATEGIC ALLIANCE</t>
  </si>
  <si>
    <t xml:space="preserve">Innovent Biologics Inc and Incyte Corp formed a strategic alliance to
develop and commercialize the three assets in hematology and oncology in
Mainland China, Hong Kong, Macau and Taiwan</t>
  </si>
  <si>
    <t xml:space="preserve">5A7703
45337C</t>
  </si>
  <si>
    <t xml:space="preserve">Pyramid Biosciences Inc
AstraZeneca PLC</t>
  </si>
  <si>
    <t xml:space="preserve">Biological Product (Except Diagnostic) Manufacturing
Manufactures, wholesales pharmaceutical products</t>
  </si>
  <si>
    <t xml:space="preserve">Pyramid Biosciences Inc is a
manufacturer of biological
products. The Company was
founded in April 2015 and is
located in Needham,
Massachusetts.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</si>
  <si>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PYRAMID BIOSCIENCES INC/ASTRAZENECA PLC-STRATEGIC ALLIANCE</t>
  </si>
  <si>
    <t xml:space="preserve">Pyramid Biosciences Inc and AstraZeneca PLC formed a strategic alliance for
the development and commercialization rights to a novel Tropomyosin
receptor kinase (TRK) modulator, PBI-100.</t>
  </si>
  <si>
    <t xml:space="preserve">0J0608
046353</t>
  </si>
  <si>
    <t xml:space="preserve">Princeton University
Google LLC</t>
  </si>
  <si>
    <t xml:space="preserve">University
Provides internet search engine services</t>
  </si>
  <si>
    <t xml:space="preserve">University
Google LLC, located in
Mountain View, California,
provides internet search
engine services and
advertising solutions
through its internet site
and intranet solutions via
an enterprise search
appliance. It has local
offices in Mississippi,
Georgia, Texas, Colorado,
Illinois, Massachusetts,
North Carolina, and New
York, and international
offices located in Belgium,
Czech Republic, Denmark,
Finland, France, Germany,
Greece, Hungary, Ireland,
Italy, the Netherlands,
Norway, Poland, Portugal,
the Russian Federation,
Spain, Sweden, Switzerland,
Ukraine, the UK, Canada,
Latin America and the Middle
East. It has automated
search technology that helps
people to obtain access to
relevant information from
vast online index.
Trademarks include Google,
YouTube, DoubleClick, DART,
AdSense, AdWords, Gmail,
I''m Feeling Lucky,
PageRank, Blogger, orkut,
Picasa, SketchUp and
Postini. It can be accessed
through destination sites at
Google.com and 112 other
international domains, such
as Google.ba, Google.dm,
Google.nr, Google.co.jp and
Google.ca. The Google
interface is available in
120 languages. The Company
was founded on September 4,
1998.</t>
  </si>
  <si>
    <t xml:space="preserve">8221
7375</t>
  </si>
  <si>
    <t xml:space="preserve">Princeton University
Alphabet Inc</t>
  </si>
  <si>
    <t xml:space="preserve">PRINCETON UNIVERSITY/GOOGLE INC-STRATEGIC ALLIANCE</t>
  </si>
  <si>
    <t xml:space="preserve">Princeton University and Google Inc planned to form a strategic alliance.</t>
  </si>
  <si>
    <t xml:space="preserve">74246Q
7J8440</t>
  </si>
  <si>
    <t xml:space="preserve">TriArm Therapeutics Ltd
ZIOPHARM Oncology Inc</t>
  </si>
  <si>
    <t xml:space="preserve">Research and Development in Biotechnology
Biotechnology co</t>
  </si>
  <si>
    <t xml:space="preserve">TriArm Therapeutics Ltd is a
provider of biotechnology
research and development
services. The Company is
located in Hong Kong.
ZIOPHARM Oncology Inc,
located in Boston,
Massachusetts is a
biopharmaceutical company.
It is engaged in the
development and
commercialization of a
portfolio of in-licensed
cancer drugs. It focuses
primarily on the licensing
and development of
proprietary drug candidate
families that are related to
cancer therapeutics that are
already on the market or in
development. The company's
product candidates include
ZIO-101, ZIO-201, and
ZIO-301, which are in phase
I and/or II studies.
ZIO-101, organic arsenic is
in a phase I/II trial in
patients with advanced
myeloma, as well as a phase
I trial in advanced cancers;
ZIO-201, stabilized
isophosphoramide mustard is
in a phase I/II trial in
patients with advanced
sarcoma, as well as in a
phase I trials in advanced
cancers; and ZIO-301, an
anti-cancer agent that
targets mitosis like the
taxanes is in a phase I
trial. The company was
founded in 2003.</t>
  </si>
  <si>
    <t xml:space="preserve">8731
8093</t>
  </si>
  <si>
    <t xml:space="preserve">TRIARM THERAPEUTICS LTD/ZIOPHARM ONCOLOGY INC-JOINT VENTURE</t>
  </si>
  <si>
    <t xml:space="preserve">TriArm Therapeutics Ltd and ZIOPHARM Oncology Inc planned to form a 50:50
joint venture named Eden BioCell Ltd to develop and commercialize sleeping
beauty car t in china, taiwan and korea.</t>
  </si>
  <si>
    <t xml:space="preserve">9H9007
98973P</t>
  </si>
  <si>
    <t xml:space="preserve">AB InBev Efes BV
Tilray Inc</t>
  </si>
  <si>
    <t xml:space="preserve">Investment company
Medicinal and Botanical Manufacturing</t>
  </si>
  <si>
    <t xml:space="preserve">AB InBev Efes BV is an
intermediating company. The
Company is located in
Amsterdam, the Netherlands.
Tilray Inc, located in
Nanaimo, Canada,
manufactures and wholesales
cannabis products. It is
focused on medical cannabis
research, cultivation,
processing and distribution
of cannabis products. The
Company was founded on
January 25, 2018.</t>
  </si>
  <si>
    <t xml:space="preserve">6799
2833</t>
  </si>
  <si>
    <t xml:space="preserve">Anheuser-Busch Inbev SA/NV
Tilray Inc</t>
  </si>
  <si>
    <t xml:space="preserve">AB INBEV EFES BV/TILRAY INC-STRATEGIC ALLIANCE</t>
  </si>
  <si>
    <t xml:space="preserve">AB InBev Efes BV and Tilray Inc planned to form a strategic alliance to
research non-alcohol beverages containing tetrahydrocannabinol (THC) and
cannabidiol (CBD).</t>
  </si>
  <si>
    <t xml:space="preserve">2H1090
88688T</t>
  </si>
  <si>
    <t xml:space="preserve">Eli Lilly &amp; Co
Aduro Biotech Inc</t>
  </si>
  <si>
    <t xml:space="preserve">Manufactures,wholesales pharmaceuticals
Research and Development in The Physical, Engineering and Lifesciences (Except Biotechnology)</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</si>
  <si>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Aduro Biotech Inc, located
in Berkeley, California,
provides clinical research
and development services,
focused on non-invasive
targeted therapeutics that
use heat to treat cancer and
other life threatening and
debilitating diseases. It
focuses mainly on treatment
of pancreatic cancer. The
Company was founded in 2000.</t>
  </si>
  <si>
    <t xml:space="preserve">ELI LILLY &amp; CO/ADURO BIOTECH INC-STRATEGIC ALLIANCE</t>
  </si>
  <si>
    <t xml:space="preserve">Eli Lilly Co and Aduro BioTech Inc planned to form joint venture to
research, develop, manufacture and commercialize certain cGAS-STING
products for the treatment of autoimmune and other inflammatory diseases.</t>
  </si>
  <si>
    <t xml:space="preserve">532457
00739L</t>
  </si>
  <si>
    <t xml:space="preserve">Walgreens Boots Alliance Inc
Verily Life Sciences LLC</t>
  </si>
  <si>
    <t xml:space="preserve">Pharmacies and Drug Stores
Manufactures health data collection tools,platforms</t>
  </si>
  <si>
    <t xml:space="preserve">Walgreens Boots Alliance
Inc, located in Deerfield,
Illinois, retails pharmacy
products. It operates
through three segments:
Retail Pharmacy USA, Retail
Pharmacy International and
Pharmaceutical Wholesale.
The Retail Pharmacy USA
segment consists of the
Walgreen Co business, which
includes the operation of
retail drugstores, care
clinics and providing
specialty pharmacy services.
The Retail Pharmacy
International segment
consists primarily of the
Alliance Boots pharmacy-led
health and beauty stores,
optical practices and
related contract
manufacturing operations.
The Pharmaceutical Wholesale
Alliance Boots
pharmaceutical wholesaling
and distribution businesses.
Its portfolio of retail and
business brands includes
Walgreens, Duane Reade,
Boots and Alliance
Healthcare, as well as
global health and beauty
product brands, including
No7, Botanics, Liz Earle and
Soap &amp; Glory. The Company
was founded in 2014.
Verily Life Sciences LLC is
a manufactures tools and
platforms for health data
collection and
decision-making. It also
provides biotechnological
research services through
its partnership with
companies that aim to
develop medical devices for
disease prediction and
prevention.The Company was
founded in December 2015 and
is located in South San
Francisco, California.</t>
  </si>
  <si>
    <t xml:space="preserve">5912
3845</t>
  </si>
  <si>
    <t xml:space="preserve">Walgreens Boots Alliance Inc
Alphabet Inc</t>
  </si>
  <si>
    <t xml:space="preserve">5912
7375</t>
  </si>
  <si>
    <t xml:space="preserve">WALGREENS BOOTS ALLIANCE INC/VERILY LIFE SCIENCES LLC-STRATEGIC ALLIANCE</t>
  </si>
  <si>
    <t xml:space="preserve">Walgreens Boots Alliance Inc and Verily Life Sciences LLC formed a
strategic alliance to Innovate on New Solutions to Improve Health
Outcomes.</t>
  </si>
  <si>
    <t xml:space="preserve">931427
6E0406</t>
  </si>
  <si>
    <t xml:space="preserve">Insphero AG
Path Bioanalytics Inc</t>
  </si>
  <si>
    <t xml:space="preserve">Insphero AG is a
manufacturer of
pharmaceutical preparation.
The Company provides
organotypic biological
microtissues for biomimetic
drug testing. It uses a
cell-culture technology to
reform three dimensional
(3D) micro-tissues from
single cells, including cell
lines, primary cells, stem
cells and stem-cell derived
cells. The Company's
microtissues are
scaffold-free and do not
rely on a bioartifical
matrix for reformation. The
Company provides
microtissues for oncology,
3D microtissues derived from
liver, pancreas, tumor,
heart, brain and skin;
custom-made microtissues; as
well as GravityPLUS platform
for 3D cell culture. The
Company collaborates with
more than ten global
pharmaceutical and cosmetics
companies to implement its
patented microtissue
technology in the customers
development work flow. The
Company was founded in March
2009 and is located in
Zuerich, Switzerland.
Path Bioanalytics Inc is a
provider of biotechnology
research and development
services. The Company is
located in Chapel Hill,
North Carolina.</t>
  </si>
  <si>
    <t xml:space="preserve">INSPHERO AG/PATH BIOANALYTICS INC-STRATEGIC ALLIANCE</t>
  </si>
  <si>
    <t xml:space="preserve">Insphero AG and Path Bioanalytics Inc formed a strategic alliance to
Develop Advanced 3D Airway Tissue Model for Cystic Fibrosis Research.</t>
  </si>
  <si>
    <t xml:space="preserve">3H4542
9H7793</t>
  </si>
  <si>
    <t xml:space="preserve">MGX Minerals Inc
University of British Columbia</t>
  </si>
  <si>
    <t xml:space="preserve">Clay and Ceramic and Refractory Minerals Mining
Own,op college,university</t>
  </si>
  <si>
    <t xml:space="preserve">MGX Minerals Inc, located in
Vancouver, British Columbia,
is clay, ceramic and
refractory minerals mine
operator. The Company
focuses on the acquisition
and development of
industrial mineral deposits.
Its flagship project is the
Driftwood Creek magnesium
deposit in southeastern
British Columbia. The
Company was founded on April
27, 2012.
Own and operate college and
university</t>
  </si>
  <si>
    <t xml:space="preserve">1459
8221</t>
  </si>
  <si>
    <t xml:space="preserve">MGX MINERALS INC/UNIVERSITY OF BRITISH COLUMBIA-STRATEGIC ALLIANCE</t>
  </si>
  <si>
    <t xml:space="preserve">MGX Minerals Inc and University of British Columbia formed a strategic
alliance to develop a low-cost and scalable method for fabricating Silicon
based anode to improve the energy density of Li-ion batteries.</t>
  </si>
  <si>
    <t xml:space="preserve">55303L
91410F</t>
  </si>
  <si>
    <t xml:space="preserve">China Oncology Focus Ltd
Auransa Inc</t>
  </si>
  <si>
    <t xml:space="preserve">specialty pharmaceutical company
Medical Laboratories</t>
  </si>
  <si>
    <t xml:space="preserve">China Oncology Focus Ltd is
a drug store operator. The
Company was founded in
October 2014 and is located
in Hong Kong.
Auransa Inc is a medical
laboratory operator. The
Company was founded in July
2014 and is located in Palo
Alto, California.</t>
  </si>
  <si>
    <t xml:space="preserve">5912
8071</t>
  </si>
  <si>
    <t xml:space="preserve">CHINA ONCOLOGY FOCUS LTD/AURANSA INC-STRATEGIC ALLIANCE</t>
  </si>
  <si>
    <t xml:space="preserve">China Oncology Focus Ltd and Auransa Inc formed a strategic alliance was to
develop and commercialize Auransa's AU018 drug in China and Southeast
Asia.</t>
  </si>
  <si>
    <t xml:space="preserve">0H2321
9H7572</t>
  </si>
  <si>
    <t xml:space="preserve">Vuzix Corp
AccuWeather Inc</t>
  </si>
  <si>
    <t xml:space="preserve">Mnfr, whl personal viewers
provide online weather forecasting services</t>
  </si>
  <si>
    <t xml:space="preserve">Vuzix Corp is a manufacturer
of computer peripheral
equipment. The Company was
founded in 1997 and is
located in West Henrietta,
New York , is engaged in the
design, manufacture,
marketing and sale of
devices that are worn like
eyeglasses and feature
built-in video screens that
enable the user to view
video and digital content,
such as movies, computer
data, the Internet or video
games. The company was
founded in 1997.
AccuWeather Inc,
headquartered in State
College, Pennsylvania,
provides online weather
forecasting services. The
company provides hourly
forecasts for nearly 3
million locations worldwide
available on smart phones,
tablets, wired and mobile
internet sites, connected
TVs and Internet appliances,
as well as via radio,
television, and newspapers.
The company was founded in
1962.</t>
  </si>
  <si>
    <t xml:space="preserve">VUZIX CORP/ACCUWEATHER INC-STRATEGIC ALLIANCE</t>
  </si>
  <si>
    <t xml:space="preserve">Vuzix Corp and AccuWeather Inc formed a strategic alliance to bring
compelling and dynamic interactive AR-based weather experiences to Vuzix
Blade Smart Glasses users across the globe.</t>
  </si>
  <si>
    <t xml:space="preserve">92921W
00342P</t>
  </si>
  <si>
    <t xml:space="preserve">Univ Of Sharjah
Kazakhstan Gharysh Sapary</t>
  </si>
  <si>
    <t xml:space="preserve">Colleges, Universities, and Professional Schools
Research and Development in The Physical, Engineering and Lifesciences (Except Biotechnology)</t>
  </si>
  <si>
    <t xml:space="preserve">University Of Sharjah is a
college operator. The
Company is located in the
United Arab Emirates.
Kazakhstan Gharysh Sapary is
a space research
establishment. The Company
is located in Kazakhstan.</t>
  </si>
  <si>
    <t xml:space="preserve">UNIVERSITY OF SHARJAH/KAZAKHSTAN GHARYSH SAPARY-STRATEGIC ALLIANCE</t>
  </si>
  <si>
    <t xml:space="preserve">University Of Sharjah and Kazakhstan Gharysh Sapary formed strategic
alliance to cooperate in research and promoting the use of space for
peaceful purposes.</t>
  </si>
  <si>
    <t xml:space="preserve">9H6239
9H6242</t>
  </si>
  <si>
    <t xml:space="preserve">Braskem SA
Altares-D &amp; B SAS</t>
  </si>
  <si>
    <t xml:space="preserve">Manufacture and wholesale basic petrochemical products
Data Processing, Hosting, and Related Services</t>
  </si>
  <si>
    <t xml:space="preserve">Braskem SA, located in Sao
Paulo, Brazil, manufactures
basic petrochemical products.
The Company operates in five
segments: Basic
petrochemicals, Polyolefins,
Vinyls, International
businesses and Chemical
Distribution. The Company's
products portfolio includes
ethylene, propylene,
butadiene, toluene, xylene,
benzene, gasoline, diesel oil,
liquefied petroleum gas (LPG),
as well as thermoplastic
resins, such as polyethylene
(PE), polypropylene (PP) and
polyvinyl chloride (PVC).
Additionally, Braskem is also
engaged in the import and
export of chemicals,
petrochemicals and fuels; the
production, supply and sale of
utilities, such as steam,
water, compressed air,
industrial gases, as well as
the provision of industrial
services, and the production,
supply and sale of electric
energy for its own use and use
by other companies. It was
founded in 1972.
Altares-D &amp; B SAS is a
provider of data processing
and hosting services. The
Company is located in
Colombes, France.</t>
  </si>
  <si>
    <t xml:space="preserve">2869
7379</t>
  </si>
  <si>
    <t xml:space="preserve">Brazil
France</t>
  </si>
  <si>
    <t xml:space="preserve">Braskem SA
BPCE SA</t>
  </si>
  <si>
    <t xml:space="preserve">2869
6000</t>
  </si>
  <si>
    <t xml:space="preserve">BRASKEM SA/ALTARES-D &amp; B SAS-STRATEGIC ALLIANCE</t>
  </si>
  <si>
    <t xml:space="preserve">Braskem SA and Altares-D B SAS planned to form a strategic alliance. The
purpose of strategic alliance is for the research and development of
renewable chemicals.</t>
  </si>
  <si>
    <t xml:space="preserve">105532
02139M</t>
  </si>
  <si>
    <t xml:space="preserve">Merus NV
Betta Pharmaceuticals Co Ltd</t>
  </si>
  <si>
    <t xml:space="preserve">Merus NV, located in Utrecht,
Netherlands, is a
pharmaceutical company
manufacturing anticancer
pharmaceutical products.
Betta Pharmaceuticals Co Ltd
is a manufacturer and
wholesaler of pharmaceutical
preparation. It is
principally engaged in the
research and development,
manufacturing, sales and
marketing of drugs to treat
malignant tumors, diabetes,
cardiovascular and
cerebrovascular diseases.
Its core product is
icotinib, which is a kind of
antineoplastic agent. Its
products also include burn
pain relieving plaster,
oryzanol vitamin B1 and
vitamin B6 tablets. The
Company was founded in
January 2003 and is located
in Hangzhou, China.</t>
  </si>
  <si>
    <t xml:space="preserve">Norgine BV
Betta Pharmaceuticals Co Ltd</t>
  </si>
  <si>
    <t xml:space="preserve">MERUS NV/BETTA PHARMACEUTICALS CO LTD-STRATEGIC ALLIANCE</t>
  </si>
  <si>
    <t xml:space="preserve">Merus NV and Betta Pharmaceuticals Co Ltd formed a strategic alliance to
develop and commercialize Merus Biclonics MCLA-129 in China.</t>
  </si>
  <si>
    <t xml:space="preserve">9C9540
3A7955</t>
  </si>
  <si>
    <t xml:space="preserve">AXISCADES Engineering Tech Ltd
Altizon Inc</t>
  </si>
  <si>
    <t xml:space="preserve">Engineering Services
Information technology and services</t>
  </si>
  <si>
    <t xml:space="preserve">AXISCADES Engineering
Technologies Ltd, located in
Bangalore, India, provides
engineering services. The
Company also provides
mechanical engineering
services for product design
for white goods, automobiles,
engineering components, steel
fabrications, and others. Its
also located in Chennai, New
Delhi, Noida, Hyderabad,
Japan, Korea, Germany, France,
UK, USA and Canada. The
Company was founded in 1987.
Altizon Inc, located in Palo
Alto, California, is an
industrial internet of
things (IIoT) platform
company creating connected
intelligence for
enterprises. The Company was
founded in 2013.</t>
  </si>
  <si>
    <t xml:space="preserve">8711
7376</t>
  </si>
  <si>
    <t xml:space="preserve">AXISCADES ENGINEERING TECHNOLOGIES LTD/ALTIZON INC-STRATEGIC ALLIANCE</t>
  </si>
  <si>
    <t xml:space="preserve">AXISCADES Engineering Technologies Ltd and Altizon Inc planned to form a
strategic alliance help customers build the 'Factory of the Future' through
their combined smart manufacturing and digital transformation offerings.</t>
  </si>
  <si>
    <t xml:space="preserve">9C7337
1H9906</t>
  </si>
  <si>
    <t xml:space="preserve">Elastic.Io
Magic Software Enterprises Ltd</t>
  </si>
  <si>
    <t xml:space="preserve">Marketing Consulting Services
Develop software</t>
  </si>
  <si>
    <t xml:space="preserve">Elastic.Io is a provider of
marketing consulting
services. The Company is
located in Germany.
Magic Software Enterprises
Ltd, located in Or-Yehuda,
Israel, provides software
services that enables
enterprises to accelerate
the process of building and
deploying business software
applications that can be
rapidly customized and
integrated with existing
systems. The Company was
founded in 1983.</t>
  </si>
  <si>
    <t xml:space="preserve">8748
7372</t>
  </si>
  <si>
    <t xml:space="preserve">Elastic.Io
Formula Vision Technologies</t>
  </si>
  <si>
    <t xml:space="preserve">8748
7376</t>
  </si>
  <si>
    <t xml:space="preserve">ELASTIC.IO/MAGIC SOFTWARE ENTERPRISES LTD-STRATEGIC ALLIANCE</t>
  </si>
  <si>
    <t xml:space="preserve">Elastic.Io and Magic Software Enterprises Ltd formed a strategic alliance.</t>
  </si>
  <si>
    <t xml:space="preserve">9H5887
559166</t>
  </si>
  <si>
    <t xml:space="preserve">Confo Therapeutics NV
VIB</t>
  </si>
  <si>
    <t xml:space="preserve">Research and Development in Biotechnology
Pvd research,dvlp svcs</t>
  </si>
  <si>
    <t xml:space="preserve">Confo Therapeutics NV is a
provider of biotechnology
research and development
services. The Company was
founded in June 2015 and is
located in Brussels,
Belgium.
Flanders Interuniversity
Institute for Biotechnology
(Flanders) is a provider of
biotechnology research and
development services. The
Company was founded in 1995
and is located in Gent,
Belgium.</t>
  </si>
  <si>
    <t xml:space="preserve">CONFO THERAPEUTICS NV/FLANDERS INTERUNIVERSITY-STRATEGIC ALLIANCE</t>
  </si>
  <si>
    <t xml:space="preserve">Confo Therapeutics NV and Flanders Interuniversity Institute for
Biotechnology {VIB}(Flanders) formed a strategic alliance for Powerful
Novel Structure Determination Technology in Belgium.</t>
  </si>
  <si>
    <t xml:space="preserve">1H9083
33893H</t>
  </si>
  <si>
    <t xml:space="preserve">Janssen Pharmaceuticals Inc
Locus Biosciences Inc</t>
  </si>
  <si>
    <t xml:space="preserve">Janssen Pharmaceuticals Inc,
based in Titusville, New
Jersey, manufactures
pharmaceutical products. It
offers women's health and
urology, contraceptive, birth
control and vaginal therapy
products. It also has offices
in Raritan, Somerset County,
New Jersey and Fort
Washington, Pennsylvania. It
was founded in 1993.
Locus Biosciences Inc is a
manufacturer of biological
products. The Company is
located in Morrisville,
North Carolina.</t>
  </si>
  <si>
    <t xml:space="preserve">NJ
NC</t>
  </si>
  <si>
    <t xml:space="preserve">J&amp;J
Locus Biosciences Inc</t>
  </si>
  <si>
    <t xml:space="preserve">JANSSEN PHARMACEUTICALS INC/LOCUS BIOSCIENCES INC-STRATEGIC ALLIANCE</t>
  </si>
  <si>
    <t xml:space="preserve">Janssen Pharmaceuticals Inc and Locus Biosciences Inc formed a strategic
alliance to develop, manufacture and commercialize CRISPR-Cas3-enhanced
bacteriophage products in the United States.</t>
  </si>
  <si>
    <t xml:space="preserve">47469X
5H7160</t>
  </si>
  <si>
    <t xml:space="preserve">Bureau Veritas SA
AsureQuality Ltd</t>
  </si>
  <si>
    <t xml:space="preserve">Building Inspection Services
Pvd quality assurance svcs</t>
  </si>
  <si>
    <t xml:space="preserve">Bureau Veritas SA, located
in Neuilly-sur-Seine,
France, provides testing and
inspection services. It
offers services that allow
its clients to ensure that
their products,
infrastructure and processes
meet health and safety,
environment and social
responsibility standards and
regulations. The services
include asset management,
certification,
classification, consulting,
inspection/audits, testing
and analysis, and training.
It operates through its
subsidiaries, including BV
Algeria, BV Argentina, Bivac
Congo and Cesmec Chile,
UniCar Group and European
Compliance Laboratory, among
others. It is present in 140
countries through a network
of offices and laboratories.
The Company was founded in
1828.
AsureQuality Ltd is a
provider of research and
development services. The
Company was founded in
October 2007 and is located
in Auckland, New Zealand.</t>
  </si>
  <si>
    <t xml:space="preserve">7389
8733</t>
  </si>
  <si>
    <t xml:space="preserve">France
New Zealand</t>
  </si>
  <si>
    <t xml:space="preserve">BUREAU VERITAS SA/ASUREQUALITY LTD-JOINT VENTURE</t>
  </si>
  <si>
    <t xml:space="preserve">BVAQ is a provider of
research and development
services. The Company is
located in Singapore.</t>
  </si>
  <si>
    <t xml:space="preserve">Bureau Veritas SA and AsureQuality Ltd formed a 51:49 joint venture named
BVAQ to provide laboratory analytical services to all food industries in
South East Asia.</t>
  </si>
  <si>
    <t xml:space="preserve">9H7954</t>
  </si>
  <si>
    <t xml:space="preserve">12089Q
04702Z</t>
  </si>
  <si>
    <t xml:space="preserve">Cocrystal Pharma Inc
Merck &amp; Co Inc</t>
  </si>
  <si>
    <t xml:space="preserve">Pharmaceutical Preparation Manufacturing
Manufactures and wholesales pharmaceuticals</t>
  </si>
  <si>
    <t xml:space="preserve">Cocrystal Pharma Inc, located
in Bothell, Washington,
manufactures pharmaceuticals,
including drug products and
cosmetic and beauty products
on behalf of third parties. In
addition, through its wholly
owned subsidiaries, Equalan
LLC (Equalan) and Baker
Cummins Corp. (Baker Cummins)
the Company markets two lines
of skin care products. The
Companys other activities
include the sale by its wholly
owned subsidiary, Equachem LLC
(Equachem) of raw materials
used in OTC drugs and cosmetic
products, and the research and
development of certain drug
delivery technology (DDT).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</si>
  <si>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COCRYSTAL PHARMA INC/MERCK &amp; CO INC-STRATEGIC ALLIANCE</t>
  </si>
  <si>
    <t xml:space="preserve">Cocrystal Pharma Inc and Merck Co Inc formed a strategic alliance to
discover and develop certain proprietary influenza A/B antiviral agents.</t>
  </si>
  <si>
    <t xml:space="preserve">19188J
58933Y</t>
  </si>
  <si>
    <t xml:space="preserve">Corvidia Therapeutics Inc
Ablexis LLC</t>
  </si>
  <si>
    <t xml:space="preserve">Research and Development in Biotechnology
Provides biotech research services</t>
  </si>
  <si>
    <t xml:space="preserve">Corvidia Therapeutics Inc,
located in Waltham,
Massachusetts, is a clinical
stage biotechnology company
focused on the research,
development, and
commercialization of
transformative therapies for
cardio-renal diseases. It is
currently developing
potential treatments for
chronic kidney disease with
atherosclerotic
cardiovascular disease and
inflammation, and high
triglyceride-induced acute
pancreatitis. The Company
was founded in 2015.
Ablexis LLC, located in San
Diego, California, provides
biotechnology research
services. It develops a
platform for human
therapeutic antibody drug
discovery. The Company
offers AlivaMab Mouse, a
transgenic mouse platform
that provides the foundation
for the discovery and
development of human
therapeutic antibodies to
treat human diseases.</t>
  </si>
  <si>
    <t xml:space="preserve">Corvidia Therapeutics Inc
Deerfield Management Co LP</t>
  </si>
  <si>
    <t xml:space="preserve">CORVIDIA THERAPEUTICS INC/ABLEXIS LLC-STRATEGIC ALLIANCE</t>
  </si>
  <si>
    <t xml:space="preserve">Corvidia Therapeutics Inc and Ablexis LLC formed a strategic alliance to
use the AlivaMab Mouse for antibody drug discovery and development in the
United States.</t>
  </si>
  <si>
    <t xml:space="preserve">1F9335
2F9607</t>
  </si>
  <si>
    <t xml:space="preserve">Phyton Biotech Inc
Agenus Inc</t>
  </si>
  <si>
    <t xml:space="preserve">Biotech co
Mnfr immunotherapeutic drugs</t>
  </si>
  <si>
    <t xml:space="preserve">Biotechnology company focused
in the application of plant
cell culture technology for
the commercial production of
high value pharmaceuticals
Agenus Inc, located in
Lexington, Massachusetts,
manufactures
immunotherapeutic drugs for
the treatment of life
threatening and chronic
medical conditions. It is a
biotechnology company,
engages in developing and
commercializing technologies
to treat cancers and
infectious diseases. It
offers Oncophage vaccine for
the treatment of adjuvant
renal cell carcinoma. Its
products under development
include Prophage series of
cancer vaccines, which has
been tested in Phase III
clinical trials for the
treatment of renal cell
carcinoma (RCC) and
metastatic melanoma, as well
as has been tested in Phase
I and Phase II clinical
trials in various
indications; and under Phase
II clinical trials in
glioma, a type of brain
cancer, and adjuvant renal
cell carcinoma. The Company
was founded in 1994.</t>
  </si>
  <si>
    <t xml:space="preserve">DFB Pharmaceuticals Inc
Agenus Inc</t>
  </si>
  <si>
    <t xml:space="preserve">PHYTON BIOTECH INC/AGENUS INC-STRATEGIC ALLIANCE</t>
  </si>
  <si>
    <t xml:space="preserve">Phyton Biotech Inc and Agenus Inc planned to form a strategic alliance.</t>
  </si>
  <si>
    <t xml:space="preserve">71933H
037032</t>
  </si>
  <si>
    <t xml:space="preserve">Laboratory Corp of America
Genfit SA</t>
  </si>
  <si>
    <t xml:space="preserve">Provides clinical trial services
Biological Product (Except Diagnostic) Manufacturing</t>
  </si>
  <si>
    <t xml:space="preserve">Laboratory Corp of America
Holdings, located in
Burlington, North Carolina,
provides diagnostic
laboratory services. It
offers general and specialty
laboratory testing services,
ambulatory monitoring
services, bone marrow
services, clinical trials,
drug testing services, DNA
identification services,
forensic/identity services,
hospital services, insurance
services, and paternity
testing services. Its
clients include physicians,
government agencies, managed
care organizations,
hospitals, clinical labs,
and pharmaceutical
companies. It is also
holding company. The Company
was founded in 1905.
Genfit SA, based in Loos,
France, is a biotechnology
company. The Company
specializes in the development
of medicines for the
prevention and treatment of
cardiometabolic diseases and
related disorders, including
type II diabetes,
atherosclerosis, dyslipidemia
and obesity, as well as in the
field of neurodegenerative
disorders, such as Alzheimers
disease. It was founded in
1999.</t>
  </si>
  <si>
    <t xml:space="preserve">LABORATORY CORP OF AMERICA HOLDINGS/GENFIT SA-STRATEGIC ALLIANCE</t>
  </si>
  <si>
    <t xml:space="preserve">Laboratory Corp of America Holdings and Genfit SA formed a strategic
alliance to expand access to an innovative diagnostic assay for
non-alcoholic steatohepatitis.</t>
  </si>
  <si>
    <t xml:space="preserve">50540R
F43738</t>
  </si>
  <si>
    <t xml:space="preserve">ReNeuron Group PLC
Undisclosed JV Partner</t>
  </si>
  <si>
    <t xml:space="preserve">Biotech Co
Investment company</t>
  </si>
  <si>
    <t xml:space="preserve">ReNeuron Group PLC, based in,
Guildford, UK, is a
Biotechnology Company. The
activities of the Company are
the research, development and
commercial exploitation of
stem cell technologies for
therapeutic and
non-therapeutic applications.
The firms products are used
for academic and commercial
research purposes. The
geographical segments of the
Company are the United
Kingdom, Europe and the United
States of America.
Investment company</t>
  </si>
  <si>
    <t xml:space="preserve">RENEURON GROUP PLC/UNDISCLOSED PARTNER-STRATEGIC ALLIANCE</t>
  </si>
  <si>
    <t xml:space="preserve">ReNeuron Group PLC and Undisclosed Joint Venture Partner formed a strategic
alliance to explore the use of the Companys exosome technology platform as
a potential delivery vehicle for synthetic oligonucleotides used in gene
therapy.</t>
  </si>
  <si>
    <t xml:space="preserve">75978V
904JVP</t>
  </si>
  <si>
    <t xml:space="preserve">Galapagos NV
Fibrocor Therapeutics LP</t>
  </si>
  <si>
    <t xml:space="preserve">Galapagos NV, located in
Mechelen, Belgium, is a
biopharmaceutical company
focused on small molecule
medicines and drug discovery
programs based on
proprietary, novel targets
in bone and joint diseases
such osteoarthritis,
osteoporosis and rheumatoid
arthritis. It also pursues
research on cancer
metastasis, cachexia,
infectious diseases and
Alzheimer's disease.
Besides Belgium, it also
operates in the Netherlands,
France, Switzerland, the
United States and Croatia.
The Company was founded in
1999.
Fibrocor Therapeutics LP is
a provider of biotechnology
research and development
services. The Company was
founded in 1970 and is
located in Toronto, Canada.</t>
  </si>
  <si>
    <t xml:space="preserve">GALAPAGOS NV/FIBROCOR THERAPEUTICS LP-STRATEGIC ALLIANCE</t>
  </si>
  <si>
    <t xml:space="preserve">Galapagos NV and Fibrocor Therapeutics LP formed a strategic alliance to
focus a novel target for idiopathic pulmonary fibrosis (IPF) and other
indications.</t>
  </si>
  <si>
    <t xml:space="preserve">36315X
9H7693</t>
  </si>
  <si>
    <t xml:space="preserve">Vertex Pharmaceuticals Inc
X-Chem Inc</t>
  </si>
  <si>
    <t xml:space="preserve">Vertex Pharmaceuticals Inc,
located in Boston,
Massachusetts, is a
biotechnology company. It is
engaged in the business of
discovering and developing
small molecule drugs for the
treatment of serious
diseases. The Company has a
number of drug candidates in
development, including
compounds targeting
hepatitis C virus (HCV)
infection, rheumatoid
arthritis (RA), cystic
fibrosis, cancer, pain and
HIV infection. Its
development programs in the
field of CF include
Tezacaftor (VX-661), VX-152,
VX-440, VX-659, VX-445 and
VX-371, VX-152, VX-440,
VX-659 and VX-445 are CFTR
corrector compounds. The
Company was founded in 1989.
X-Chem, Inc., located in
Waltham, Massachusetts, is a
biotechnology company. The
company identifies and
discovers novel small
molecule therapeutics. It
also provides product engine
to the discovery of small
molecule lead compounds
against high therapeutic
targets, such as protein
interactions, epigenetic
targets, ubiquitin family,
and antibacterial targets.
The Company was founded in
2009.</t>
  </si>
  <si>
    <t xml:space="preserve">Vertex Pharmaceuticals Inc
Clariant AG</t>
  </si>
  <si>
    <t xml:space="preserve">VERTEX PHARMACEUTICALS INC/X-CHEM INC-STRATEGIC ALLIANCE</t>
  </si>
  <si>
    <t xml:space="preserve">Vertex Pharmaceuticals Inc and X-Chem Inc formed a strategic alliance to
apply growing collection of next-generation DEX libraries toward the
discovery of novel lead compounds against multiple targets across Vertexs
drug development portfolio in the United States.</t>
  </si>
  <si>
    <t xml:space="preserve">92532F
3C1633</t>
  </si>
  <si>
    <t xml:space="preserve">Gilead Sciences Inc
Yuhan Corp</t>
  </si>
  <si>
    <t xml:space="preserve">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
Yuhan Corp, headquartered in
Seoul, South Korea, is a
company mainly engaged in
the manufacture of
pharmaceutical products. The
company operates in three
business divisions:
pharmaceutical division,
household and health care
division and overseas
division. Its pharmaceutical
division provides
non-prescription drugs, such
as vitamins, cosmetics, oral
contraceptive pills, skin
disease drugs and others,
and prescription drugs, such
as hyperlipidemia treatment
drugs, antibiotics, platelet
aggregation inhibitors,
allergic rhinitis solvents,
stomach and intestine drugs,
cough remedies, diabetes
drugs and others. Its
household and health care
division provides household
products, such as bleaching
agents and others. Its
overseas division
distributes remedies for
acquired immune deficiency
syndrome (AIDS), antibiotics
and others to overseas
countries. The company was
founded in 1926.</t>
  </si>
  <si>
    <t xml:space="preserve">GILEAD SCIENCES INC/YUHAN CORP-STRATEGIC ALLIANCE</t>
  </si>
  <si>
    <t xml:space="preserve">Gilead Sciences Inc and Yuhan Corp formed a strategic alliance to develop
novel investigational treatments for advanced fibrosis due to nonalcoholic
steatohepatitis.</t>
  </si>
  <si>
    <t xml:space="preserve">375558
98842L</t>
  </si>
  <si>
    <t xml:space="preserve">bluebird bio Inc
Inhibrx Inc</t>
  </si>
  <si>
    <t xml:space="preserve">bluebird bio Inc, located in
Cambridge, Massachusetts, is
a biotechnology company
focused on transforming the
lives of patients with
severe genetic and orphan
diseases using gene therapy.
The Company was founded in
1992.
Inhibrx Inc, located in La
Jolla, California, is a
manufacturer of pharmaceutical
preparation. The Company is in
the process of completing
multiple compounds, namely
INBRX-101, INBRX-103,
INBRX-10.</t>
  </si>
  <si>
    <t xml:space="preserve">BLUEBIRD BIO INC/INHIBRX INC-STRATEGIC ALLIANCE</t>
  </si>
  <si>
    <t xml:space="preserve">bluebird bio Inc and Inhibrx Inc formed a strategic alliance to research,
develop and commercialize CAR T Cell Immunotherapies in the United States.</t>
  </si>
  <si>
    <t xml:space="preserve">09609G
9H8567</t>
  </si>
  <si>
    <t xml:space="preserve">Fedora Pharmaceuticals Inc
Meiji Seika Pharma Co Ltd</t>
  </si>
  <si>
    <t xml:space="preserve">Biological Product (Except Diagnostic) Manufacturing
Cookie and Cracker Manufacturing</t>
  </si>
  <si>
    <t xml:space="preserve">Fedora Pharmaceuticals Inc
is a manufacturer of
biological products. The
Company was founded in
December 2011 and is located
in Edmonton, Canada.
Meiji Seika Pharma Co Ltd,
based in Tokyo, Japan,
operates the products and
sales of pharmaceutical
products. In addition to
pharmaceutical products, the
company also operates
products and sales of the
agricultural products such
as herbicides, fungicides,
plant growth regulators,
handling animal drugs. The
company was founded in 1916.</t>
  </si>
  <si>
    <t xml:space="preserve">Fedora Pharmaceuticals Inc
Meiji Holdings Co Ltd</t>
  </si>
  <si>
    <t xml:space="preserve">2836
2026</t>
  </si>
  <si>
    <t xml:space="preserve">FEDORA PHARMACEUTICALS INC/MEIJI SEIKA PHARMA CO LTD-JOINT VENTURE</t>
  </si>
  <si>
    <t xml:space="preserve">Nacugen Therapeutics Inc is
a manufacturer of biological
products. The Company is
located in Canada.</t>
  </si>
  <si>
    <t xml:space="preserve">Fedora Pharmaceuticals Inc and Meiji Seika Pharma Co Ltd formed joint
venture named Nacugen Therapeutics Inc in Canada to the development and
commercialization of novel anti-infectives including beta-lactamase
inhibitors.</t>
  </si>
  <si>
    <t xml:space="preserve">9H7190</t>
  </si>
  <si>
    <t xml:space="preserve">9H7179
585266</t>
  </si>
  <si>
    <t xml:space="preserve">Tencent Holdings Ltd
Visteon Corp</t>
  </si>
  <si>
    <t xml:space="preserve">Internet Service Provider
Mnfr,whl automotive systems</t>
  </si>
  <si>
    <t xml:space="preserve">Tencent Holdings Ltd located
in Shenzhen, China is an
internet service provider.
The Company was founded in
November 1998.
Visteon Corp, located in Van
Buren Township, Michigan,
manufactures and wholesales
automotive systems, modules
and components to vehicle
manufacturers and the
automotive aftermarket
worldwide. Its components are
categorized through climate,
electronics, interiors,
lighting, engine induction,
powertrain controls, mobile
applications, and other
additional products. The
Company was founded in 2000.</t>
  </si>
  <si>
    <t xml:space="preserve">7375
3714</t>
  </si>
  <si>
    <t xml:space="preserve">TENCENT HOLDINGS LTD/VISTEON CORP-STRATEGIC ALLIANCE</t>
  </si>
  <si>
    <t xml:space="preserve">Tencent Holdings Ltd and Visteon Corp formed a strategic alliance to
develop autonomous driving and intelligent cockpit solutions, initially for
Guangzhou Automobile Group (GAC) R&amp;D Center in China.</t>
  </si>
  <si>
    <t xml:space="preserve">G87572
92839U</t>
  </si>
  <si>
    <t xml:space="preserve">Citius Pharmaceuticals Inc
The Univ Of Texas Md Anderson</t>
  </si>
  <si>
    <t xml:space="preserve">Citius Pharmaceuticals Inc,
located in Maynard, Maryland,
manufactures specialty
pharmaceutical products
engaged in the development and
commercialization of
therapeutic products for large
and growing markets. Its
products include Suprenze and
HC-LD Cream. The company was
founded on September 9, 2010.
The University Of Texas Md
Anderson Cancer Center,
located in Houston, Texas,
is a specialty hospital
operator. It provides cancer
center services.</t>
  </si>
  <si>
    <t xml:space="preserve">MD
TX</t>
  </si>
  <si>
    <t xml:space="preserve">CITIUS PHARMACEUTICALS INC/MD ANDERSON CANCER CENTER-STRATEGIC ALLIANCE</t>
  </si>
  <si>
    <t xml:space="preserve">Citius Pharmaceuticals Inc and MD Anderson Cancer Center formed a strategic
alliance to develop and commercialize a novel approach to reducing
post-operative infections associated with surgical implants in the United
States.</t>
  </si>
  <si>
    <t xml:space="preserve">17322U
55266I</t>
  </si>
  <si>
    <t xml:space="preserve">Waveoptics Ltd
Compal Electronics Inc</t>
  </si>
  <si>
    <t xml:space="preserve">Optical Instrument and Lens Manufacturing
Mnfr,whl computer peripherals</t>
  </si>
  <si>
    <t xml:space="preserve">WaveOptics Ltd is a
manufacturer of optical
instruments and lenses. The
Company was founded in 2012
and is located in Abingdon,
the United Kingdom.
Compal Electronics Inc,
located in Taipei Taiwan,
manufactures and wholesales
electronic products. Its
products include notebook
personal computers,
ultrabook personal
computers, all in one (AIO)
personal computers, tablet
personal computers, servers,
smart home systems, smart
phones, automobile
electronics (AE), public
displays, liquid crystal
display (LCD) televisions,
LCD monitors and other smart
accessories and wearable
devices. The Company was
founded in June 1984.</t>
  </si>
  <si>
    <t xml:space="preserve">3827
3577</t>
  </si>
  <si>
    <t xml:space="preserve">WAVEOPTICS LTD/COMPAL ELECTRONICS INC-STRATEGIC ALLIANCE</t>
  </si>
  <si>
    <t xml:space="preserve">WaveOptics Ltd and Compal Electronics Inc formed a strategic alliance to
develop AR wearables for the growing AR smartglasses market.</t>
  </si>
  <si>
    <t xml:space="preserve">8H8712
20470V</t>
  </si>
  <si>
    <t xml:space="preserve">Integra LifeSciences Hldg Corp
Consortium of Focused Orthoped</t>
  </si>
  <si>
    <t xml:space="preserve">Mnfr,whl medical devices,implants
Research and Development in The Physical, Engineering and Lifesciences (Except Biotechnology)</t>
  </si>
  <si>
    <t xml:space="preserve">Integra LifeSciences Holdings
Corp, located in Plainsboro,
New Jersey, manufactures and
wholesales medical devices,
implants and biomaterials for
neurosurgery, orthopedics and
soft tissue repair, including
medical devices such as
monitoring and drainage
systems, surgical instruments
and fixation systems, all
offered in the US, Canada,
Puerto Rico, UK, France,
Germany and Asia. The Company
was founded in 1989.
Consortium of Focused
Orthopedists LLC is a
provider of research and
development services. The
Company was founded in March
2014 and is located in
Denver, Colorado.</t>
  </si>
  <si>
    <t xml:space="preserve">NJ
CO</t>
  </si>
  <si>
    <t xml:space="preserve">INTEGRA LIFESCIENCES HOLDINGS CORP/CONSORTIUM OF FOCUSED ORTHOPEDISTS
LLC-STRATEGIC ALLIANCE</t>
  </si>
  <si>
    <t xml:space="preserve">Integra LifeSciences Holdings Corp and Consortium of Focused Orthopedists
LLC formed a strategic alliance to develop a short stem and stemless
shoulder system in the United States.</t>
  </si>
  <si>
    <t xml:space="preserve">457985
9H9682</t>
  </si>
  <si>
    <t xml:space="preserve">Elevian Inc
Insilico Medicine Inc</t>
  </si>
  <si>
    <t xml:space="preserve">Elevian Inc is a provider of
biotechnology research and
development services. The
Company was founded in 1970
and is located in Boston,
Massachusetts.
Insilico Medicine Inc is a
provider of biotechnology
research and development
services. The Company was
founded in February 2014 and
is located in Rockville,
Maryland.</t>
  </si>
  <si>
    <t xml:space="preserve">ELEVIAN INC/INSILICO MEDICINE INC-STRATEGIC ALLIANCE</t>
  </si>
  <si>
    <t xml:space="preserve">Elevian Inc and Insilico Medicine Inc formed a strategic alliance to
develop oral medications targeting the GDF11 pathway and associated targets
in the United States.</t>
  </si>
  <si>
    <t xml:space="preserve">9H8686
9H8689</t>
  </si>
  <si>
    <t xml:space="preserve">AbSci LLC
Sanofi SA</t>
  </si>
  <si>
    <t xml:space="preserve">Biotechnology company
Manufactures pharmaceuticals products</t>
  </si>
  <si>
    <t xml:space="preserve">AbSci LLC, located in
Vancouver, Washington, is a
provider of biotechnology
research and development
services.
Sanofi SA, located in Paris,
France, manufactures
pharmaceuticals products. It
is also engaged in research
and development of treatment
and vaccines for
cardiovascular, central
nervous system, diabetes,
internal medicine, oncology
and thrombosis. Its segments
include Pharmaceuticals,
Human Vaccines and Other.
Its Rare Diseases products
include Cerezyme, Cerdelga,
Myozyme and Lumizyme,
Fabrazyme, and Aldurazyme.
The Company was founded in
1994.</t>
  </si>
  <si>
    <t xml:space="preserve">ABSCI LLC/SANOFI SA-STRATEGIC ALLIANCE</t>
  </si>
  <si>
    <t xml:space="preserve">AbSci LLC and Sanofi SA formed a strategic alliance to apply E.coli
manufacturing platform, SoluPro, and novel optimization assay system, to
two of Sanofis biotherapeutic molecules.</t>
  </si>
  <si>
    <t xml:space="preserve">4H5578
80105N</t>
  </si>
  <si>
    <t xml:space="preserve">Empower Clinics Inc
Heritage Cannabis Hldg Corp</t>
  </si>
  <si>
    <t xml:space="preserve">All Other Miscellaneous Ambulatory Health Care Services
Pharmaceutical Preparation Manufacturing</t>
  </si>
  <si>
    <t xml:space="preserve">Empower Clinics Inc, located
in Vancouver, British
Columbia, is a provider of
ambulatory health care
services. The Company was
founded in February 1997.
Heritage Cannabis Holdings
Corp, located in Vancouver,
British Columbia,
manufactures pharmaceutical
preparation focusing on
marijuana production. It
owns a 75-per-cent interest
in PhyeinMed Inc., a Health
Canada late-stage applicant
under the ACMPR (Access to
Cannabis for Medical
Purposes Regulations). The
Company was founded in
October 2007.</t>
  </si>
  <si>
    <t xml:space="preserve">EMPOWER CLINICS INC/HERITAGE CANNABIS HOLDINGS CORP-JOINT VENTURE</t>
  </si>
  <si>
    <t xml:space="preserve">Empower Clinics Inc and Heritage Cannabis Holdings Corp formed a joint
venture. The JV to be capitalized at USD 0.18 Mil. The purpose of joint
venture was for the extraction of hemp for CBD oil production, and
formulated CBD products.</t>
  </si>
  <si>
    <t xml:space="preserve">The JV to be capitalized at USD 0.18 Mil.</t>
  </si>
  <si>
    <t xml:space="preserve">29246V
42727B</t>
  </si>
  <si>
    <t xml:space="preserve">Naver Corp
LG Electronics Inc</t>
  </si>
  <si>
    <t xml:space="preserve">Pvd Internet searching svcs
Audio and Video Equipment Manufacturing</t>
  </si>
  <si>
    <t xml:space="preserve">Naver Corp, located in
Seongnam, South Korea, is
engaged in the online media
industry. Along with its
subsidiaries, the Company
engages in the search
engine, and social network
service (SNS) businesses.
The Company operates Naver,
which is an Internet search
engine that disseminates
knowledge over the Internet;
Junior Naver, which is a
children's portal site that
allows kids to access fun
and useful contents in a
safe and healthy Internet
environment; Happybean,
which is an online donation
portal operated by its
Happybean Foundation, and
me2day, which provides
micro-blog service that
allows users to share their
daily trails and
tribulations via the mobile
and Internet environment,
among others. It also
provides online advertising
services. The Company was
founded in 1999.
LG Electronics Inc is a
manufacturer of audio and
video equipment. The Company
was founded in April 2002
and is located in Seoul,
South Korea.</t>
  </si>
  <si>
    <t xml:space="preserve">8999
3651</t>
  </si>
  <si>
    <t xml:space="preserve">NAVER CORP/LG ELECTRONICS INC-STRATEGIC ALLIANCE</t>
  </si>
  <si>
    <t xml:space="preserve">Naver Corp and LG Electronics Inc formed a strategic alliance to cooperate
on R&amp;D to apply NAVER LABS' integrated location and mobility platform in
South Korea.</t>
  </si>
  <si>
    <t xml:space="preserve">6A2849
5E3494</t>
  </si>
  <si>
    <t xml:space="preserve">Atomwise Inc
Charles River Labs Intl Inc</t>
  </si>
  <si>
    <t xml:space="preserve">Atomwise Inc, located in San
Francisco, California, is a
biotechnology company that
uses artificial intelligence
systems to help discover new
medicines and agricultural
compounds. It has developed
AtomNet, which is a deep
learning technology for
small molecule discovery.
Its drug research technology
is applicable to infectious
diseases, neurological
diseases and cancers.
Charles River Laboratories
International Inc, located
in Wilmington,
Massachusetts, provides
biotechnology research and
development services. It
also has offices in North
America, Europe and Asia.
The Company was founded in
1947.</t>
  </si>
  <si>
    <t xml:space="preserve">ATOMWISE INC/CHARLES RIVER LABORATORIES INTERNATIONAL INC-STRATEGIC
ALLIANCE</t>
  </si>
  <si>
    <t xml:space="preserve">Atomwise Inc and Charles River Laboratories International Inc formed a
strategic alliance to Atomwises artificial intelligence (AI)-powered,
structure-based, drug design technology, which allows scientists to predict
how well a small molecule will bind to a target protein of interest.</t>
  </si>
  <si>
    <t xml:space="preserve">6H1392
159864</t>
  </si>
  <si>
    <t xml:space="preserve">Fortinet Inc
Aislelabs Inc</t>
  </si>
  <si>
    <t xml:space="preserve">Network security company
Data Processing, Hosting, and Related Services</t>
  </si>
  <si>
    <t xml:space="preserve">Fortinet Inc, located in
Sunnyvale, California, is a
network security company. It
offers cyber security
solutions. Its network
security solution consists
of FortiGate physical,
virtual machine and cloud
platforms, which provide
integrated security and
networking functions to
protect data, applications
and users from network-and
content-level security
threats. The Company was
founded in November 2000.
Aislelabs Inc is a provider
of data processing and
hosting services. The
Company was founded in 2013
and is located in Toronto,
Canada.</t>
  </si>
  <si>
    <t xml:space="preserve">3577
7374</t>
  </si>
  <si>
    <t xml:space="preserve">FORTINET INC/AISLELABS INC-STRATEGIC ALLIANCE</t>
  </si>
  <si>
    <t xml:space="preserve">Fortinet Inc and Aislelabs Inc formed a strategic alliance was to
understand customer behaviour and improve services.</t>
  </si>
  <si>
    <t xml:space="preserve">34959E
0J5725</t>
  </si>
  <si>
    <t xml:space="preserve">Ascletis Biotech (Hangzhou)
Alphamab Co Ltd</t>
  </si>
  <si>
    <t xml:space="preserve">Ascletis Biotechnology
(Hangzhou) Co Ltd, located
in China, manufactures and
wholesales pharmaceuticals.
It focuses on discovering
and developing new
treatments for cancer and
other infectious diseases.
The company was founded in
April 2013.
Alphamab Co Ltd is a
provider of biotechnology
research and development
services. The Company was
founded in 2008 and is
located in Suzhou, China.</t>
  </si>
  <si>
    <t xml:space="preserve">Ascletis Pharma Inc
Alphamab Co Ltd</t>
  </si>
  <si>
    <t xml:space="preserve">ASCLETIS BIOTECHNOLOGY (HANGZHOU) CO LTD/ALPHAMAB CO LTD-STRATEGIC
ALLIANCE</t>
  </si>
  <si>
    <t xml:space="preserve">Ascletis Biotechnology (Hangzhou) Co Ltd and Alphamab Co Ltd formed a
strategic alliance for anti-PD-L1 KN035 to treat hepatitis B and other
viral diseases in China.</t>
  </si>
  <si>
    <t xml:space="preserve">4E3980
0J2563</t>
  </si>
  <si>
    <t xml:space="preserve">Next Green Wave Holdings Inc
Intrexon Corp</t>
  </si>
  <si>
    <t xml:space="preserve">
Manufacture biological products</t>
  </si>
  <si>
    <t xml:space="preserve">Next Green Wave Holdings
Inc, located in Vancouver,
British Columbia, is a
manufacturer of medicinals
and botanicals. It is a
vertically integrated
seed-to-consumer medicinal
and recreational cannabis
company. The Company's
central operations are in
Coalinga which is centered
between San Francisco and
Los Angeles, California, the
United States and has
permits for nursery,
cultivation, extraction, and
distribution. It produces,
processes, distributes and
sells cannabis and
cannabinoid infused products
in the State of California,
the United States. Next
Green Wave Holdings Inc has
over 15 acres of
cannabis-zoned development
land. Its direct subsidiary
is Crossgate Capital US
Holdings Corp and its
indirect subsidiaries are
NGW Holdings, LLC and Next
Green Wave, LLC. The Company
was founded in July 2011.
Intrexon Corp, located in
Blacksburg, Virginia,
manufactures biological
products. The Company is
focused on bio-molecular
tools that enable
researchers to modulate and
report the activity of
protein-protein interactions
in pre-determined
subcellular locations. It is
also involved in using DNA
technology as natural
control modality for
biological therapeutics. It
also has facilities located
in Maryland, North Carolina,
and California. The Company
was founded in 1998.</t>
  </si>
  <si>
    <t xml:space="preserve">NEXT GREEN WAVE HOLDINGS INC/INTREXON CORP-STRATEGIC ALLIANCE</t>
  </si>
  <si>
    <t xml:space="preserve">Next Green Wave Holdings Inc and Intrexon Corp formed a strategic
alliance.</t>
  </si>
  <si>
    <t xml:space="preserve">7H5913
46122T</t>
  </si>
  <si>
    <t xml:space="preserve">Boehringer Ingelheim GmbH
Bioharmony Therapeutics Inc</t>
  </si>
  <si>
    <t xml:space="preserve">Boehringer Ingelheim GmbH,
located in Ingelheim,
Germany, manufactures and
develops prescription
pharmaceuticals for human
and animals.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Bioharmony Therapeutics Inc
is a manufacturer of
pharmaceutical preparation.
The Company was founded in
July 2016 and is located in
New York, New York.</t>
  </si>
  <si>
    <t xml:space="preserve">Laboratorios Sanfer SA de CV
Bioharmony Therapeutics Inc</t>
  </si>
  <si>
    <t xml:space="preserve">Mexico
United States</t>
  </si>
  <si>
    <t xml:space="preserve">BOEHRINGER INGELHEIM GMBH/BIOHARMONY THERAPEUTICS INC-STRATEGIC ALLIANCE</t>
  </si>
  <si>
    <t xml:space="preserve">Boehringer Ingelheim GmbH and Bioharmony Therapeutics Inc formed a
strategic alliance.</t>
  </si>
  <si>
    <t xml:space="preserve">09710W
0J0910</t>
  </si>
  <si>
    <t xml:space="preserve">Whitechapel Holdings Inc
Genbio Inc</t>
  </si>
  <si>
    <t xml:space="preserve">Medicinal and Botanical Manufacturing
Research and Development in Biotechnology</t>
  </si>
  <si>
    <t xml:space="preserve">Whitechapel Holdings Inc,
located in Castro Valley,
California, is a
manufacturer of medicinals
and botanicals.
Genbio Inc is a provider of
biotechnology research and
development services. The
Company is located in
Australia.</t>
  </si>
  <si>
    <t xml:space="preserve">Dakshidin Corp
Genbio Inc</t>
  </si>
  <si>
    <t xml:space="preserve">3561
8731</t>
  </si>
  <si>
    <t xml:space="preserve">WHITECHAPEL HOLDINGS INC/GENBIO INC-STRATEGIC ALLIANCE</t>
  </si>
  <si>
    <t xml:space="preserve">Whitechapel Holdings Inc and Genbio Inc formed a strategic alliance to
grants WCH exclusive intellectual property, manufacturing and distribution
rights worldwide for an entirely new, unique and proprietary product range
based on years of clinical research and development.</t>
  </si>
  <si>
    <t xml:space="preserve">9H6153
0J0480</t>
  </si>
  <si>
    <t xml:space="preserve">Sona Nanotech Inc
Bio-Layer Pty Ltd</t>
  </si>
  <si>
    <t xml:space="preserve">Medical Laboratories
Dvlp biomimetic polymers</t>
  </si>
  <si>
    <t xml:space="preserve">Sona Nanotech Inc is a
medical laboratory operator.
The Company was founded in
2013 and is located in
Halifax, Canada.
Develop biomimetic polymers
for medical devices</t>
  </si>
  <si>
    <t xml:space="preserve">Sona Nanotech Inc
Anteo Diagnostics Ltd</t>
  </si>
  <si>
    <t xml:space="preserve">SONA NANOTECH INC/BIO-LAYER PTY LTD-STRATEGIC ALLIANCE</t>
  </si>
  <si>
    <t xml:space="preserve">Sona Nanotech Inc and Bio-Layer Pty Ltd formed a strategic alliance.</t>
  </si>
  <si>
    <t xml:space="preserve">9H9476
09128L</t>
  </si>
  <si>
    <t xml:space="preserve">Korab Resources Ltd
Zaklady Magnezytowe Ropczyce</t>
  </si>
  <si>
    <t xml:space="preserve">Phosphate Rock Mining
All Other Basic Inorganic Chemical Manufacturing</t>
  </si>
  <si>
    <t xml:space="preserve">Korab Resources Ltd, located
in West Perth, Australia is
an international mining and
exploration company. The
principal activities of the
Company consist of mineral
exploration and the
evaluation of mineral
properties. The Company
holds interests in various
properties, such as the
Winchester magnesite
project, the Sundance gold
mine, the Bobrikovo gold and
silver mine, Ashburton
Downs, Geolsec and
Batchelor. The Ashburton
Downs project focuses on
copper and gold and is
located in the Ashburton
Basin approximately 20
kilometers south of
Paraburdoo. The Ashburton
Downs project covers Green
Elephant Complex consisting
of North Mount Elephant,
Green Elephant, East
Elephant and Mount Elephant.
The Bobrikovo gold and
silver mine is located in in
the Luhansk (Lugansk)
Province in Eastern Ukraine.
The Sundance gold mine is
located near the town of
Batchelor, just south of
Darwin. The Company was
founded in March 1998.
founded in March 1998.
Zaklady Magnezytowe Ropczyce
SA, located in Warsaw,
Poland, manufactures
refractory materials for the
non-ferrous, cement, lime,
glass making, founding, as
well as iron and steel
industries. Its range of
manufactured materials
includes fired and non-fired
shaped materials, unshaped
materials, as well as such
special products as
gas-purging plugs and
biceramic sets. The Company
was founded in 1971.</t>
  </si>
  <si>
    <t xml:space="preserve">1475
2819</t>
  </si>
  <si>
    <t xml:space="preserve">Australia
Poland</t>
  </si>
  <si>
    <t xml:space="preserve">KORAB RESOURCES LTD/ZAKLADY MAGNEZYTOWE ROPCZYCE SA-STRATEGIC ALLIANCE</t>
  </si>
  <si>
    <t xml:space="preserve">Korab Resources Ltd and Zaklady Magnezytowe Ropczyce SA planned to form a
strategic alliance to funding, research and product development.</t>
  </si>
  <si>
    <t xml:space="preserve">50432T
99035J</t>
  </si>
  <si>
    <t xml:space="preserve">Active Motif Inc
BenchSci Analytics Inc</t>
  </si>
  <si>
    <t xml:space="preserve">Mnfr,whl research tools
Software Publishers</t>
  </si>
  <si>
    <t xml:space="preserve">Active Motif Inc, located in
Carlsbad, California,
manufactures and wholesales
research tools and
bio-computing resources. The
company was founded in 1999.
BenchSci, located in
Toronto, Canada, is a
software publisher using
machine learning to diagnose
pharmaceutical R&amp;D health
from hidden patterns in
procurement data. The
Company was founded in 2015.</t>
  </si>
  <si>
    <t xml:space="preserve">3821
3999</t>
  </si>
  <si>
    <t xml:space="preserve">3821
7372</t>
  </si>
  <si>
    <t xml:space="preserve">ACTIVE MOTIF INC/BENCHSCI-STRATEGIC ALLIANCE</t>
  </si>
  <si>
    <t xml:space="preserve">Active Motif Inc and Benchsci planned to form a strategic alliance to
provide researchers with high-quality epigenetics-related research products
for accelerating scientific discoveries.</t>
  </si>
  <si>
    <t xml:space="preserve">3A0911
0J1615</t>
  </si>
  <si>
    <t xml:space="preserve">OrganiGram Holdings Inc
1812 Hemp</t>
  </si>
  <si>
    <t xml:space="preserve">Gold Ore Mining
Research and Development in Biotechnology</t>
  </si>
  <si>
    <t xml:space="preserve">Organigram Holdings Inc is a
gold ore mine operator. It
is a resource exploration
company focused on the
acquisition, evaluation and
exploration of mineral
resource properties. It
primarily explore for gold,
copper and molybdenum. The
Company was founded in July
2010 and is located in
Moncton, Canada.
1812 Hemp is a provider of
biotechnology research and
development services. The
Company is located in
Canada.</t>
  </si>
  <si>
    <t xml:space="preserve">1041
8731</t>
  </si>
  <si>
    <t xml:space="preserve">ORGANIGRAM HOLDINGS INC/1812 HEMP-STRATEGIC ALLIANCE</t>
  </si>
  <si>
    <t xml:space="preserve">Organigram Holdings Inc and 1812 Hemp formed a strategic alliance to secure
supply and support research and development on the genetic improvement of
hemp through traditional plant breeding methods in Canada.</t>
  </si>
  <si>
    <t xml:space="preserve">68620P
0J3226</t>
  </si>
  <si>
    <t xml:space="preserve">Vogo SA
Abeo SA</t>
  </si>
  <si>
    <t xml:space="preserve">Data Processing, Hosting, and Related Services
Sporting and Athletic Goods Manufacturing</t>
  </si>
  <si>
    <t xml:space="preserve">Vogo SA is a provider of
sports events streaming
services. It develops live
video streaming solutions
for smartphones, tablets and
computers. The Company was
founded in 2013 and is
located in Montpellier,
France.
Abeo SA, located in Rizo,
France manufactures and
wholesales sports and
leisure equipments. It
offers a wide range of
products for the sports,
climbing and locker-room
sectors, including
gymnastics apparatus and
landing maths, physical
education and team sports
equipment, artificial
climbing walls, climbing and
leisure centres, locker room
fittings and equipment
maintenance The Company was
founded in 1990.</t>
  </si>
  <si>
    <t xml:space="preserve">7374
3949</t>
  </si>
  <si>
    <t xml:space="preserve">Vogo SA
Jalenia SC</t>
  </si>
  <si>
    <t xml:space="preserve">7374
6799</t>
  </si>
  <si>
    <t xml:space="preserve">VOGO SA/ABEO SA-STRATEGIC ALLIANCE</t>
  </si>
  <si>
    <t xml:space="preserve">Vogo SA and Abeo SA formed a strategic alliance to developing a tailored
offering of service specifically for ABEOs clients by combining their
know-how in France.</t>
  </si>
  <si>
    <t xml:space="preserve">7H8936
2A2253</t>
  </si>
  <si>
    <t xml:space="preserve">The Ghana Standards Auth
Nestl Ghana Ltd</t>
  </si>
  <si>
    <t xml:space="preserve">City Government
All Other Miscellaneous Food Manufacturing</t>
  </si>
  <si>
    <t xml:space="preserve">The Ghana Standards
Authority is a city
government. The Company is
located in South Africa.
Nestl Ghana Ltd is a
manufacturer of foods. The
Company is located in South
Africa.</t>
  </si>
  <si>
    <t xml:space="preserve">999E
2015</t>
  </si>
  <si>
    <t xml:space="preserve">The Ghana Standards Auth
Nestle SA</t>
  </si>
  <si>
    <t xml:space="preserve">South Africa
Switzerland</t>
  </si>
  <si>
    <t xml:space="preserve">999E
2095</t>
  </si>
  <si>
    <t xml:space="preserve">THE GHANA STANDARDS AUTHORITY/NESTL GHANA LTD-STRATEGIC ALLIANCE</t>
  </si>
  <si>
    <t xml:space="preserve">The Ghana Standards Authority and Nestl Ghana Ltd planned to form a
strategic alliance to enhance laboratory analytical methods alignment and
capacity building in laboratory testing of food products to enhance product
safety and quality standards.</t>
  </si>
  <si>
    <t xml:space="preserve">0J2016
0J2017</t>
  </si>
  <si>
    <t xml:space="preserve">Tower Semiconductor Ltd
RANIX Inc</t>
  </si>
  <si>
    <t xml:space="preserve">Mnfr semiconductors
Semiconductor and Related Device Manufacturing</t>
  </si>
  <si>
    <t xml:space="preserve">Tower Semiconductor Ltd,
located in Migdal Haemek,
Israel, manufactures
semiconductors and integrated
circuits (ICs) with geometries
ranging from 1.0 to 0.13
micron, which are incorporated
into a wide range of products
in diverse markets, including
consumer electronics, personal
computer and office equipment,
communications, automotive,
industrial, professional
photography and medical
products. It also provides
complementary technical
services and design support.
The company was founded in
1993.
South Korea.</t>
  </si>
  <si>
    <t xml:space="preserve">TOWER SEMICONDUCTOR LTD/RANIX CO LTD-STRATEGIC ALLIANCE</t>
  </si>
  <si>
    <t xml:space="preserve">Tower Semiconductor Ltd and RANIX Co Ltd formed a strategic alliance to
develop RF transceivers to be used in V2X and ETCS Systems for the
Automotive Market.</t>
  </si>
  <si>
    <t xml:space="preserve">M87915
0J3844</t>
  </si>
  <si>
    <t xml:space="preserve">Xeros Technology Group PLC
Wuxi Little Swan Co Ltd</t>
  </si>
  <si>
    <t xml:space="preserve">Drycleaning and Laundry Services (Except Coin-Operated)
Other Major Household Appliance Manufacturing</t>
  </si>
  <si>
    <t xml:space="preserve">Xeros Technology Group PLC,
located in Rotherham, the
United Kingdom, provides
garment cleaning services.
It has a patented cleaning
system comprising a special
washing machine designed to
release the beads into the
drum for cleaning, and
remove the beads from the
clothes once the cleaning is
complete.
Wuxi Little Swan Co Ltd is a
manufacturer and wholesaler
of major household
appliances. The Company was
founded in 1958 and is
located in Wuxi, China.</t>
  </si>
  <si>
    <t xml:space="preserve">7219
3639</t>
  </si>
  <si>
    <t xml:space="preserve">XEROS TECHNOLOGY GROUP PLC/WUXI LITTLE SWAN CO LTD-STRATEGIC ALLIANCE</t>
  </si>
  <si>
    <t xml:space="preserve">Xeros Technology Group PLC and Wuxi Little Swan Co Ltd formed a strategic
alliance to develop and design a prototype including Xeros' technologies.
If successful, the agreement allows for both parties to enter into
commercial discussions under a separate agreement and timetable.</t>
  </si>
  <si>
    <t xml:space="preserve">9A5652
98261J</t>
  </si>
  <si>
    <t xml:space="preserve">ExxonMobil Oil Corp
Renewable Energy Group Inc
Clariant AG</t>
  </si>
  <si>
    <t xml:space="preserve">Mnfr,whl refined petro product
Petrochemical Manufacturing
Mnfr,whl specialty chemicals</t>
  </si>
  <si>
    <t xml:space="preserve">ExxonMobil Oil Corp, located
in Fairfax, Virginia, is a
manufacturer and wholesaler of
refined petroleum and gas
products.
Renewable Energy Group Inc,
headquartered in Ames, Iowa,
manufactures and wholesales
biodiesel products. The
company's brands include
REG-9000 biodiesel and
SoyPOWER. The company was
founded in 2006.
Clariant AG, located in
Muttenz, Switzerland,
manufactures and wholesales
specialty chemicals. It
focuses on energy
efficiency, renewable raw
materials, emission-free
mobility, and conserving
finite resources. Its
business units are divided
in to 4 market segments that
include Care Chemicals,
Catalysis, Natural Resources
and Plastics &amp; Coatings. The
Care Chemicals segment
manufactures ingredients for
laundry detergents, fabric
softeners, disinfectants and
dishwashing detergents, as
well as plasticizers,
de-icing fluids for
aircrafts and runways. The
Catalysis segment produces
catalysts for the
petrochemicals, plastics and
refining industries. The
Natural Resources segment
offers products and services
to the minerals and oil and
mining industries. The
Plastics and Coatings
segment manufactures color
and additive concentrates
and performance solutions
for plastics, flame
retardants, polymer
additives and waxes for
functional effects in
plastics, coatings, inks and
other special applications.
The Company was founded in
1995.</t>
  </si>
  <si>
    <t xml:space="preserve">2911
2869
2899</t>
  </si>
  <si>
    <t xml:space="preserve">United States
United States
Switzerland</t>
  </si>
  <si>
    <t xml:space="preserve">VA
IA
FF</t>
  </si>
  <si>
    <t xml:space="preserve">Exxon Mobil Corp
Renewable Energy Group Inc
Clariant AG</t>
  </si>
  <si>
    <t xml:space="preserve">EXXONMOBIL OIL CORP/RENEWABLE ENERGY GROUP INC/CLARIANT AG-STRATEGIC
ALLIANCE</t>
  </si>
  <si>
    <t xml:space="preserve">ExxonMobil Oil Corp, Renewable Energy Group Inc and Clariant AG formed a
strategic alliance to optimize REGs bio-conversion process using previously
tested and benchmarked cellulosic sugars created through Clariants
sunliquid process. The companies ultimate objective is to combine Clariants
and REGs processes into a seamless cellulosic biomass-to-biodiesel
technology.</t>
  </si>
  <si>
    <t xml:space="preserve">30803F
75972A
H1563H</t>
  </si>
  <si>
    <t xml:space="preserve">The Robotic Inds Assn
Pittsburgh Robotics Network</t>
  </si>
  <si>
    <t xml:space="preserve">Custom Computer Programming Services
Computer Systems Design Services</t>
  </si>
  <si>
    <t xml:space="preserve">The Robotic Industries
Association is a provider of
custom computer programming
services. The Company is
located in Michigan.
Pittsburgh Robotics Network
is a provider of computer
systems design services. The
Company is located in
Pennsylvania.</t>
  </si>
  <si>
    <t xml:space="preserve">7371
7373</t>
  </si>
  <si>
    <t xml:space="preserve">THE ROBOTIC INDUSTRIES ASSOCIATION/PITTSBURGH ROBOTICS NETWORK-STRATEGIC
ALLIANCE</t>
  </si>
  <si>
    <t xml:space="preserve">The Robotic Industries Association and Pittsburgh Robotics Network planned
to form a strategic alliance to elevate the awareness of the burgeoning
robotics industry in the Pittsburgh area.</t>
  </si>
  <si>
    <t xml:space="preserve">0J2393
0J2399</t>
  </si>
  <si>
    <t xml:space="preserve">Attis Industries Inc
Iowa State University</t>
  </si>
  <si>
    <t xml:space="preserve">Offices Of Other Holding Companies
Own,op college,university</t>
  </si>
  <si>
    <t xml:space="preserve">Attis Industries Inc is
located in Atlanta, Georgia.
The Company owns and
operates several businesses
which is Attis Innovations,
Attis Healthcare, Bright
City and Attis Envicare.
Iowa State University, owns
and operates a
college/university. The
college/university is
headquartered in Ames, Iowa.</t>
  </si>
  <si>
    <t xml:space="preserve">7371
8221</t>
  </si>
  <si>
    <t xml:space="preserve">GA
IA</t>
  </si>
  <si>
    <t xml:space="preserve">ATTIS INDUSTRIES INC/IOWA STATE UNIVERSITY-STRATEGIC ALLIANCE</t>
  </si>
  <si>
    <t xml:space="preserve">Attis Industries Inc and Iowa State University planned to form a strategic
alliance to Advance Carbon Fiber Research for Use in Major Industries.</t>
  </si>
  <si>
    <t xml:space="preserve">114003
462578</t>
  </si>
  <si>
    <t xml:space="preserve">Origenis GmbH
Expansion Therapeutics</t>
  </si>
  <si>
    <t xml:space="preserve">Origenis GmbH is a
biotechnology company
headquartered in Germany, it
specializes for drug design,
synthesis, and
characterisation driven by its
patented technology platform
MOREsystem. Founded in 2005.
Expansion Therapeutics is a
manufacturer of
pharmaceutical preparation.
The Company is located in
California.</t>
  </si>
  <si>
    <t xml:space="preserve">ORIGENIS GMBH /EXPANSION THERAPEUTICS-STRATEGIC ALLIANCE</t>
  </si>
  <si>
    <t xml:space="preserve">Origenis GmbH and Expansion Therapeutics planned to form a strategic
alliance to research and discover small molecule compounds targeting
RNA-mediated diseases.</t>
  </si>
  <si>
    <t xml:space="preserve">68601K
0J4797</t>
  </si>
  <si>
    <t xml:space="preserve">Ekinops SA
Lanner Electronics Inc</t>
  </si>
  <si>
    <t xml:space="preserve">Mnfr optical transport equip
Mnfr,whl computers,peripherals</t>
  </si>
  <si>
    <t xml:space="preserve">Ekinops SA, located in
Lannion, France,
manufactures optical
transport equipment. The
Company specializes in 10G,
40G, and 100G transmission,
aggregation and Forward
Error Correction (FEC) to
allow operators to
cost-effectively increase
data transport capacity over
dark fiber, CWDM, DWDM,
SONET/SDH, IP/Ethernet and
SAN networks. It has
technology called T-Chip
(Transport on-a-Chip) that
is programmable and allows
for footprint and
introduction of new features
via software. It develops
Ekinops 360 platform
designed for Metro, Regional
and Long haul CWDM and DWDM
networks. The Company was
founded in 2003.
Lanner Electronics Inc is a
manufacturer of electronic
computers. The Company is
located in New Taipei,
Taiwan and was founded in
October 1986.</t>
  </si>
  <si>
    <t xml:space="preserve">3661
3571</t>
  </si>
  <si>
    <t xml:space="preserve">EKINOPS SA/LANNER ELECTRONICS INC-STRATEGIC ALLIANCE</t>
  </si>
  <si>
    <t xml:space="preserve">Ekinops SA and Lanner Electronics Inc formed a strategic alliance to
develop a highly flexible universal customer premise equipment (uCPE).</t>
  </si>
  <si>
    <t xml:space="preserve">3A3607
51601E</t>
  </si>
  <si>
    <t xml:space="preserve">Triphase Research &amp; Dvlp Corp
Celgene Corp</t>
  </si>
  <si>
    <t xml:space="preserve">Triphase Research &amp;
Development I Corp, located in
Toronto, Ontario, is a
biotechnology company.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</si>
  <si>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TRIPHASE RESEARCH &amp;/CELGENE CORP-STRATEGIC ALLIANCE</t>
  </si>
  <si>
    <t xml:space="preserve">Triphase Research Development I Corp and Celgene Corp formed a strategic
alliance for a first-in-class preclinical therapeutic targeting the WDR5
protein for the treatment of blood cancers including leukemia.</t>
  </si>
  <si>
    <t xml:space="preserve">1A3672
151020</t>
  </si>
  <si>
    <t xml:space="preserve">China Medical System Hldg Ltd
Midatech Pharma PLC</t>
  </si>
  <si>
    <t xml:space="preserve">China Medical System
Holdings Ltd is a
manufacturer of
pharmaceutical preparation.
The Company was founded in
May 1995 and is located in
Shenzhen, China.
Midatech Pharma PLC is
biopharmaceutical company.
It focuses on
commercializing and
developing products in
oncology and other
therapeutic areas. Its
segments include Pipeline
Research and Development,
and Commercial. The Pipeline
Research and Development
segment seeks to develop
products using the
nanomedicine and sustained
release technology
platforms. The Commercial
segment distributes and
sells the commercial
products. Its products
include Zuplenz, Gelclair,
Oravig and Soltamox. The
Company was founded in 2000
and is located in Abingdon,
the United Kingdom.</t>
  </si>
  <si>
    <t xml:space="preserve">CHINA MEDICAL SYSTEM HOLDINGS LTD/MIDATECH PHARMA PLC-STRATEGIC ALLIANCE</t>
  </si>
  <si>
    <t xml:space="preserve">China Medical System Holdings Ltd and Midatech Pharma PLC formed a
strategic alliance for the development and commercialisation of the Group's
pipeline of products in Greater China and certain South East Asian
countries.</t>
  </si>
  <si>
    <t xml:space="preserve">17211P
59564R</t>
  </si>
  <si>
    <t xml:space="preserve">B G Negev Tech And
Rafael Advanced Defense Sys</t>
  </si>
  <si>
    <t xml:space="preserve">Biotechnology company
Manufacture defense systems</t>
  </si>
  <si>
    <t xml:space="preserve">B G Negev Technologies &amp;
Applications Ltd is a
manufacturer of biological
products. The Company was
founded in June 1978 and is
located in Beer Sheva,
Israel.
Rafael Advanced Defense
Systems Ltd manufactures,
designs and distributes
high-tech defense systems
for air, land, sea and space
applications such as
missiles, tanks, torpedos,
air, sea and space missiles,
including unmanned aerial
vehicles, missiles and
weapons, electronic warfare
and self-protection,
electro-optic reconnaissance
and intelligence collection,
as well as processing
systems, analysis, and
dissemination tools,
airborne data-links and
communications, command and
control systems. The Company
was founded in 2002 and is
located in Haifa, Israel.</t>
  </si>
  <si>
    <t xml:space="preserve">2836
3795</t>
  </si>
  <si>
    <t xml:space="preserve">B G NEGEV TECHNOLOGIES &amp; APPLICATIONS LTD/RAFAEL ADVANCED DEFENSE SYSTEMS
LTD-STRATEGIC ALLIANCE</t>
  </si>
  <si>
    <t xml:space="preserve">B G Negev Technologies Applications Ltd and Rafael Advanced Defense Systems
Ltd formed a strategic alliance to collaborate with researchers at BGU in a
variety of fields, including cybersecurity, smart mobility, robotics and
artificial intelligence (AI).</t>
  </si>
  <si>
    <t xml:space="preserve">9E3000
73874Q</t>
  </si>
  <si>
    <t xml:space="preserve">4G Clinical LLC
EPS Holdings Inc</t>
  </si>
  <si>
    <t xml:space="preserve">Pharmacies and Drug Stores
Research and Development in Biotechnology</t>
  </si>
  <si>
    <t xml:space="preserve">4G Clinical LLC, located in
Wellesley, Massachusetts, is
a drug store operator
offering Clinical Trials,
Supply Forecasting, RTSM,
IRT, Randomization, Agile
Software Development,
Natural Language Processing,
IWRS, Randomization and
trial supply management,
Interactive Rsponse
Technologies, and Natural
Language Processing. The
Company was founded in 2015.
EPS Holdings Inc, located in
Shinjuku-Ku, Tokyo, is a
provider of biotechnology
research and development
services. The Company was
founded in 1991.</t>
  </si>
  <si>
    <t xml:space="preserve">5912
8731</t>
  </si>
  <si>
    <t xml:space="preserve">4G CLINICAL LLC/EPS HOLDINGS INC-STRATEGIC ALLIANCE</t>
  </si>
  <si>
    <t xml:space="preserve">4g Clinical LLC and EPS Holdings Inc formed a strategic alliance to
Accelerate Clinical Trials World-Wide.</t>
  </si>
  <si>
    <t xml:space="preserve">0J6012
0E6201</t>
  </si>
  <si>
    <t xml:space="preserve">Cannassure Therapeutics Ltd
Cannika Hldg</t>
  </si>
  <si>
    <t xml:space="preserve">Cannassure Therapeutics Ltd
is a provider of ambulatory
health care services. The
Company is located in
Ashdod, Israel.
Cannika Holdings is a
provider of biotechnology
research and development
services. The Company is
located in Israel.</t>
  </si>
  <si>
    <t xml:space="preserve">0182
8731</t>
  </si>
  <si>
    <t xml:space="preserve">CANNASSURE THERAPEUTICS LTD/CANNIKA HOLDINGS-STRATEGIC ALLIANCE</t>
  </si>
  <si>
    <t xml:space="preserve">Cannassure Therapeutics Ltd and Cannika Holdings planned to form a
strategic alliance to expand the footprint in medical cannabis innovation
and R&amp;D</t>
  </si>
  <si>
    <t xml:space="preserve">0J5499
0J5501</t>
  </si>
  <si>
    <t xml:space="preserve">Wistar Institute
Cullinan Oncology LLC</t>
  </si>
  <si>
    <t xml:space="preserve">Pvd biomedical research svcs
Research and Development in Biotechnology</t>
  </si>
  <si>
    <t xml:space="preserve">Wistar Institute , located in
Philadelphia, Pennsylvania,
provides biological research
services with special
expertise in cancer research
and vaccine development. The
company was founded in 1892.
Cullinan Oncology LLC,
located in Cambridge,
Massachusetts, is a provider
of biotechnology research
and development services.
The Company was founded in
1970.</t>
  </si>
  <si>
    <t xml:space="preserve">WISTAR INSTITUTE /CULLINAN ONCOLOGY LLC-STRATEGIC ALLIANCE</t>
  </si>
  <si>
    <t xml:space="preserve">Wistar Institute and Cullinan Oncology LLC formed a strategic alliance to
accelerate the development of VK-2019.</t>
  </si>
  <si>
    <t xml:space="preserve">97735E
0J6573</t>
  </si>
  <si>
    <t xml:space="preserve">West Pharmaceutical Services
scPharmaceuticals Inc</t>
  </si>
  <si>
    <t xml:space="preserve">Mnfr med equip,pharm
Mnfr biopharmaceutical products</t>
  </si>
  <si>
    <t xml:space="preserve">West Pharmaceutical Services
Inc, located in Lionville,
Pennsylvania, manufactures
medical equipment,
pharmaceuticals and
biopharmaceuticals products.
Its products include stoppers,
closures and medical device
components. It provides
contract laboratory services
for testing injectable drug
packaging. The company was
founded in 1923.
scPharmaceuticals Inc,
located in Burlington,
Massachusetts, manufactures
biopharmaceutical products.
Its product and service
portfolio include
furosemide, subcutaneous
ceftriaxone, micropiston
pump, sc2Wear, etc.</t>
  </si>
  <si>
    <t xml:space="preserve">WEST PHARMACEUTICAL SERVICES/SCPHARMACEUTICALS INC-STRATEGIC ALLIANCE</t>
  </si>
  <si>
    <t xml:space="preserve">West Co Inc and scPharmaceuticals Inc formed a strategic alliance.</t>
  </si>
  <si>
    <t xml:space="preserve">955306
810648</t>
  </si>
  <si>
    <t xml:space="preserve">Seqwell Inc
Gencove Inc</t>
  </si>
  <si>
    <t xml:space="preserve">Seqwell Inc is a
manufacturer of biological
products. The Company was
founded in February 2014 and
is located in Beverly,
Massachusetts.
Gencove Inc is a New York,
New York-based developer of
low-pass genome sequencing
platform. The Companys
application informs users
about the science of
genomics and serves as a
portal for people who may
want to contribute to
understanding of how genes
influence human health and
behavior. The Company was
founded in December 2015.</t>
  </si>
  <si>
    <t xml:space="preserve">SEQWELL INC/GENCOVE INC-STRATEGIC ALLIANCE</t>
  </si>
  <si>
    <t xml:space="preserve">Seqwell Inc and Gencove Inc formed a strategic alliance to provide genomic
researchers a powerful and scalable end-to-end solution for low-pass whole
genome sequencing and genotype imputation.</t>
  </si>
  <si>
    <t xml:space="preserve">0J6786
0J6787</t>
  </si>
  <si>
    <t xml:space="preserve">Ono Pharmaceutical Co Ltd
Repare Therapeutics Inc</t>
  </si>
  <si>
    <t xml:space="preserve">Ono Pharmaceutical Co Ltd,
located in Osaka, Japan,
manufactures and wholesales
pharmaceuticals and
diagnostic reagents focusing
primarily on prescription
pharmaceuticals. The company
was founded in 1717.
Repare Therapeutics Inc,
located in St. Laurent,
Quebec, provides biotechnology
research and development
services. It develops oncology
drugs for patients that target
specific vulnerabilities of
tumor cells. Its approach
integrates discoveries from
several fields of cell biology
including deoxyribonucleic
acid (DNA) repair and
synthetic lethality. Its
platform combines a clustered
regularly interspaced short
palindromic repeats
(CRISPR)-enabled gene editing
target discovery method with
protein crystallography,
computational biology and
clinical informatics. The
Company was founded in 2016.</t>
  </si>
  <si>
    <t xml:space="preserve">ONE PHARMACEUTICAL CO LTD/REPARE THERAPEUTICS INC-STRATEGIC ALLIANCE</t>
  </si>
  <si>
    <t xml:space="preserve">One Pharmaceutical Co Ltd and Repare Therapeutics Inc formed a strategic
alliance develop novel therapeutics that target specific vulnerabilities of
tumors in clearly defined patient populations, announced today that it has
entered into an exclusive strategic research, development and
commercialization partnership with ONO Pharmaceutical Co., Ltd., for
Repare's small molecule Pol inhibitor program in Japan, South Korea,
Taiwan, Hong Kong, Macau and ASEAN countries, excluding mainland China.
Repare retains all rights to develop and commercialize the products outside
the ONO territory, including the US, Canada and EU.</t>
  </si>
  <si>
    <t xml:space="preserve">68273Q
760273</t>
  </si>
  <si>
    <t xml:space="preserve">Janssen Pharmaceuticals Inc
Meiragtx Holdings Plc</t>
  </si>
  <si>
    <t xml:space="preserve">Janssen Pharmaceuticals Inc,
based in Titusville, New
Jersey, manufactures
pharmaceutical products. It
offers women's health and
urology, contraceptive, birth
control and vaginal therapy
products. It also has offices
in Raritan, Somerset County,
New Jersey and Fort
Washington, Pennsylvania. It
was founded in 1993.
MeiraGTx Holdings plc is a
United States-based holding
company. The Company is a
clinical stage company. The
Company develops medical
products for patients
suffering from acquired and
inherited disorders.</t>
  </si>
  <si>
    <t xml:space="preserve">J&amp;J
Meiragtx Holdings Plc</t>
  </si>
  <si>
    <t xml:space="preserve">JANSSEN PHARMACEUTICALS INC/MEIRAGTX HOLDINGS PLC-STRATEGIC ALLIANCE</t>
  </si>
  <si>
    <t xml:space="preserve">Janssen Pharmaceuticals Inc and Meiragtx Holdings Plc formed a strategic
alliance to develop, manufacture and commercialize its clinical stage
inherited retinal disease portfolio, including leading product candidates
for achromatopsia (ACHM) caused by mutations in either CNGB3 or CNGA3, and
X-linked retinitis pigmentosa (XLRP)</t>
  </si>
  <si>
    <t xml:space="preserve">47469X
G59665</t>
  </si>
  <si>
    <t xml:space="preserve">Undisclosed JV Partner
Collagen Solutions PLC</t>
  </si>
  <si>
    <t xml:space="preserve">Investment company
Biological Product (Except Diagnostic) Manufacturing</t>
  </si>
  <si>
    <t xml:space="preserve">Investment company
Collagen Solutions PLC is a
manufacturer of biological
products. The Company
developer and manufacturer
of biomaterials and
regenerative medicines. The
Company provides product
development and contract
manufacturing services,
including technology
transfer and regulatory
support. The Company is
located in Glasgow, the
United Kingdom.</t>
  </si>
  <si>
    <t xml:space="preserve">Unknown
United Kingdom</t>
  </si>
  <si>
    <t xml:space="preserve">COLLAGEN SOLUTIONS PLC/UNDISCLOSED PARTNER-STRATEGIC ALLIANCE</t>
  </si>
  <si>
    <t xml:space="preserve">Undisclosed Joint Venture Partner and Collagen Solutions PLC formed a
strategic alliance to distribute Chondromimetic with an indonesian
partner.</t>
  </si>
  <si>
    <t xml:space="preserve">904JVP
4C2680</t>
  </si>
  <si>
    <t xml:space="preserve">Mj Medtech Inc
Biodelta Nutraceuticals Ltd</t>
  </si>
  <si>
    <t xml:space="preserve">Mj Medtech Inc is a
manufacturer of medicinals
and botanicals. The Company
is located in Delaware.
Biodelta Nutraceuticals Ltd
is a manufacturer of
pharmaceutical preparation.
The Company is located in
Cape Town, South Africa.</t>
  </si>
  <si>
    <t xml:space="preserve">United States
South Africa</t>
  </si>
  <si>
    <t xml:space="preserve">Wuhan Gen Grp (China) Inc
Biodelta Nutraceuticals Ltd</t>
  </si>
  <si>
    <t xml:space="preserve">China
South Africa</t>
  </si>
  <si>
    <t xml:space="preserve">3523
2834</t>
  </si>
  <si>
    <t xml:space="preserve">MJ MEDTECH INC/BIODELTA NUTRACEUTICALS LTD-JOINT VENTURE</t>
  </si>
  <si>
    <t xml:space="preserve">Mj Medtech Inc and Biodelta Nutraceuticals Ltd planned to form joint
venture in SOuth Africa to develop, distribute and merchandise all products
sold under the Dr. AnnaRx brand in South Africa and 8 additional African
countries across the African continent.</t>
  </si>
  <si>
    <t xml:space="preserve">Supply Services
Health &amp; Medical Services
Research &amp; Development Services</t>
  </si>
  <si>
    <t xml:space="preserve">7H3779
0J7248</t>
  </si>
  <si>
    <t xml:space="preserve">Dotmatics Ltd
Tetrascience Inc</t>
  </si>
  <si>
    <t xml:space="preserve">Dotmatics Ltd is a software
publisher. The Company
provides scientific
informatics software and
services. It offers Browser, a
Web-based query and reporting
solution for data management
requirements. The Company was
founded in 2005 and is located
in Bishops Stortfor, the
United Kingdom.
Tetrascience Inc is a
software publisher. The
Company is located in
Boston, Massachusetts.</t>
  </si>
  <si>
    <t xml:space="preserve">DOTMATICS LTD/TETRASCIENCE INC-STRATEGIC ALLIANCE</t>
  </si>
  <si>
    <t xml:space="preserve">Dotmatics Ltd and Tetrascience Inc formed a strategic alliance to bring R&amp;D
labs an improved relationship with their scientific data.</t>
  </si>
  <si>
    <t xml:space="preserve">0H5080
0J7708</t>
  </si>
  <si>
    <t xml:space="preserve">Trevi Therapeutics Inc
Rutgers University
MentiNova Inc</t>
  </si>
  <si>
    <t xml:space="preserve">Pharmaceutical Preparation Manufacturing
Colleges, Universities, and Professional Schools
Research and Development in Biotechnology</t>
  </si>
  <si>
    <t xml:space="preserve">Trevi Therapeutics Inc,
located in New Haven,
Connecticut is a United
States-based, clinical-stage
biotechnology company. It is
focused on developing
Nalbuphine ER for chronic
pruritus (itch). The Company
is pursuing two conditions for
clinical development: uremic
pruritus and prurigo
nodularis. Nalbuphine ER has
both mechanisms of action.
Nalbuphine has been effective
in treating morphine-induced
pruritus in multiple
well-controlled,
double-blinded clinical
studies (Kjellberg 2001).
Trevi has recently completed a
Phase 1 clinical study with
Nalbuphine ER in hemodialysis
subjects with uremic pruritus
and achieved a dose-dependent
decrease in itch in the
majority of the patients.
Nalbuphine is a marketed drug
available only as nalbuphine
hydrochloride (HCl) for
injection, a generic
equivalent to Nubain. It is
approved in the United States
for use in the relief of
moderate to severe pain and as
an analgesic. The Company was
founded in March 2011.
Rutgers University is a
college operator. The
Company was founded in
November 1766 and is located
in New Brunswick, New
Jersey.
MentiNova Inc is a provider
of biotechnology research
and development services.
The Company is located in
Princeton, New Jersey.</t>
  </si>
  <si>
    <t xml:space="preserve">2834
8221
8731</t>
  </si>
  <si>
    <t xml:space="preserve">CT
NJ
NJ</t>
  </si>
  <si>
    <t xml:space="preserve">TREVI THERAPEUTICS INC/RUTGERS UNIVERSITY/MENTINOVA INC-STRATEGIC ALLIANCE</t>
  </si>
  <si>
    <t xml:space="preserve">Trevi Therapeutics Inc, Rutgers University and MentiNova Inc formed a
strategic alliance for intellectual property and data supporting the
development of nalbuphine ER for levodopa-induced dyskinesia (LID) in
patients with Parkinsons disease.</t>
  </si>
  <si>
    <t xml:space="preserve">6F9061
0J3709
0J6217</t>
  </si>
  <si>
    <t xml:space="preserve">Optinose Inc
Inexia Ltd</t>
  </si>
  <si>
    <t xml:space="preserve">Optinose Inc is a manufacturer
of pharmaceutical preparation
focused on the development and
commercialization of products
for patients treated by ear,
nose and throat, or ENT, and
allergy specialists.. The
Company is located in Yardley,
Pennsylvania.
Inexia Ltd is a provider of
biotechnology research and
development services. The
Company was founded in
October 2018 and is located
in London, the United
Kingdom.</t>
  </si>
  <si>
    <t xml:space="preserve">OPTINOSE INC/INEXIA LTD-STRATEGIC ALLIANCE</t>
  </si>
  <si>
    <t xml:space="preserve">Optinose Inc and Inexia Ltd formed a strategic alliance to discover and
develop novel therapies based on positive modulators of Orexin OX1 and OX2
for neurological diseases.</t>
  </si>
  <si>
    <t xml:space="preserve">9F0948
0J7567</t>
  </si>
  <si>
    <t xml:space="preserve">Mayo Medical Laboratories
Numares AG</t>
  </si>
  <si>
    <t xml:space="preserve">Pvd medical/health svcs
Surgical Appliance and Supplies Manufacturing</t>
  </si>
  <si>
    <t xml:space="preserve">Mayo Medical Laboratories,
based in Rochester, Minnesota,
provides medical and health
services. The company offers
medical laboratory services,
and physician consultation
services. The company was
founded in 1971.
Numares AG is a manufacturer
of surgical appliance and
supplies. The Company was
founded in June 2014 and is
located in Regensburg,
Germany.</t>
  </si>
  <si>
    <t xml:space="preserve">8071
3069</t>
  </si>
  <si>
    <t xml:space="preserve">Mayo Clinic
Numares AG</t>
  </si>
  <si>
    <t xml:space="preserve">8099
3069</t>
  </si>
  <si>
    <t xml:space="preserve">MAYO MEDICAL LABORATORIES/NUMARES AG-STRATEGIC ALLIANCE</t>
  </si>
  <si>
    <t xml:space="preserve">Mayo Medical Laboratories and Numares AG formed a strategic alliance to
develop clinical diagnostic tests that will measure clusters of risk
factors as opposed to individual biomarkers.</t>
  </si>
  <si>
    <t xml:space="preserve">4A3279
1J0004</t>
  </si>
  <si>
    <t xml:space="preserve">Genentech Inc
Xencor Inc</t>
  </si>
  <si>
    <t xml:space="preserve">Genentech Inc, located in
South San Francisco,
California, manufactures
pharmaceuticals. It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
Xencor Inc, located in
Monrovia, California, is a
biopharmaceutical company
that discovers, develops and
manufactures engineered
monoclonal antibodies to
treat severe and
life-threatening diseases
with unmet medical needs. It
uses proprietary XmAb
technology platform to
create antibody product
candidates designed to treat
autoimmune and allergic
diseases, cancer and other
conditions. The Company was
founded in 1997.</t>
  </si>
  <si>
    <t xml:space="preserve">Roche Holdings AG
Xencor Inc</t>
  </si>
  <si>
    <t xml:space="preserve">GENENTECH INC/XENCOR INC-STRATEGIC ALLIANCE</t>
  </si>
  <si>
    <t xml:space="preserve">Genentech Inc and Xencor Inc formed a strategic alliance to develop and
commercialize novel IL-15 cytokine therapeutics, including XmAb24306.
XmAb24306 is an IL-15/IL-15R cytokine complex engineered with Xencor's
bispecific Fc domain and Xtend Fc technology and is Xencor's most advanced
preclinical cytokine program.</t>
  </si>
  <si>
    <t xml:space="preserve">368710
98401F</t>
  </si>
  <si>
    <t xml:space="preserve">Andrew Alliance SA and Waters Corp formed a strategic alliance to improve
laboratory operations in the field of liquid chromatography and mass
spectrometry (LC-MS).</t>
  </si>
  <si>
    <t xml:space="preserve">ALD International SA
E ON SE</t>
  </si>
  <si>
    <t xml:space="preserve">Passenger Car Rental
Electric Power Distribution</t>
  </si>
  <si>
    <t xml:space="preserve">ALD International SA is a
provider of passenger car
rental services. The Company
was founded in 1946 and is
located in Clichy, France.
E.ON SE is an energy
company. The Company's
segments include Energy
Networks, Customer
Solutions, and Renewables.
Its non-strategic operations
are reported under Non-Core
Business. The Company's
business areas include
energy networks, customer
solutions, renewables,
energy efficiency and
distributed energy,
technical services and
nuclear. Its customers
include Residential,
Industrial and Resellers.
The Energy Networks segment
consists of its power and
gas distribution networks
and related activities. It
is subdivided into three
regional markets: Germany,
Sweden, and East-Central
Europe/Turkey (which
consists of the Czech
Republic, Hungary, Romania,
Slovakia and Turkey). The
Customer Solutions segment
serves as the platform for
working with its customers
to shape Europe's energy
transition. The Renewables
segment consists of Onshore
Wind/Solar and Offshore
Wind/Other. The Company
plans, builds, operates and
manages renewable generation
assets.</t>
  </si>
  <si>
    <t xml:space="preserve">7514
4911</t>
  </si>
  <si>
    <t xml:space="preserve">Societe Generale SA
E ON SE</t>
  </si>
  <si>
    <t xml:space="preserve">6000
4911</t>
  </si>
  <si>
    <t xml:space="preserve">ALD INTERNATIONAL SA/E ON SE-STRATEGIC ALLIANCE</t>
  </si>
  <si>
    <t xml:space="preserve">ALD International SA and E ON SE formed a strategic alliance to develop and
market digital enhanced mobility, financing, and energy services.</t>
  </si>
  <si>
    <t xml:space="preserve">01387R
D24914</t>
  </si>
  <si>
    <t xml:space="preserve">MTU Aero Engines AG
Safran SA</t>
  </si>
  <si>
    <t xml:space="preserve">Aircraft Engine and Engine Parts Manufacturing
Other Aircraft Parts and Auxiliary Equipment Manufacturing</t>
  </si>
  <si>
    <t xml:space="preserve">MTU Aero Engines AG, located
in Munich, Germany,
manufactures, markets, and
repairs civil and military
aircraft engines and
industrial gas turbines. The
Group operates through two
segments: OEM business
segment and Commercial MRO
business segment. The
company was founded in 1934.
Safran SA, located in Paris,
France, manufactures and
wholesales aircraft
propulsion units, aircraft
equipment, mobile phones,
digital televisions, cables,
navigation and security
equipment. The Group
operates under four major
segments, Aerospace
propulsion, Defense
Security, Aircraft Equipment
and Communication and
Terminals. Under Aerospace
propulsion, the Group offers
aero engines for civil and
military airplanes. The
Company also offers
propulsion systems,
equipment for launchers,
satellites and space
vehicles. Under Defense
security, it offers security
and defense electronics such
as inertial navigation
systems, Optronics system,
information and command
control system and Biometric
identification systems.
Under Aircraft Equipment, it
offers aircraft engine
nacelles, landing gear,
wheels and carbon brakes and
aircraft wiring. Under
Communication and Terminals,
it offers printing
terminals, residential
terminals, digital TV
set-top boxes and broadband
networks and operates mainly
in Europe. The Company was
founded in 1904.</t>
  </si>
  <si>
    <t xml:space="preserve">3724
3728</t>
  </si>
  <si>
    <t xml:space="preserve">MTU AERO ENGINES AG/SAFRAN SA-STRATEGIC ALLIANCE</t>
  </si>
  <si>
    <t xml:space="preserve">MTU Aero Engines AG and Safran SA formed a strategic alliance to lead the
development, the production and the after-sales support activities of the
new engine.</t>
  </si>
  <si>
    <t xml:space="preserve">Research &amp; Development Services
Airline Maintenance Services
Industrial Maintenance Services</t>
  </si>
  <si>
    <t xml:space="preserve">5E7005
6E5093</t>
  </si>
  <si>
    <t xml:space="preserve">C-RAD AB
Xecan</t>
  </si>
  <si>
    <t xml:space="preserve">Irradiation Apparatus Manufacturing
Software Publishers</t>
  </si>
  <si>
    <t xml:space="preserve">C-RAD AB develops and sells
systems with applications in
radiation therapy for the
treatment of cancer. The
Company is located in
Uppsala, Sweden.The
systems can be used to
position the patient prior
to the treatment and to
localize and monitor the
tumor by recording
information such as patient
movements during radiation
treatment. The operating
segments of the group are
Positioning segment which
includes development and
sales of products in the
field of patient positioning
during radiotherapy,
including catalyst,
sentinel, and HIT lasers;
and Imaging segment which
includes the development of
imaging devices and
detectors for cancer
treatments and dosimetry. It
generates maximum revenue
from the Positioning
segment. The firm sells its
products in Sweden and
internationally.
Xecan is a software
publisher. The Company is
located in Newton,
Massachusetts.</t>
  </si>
  <si>
    <t xml:space="preserve">3844
7376</t>
  </si>
  <si>
    <t xml:space="preserve">C-RAD AB/XECAN-STRATEGIC ALLIANCE</t>
  </si>
  <si>
    <t xml:space="preserve">C-RAD AB and Xecan formed a strategic alliance to develop new products to
advance patient positioning and resource management within radiation
therapy.</t>
  </si>
  <si>
    <t xml:space="preserve">22653H
0J8369</t>
  </si>
  <si>
    <t xml:space="preserve">Ose Immunotherapeutics SA
Les Laboratoires Servier SAS</t>
  </si>
  <si>
    <t xml:space="preserve">Biological Product (Except Diagnostic) Manufacturing
Manufacture,wholesale drugs</t>
  </si>
  <si>
    <t xml:space="preserve">Ose Immunotherapeutics SA is a
manufacturer of biological
products. The Company develops
immunotherapy products against
invasive or metastatic
late-stage cancers. It offers
a technology, called Memopi,
which helps the immune system
to eliminate malignant cells;
it re-educates the bodys
immunological memory so that
the immune system (and
particularly T cytotoxic
cells) attacks tumor cells by
increasing the patients
specific cytotoxic T response
against their cancer. The
Company is located in Nantes,
France.
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t>
  </si>
  <si>
    <t xml:space="preserve">OSE IMMUNOTHERAPEUTICS SA/LES LABORATOIRES SERVIER SAS-STRATEGIC ALLIANCE</t>
  </si>
  <si>
    <t xml:space="preserve">Ose Immunotherapeutics SA and Les Laboratoires Servier SAS formed a
strategic alliance for further clinical development and potential
commercialization of OSE-127 in autoimmune diseases in France.</t>
  </si>
  <si>
    <t xml:space="preserve">3C1470
81764A</t>
  </si>
  <si>
    <t xml:space="preserve">Wize Pharma Inc
Cannabics Pharmaceuticals Inc</t>
  </si>
  <si>
    <t xml:space="preserve">Biopharmaceutical company
Support Activities For Metal Mining</t>
  </si>
  <si>
    <t xml:space="preserve">Wize Pharma Inc is a
manufacturer of
pharmaceutical preparation.
The Company was founded in
December 2001 and is located
in Petach Tikva, Israel.
Cannabics Pharmaceuticals Inc,
located in Reno, Nevada, is
engaged in toll milling and
refining, mineral exploration,
and mine development
activities in North America.
The Company was founded in
2005.</t>
  </si>
  <si>
    <t xml:space="preserve">2834
1081</t>
  </si>
  <si>
    <t xml:space="preserve">Wize Pharma Ltd
Cannabics Pharmaceuticals Inc</t>
  </si>
  <si>
    <t xml:space="preserve">WIZE PHARMA INC/CANNABICS PHARMACEUTICALS INC-JOINT VENTURE</t>
  </si>
  <si>
    <t xml:space="preserve">Wize Pharma Inc and Cannabics Pharmaceuticals Inc planned to form a joint
venture for researching, developing and administering cannabinoid
formulations to treat ophthalmic conditions.</t>
  </si>
  <si>
    <t xml:space="preserve">683736
6F0155</t>
  </si>
  <si>
    <t xml:space="preserve">Evotec AG
Galapagos NV</t>
  </si>
  <si>
    <t xml:space="preserve">Mnfr small molecule drugs
Biological Product (Except Diagnostic) Manufacturing</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</si>
  <si>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Galapagos NV, located in
Mechelen, Belgium, is a
biopharmaceutical company
focused on small molecule
medicines and drug discovery
programs based on
proprietary, novel targets
in bone and joint diseases
such osteoarthritis,
osteoporosis and rheumatoid
arthritis. It also pursues
research on cancer
metastasis, cachexia,
infectious diseases and
Alzheimer's disease.
Besides Belgium, it also
operates in the Netherlands,
France, Switzerland, the
United States and Croatia.
The Company was founded in
1999.</t>
  </si>
  <si>
    <t xml:space="preserve">EVOTEC AG/GALAPAGOS NV-STRATEGIC ALLIANCE</t>
  </si>
  <si>
    <t xml:space="preserve">Evotech BioSystems AG and Galapagos NV formed a strategic alliance to
concerns a small-molecule program, currently in pre-clinical drug
development for the treatment of fibrotic diseases of the liver and other
organs.</t>
  </si>
  <si>
    <t xml:space="preserve">D1646D
36315X</t>
  </si>
  <si>
    <t xml:space="preserve">Ligand Pharmaceuticals Inc
Genagon Therapeutics AB</t>
  </si>
  <si>
    <t xml:space="preserve">Ligand Pharmaceuticals Inc,
headquartered in San Diego,
California, is a
biopharmaceutical company
that focuses on developing
and acquiring technologies
that help pharmaceutical
companies discover and
develop medicines. It is
involved in the development
and licensing of
biopharmaceutical assets. It
employs research
technologies, such as
nuclear receptor assays,
high throughout computer
screening, formulation
science, liver targeted
pro-drug technologies and
antibody discovery
technologies to assist
companies in their work
toward obtaining
prescription drug approvals.
It had partnerships and
license agreements with over
85 pharmaceutical and
biotechnology companies, and
over 140 various programs
under license with it were
in various stages of
commercialization and
development. It has
contributed research and
technologies for approved
medicines that treat cancer,
osteoporosis, fungal
infections and low blood
platelets, among others. The
Company was founded in 1987.
Genagon Therapeutics AB is a
provider of biotechnology
research and development
services. The Company was
founded in 1970 and is
located in Solna, Sweden.</t>
  </si>
  <si>
    <t xml:space="preserve">LIGAND PHARMACEUTICALS INC/GENAGON THERAPEUTICS AB-STRATEGIC ALLIANCE</t>
  </si>
  <si>
    <t xml:space="preserve">Ligand Pharmaceuticals Inc and Genagon Therapeutics AB formed a strategic
alliance to gain access to the full OmniAb platform including OmniRat,
OmniMouse, OmniFlic and OmniChicken in their drug discovery efforts.</t>
  </si>
  <si>
    <t xml:space="preserve">53220K
0J7529</t>
  </si>
  <si>
    <t xml:space="preserve">MarketsandMarkets Research
Oxentia Ltd</t>
  </si>
  <si>
    <t xml:space="preserve">Other Management Consulting Services
Other Management Consulting Services</t>
  </si>
  <si>
    <t xml:space="preserve">MarketsandMarkets Research Pvt
Ltd is a provider of market
research and consulting firm.
The firm provides research on
pharmaceuticals, energy and
power, biotechnology, food and
beverage, chemicals, medical
devices, advanced materials,
semiconductor and electronics,
industrial automation, telecom
and it, consumer goods,
automotive and transportation,
and banking &amp; financial
services sectors. It studies
the main segments as well as
sub markets under these
segments. The firm provides
multi-client reports, country
wise reports, company
profiles, databases, and
custom research services. It
offers market data for
segments such as technologies,
services, and applications for
major geographies. The firm
provides patient, epidemiology
based forecasting for
pharmaceutical industry
through primary and secondary
research analytics. It
conducts epidemiology
analysis, polypharmacy ratio
analysis, competitive
landscape analysis, analogue
analysis for uptake, time to
peak, and generic erosion,
attribute analysis amongst
other techniques. The Company
was founded in 2010 and is
located in Pune, India.
Oxentia Ltd is a provider of
management consulting
services. The Company is
located in the United
Kingdom.</t>
  </si>
  <si>
    <t xml:space="preserve">MARKETSANDMARKETS RESEARCH PVT LTD/OXENTIA LTD-STRATEGIC ALLIANCE</t>
  </si>
  <si>
    <t xml:space="preserve">MarketsandMarkets Research Pvt Ltd and Oxentia Ltd planned to form a
strategic alliance to bring more comprehensive marketplace and revenue
intelligence, analyses, and research &amp; development services to its clients
across the globe.</t>
  </si>
  <si>
    <t xml:space="preserve">3F8707
0J8102</t>
  </si>
  <si>
    <t xml:space="preserve">StemBioSys Inc
Gemini Bioproducts Inc</t>
  </si>
  <si>
    <t xml:space="preserve">StemBioSys Inc, located in
San Antonio, Texas, is a
manufacturer of biological
products. It manufactures
and develops advanced stem
cell technologies to supply
the global market.
Gemini Bio Products Inc,
located in West Sacramento,
California, is a provider of
biotechnology research and
development services. The
Company was founded in 1985.</t>
  </si>
  <si>
    <t xml:space="preserve">STEMBIOSYS INC/GEMINI BIO PRODUCTS INC-STRATEGIC ALLIANCE</t>
  </si>
  <si>
    <t xml:space="preserve">StemBioSys Inc and Gemini Bio Products Inc formed a strategic alliance to
promote and distribute StemBioSys' portfolio of cell-expansion products to
the U.S. research market.</t>
  </si>
  <si>
    <t xml:space="preserve">7E8520
8J2736</t>
  </si>
  <si>
    <t xml:space="preserve">Medidata Solutions Inc
Nielsen Media Research Inc</t>
  </si>
  <si>
    <t xml:space="preserve">Develops life sciences technology platform
Provide audience measurement services</t>
  </si>
  <si>
    <t xml:space="preserve">Medidata Solutions Inc,
located in New York City,
New York, develops life
sciences technology
platform. It offers
application management and
support services for hosted
enterprise software focusing
on best practices to
clinical trials. It provides
cloud-based solutions for
clinical research in life
sciences, offering platform
technology that focuses on
the clinical development.
Its plan study addresses
three areas to ensure
optimal study design, grant
development and negotiation,
and investigator payments.
Its Study Design
Optimization enables
customers to gain visibility
into the impact of protocol
elements on resource and
trial endpoints. Its Grants
Manager compares specific
industry benchmarks and
analytics, using industry's
database of negotiated
procedure costs, to support
appropriate grants to
investigator sites and
automated negotiations with
multiple investigator sites.
Its Payments sector enables
customers to establish a
global investigator payment
strategy and process to
automate payment
calculation, distribution
and reporting, including tax
and currency exchange
calculations. The Company
was founded in June 1999.
Nielsen Media Research Inc,
based in New York, provides
television audience
measurement services. The
principal activities of the
Group are the provision of
market information and
decision-support services to
the pharmaceutical and
healthcare industries;
automated sales support
technologies to the
pharmaceutical industry;
television audience
measurement services, both
nationally and locally; and
independent provider of
research and analysis on the
computer hardware, software,
communications and related
information technology
industries.</t>
  </si>
  <si>
    <t xml:space="preserve">7372
8742</t>
  </si>
  <si>
    <t xml:space="preserve">Medidata Solutions Inc
Nielsen NV</t>
  </si>
  <si>
    <t xml:space="preserve">MEDIDATA SOLUTIONS INC/NIELSEN MEDIA RESEARCH INC-STRATEGIC ALLIANCE</t>
  </si>
  <si>
    <t xml:space="preserve">Medidata Solutions Inc and Nielsen Media Research Inc formed a strategic
alliance to accelerate and optimize operational aspects of a clinical trial
by bringing together industry-leading life science software with
world-class managed services.</t>
  </si>
  <si>
    <t xml:space="preserve">58471A
653929</t>
  </si>
  <si>
    <t xml:space="preserve">Zylo Therapeutics Inc
Ferndale Pharma Group Inc</t>
  </si>
  <si>
    <t xml:space="preserve">Zylo Therapeutics Inc is a
manufacturer of biological
products. The Company was
founded in October 2017 and
is located in Greenville,
South Carolina.
Ferndale Pharma Group Inc,
located in Ferndale, Michigan,
manufactures branded
prescription pharmaceutical
products under-served medical
specialties of dermatology,
colon/rectal surgery and
OB-Gyn. It is also a holding
company. Its companies were
Ferndale Labs &amp; Contract
Manufacturing, Biopelle Inc,
Eloquest Healthcare Inc,
Ferdale Healthcare Inc, and
Ferndale Worldwide, that
include Ferndale International
and Ferndale Pharmaceuticals
Ltd. The company was founded
in 1897.</t>
  </si>
  <si>
    <t xml:space="preserve">SC
MI</t>
  </si>
  <si>
    <t xml:space="preserve">ZYLO THERAPEUTICS INC/FERNDALE PHARMA GROUP INC-STRATEGIC ALLIANCE</t>
  </si>
  <si>
    <t xml:space="preserve">Zylo Therapeutics Inc and Ferndale Pharma Group Inc formed a strategic
alliance to supply Z-pods with the aim of incorporating these into a
selected product.</t>
  </si>
  <si>
    <t xml:space="preserve">0J8695
31516C</t>
  </si>
  <si>
    <t xml:space="preserve">Ascletis Bioscience Co Ltd
3-V Biosciences Inc</t>
  </si>
  <si>
    <t xml:space="preserve">Ascletis Bioscience Co Ltd
is a manufacturer of
biological products. The
Company is located in China.
3-V Biosciences Inc is a
provider of biotechnology
research and development
services. The Company was
founded in December 2006 and
is located in Menlo Park,
California.</t>
  </si>
  <si>
    <t xml:space="preserve">Ascletis Pharma Inc
3-V Biosciences Inc</t>
  </si>
  <si>
    <t xml:space="preserve">ASCLETIS BIOSCIENCE CO LTD/3-V BIOSCIENCES INC-STRATEGIC ALLIANCE</t>
  </si>
  <si>
    <t xml:space="preserve">Ascletis Bioscience Co Ltd and 3-V Biosciences Inc formed a strategic
alliance to grant Ascletis an exclusive license to develop, manufacture and
commercialize ASC40 (TVB-2640) and related compounds in Greater China.</t>
  </si>
  <si>
    <t xml:space="preserve">0J8553
8E4778</t>
  </si>
  <si>
    <t xml:space="preserve">Renalytix AI PLC
AKESOgen Inc</t>
  </si>
  <si>
    <t xml:space="preserve">Software Publishers
Provides genomics and clinical trial precision medicine services</t>
  </si>
  <si>
    <t xml:space="preserve">Renalytix AI PLC is a
software publisher. The
Company was founded in 2018
and is located in Cardiff,
the United Kingdom.
AKESOgen Inc, located in
Peachtree City, Georgia,
provides genomics and
clinical trial precision
medicine services. It
operates a commercial
laboratory facility in
Atlanta. The Company was
founded in 2010.</t>
  </si>
  <si>
    <t xml:space="preserve">Ekf Diagnostics Holdings PLC
AKESOgen Inc</t>
  </si>
  <si>
    <t xml:space="preserve">RENALYTIX AI PLC/AKESOGEN INC-JOINT VENTURE</t>
  </si>
  <si>
    <t xml:space="preserve">RENX AI Labs LLC is a
provider of biotechnology
research and development
services. The Company is
located in Georgia.</t>
  </si>
  <si>
    <t xml:space="preserve">Renalytix AI PLC and AKESOgen Inc formed a joint venture named RENX AI Labs
LLC for expanded testing capacity and pharma services.</t>
  </si>
  <si>
    <t xml:space="preserve">0J8828</t>
  </si>
  <si>
    <t xml:space="preserve">6H5402
02201Z</t>
  </si>
  <si>
    <t xml:space="preserve">AbCellera Biologics Inc
Novartis AG</t>
  </si>
  <si>
    <t xml:space="preserve">AbCellera Biologics Inc,
located in Vancouver,
British Columbia, is a
provider of biotechnology
research and development
services. The Company was
founded in November 2012.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</si>
  <si>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ABCELLERA BIOLOGICS INC/NOVARTIS AG-STRATEGIC ALLIANCE</t>
  </si>
  <si>
    <t xml:space="preserve">AbCellera Biologics Inc and Novartis AG formed a strategic alliance to
provide access to AbCelleras expertise and state-of-the-art antibody
discovery technology for up to ten clinically-relevant disease targets.</t>
  </si>
  <si>
    <t xml:space="preserve">5H9284
66987V</t>
  </si>
  <si>
    <t xml:space="preserve">SK Biopharma
Arvelle Therapeutics Llc</t>
  </si>
  <si>
    <t xml:space="preserve">SK Biopharmaceuticals Co Ltd
is a biotechnology company
headquartered in Gyeonggido,
South Korea. The Company is
involved in the manufacture
of medicinal compounds and
antibiotics. The Company
also offers research and
development services,
analytical method
development and validation;
process validation and
qualification; DMF filing
and others. The Company was
founded in 2011.
Arvelle Therapeutics GmbH is
a manufacturer of biological
products. The Company was
founded in January 2019 and
is located in Basel,
Switzerland.</t>
  </si>
  <si>
    <t xml:space="preserve">South Korea
Switzerland</t>
  </si>
  <si>
    <t xml:space="preserve">SK Holdings Co Ltd
Arvelle Therapeutics Llc</t>
  </si>
  <si>
    <t xml:space="preserve">SK BIOPHARMACEUTICALS/ARVELLE THERAPEUTICS LLC-STRATEGIC ALLIANCE</t>
  </si>
  <si>
    <t xml:space="preserve">SK Biopharmaceuticals and Arvelle Therapeutics LLC formed a strategic
alliance to Develop and Commercialize Cenobamate in Europe.</t>
  </si>
  <si>
    <t xml:space="preserve">3A1085
1J0035</t>
  </si>
  <si>
    <t xml:space="preserve">Acacia Diversified Holdings
University of Tennessee</t>
  </si>
  <si>
    <t xml:space="preserve">Medicinal and Botanical Manufacturing
Own,op college,university</t>
  </si>
  <si>
    <t xml:space="preserve">Acacia Diversified Holdings
Inc, located in Clearwater,
Florida, is a manufacturer
of medicinals and
botanicals.
Own and operate college and
university</t>
  </si>
  <si>
    <t xml:space="preserve">ACACIA DIVERSIFIED HOLDINGS INC/UNIVERSITY OF TENNESSEE-STRATEGIC ALLIANCE</t>
  </si>
  <si>
    <t xml:space="preserve">Acacia Diversified Holdings Inc and University of Tennessee formed a
strategic alliance for potentially ground breaking hemp research.</t>
  </si>
  <si>
    <t xml:space="preserve">00389L
91509Q</t>
  </si>
  <si>
    <t xml:space="preserve">Qiagen NV
Ares Genetics GmbH</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</si>
  <si>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located in Vienna, Austria.</t>
  </si>
  <si>
    <t xml:space="preserve">Qiagen NV
Curetis NV</t>
  </si>
  <si>
    <t xml:space="preserve">QIAGEN NV/ARES GENETICS GMBH-STRATEGIC ALLIANCE</t>
  </si>
  <si>
    <t xml:space="preserve">Qiagen NV and Ares Genetics GmbH formed a strategic alliance for ARESdb and
AREStools in the area of antimicrobial resistance (AMR) research.</t>
  </si>
  <si>
    <t xml:space="preserve">N72482
1J0755</t>
  </si>
  <si>
    <t xml:space="preserve">Guotai JunAn Invest Mgmt Co
Undisclosed JV Partner</t>
  </si>
  <si>
    <t xml:space="preserve">Provide financial services
Investment company</t>
  </si>
  <si>
    <t xml:space="preserve">Guotai JunAn Investment
Management Co Ltd is a
provider of financial
investment services. The
company was founded in
December 2001 and is located
in Shanghai, China.
Investment company</t>
  </si>
  <si>
    <t xml:space="preserve">6289
6799</t>
  </si>
  <si>
    <t xml:space="preserve">GUOTAI JUNAN INVESTMENT MANAGEMENT CO LTD/UNDISCLOSED PARTNER-JOINT
VENTURE</t>
  </si>
  <si>
    <t xml:space="preserve">Guotai JunAn Investment Management Co Ltd and Undisclosed Joint Venture
Partner planned to form a joint venture to research and development,
incubation, transfer, promotion and provision of service related to
technologies; design, production and publication of anime.</t>
  </si>
  <si>
    <t xml:space="preserve">7E0144
904JVP</t>
  </si>
  <si>
    <t xml:space="preserve">Florence Healthcare Inc
Signalpath Inc</t>
  </si>
  <si>
    <t xml:space="preserve">All Other Miscellaneous Ambulatory Health Care Services
Research and Development in The Physical, Engineering and Lifesciences (Except Biotechnology)</t>
  </si>
  <si>
    <t xml:space="preserve">Florence Healthcare Inc is a
provider of ambulatory
health care services. The
Company is located in
Georgia.
Signalpath Inc is a provider
of research and development
services. The Company is
located in North Carolina.</t>
  </si>
  <si>
    <t xml:space="preserve">8099
3721</t>
  </si>
  <si>
    <t xml:space="preserve">GA
NC</t>
  </si>
  <si>
    <t xml:space="preserve">FLORENCE HEALTHCARE INC/SIGNALPATH INC-STRATEGIC ALLIANCE</t>
  </si>
  <si>
    <t xml:space="preserve">Florence Healthcare Inc and Signalpath Inc planned to form a strategic
alliance to optimize clinical research operations through the integration
of their industry leading offerings.</t>
  </si>
  <si>
    <t xml:space="preserve">0J9994
0J9996</t>
  </si>
  <si>
    <t xml:space="preserve">Dr Falk Pharma GmbH
EA Pharma Co Ltd</t>
  </si>
  <si>
    <t xml:space="preserve">Manufacture prescription
pharmaceuticals intended for
final consumption, including
biotech products and
antibiotics, focusing on
drugs that treat liver
diseases, constipation and
irritable bowel syndrome,
gallstone diseases,
ulcerative colitis and
Crohn's disease.
EA Pharma Co Ltd is a
manufacturer of
pharmaceutical preparation.
The Company was founded in
April 2010 and is located in
Chuo-Ku Tokyo, Japan.</t>
  </si>
  <si>
    <t xml:space="preserve">Dr Falk Pharma GmbH
Eisai Co Ltd</t>
  </si>
  <si>
    <t xml:space="preserve">DR FALK PHARMA GMBH/EA PHARMA CO LTD-STRATEGIC ALLIANCE</t>
  </si>
  <si>
    <t xml:space="preserve">Dr Falk Pharma GmbH and EA Pharma Co Ltd formed a strategic alliance was to
develop norUDCA for treatment of primary sclerosing cholangitis (PSC) and
non-alcoholic steatohepatitis (NASH) in Japan.</t>
  </si>
  <si>
    <t xml:space="preserve">71711I
5E0204</t>
  </si>
  <si>
    <t xml:space="preserve">Adial Pharmaceuticals Inc
Catalent Pharma Solutions Inc</t>
  </si>
  <si>
    <t xml:space="preserve">Biological Product (Except Diagnostic) Manufacturing
Mnfr pharm prod</t>
  </si>
  <si>
    <t xml:space="preserve">Adial Pharmaceuticals Inc is
a manufacturer of biological
products. The Company was
founded in October 2010 and
is located in
Charlottesville, Virginia.
Catalent Pharma Solutions
Inc is a manufacturer of
pharmaceutical preparation.
The Company was founded in
April 2007 and is located in
Somerset, New Jersey.</t>
  </si>
  <si>
    <t xml:space="preserve">VA
NJ</t>
  </si>
  <si>
    <t xml:space="preserve">Adial Pharmaceuticals Inc
Catalent Inc</t>
  </si>
  <si>
    <t xml:space="preserve">ADIAL PHARMACEUTICALS INC/CATALENT PHARMA SOLUTIONS INC-STRATEGIC ALLIANCE</t>
  </si>
  <si>
    <t xml:space="preserve">Adial Pharmaceuticals Inc and Catalent Pharma Solutions Inc formed a
strategic alliance to advance clinical activities related to AD04.</t>
  </si>
  <si>
    <t xml:space="preserve">8F1300
14883F</t>
  </si>
  <si>
    <t xml:space="preserve">Emirates Natl Oil Co Ltd
Indian Oil Corp Ltd</t>
  </si>
  <si>
    <t xml:space="preserve">Oil,gas exploration,production company
Manufacture,wholesale petroleum products</t>
  </si>
  <si>
    <t xml:space="preserve">Emirates National Oil Co Ltd
is engaged in the crude
petroleum and natural gas
services business. The
Company was founded in April
1993 and is located in
Dubai, the United Arab
Emirates.
Indian Oil Corp Ltd, located
in New Delhi, India,
manufactures and wholesales
petroleum and petroleum
products. It is also
involved in the exploration
production of crude oil and
gas; and marketing of
natural gas and
petrochemicals. The Company
was founded in 1959.</t>
  </si>
  <si>
    <t xml:space="preserve">Utd Arab Em
India</t>
  </si>
  <si>
    <t xml:space="preserve">EMIRATES NATIONAL OIL CO LTD/INDIAN OIL CORP LTD-STRATEGIC ALLIANCE</t>
  </si>
  <si>
    <t xml:space="preserve">Emirates National Oil Co Ltd and Indian Oil Corp Ltd formed a strategic
alliance to jointly develop cylinder oil compliant to the Sulphur cap of
0.5 percent from the current 3.5 percent.</t>
  </si>
  <si>
    <t xml:space="preserve">29134V
Y3922C</t>
  </si>
  <si>
    <t xml:space="preserve">Murrietagenomics
SeqOnce BioSciences Inc</t>
  </si>
  <si>
    <t xml:space="preserve">Murrietagenomics is a
provider of biotechnology
research and development
services. The Company is
located in Murrieta,
California.
SeqOnce BioSciences Inc,
located in Pasadena,
California, is a provider of
biotechnology research and
development services. The
Company was founded in 2014.</t>
  </si>
  <si>
    <t xml:space="preserve">MURRIETAGENOMICS/SEQONCE BIOSCIENCES INC-STRATEGIC ALLIANCE</t>
  </si>
  <si>
    <t xml:space="preserve">Murrietagenomics and SeqOnce BioSciences Inc planned to form a strategic
alliance to bring fast and simple sample solutions for the Murrieta
Genomics laboratory and incubator.</t>
  </si>
  <si>
    <t xml:space="preserve">0J9857
4H5911</t>
  </si>
  <si>
    <t xml:space="preserve">Lygos Inc
University of Massachusetts</t>
  </si>
  <si>
    <t xml:space="preserve">Lygos Inc is a provider of
biotechnology research and
development services. The
Company is located in
Berkeley, California.
Own and operate college and
university</t>
  </si>
  <si>
    <t xml:space="preserve">LYGOS INC/UNIVERSITY OF MASSACHUSETTS-STRATEGIC ALLIANCE</t>
  </si>
  <si>
    <t xml:space="preserve">Lygos Inc and University of Massachusetts planned to form a strategic
alliance to develop novel high-value applications for the company's
Bio-Malonic Acid product family, which includes the derivatives diethyl and
dimethyl malonates.</t>
  </si>
  <si>
    <t xml:space="preserve">5H6515
91450Q</t>
  </si>
  <si>
    <t xml:space="preserve">Dermelix LLC
Exicure Inc</t>
  </si>
  <si>
    <t xml:space="preserve">Dermelix LLC is a provider
of biotechnology research
and development services.
The Company was founded in
November 2018 and is located
in New York, New York.
Exicure Inc is a
manufacturer of
pharmaceutical preparation.
The Company was founded in
February 2017 and is located
in Skokie, Illinois.</t>
  </si>
  <si>
    <t xml:space="preserve">DERMELIX LLC/EXICURE INC-STRATEGIC ALLIANCE</t>
  </si>
  <si>
    <t xml:space="preserve">Dermelix LLC and Exicure Inc planned to form a strategic alliance to
research, develop, and commercialize Exicure's technology for the treatment
of Netherton Syndrome and up to five additional rare skin indications.</t>
  </si>
  <si>
    <t xml:space="preserve">1J0389
30205M</t>
  </si>
  <si>
    <t xml:space="preserve">AmeriCann Inc
Undisclosed JV Partner</t>
  </si>
  <si>
    <t xml:space="preserve">Administrative Management and General Management Consulting Services
Investment company</t>
  </si>
  <si>
    <t xml:space="preserve">AmeriCann Inc is located in
Denver, Colorado. The
company is a provider of
administrative management
and general management
consulting services.
Investment company</t>
  </si>
  <si>
    <t xml:space="preserve">AMERICANN INC/UNDISCLOSED PARTNER-JOINT VENTURE</t>
  </si>
  <si>
    <t xml:space="preserve">AmeriCann Inc and Undisclosed Joint Venture Partner planned to form joint
venture to replicate the brands, technology and innovations developed at
its MMCC project to new markets as a licensed multi-state operator (MSO).</t>
  </si>
  <si>
    <t xml:space="preserve">8E7765
904JVP</t>
  </si>
  <si>
    <t xml:space="preserve">Daimler AG
Bayerische Motoren Werke AG</t>
  </si>
  <si>
    <t xml:space="preserve">Daimler AG (Daimler) is an
automotive engineering
company. The Company is
engaged in the development,
production and distribution
of cars, trucks and vans in
Germany, and the management
of the Daimler Group.
Daimler's segments include
Mercedes-Benz Cars, Daimler
Trucks, Mercedes-Benz Vans,
Daimler Buses and Daimler
Financial Services. The
Mercedes-Benz Cars segment
includes vehicles of the
Mercedes-Benz brand,
including the brands,
Mercedes-AMG and
Mercedes-Maybach, as well as
the Mercedes me brand. The
Daimler Trucks segment
develops and produces
vehicles under the brands,
including Mercedes-Benz,
Freightliner, Western Star,
FUSO and BharatBenz. The
Mercedes-Benz Vans segment
is a supplier of a range of
vans and associated
services. The Daimler Buses
segment sells completely
built-up buses under brand
names, including
MercedesBenz and Setra. The
Daimler Financial Services
segment supports the sales
of its automotive brands in
approximately 40 countries
around the world. The
Company was founded in 1982
and is located in Stuttgart,
Germany.
Bayerische Motoren Werke AG
is a Germany-based
automobile and motorcycle
manufacturer. It divides its
activities into four
segments: Automobiles,
Motorcycles, Financial
Services and Other Entities.
The Automotive segment
develops, manufactures,
assembles and sells cars and
off-road vehicles under the
brands BMW, MINI and
Rolls-Royce as well as spare
parts and accessories. The
Motorcycles segment
assembles and sells
motorcycles as well as spare
Financial Services segment
focuses on car leasing,
multi-brand financing, fleet
business, retail customer
and dealer financing,
customer deposit business
and insurance activities.
The Other Entities segment
comprises other operating
companies, such as BMW
Services Ltd, BMW (UK)
Investments Ltd, Bavaria
Lloyd Reisebuero GmbH and
MITEC Mikroelektronik
Mikrotechnik Informatik.</t>
  </si>
  <si>
    <t xml:space="preserve">DAIMLER AG/BAYERISCHE MOTOREN WERKE AG-JOINT VENTURE</t>
  </si>
  <si>
    <t xml:space="preserve">Daimler AG and Bayerische Motoren Werke AG formed a strategic alliance to
focus on advancing the development of next-generation technologies for
driver assistance systems, automated driving on highways and parking
features.The joint venture was to have capitalization of Euro 1 Bil (USD
1.133 Bil).</t>
  </si>
  <si>
    <t xml:space="preserve">The joint venture was to have capitalization of Euro 1 Bil (USD 1.133
Bil).</t>
  </si>
  <si>
    <t xml:space="preserve">233825
072743</t>
  </si>
  <si>
    <t xml:space="preserve">Mallinckrodt Pharmaceuticals
Transimmune AG</t>
  </si>
  <si>
    <t xml:space="preserve">Manufacture prescription
pharmaceuticals intended for
final consumption, including
biotech products and
antibiotics
Transimmune AG is a
manufacturer of
pharmaceutical preparation.
The Company is located in
Germany.</t>
  </si>
  <si>
    <t xml:space="preserve">Medtronic PLC
Transimmune AG</t>
  </si>
  <si>
    <t xml:space="preserve">Ireland-Rep
Germany</t>
  </si>
  <si>
    <t xml:space="preserve">MALLINCKRODT PHARMACEUTICALS/TRANSIMMUNE AG-STRATEGIC ALLIANCE</t>
  </si>
  <si>
    <t xml:space="preserve">Mallinckrodt Pharmaceuticals and Transimmune AG planned to form a strategic
alliance to further enhance understanding of photopheresis' effect on
immune modulation across a range of severe and critical conditions.</t>
  </si>
  <si>
    <t xml:space="preserve">56125E
1J1013</t>
  </si>
  <si>
    <t xml:space="preserve">NanoViricides Inc
Theracour Pharma Inc</t>
  </si>
  <si>
    <t xml:space="preserve">Pvd drug development services
Pharmaceutical Preparation Manufacturing</t>
  </si>
  <si>
    <t xml:space="preserve">NanoViricides Inc, located in
West Haven, Connecticut,
provides
nano-biopharmaceutical
research and development
services aimed at discovering,
developing and commercializing
therapeutics for patients
suffering from viral diseases.
The company was founded in
2000.
Theracour Pharma Inc is a
manufacturer of
pharmaceutical preparation.
The Company was founded in
September 2004 and is
located in West Haven,
Connecticut.</t>
  </si>
  <si>
    <t xml:space="preserve">NANOVIRICIDES INC/THERACOUR PHARMA INC-STRATEGIC ALLIANCE</t>
  </si>
  <si>
    <t xml:space="preserve">NanoViricides Inc and Theracour Pharma Inc formed a strategic alliance in
United States to licensing the VZV (shingles and chickenpox virus) field
for drug development and commercialization.</t>
  </si>
  <si>
    <t xml:space="preserve">630087
7J9375</t>
  </si>
  <si>
    <t xml:space="preserve">Imbrium Therapeutics LP
TetraGenetics Inc</t>
  </si>
  <si>
    <t xml:space="preserve">Imbrium Therapeutics LP is a
provider of biotechnology
research and development
services. The Company is
located in Stamford,
Connecticut.
TetraGenetics Inc is a
manufacturer of biological
products. The Company is
located in Arlington,
Massachusetts.</t>
  </si>
  <si>
    <t xml:space="preserve">Purdue Pharma LP
TetraGenetics Inc</t>
  </si>
  <si>
    <t xml:space="preserve">IMBRIUM THERAPEUTICS LP/TETRAGENETICS INC-STRATEGIC ALLIANCE</t>
  </si>
  <si>
    <t xml:space="preserve">Imbrium Therapeutics LP and TetraGenetics Inc formed a strategic alliance
to develop novel biologic therapeutics for pain.</t>
  </si>
  <si>
    <t xml:space="preserve">1J3068
8E3601</t>
  </si>
  <si>
    <t xml:space="preserve">Undisclosed JV Partner
Dthera Sciences</t>
  </si>
  <si>
    <t xml:space="preserve">Investment company
Cutlery and Flatware (Except Precious) Manufacturing</t>
  </si>
  <si>
    <t xml:space="preserve">Investment company
Knowledge Machine
International Inc is a
manufacturer of cutlery and
flatware. The company was
founded in December 2012 and
is located in San Diego,
California.</t>
  </si>
  <si>
    <t xml:space="preserve">6799
3421</t>
  </si>
  <si>
    <t xml:space="preserve">DTHERA SCIENCES/UNDISCLOSED PARTNER-STRATEGIC ALLIANCE</t>
  </si>
  <si>
    <t xml:space="preserve">Undisclosed Joint Venture Partner and Dthera Sciences formed a strategic
alliance to provides the Partner exclusive rights to perform market
research and feasibility studies in Japan, along with rights to negotiate a
licensing agreement or other transaction for the Japanese market during the
agreed term, and the Company agreed to not pursue agreements or
relationships with other entities in Japan during the exclusivity period.
The agreement also requires that the Japanese partner keep the information
and materials provided by the Company confidential. In the agreement, the
Company agreed to sell certain of its tablets to the Partner for use in the
feasibility studies and market research. The Partner paid a fee for the
exclusivity rights for eight months, with the right to extend the
exclusivity period by paying additional fees.</t>
  </si>
  <si>
    <t xml:space="preserve">904JVP
7H2371</t>
  </si>
  <si>
    <t xml:space="preserve">Cipla Ltd
Concert Pharmaceuticals Inc</t>
  </si>
  <si>
    <t xml:space="preserve">Manufacture,wholesale pharmaceutical products
Pharmaceutical Preparation Manufacturing</t>
  </si>
  <si>
    <t xml:space="preserve">Cipla Ltd is a holding
company. The Company is a
pharmaceutical company. The
Company's strategic business
units include Active
Pharmaceutical Ingredients
(APIs), Respiratory and
Cipla Global Access. The
Company's geographical
segments include India, USA,
South Africa and Rest of the
World. The Company
manufactures metered dose
inhalers, dry powder
inhalers, nasal sprays,
nebulizers and a range of
inhaled accessory devices.
Cipla Global Access is a
tender-based institutional
business that concentrates
on approximately four
therapy areas: human
immunodeficiency
virus/acquired immuno
deficiency syndrome
(HIV/AIDS), malaria, multi
drug-resistant tuberculosis
and reproductive health. The
Company offers its products
for the therapeutic areas,
including cardiovascular,
children's health,
dermatology and cosmetology,
diabetes, HIV/AIDS,
infectious diseases and
critical care, malaria,
neurosciences, oncology,
ophthalmology, osteoporosis,
respiratory, urology and
women's health. The Company
was founded in 1935 and is
located in Mumbai, India.
Concert Pharmaceuticals Inc,
headquartered in Lexington,
Massachusetts, manufactures,
develops and markets medicinal
products to health care
sector. It also provides
medical research and
development services. The
company was founded in 2006.</t>
  </si>
  <si>
    <t xml:space="preserve">CIPLA LTD/CONCERT PHARMACEUTICALS INC-STRATEGIC ALLIANCE</t>
  </si>
  <si>
    <t xml:space="preserve">Cipla Ltd and Concert Pharmaceuticals Inc formed a strategic alliance
around the world to develop and commercialize CTP-354, a novel GABAA
receptor subtype-selective modulator. This agreement enables Cipla to
develop GABAA modulator CTP-354.</t>
  </si>
  <si>
    <t xml:space="preserve">17260K
206022</t>
  </si>
  <si>
    <t xml:space="preserve">Apostle Inc
Beckman Coulter Inc</t>
  </si>
  <si>
    <t xml:space="preserve">Research and Development in Biotechnology
Mnfr laboratory instruments</t>
  </si>
  <si>
    <t xml:space="preserve">Apostle Inc is a provider of
biotechnology research and
development services. The
Company was founded in March
1999 and is located in Menlo
Park, California.
Beckman Coulter Inc, located
in Fullerton, California,
manufactures laboratory
instrument systems,
reagents, and related
products, which customers
typically use to conduct
basic scientific research,
product research, and
development and diagnostic
analysis of patient samples.
It also provides biomedical
research services. The
company was founded in 1934.</t>
  </si>
  <si>
    <t xml:space="preserve">Apostle Inc
Danaher Corp</t>
  </si>
  <si>
    <t xml:space="preserve">8731
3823</t>
  </si>
  <si>
    <t xml:space="preserve">APOSTLE INC/BECKMAN COULTER INC-STRATEGIC ALLIANCE</t>
  </si>
  <si>
    <t xml:space="preserve">Apostle Inc and Beckman Coulter Inc formed a strategic alliance for Apostle
MiniMax(TM) High Efficiency Cell-Free DNA Isolation Kit.</t>
  </si>
  <si>
    <t xml:space="preserve">1J3044
075811</t>
  </si>
  <si>
    <t xml:space="preserve">AdAlta Ltd
Excellerate Bioscience Ltd</t>
  </si>
  <si>
    <t xml:space="preserve">Pharmaceutical Preparation Manufacturing
Pharmacies and Drug Stores</t>
  </si>
  <si>
    <t xml:space="preserve">AdAlta Ltd, located in
Bundoora, Australia, is a
drug discovery and
development company using
its technology platform to
generate a new class of
protein therapeutics, known
as i-bodies, for treating a
wide range of human
diseases. The Company was
founded in June 2006.
Excellerate Bioscience Ltd
is a dynamic and innovative
contract research
organization built on a
worldwide reputation for
excellence in the field of
molecular and cellular
pharmacology. The Company is
located in Nottingham, the
United Kingdom.</t>
  </si>
  <si>
    <t xml:space="preserve">2834
5912</t>
  </si>
  <si>
    <t xml:space="preserve">Yuuwa Capital LP
Excellerate Bioscience Ltd</t>
  </si>
  <si>
    <t xml:space="preserve">6799
5912</t>
  </si>
  <si>
    <t xml:space="preserve">ADALTA LTD/EXCELLERATE BIOSCIENCE LTD-STRATEGIC ALLIANCE</t>
  </si>
  <si>
    <t xml:space="preserve">AdAlta Ltd and Excellerate Bioscience Ltd formed a strategic alliance was
to advance the development of its i-body pipeline therapeutics drug.</t>
  </si>
  <si>
    <t xml:space="preserve">7E4516
1J2379</t>
  </si>
  <si>
    <t xml:space="preserve">Taiwan Liposome Co Ltd
3SBio Inc</t>
  </si>
  <si>
    <t xml:space="preserve">Taiwan Liposome Co Ltd is a
biotechnology company
headquartered in Taipei,
Taiwan. The company is
focused on lipid-based
formulation and scale-up for
parenteral drugs using
micelles and nanoparticles
to optimize the
pharmacokinetics of drugs
for better efficacy and
lower toxicity, and thus
prolong the product
lifecycle of branded drugs.
It was founded in 1997.
3SBio Inc, located in
Shenyang, China,
biopharmaceutical company
engaged in
research/development,
manufacture and
marketing/sales of
biopharmaceutical products
in China. The Company
develops recombinant, or
genetically engineered,
protein-based products and
product candidates designed
to address large markets
with significant unmet
medical needs in nephrology,
oncology, supportive cancer
care, inflammation and
infectious disease. Its
principal products are
EPIAO, TPIAO, INTEFEN and
INLEUSIN. Founded in 1993.</t>
  </si>
  <si>
    <t xml:space="preserve">TAIWAN LIPOSOME CO LTD/3SBIO INC-STRATEGIC ALLIANCE</t>
  </si>
  <si>
    <t xml:space="preserve">Taiwan Liposome Co Ltd and 3SBio Inc formed a strategic alliance was to
commercialize in Mainland, China two Liposomal products utilizing TLCs
proprietary NanoX technology platform and also to further collaborations in
researching and developing other novel liposomal products in the
therapeutic areas of osteoarthritis, pain management, ophthalmology, and
oncology.</t>
  </si>
  <si>
    <t xml:space="preserve">Marketing Services
Health &amp; Medical Services
Research &amp; Development Services</t>
  </si>
  <si>
    <t xml:space="preserve">93606Y
88575Y</t>
  </si>
  <si>
    <t xml:space="preserve">Jinyu Info Tech Co Ltd
Jinhongyun Info Tech (India)</t>
  </si>
  <si>
    <t xml:space="preserve">Jinyu Information Technology
Co Ltd is a software
publisher. The Company is
located in Hong Kong.
Jinhongyun Information
Technology (India) Co Ltd is
a software publisher. The
Company is located in India.</t>
  </si>
  <si>
    <t xml:space="preserve">Hong Kong
India</t>
  </si>
  <si>
    <t xml:space="preserve">JINYU INFORMATION TECHNOLOGY CO LTD/JINHONGYUN INFORMATION TECHNOLOGY
(INDIA) CO LTD-JOINT VENTURE</t>
  </si>
  <si>
    <t xml:space="preserve">Jinyu Information Technology Co Ltd and Jinhongyun Information Technology
(India) Co Ltd planned to form joint venture. The purpose of joint venture
was for TECHNOLOGY FIRM IN INDIA PLANS INVESTMENT OF $98.8 MILLION.</t>
  </si>
  <si>
    <t xml:space="preserve">The JV was to have the capitalization of $98.8 million.</t>
  </si>
  <si>
    <t xml:space="preserve">1J4544
1J4545</t>
  </si>
  <si>
    <t xml:space="preserve">Invicro Llc
Icometrix NV</t>
  </si>
  <si>
    <t xml:space="preserve">Pvd preclinical research
Software Publishers</t>
  </si>
  <si>
    <t xml:space="preserve">Invicro Llc is a provider of
social sciences research and
development services. The
Company was founded in 2008
and is located in Boston,
Massachusetts.
Icometrix NV is a software
publisher. The Company is an
an artificial intelligence
medical imaging solution for
neuro imaging. The Company
was founded in January 2011
and is located in Leuven,
Belgium.</t>
  </si>
  <si>
    <t xml:space="preserve">INVICRO LLC/ICOMETRIX NV-STRATEGIC ALLIANCE</t>
  </si>
  <si>
    <t xml:space="preserve">Invicro Llc and Icometrix Nv planned to form a strategic alliance.The
purpose of the strategic alliance is to jointly offer global imaging core
lab services and advanced analytics capabilities, resulting in workflows
with highly-reliable and consistent data outcomes.</t>
  </si>
  <si>
    <t xml:space="preserve">Health &amp; Medical Services
Research &amp; Development Services
Software Development Services</t>
  </si>
  <si>
    <t xml:space="preserve">4A6675
1J4451</t>
  </si>
  <si>
    <t xml:space="preserve">UC Berkeley
Demetrix Inc</t>
  </si>
  <si>
    <t xml:space="preserve">University of California at
located in
Berkeley, California, owns
and operates university. The
Company was founded in 1868.
Demetrix Inc is a provider
of biotechnology research
and development services.
The Company is located in
Emeryville, California.</t>
  </si>
  <si>
    <t xml:space="preserve">UNIVERSITY OF CALIFORNIA AT BERKELEY/DEMETRIX INC-STRATEGIC ALLIANCE</t>
  </si>
  <si>
    <t xml:space="preserve">University of California at Berkeley and Demetrix Inc formed a strategic
alliance to provide access to a breakthrough technology that removes
bottlenecks from the production of high-purity cannabinoids using
fermentation, making the process more cost-effective.</t>
  </si>
  <si>
    <t xml:space="preserve">91417C
1J3935</t>
  </si>
  <si>
    <t xml:space="preserve">NantKwest Inc
Promab Biotechnologies Inc</t>
  </si>
  <si>
    <t xml:space="preserve">Research and Development in Biotechnology
biotechnology</t>
  </si>
  <si>
    <t xml:space="preserve">NantKwest Inc, located in San
Diego, California, is a
provider of biotechnology
research and development
services. The Company was
founded in October 7, 2002.
Promab Biotechnologies Inc
is a manufacturer of
biological products. The
Company was founded in
December 2001 and is located
in Richmond, California.</t>
  </si>
  <si>
    <t xml:space="preserve">NantKwest Inc
NanHua Bio-medicine Co Ltd</t>
  </si>
  <si>
    <t xml:space="preserve">NANTKWEST INC/PROMAB BIOTECHNOLOGIES INC-STRATEGIC ALLIANCE</t>
  </si>
  <si>
    <t xml:space="preserve">NantKwest Inc and Promab Biotechnologies Inc formed a strategic alliance
was to B-Cell Maturation Antigen (BCMA) targeted antibody sequence for
exclusive use in the development of chimeric antigen receptor (CAR) based
NK cell therapies.</t>
  </si>
  <si>
    <t xml:space="preserve">63016Q
0H3195</t>
  </si>
  <si>
    <t xml:space="preserve">Pal Aerospace Llc
Air Affairs Australia Pyt Ltd</t>
  </si>
  <si>
    <t xml:space="preserve">Other Aircraft Parts and Auxiliary Equipment Manufacturing
Engineering Services</t>
  </si>
  <si>
    <t xml:space="preserve">Pal Aerospace Llc is a
manufacturer of aircraft
parts and auxiliary
equipment. The Company is
located in Canada.
Air Affairs Australia Pyt
Ltd is a provider of
engineering services. The
Company was founded in 1995
and is located in Australia.</t>
  </si>
  <si>
    <t xml:space="preserve">3728
8711</t>
  </si>
  <si>
    <t xml:space="preserve">PAL AEROSPACE LLC/AIR AFFAIRS AUSTRALIA PYT LTD-STRATEGIC ALLIANCE</t>
  </si>
  <si>
    <t xml:space="preserve">Pal Aerospace Llc and Air Affairs Australia Pyt Ltd formed a strategic
alliance was to provision of special mission aircraft and support services
within Australia and the South Pacific region.</t>
  </si>
  <si>
    <t xml:space="preserve">1J3750
1J6803</t>
  </si>
  <si>
    <t xml:space="preserve">Blackthorn Therapeutics Inc
Total Brain Co Ltd</t>
  </si>
  <si>
    <t xml:space="preserve">Research and Development in Biotechnology
Human Resources and Executive Search Consulting Services</t>
  </si>
  <si>
    <t xml:space="preserve">Blackthorn Therapeutics Inc
is a provider of
biotechnology research and
development services. The
Company is located in San
Francisco, California.
Company was founded in 2015.
Total Brain Co Ltd, located in
Tokyo, Japan, mainly owns and
operates advertisement change
of occupation website and
provides sales promotion
services and creator dispatch
services. The company was
founded in 2004.</t>
  </si>
  <si>
    <t xml:space="preserve">8731
7361</t>
  </si>
  <si>
    <t xml:space="preserve">BLACKTHORN THERAPEUTICS INC/TOTAL BRAIN CO LTD-STRATEGIC ALLIANCE</t>
  </si>
  <si>
    <t xml:space="preserve">Blackthorn Therapeutics Inc and Total Brain Co Ltd formed a strategic
alliance to enhance patient selection and development of targeted therapies
for neurobehavioral disorders.</t>
  </si>
  <si>
    <t xml:space="preserve">9H8576
6C8331</t>
  </si>
  <si>
    <t xml:space="preserve">Canopy Biosciences LLC
Washington Univ In St Louis</t>
  </si>
  <si>
    <t xml:space="preserve">Canopy Biosciences LLC,
located in St. Louis,
Missouri, is partnering with
leading research
institutions to turn their
discoveries into tangible
products and make them
available to the entire
research community and
serves researchers at
universities, research
institutions, and
biotechnology and
pharmaceutical companies
worldwide. The Company was
founded in July 2016.
Washington University is a
university located in St.
Louis, Missouri.</t>
  </si>
  <si>
    <t xml:space="preserve">CANOPY BIOSCIENCES LLC/WASHINGTON UNIVERSITY IN ST LOUIS-STRATEGIC
ALLIANCE</t>
  </si>
  <si>
    <t xml:space="preserve">Canopy Biosciences LLC and Washington University in St Louis formed a
strategic alliance in United States to includes both a novel method and
bioinformatic tools that combine to improve the level of detection in NGS,
allowing for the identification of ultra-rare gene variants. The agreement
enables the companies to use error corrected sequencing method for the
identification of ultra-rare gene variants.</t>
  </si>
  <si>
    <t xml:space="preserve">4F1482
94019R</t>
  </si>
  <si>
    <t xml:space="preserve">Spine Care Tech Inc
Intelligent Prod Solutions</t>
  </si>
  <si>
    <t xml:space="preserve">Offices Of Physicians (Except Mental Health Specialists)
Other Scientific and Technical Consulting Services</t>
  </si>
  <si>
    <t xml:space="preserve">Spine Care Technologies Inc
is a physician office
operator. The Company was
founded in March 2018 and is
located in Hauppauge, New
York.
Intelligent Product
Solutions Inc, located in
Hauppauge, New York,
provides product design and
development services. It
offers end-to-end services
that range from ideation
through sustaining
engineering. The Company was
founded in 2008.</t>
  </si>
  <si>
    <t xml:space="preserve">8011
8748</t>
  </si>
  <si>
    <t xml:space="preserve">Spine Care Tech Inc
Forward Industries Inc</t>
  </si>
  <si>
    <t xml:space="preserve">8011
3089</t>
  </si>
  <si>
    <t xml:space="preserve">SPINE CARE TECHNOLOGIES INC/INTELLIGENT PRODUCT SOLUTIONS INC-STRATEGIC
ALLIANCE</t>
  </si>
  <si>
    <t xml:space="preserve">Spine Care Technologies Inc and Intelligent Product Solutions Inc planned
to form a strategic alliance.The purpose of the strategic alliance is to
enhance existing products and develop next generation spine care
technologies.</t>
  </si>
  <si>
    <t xml:space="preserve">1J4334
6E5568</t>
  </si>
  <si>
    <t xml:space="preserve">International Vitamin Corp
GNC Holdings Inc</t>
  </si>
  <si>
    <t xml:space="preserve">Manufactures dietary supplements
Retails and manufactures health, wellness and performance products</t>
  </si>
  <si>
    <t xml:space="preserve">International Vitamin Corp,
located in Irvine,
California, manufactures
dietary supplements. It owns
and operates manufacturing
and distribution centers
throughout the United
States, in Europe and in
China. The Company was
founded in 1971.
GNC Holdings Inc, located in
Pittsburgh, Pennsylvania,
retails and manufactures
health, wellness and
performance products. It
offers protein, performance
supplements, weight
management supplements,
vitamins, herbs and greens,
wellness supplements, health
and beauty, food and drink
and other general
merchandise. Its nutritional
products are sold under its
GNC brands, including Mega
Men, Ultra Mega, GNC Total
Lean, Pro Performance and
Pro Performance AMP, and
under third-party brands.
The Company was founded in
1935.</t>
  </si>
  <si>
    <t xml:space="preserve">2833
5499</t>
  </si>
  <si>
    <t xml:space="preserve">Koninklijke DSM NV
GNC Holdings Inc</t>
  </si>
  <si>
    <t xml:space="preserve">2899
5499</t>
  </si>
  <si>
    <t xml:space="preserve">INTERNATIONAL VITAMIN CORP/GNC HOLDINGS INC-JOINT VENTURE</t>
  </si>
  <si>
    <t xml:space="preserve">International Vitamin Corp and GNC Holdings Inc formed a joint venture was
to product development, innovation and manufacturing of the products from
GNC's Nutra manufacturing facility.</t>
  </si>
  <si>
    <t xml:space="preserve">57.00
43.00</t>
  </si>
  <si>
    <t xml:space="preserve">44648F
36191G</t>
  </si>
  <si>
    <t xml:space="preserve">RiskRecon Inc
RSA Security Inc</t>
  </si>
  <si>
    <t xml:space="preserve">Develop software
Develops enterprise security software</t>
  </si>
  <si>
    <t xml:space="preserve">RiskRecon Inc, located in
Salt Lake City, Utah, is a
software publisher.
RSA Security Inc, located in
Bedford, Massachusetts,
develops enterprise security
software. Its product
portfolio specializes in
Identity and Access
Management, Integrated Risk
Management, Omnichannel
Fraud Prevention, and Threat
Detection and Response. Its
services include Advisory
and Assessment,
Implementation and
Optimization, Incident
Response and Cyber Defense,
Technical Support, and
Training. The Company was
founded in 1986.</t>
  </si>
  <si>
    <t xml:space="preserve">UT
MA</t>
  </si>
  <si>
    <t xml:space="preserve">RiskRecon Inc
Dell Technologies Inc</t>
  </si>
  <si>
    <t xml:space="preserve">7372
3571</t>
  </si>
  <si>
    <t xml:space="preserve">RISKRECON INC/RSA SECURITY INC-STRATEGIC ALLIANCE</t>
  </si>
  <si>
    <t xml:space="preserve">RiskRecon Inc and RSA Security Inc planned to form a strategic alliance.
The purpose of strategic alliance is to Make Third-Party Vendor Risk
Assessments More Actionable.</t>
  </si>
  <si>
    <t xml:space="preserve">1E8747
749719</t>
  </si>
  <si>
    <t xml:space="preserve">Sigopt Inc
Two Sigma Investments LP</t>
  </si>
  <si>
    <t xml:space="preserve">Software Publishers
Provides investment management services</t>
  </si>
  <si>
    <t xml:space="preserve">SigOpt, Inc. is a United
States-based company, which
offers SigOpt, an
optimization platform that
amplifies users' research.
The Company offers SigOpt
for Machine Learning and
Simulation, and SigOpt for
Manufacturing and Process
Engineering. SigOpt for
Machine Learning and
Simulation enables users to
manage their machine
learning with an application
programming interface for
optimal parameter tuning.
SigOpt for Manufacturing and
Process Engineering is an
optimization solution to
manage new product
development, and reduce
trial and error in research
and development. Its
offerings are for various
industries, such as banking
and insurance, data science,
consumer packaged goods and
algorithmic trading. SigOpt
uses an ensemble of Bayesian
optimization techniques to
suggest optimal experimental
parameters, both
sequentially and in
parallel. SigOpt can tune
any machine learning model,
including various
techniques, such as gradient
boosting, deep neural
networks and support vector
machines.
Two Sigma Investments LP,
located in New York City,
New York, provides
investment management
services. It also operates a
venture capital fund. The
Company was founded in 2001.</t>
  </si>
  <si>
    <t xml:space="preserve">7372
6282</t>
  </si>
  <si>
    <t xml:space="preserve">SIGOPT INC/TWO SIGMA INVESTMENTS LLC-STRATEGIC ALLIANCE</t>
  </si>
  <si>
    <t xml:space="preserve">Sigopt Inc and Two Sigma Investments LLC planned to form a strategic
alliance.The purpose of the strategic alliance is to articulate how SigOpt
can continue to deliver innovative solutions for all of its customers with
both the current platform and new areas of development.</t>
  </si>
  <si>
    <t xml:space="preserve">1J4472
8A0797</t>
  </si>
  <si>
    <t xml:space="preserve">Iksuda Therapeutics Ltd
Femtogenix Ltd</t>
  </si>
  <si>
    <t xml:space="preserve">Iksuda Therapeutics is a
manufacturer of biological
products. The Company was
founded in November 2007 and
is located in Newcastle Upon
Tyne, the United Kingdom.
Femtogenix Ltd is a
manufacturer of biological
products. The Company was
founded in July 2015 and is
located in Welwyn Garden
City, the United Kingdom.</t>
  </si>
  <si>
    <t xml:space="preserve">GLYTHERA LTD/FEMTOGENIX LTD-STRATEGIC ALLIANCE</t>
  </si>
  <si>
    <t xml:space="preserve">Glythera Ltd and Femtogenix Ltd formed a strategic alliance was to use FGXs
sequence-selective DNA-interactive payload molecules to progress its lead
ADC towards the clinic, with the aim of targeting difficult-to-treat solid
tumours.</t>
  </si>
  <si>
    <t xml:space="preserve">8F6180
1J4239</t>
  </si>
  <si>
    <t xml:space="preserve">Ravenswood Solutions Inc
Gdm Electronic &amp; Medical LLC</t>
  </si>
  <si>
    <t xml:space="preserve">Guided Missile and Space Vehicle Manufacturing
Semiconductor and Related Device Manufacturing</t>
  </si>
  <si>
    <t xml:space="preserve">Ravenswood Solutions Inc is
a manufacturer of guided
missiles and space vehicles.
The Company is located in
Fremont, California.
GDM Electronic &amp; Medical LLC
is a manufacturer of
semiconductors and related
device. The Company is
located in San Jose,
California.</t>
  </si>
  <si>
    <t xml:space="preserve">3761
3674</t>
  </si>
  <si>
    <t xml:space="preserve">SRI International
Gdm Electronic &amp; Medical LLC</t>
  </si>
  <si>
    <t xml:space="preserve">RAVENSWOOD SOLUTIONS INC/GDM ELECTRONIC &amp; MEDICAL LLC-STRATEGIC ALLIANCE</t>
  </si>
  <si>
    <t xml:space="preserve">Ravenswood Solutions Inc and GDM Electronic Medical LLC formed a strategic
alliance in United States to meet the requirements of unique military and
homeland security customers. contract manufacturing firm servicing the
high-tech industry since 1983, today announced a strategic partnership that
will more directly relate the technology design, manufacture and fielding
processes for state-of-the-art instrumentation systems hardware.</t>
  </si>
  <si>
    <t xml:space="preserve">Research &amp; Development Services
Manufacturing Services
Defense Services</t>
  </si>
  <si>
    <t xml:space="preserve">1J4504
1J4511</t>
  </si>
  <si>
    <t xml:space="preserve">Fluenta AS
Optima Global Energy Group Ltd</t>
  </si>
  <si>
    <t xml:space="preserve">Mnfr multiphase metering prod
Natural Gas Distribution</t>
  </si>
  <si>
    <t xml:space="preserve">Fluenta AS is a manufacturer
of measuring and controlling
devices. The Company was
founded in 1985 and is
located in Haugesund,
Norway.
Optima Global Energy Group
Ltd is a natural gas
distributor. The Company is
located in Algeria.</t>
  </si>
  <si>
    <t xml:space="preserve">3829
4922</t>
  </si>
  <si>
    <t xml:space="preserve">Norway
Algeria</t>
  </si>
  <si>
    <t xml:space="preserve">Data Invest AS
Optima Global Energy Group Ltd</t>
  </si>
  <si>
    <t xml:space="preserve">6799
4922</t>
  </si>
  <si>
    <t xml:space="preserve">FLUENTA AS/OPTIMA GLOBAL ENERGY GROUP LTD-STRATEGIC ALLIANCE</t>
  </si>
  <si>
    <t xml:space="preserve">Fluenta AS and Optima Global Energy Group Ltd planned to form a strategic
alliance to represent Fluentas gas measurement technology across the whole
of Algeria.</t>
  </si>
  <si>
    <t xml:space="preserve">34381H
1J4413</t>
  </si>
  <si>
    <t xml:space="preserve">Micro Interventional Devices
Oscor Inc</t>
  </si>
  <si>
    <t xml:space="preserve">Surgical and Medical Instrument Manufacturing
Provide medical,health svcs</t>
  </si>
  <si>
    <t xml:space="preserve">Micro Interventional
Devices, Inc. is a United
States-based company, which
offers fixation technology
addressing et needs in
structural heart disease.
The Company designs,
develops and manufactures
minimally invasive and
catheter-based technologies
that address cardiac surgery
and interventional
cardiology. It provides
mitral valve therapies and
tricuspid valve therapies.
It utilizes PolyCor
anchoring technology that
allows surgeons and
interventionalists to
perform mitral valve repair
and mitral valve replacement
procedures using minimally
invasive and percutaneous
techniques. Its mitral
products in development
include MIA Minimally
Invasive Annuloplasty
Technology for Mitral, a
percutaneous mitral valve
annuloplasty device and
Permavalve Mitral Valve
Replacement, a percutaneous
mitral valve with active
fixation.
Oscor Inc, located in Palm
Harbor, Florida, provides
healthcare services. It
includes support,
reimbursement activities, and
others.</t>
  </si>
  <si>
    <t xml:space="preserve">3841
8099</t>
  </si>
  <si>
    <t xml:space="preserve">PA
FL</t>
  </si>
  <si>
    <t xml:space="preserve">MICRO INTERVENTIONAL DEVICES, INC./OSCOR INC-STRATEGIC ALLIANCE</t>
  </si>
  <si>
    <t xml:space="preserve">Micro Interventional Devices, Inc. and Oscor Inc planned to form a
strategic alliance. The purpose of strategic alliance were to develop and
commercialize innovative solutions to structural heart disease,
specifically, MID's MIA, Minimally Invasive Annuloplasty, technology.</t>
  </si>
  <si>
    <t xml:space="preserve">1J4447
9A5000</t>
  </si>
  <si>
    <t xml:space="preserve">STA Pharmaceutical Co Ltd
Ark Biosciences Inc</t>
  </si>
  <si>
    <t xml:space="preserve">STA Pharmaceutical Co Ltd is
a manufacturer of medicinals
and botanicals. The Company
is located in Wuxi, China.
Ark Biosciences Inc. is a
China-based
biopharmaceutical company.
The company is mainly
engaged in the development
of innovative drugs,
especially antiviral drugs.
In addition to independent
research and development
projects, the Company is
also engaged in external
research and development
projects. Its AK0529 is an
anti-respiratory syncytial
virus product candidate that
is under the global
multi-center phase II
clinical trials. The company
has a research and
development center in Suzhou
Industrial Park, with
offices in Australia and
Switzerland.</t>
  </si>
  <si>
    <t xml:space="preserve">New Wuxi Life Science Hldg Ltd
Ark Biosciences Inc</t>
  </si>
  <si>
    <t xml:space="preserve">STA PHARMACEUTICAL CO LTD/ARK BIOSCIENCES INC-STRATEGIC ALLIANCE</t>
  </si>
  <si>
    <t xml:space="preserve">STA Pharmaceutical Co Ltd and Ark Biosciences Inc planned to form a
strategic alliance.The purpose of the strategic alliance is to utilize the
Marketing Authorization Holder (MAH) scheme to accelerate drug development
and WuXi STA will provide an integrated solution in process R&amp;D and
manufacturing.</t>
  </si>
  <si>
    <t xml:space="preserve">7F0151
2J5673</t>
  </si>
  <si>
    <t xml:space="preserve">BGI Genomics Co Ltd
Natera Inc</t>
  </si>
  <si>
    <t xml:space="preserve">In-Vitro Diagnostic Substance Manufacturing
Diagnostic Imaging Centers</t>
  </si>
  <si>
    <t xml:space="preserve">BGI Genomics Co Ltd located
in Shenzhen, China is a
manufacturer of in-vitro
diagnostic substances. The
Company was founded in July
2010.
founded on 2007.</t>
  </si>
  <si>
    <t xml:space="preserve">BGI GENOMICS CO LTD/NATERA INC-STRATEGIC ALLIANCE</t>
  </si>
  <si>
    <t xml:space="preserve">BGI Genomics Co Ltd and Natera Inc formed a strategic alliance was to
commercialize Natera's Signatera MRD test inChina, and to develop
reproductive health tests in select markets on BGI's sequencing instruments
using the DNBseq NGS technology platform.</t>
  </si>
  <si>
    <t xml:space="preserve">3E0327
632307</t>
  </si>
  <si>
    <t xml:space="preserve">Carnegie Mellon University
Ripple Labs Inc</t>
  </si>
  <si>
    <t xml:space="preserve">Own,op college,university
Provide fiduciary services</t>
  </si>
  <si>
    <t xml:space="preserve">Carnegie Mellon University,
located in Pittsburgh,
Pennsylvania, owns and
operates college and
university with mix of
programs in engineering,
computer science, robotics,
business, public policy, fine
arts and the humanities.
Ripple Labs Inc, located in
San Francisco, California,
is a provider of fiduciary
services. It send money
globally using the power of
blockchain. The Company was
founded in 2012.</t>
  </si>
  <si>
    <t xml:space="preserve">8221
6289</t>
  </si>
  <si>
    <t xml:space="preserve">Carnegie Mellon University
Joveo Inc</t>
  </si>
  <si>
    <t xml:space="preserve">CARNEGIE MELLON UNIVERSITY/RIPPLE LABS INC-STRATEGIC ALLIANCE</t>
  </si>
  <si>
    <t xml:space="preserve">Carnegie Mellon University and Undisclosed Joint Venture Partner formed a
strategic alliance to support academic research, technical development and
innovation in blockchain, cryptocurrency and digital payments.</t>
  </si>
  <si>
    <t xml:space="preserve">14349R
9E1263</t>
  </si>
  <si>
    <t xml:space="preserve">Cala Health Inc
Partners HealthCare Systems</t>
  </si>
  <si>
    <t xml:space="preserve">Surgical and Medical Instrument Manufacturing
Own,operate hospital</t>
  </si>
  <si>
    <t xml:space="preserve">Cala Health Inc, located in
Burlingame, California, is a
bioelectronic medicine
company. It offers wearable
therapies for chronic
diseases. The Company was
founded in 2014.
Partners HealthCare Systems
Inc, located in Boston,
Massachusetts, owns and
operates a hospital. The
Company was founded in 1994.</t>
  </si>
  <si>
    <t xml:space="preserve">3841
8062</t>
  </si>
  <si>
    <t xml:space="preserve">Cala Health Inc
Brigham &amp; Womens Hospital</t>
  </si>
  <si>
    <t xml:space="preserve">CALA HEALTH INC/PARTNERS HEALTHCARE SYSTEMS INC-STRATEGIC ALLIANCE</t>
  </si>
  <si>
    <t xml:space="preserve">Cala Health Inc and Partners HealthCare Systems Inc formed a strategic
alliance was to enhance the companys non-invasive neuromodulation platform
for investigating and treating chronic diseases and also to developed from
research on transcutaneous vagus nerve stimulation (tVNS) and
Respiratory-Gated Vagal Afferent Nerve Stimulation (RAVANS).</t>
  </si>
  <si>
    <t xml:space="preserve">1J6812
70214V</t>
  </si>
  <si>
    <t xml:space="preserve">Nielsen Hldg plc
Headset Inc
Deloitte Touche Tohmatsu Ltd</t>
  </si>
  <si>
    <t xml:space="preserve">Miscellaneous Intermediation
Data Processing, Hosting, and Related Services
Provide accounting,auditing services</t>
  </si>
  <si>
    <t xml:space="preserve">Nielsen Holdings plc,
located inYork City, New
York, is an intermediating
company.
Headset Inc is a provider of
data processing and hosting
services. The Company is
located in Bellevue,
Washington.
Deloitte Touche Tohmatsu Ltd
provides accounting,
auditing, consulting,
financial advisory, risk
management, tax services,
merger and acquisition
advisory services. The
Company was founded in 1891
and is located in New York,
New York.</t>
  </si>
  <si>
    <t xml:space="preserve">6799
7374
8721</t>
  </si>
  <si>
    <t xml:space="preserve">NY
WA
NY</t>
  </si>
  <si>
    <t xml:space="preserve">NIELSEN HOLDINGS PLC/HEADSET INC/DELOITTE TOUCHE TOHMATSU LTD-STRATEGIC
ALLIANCE</t>
  </si>
  <si>
    <t xml:space="preserve">Nielsen Holdings plc, Headset Inc and Deloitte Touche Tohmatsu Ltd formed a
strategic alliance was to bring various data-driven offerings to the market
which will allow businesses in the cannabis industry to make informed
decisions for their business and customers.</t>
  </si>
  <si>
    <t xml:space="preserve">7C1216
9E7267
24719Y</t>
  </si>
  <si>
    <t xml:space="preserve">Pharmbio Korea Co Ltd
Bio-Synectics Inc</t>
  </si>
  <si>
    <t xml:space="preserve">Whl pharm prod
In-Vitro Diagnostic Substance Manufacturing</t>
  </si>
  <si>
    <t xml:space="preserve">Wholesale pharmaceutical
products
Bio-Synectics, Inc. is a
Korea-based company
principally engaged in the
development of nanoparticle
technology and drug delivery
systems. The Companys
products include
HydroCurcumin and
HydroCoQ10. HydroCurcumin is
a material that can overcome
curcumins poor solubility.
HydroCoQ10 is a material
that can overcome poor
solubility of Coenzyme Q10
(CoQ10). The Company is also
engaged in the development
of function food and
cosmetic materials. The
Company distributes its
products within domestic
market and to overseas
markets.</t>
  </si>
  <si>
    <t xml:space="preserve">5122
2835</t>
  </si>
  <si>
    <t xml:space="preserve">PHARMBIO KOREA CO LTD /BIO-SYNECTICS INC-STRATEGIC ALLIANCE</t>
  </si>
  <si>
    <t xml:space="preserve">Pharmbio Korea Co Ltd and Bio-Synectics Inc formed a strategic alliance was
to develop PBK-1819-2, an improved antifungal treatment. The
nano-conversion technology also has other advantages such as improved
bioavailability, dietary and post-diastolic deviation, and lower side
effects.</t>
  </si>
  <si>
    <t xml:space="preserve">71738L
1J8490</t>
  </si>
  <si>
    <t xml:space="preserve">CareDx Inc
Cedars-Sinai Health System</t>
  </si>
  <si>
    <t xml:space="preserve">Medical Laboratories
Own,operate hospital</t>
  </si>
  <si>
    <t xml:space="preserve">CareDx Inc, located in South
San Francisco, California,
develops, markets and
delivers a diagnostic
surveillance solution for
heart transplant recipients.
Its commercialized testing
solution, the AlloMap heart
transplant molecular test,
or AlloMap, is a blood-based
test used to monitor heart
transplant recipients for
acute cellular rejection.
The company was founded in
1998.
Cedars-Sinai Health System
is a hospital operator. The
Company was founded in 1902
and is located in Los
Angeles, California.</t>
  </si>
  <si>
    <t xml:space="preserve">8071
8062</t>
  </si>
  <si>
    <t xml:space="preserve">CAREDX INC/CEDARS-SINAI HEALTH SYSTEM-STRATEGIC ALLIANCE</t>
  </si>
  <si>
    <t xml:space="preserve">CareDx Inc and Cedars-Sinai Health System formed a strategic alliance to
study the use of AlloSure to characterize response to therapy in kidney
transplant recipients.</t>
  </si>
  <si>
    <t xml:space="preserve">14167L
15051F</t>
  </si>
  <si>
    <t xml:space="preserve">Brenntag AG
Tee Hai Chem Pte Ltd</t>
  </si>
  <si>
    <t xml:space="preserve">Other Chemical and Allied Products Merchant Wholesalers
Process, Physical Distribution, and Logistics Consulting Services</t>
  </si>
  <si>
    <t xml:space="preserve">Brenntag AG is engaged in
chemical distribution. It
provides
business-to-business
distribution solutions for
industrial and specialty
chemicals. The Company
purchases and stores
large-scale quantities of
industrial and specialty
chemicals and repackages
them into smaller
quantities. In addition, the
Company also offers
additional services,
including delivery, product
mixing, blending,
repackaging, micronization
and fine milling, inventory
management and drum return
handling, as well as
technical and laboratory
services for specialty
chemicals. The Company
offers its products to a
range of market industries,
such as adhesives, paints,
oil &amp; gas, food, water
treatment, personal care and
pharmaceuticals. The Company
operates through a network
with more than 550 locations
in Europe, North and Latin
America, and in the Asia
Pacific region. It is also a
holding company. The Company
was founded in 1874 and is
located in Essen, Germany.
Tee Hai Chem Pte Ltd is a
strategic market leader in
providing supply chain
solutions for materials,
chemicals and services for
the life sciences,
electronics manufacturing
and research &amp; diagnostics
sectors in Singapore and
Southeast Asia. The Company
is located in Singapore,
Singapore.</t>
  </si>
  <si>
    <t xml:space="preserve">5169
8742</t>
  </si>
  <si>
    <t xml:space="preserve">Germany
Singapore</t>
  </si>
  <si>
    <t xml:space="preserve">BRENNTAG AG/TEE HAI CHEM PTE LTD-JOINT VENTURE</t>
  </si>
  <si>
    <t xml:space="preserve">Brenntag AG and Tee Hai Chem Pte Ltd planned to form a 51:49 joint venture
was to foster growth for Brenntag into key markets primarily for pharma and
semiconductors. The joint venture will allow us to further develop the
company through realising synergies with the existing supplier and customer
base of Brenntag in the Asia Pacific region.</t>
  </si>
  <si>
    <t xml:space="preserve">10717X
1J6380</t>
  </si>
  <si>
    <t xml:space="preserve">Merck &amp; Co Inc
Zhejiang University</t>
  </si>
  <si>
    <t xml:space="preserve">Manufactures and wholesales pharmaceuticals
Own,op college,university</t>
  </si>
  <si>
    <t xml:space="preserve">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
Zhejiang University, located
in Zhejiang, China, owns and
operates college and
university, which creates new
theories and methods to
promote the development of
social welfare and management
science in China and cultivate
management talents who will
lead and serve economic and
social development.</t>
  </si>
  <si>
    <t xml:space="preserve">MERCK &amp; CO INC/ZHEJIANG UNIVERSITY-STRATEGIC ALLIANCE</t>
  </si>
  <si>
    <t xml:space="preserve">Merck Co Inc and Zhejiang University formed a strategic alliance to use
Mercks Arrayed CRISPR Library, which will assist in the discovery of the
relevance of specific genes in biological functions.</t>
  </si>
  <si>
    <t xml:space="preserve">58933Y
99039Y</t>
  </si>
  <si>
    <t xml:space="preserve">Mobisphere
PT Nusantara Digital Inovasi</t>
  </si>
  <si>
    <t xml:space="preserve">Mnfr,whl commun products
Software Publishers</t>
  </si>
  <si>
    <t xml:space="preserve">Manufacture and wholesale
mobile communications network
products
PT Nusantara Digital Inovasi
is a software publisher. The
Company is located in
Indonesia.</t>
  </si>
  <si>
    <t xml:space="preserve">3663
7376</t>
  </si>
  <si>
    <t xml:space="preserve">Germany
Indonesia</t>
  </si>
  <si>
    <t xml:space="preserve">MOBISPHERE/PT NUSANTARA DIGITAL INOVASI-JOINT VENTURE</t>
  </si>
  <si>
    <t xml:space="preserve">Mobisphere and PT Nusantara Digital Inovasi planned to form joint venture
to develop, implement and operate mobile eID platform to onboard and
register all of NU members and offer services that are beneficial both
nationwide and globally over a secured mobile ecosystem.</t>
  </si>
  <si>
    <t xml:space="preserve">60744E
1J8481</t>
  </si>
  <si>
    <t xml:space="preserve">Les Laboratoires Servier SAS
Oncodesign SA</t>
  </si>
  <si>
    <t xml:space="preserve">Les Laboratoires Servier
SAS, located in Suresnes,
France, is a manufacturer of
pharmaceutical preparation.
The Company's products
parted into 4 sections the
Servier medicines, which
includes medicine for
cardiovascular disease,
oncology, neuropsychiatric
disorders, and internal
medicine-diseases such as
diabetes. Generic drugs,
E-Health solutions, and the
Fight against
counterfeiting. The Company
has presence in 148
countries that employs
21,600 people worldwide. The
Company's growth is mainly
driven by the constant
search of the company for
innovation in the 5 area of
excellence: cardiovascular,
immune-inflammatory and
neuropsychiatric diseases,
cancers and diabetes, ass
well as by its activities in
high-quality generic drugs.
The Company was founded in
1954.
Oncodesign SA, based in Dijon,
France, is a biotechnology
company focused on preclinical
and translational evaluation
of anti-cancer therapies, with
services ranging from rapid in
vitro and in vivo
proof-of-concept studies to
mechanistic and translational
studies. The Company was
founded in 1995.</t>
  </si>
  <si>
    <t xml:space="preserve">LES LABORATOIRES SERVIER SAS/ONCODESIGN SA-STRATEGIC ALLIANCE</t>
  </si>
  <si>
    <t xml:space="preserve">Les Laboratoires Servier SAS and Oncodesign SA planned to form a strategic
alliance for the research and development of potential drug candidates for
Parkinson's disease.</t>
  </si>
  <si>
    <t xml:space="preserve">81764A
68257Z</t>
  </si>
  <si>
    <t xml:space="preserve">Naver Corp
Daewoong Pharms Co Ltd</t>
  </si>
  <si>
    <t xml:space="preserve">Pvd Internet searching svcs
Mnfr pharm</t>
  </si>
  <si>
    <t xml:space="preserve">Naver Corp, located in
Seongnam, South Korea, is
engaged in the online media
industry. Along with its
subsidiaries, the Company
engages in the search
engine, and social network
service (SNS) businesses.
The Company operates Naver,
which is an Internet search
engine that disseminates
knowledge over the Internet;
Junior Naver, which is a
children's portal site that
allows kids to access fun
and useful contents in a
safe and healthy Internet
environment; Happybean,
which is an online donation
portal operated by its
Happybean Foundation, and
me2day, which provides
micro-blog service that
allows users to share their
daily trails and
tribulations via the mobile
and Internet environment,
among others. It also
provides online advertising
services. The Company was
founded in 1999.
Daewoong Pharmaceutical Co
Ltd. based in South Korea,
is a manufacturer engaged in
the provision of
pharmaceutical products. The
Company mainly provides
prescription and
over-the-counter drugs,
including hypertension
remedies, antidote for liver
toxicity, digestion
remedies, remedies for
cerebrovascular disease,
nervous and skeletal system
remedies, antibiotics,
antifungal agents, remedies
for gastrointestinal
systems, remedies for
osteoporosis, respiratory
disease remedies, diabetes
remedies, nutrition, eye
drops and others. It also
provides healthcare products
such as lactobacilli, cold
remedies with vitamin C and
remedies for obesity, as
well as toothpaste, moisture
creams and other
miscellaneous products.
Founded in 1945.</t>
  </si>
  <si>
    <t xml:space="preserve">8999
2834</t>
  </si>
  <si>
    <t xml:space="preserve">NAVER CORP/DAEWOONG PHARMACEUTICALS CO-JOINT VENTURE</t>
  </si>
  <si>
    <t xml:space="preserve">Naver Corp and Daewoong Pharmaceuticals Co Ltd formed a joint venture was
to provide medical data analysis services based on its artificial
intelligence technology.</t>
  </si>
  <si>
    <t xml:space="preserve">6A2849
23372P</t>
  </si>
  <si>
    <t xml:space="preserve">Enigma Biomed Grp Inc
Merck &amp; Co Inc</t>
  </si>
  <si>
    <t xml:space="preserve">Software Publishers
Manufactures and wholesales pharmaceuticals</t>
  </si>
  <si>
    <t xml:space="preserve">Enigma Biomedical Group Inc
is a software publisher. The
Company is located in
Canada.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</si>
  <si>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7376
2834</t>
  </si>
  <si>
    <t xml:space="preserve">ENIGMA BIOMEDICAL GROUP INC/MERCK &amp; CO INC-STRATEGIC ALLIANCE</t>
  </si>
  <si>
    <t xml:space="preserve">Enigma Biomedical Group Inc and Merck Co Inc formed a strategic alliance
for the clinical development and commercialization of MK-6884.</t>
  </si>
  <si>
    <t xml:space="preserve">8H7856
58933Y</t>
  </si>
  <si>
    <t xml:space="preserve">Olix Pharmaceuticals Inc
Laboratoires Thea Sa</t>
  </si>
  <si>
    <t xml:space="preserve">Pharmaceutical Preparation Manufacturing
All Other Miscellaneous Chemical Product and Preparation Manufacturing</t>
  </si>
  <si>
    <t xml:space="preserve">Olix Pharmaceuticals Inc is
a manufacturer of
pharmaceutical preparation.
The Company was founded in
February 2010 and is located
in Suwon, South Korea.
Laboratoires Thea SA is a
manufacturer of chemical
products. The Company is
located in Clermont-Ferrand,
France.</t>
  </si>
  <si>
    <t xml:space="preserve">2834
2819</t>
  </si>
  <si>
    <t xml:space="preserve">South Korea
France</t>
  </si>
  <si>
    <t xml:space="preserve">OLIX PHARMACEUTICALS INC/LABORATOIRES THEA SA-STRATEGIC ALLIANCE</t>
  </si>
  <si>
    <t xml:space="preserve">Olix Pharmaceuticals Inc and Laboratoires Thea SA formed a strategic
alliance to Develop RNAi Therapies for the Treatment of AMD.</t>
  </si>
  <si>
    <t xml:space="preserve">4H7192
9H8834</t>
  </si>
  <si>
    <t xml:space="preserve">Sigma Healthcare Ltd
Pharmacy Alliance Pty Ltd</t>
  </si>
  <si>
    <t xml:space="preserve">Drugs and Druggists' Sundries Merchant Wholesalers
Pharmacy organization</t>
  </si>
  <si>
    <t xml:space="preserve">Sigma Healthcare Ltd,
located in Melbourne,
Australia, wholesales and
retails pharmaceutical
products. The Company
operates over 1,200 branded
and independent stores,
including pharmacy retail
brands, such as Amcal,
Guardian, PharmaSave,
Chemist King and Discount
Drug Stores. It has
partnership agreements to
provide independent pharmacy
support services to more
than 500 independent
pharmacies. Its Sigma
Financial Services provide
support services to help
pharmacies better manage
their finances; offers
pharmacy finance referral
program, and pharmacy
fit-out finance with
tailored bank support. The
Company also operates online
store to offer approximately
9,000 products to consumers.
It also operates Sigma
Generics Program (SGP) to
drive generic substitution
and pharmacist
profitability. It also
operates Sigma Resource
Centre to provide
customizable levels of
support to suit the needs of
all pharmacies, branded or
independent. The Company was
founded in 2012.
Pharmacy Alliance Pty Ltd,
based in Melbourne,
Australia, is a
pharmacy-support
organization with
pharmaceutical stores as
members.</t>
  </si>
  <si>
    <t xml:space="preserve">5122
8611</t>
  </si>
  <si>
    <t xml:space="preserve">SIGMA HEALTHCARE LTD/PHARMACY ALLIANCE PTY LTD-STRATEGIC ALLIANCE</t>
  </si>
  <si>
    <t xml:space="preserve">Sigma Healthcare Ltd and Pharmacy Alliance Pty Ltd extended their strategic
alliance. The purpose of strategic alliance was for the supply of all
pharmaceutical and over the counter products.</t>
  </si>
  <si>
    <t xml:space="preserve">5F5026
71760N</t>
  </si>
  <si>
    <t xml:space="preserve">Mitacs Inc
Pascal Biosciences Inc</t>
  </si>
  <si>
    <t xml:space="preserve">Educational Support Services
Manufacture pharmaceuticals</t>
  </si>
  <si>
    <t xml:space="preserve">Mitacs Inc is a provider of
educational support
services. The Company was
founded in 1970 and is
located in Montreal, Canada.
Pascal Biosciences Inc,
located in Vancouver,
British Colombia, is a
manufacturer of
pharmaceutical preparation.
The Company was founded in
January 2011.</t>
  </si>
  <si>
    <t xml:space="preserve">MITACS INC/PASCAL BIOSCIENCES INC-STRATEGIC ALLIANCE</t>
  </si>
  <si>
    <t xml:space="preserve">Mitacs Inc and Pascal Biosciences Inc formed a strategic alliance was to
discover specific cannabinoids that can increase the immune recognition of
both mouse and human cancer cells. A multi-year cancer research project at
the University of British Columbia (UBC).</t>
  </si>
  <si>
    <t xml:space="preserve">0J3207
09072M</t>
  </si>
  <si>
    <t xml:space="preserve">Massachusetts General Hospital
Pairwise Inc
Broad Institute</t>
  </si>
  <si>
    <t xml:space="preserve">Own,operate hospital
Soil Preparation, Planting, and Cultivating
Biotechnology company</t>
  </si>
  <si>
    <t xml:space="preserve">Massachusetts General
Hospital is a hospital
operator. The Company was
founded in 1811 and is
located in Boston,
Massachusetts.
Pairwise Inc is a provider
of crop production services.
The Company was founded in
1970 and is located in
Research Triangle Park,
North Carolina.
Broad Institute is a
manufacturer of biological
products. The Company was
founded in May 2004 and is
located in Cambridge,
Massachusetts.</t>
  </si>
  <si>
    <t xml:space="preserve">8062
0711
2836</t>
  </si>
  <si>
    <t xml:space="preserve">MA
NC
MA</t>
  </si>
  <si>
    <t xml:space="preserve">Cooley Dickinson Hospital
Pairwise Inc
Massachusetts Inst Of Tech</t>
  </si>
  <si>
    <t xml:space="preserve">8062
0711
8221</t>
  </si>
  <si>
    <t xml:space="preserve">MASSACHUSETTS GENERAL HOSPITAL/PAIRWISE INC/BROAD INSTITUTE-STRATEGIC
ALLIANCE</t>
  </si>
  <si>
    <t xml:space="preserve">Massachusetts General Hospital, PAIRWISE INC and Broad Institute formed a
strategic alliance to bring new foods to market and increase the
sustainability of modern agriculture.</t>
  </si>
  <si>
    <t xml:space="preserve">57566A
8H7217
11149Z</t>
  </si>
  <si>
    <t xml:space="preserve">Immunobiology Ltd
Lanzhou Inst Of Biological</t>
  </si>
  <si>
    <t xml:space="preserve">Research,dvlp vaccines
Biological Product (Except Diagnostic) Manufacturing</t>
  </si>
  <si>
    <t xml:space="preserve">Immunobiology Ltd,
headquartered in Cambridge,
UK, provides research and
development services of
vaccines for infectious
diseases.
Lanzhou Institute of
Biological Products Co Ltd
is a manufacturer of
biological products. The
Company was founded in 1934
and is located in Lanzhou,
China.</t>
  </si>
  <si>
    <t xml:space="preserve">Immunobiology Ltd
China Natl Pharm Grp Corp</t>
  </si>
  <si>
    <t xml:space="preserve">IMMUNOBIOLOGY LTD/LANZHOU INSTITUTE OF BIOLOGICAL PRODUCTS CO LTD-STRATEGIC
ALLIANCE</t>
  </si>
  <si>
    <t xml:space="preserve">Immunobiology Ltd and Lanzhou Institute Of Biological Products Co Ltd
formed a strategic alliance was to co-develop ImmBio's proprietary
PnuBioVax vaccine against pneumococcal disease and launch the pneumococcal
vaccine in the Greater China area upon completion of successful clinical
studies.</t>
  </si>
  <si>
    <t xml:space="preserve">Merck KGaA
Genscript Usa Hldg Inc</t>
  </si>
  <si>
    <t xml:space="preserve">Manufactures and wholesales pharmaceuticals, specialty chemicals, and cosmetic pigments
Research and Development in Biotechnology</t>
  </si>
  <si>
    <t xml:space="preserve">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
GenScript USA Holding Inc is
a provider of biotechnology
research and development
services. The Company is
located in Piscataway, New
Jersey.</t>
  </si>
  <si>
    <t xml:space="preserve">Merck KGaA
Genscript USA Corp</t>
  </si>
  <si>
    <t xml:space="preserve">MERCK KGAA/GENSCRIPT USA HOLDING INC-STRATEGIC ALLIANCE</t>
  </si>
  <si>
    <t xml:space="preserve">Merck KGaA and GenScript USA Holding Inc planned to form a strategic
alliance.The purpose of the strategic alliance is to accelerate the
industrialization and commercialization of cell and gene therapy in China.</t>
  </si>
  <si>
    <t xml:space="preserve">589339
1H0755</t>
  </si>
  <si>
    <t xml:space="preserve">American Type Culture
Science Exchange Inc</t>
  </si>
  <si>
    <t xml:space="preserve">Pvd bioscience research svcs
Research and Development in Biotechnology</t>
  </si>
  <si>
    <t xml:space="preserve">Provide bioscience research
services; wholesale biological
products such as bacteria,
yeast, fungi, protozoa,
antisera, genomic DNA, and
stem cells
Science Exchange Inc is a
provider of biotechnology
research and development
services. The Company is
located in Palo Alto,
California.</t>
  </si>
  <si>
    <t xml:space="preserve">VA
CA</t>
  </si>
  <si>
    <t xml:space="preserve">AMERICAN TYPE CULTURE/SCIENCE EXCHANGE INC-STRATEGIC ALLIANCE</t>
  </si>
  <si>
    <t xml:space="preserve">American Type Culture Collection and Science Exchange Inc formed a
strategic alliance was to providing researchers with enhanced accessibility
of biological materials while delivering a secure, streamlined, and
customizable process.</t>
  </si>
  <si>
    <t xml:space="preserve">03028A
4E7689</t>
  </si>
  <si>
    <t xml:space="preserve">SRL Inc
Chugai Pharmaceutical Co Ltd</t>
  </si>
  <si>
    <t xml:space="preserve">Provide lab testing services
Mnfr pharm prod</t>
  </si>
  <si>
    <t xml:space="preserve">SRL Inc, located in
Shinjuku-Ku Tokyo, Japan,
provides clinical and
laboratory testing services
for the evaluation and
diagnosis of diseases,
identification of physical
conditions, choosing courses
of treatment and monitoring
the progress of treatments.
The Company was founded in
1970.
Chugai Pharmaceutical Co
Ltd, headquartered in Tokyo,
Japan, manufactures and
wholesales pharmaceutical
products. The Company
operates in two business
segments. The Domestic sale
of pharmaceutical products
manufactured by the Company
through its nationwide
appointed stores. This
segment is also involved in
the research, development,
transportation and storage
of pharmaceutical products,
as well as the provision of
literature research services
for pharmaceutical
information. The Overseas
segment is engaged in the
sale of its pharmaceutical
products in oversea markets,
such as Germany, the United
Kingdom, France, Taiwan,
China Mainland, Korea and
the United States. This
segment is also involved in
the provision of
pharmaceutical academic
information, as well as the
research, development and
registration of
pharmaceutical products. The
Company was founded in 1925.</t>
  </si>
  <si>
    <t xml:space="preserve">Miraca Holdings Inc
Roche Holdings AG</t>
  </si>
  <si>
    <t xml:space="preserve">SRL INC/CHUGAI PHARMACEUTICAL CO LTD-STRATEGIC ALLIANCE</t>
  </si>
  <si>
    <t xml:space="preserve">SRL Inc and Chugai Pharmaceutical Co Ltd formed a strategic alliance will
be SRL will provide commissioned testing service through FoundationOne CDx
Cancer Genome Profile for medical institutions.As a function of
comprehensive genomic profiling of cancer-related genes, FoundationOne CDx
Cancer Genomic Profile allows to identify mutation status of 324
cancer-related genes for solid tumors at a single testing by using the
patients tumor tissue.</t>
  </si>
  <si>
    <t xml:space="preserve">78464J
171268</t>
  </si>
  <si>
    <t xml:space="preserve">LG Chem Ltd
Pdc Line Pharma Sas</t>
  </si>
  <si>
    <t xml:space="preserve">Mnfr,whl petrochem,automotive
Research and Development in Biotechnology</t>
  </si>
  <si>
    <t xml:space="preserve">LG Chem Ltd is a company
principally engaged in the
manufacture of petrochemical
materials. The Company
operates its business
through four segments. The
Basic Materials Segment is
mainly engaged in the
manufacture of basic
materials which are mainly
used for petrochemical
industry, and the products
include polyvinyl chloride
(PVC) resins, low-density
polyethylene (LDPE), poly
styrene (PS), acrylonitrile
butadiene styrene (ABS),
acrylate and others. The
Information and Electronic
Material Segment is mainly
engaged in the manufacture
of optics materials whose
main product is polarizing
plates. The Battery Segment
is mainly engaged in the
manufacture of rechargeable
batteries including mobile
phone, automobile and
storage batteries. And the
Material Industry segment
which is engaged in the
manufacture of electronic
materials include liquid
crystal display (LCD) and
the positive pole materials.
The Company was founded in
April 2001 and is located in
Seoul, South Korea.
PDC line Pharma SAS is a
France-based biotechnology
company, which is primarily
engaged in the healthcare
industry. The Company
develops a specialized class
of active immunotherapies
for cancer based on an
allogeneic cell line of
Plasmacytoid Dendritic cells
(PDC) loaded with cancer
antigens. The Company's
approach can be applied to
various cancer types and
combined with different
cancer treatments.</t>
  </si>
  <si>
    <t xml:space="preserve">LG CHEM LTD/PDC LINE PHARMA SAS-STRATEGIC ALLIANCE</t>
  </si>
  <si>
    <t xml:space="preserve">Lg Chem Ltd and Pdc Line Pharma Sas formed a strategic alliance was to
develop and commercialize drug for lung cancer antigen presenting cell,
based on a proprietary cell line of Plasmacytoid Dendritic cells in South
Korea and other Asian Countries.</t>
  </si>
  <si>
    <t xml:space="preserve">50344E
2J0405</t>
  </si>
  <si>
    <t xml:space="preserve">Legochem Biosciences Inc
Takeda Pharmaceutical Co Ltd</t>
  </si>
  <si>
    <t xml:space="preserve">LegoChem Biosciences Inc, is
a Korea-based biotechnology
company mainly engaged in
development and wholesale of
new pharmaceuticals based on
medical chemistry. The
Company principally involves
in the development of new
drugs, including
antibiotics, anticoagulants,
anticancer, antiplatelet,
anti-inflammatory, as well
as antibody-drug-conjugates
(ADC), among others. The
Company operates its
business through technology
transfer, joint and contact
research and research
services. The Company was
founded in May 2006 and is
located in Daejeon, South
Korea.
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</si>
  <si>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LEGOCHEM BIOSCIENCES INC/TAKEDA PHARMACEUTICAL CO LTD-STRATEGIC ALLIANCE</t>
  </si>
  <si>
    <t xml:space="preserve">Legochem Biosciences Inc and Takeda Pharmaceutical Co Ltd planned to form a
strategic alliance.The purpose of the strategic alliance is for the
development of antibody-drug conjugates (ADC) in immuno-oncology.</t>
  </si>
  <si>
    <t xml:space="preserve">3A0372
874058</t>
  </si>
  <si>
    <t xml:space="preserve">Eli Lilly &amp; Co
Immunext Inc</t>
  </si>
  <si>
    <t xml:space="preserve">Manufactures,wholesales pharmaceuticals
Biological Product (Except Diagnostic) Manufacturing</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</si>
  <si>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ImmuNext Inc is a
manufacturer of biological
products. The company was
founded in February 2011 and
is located in Lebanon, New
Hampshire.</t>
  </si>
  <si>
    <t xml:space="preserve">IN
NH</t>
  </si>
  <si>
    <t xml:space="preserve">ELI LILLY &amp; CO/IMMUNEXT INC-STRATEGIC ALLIANCE</t>
  </si>
  <si>
    <t xml:space="preserve">Eli Lilly Co and Immunext Inc formed a strategic alliance to focused on the
study of a preclinical novel target that could lead to potential new
medicines for autoimmune diseases by regulating immune cell metabolism.</t>
  </si>
  <si>
    <t xml:space="preserve">532457
0F3260</t>
  </si>
  <si>
    <t xml:space="preserve">Tenshi Life Sciences Private
Dolcas Biotech LLC</t>
  </si>
  <si>
    <t xml:space="preserve">Tenshi Life Sciences Pvt
Ltd, located in Bengaluru,
India, is a provider of
biotechnology research and
development services. The
Company was founded in July
2016.
Dolcas Biotech LLC is a
manufacturer of biological
products. The Company was
founded in 1970 and is
located in Landing, New
Jersey.</t>
  </si>
  <si>
    <t xml:space="preserve">TENSHI LIFE SCIENCES PVT LTD/DOLCAS BIOTECH LLC-JOINT VENTURE</t>
  </si>
  <si>
    <t xml:space="preserve">Tenshi Life Sciences Pvt Ltd and Dolcas Biotech LLC planned to form joint
venture US to focus exclusively on the research, development, and
commercialization of novel nutraceutical lines for key global markets,
including the US, Canada, Europe, and Japan.</t>
  </si>
  <si>
    <t xml:space="preserve">8H1848
2J1703</t>
  </si>
  <si>
    <t xml:space="preserve">Top Networks Co Ltd
Algorand LLC</t>
  </si>
  <si>
    <t xml:space="preserve">Mnfr semiconductors
Provides cryptocurrency services</t>
  </si>
  <si>
    <t xml:space="preserve">Top Networks Co Ltd is a
manufacturer of
semiconductors and related
device. The Company is
located in South Korea.
Algorand LLC, located in
Boston, Massachusetts,
provides cryptocurrency
services. It offers
ledger-based blockchain
utilizing Cryptographic
Sortation and Byzantine
Agreement.</t>
  </si>
  <si>
    <t xml:space="preserve">3674
6099</t>
  </si>
  <si>
    <t xml:space="preserve">TOP NETWORKS CO LTD/ALGORAND LLC-STRATEGIC ALLIANCE</t>
  </si>
  <si>
    <t xml:space="preserve">Top Networks Co Ltd and Algorand LLC formed a strategic alliance to
collaboratively research and develop scalable blockchain services and
infrastructure components on the public chain platform.</t>
  </si>
  <si>
    <t xml:space="preserve">9C2801
7F7898</t>
  </si>
  <si>
    <t xml:space="preserve">Ono Pharmaceutical Co Ltd
Vect-Horus Sas</t>
  </si>
  <si>
    <t xml:space="preserve">Ono Pharmaceutical Co Ltd,
located in Osaka, Japan,
manufactures and wholesales
pharmaceuticals and
diagnostic reagents focusing
primarily on prescription
pharmaceuticals. The company
was founded in 1717.
Vect-Horus Sas is a provider
of biotechnology research
and development services,
focusing on drug delivery
vectors. The Company was
founded in 2005 and is
located in Marseille,
France.</t>
  </si>
  <si>
    <t xml:space="preserve">ONE PHARMACEUTICAL CO LTD/VECT-HORUS SAS-STRATEGIC ALLIANCE</t>
  </si>
  <si>
    <t xml:space="preserve">One Pharmaceutical Co Ltd and Vect-Horus Sas formed a strategic alliance to
focus on the development of novel molecules targeting neurodegenerative
diseases.</t>
  </si>
  <si>
    <t xml:space="preserve">68273Q
7H0495</t>
  </si>
  <si>
    <t xml:space="preserve">Sana Biotechnology Inc
Harvard University</t>
  </si>
  <si>
    <t xml:space="preserve">Sana Biotechnology Inc,
located in Seattle,
Washington, is a
biotechnology company. It is
focused on creating and
delivering engineered cells
as medicines for patients.
The Company was founded on
July 13, 2018.
Harvard University, located
in Cambridge, Massachusetts,
owns and operates a
university. The company was
founded in 1638.</t>
  </si>
  <si>
    <t xml:space="preserve">SANA BIOTECHNOLOGY INC/HARVARD UNIVERSITY-STRATEGIC ALLIANCE</t>
  </si>
  <si>
    <t xml:space="preserve">Sana Biotechnology Inc and Harvard University formed a strategic alliance
for immune-silent stem cell technology.</t>
  </si>
  <si>
    <t xml:space="preserve">1J0790
41748A</t>
  </si>
  <si>
    <t xml:space="preserve">City of Hope
Akrevia Therapeutics Inc</t>
  </si>
  <si>
    <t xml:space="preserve">City of Hope, headquartered
in Duarte, California,
provides medical and health
services. It is a research
and treatment center for
cancer, diabetes and other
life-threatening diseases.
The Company was founded in
1913.
Akrevia Therapeutics Inc,
located in Cambridge,
Massachusetts, is a provider
of biotechnology research
and development services
focused on cancer
immunotherapies. The Company
was founded in 2016.</t>
  </si>
  <si>
    <t xml:space="preserve">CITY OF HOPE/AKREVIA THERAPEUTICS INC-STRATEGIC ALLIANCE</t>
  </si>
  <si>
    <t xml:space="preserve">City of Hope and Akrevia Therapeutics Inc formed a strategic alliance was
to utilize innovative technology to engineer potent immune-activating
cytokines that can be selectively activated in the tumor microenvironment.</t>
  </si>
  <si>
    <t xml:space="preserve">5A1583
2J2979</t>
  </si>
  <si>
    <t xml:space="preserve">Medrio Inc
Deep Intelligent Pharma</t>
  </si>
  <si>
    <t xml:space="preserve">Dvlp medical trial software
Biological Product (Except Diagnostic) Manufacturing</t>
  </si>
  <si>
    <t xml:space="preserve">Medrio Inc, located in San
Francisco, California,
develops medical trial
software. The Company was
founded in September 2005.
Deep Intelligent Pharma is a
manufacturer of biological
products. The Company was
founded in 2017 and is
located in Chaoyang, China.</t>
  </si>
  <si>
    <t xml:space="preserve">MEDRIO INC/DEEP INTELLIGENT PHARMA-STRATEGIC ALLIANCE</t>
  </si>
  <si>
    <t xml:space="preserve">Medrio Inc and Deep Intelligent Pharma formed a strategic alliance was to
collaboration and the application of cutting-edge artificial intelligence
(AI) technologies in the clinical trial process will create additional
value for pharma R&amp;D clients globally including China, Japan, Australia,
the United States, and EMEA.</t>
  </si>
  <si>
    <t xml:space="preserve">5F3393
2J1617</t>
  </si>
  <si>
    <t xml:space="preserve">AstraZeneca PLC
Ichor Medical Systems Inc</t>
  </si>
  <si>
    <t xml:space="preserve">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
Ichor Medical Systems Inc is
a provider of biotechnology
research and development
services. The Company is
located in San Diego,
California.</t>
  </si>
  <si>
    <t xml:space="preserve">ASTRAZENECA PLC/ICHOR MEDICAL SYSTEMS INC-STRATEGIC ALLIANCE</t>
  </si>
  <si>
    <t xml:space="preserve">AstraZeneca PLC and Ichor Medical Systems Inc formed a strategic alliance
for the development and clinical assessment of plasmid DNA constructs.</t>
  </si>
  <si>
    <t xml:space="preserve">046353
2J2706</t>
  </si>
  <si>
    <t xml:space="preserve">Tapi' SpA
Thin Film Electronics ASA</t>
  </si>
  <si>
    <t xml:space="preserve">Wholesale Trade Agents and Brokers
Manufacture electronic components</t>
  </si>
  <si>
    <t xml:space="preserve">Tapi SpA is a wholesale trade
agent. It is specialized in
the cork production. The
Company is located in
Massanzago, Italy.
Thin Film Electronics ASA is
a manufacturer of electronic
components. The Company was
founded in 1997 and is
located in Oslo, Norway. It
is engaged in the
development of Printed
Electronics. It
commercializes printed
rewritable memory and
creates printed system
products, such as memory,
sensing, display and
wireless communication.
Thinfilms roadmap of system
products integrates
technology from a network of
partners in order to enable
the Internet of Things
(IoT). It includes memory
labels, which store digital
data on a thin, rewritable
label, brand protection
solutions, consisting of
adhesive labels that
generate a distinct forensic
electrical signature, sensor
labels, which sense
information and store data,
display labels, low cost
display media to communicate
the information stored in
the Thin Film Memory and NFC
Smart Labels, near field
communication-enabled sensor
and display labels. The
Company has sales offices in
San Francisco, the United
States, and Tokyo, Japan,
product development in
Linkoping, Sweden, and
manufacturing in Pyongtaek,
South Korea.</t>
  </si>
  <si>
    <t xml:space="preserve">5085
3679</t>
  </si>
  <si>
    <t xml:space="preserve">Italy
Norway</t>
  </si>
  <si>
    <t xml:space="preserve">Wise SGR SpA
Thin Film Electronics ASA</t>
  </si>
  <si>
    <t xml:space="preserve">6799
3679</t>
  </si>
  <si>
    <t xml:space="preserve">TAPI' SPA/THIN FILM ELECTRONICS ASA-STRATEGIC ALLIANCE</t>
  </si>
  <si>
    <t xml:space="preserve">Tapi' SpA and Thin Film Electronics ASA formed a strategic alliance to
combine their industry-leading innovation capabilities to better serve the
needs of the wine and spirits industry.</t>
  </si>
  <si>
    <t xml:space="preserve">2F5447
88407X</t>
  </si>
  <si>
    <t xml:space="preserve">JSR Corp
Hubrecht Organoid Technology</t>
  </si>
  <si>
    <t xml:space="preserve">Mnfr,whl synthetic rubber
Drugs and Druggists' Sundries Merchant Wholesalers</t>
  </si>
  <si>
    <t xml:space="preserve">JSR Corp, located in
Minato-Ku Tokyo, Japan, is a
manufacturer of synthetic
rubber.The Company offers
products such as
general-purpose synthetic
rubber and special synthetic
rubber, thermoplastic
elastomer (TPE) which has
the characteristics of
synthetic rubber and
synthetic resin, and
emulsion in which synthetic
rubber and synthetic resin
are dispersed in liquid
products. In addition, it
provides a variety of
materials such as
high-performance
dispersants,
high-performance sol-gel
agents, industrial
particles, battery
materials, and thermal
management materials that
contribute to energy saving
as functional chemicals. The
Company was founded in
December 1957.
Hubrecht Organoid Technology
is a drugs wholesaler. The
Company was founded in 1970
and is located in Utrecht,
the Netherlands.</t>
  </si>
  <si>
    <t xml:space="preserve">2822
5122</t>
  </si>
  <si>
    <t xml:space="preserve">JSR CORP/HUBRECHT ORGANOID TECHNOLOGY-STRATEGIC ALLIANCE</t>
  </si>
  <si>
    <t xml:space="preserve">JSR Corp and Hubrecht Organoid Technology planned to form a strategic
alliance.The purpose of the strategic alliance is to provide preclinical
oncology drug development and validation services using HUB Organoid
Technology, including access to HUBs highly characterized tumor organoid
biobank.</t>
  </si>
  <si>
    <t xml:space="preserve">46577N
2J3423</t>
  </si>
  <si>
    <t xml:space="preserve">Bio Analytical Research Corp
One Way Liver Genomics SL</t>
  </si>
  <si>
    <t xml:space="preserve">Pvd laboratory svcs
Biotechnology company</t>
  </si>
  <si>
    <t xml:space="preserve">Bio Analytical Research
Corp, based in Ghent,
provides laboratory services
the supports the
pharmaceutical and
biotechnology industry in
the development of new drugs
by managing the laboratory
component of clinical
trials.
One Way Liver Genomics SL,
located in Bizkaia, Spain,
is a biotechnology company
focused on metabolomics. It
provides research and
development services in the
areas of liver disease
biomarker discovery,
clinical studies,
diagnostics and toxicology.
Its main clients are
pharmaceutical and
biotechnology companies. The
company was founded on July
9, 2002.</t>
  </si>
  <si>
    <t xml:space="preserve">Belgium
Spain</t>
  </si>
  <si>
    <t xml:space="preserve">Partners Group Holding AG
Cross Road Biotech SA SCR de</t>
  </si>
  <si>
    <t xml:space="preserve">BIO ANALYTICAL RESEARCH CORP/ONE WAY LIVER GENOMICS SL-STRATEGIC ALLIANCE</t>
  </si>
  <si>
    <t xml:space="preserve">Bio Analytical Research Corp and One Way Liver Genomics SL planned to form
a strategic alliance.The purpose of the strategic alliance is to provide a
broad range of clinical support solutions for the expanding number of
biopharmaceutical companies active in non-alcoholic steatohepatitis (NASH)
research leveraging cutting-edge, metabolomic technology and expertise.</t>
  </si>
  <si>
    <t xml:space="preserve">08983N
68454H</t>
  </si>
  <si>
    <t xml:space="preserve">FPT Corp
Grab Holdings Inc</t>
  </si>
  <si>
    <t xml:space="preserve">Pvd infomation technology svcs
Software Publishers</t>
  </si>
  <si>
    <t xml:space="preserve">FPT Corp, located in Hanoi,
Vietnam, is a provider of
data processing and hosting
services.The company''s
services include systems
integration, software
solutions, software
outsourcing, ERP services.
The Company was founded in
September 13, 1988.
Grab Holdings Inc is a
software publisher. The
Company is located in
Singapore. The Company is
also a holding company. The
Company offers ride-hailing
transport services, food
delivery and payment
solutions through Grab Taxi,
Grab Food and GrabPay. Its
operations are spread to
Malaysia, Indonesia,
Philippines, Thailand,
Vietnam and Myanmar.</t>
  </si>
  <si>
    <t xml:space="preserve">Vietnam
Singapore</t>
  </si>
  <si>
    <t xml:space="preserve">FPT CORP/GRAB HOLDINGS INC-STRATEGIC ALLIANCE</t>
  </si>
  <si>
    <t xml:space="preserve">FPT Corp and Grab Holdings Inc formed a strategic alliance was to develop
smart city solutions for Vietnam and collaborate to enhance the adoption of
digital payments in the country. Both parties will also research and
develop new technologies in the realm of AI and collaborate on digital
payments.</t>
  </si>
  <si>
    <t xml:space="preserve">Y26333
4H8593</t>
  </si>
  <si>
    <t xml:space="preserve">Patriot One Technologies Inc
Raytheon ELCAN Optical</t>
  </si>
  <si>
    <t xml:space="preserve">Develops weapon threat detection software
Mnfr,whl precision optic prod</t>
  </si>
  <si>
    <t xml:space="preserve">Patriot One Technologies
Inc, located in Burlington,
Ontario, develops weapon
threat detection software.
The Company was founded in
May 2010.
Raytheon ELCAN Optical
Technologies , located in
Midland, Ontario, manufactures
optic products for medical,
defense &amp; security,
industrial, commercial and
entertainment industry. The
company was founded in 1952.</t>
  </si>
  <si>
    <t xml:space="preserve">7372
3827</t>
  </si>
  <si>
    <t xml:space="preserve">Patriot One Technologies Inc
Raytheon Co</t>
  </si>
  <si>
    <t xml:space="preserve">7372
3812</t>
  </si>
  <si>
    <t xml:space="preserve">PATRIOT ONE TECHNOLOGIES INC/RAYTHEON ELCAN OPTICAL-STRATEGIC ALLIANCE</t>
  </si>
  <si>
    <t xml:space="preserve">Patriot One Technologies Inc and Raytheon ELCAN Optical Technologies formed
a strategic alliance was to extend developmental innovation of Patriot
One's threat detection technology and product pipeline.</t>
  </si>
  <si>
    <t xml:space="preserve">8E7945
73662M</t>
  </si>
  <si>
    <t xml:space="preserve">Dermelix LLC
Esperare Foundation</t>
  </si>
  <si>
    <t xml:space="preserve">Dermelix LLC is a provider
of biotechnology research
and development services.
The Company was founded in
November 2018 and is located
in New York, New York.
Esperare Foundation is a
provider of biotechnology
research and development
services. The Company is
located in Geneva,
Switzerland.</t>
  </si>
  <si>
    <t xml:space="preserve">DERMELIX LLC/ESPERARE FOUNDATION-STRATEGIC ALLIANCE</t>
  </si>
  <si>
    <t xml:space="preserve">Dermelix LLC and Esperare Foundation formed a strategic alliance to develop
and commercialize DMX-101 for a rare pediatric disease called XLHED.</t>
  </si>
  <si>
    <t xml:space="preserve">1J0389
2J4946</t>
  </si>
  <si>
    <t xml:space="preserve">LifeMap Sciences Inc
Genomenon Inc</t>
  </si>
  <si>
    <t xml:space="preserve">Develop med research software
Research and Development in Biotechnology</t>
  </si>
  <si>
    <t xml:space="preserve">LifeMap Sciences Inc, located
in Alameda, California, is a
developer of medical research
software for the product
development of stem cells,
embryonic stem cells,
progenitor cells, and induced
pluripotent stem cells.
Genomenon Inc is a provider
of biotechnology research
and development services.
The Company was founded in
May 2014 and is located in
Ann Arbor, Michigan.</t>
  </si>
  <si>
    <t xml:space="preserve">MA
MI</t>
  </si>
  <si>
    <t xml:space="preserve">BioTime Inc
Genomenon Inc</t>
  </si>
  <si>
    <t xml:space="preserve">LIFEMAP SCIENCES INC/GENOMENON INC-STRATEGIC ALLIANCE</t>
  </si>
  <si>
    <t xml:space="preserve">LifeMap Sciences Inc and Genomenon Inc formed a strategic alliance was to
improve LifeMap's GeneCards knowledgebase and provide accelerated
interpretation of genetic disorders by integrating the Mastermind Genomic
Search Engine.</t>
  </si>
  <si>
    <t xml:space="preserve">53299Z
0J0744</t>
  </si>
  <si>
    <t xml:space="preserve">eXIthera Pharmaceuticals Inc
Sichuan Haisco Pharm Co Ltd</t>
  </si>
  <si>
    <t xml:space="preserve">eXIthera Pharmaceuticals Inc
is a provider of
biotechnology research and
development services. The
Company is located in
Westborough, Massachusetts.
Sichuan Haisco
Pharmaceutical Co Ltd is a
manufacturer of
pharmaceutical preparation.
The Company was founded in
August 2003 and is located
in Chengdu, China.</t>
  </si>
  <si>
    <t xml:space="preserve">eXIthera Pharmaceuticals Inc
Haisco Pharm Grp Co Ltd</t>
  </si>
  <si>
    <t xml:space="preserve">EXITHERA PHARMACEUTICALS INC/SICHUAN HAISCO PHARMACEUTICAL CO LTD-STRATEGIC
ALLIANCE</t>
  </si>
  <si>
    <t xml:space="preserve">eXIthera Pharmaceuticals Inc and Sichuan Haisco Pharmaceutical Co Ltd
formed a strategic alliance to develop, manufacture, and market eXithera's
drug in the IV sector in China.</t>
  </si>
  <si>
    <t xml:space="preserve">3A7024
2J4608</t>
  </si>
  <si>
    <t xml:space="preserve">Imprivata Inc
Verato Inc</t>
  </si>
  <si>
    <t xml:space="preserve">Imprivata Inc develops
access management software
to protect enterprise
information assets while
improving user productivity
in the healthcare industry.
Its main solution, Imprivata
OneSign is an authentication
management and workflow
platform that addresses the
challenges of hospitals and
other healthcare
organization. The Company
was founded in May 2001 and
is located in Lexington,
Massachusetts.
Verato Inc is a software
publisher. The Company is
located in Mc Lean,
Virginia.</t>
  </si>
  <si>
    <t xml:space="preserve">MA
VA</t>
  </si>
  <si>
    <t xml:space="preserve">Thoma Bravo LLC
Verato Inc</t>
  </si>
  <si>
    <t xml:space="preserve">IMPRIVATA INC/VERATO INC-STRATEGIC ALLIANCE</t>
  </si>
  <si>
    <t xml:space="preserve">Imprivata Inc and Verato Inc formed a strategic alliance was to provide a
new approach to solving the challenges of patient identity for the nations
largest and most complex healthcare organizations.</t>
  </si>
  <si>
    <t xml:space="preserve">45323J
1J9989</t>
  </si>
  <si>
    <t xml:space="preserve">BriaCell Therapeutics Corp
Incyte Corp</t>
  </si>
  <si>
    <t xml:space="preserve">BriaCell Therapeutics Corp,
located in West Vancouver,
Canada, is a provider of
biotechnology research and
development services. It is
developing therapy and
approaches for the
management of breast cancer.
The Company was founded in
July 26, 2006.
Incyte Corp is a
manufacturer of
pharmaceutical preparation.
The Company was founded in
1991 and is located in
Wilmington, Delaware. Incyte
is a global
biopharmaceutical company
that investment in strong
science and the relentless
pursuit of R&amp;D excellence
can translate into new
solutions that can
positively affect patients
lives.</t>
  </si>
  <si>
    <t xml:space="preserve">1041
2834</t>
  </si>
  <si>
    <t xml:space="preserve">BRIACELL THERAPEUTICS CORP/INCYTE CORP-STRATEGIC ALLIANCE</t>
  </si>
  <si>
    <t xml:space="preserve">Briacell Therapeutics Corp and Incyte Corp formed a strategic alliance to
provide compounds from its development portfolio, including INCMGA0012, an
anti-PD-1 monoclonal antibody, and epacadostat, an IDO1 inhibitor, for use
in combination studies with BriaCells lead candidate, Bria-IMT.</t>
  </si>
  <si>
    <t xml:space="preserve">4C4399
45337C</t>
  </si>
  <si>
    <t xml:space="preserve">Ally Bridge Grp Capital
Lifetech Scientific Corp
Quantum Surgical Sasu</t>
  </si>
  <si>
    <t xml:space="preserve">Venture capital firm
Medical Devices Manufacture
Software Publishers</t>
  </si>
  <si>
    <t xml:space="preserve">Ally Bridge Group Capital
Partners is a financial
sponsor. The Company was
founded in 2011 and is
located in Hong Kong.
Lifetech Scientific Inc,
located in Shenzhen, China
manufactures and wholesales
medical devices. The Company
is a developer, manufacturer
and marketer of advanced
minimally invasive
interventional medical
devices for cardiovascular
and peripheral vascular
diseases and disorders. It
is also a holding company.
It was founded in 1999.
Quantum Surgical SASU is a
software publisher and
surgical roboticsd
developer. The Company is
located in Montpellier,
France.</t>
  </si>
  <si>
    <t xml:space="preserve">6799
3841
7372</t>
  </si>
  <si>
    <t xml:space="preserve">Hong Kong
China
France</t>
  </si>
  <si>
    <t xml:space="preserve">ALLY BRIDGE GROUP CAPITAL PARTNERS/LIFETECH SCIENTIFIC CORP/QUANTUM
SURGICAL SASU-JOINT VENTURE</t>
  </si>
  <si>
    <t xml:space="preserve">Ally Bridge Group Capital Partners, Lifetech Scientific Corp and Quantum
Surgical SASU planned to form joint venture to focus on the R&amp;D and
commercialization of Quantum Surgical's integrated surgical robot platform
in China for interventional oncology with the first target indication being
liver cancer.</t>
  </si>
  <si>
    <t xml:space="preserve">7C5990
G54872
5H1920</t>
  </si>
  <si>
    <t xml:space="preserve">Editas Medicine Inc
Bluerock Therapeutics LP</t>
  </si>
  <si>
    <t xml:space="preserve">Editas Medicine Inc, located
in Cambridge, Massachusetts,
is a provider of
biotechnology research and
development services. The
Company was founded in
September 3, 2013.
Bluerock Therapeutics LP,
located in Cambridge,
Massachusetts, is a provider
of biotechnology research
and development services. It
develops cell-based
therapies designed to alter
the course of degenerative
disease. The Company
provides cell therapies that
replace dead, damaged or
dysfunctional cells to
restore critical natural
functions in the body. Its
therapeutic programs include
Parkinsons disease and
Cardiac diseases. Through
its Parkinsons program, it
is developing dopaminergic
neurons that replace the
dopamine-secreting cells
that have been lost in
Parkinsons patients. Its
Cardiac program seeks to
replace heart muscle in
patients who have lost
muscle cells after a heart
attack (myocardial
infarction) or are suffering
from chronic heart failure;
both are causes of morbidity
and mortality. The Company
was founded in July 2016.</t>
  </si>
  <si>
    <t xml:space="preserve">EDITAS MEDICINE INC/BLUEROCK THERAPEUTICS LP-STRATEGIC ALLIANCE</t>
  </si>
  <si>
    <t xml:space="preserve">Editas Medicine Inc and Bluerock Therapeutics LP formed a strategic
alliance was to research collaboration and cross-licensing agreement to
combine their respective genome editing and cell therapy technologies to
discover, develop, and manufacture novel engineered cell medicines.</t>
  </si>
  <si>
    <t xml:space="preserve">28106W
2J2920</t>
  </si>
  <si>
    <t xml:space="preserve">Novatek PAO
Gazprom Neft</t>
  </si>
  <si>
    <t xml:space="preserve">Crude Petroleum and Natural Gas Extraction
Drilling Oil and Gas Wells</t>
  </si>
  <si>
    <t xml:space="preserve">NOVATEK PAO is engaged in
the natural gas liquid
services business. The
Company was founded in 1994
and is located in
Tarko-Sale, the Russian
Federation. The Company is
engaged in the exploration,
production, processing and
marketing of natural gas and
liquid hydrocarbons. It has
47 licenses on exploration
and production in
Yamal-Nenets Autonomous
Region with 15.1 bln boe of
total SEC proved reserves.
Gazprom Neft PJSC, located in
Saint Petersburg, Russian
Federation, is an oil and gas
exploration and production
company. The Company has
another office in Moscow,
Russian Federation. The
Company's main areas include
oil and natural gas
production, oil and gas field
facility services, oil
refining and marketing of
petroleum products. The
Company was founded in 1995.</t>
  </si>
  <si>
    <t xml:space="preserve">2819
1381</t>
  </si>
  <si>
    <t xml:space="preserve">Novatek PAO
Gazprom</t>
  </si>
  <si>
    <t xml:space="preserve">NOVATEK PAO/GAZPROM NEFT PJSC-JOINT VENTURE</t>
  </si>
  <si>
    <t xml:space="preserve">NOVATEK PAO and Gazprom Neft PJSC were rumored to be planning to form joint
venture. The purpose of joint venture is to explore and further develop oil
and gas deposits in the Kara Sea along the Yamal coastline, Kommersant
reports, citing sources.</t>
  </si>
  <si>
    <t xml:space="preserve">X5880H
36829G</t>
  </si>
  <si>
    <t xml:space="preserve">Manila Electric Co
Marubeni Corp
The Kansai Electric Power Co
CHUBU Electric Power Co Inc
Bases Conversion Dvlp Auth</t>
  </si>
  <si>
    <t xml:space="preserve">Electric utility company
General trading company
Fossil Fuel Electric Power Generation
Electric utility company
Government agency</t>
  </si>
  <si>
    <t xml:space="preserve">Manila Electric Co is an
electric utility company. It
covers twenty-five cities
and eighty-six
municipalities in Metro
Manila and in six provinces
surrounding Metro Manila. It
is also involved in
industrial construction and
engineering, business
process reengineering, power
generation, information
technology consultancy,
e-business, energy-related
solutions, real estate
development, and energy
management. The Company was
founded in March 1903 and is
located in Pasig, the
Philippines.
Marubeni Corp, located in
Chuo-Ku Tokyo, Japan, is a
general trading company. It
is mainly engaged in the
import, export and
transaction of various
products through domestic
and overseas networks. It
has six business segments.
The Food segment is engaged
in the manufacture and sale
of food related products.
The Living Industry segment
is engaged in the lifestyle
related products business,
the information business,
the logistics business, the
insurance business, as well
as the financial and real
estate investment business.
The Materials segment is
engaged in the chemical
business, the agricultural
material business and the
paper pulp business. The
Energy and Metal segment is
engaged in the energy and
metal business. The Power
and Plant segment is engaged
in the development,
investment and operation of
electric power and energy
related infrastructure
business. The Transportation
Equipment segment is engaged
in the import, export and
sale of various equipment.
It is also engaged in the
finance business. It is also
a holding company. The
Company was founded in May
1858.
The Kansai Electric Power Co
Inc, located in Osaka-Shi
Osaka, Japan, is an electric
power supplier. The
Electricity segment is
involved in the generation
and distribution of electric
power. The Information
Communication provision of
integrated information
communication services, the
leasing of telecommunication
equipment, the planning,
design, building,
maintenance, operation and
management of information
systems, the development of
real estate, the provision
of energy solution and life
amenities, as well as cable
television (CATV) business,
among other services. The
Company was founded in 1951.
CHUBU Electric Power Co Inc,
located in Aichi, Japan, is
an electric utility company.
The Company operates in four
business segments. The
electricity segment is
engaged in the provision of
electricity to Aichi, Gifu,
Mie, Shizuoka and Nagano
areas. The energy segment is
gas and integrated energy
including cogeneration
system, and the acceptance,
storage, gasification and
delivery of liquefied
natural gas (LNG). The
construction segment is
engaged in the construction,
inspection, and repair of
electrical facilities. The
others segment is engaged in
the provision of information
processing services,
software business, the real
estate leasing and
management, as well as the
international business
consulting services. The
Company was founded on May
1951.
Government agency for property
development</t>
  </si>
  <si>
    <t xml:space="preserve">4911
5141
4911
4911
999B</t>
  </si>
  <si>
    <t xml:space="preserve">Philippines
Japan
Japan
Japan
Philippines</t>
  </si>
  <si>
    <t xml:space="preserve">Manila Electric Co
Marubeni Corp
The Kansai Electric Power Co
CHUBU Electric Power Co Inc
Philippines</t>
  </si>
  <si>
    <t xml:space="preserve">4911
5141
4911
4911
999A</t>
  </si>
  <si>
    <t xml:space="preserve">MANILA ELECTRIC/MARUBENI/THE KANSAI ELEC POWER CO/CHUBU ELECTRIC POWER
CO/BASES CONVERSION DVLP-JOINT VENTURE</t>
  </si>
  <si>
    <t xml:space="preserve">Manila Electric Co, Marubeni Corp, The Kansai Electric Power Co Inc, Chubu
Electric Power Co Inc and Bases Conversion Development Authority formed
joint venture. The purpose of joint venture is to extend the smart grid
facilities pursuant to the expansion of the NCC and will contribute to its
sustainable development.</t>
  </si>
  <si>
    <t xml:space="preserve">563245
573810
484602
171263
06981E</t>
  </si>
  <si>
    <t xml:space="preserve">Roivant Sciences Ltd
Sinovant Sciences Ltd
Medigene AG</t>
  </si>
  <si>
    <t xml:space="preserve">Research and Development in Biotechnology
Pharmaceutical Preparation Manufacturing
Biotechnology company</t>
  </si>
  <si>
    <t xml:space="preserve">Roivant Sciences Ltd is a
provider of biotechnology
research and development
services. Roivant improves
health by rapidly delivering
medicines and technologies to
patients. Roivant does this by
building Vants entrepreneurial
biotech and healthcare
companies with a aligning
incentives, and deploying
technology to drive greater
efficiency in R&amp;D and
commercialization. Roivant
today is comprised of a
central technology-enabled
platform and 20 Vants with
over 45 investigational
medicines in clinical and
preclinical development and
multiple healthcare
technologies. It also acts as
a holding company. The Company
was founded in April 2014 and
is located in Basel,
Switzerland.
Sinovant Sciences Ltd is a
manufacturer of
pharmaceutical preparation.
The Company is located in
China.
Medigene AG, located in
Martinsried, Germany, is a
biotechnology company. The
Company is focused on the
development of therapeutics
for cancer and autoimmune
diseases. Its brands include
Eligard, Veregen, Endo TAG,
Rhudex, HSV and mTCR, among
others. The Company was
founded in 1994.</t>
  </si>
  <si>
    <t xml:space="preserve">Switzerland
China
Germany</t>
  </si>
  <si>
    <t xml:space="preserve">Roivant Sciences Ltd
Roivant Sciences Gmbh
Medigene AG</t>
  </si>
  <si>
    <t xml:space="preserve">Switzerland
Switzerland
Germany</t>
  </si>
  <si>
    <t xml:space="preserve">ROIVANT SCIENCES LTD/SINOVANT SCIENCES LTD/MEDIGENE AG-STRATEGIC ALLIANCE</t>
  </si>
  <si>
    <t xml:space="preserve">Roivant Sciences Ltd, Sinovant Sciences Ltd and Medigene AG formed a
strategic alliance. The purpose of strategic alliance is to focus on
development programs that have the potential to transform the treatment of
diseases that are prevalent in Asian patients.</t>
  </si>
  <si>
    <t xml:space="preserve">2J4396
8H8264
58558N</t>
  </si>
  <si>
    <t xml:space="preserve">Bioxytran Inc
Mdx Lifesciences Inc</t>
  </si>
  <si>
    <t xml:space="preserve">Manufactures biological products
Biological Product (Except Diagnostic) Manufacturing</t>
  </si>
  <si>
    <t xml:space="preserve">Bioxytran Inc, located in
Newton, Massachusetts,
manufactures biological
products.
Mdx Lifesciences Inc is a
manufacturer of biological
products. The Company is
located in Newton,
Massachusetts.</t>
  </si>
  <si>
    <t xml:space="preserve">US Rare Earth Minerals Inc
Mdx Lifesciences Inc</t>
  </si>
  <si>
    <t xml:space="preserve">5191
2836</t>
  </si>
  <si>
    <t xml:space="preserve">BIOXYTRAN INC/MDX LIFESCIENCES INC-STRATEGIC ALLIANCE</t>
  </si>
  <si>
    <t xml:space="preserve">Bioxytran Inc and Mdx Lifesciences Inc formed a strategic alliance was to
continue commercial development of MDX technology and develop new protocols
that measure the tissue metabolic state of the brain.</t>
  </si>
  <si>
    <t xml:space="preserve">7H1122
2J6747</t>
  </si>
  <si>
    <t xml:space="preserve">Oncolys BioPharma Inc
Chugai Pharmaceutical Co Ltd</t>
  </si>
  <si>
    <t xml:space="preserve">Oncolys BioPharma Inc, located
in Tokyo, Japan, a provider of
biotechnology pharmaceutical
development and manufacturing.
Pharmaceutical business
segment is engaged in the
research, development,
manufacture and marketing of
pharmaceuticals. Diagnostic
reagents business segment is
engaged in the research,
development, manufacture and
marketing of diagnostic
reagents and equipment, as
well as the provision of
inspection service. The
Company was founded in 2004.
Chugai Pharmaceutical Co
Ltd, headquartered in Tokyo,
Japan, manufactures and
wholesales pharmaceutical
products. The Company
operates in two business
segments. The Domestic sale
of pharmaceutical products
manufactured by the Company
through its nationwide
appointed stores. This
segment is also involved in
the research, development,
transportation and storage
of pharmaceutical products,
as well as the provision of
literature research services
for pharmaceutical
information. The Overseas
segment is engaged in the
sale of its pharmaceutical
products in oversea markets,
such as Germany, the United
Kingdom, France, Taiwan,
China Mainland, Korea and
the United States. This
segment is also involved in
the provision of
pharmaceutical academic
information, as well as the
research, development and
registration of
pharmaceutical products. The
Company was founded in 1925.</t>
  </si>
  <si>
    <t xml:space="preserve">Oncolys BioPharma Inc
Roche Holdings AG</t>
  </si>
  <si>
    <t xml:space="preserve">ONCOLYS BIOPHARMA INC/CHUGAI PHARMACEUTICAL CO LTD-STRATEGIC ALLIANCE</t>
  </si>
  <si>
    <t xml:space="preserve">Oncolys BioPharma Inc and Chugai Pharmaceutical Co Ltd formed a strategic
alliance to grant an exclusive license, concerning the development,
manufacturing and marketing in Japan and Taiwan for Telomelysin (OBP-301).</t>
  </si>
  <si>
    <t xml:space="preserve">68177X
171268</t>
  </si>
  <si>
    <t xml:space="preserve">Astellas Pharma Inc
Uc Drug Discovery</t>
  </si>
  <si>
    <t xml:space="preserve">Manufactures and wholesales pharmaceutical
Research and Development in The Physical, Engineering and Lifesciences (Except Biotechnology)</t>
  </si>
  <si>
    <t xml:space="preserve">Astellas Pharma Inc, located
in Chuo-Ku, Tokyo,
manufactures and wholesales
pharmaceutical. It is
involved in the manufacture
and sale of pharmaceutical
products in Japan, the
United States, Europe,
China, Korea, Taiwan and
other markets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osteoporosis, hypertension,
schizophrenia, rheumatoid
arthritis, atopic dermatitis
and other diseases. The
Company was founded in 1923.
Uc Drug Discovery is a
provider of research and
development services. The
Company is located in
California.</t>
  </si>
  <si>
    <t xml:space="preserve">ASTELLAS PHARMA INC/UC DRUG DISCOVERY-STRATEGIC ALLIANCE</t>
  </si>
  <si>
    <t xml:space="preserve">Astellas Pharma Inc and Uc Drug Discovery formed a strategic alliance. The
purpose of strategic alliance were to Drug Discovery Consortium opens up a
new opportunity for us to access various drug discovery innovations that UC
researchers create.</t>
  </si>
  <si>
    <t xml:space="preserve">J03393
2J6687</t>
  </si>
  <si>
    <t xml:space="preserve">Bountyjobs Inc
Recruiting Innovation Inc</t>
  </si>
  <si>
    <t xml:space="preserve">Human Resources and Executive Search Consulting Services
Executive Search Services</t>
  </si>
  <si>
    <t xml:space="preserve">Bountyjobs Inc is a provider
of human resources and
executive search consulting
services. The Company is
located in New York City,
New York.
Recruiting Innovation is an
online training platform for
todays busy tech recruiter.</t>
  </si>
  <si>
    <t xml:space="preserve">7361
7361</t>
  </si>
  <si>
    <t xml:space="preserve">NY
CO</t>
  </si>
  <si>
    <t xml:space="preserve">BOUNTYJOBS INC/RECRUITING INNOVATION INC-STRATEGIC ALLIANCE</t>
  </si>
  <si>
    <t xml:space="preserve">Bountyjobs Inc and Recruiting Innovation Inc planned to form a strategic
alliance was to help support the key constituents of the 2-sided BountyJobs
Marketplace; employers and recruiting agencies. The BountyJobs solution can
be integrated within any ATS and values the relationships and expertise
that partner agencies bring to the table</t>
  </si>
  <si>
    <t xml:space="preserve">4F4401
2J6555</t>
  </si>
  <si>
    <t xml:space="preserve">National Museums NI
Queen's University
Garfield Won Tr For The New</t>
  </si>
  <si>
    <t xml:space="preserve">Museums
University
Colleges, Universities, and Professional Schools</t>
  </si>
  <si>
    <t xml:space="preserve">National Museums Ni is a
museum operator. The Company
is located in the United
Kingdom.
Queen''s University is a
college operator. The
Company is located in
Kingston, Canada.
Garfield Weston Trust For
The New University Of Ulster
is a college operator. The
Company was founded in 1970
and is located in Na02, the
United Kingdom.</t>
  </si>
  <si>
    <t xml:space="preserve">8412
8221
8221</t>
  </si>
  <si>
    <t xml:space="preserve">United Kingdom
Canada
Ireland-Rep</t>
  </si>
  <si>
    <t xml:space="preserve">NATIONAL MUSEUMS NI/QUEEN'S UNIVERSITY/GARFIELD WESTON TRUST FOR THE NEW
UNIVERSITY OF ULSTER-STRATEGIC ALLIANCE</t>
  </si>
  <si>
    <t xml:space="preserve">National Museums NI, Queen's University and Garfield Weston Trust For The
New University Of Ulster planned to form a strategic alliance. The purpose
of strategic alliance were to enhance cross-institutional collaboration in
a bid to advance cultural research, maximise public engagement and share
expertise.</t>
  </si>
  <si>
    <t xml:space="preserve">2J6942
74824P
2J6946</t>
  </si>
  <si>
    <t xml:space="preserve">Neumodx Molecular Inc
Xcr Diagnostics Inc</t>
  </si>
  <si>
    <t xml:space="preserve">Navigational, Measuring, Electromedical, and Control Instruments Manufacturing
In-Vitro Diagnostic Substance Manufacturing</t>
  </si>
  <si>
    <t xml:space="preserve">Neumodx Molecular Inc,
located in Ann Arbor,
Michigan, manufactures
molecular diagnostic
devices.
Xcr Diagnostics Inc is a
manufacturer of in-vitro
diagnostic substances. The
Company was founded in April
2015 and is located in Salt
Lake City, Utah.</t>
  </si>
  <si>
    <t xml:space="preserve">3842
2835</t>
  </si>
  <si>
    <t xml:space="preserve">NEUMODX MOLECULAR INC/XCR DIAGNOSTICS INC-STRATEGIC ALLIANCE</t>
  </si>
  <si>
    <t xml:space="preserve">NeuMoDx Molecular Inc and Xcr Diagnostics Inc formed a strategic alliance
was to develop and implement three XCR assays onto the NeuMoDx 96 and 288
Molecular Systems.</t>
  </si>
  <si>
    <t xml:space="preserve">7H2839
2J8303</t>
  </si>
  <si>
    <t xml:space="preserve">Kaken Pharmaceutical Co Ltd
HitGen Inc</t>
  </si>
  <si>
    <t xml:space="preserve">Mnfr,whl pharmaceuticals
Biological Product (Except Diagnostic) Manufacturing</t>
  </si>
  <si>
    <t xml:space="preserve">Kaken Pharmaceutical Co Ltd,
headquartered in Tokyo, Japan,
manufactures and wholesales
medical, animal health
products and agricultural
chemicals. The Group
manufactures metabolic agents,
nervous system agents,
antibiotics, digestive agents,
farm and industrial chemicals.
It is also engaged in the
leasing of real estate. The
operations are carried out
through the following
divisions: Pharmaceuticals and
Real estate. It was founded in
1948.
HitGen Inc is a manufacturer
of biological products. The
Company was founded in
February 2012 and is located
in Chengdu, China.</t>
  </si>
  <si>
    <t xml:space="preserve">KAKEN PHARMACEUTICAL CO LTD/HITGEN LTD-STRATEGIC ALLIANCE</t>
  </si>
  <si>
    <t xml:space="preserve">Kaken Pharmaceutical Co Ltd and Hitgen Ltd formed a strategic alliance in
Japan to develop a novel class of drugs. Under the terms of collaborative
agreement, HitGen will grant exclusive rights to Kaken for further
development and commercialization.</t>
  </si>
  <si>
    <t xml:space="preserve">8A7188
4F5139</t>
  </si>
  <si>
    <t xml:space="preserve">Melfas Inc
MagnaChip Semiconductor Corp</t>
  </si>
  <si>
    <t xml:space="preserve">Mnfr touch sensor panel
Mnfr semiconductors</t>
  </si>
  <si>
    <t xml:space="preserve">Melfas Inc, headquartered in
Seoul, South Korea, is a
company mainly engaged in
manufacturing of touch
screen chips and modules.
The Company provides three
categories of products:
touch screen panels (TSPs),
touch key modules and touch
sensor chips, which are used
in cell phones, smart
phones, computers,
navigation devices and
portable media players. The
Company was founded in 2000.
MagnaChip Semiconductor Corp
is a manufacturer of analog
and mixed-signal semiconductor
products for high volume
consumer applications.. The
company is located in
Cheongju, South Korea.</t>
  </si>
  <si>
    <t xml:space="preserve">MELFAS INC/MAGNACHIP SEMICONDUCTOR CORP-STRATEGIC ALLIANCE</t>
  </si>
  <si>
    <t xml:space="preserve">Melfas Inc and MagnaChip Semiconductor Corp planned to form a strategic
alliance in South Korea was to develop advanced OLED display capabilities
for the automotive and consumer electronics sectors.</t>
  </si>
  <si>
    <t xml:space="preserve">55684J
55933J</t>
  </si>
  <si>
    <t xml:space="preserve">Ophthotech Corp
University of Florida Research
University of Pennsylvania</t>
  </si>
  <si>
    <t xml:space="preserve">Biopharmaceutical company
Pvd research svcs
Own,operate university</t>
  </si>
  <si>
    <t xml:space="preserve">Ophthotech Corp, located in
New York, New York, is a
biopharmaceutical company. It
specializes in the development
of novel therapeutics to treat
diseases of the eye. Its most
advanced project is the
Fovista, which is being
developed in combination with
anti-VEGF drugs that represent
the current standard of care
for the treatment of wet
age-related macular
degeneration, or wet AMD.
Provide research services for
the prevention and treatment
of age-related diseases
Own and operate university</t>
  </si>
  <si>
    <t xml:space="preserve">NY
FL
PA</t>
  </si>
  <si>
    <t xml:space="preserve">OPHTHOTECH CORP/UNIVERSITY OF FLORIDA RESEARCH/UNIVERSITY OF
PENNSYLVANIA-STRATEGIC ALLIANCE</t>
  </si>
  <si>
    <t xml:space="preserve">Ophthotech Corp, University of Florida Research Foundation Inc and
University of Pennsylvania formed a strategic alliance. The purpose of
strategic alliance was to AAV Gene Therapy Program for BEST1 Related
Retinal Diseases.</t>
  </si>
  <si>
    <t xml:space="preserve">683745
91474A
91476C</t>
  </si>
  <si>
    <t xml:space="preserve">Koninklijke Philips NV
Hong Duc Hosp</t>
  </si>
  <si>
    <t xml:space="preserve">Audio and Video Equipment Manufacturing
General Medical and Surgical Hospitals</t>
  </si>
  <si>
    <t xml:space="preserve">Koninklijke Philips NV,
located in Amsterdam, the
Netherlands, manufactures and
wholesales consumer electronic
products including diagnostic
imaging, image-guided therapy,
patient monitoring, and health
informatics. It also offers
entertainment products and
house appliances; lighting
products, and automotive
accessories. Likewise, it is
engaged in the production of
telecommunication equipment
and other electronic products.
It serves as holding and
parent company of the Philips
Group. The Company was founded
in May 1891.
Hong Duc Hospital is a
hospital operator. The
Company is located in
Vietnam.</t>
  </si>
  <si>
    <t xml:space="preserve">Netherlands
Vietnam</t>
  </si>
  <si>
    <t xml:space="preserve">KONINKLIJKE PHILIPS NV/HONG DUC HOSPITAL-STRATEGIC ALLIANCE</t>
  </si>
  <si>
    <t xml:space="preserve">Koninklijke Philips NV and Hong Duc Hospital formed a strategic alliance in
Vietnam covering a comprehensive turnkey solution for high quality general
healthcare services. Philips will provide the newly-built Hong Duc General
Hospital II with the latest medical imaging, patient monitoring and
healthcare IT solutions.</t>
  </si>
  <si>
    <t xml:space="preserve">N7637U
2J9019</t>
  </si>
  <si>
    <t xml:space="preserve">Genetic Technologies Ltd
TGen</t>
  </si>
  <si>
    <t xml:space="preserve">Biotechnology company
Pvd genomics research svcs</t>
  </si>
  <si>
    <t xml:space="preserve">Genetic Technologies Ltd,
located in Fitzroy,
Australia,is a molecular
diagnostics company. The
Company is engaged in the
provision of molecular risk
assessment for cancer. The
Company offers predictive
testing and assessment tools
for physicians to manage
women's health. The
Company's lead product,
BREVAGenplus, is a
clinically validated risk
assessment test for
non-hereditary breast
cancer. The Company markets
BREVAGenplus to healthcare
professionals in breast
healthcare and imaging
centers, as well as to
obstetricians/gynecologists
(OBGYNs) and breast cancer
risk assessment specialists,
such as breast surgeons. The
Company operates in
Australia, the United States
and Switzerland. The
Company's subsidiaries
include Genetic Technologies
Corporation Pty. Ltd. and
Genetic Technologies
Corporation Pty. Ltd. is
engaged in genetic testing.
The Company has launched the
BREVAGen test across the
United States through
Phenogen Sciences Inc. The
company was founded in 1987.
Translational Genomics
Research Institute, located
in Phoenix, Arizona,
provides genomics research
services developing earlier
diagnostics and smarter
treatments. The company was
founded in 2002.</t>
  </si>
  <si>
    <t xml:space="preserve">GENETIC TECHNOLOGIES LTD/TRANSLATIONAL GENOMICS RESEARCH
INSTITUTE-STRATEGIC ALLIANCE</t>
  </si>
  <si>
    <t xml:space="preserve">Genetic Technologies Ltd and Translational Genomics Research Institute
formed a strategic alliance to cooperate in the development of a
commercialization strategy and infrastructure development for a suite of
polygenic risk tests to be made available in the US market.</t>
  </si>
  <si>
    <t xml:space="preserve">37185R
88996X</t>
  </si>
  <si>
    <t xml:space="preserve">Summit Agro Usa LLC
Stk Bio-Ag Technologies</t>
  </si>
  <si>
    <t xml:space="preserve">All Other Miscellaneous Chemical Product and Preparation Manufacturing
Research and Development in Biotechnology</t>
  </si>
  <si>
    <t xml:space="preserve">Summit Agro USA, LLC is
located in US
STK empowers growers around
the globe with
botanical-based solutions
that meet the challenges of
plant protection and
sustainable agriculture in
the 21st century</t>
  </si>
  <si>
    <t xml:space="preserve">SUMMIT AGRO USA LLC/STK BIO-AG TECHNOLOGIES-STRATEGIC ALLIANCE</t>
  </si>
  <si>
    <t xml:space="preserve">Summit Agro Usa LLC and Stk Bio-Ag Technologies planned to form a strategic
alliance was to Innovative Hybrids in the USA and exclusive distributor of
STK products in the United States.</t>
  </si>
  <si>
    <t xml:space="preserve">2J7827
2J7828</t>
  </si>
  <si>
    <t xml:space="preserve">Fibrocell Science Inc
Castle Creek Pharms Llc</t>
  </si>
  <si>
    <t xml:space="preserve">Fibrocell Science Inc,
located in Exton,
Pennsylvania, manufactures
and wholesales
pharmaceuticals. is an
aesthetic and therapeutic
development stage company
focused on developing novel
skin and tissue rejuvenation
products. Agera Laboratories
Inc is the company's
subsidiary that develops and
markets a skin care product
line primarily in the United
States and Europe. It was
founded on 1995.
Castle Creek Pharmaceuticals
LLC, located in Parsippany,
New Jersey, manufactures of
pharmaceutical preparation.</t>
  </si>
  <si>
    <t xml:space="preserve">Fibrocell Science Inc
Castle Creek Pharm Hldg Inc</t>
  </si>
  <si>
    <t xml:space="preserve">FIBROCELL SCIENCE INC/CASTLE CREEK PHARMACEUTICALS LLC-STRATEGIC ALLIANCE</t>
  </si>
  <si>
    <t xml:space="preserve">Fibrocell Science Inc and Castle Creek Pharmaceuticals LLC formed a
strategic alliance to develop and commercialize Fibrocell's lead gene
therapy candidate, FCX-007.</t>
  </si>
  <si>
    <t xml:space="preserve">315721
7H6765</t>
  </si>
  <si>
    <t xml:space="preserve">Blueberries Medical Corp
IRCCMH</t>
  </si>
  <si>
    <t xml:space="preserve">Blueberries Medical Corp,
located in Toronto, Ontario,
manufactures medicinals and
botanicals. The Company was
founded in May 2013.
International Research
Center On Cannabis &amp; Mental
Health is a provider of
biotechnology research and
development services. The
Company is located in New
York City, New York.</t>
  </si>
  <si>
    <t xml:space="preserve">BLUEBERRIES MEDICAL CORP/INTERNATIONAL RESEARCH CENTER ON CANNABIS &amp; MENTAL
HEALTH-JOINT VENTURE</t>
  </si>
  <si>
    <t xml:space="preserve">Blueberries Medical Corp and International Research Center On Cannabis
Mental Health planned to form a joint venture for the development of
medical education programs for physicians and patients in Latin America and
product formulation.</t>
  </si>
  <si>
    <t xml:space="preserve">1J1317
2J7589</t>
  </si>
  <si>
    <t xml:space="preserve">Zhejiang United Invest Hldg
Undisclosed JV Partner</t>
  </si>
  <si>
    <t xml:space="preserve">Miscellaneous Financial Investment Activities
Investment company</t>
  </si>
  <si>
    <t xml:space="preserve">Zhejiang United Investment
Holdings Group Ltd, located
in Hong Kong, is a provider
of financial investment
services. The Company was
founded in May 2015.
Investment company</t>
  </si>
  <si>
    <t xml:space="preserve">Century Invest Hldg Ltd
Undisclosed JV Partner</t>
  </si>
  <si>
    <t xml:space="preserve">ZHEJIANG UNITED INVESTMENT HOLDINGS GROUP LTD/UNDISCLOSED PARTNER-JOINT
VENTURE</t>
  </si>
  <si>
    <t xml:space="preserve">Zhejiang United Investment Holdings Group Ltd and Undisclosed Joint Venture
Partner planned to form a joint venture is for the construction of 5G
network base stations and equipment plants; the research &amp; development and
design of 5G equipment.</t>
  </si>
  <si>
    <t xml:space="preserve">Telecommunications Services
Research &amp; Development Services
Electric Utility Services</t>
  </si>
  <si>
    <t xml:space="preserve">The purpose of Joint Venture was to Capitalized with HK$ 20 million(USD
2.5501).</t>
  </si>
  <si>
    <t xml:space="preserve">1H6525
904JVP</t>
  </si>
  <si>
    <t xml:space="preserve">SpeeDx Pty Ltd
Cepheid Inc</t>
  </si>
  <si>
    <t xml:space="preserve">Biotechnology company
Mnfr bio testing equip</t>
  </si>
  <si>
    <t xml:space="preserve">SpeeDx Pty Ltd is a provider
of innovative multiplex qPCR
and isothermal amplification
solutions for Clinical
Diagnostics. Our portfolio
of market leading detection
and priming technologies
enable new healthcare
paradigms that lead to
improved delivery and
reduced costs. The Company
was founded in 2009 and is
located in Sydney,
Australia.
Cepheid Inc, located in
Sunnyvale, California,
manufactures and markets micro
fluidic systems that
integrate, automate, and
accelerate biological testing
as well as fully-integrated
systems that perform genetic
analysis, including DNA and
RNA analysis. The Company was
founded in 1996.</t>
  </si>
  <si>
    <t xml:space="preserve">SpeeDx Pty Ltd
Danaher Corp</t>
  </si>
  <si>
    <t xml:space="preserve">SPEEDX PTY LTD/CEPHEID INC-STRATEGIC ALLIANCE</t>
  </si>
  <si>
    <t xml:space="preserve">SpeeDx Pty Ltd and Cepheid Inc planned to form a strategic alliance around
the world to manufacture their market-leading ResistancePlus tests for use
on the GeneXpert System. The first test in Cepheids FleXible Cartridge
programme is ResistancePlus MG, detecting the sexually transmitted
infection (STI) Mycoplasma genitalium (Mgen) and markers associated with
azithromycin resistance.</t>
  </si>
  <si>
    <t xml:space="preserve">7F3696
15670R</t>
  </si>
  <si>
    <t xml:space="preserve">WuXi Biologics Holdings Ltd
I-Mab Biopharma (Shanghai) Co</t>
  </si>
  <si>
    <t xml:space="preserve">Investment holding company
Biological Product (Except Diagnostic) Manufacturing</t>
  </si>
  <si>
    <t xml:space="preserve">WuXi Biologics Holdings Ltd is
a provider of financial
investment services. The
Company is located in China.
I-Mab Biopharma is a
manufacturer of biological
products. The Company is
located in China. District,
China.</t>
  </si>
  <si>
    <t xml:space="preserve">New Wuxi Life Science Hldg Ltd
I-Mab Biopharma (Shanghai) Co</t>
  </si>
  <si>
    <t xml:space="preserve">WUXI BIOLOGICS HOLDINGS LTD/I-MAB BIOPHARMA (SHANGHAI) CO LTD-STRATEGIC
ALLIANCE</t>
  </si>
  <si>
    <t xml:space="preserve">WuXi Biologics Holdings Ltd and I-Mab Biopharma (Shanghai) Co Ltd formed a
strategic alliance in China for biologics process development, clinical and
commercial manufacturing of I-Mab's highly innovative pipeline.</t>
  </si>
  <si>
    <t xml:space="preserve">Research &amp; Development Services
Health &amp; Medical Services
Manufacturing Services
Marketing Services</t>
  </si>
  <si>
    <t xml:space="preserve">5F1183
5H3410</t>
  </si>
  <si>
    <t xml:space="preserve">Biosense Global LLC
Rexahn Pharmaceuticals Inc</t>
  </si>
  <si>
    <t xml:space="preserve">General Medical and Surgical Hospitals
Mnfr diagnostic pharmaceutical</t>
  </si>
  <si>
    <t xml:space="preserve">Biosense Global LLC is a
hospital operator. The
Company was founded in
January 2016 and is located
in East Rutherford, New
Jersey.
Rexahn Pharmaceuticals Inc,
located in Rockville,
Maryland, is a manufacturer
of pharmaceutical
preparation. The Company was
founded in 2001.</t>
  </si>
  <si>
    <t xml:space="preserve">8062
2834</t>
  </si>
  <si>
    <t xml:space="preserve">BIOSENSE GLOBAL LLC/REXAHN PHARMACEUTICALS INC-STRATEGIC ALLIANCE</t>
  </si>
  <si>
    <t xml:space="preserve">Biosense Global LLC and Rexahn Pharmaceuticals Inc formed a strategic
alliance was to advance the development and commercialization of RX-3117
for pancreatic cancer and other cancers in Greater China.</t>
  </si>
  <si>
    <t xml:space="preserve">0J4426
761640</t>
  </si>
  <si>
    <t xml:space="preserve">BC Platforms AG
Qatar Biobank</t>
  </si>
  <si>
    <t xml:space="preserve">Software Publishers
Research and Development in The Physical, Engineering and Lifesciences (Except Biotechnology)</t>
  </si>
  <si>
    <t xml:space="preserve">BC Platforms AG is a
software publisher. It is
engaged in provision of
genomic data managemenent
and analysis solutions. The
Companys product portfolio
comprises, among others,
BCPGX, a pharmacogenomic
interpretation service
provision service, BCCORE, a
patient code registry tool
for data organization and
BCDATA, a genomic data
warehouse. The Company was
founded in 1977 and is
located in Basel,
Switzerland.
Qatar Biobank is a provider
of research and development
services. The Company was
founded in 2010 and is
located in Al-Dawhah, Qatar.</t>
  </si>
  <si>
    <t xml:space="preserve">Switzerland
Qatar</t>
  </si>
  <si>
    <t xml:space="preserve">BC PLATFORMS AG/QATAR BIOBANK-STRATEGIC ALLIANCE</t>
  </si>
  <si>
    <t xml:space="preserve">BC Platforms AG and Qatar Biobank formed a strategic alliance around the
world to provide a Research Collaboration Management System (RCMS) and
Researchers' Portal for Qatar Biobank to support the integration of genomic
and phenotypic samples, enable secure and streamlined data access, and
optimize resource quality and utilization.</t>
  </si>
  <si>
    <t xml:space="preserve">Research &amp; Development Services
Health &amp; Medical Services
Data Processing Services</t>
  </si>
  <si>
    <t xml:space="preserve">5F5653
2J8637</t>
  </si>
  <si>
    <t xml:space="preserve">Cisco Systems Inc
Dimension Data Holdings PLC</t>
  </si>
  <si>
    <t xml:space="preserve">Manufactures and wholesales networking and communications products
Provide computer integrated services</t>
  </si>
  <si>
    <t xml:space="preserve">Cisco Systems Inc, located
in San Jose, California,
manufactures and wholesales
networking and
communications products. It
offers services related to
this equipment and its use,
offering a wide range of
products for transporting
data, voice and video within
buildings, across the
campuses and around the
world. It also develops
communication software. Its
products include modems,
Routing technology,
switching technology, IP
phone and communication
devices, and network
management software. It also
operates in the United
States, Canada, European
Markets, Eastern Europe,
Latin America, the Middle
East and Africa, Russia,
Asia Pacific and Japan. The
Company was founded in 1984.
Dimension Data Holdings PLC,
located in Johannesburg, South
Africa, provides computer
integrated systems and
information technology
solutions and services. It
aids clients to plan, build
and support IT infrastructures
including networking,
security, operating
environments, storage and
contact centre technologies,
consulting, integration and
managed services to create
customized solutions. Its
clients include Lend Lease,
Adidas, Boston Public Library,
Capital One, Credit Union and
Morgan &amp; Finnegan. It has
operations in Middle East,
Africa, Asia Pacific,
Australia, Europe and the
Americas. The Company was
founded in 1983.</t>
  </si>
  <si>
    <t xml:space="preserve">Cisco Systems Inc
Nippon Telegraph &amp; Telephone</t>
  </si>
  <si>
    <t xml:space="preserve">3577
4813</t>
  </si>
  <si>
    <t xml:space="preserve">CISCO SYSTEMS INC/DIMENSION DATA HOLDINGS PLC-STRATEGIC ALLIANCE</t>
  </si>
  <si>
    <t xml:space="preserve">Cisco Systems Inc and Dimension Data Holdings PLC planned to form a
strategic alliance. The purpose of strategic alliance were to develop a
deeper collaboration environment and framework to jointly solve clients'
business needs.</t>
  </si>
  <si>
    <t xml:space="preserve">Research &amp; Development Services
Consulting Services
Computer Integrated Systems Svcs</t>
  </si>
  <si>
    <t xml:space="preserve">17275R
25433R</t>
  </si>
  <si>
    <t xml:space="preserve">Daiichi Sankyo Co Ltd
LifeArc</t>
  </si>
  <si>
    <t xml:space="preserve">Mnfr,whl pharmaceuticals
Research and Development in Biotechnology</t>
  </si>
  <si>
    <t xml:space="preserve">Daiichi Sankyo Co Ltd is
located in Chuo-Ku Tokyo,
Japan, mainly engaged in the
manufacture and sale of
pharmaceuticals. The Company
is involved in the research,
development, manufacture and
sale of pharmaceuticals, as
well as the provision of
intermediates and basic
materials for pharmaceutical
producing in Japan, the
United States, Europe and
other markets. The Company
is also engaged in the
research, development,
over-the-counter drugs and
vaccines, the provision of
administrative services such
as human resources and
accounting services, real
estate leasing and insurance
agency business. The Company
was founded in 2005.
LifeArc is a provider of
biotechnology research and
development services. The
Company is located in
London, the United Kingdom.</t>
  </si>
  <si>
    <t xml:space="preserve">DAIICHI SANKYO CO LTD/LIFEARC-STRATEGIC ALLIANCE</t>
  </si>
  <si>
    <t xml:space="preserve">Daiichi Sankyo Co Ltd and LifeArc formed a strategic alliance to license an
ion channel drug discovery programme.</t>
  </si>
  <si>
    <t xml:space="preserve">J11257
3J0489</t>
  </si>
  <si>
    <t xml:space="preserve">Expres2ion Biotechnologies ApS
Mitsubishi Tanabe Pharma Corp</t>
  </si>
  <si>
    <t xml:space="preserve">Biological Product (Except Diagnostic) Manufacturing
Medicinal and Botanical Manufacturing</t>
  </si>
  <si>
    <t xml:space="preserve">Expres2ion Biotechnologies ApS
is a manufacturer of
biological products. The
Company was founded in 2010
and is located in Hoersholm,
Denmark.
December 15, 1933.
Mitsubishi Tanabe Pharma
Corp is a manufacturer of
medicinals and botanicals.
The Company was founded in
December 1933 and is located
in Osaka-Shi Osaka, Japan.</t>
  </si>
  <si>
    <t xml:space="preserve">ExpreS2ion Biotech Holding AB
Mitsubishi Chemical Holdings</t>
  </si>
  <si>
    <t xml:space="preserve">Sweden
Japan</t>
  </si>
  <si>
    <t xml:space="preserve">EXPRES2ION BIOTECHNOLOGIES APS/MITSUBISHI TANABE PHARMA CORP-STRATEGIC
ALLIANCE</t>
  </si>
  <si>
    <t xml:space="preserve">Expres2ion Biotechnologies ApS and Mitsubishi Tanabe Pharma Corp formed a
strategic alliance. The purpose of strategic alliance is to use ExpreS2ions
proprietary protein expression platform, ExpreS2 TM , in their Research and
Development (R&amp;D).</t>
  </si>
  <si>
    <t xml:space="preserve">6F9060
60630N</t>
  </si>
  <si>
    <t xml:space="preserve">Covance Inc
Envigo-NCRS Business</t>
  </si>
  <si>
    <t xml:space="preserve">Provides medical research services
Research and Development in Biotechnology</t>
  </si>
  <si>
    <t xml:space="preserve">Covance Inc, located in
Princeton, New Jersey,
provides medical research
services. The Company also
offers laboratory testing
services to the chemical,
agrochemical and food
industries and are a market
leader in toxicology
services, central laboratory
services, discovery services
and a top global provider of
Phase III clinical trial
management services. The
Company was founded in 1987.
Nonclinical research
services business of Envigo
International Holdings Inc,
located in the United States</t>
  </si>
  <si>
    <t xml:space="preserve">Laboratory Corp of America
Envigo Intl Hldg Inc</t>
  </si>
  <si>
    <t xml:space="preserve">COVANCE INC/ENVIGO INTERNATIONAL HOLDINGS INC-NONCLINICAL RESEARCH SERVICES
BUSINESS-STRATEGIC ALLIANCE</t>
  </si>
  <si>
    <t xml:space="preserve">Covance Inc and Envigo International Holdings Inc-Nonclinical Research
Services Business planned to form a strategic alliance.The purpose of the
strategic alliance is to provide an enhanced experience to the valued
customers across both segments of the company and closely aligns with the
vision to work together to build a healthier and safer world.</t>
  </si>
  <si>
    <t xml:space="preserve">222816
2J8108</t>
  </si>
  <si>
    <t xml:space="preserve">Casi Pharmaceuticals Inc
Black Belt Therapeutics Ltd</t>
  </si>
  <si>
    <t xml:space="preserve">Biological Product (Except Diagnostic) Manufacturing
All Other Professional, Scientific, and Technical Services</t>
  </si>
  <si>
    <t xml:space="preserve">company was founded in 1991.
CASI Pharmaceuticals Inc,
located in Rockville,
Maryland, is a
clinical-stage
pharmaceutical company
developing targeted
therapeutics for the
treatment of cancer and
inflammatory disease using a
joint US-China drug
development model. Its drug
candidate is ENMD-2076, an
Aurora A and angiogenic
kinase inhibitor for the
treatment of cancer, and has
completed Phase I studies in
patients with advanced solid
tumors, multiple myeloma and
leukemia and is completing
data for a multi-center
Phase II study in patients
with platinum resistant
ovarian cancer. Its other
product candidates have
includes MKC-1, ENMD-1198
and 2-methoxyestrdiol (2ME2,
Panzem) for treatment of
rheumatoid arthritis. The
Black Belt Therapeutics Ltd
is a provider of
professional services. The
Company was founded in
September 2018 and is
located in Stevenage, the
United Kingdom.</t>
  </si>
  <si>
    <t xml:space="preserve">CASI PHARMACEUTICALS INC/BLACK BELT THERAPEUTICS LTD-STRATEGIC ALLIANCE</t>
  </si>
  <si>
    <t xml:space="preserve">CASI Pharmaceuticals Inc and Black Belt Therapeutics Ltd formed a strategic
alliance was to investigational anti-CD38 monoclonal antibody (Mab)
TSK011010 program from Black Belt Therapeutics Ltd.</t>
  </si>
  <si>
    <t xml:space="preserve">14757U
2J8292</t>
  </si>
  <si>
    <t xml:space="preserve">Verana Health Inc
Amer Academy Of Neurology</t>
  </si>
  <si>
    <t xml:space="preserve">Software Publishers
Offices Of Physicians (Except Mental Health Specialists)</t>
  </si>
  <si>
    <t xml:space="preserve">Verana Health Inc, located
in San Francisco,
California, is a software
publisher. It develops a
platform for life science
innovation that utilizes
regulatory-grade specialty
data sets. The Company was
founded in 2011.
American Academy Of
Neurology is a physician
office operator. The Company
was founded in 1948 and is
located in Minneapolis,
Minnesota.</t>
  </si>
  <si>
    <t xml:space="preserve">7372
8011</t>
  </si>
  <si>
    <t xml:space="preserve">VERANA HEALTH INC/AMERICAN ACADEMY OF NEUROLOGY-STRATEGIC ALLIANCE</t>
  </si>
  <si>
    <t xml:space="preserve">Verana Health Inc and American Academy Of Neurology formed a strategic
alliance was to accelerating medical research in neurology using real-world
evidence generated with information from the Axon Registry and commitment
to partnering with medical associations across therapeutic areas to advance
patient health with data insights.</t>
  </si>
  <si>
    <t xml:space="preserve">5H9085
2J8817</t>
  </si>
  <si>
    <t xml:space="preserve">Mithra Pharmaceuticals Sa
Generic Specialty Pharma Ltd</t>
  </si>
  <si>
    <t xml:space="preserve">Mithra Pharmaceuticals SA,
located in Liege, Belgium,
manufactures pharmaceuticals
products. The Company
specializes in
contraceptives for women. It
was founded in May 1999.
Generic Specialty Pharma Ltd
is a manufacturer of
pharmaceutical preparation.
The Company is located in
Dublin, the Republic of
Ireland.</t>
  </si>
  <si>
    <t xml:space="preserve">Belgium
Ireland-Rep</t>
  </si>
  <si>
    <t xml:space="preserve">MITHRA PHARMACEUTICALS SA/GENERIC SPECIALTY PHARMA LTD-STRATEGIC ALLIANCE</t>
  </si>
  <si>
    <t xml:space="preserve">Mithra Pharmaceuticals Sa and Generic Specialty Pharma Ltd formed a
strategic alliance in Belgium for the development and supply of a sterile
hormonal injectable product at Mithra CDMO. Expansion of Mithra CDMOs
portfolio of activities, confirming its profile as a unique industrial
partner in the development and production of a complete range of
specialized medical products and devices.</t>
  </si>
  <si>
    <t xml:space="preserve">Research &amp; Development Services
Manufacturing Services
Supply Services
Health &amp; Medical Services</t>
  </si>
  <si>
    <t xml:space="preserve">2C3061
2J8987</t>
  </si>
  <si>
    <t xml:space="preserve">SIPP Industries Inc
Bur Oak Brewing Co</t>
  </si>
  <si>
    <t xml:space="preserve">SIPP Industries Inc is an
alcoholic beverages
wholesaler. The Company is
located in Henderson,
Nevada.
Bur Oak Brewing Company is
located in US</t>
  </si>
  <si>
    <t xml:space="preserve">NV
MO</t>
  </si>
  <si>
    <t xml:space="preserve">SIPP INDUSTRIES INC/BUR OAK BREWING CO-STRATEGIC ALLIANCE</t>
  </si>
  <si>
    <t xml:space="preserve">SIPP Industries Inc and Bur Oak Brewing Co planned to form a strategic
alliance was to Company expands geographic reach and triples production
capacity</t>
  </si>
  <si>
    <t xml:space="preserve">784276
2J9002</t>
  </si>
  <si>
    <t xml:space="preserve">Tenjove Newhemp Biotech Co
Shenzhen Datong Industrial Co</t>
  </si>
  <si>
    <t xml:space="preserve">Drugs and Druggists' Sundries Merchant Wholesalers
Advertising Agencies</t>
  </si>
  <si>
    <t xml:space="preserve">Tenjove Newhemp Biotech Co
Ltd is a drugs wholesaler.
The Company is located in
China.
Shenzhen Datong Industrial
Co Ltd is an advertising
agency. The Company was
founded in February 1994 and
is located in Shenzhen,
China.</t>
  </si>
  <si>
    <t xml:space="preserve">5122
7311</t>
  </si>
  <si>
    <t xml:space="preserve">Shineco Inc
Shenzhen Datong Industrial Co</t>
  </si>
  <si>
    <t xml:space="preserve">0181
7311</t>
  </si>
  <si>
    <t xml:space="preserve">TENJOVE NEWHEMP BIOTECH CO LTD/SHENZHEN DATONG INDUSTRIAL CO LTD-JOINT
VENTURE</t>
  </si>
  <si>
    <t xml:space="preserve">Datong Newhemp Llp is a
provider of marketing
consulting services. The
Company is located in China.</t>
  </si>
  <si>
    <t xml:space="preserve">Tenjove Newhemp Biotech Co Ltd and Shenzhen Datong Industrial Co Ltd formed
joint venture named Datong Newhemp Llp in China for the integration and
expansion of the industrial hemp industry chain, the development of CBD
products and domestic and overseas sales, and the exploration of
combinations of blockchain and industrial hemp business scenarios to
achieve synergy and value maximization. The Joint Venture was to have a
Capitalization of 149.544 million USD(1 billion Chinese Yuan).</t>
  </si>
  <si>
    <t xml:space="preserve">The Joint Venture was to have a Capitalization of 149.544 million USD(1
billion Chinese Yuan).</t>
  </si>
  <si>
    <t xml:space="preserve">2J9030</t>
  </si>
  <si>
    <t xml:space="preserve">2J9029
82319Q</t>
  </si>
  <si>
    <t xml:space="preserve">Oakrum Pharma LLC
Biophore India Pharms Pvt Ltd</t>
  </si>
  <si>
    <t xml:space="preserve">Oakrum Pharma LLC is a
manufacturer of
pharmaceutical preparation.
The Company was founded in
September 2012 and is
located in St. Louis,
Missouri.
Biophore India
Pharmaceuticals Pvt Ltd is a
manufacturer of
pharmaceutical preparation.
The Company is located in
Hyderabad, India.</t>
  </si>
  <si>
    <t xml:space="preserve">OAKRUM PHARMA LLC/BIOPHORE INDIA PHARMACEUTICALS PVT LTD-STRATEGIC
ALLIANCE</t>
  </si>
  <si>
    <t xml:space="preserve">Oakrum Pharma LLC and Biophore India Pharmaceuticals Pvt Ltd formed a
strategic alliance to develop and manufacture two prescription generic
pharmaceutical products that are intended to be commercialized in the U.S.</t>
  </si>
  <si>
    <t xml:space="preserve">Research &amp; Development Services
Manufacturing Services
Marketing Services
Supply Services
Health &amp; Medical Services</t>
  </si>
  <si>
    <t xml:space="preserve">2J9289
2J9291</t>
  </si>
  <si>
    <t xml:space="preserve">Eli Lilly &amp; Co
Avidity Biosciences Inc</t>
  </si>
  <si>
    <t xml:space="preserve">Eli Lilly &amp; Co, located in
Indianapolis, Indiana,
manufactures and wholesales
pharmaceuticals and
diagnostic and animal health
products. It specializes in
research and development,
production and marketing of
products for the treatment
of diabetes. It has research
and development facilities
in nine countries and
conducts clinical trials. It
manufactures and distributes
its products through
facilities in the United
States, Puerto Rico, and 13
other countries and sold in
approximately 125 locations.
Its products include
neuroscience products,
endocrinology products,
oncology products,
cardiovascular products,
animal health products, and
other pharmaceuticals. Its
patents include Zyprexa,
Prozac, Permax, Darvon,
Humulin, Evista, Humalog,
Actos, Humatrope, Ceclor,
Vancocin, Keflex, Nebcin,
Lorabid, Gemzar, Tylan,
Rumensin, Micotil, Surmax,
Coban, ReoPro, Xigris,
Dobutrex and Axid. The
Company was founded in May
1876.
Avidity Biosciences Inc,
located in La Jolla,
California, is a biotechnology
company. It is focused on
developing Antibody
Oligonucleotide Conjugates
(AOC). It uses its AOC
platform to modulate
disease-related ribonucleic
acid (RNAs) in cell types and
tissues including muscle,
heart, liver, tumors and
immune cells. It is focused on
rare muscle disorders and
other serious diseases.</t>
  </si>
  <si>
    <t xml:space="preserve">ELI LILLY &amp; CO/AVIDITY BIOSCIENCES INC-STRATEGIC ALLIANCE</t>
  </si>
  <si>
    <t xml:space="preserve">Eli Lilly Co and Avidity Biosciences Inc formed a strategic alliance in
United States to focus on the discovery, development and commercialization
of potential new medicines in immunology and other select indications.</t>
  </si>
  <si>
    <t xml:space="preserve">532457
05370A</t>
  </si>
  <si>
    <t xml:space="preserve">SGS SA
Allion Labs Inc</t>
  </si>
  <si>
    <t xml:space="preserve">Provides trade inspection services
Software Publishers</t>
  </si>
  <si>
    <t xml:space="preserve">SGS SA, located in Geneva,
Switzerland, provides trade
inspection services for
industries including
agriculture, automotive,
consumer testing,
industrial, oil, gas and
chemicals. It also serves as
a holding company and
operates a network of more
than 1,800 offices and
laboratories around the
world. The Company was
founded in 1919.
Allion Labs Inc is a
software publisher. The
Company was founded in July
1991 and is located in
Taipei City, Taiwan.</t>
  </si>
  <si>
    <t xml:space="preserve">8734
7376</t>
  </si>
  <si>
    <t xml:space="preserve">Switzerland
Taiwan</t>
  </si>
  <si>
    <t xml:space="preserve">SGS SA/ALLION LABS INC-JOINT VENTURE</t>
  </si>
  <si>
    <t xml:space="preserve">SGS SA and Allion Labs Inc planned to form a joint venture was to provide
world-class one-stop testing, inspection and certification solutions for
emerging Internet of Vehicles (IoV) supply chains. This JV spans the fields
of automotive electronics, network communications, software development and
other IoV technologies.</t>
  </si>
  <si>
    <t xml:space="preserve">Software Development Services
Automotive Services
Research &amp; Development Services</t>
  </si>
  <si>
    <t xml:space="preserve">83364J
3J0592</t>
  </si>
  <si>
    <t xml:space="preserve">Ming Lam Holdings Ltd
Hope Bio-Tech (Suzhou) Co Ltd</t>
  </si>
  <si>
    <t xml:space="preserve">Unsupported Plastics Packaging Film and Sheet Manufacturing
Research and Development in Biotechnology</t>
  </si>
  <si>
    <t xml:space="preserve">Ming Lam Holdings Ltd is an
investment holding company
principally engaged in the
manufacturing and sales of
expanded polystyrene (EPS)
packaging products for
household electrical
appliances. The Company
operates through two
business segments. The
Packaging Business segment
is engaged in the design,
developing, testing and
production of cushion
packaging products. The
Securities Investments
segment is engaged in the
securities trading and other
investing activities. The
Company is also involved in
the manufacture of moulds
products through its
subsidiaries. The Company is
engaged in integrated
packaging solutions that
include design, R&amp;D, testing
and manufacturing of
Company is located in Hong
Kong. The company was
founded in Jul 2002.
Hope Bio-Tech (Suzhou) Co
Ltd is a provider of
biotechnology research and
development services. The
Company is located in
Suzhou, China.</t>
  </si>
  <si>
    <t xml:space="preserve">2671
8731</t>
  </si>
  <si>
    <t xml:space="preserve">MING LAM HOLDINGS LTD/HOPE BIO-TECH (SUZHOU) CO LTD-JOINT VENTURE</t>
  </si>
  <si>
    <t xml:space="preserve">Ming Lam Holdings Ltd and Hope Bio-Tech (Suzhou) Co Ltd planned to form a
joint venture to further establish GMP-compliant stem cell and immune cell
integrated cell center laboratory.</t>
  </si>
  <si>
    <t xml:space="preserve">1J6543
3J0114</t>
  </si>
  <si>
    <t xml:space="preserve">BERICAP GmbH &amp; Co KG
Thin Film Electronics ASA</t>
  </si>
  <si>
    <t xml:space="preserve">Mnfr plastic,metal closures
Manufacture electronic components</t>
  </si>
  <si>
    <t xml:space="preserve">BERICAP GmbH &amp; Co KG is a
manufacturer of plastics
products. The Company is
located in Budenheim,
Germany.
Thin Film Electronics ASA is
a manufacturer of electronic
components. The Company was
founded in 1997 and is
located in Oslo, Norway. It
is engaged in the
development of Printed
Electronics. It
commercializes printed
rewritable memory and
creates printed system
products, such as memory,
sensing, display and
wireless communication.
Thinfilms roadmap of system
products integrates
technology from a network of
partners in order to enable
the Internet of Things
(IoT). It includes memory
labels, which store digital
data on a thin, rewritable
label, brand protection
solutions, consisting of
adhesive labels that
generate a distinct forensic
electrical signature, sensor
labels, which sense
information and store data,
display labels, low cost
display media to communicate
the information stored in
the Thin Film Memory and NFC
Smart Labels, near field
communication-enabled sensor
and display labels. The
Company has sales offices in
San Francisco, the United
States, and Tokyo, Japan,
product development in
Linkoping, Sweden, and
manufacturing in Pyongtaek,
South Korea.</t>
  </si>
  <si>
    <t xml:space="preserve">Germany
Norway</t>
  </si>
  <si>
    <t xml:space="preserve">BERICAP GMBH &amp; CO/THIN FILM ELECTRONICS ASA-STRATEGIC ALLIANCE</t>
  </si>
  <si>
    <t xml:space="preserve">Bericap GmbH Co and Thin Film Electronics ASA formed a strategic alliance
to develop fully integrated digital authentication solutions for closures
in over-the-counter pharmaceuticals and industrial applications.</t>
  </si>
  <si>
    <t xml:space="preserve">08407T
88407X</t>
  </si>
  <si>
    <t xml:space="preserve">Forge Therapeutics Inc
Basilea Pharmaceutica Intl</t>
  </si>
  <si>
    <t xml:space="preserve">Forge Therapeutics Inc is a
manufacturer of biological
products. The Company is
located in San Diego,
California.
Basilea Pharmaceutica
International AG,
headquartered in Basel,
Switzerland, is a
pharmaceutical company that
focuses on providing
innovative pharmaceutical
products in the therapeutic
areas of bacterial
infections, fungal
infections and oncology. It
was incorporated in 2000.</t>
  </si>
  <si>
    <t xml:space="preserve">Forge Therapeutics Inc
Basilea Pharmaceutica AG</t>
  </si>
  <si>
    <t xml:space="preserve">FORGE THERAPEUTICS INC/BASILEA PHARMACEUTICA INTERNATIONAL LTD-STRATEGIC
ALLIANCE</t>
  </si>
  <si>
    <t xml:space="preserve">Forge Therapeutics Inc and Basilea Pharmaceutica International Ltd formed a
strategic alliance to discover, develop, and commercialize novel antibiotic
classes.</t>
  </si>
  <si>
    <t xml:space="preserve">1F0047
3J0358</t>
  </si>
  <si>
    <t xml:space="preserve">The Natl Ctr For Veterans
Rallypoint Networks Inc</t>
  </si>
  <si>
    <t xml:space="preserve">Educational Support Services
Internet Publishing and Broadcasting and Web Search Portals</t>
  </si>
  <si>
    <t xml:space="preserve">The National Center for
Veterans Studies engages in
research, education,
outreach, and advocacy for
improving the lives of
military personnel,
veterans, and their
families. The Center,
located in the heart of The
University of Utah campus,
is a national leader in
suicide prevention and PTSD
research and treatment
RallyPoint Networks, Inc. is
a United States-based
military social network. The
Company provides military
members and veterans with a
professional network to
explore career opportunities
and connect professionally.
The Company allows military
members and veterans come
together, mentor and discuss
military life. The Company
establishes secure online
professional military
identity, helps connect with
the right people at the
right time, and empowers the
military members to exercise
influence over their own
career both in and out of
the military. With
approximately 1,000,000
members including 15% of the
United States military, the
community allows its members
to connect with others like
them, create advancement
opportunity through shared
experience, and contribute
knowledge that can benefit
all aspects of military life
and beyond.</t>
  </si>
  <si>
    <t xml:space="preserve">8299
2711</t>
  </si>
  <si>
    <t xml:space="preserve">THE NATIONAL CENTER FOR VETERANS STUDIES/RALLYPOINT NETWORKS INC-STRATEGIC
ALLIANCE</t>
  </si>
  <si>
    <t xml:space="preserve">The National Center For Veterans Studies and Rallypoint Networks Inc
planned to form a strategic alliance was to NCVS utilize RallyPoint's
platform as a tool to increase enrollment in the cognitive processing
therapy program.</t>
  </si>
  <si>
    <t xml:space="preserve">3J0340
3J0335</t>
  </si>
  <si>
    <t xml:space="preserve">StemExpress LLC
Atcg Ltd
Biotools Co. Ltd
Axil Scientific
Customer Science
Kim &amp; Friends Inc.</t>
  </si>
  <si>
    <t xml:space="preserve">Biological Product (Except Diagnostic) Manufacturing
Research and Development in Biotechnology
Research and Development in Biotechnology
Research and Development in Biotechnology
All Other Support Services
Research and Development in Biotechnology</t>
  </si>
  <si>
    <t xml:space="preserve">StemExpress LLC is a
biotechnology company which
provides biospecimen of
human bone marrow, cord
blood, peripheral blood,
maternal blood, disease
state products and primary
cells. The Company was
founded in March 2010 and is
located in Folsom,
California.
ATCG Limited is a new
venture setup to better
serve science. Our mission
is to enable scientists to
make the world healthier. We
help our customers
accelerate life sciences
research by bringing to them
state-of-the-art
technologies. We offer
quality and innovative life
science solutions to every
lab in Hong Kong.
BIOTOOLS Co.,LTD IS LOCATED
IN TAIWAN.
Axil Scientific have served
the life sciences research
market in Singapore with our
distinctive cultureStrong
Technical Support,
Responsive and Reliable
Customer Care, and Rapid
Turnaround Time.
Customer Science we
understand these problems
and challenges. We help our
clients negotiate them every
day. Our experience and
practical approach means we
can visualise a roadmap that
takes you from business as
usual to business excellence
Kim &amp; Friends, Inc. is
located in (Korea),</t>
  </si>
  <si>
    <t xml:space="preserve">2836
8731
8731
8731
7389
8731</t>
  </si>
  <si>
    <t xml:space="preserve">United States
Hong Kong
Taiwan
Singapore
Australia
South Korea</t>
  </si>
  <si>
    <t xml:space="preserve">CA
FF
FF
FF
FF
FF</t>
  </si>
  <si>
    <t xml:space="preserve">STEMEXPRESS LLC/ATCG LTD/BIOTOOLS CO. LTD/AXIL SCIENTIFIC/CUSTOMER
SCIENCE/KIM &amp; FRIENDS INC-STRATEGIC ALLIANCE</t>
  </si>
  <si>
    <t xml:space="preserve">StemExpress LLC, Atcg Ltd, Biotools Co. Ltd, Axil Scientific, Customer
Science and Kim Friends Inc planned to form a strategic alliance was to
high-quality biological material and shows a strong customer support system
with excellent technical support and customer service ensuring topnotch
client care and We play an integral role in advancing medical research on a
global scale and are pleased to partner with like-minded organizations</t>
  </si>
  <si>
    <t xml:space="preserve">8H2065
3J0267
3J0275
3J0277
3J0279
3J0280</t>
  </si>
  <si>
    <t xml:space="preserve">Fulcrum Therapeutics Inc
GlaxoSmithKline PLC</t>
  </si>
  <si>
    <t xml:space="preserve">Fulcrum Therapeutics Inc is
a provider of biotechnology
research and development
services. The Company was
founded in August 2015 and
is located in Cambridge,
Massachusetts.
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t>
  </si>
  <si>
    <t xml:space="preserve">FULCRUM THERAPEUTICS INC/GLAXOSMITHKLINE PLC-STRATEGIC ALLIANCE</t>
  </si>
  <si>
    <t xml:space="preserve">Fulcrum Therapeutics Inc and GlaxoSmithKline PLC formed a strategic
alliance for development and commercialization of the investigational drug,
losmapimod.</t>
  </si>
  <si>
    <t xml:space="preserve">359616
37733W</t>
  </si>
  <si>
    <t xml:space="preserve">George Clinical Pty Ltd
EPS Holdings Inc</t>
  </si>
  <si>
    <t xml:space="preserve">Pvd clinical trial svcs
Research and Development in Biotechnology</t>
  </si>
  <si>
    <t xml:space="preserve">George Clinical Pty Ltd,
located in Newtown, New South
Wales, provides clinical trial
services. The Company was
founded in September 2001.
EPS Holdings Inc, located in
Shinjuku-Ku, Tokyo, is a
provider of biotechnology
research and development
services. The Company was
founded in 1991.</t>
  </si>
  <si>
    <t xml:space="preserve">GEORGE CLINICAL PTY LTD/EPS HOLDINGS INC-STRATEGIC ALLIANCE</t>
  </si>
  <si>
    <t xml:space="preserve">George Clinical Pty Ltd and EPS Holdings Inc planned to form a strategic
alliance was to enhance their combined service offerings inAsia-Pacific,
the world's most populous region, as well as worldwide for their respective
clients</t>
  </si>
  <si>
    <t xml:space="preserve">4F8522
0E6201</t>
  </si>
  <si>
    <t xml:space="preserve">ADC Therapeutics SA
Adagene (Suzhou) Ltd</t>
  </si>
  <si>
    <t xml:space="preserve">ADC Therapeutics SA, located
in Epalinges, Switzerland, is
a biotechnology company. The
Company specializes in the
development of proprietary
Antibody Drug Conjugates
(ADCs) targeting major cancers
such as breast, lung,
prostate, renal and blood. The
Company's ADCs are highly
targeted drug constructs which
combine monoclonal antibodies
specific to particular types
of tumor cells with a novel
class of highly potent
pyrrolobenzodiazepine
(PBD)-based warheads. It was
founded in 2011.
Adagene (Suzhou) Ltd,
located in China, provides
biotechnology research and
development services. It is
an antibody discovery and
engineering company with
proprietary smart antibody
technology, which increases
success rates, substantially
accelerates time to market,
and reduces the costs
associated with developing a
therapeutic antibody. The
company was founded in
February 2012.</t>
  </si>
  <si>
    <t xml:space="preserve">ADC THERAPEUTICS SA/ADAGENE (SUZHOU) LTD-STRATEGIC ALLIANCE</t>
  </si>
  <si>
    <t xml:space="preserve">ADC Therapeutics SA and Adagene (Suzhou) Ltd formed a strategic alliance to
generate a masked antibody that will be combined with ADC Therapeutics
pyrrolobenzodiazepine (PBD) cytotoxic payload technology for the
development of a novel ADC against a solid tumor target.</t>
  </si>
  <si>
    <t xml:space="preserve">H0036K
4E0780</t>
  </si>
  <si>
    <t xml:space="preserve">Mitsubishi Tanabe Pharma Corp
Salix Pharms Inc</t>
  </si>
  <si>
    <t xml:space="preserve">December 15, 1933.
Mitsubishi Tanabe Pharma
Corp is a manufacturer of
medicinals and botanicals.
The Company was founded in
December 1933 and is located
in Osaka-Shi Osaka, Japan.
Salix Pharmaceuticals Inc,
manufactures and wholesales
specialty prescription
pharmaceuticals for the
treatment of
gastrointestinal disease
that affect digestive tract.
It also manufactures medical
devices for the treatment of
gastrointestinal diseases.
The company was founded in
1989 and located in New
Jersey, USA.</t>
  </si>
  <si>
    <t xml:space="preserve">Mitsubishi Chemical Holdings
Bausch Health Cos Inc</t>
  </si>
  <si>
    <t xml:space="preserve">MITSUBISHI TANABE PHARMA CORP/SALIX PHARMACEUTICALS INC-STRATEGIC ALLIANCE</t>
  </si>
  <si>
    <t xml:space="preserve">Mitsubishi Tanabe Pharma Corp and Salix Pharmaceuticals Inc formed a
strategic alliance was to develop and commercialize MT-1303 (amiselimod), a
late-stage oral compound that targets the sphingosine 1-phosphate (S1P)
receptor that plays a role in autoimmune diseases, such as Inflammatory
Bowel Disease (IBD) and ulcerative colitis.</t>
  </si>
  <si>
    <t xml:space="preserve">60630N
795435</t>
  </si>
  <si>
    <t xml:space="preserve">American Bankers Assoc Svc
Undisclosed JV Partner</t>
  </si>
  <si>
    <t xml:space="preserve">Pvd network integration svcs
Investment company</t>
  </si>
  <si>
    <t xml:space="preserve">Provide netowork integration
services
Investment company</t>
  </si>
  <si>
    <t xml:space="preserve">7373
6799</t>
  </si>
  <si>
    <t xml:space="preserve">AMERICAN BANKERS ASSOCIATION/UNDISCLOSED PARTNER-STRATEGIC ALLIANCE</t>
  </si>
  <si>
    <t xml:space="preserve">American Bankers Association Service Corp and Undisclosed Joint Venture
Partner (Alloy Labs Alliance) formed a strategic alliance was to shared
financial innovation lab and consortium comprising 32 community and midsize
banks that come together to identify, evaluate and implement new technology
and launch innovative products.</t>
  </si>
  <si>
    <t xml:space="preserve">02445F
904JVP</t>
  </si>
  <si>
    <t xml:space="preserve">The Cannabis Oil Co
Vertical Pharma Resources Ltd</t>
  </si>
  <si>
    <t xml:space="preserve">The Cannabis Oil Company is
a UK based manufacturer of
high quality CBD Oil
products.
Vertical Pharma Resources
Ltd is a manufacturer of
pharmaceutical preparation.
The Company was founded in
2001 and is located in
Surrey, the United Kingdom.</t>
  </si>
  <si>
    <t xml:space="preserve">THE CANNABIS OIL CO/VERTICAL PHARMA RESOURCES LTD-JOINT VENTURE</t>
  </si>
  <si>
    <t xml:space="preserve">The Cannabis Oil Co formed joint venture.</t>
  </si>
  <si>
    <t xml:space="preserve">3J0656
93324L</t>
  </si>
  <si>
    <t xml:space="preserve">Publilog Gmbh
Biotec BetaGlucans AS</t>
  </si>
  <si>
    <t xml:space="preserve">Publilog GmbH is located in
Austria.
Biotec BetaGlucans AS is a
manufacturer of biological
products. The Company is
located in Tromso, Norway.</t>
  </si>
  <si>
    <t xml:space="preserve">Austria
Norway</t>
  </si>
  <si>
    <t xml:space="preserve">Publilog Gmbh
Biotec Pharmacon ASA</t>
  </si>
  <si>
    <t xml:space="preserve">PUBLILOG GMBH/BIOTEC BETAGLUCANS AS-STRATEGIC ALLIANCE</t>
  </si>
  <si>
    <t xml:space="preserve">Publilog Gmbh and Biotec BetaGlucans AS planned to form a strategic
alliance was to distribution of Woulgan to the Austrian market, with Biotec
supporting Publilog's marketing division. Publilog is a subsidiary of the
Swiss based Publicare Group a leading homecare company in the D-A -CH
region.</t>
  </si>
  <si>
    <t xml:space="preserve">3J0735
1A1679</t>
  </si>
  <si>
    <t xml:space="preserve">Microsoft Corp
Mid-Atlantic Broadband Communi</t>
  </si>
  <si>
    <t xml:space="preserve">Develops and wholesales computer software products
Vocational Rehabilitation Services</t>
  </si>
  <si>
    <t xml:space="preserve">Microsoft Corp, located in
Redmond, Washington,
develops and wholesales
computer software products
for many computing devices
that include operating
systems for servers, PCs,
and intelligent devices;
server applications for
distributed computing
environments, information
worker productivity
applications, business
solutions applications, and
software development tools.
It also provides consulting
and product support services
such as training and
certifying system
integrators and developers,
wholesales Xbox video game
console and games, PC games,
and PC peripherals, and
provides web-based solutions
such as MSN subscription and
other Internet products and
services. It is also a
holding company. The Company
was founded on April 4,
1975.
Mid-Atlantic Broadband
Communities Corp, located in
South Boston, Virginia,
provides economic development
leadership services. It
promotes economic development
in Southern Virginia through
the operation of a successful
advanced open access fiber
optic network, providing
wholesale telecommunications
transport services, colocation
and tower leasing. The company
was founded in 2004.</t>
  </si>
  <si>
    <t xml:space="preserve">7372
8331</t>
  </si>
  <si>
    <t xml:space="preserve">MICROSOFT CORP/MID-ATLANTIC BROADBAND COMMUNITIES CORP-STRATEGIC ALLIANCE</t>
  </si>
  <si>
    <t xml:space="preserve">Microsoft Corp and Mid-Atlantic Broadband Communities Corp formed a
strategic alliance was to build the SOVA Innovation Hub in Southern
Virginia to help meet its growing need for office space.</t>
  </si>
  <si>
    <t xml:space="preserve">Property Development Services
Construction Services
Research &amp; Development Services</t>
  </si>
  <si>
    <t xml:space="preserve">594918
8C8252</t>
  </si>
  <si>
    <t xml:space="preserve">Plantext Ltd
Family Secret Ltd</t>
  </si>
  <si>
    <t xml:space="preserve">Research and Development in Biotechnology
Mobile Food Services</t>
  </si>
  <si>
    <t xml:space="preserve">Plantext Ltd, located in
Toronto, Ontario is a
provider of biotechnology
research and development
services. It is unlocking
the anti-inflammatory
benefits of medical cannabis
through our proprietary
research and technology
platform.
FAMILY SECRET LIMITED is
located in UK</t>
  </si>
  <si>
    <t xml:space="preserve">8731
5963</t>
  </si>
  <si>
    <t xml:space="preserve">PLANTEXT LTD/FAMILY SECRET LTD-JOINT VENTURE</t>
  </si>
  <si>
    <t xml:space="preserve">Plantext Ltd and Family Secret Ltd planned to form joint venture was to
Develop, Produce and Market Topical Medical Cannabis Products</t>
  </si>
  <si>
    <t xml:space="preserve">3J0922
3J0919</t>
  </si>
  <si>
    <t xml:space="preserve">Pharma Mar SA
Luye Pharma Group Ltd</t>
  </si>
  <si>
    <t xml:space="preserve">Pharma Mar SA, headquartered
in Madrid, Spain, is a
biotechnology company
specialized in the
development of antitumor
drugs of marine origin.
Luye Pharma Group Ltd,
located in Shanghai, China,
manufactures and wholesales
pharmaceutical . The drugs
manufactured by the company
are used in orthopedics,
neurology, gastroenterology
and hepatology, focusing on
naturaland chemical drugs
with new formulations. The
group's key products are
Maitongna, Nuosen,
Lutingnuo, Olai and
Elcatonin for injection.
Other activities include
distribution of products of
other pharmaceutical
manufacturers in China,
processing and sale of
active ingredients, mainly
chondroitin sulphate, for
the manufacture of
pharmaceutical drugs and
sale of R&amp;D results and/or
patents of new drugs and
provision of research
services on a contract
basis. The group principally
operates in the People's
Republic of China. The
Company was founded in 2003.</t>
  </si>
  <si>
    <t xml:space="preserve">Spain
China</t>
  </si>
  <si>
    <t xml:space="preserve">PHARMA MAR SA/LUYE PHARMA GROUP-STRATEGIC ALLIANCE</t>
  </si>
  <si>
    <t xml:space="preserve">China
Hong Kong
Macau</t>
  </si>
  <si>
    <t xml:space="preserve">Pharma Mar SA and Luye Pharma Group formed a strategic alliance to develop
and commercialize the marine-inspired anti-tumor compound, lurbinectedin
(Zepsyre) in Small Cell Lung Cancer (SCLC), and potentially in other
indications in China, Hong Kong and Macao.</t>
  </si>
  <si>
    <t xml:space="preserve">71721J
54925K</t>
  </si>
  <si>
    <t xml:space="preserve">SMK Electronics Corp
Myant Inc</t>
  </si>
  <si>
    <t xml:space="preserve">Mnfr mechanical components
Computer Systems Design Services</t>
  </si>
  <si>
    <t xml:space="preserve">Manufacture electromechanical
components
Myant Inc is a provider of
computer systems design
services. The Company was
founded in April 2016 and is
located in Toronto, Canada.</t>
  </si>
  <si>
    <t xml:space="preserve">3613
7373</t>
  </si>
  <si>
    <t xml:space="preserve">SMK Corp
Myant Inc</t>
  </si>
  <si>
    <t xml:space="preserve">3643
7373</t>
  </si>
  <si>
    <t xml:space="preserve">SMK ELECTRONICS CORP/MYANT INC-STRATEGIC ALLIANCE</t>
  </si>
  <si>
    <t xml:space="preserve">SMK Electronics Corp and Myant Inc planned to form a strategic alliance in
United States &amp; Canada to catalyze the development of new electronic
components and mechanical interfaces for application in the emerging field
of Textile Computing.</t>
  </si>
  <si>
    <t xml:space="preserve">78284L
3J2045</t>
  </si>
  <si>
    <t xml:space="preserve">Motive Labs
Standard Bank Group Ltd</t>
  </si>
  <si>
    <t xml:space="preserve">Administrative Management and General Management Consulting Services
Provide banking services</t>
  </si>
  <si>
    <t xml:space="preserve">Motive Labs is a provider of
administrative management
and general management
consulting services. The
Company is located in New
York.
Standard Bank Group Ltd,
located in Johannesburg,
South Africa, provides
banking services. Its
services include personal &amp;
business and corporate &amp;
investment banking services.
Personal &amp; business
comprises mortgage lending,
investment sales and finance
leases, card products,
transactional and lending
and banc assurance. Mortgage
lending provides residential
accommodation loans to
individual customers.
Installment sales and
finance leases comprises two
main areas, installment
finance in the consumer
market, mainly vehicles, and
secondly, finance of
vehicles and equipment in
the business market. Banc
assurance provides short
term and long term insurance
products. Corporate &amp;
investment banking focuses
on foreign exchange, fixed
income, derivatives,
equities and commodities
trading businesses,
securitization, debt
origination and money
market. It is also a holding
company. The Company was
founded in 1969.</t>
  </si>
  <si>
    <t xml:space="preserve">8742
6000</t>
  </si>
  <si>
    <t xml:space="preserve">Motive Partners GP LLC
Standard Bank Group Ltd</t>
  </si>
  <si>
    <t xml:space="preserve">MOTIVE LABS/STANDARD BANK GROUP LTD-STRATEGIC ALLIANCE</t>
  </si>
  <si>
    <t xml:space="preserve">Motive Labs and Standard Bank Group Ltd formed a strategic alliance. The
purpose of strategic alliance was to Innovate and Invest in New Financial
Technology Opportunities.</t>
  </si>
  <si>
    <t xml:space="preserve">3J1811
85310C</t>
  </si>
  <si>
    <t xml:space="preserve">Agilent Technologies Inc
SomaLogic Inc</t>
  </si>
  <si>
    <t xml:space="preserve">Manufactures life sciences, diagnostics, applied chemical products
Biotechnology company</t>
  </si>
  <si>
    <t xml:space="preserve">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
SomaLogic Inc is a
biotechnology company located
in Boulder, Colorado. The
Company develops
next-generation medical
diagnostics based on protein
signatures - unique patterns
that can be analyzed using
simple blood tests and that
can distinguish between
disease and health with
unprecedented accuracy.</t>
  </si>
  <si>
    <t xml:space="preserve">AGILENT TECHNOLOGIES INC/SOMALOGIC INC-STRATEGIC ALLIANCE</t>
  </si>
  <si>
    <t xml:space="preserve">Agilent Technologies Inc and SomaLogic Inc formed a strategic alliance was
Agilent will supply customized high-fidelity oligo microarrays for use in
the nucleic acid detection step within SomaLogic's novel SOMAscan assay , a
protein measurement platform with applications across basic and clinical
research, diagnostics, and pharmaceutical discovery and development.</t>
  </si>
  <si>
    <t xml:space="preserve">00846U
83444K</t>
  </si>
  <si>
    <t xml:space="preserve">Sproutly Canada Inc
Occ Hldg Ltd</t>
  </si>
  <si>
    <t xml:space="preserve">Support Activities For Nonmetallic Minerals (Except Fuels)
Pharmaceutical Preparation Manufacturing</t>
  </si>
  <si>
    <t xml:space="preserve">Sproutly Canada Inc, located
in British Columbia, is a
mineral exploration company
focused on the development
of economic precious and
base metals properties of
merit. The Company was
founded on 2012.
Occ Holdings Ltd is a
manufacturer of
pharmaceutical preparation.
The Company is located in
Canada.</t>
  </si>
  <si>
    <t xml:space="preserve">1481
2834</t>
  </si>
  <si>
    <t xml:space="preserve">Sproutly Canada Inc
Moosehead Breweries Ltd</t>
  </si>
  <si>
    <t xml:space="preserve">1481
2082</t>
  </si>
  <si>
    <t xml:space="preserve">SPROUTLY CANADA INC/OCC HOLDINGS LTD-JOINT VENTURE</t>
  </si>
  <si>
    <t xml:space="preserve">Sproutly Canada Inc and Occ Holdings Ltd planned to form a joint
venture.The purpose of the joint venture is to develop, produce and market
non-alcoholic cannabis-infused beverages in Canada, using Sproutly's
proprietary, naturally produced water-soluble cannabinoids, known as
Infuz2O.</t>
  </si>
  <si>
    <t xml:space="preserve">5H4943
3J1046</t>
  </si>
  <si>
    <t xml:space="preserve">Element AI Inc
Shinhan Financial Group Ltd</t>
  </si>
  <si>
    <t xml:space="preserve">Custom Computer Programming Services
Pvd finl svcs</t>
  </si>
  <si>
    <t xml:space="preserve">Element AI Inc, located in
Montral, Canada, is a tech
company which provides Element
AI, a platform that helps
organizations to tackle
problems by building products
that solve their artificial
intelligence (AI) needs.
Element AI launches and
incubates advanced AI-First
solutions in partnership with
large corporations. It
introduces the possibility for
any organization to develop
their own AI strategy. It
helps organizations identify
opportunities to use AI and
machine learning in ways that
impact their business. Once an
opportunity is identified, it
develops a solution that fits
users' need and meshes with
their company processes and
culture. It is focused on
developing new technologies
resulting in custom solutions
and new companies. It also
in August 2016.
identifies opportunities to
found spin-offs and joint
ventures that use AI and
machine learning in a
transformative way. In
addition, it collaborates with
a network of academic
researchers through its
Faculty Fellowship program.
Shinhan Financial Group Ltd,
located in Seoul, provides
financial services; investment
holding company with
subsidiaries that offer
quality financial products and
services in commercial
banking, corporate banking,
credit card, private banking,
asset management, investment
banking, brokerage and
insurance service. founded in
2001</t>
  </si>
  <si>
    <t xml:space="preserve">7371
6289</t>
  </si>
  <si>
    <t xml:space="preserve">ELEMENT AI INC/SHINHAN FINANCIAL GROUP LTD-STRATEGIC ALLIANCE</t>
  </si>
  <si>
    <t xml:space="preserve">Element AI Inc and Shinhan Financial Group Ltd planned to form a strategic
alliance was to integrate its cutting-edge AI forecasting technology with
Shinan AIs NEO investment advisory platform.</t>
  </si>
  <si>
    <t xml:space="preserve">Computer Integrated Systems Svcs
Computer Programming Services
Research &amp; Development Services</t>
  </si>
  <si>
    <t xml:space="preserve">3F0403
824596</t>
  </si>
  <si>
    <t xml:space="preserve">Surveygizmo Llc
Rybbon Llc</t>
  </si>
  <si>
    <t xml:space="preserve">Surveying and Mapping (Except Geophysical) Services
Software Publishers</t>
  </si>
  <si>
    <t xml:space="preserve">Surveygizmo LLC The Company
is located in Boulder,
Colorado.
Rybbon LLC is a software
publisher. The Company was
founded in 2015 and is
located in McLean, Virginia.</t>
  </si>
  <si>
    <t xml:space="preserve">CO
VA</t>
  </si>
  <si>
    <t xml:space="preserve">SURVEYGIZMO LLC/RYBBON LLC-STRATEGIC ALLIANCE</t>
  </si>
  <si>
    <t xml:space="preserve">Surveygizmo LLC and Rybbon LLC formed a strategic alliance was to around an
integration that will allow SurveyGizmo users to incorporate survey rewards
delivery into their survey process. Without survey rewards automation,
market researchers have to mail checks or plastic gift cards and track
payouts with spreadsheets.</t>
  </si>
  <si>
    <t xml:space="preserve">2J4633
3J1337</t>
  </si>
  <si>
    <t xml:space="preserve">International Medical
Dept Of Med Imaging Univ Of</t>
  </si>
  <si>
    <t xml:space="preserve">International Medical
Solutions Inc is a provider
of ambulatory health care
services. The Company was
founded in 1970 and is
located in Mississauga,
Canada.
Department Of Medical
Imaging University Of
Toronto is a college
operator. The Company is
located in Canada.</t>
  </si>
  <si>
    <t xml:space="preserve">INTERNATIONAL MEDICAL SOLUTIONS INC/DEPARTMENT OF MEDICAL IMAGING
UNIVERSITY OF TORONTO-STRATEGIC ALLIANCE</t>
  </si>
  <si>
    <t xml:space="preserve">International Medical Solutions Inc and Department Of Medical Imaging
University Of Toronto planned to form a strategic alliance.The purpose of
the strategic alliance is to assess the performance of diagnostic radiology
residents using IMS Web Viewer within a simulated Emergency Radiology
environment.</t>
  </si>
  <si>
    <t xml:space="preserve">3J2612
3J2615</t>
  </si>
  <si>
    <t xml:space="preserve">Bank Alfalah Ltd
Lahore Univ of Mgmt Sciences</t>
  </si>
  <si>
    <t xml:space="preserve">Bank (foreign)
Own,operate college,university</t>
  </si>
  <si>
    <t xml:space="preserve">Bank Alfalah Ltd is a holding
company. The Company's
segments include Retail
banking, including loans,
deposits, trading activity,
wealth management and other
banking transactions with its
retail and middle market
customers; Corporate banking,
which includes loans,
deposits, project financing,
trade financing, investment
banking and other banking
activities. The Company was
founded in June 1997 and is
located in Karachi, Pakistan.
Lahore University of
Management Sciences is a
college operator. The Company
is located in Lahore,
Pakistan.</t>
  </si>
  <si>
    <t xml:space="preserve">Pakistan
Pakistan</t>
  </si>
  <si>
    <t xml:space="preserve">BANK ALFALAH LTD/LAHORE UNIVERSITY OF MANAGEMENT SCIENCES-STRATEGIC
ALLIANCE</t>
  </si>
  <si>
    <t xml:space="preserve">Bank Alfalah Ltd and Lahore University of Management Sciences formed a
strategic alliance was to jointly setup a research initiative to promote
Pakistan's first ever asset side Musharakah based financing product.</t>
  </si>
  <si>
    <t xml:space="preserve">06042Z
0F1171</t>
  </si>
  <si>
    <t xml:space="preserve">CareDx Inc
Cibiltech Inc</t>
  </si>
  <si>
    <t xml:space="preserve">CareDx Inc, located in South
San Francisco, California,
develops, markets and
delivers a diagnostic
surveillance solution for
heart transplant recipients.
Its commercialized testing
solution, the AlloMap heart
transplant molecular test,
or AlloMap, is a blood-based
test used to monitor heart
transplant recipients for
acute cellular rejection.
The company was founded in
1998.
Cibiltech Inc is located in
France</t>
  </si>
  <si>
    <t xml:space="preserve">CAREDX INC/CIBILTECH INC-STRATEGIC ALLIANCE</t>
  </si>
  <si>
    <t xml:space="preserve">CareDx Inc and Cibiltech Inc planned to form a strategic alliance was to
French MedTech company that develops AI-based products for predictive
medicine, to commercialize Predigraft and to commercialize Predigraft in
the US and CareDx becomes a minority equity owner of CibilTech. The
companies have also agreed to collaborate to advance the development of
artificial intelligence in transplant care.</t>
  </si>
  <si>
    <t xml:space="preserve">14167L
3J1576</t>
  </si>
  <si>
    <t xml:space="preserve">ANB Canada Inc
NeutriSci International Inc</t>
  </si>
  <si>
    <t xml:space="preserve">Marketing Consulting Services
Wholesale Trade Agents and Brokers</t>
  </si>
  <si>
    <t xml:space="preserve">ANB Canada Inc is an
advertising agency. The
company was founded in
December 2007 and is located
in Newmarket, Canada.
NeutriSci International Inc,
located in Calgary, Alberta,
is engaged in marketing,
development and distribution
of nutraceuticals. Its
products include NeuEnergy,
which combines caffeine and
the ingredient found in
blueberries. Its products
utilize a patented form of
Pterostilbene called
pTeroPure. pTeroPure
Pterostilbene is a form of
all-trans Pterostilbene that
is found naturally in
blueberries, and is
manufactured for the Company
by ChromaDex Corp.
(ChromaDex) in the United
States. It focuses on the
development of nutraceutical
products, which focus on
areas, such as heart and
cholesterol health, sleep
deprivation therapies,
immune defense, as well as
men''s prostate and sexual
health. It builds
distribution channels for
its BluScience and neuenergy
products with retailers
throughout the United
States. The Company was
founded in 2009.</t>
  </si>
  <si>
    <t xml:space="preserve">8742
5122</t>
  </si>
  <si>
    <t xml:space="preserve">Partners REIT
NeutriSci International Inc</t>
  </si>
  <si>
    <t xml:space="preserve">6798
5122</t>
  </si>
  <si>
    <t xml:space="preserve">ANB CANADA INC/NEUTRISCI INTERNATIONAL INC-STRATEGIC ALLIANCE</t>
  </si>
  <si>
    <t xml:space="preserve">ANB Canada Inc and NeutriSci International Inc planned to form a strategic
alliance was to ANB is one of the leading distributors of over-the-counter
products in Canada, and services all Food, Drug and Mass in the Canadian
market place from national to regional accounts.</t>
  </si>
  <si>
    <t xml:space="preserve">398242
64129Y</t>
  </si>
  <si>
    <t xml:space="preserve">Surterra Wellness LLC
Perfect Wave Hldg Inc</t>
  </si>
  <si>
    <t xml:space="preserve">Surterra Wellness LLC is a
manufacturer of medicinals
and botanicals. The Company
was founded in 2014 and is
located in Atlanta, Georgia.
Perfect Wave Holdings Inc is
a provider of financial
investment services. The
Company is located in
Cheyenne, Wyoming.</t>
  </si>
  <si>
    <t xml:space="preserve">GA
WY</t>
  </si>
  <si>
    <t xml:space="preserve">SURTERRA WELLNESS LLC/PERFECT WAVE HOLDINGS INC-STRATEGIC ALLIANCE</t>
  </si>
  <si>
    <t xml:space="preserve">Surterra Wellness LLC and Perfect Wave Holdings Inc formed a strategic
alliance in United States to develop a new line of cannabis- and hemp-based
wellness products wrapped around the theme of the classic lifestyle
documentary The Endless Summer. Surterra will develop and market a line of
Endless Summer-branded cannabis and hemp products and related merchandise.</t>
  </si>
  <si>
    <t xml:space="preserve">0J0412
3J3684</t>
  </si>
  <si>
    <t xml:space="preserve">MGC Pharmaceuticals Ltd
Health House Int Pty Ltd
Cannvalate Pty Ltd</t>
  </si>
  <si>
    <t xml:space="preserve">Pharmacies and Drug Stores
Pharmaceutical Preparation Manufacturing
Pharmaceutical Preparation Manufacturing</t>
  </si>
  <si>
    <t xml:space="preserve">MGC Pharmaceuticals Ltd is a
manufacturer of
pharmaceutical preparation.
The Company was founded in
October 2005 and is located
in Perth, Australia.
Health House Int Pty Ltd is
a manufacturer of
pharmaceutical preparation.
The Company is located in
Perth, Australia.
Cannvalate Pty Ltd is a
manufacturer of
pharmaceutical preparation.
The Company is located in
Melbourne, Australia.</t>
  </si>
  <si>
    <t xml:space="preserve">MGC PHARMACEUTICALS LTD/HEALTH HOUSE INT PTY LTD/CANNVALATE PTY
LTD-STRATEGIC ALLIANCE</t>
  </si>
  <si>
    <t xml:space="preserve">MGC Pharmaceuticals Ltd, Health House Int Pty Ltd and Cannvalate Pty Ltd
formed a strategic alliance. The purpose of strategic alliance was for
CannEpilTM, CogniCannTM, MXP100 and MXC1:1 products in Australia.</t>
  </si>
  <si>
    <t xml:space="preserve">2E7755
0J2868
1J1019</t>
  </si>
  <si>
    <t xml:space="preserve">Livzon Diagnostic Reagents Inc
Mr Liu Jun
Mr Chen Qiyue</t>
  </si>
  <si>
    <t xml:space="preserve">Pharmaceutical Preparation Manufacturing
Miscellaneous Financial Investment Activities
Miscellaneous Financial Investment Activities</t>
  </si>
  <si>
    <t xml:space="preserve">Livzon Diagnostic Reagents
Inc is a manufacturer of
pharmaceutical preparation.
The Company is located in
China.
Mr Liu Jun, located in
China, is an individual
investor.
Mr Chen Qiyue, located in
China, is an individual
investor.</t>
  </si>
  <si>
    <t xml:space="preserve">Livzon Pharm Grp Inc
Mr Liu Jun
Mr Chen Qiyue</t>
  </si>
  <si>
    <t xml:space="preserve">LIVZON DIAGNOSTIC REAGENTS INC/MR LIU JUN/MR CHEN QIYUE-JOINT VENTURE</t>
  </si>
  <si>
    <t xml:space="preserve">Livzon Pharmaceutical Group Inc, Mr Liu Jun and Mr Chen Qiyue formed a
joint venture in China to jointly carry out the subsequent development and
transformation of Livzon Reagents patent, cartridge patent and PCR patent.</t>
  </si>
  <si>
    <t xml:space="preserve">3J2085
3J2080
3J2082</t>
  </si>
  <si>
    <t xml:space="preserve">Schott AG
SINCAD</t>
  </si>
  <si>
    <t xml:space="preserve">Mnfr,wholesale glass products
Engineering Services</t>
  </si>
  <si>
    <t xml:space="preserve">Schott AG, located in Mainz,
Germany, manufactures and
wholesales industrial glass
products. Its product lines
include architectural glass,
kitchenware, cooking
surfaces, eyeglasses,
lighting, laboratory
equipments, pharmaceutical
packaging, and components
for appliances, television
and computer screens. The
Company is also a holding
firm and was founded in
1884.
SINCAD is a provider of
engineering services. The
Company is located in
France.</t>
  </si>
  <si>
    <t xml:space="preserve">3231
8711</t>
  </si>
  <si>
    <t xml:space="preserve">Carl-Zeiss-Stiftung
SINCAD</t>
  </si>
  <si>
    <t xml:space="preserve">3827
8711</t>
  </si>
  <si>
    <t xml:space="preserve">SCHOTT AG/SINCAD-STRATEGIC ALLIANCE</t>
  </si>
  <si>
    <t xml:space="preserve">Schott AG and SINCAD formed a strategic alliance to strength SCHOTTs
expertise in the field of camera inspection systems.</t>
  </si>
  <si>
    <t xml:space="preserve">80800V
3J2013</t>
  </si>
  <si>
    <t xml:space="preserve">Harbour Biomed
Chia Tai Pharm(Lianyungang)Co</t>
  </si>
  <si>
    <t xml:space="preserve">Harbour Biomed is a provider
of biotechnology research
and development services.
The Company is located in
Shanghai, China.
Chia Tai Pharmaceutical
(Lianyungang) Co Ltd, located
in Hong Kong, manufactures
prescription pharmaceuticals
intended for final
consumption, including biotech
products and antibiotics. The
company was founded in 2007.</t>
  </si>
  <si>
    <t xml:space="preserve">Harbour Biomed
Sino Biopharmaceutical Ltd</t>
  </si>
  <si>
    <t xml:space="preserve">HARBOUR BIOMED/CHIA TAI PHARMACEUTICAL-STRATEGIC ALLIANCE</t>
  </si>
  <si>
    <t xml:space="preserve">to discover, develop and commercialize next-generation biologics for
multiple therapeutic targets in oncology and immunology. Harbour Biomed and
Chia Tai Pharmaceutical (Lianyungang)Co Ltd planned to form a strategic
alliance.</t>
  </si>
  <si>
    <t xml:space="preserve">1F2821
16702P</t>
  </si>
  <si>
    <t xml:space="preserve">MGC Pharmaceuticals Ltd
Grow Biotech PLC</t>
  </si>
  <si>
    <t xml:space="preserve">MGC Pharmaceuticals Ltd is a
manufacturer of
pharmaceutical preparation.
The Company was founded in
October 2005 and is located
in Perth, Australia.
Grow Biotech PLC is a
provider of biotechnology
research and development
services. The Company was
founded in November 2017 and
is located in London, the
United Kingdom.</t>
  </si>
  <si>
    <t xml:space="preserve">MGC PHARMACEUTICALS LTD/GROW BIOTECH PLC-STRATEGIC ALLIANCE</t>
  </si>
  <si>
    <t xml:space="preserve">MGC Pharmaceuticals Ltd and Grow Biotech PLC formed a strategic alliance
was to MXC can now have direct access to their distribution channels in the
growing UK medical cannabis market. Concurrently MGC has also signed
agreement with IPS Specials.</t>
  </si>
  <si>
    <t xml:space="preserve">2E7755
5H7524</t>
  </si>
  <si>
    <t xml:space="preserve">MGC Pharmaceuticals Ltd
Ips Specials</t>
  </si>
  <si>
    <t xml:space="preserve">Pharmacies and Drug Stores
Pharmaceutical Preparation Manufacturing</t>
  </si>
  <si>
    <t xml:space="preserve">MGC Pharmaceuticals Ltd is a
manufacturer of
pharmaceutical preparation.
The Company was founded in
October 2005 and is located
in Perth, Australia.
IPS Specials is a
state-of-the-art cGMP, MHRA
licensedmanufacturer of
'Special' compounded
medications and is able to
supply an extensive range of
formulations, imported
products and Special
Obtains.</t>
  </si>
  <si>
    <t xml:space="preserve">MGC PHARMACEUTICALS LTD/IPS SPECIALS-STRATEGIC ALLIANCE</t>
  </si>
  <si>
    <t xml:space="preserve">MGC Pharmaceuticals Ltd and Ips Specials formed a strategic alliance was to
MXC can now have direct access to their distribution channels in the
growing UK medical cannabis market and to have access to MGCs propriety
products like CannEpilTM for people suffering from epilepsy and CogniCannTM
for people suffering from Dementia and Alzheimer.MGC has also signed
agreement with Grow Biotech PLC.</t>
  </si>
  <si>
    <t xml:space="preserve">2E7755
3J1830</t>
  </si>
  <si>
    <t xml:space="preserve">Roche Holdings AG
Bio-Techne Corp</t>
  </si>
  <si>
    <t xml:space="preserve">Manufactures, wholesales pharmaceuticals and medical instruments
Manufactures, wholesales biological products</t>
  </si>
  <si>
    <t xml:space="preserve">Roche Holding AG, located in
Basel, Switzerland,
manufactures and wholesales
pharmaceuticals and medical
instruments. The Company
operates through two
segments namely
Pharmaceuticals and
Diagnostics. The
Pharmaceuticals division
includes prescription and
manufacturing of
pharmaceutical products.
Diagnostic segment provides
products and services in all
fields of medical testing.
It also offers medicines,
diagnostics, chemicals and
diagnostic kits. The Company
operates in Switzerland,
European Union, the United
States, North Latin America,
Japan, Asia, Africa,
Australia and Oceania. Its
pharmaceutical products
include Anaprox, Avastin,
Bactrim, Bondronat,
CellCept, Cotellic,
Dilatrend, Dormicum,
Invirase, Kadcyla, Kytil
(Kecatril), Lariam,
MabThera, Madopar, Neupogen,
Pegasys, Perjeta, Pulmozyme,
Rocaltrol, Rocephin and
Roferon-A. It is also a
holding company. The Company
was founded in October 1896.
Bio-Techne Corp,
headquartered in
Minneapolis, Minnesota,
manufactures and wholesales
biological products through
its subsidiaries Research &amp;
Diagnostic Systems Inc and
R&amp;D Systems Europe Ltd. The
former unit manufactures
hematology controls and
develops biotechnology
products including purified
proteins and antibodies as
well as assay kits, while
the latter sells and
distributes the group's
products in Europe. The
Company was founded in 1981.</t>
  </si>
  <si>
    <t xml:space="preserve">ROCHE HOLDINGS AG/BIO-TECHNE CORP-STRATEGIC ALLIANCE</t>
  </si>
  <si>
    <t xml:space="preserve">Roche Holdings AG and Bio-Techne Corp planned to form a strategic alliance
was to offering drug discovery researchers in the U.S. new chromogenic
detection kits for automated in situ hybridization (ISH) tissue analysis.</t>
  </si>
  <si>
    <t xml:space="preserve">77119M
09073M</t>
  </si>
  <si>
    <t xml:space="preserve">PharmaNutra SpA
Bio-Gen Ilac Co</t>
  </si>
  <si>
    <t xml:space="preserve">PharmaNutra SpA is a
manufacturer of
pharmaceutical preparation.
The Company was founded in
2003 and is located in Pisa,
Italy.
Bio-Gen Ilac company lis
located in Turkey.</t>
  </si>
  <si>
    <t xml:space="preserve">Italy
Turkey</t>
  </si>
  <si>
    <t xml:space="preserve">PHARMANUTRA SPA/BIO-GEN ILAC CO-STRATEGIC ALLIANCE</t>
  </si>
  <si>
    <t xml:space="preserve">PharmaNutra SpA and Bio-Gen Ilac Co formed a strategic alliance was to
distribution of the cetilar product line abroad and gain recognition in
foreign markets Concurrently Pharmanutra SpA has also signed agreement with
Tty Biopharm</t>
  </si>
  <si>
    <t xml:space="preserve">6F6975
3J1852</t>
  </si>
  <si>
    <t xml:space="preserve">Predilife SA
Institut Curie</t>
  </si>
  <si>
    <t xml:space="preserve">Predilife SA is a provider
of medical research
services. It specializes in
breast cancer prevention. It
develops software MammoRisk
that enables to estimate the
risk of breast cancer in
women from 40 years old. The
Company was founded in 2004
and is located in Villejuif,
France.
Institut Curie is a provider
of biotechnology research
and development services.
The Company is located in
Paris, France.</t>
  </si>
  <si>
    <t xml:space="preserve">PREDILIFE SA/INSTITUT CURIE-STRATEGIC ALLIANCE</t>
  </si>
  <si>
    <t xml:space="preserve">Predilife SA and Institut Curie formed a strategic alliance for covering
genetic analyses for mammorisk, the next-generation test predicting the
risk of breast cancer.</t>
  </si>
  <si>
    <t xml:space="preserve">8H7553
3J2649</t>
  </si>
  <si>
    <t xml:space="preserve">PharmaNutra SpA
TTY Biopharm Co Ltd</t>
  </si>
  <si>
    <t xml:space="preserve">Manufacture pharmaceuticals
Mnfr,whl pharm</t>
  </si>
  <si>
    <t xml:space="preserve">PharmaNutra SpA is a
manufacturer of
pharmaceutical preparation.
The Company was founded in
2003 and is located in Pisa,
Italy.
TTY Biopharm Co Ltd,
headquartered in Taipei,
Taiwan, manufactures and
wholesales prescription
pharmaceuticals intended for
final consumption, including
biotech products and
antibiotics specializing in
anti-cancer drugs and in new
formula technology. It was
founded in 1960.</t>
  </si>
  <si>
    <t xml:space="preserve">Italy
Taiwan</t>
  </si>
  <si>
    <t xml:space="preserve">PHARMANUTRA SPA/TTY BIOPHARM CO LTD-STRATEGIC ALLIANCE</t>
  </si>
  <si>
    <t xml:space="preserve">PharmaNutra SpA and TTY Biopharm Co Ltd formed a strategic alliance was to
distribution of the cetilar product line abroad and gain recognition in
foreign markets. Concurrently PharmaNutra SpA has also signed agreement
with Bio-Gen Ilac.</t>
  </si>
  <si>
    <t xml:space="preserve">6F6975
87443V</t>
  </si>
  <si>
    <t xml:space="preserve">Take2 Health Ltd
Grail Inc</t>
  </si>
  <si>
    <t xml:space="preserve">Take2 Health Ltd is a
provider of ambulatory
health care services. The
Company is located in Hong
Kong.
Grail Inc, located in Menlo
Park, California, provides
biotechnology research and
development services. Its
mission is to detect cancer
early when it potentially
can be cured. The Company
was founded in 2016.</t>
  </si>
  <si>
    <t xml:space="preserve">TAKE2 HEALTH LTD/GRAIL INC-STRATEGIC ALLIANCE</t>
  </si>
  <si>
    <t xml:space="preserve">Take2 Health Ltd and Grail Inc formed a strategic alliance around the world
for the exclusive worldwide rights to an intellectual property portfolio
for the early detection of nasopharyngeal cancer (NPC). TAKE2 will
initially focus on the development and commercialization of technologies
that can allow the early detection of NPC.</t>
  </si>
  <si>
    <t xml:space="preserve">3J2979
3F3172</t>
  </si>
  <si>
    <t xml:space="preserve">Avricore Health Inc
Molecular You Corp</t>
  </si>
  <si>
    <t xml:space="preserve">Biological Product (Except Diagnostic) Manufacturing
Home Health Care Services</t>
  </si>
  <si>
    <t xml:space="preserve">Avricore Health Inc, located
in Richmond, British
Colombia, is a manufacturer
of pharmaceutical
preparation. The Company was
founded in 1996.
founded in 1996.
Molecular You Corp is a
provider of home health care
services. The Company was
founded in 2014 and is
located in Vancouver,
Canada.</t>
  </si>
  <si>
    <t xml:space="preserve">2834
8082</t>
  </si>
  <si>
    <t xml:space="preserve">VANC PHARMACEUTICALS INC/MOLECULAR YOU CORP-STRATEGIC ALLIANCE</t>
  </si>
  <si>
    <t xml:space="preserve">Avricore Health Inc and Molecular You Corp formed a strategic alliance was
to provide its newly developed genetic medication response test
myCannabisPGx TM , which is designed to ensure safe and effective use of
medical cannabis in a community pharmacy setting.</t>
  </si>
  <si>
    <t xml:space="preserve">0J7557
3J5390</t>
  </si>
  <si>
    <t xml:space="preserve">CSPC NBP Pharmaceutical Co Ltd
Shanghai Haihe Pharm Co Ltd</t>
  </si>
  <si>
    <t xml:space="preserve">CSPC NBP Pharmaceutical Co
Ltd is a manufacturer of
pharmaceutical preparation.
The Company was founded in
March 2003 and is located in
Shijiazhuang, China.
Shanghai HaiHe
Pharmaceutical Co Ltd is a
China-based company mainly
engaged in discovery,
development and
commercialization of
innovative anti-tumor drugs.
The Company's products
mainly includes RMX2001,
RMX1002, RMX1001, CYH33,
Glumetinib, Simmitecan with
Better Safety &amp; Efficacy,
Lucitanib, ON101 and
RMX3001. The Company mainly
conducts its businesses in
domestic market.</t>
  </si>
  <si>
    <t xml:space="preserve">CSPC Pharmaceutical Group Ltd
Shanghai Haihe Pharm Co Ltd</t>
  </si>
  <si>
    <t xml:space="preserve">CSPC NBP PHARMACEUTICAL CO LTD/SHANGHAI HAIHE PHARMACEUTICAL CO LTD-JOINT
VENTURE</t>
  </si>
  <si>
    <t xml:space="preserve">Shanghai Haishi
Biopharmaceutical Co Ltd is
a provider of biotechnology
research and development
services. The Company is
located in Shanghai, China.</t>
  </si>
  <si>
    <t xml:space="preserve">CSPC NBP Pharmaceutical Co Ltd and Shanghai HaiHe Pharmaceutical Co Ltd
formed a 70:30 joint venture named Shanghai Haishi Biopharm Co was to
research and development of innovative drugs. Shanghai Haishi
Biopharmaceutical Co Ltd is a provider of biotechnology research and
development services. The Company is located in Shanghai, China. The joint
venture was to have a capitalization of CY 10 Mil (USD 1.479 Mil).</t>
  </si>
  <si>
    <t xml:space="preserve">The joint venture was to have a capitalization of CY 10 Mil (USD 1.479
Mil).</t>
  </si>
  <si>
    <t xml:space="preserve">3J5448</t>
  </si>
  <si>
    <t xml:space="preserve">75723K
3J5443</t>
  </si>
  <si>
    <t xml:space="preserve">Eurofins Scientific SE
Adial Pharmaceuticals Inc</t>
  </si>
  <si>
    <t xml:space="preserve">Eurofins Scientific SE,
located in Luxembourg,
provides analytical testing
and advisory services for
the pharmaceutical, food,
and environmental
industries. It offers
bio-analytical and global
safety testing services for
clinical research programs.
It also provides water, air,
and soil analysis services,
as well as product testing.
It has operations in France,
Germany, Scandinavia,
Benelux, North America, the
UK and Ireland. The Company
was founded in 1987.
Adial Pharmaceuticals Inc is
a manufacturer of biological
products. The Company was
founded in October 2010 and
is located in
Charlottesville, Virginia.</t>
  </si>
  <si>
    <t xml:space="preserve">EUROFINS SCIENTIFIC SE/ADIAL PHARMACEUTICALS INC-STRATEGIC ALLIANCE</t>
  </si>
  <si>
    <t xml:space="preserve">Eurofins Scientific SE and Adial Pharmaceuticals Inc planned to form a
strategic alliance was to for Genetic Biomarker Testing to Support Upcomin
and provide the genetic testing during Adial Pharmaceutical's planned Phase
3 clinical trial ("Phase 3 Trial" or the "Trial"). The Phase 3 Trial is
designed to study AD04, a genetically targeted therapeutic agent for the
treatment of Alcohol Use Disorder.</t>
  </si>
  <si>
    <t xml:space="preserve">29990L
8F1300</t>
  </si>
  <si>
    <t xml:space="preserve">Dynata LLC
Glow Inc</t>
  </si>
  <si>
    <t xml:space="preserve">Provides social science research,development services
Research and Development in The Physical, Engineering and Lifesciences (Except Biotechnology)</t>
  </si>
  <si>
    <t xml:space="preserve">Dynata LLC, located in
Plano, Texas, provides
social sciences research and
development services. The
Company was founded in 1977.
Glow was founded by a former
PwC director who saw a need
to democratise research so
that businesses without vast
resources could compete in
an increasingly data driven
world. Our platform, which
we liken to a customer
insights ecosystem, brings
together all the tools and
resources you need to
understand and engage your
customers.</t>
  </si>
  <si>
    <t xml:space="preserve">8732
3721</t>
  </si>
  <si>
    <t xml:space="preserve">Court Square Capital Partners
Glow Inc</t>
  </si>
  <si>
    <t xml:space="preserve">DYNATA/GLOW INC-STRATEGIC ALLIANCE</t>
  </si>
  <si>
    <t xml:space="preserve">Dynata and Glow Inc formed a strategic alliance was to disruptive real-time
research platform, to offer customers a complete, self-service automated
solution and Provide End-to-End Automation from Data to Insights</t>
  </si>
  <si>
    <t xml:space="preserve">0J0569
3J2792</t>
  </si>
  <si>
    <t xml:space="preserve">Apothio LLC
NewBridge Global Ventures Inc</t>
  </si>
  <si>
    <t xml:space="preserve">Research and Development in The Physical, Engineering and Lifesciences (Except Biotechnology)
Medicinal and Botanical Manufacturing</t>
  </si>
  <si>
    <t xml:space="preserve">Apothio, LLC is located in
US
NewBridge Global Ventures
Inc is a provider of
administrative management
and general management
consulting services. The
Company was founded in 1983
and is located in Alameda,
California.</t>
  </si>
  <si>
    <t xml:space="preserve">3721
2833</t>
  </si>
  <si>
    <t xml:space="preserve">APOTHIO LLC/NEWBRIDGE GLOBAL VENTURES INC-JOINT VENTURE</t>
  </si>
  <si>
    <t xml:space="preserve">Apothio LLC and NewBridge Global Ventures Inc planned to form joint venture
was to create another high volume processing opportunity for NewBridge's
patented Shockwave Power Reactor (SPR) while serving Apothio's need for a
clean, scalable process by which they can produce valuable cannabinoids to
fully materialize relationships with nationwide distribution partners.</t>
  </si>
  <si>
    <t xml:space="preserve">3J2496
2H7458</t>
  </si>
  <si>
    <t xml:space="preserve">Benchmark Botanics Inc
Zhejiang Yatai Pharma Co Ltd</t>
  </si>
  <si>
    <t xml:space="preserve">Manufactures alternative medicine products
Pharmaceutical Preparation Manufacturing</t>
  </si>
  <si>
    <t xml:space="preserve">Benchmark Botanics Inc,
located in Richmond, British
Columbia, manufactures
alternative medicine
products. The Company''s
business is the business of
Potanicals Green Growers Inc
(Potanicals), which
capitalizes on opportunities
in the medical marijuana
market in Canada and
overseas. Potanicals has an
approximately 12,000 square
foot production facility in
Peachland, British Columbia,
Canada for planting, growing
and cultivating
medical-grade marijuana
using proprietary
cultivation methods.
Potanicals is a licensed
producer of marijuana under
the Health Canada approved
Access to Cannabis for
Medical Purposes Regulations
(ACMPR).
Zhejiang Yatai
Pharmaceutical Co Ltd is a
manufacturer and wholesaler
of pharmaceutical
preparation. The Company was
founded in December 2001 and
is located in Shaoxing,
China.</t>
  </si>
  <si>
    <t xml:space="preserve">BENCHMARK BOTANICS INC/ZHEJIANG YATAI PHARMACEUTICAL CO LTD-STRATEGIC
ALLIANCE</t>
  </si>
  <si>
    <t xml:space="preserve">Benchmark Botanics Inc and Zhejiang Yatai Pharmaceutical Co Ltd signed a
letter of intent to form an alliance around the world to promote and
conduct research and development, production, extraction and the commercial
application of CBD and its derivative products for medical applications.</t>
  </si>
  <si>
    <t xml:space="preserve">081612
99276R</t>
  </si>
  <si>
    <t xml:space="preserve">Cosmo Pharmaceuticals NV
Medtronic PLC</t>
  </si>
  <si>
    <t xml:space="preserve">Pharmaceutical Preparation Manufacturing
Manufactures and wholesales medical and surgical devices</t>
  </si>
  <si>
    <t xml:space="preserve">Cosmo Pharmaceuticals NV,
located in Dublin, the
Republic of Ireland,
manufactures and wholesales
pharmaceutical products. It
offers the gastro-intestinal
tract, specifically
Inflammatory Bowel Diseases
(IBD), colon infections and
colon diagnosis, as well as
selected topically treated
Skin Disorders. The Company
was founded in 1997.
Medtronic PLC is a
manufacturer of
navigational, measuring,
electromedical and control
instruments. The Company
manufactures and wholesales
medical and surgical
devices. Its products
include neurostimulation
systems, drug delivery
systems, neurosurgical
implant devices, surgical
access products, diagnostic
and therapeutic systems for
chronic pain, neurological,
urologic, and
gastrointestinal disorders
and coronary stents, stent
grafts, angioplasty
balloons, guiding catheters,
guide wires and surgical
instruments for treating
ear, nose, throat and eye
disorders and diseases. It
markets its products in 120
nations. The Company was
founded in 1949 and is
located in Dublin, the
Republic of Ireland.</t>
  </si>
  <si>
    <t xml:space="preserve">Ireland-Rep
Ireland-Rep</t>
  </si>
  <si>
    <t xml:space="preserve">COSMO PHARMACEUTICALS NV/MEDTRONIC PLC-STRATEGIC ALLIANCE</t>
  </si>
  <si>
    <t xml:space="preserve">Cosmo Pharmaceuticals NV and Medtronic PLC formed a strategic alliance. The
purpose of strategic alliance was for distribution Eleview.</t>
  </si>
  <si>
    <t xml:space="preserve">4F0600
5C9265</t>
  </si>
  <si>
    <t xml:space="preserve">Quadrise Fuels Intl PLC
Hawazin Regional Trading Co
Aleph Commodities Ltd</t>
  </si>
  <si>
    <t xml:space="preserve">Petrochemical Manufacturing
Other Miscellaneous Durable Goods Merchant Wholesalers
Miscellaneous Intermediation</t>
  </si>
  <si>
    <t xml:space="preserve">Quadrise Fuels International
PLC is a manufacturer of
petrochemicals. The Company
manufactures emulsion fuel.
It is engaged in to produce
an oil-in-water emulsion
fuel MSAR as a low cost
substitute for conventional
heavy fuel oil (HFO) for use
in power generation plants
and industrial and marine
diesel engines. The Company
also provides IT services.
The Company has two business
segments: emulsion fuel and
non-managed interests. It is
also engaged in enhanced
heavy oil recovery,
conversion of heavy oil,
refinery upgrade projects.
The Company is located in
London, the United Kingdom.
Hawazin Regional Trading Co
is a durable goods
wholesaler. The Company is
located in Kuwait.
Aleph Commodities Ltd is an
intermediating company. The
Company is located in
Kuwait.</t>
  </si>
  <si>
    <t xml:space="preserve">2869
5099
6799</t>
  </si>
  <si>
    <t xml:space="preserve">United Kingdom
Kuwait
Kuwait</t>
  </si>
  <si>
    <t xml:space="preserve">QUADRISE FUELS INTERNATIONAL PLC/HAWAZIN REGIONAL TRADING CO/ALEPH
COMMODITIES LTD-STRATEGIC ALLIANCE</t>
  </si>
  <si>
    <t xml:space="preserve">Kuwait</t>
  </si>
  <si>
    <t xml:space="preserve">Quadrise Fuels International PLC, Hawazin Regional Trading Co and Aleph
Commodities Ltd planned to form a strategic alliance for the production and
supply of MSAR technology, services and fuel in Kuwait.</t>
  </si>
  <si>
    <t xml:space="preserve">74676C
3J3967
3J3968</t>
  </si>
  <si>
    <t xml:space="preserve">Channel Co LLC
IDC Research Inc</t>
  </si>
  <si>
    <t xml:space="preserve">Software Publishers
Periodical Publishers</t>
  </si>
  <si>
    <t xml:space="preserve">Channel Co LLC is a provider
of IT channel-related media,
events and other marketing
solutions to the IT Channel.
The Company is located in
Westborough, Maine.
Idc Research Inc is a
periodical publisher. The
Company is located in
Framingham, Massachusetts.</t>
  </si>
  <si>
    <t xml:space="preserve">ME
MA</t>
  </si>
  <si>
    <t xml:space="preserve">Channel Co LLC
IDG Inc</t>
  </si>
  <si>
    <t xml:space="preserve">CHANNEL CO LLC/IDC RESEARCH INC-STRATEGIC ALLIANCE</t>
  </si>
  <si>
    <t xml:space="preserve">Channel Co LLC and IDC Research Inc formed a strategic alliance in United
States to bring more midmarket IT research to The Channel Company's Midsize
Enterprise Summit conferences and webinars.</t>
  </si>
  <si>
    <t xml:space="preserve">0E2696
3J3975</t>
  </si>
  <si>
    <t xml:space="preserve">Takeda Pharmaceutical Co Ltd
Adimab LLC</t>
  </si>
  <si>
    <t xml:space="preserve">Mnfr pharmaceutical products
Rsch, devlp human antibodies</t>
  </si>
  <si>
    <t xml:space="preserve">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
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t>
  </si>
  <si>
    <t xml:space="preserve">TAKEDA PHARMACEUTICAL CO LTD/ADIMAB LLC-STRATEGIC ALLIANCE</t>
  </si>
  <si>
    <t xml:space="preserve">Takeda Pharmaceutical Co Ltd and Adimab LLC formed a strategic alliance was
to discovery and optimization of antibody and non-antibody-based protein
therapeutics.</t>
  </si>
  <si>
    <t xml:space="preserve">874058
02255X</t>
  </si>
  <si>
    <t xml:space="preserve">IntelGenx Technologies Corp
Aquestive Therapeutics Inc</t>
  </si>
  <si>
    <t xml:space="preserve">Biotech co
Mnfr pharmaceutical products</t>
  </si>
  <si>
    <t xml:space="preserve">IntelGenx Technologies Corp,
located in Ville St-Laurent,
Quebec is a biotechnology
company focused on improving
existing medications by
incorporating its proprietary,
advanced controlled-release
technologies. The company was
founded in 1999.
Aquestive Therapeutics Inc
is a manufacturer of
pharmaceutical preparation.
The Company was founded in
2000 and is located in
Warren, Indiana.</t>
  </si>
  <si>
    <t xml:space="preserve">INTELGENX TECHNOLOGIES CORP/AQUESTIVE THERAPEUTICS INC-STRATEGIC ALLIANCE</t>
  </si>
  <si>
    <t xml:space="preserve">IntelGenx Technologies Corp and Aquestive Therapeutics Inc formed a
strategic alliance was to an oral drug delivery company, for the
co-development and commercialization of Tadalafil oral films for the
treatment of erectile dysfunction (ED)</t>
  </si>
  <si>
    <t xml:space="preserve">45822R
0K7672</t>
  </si>
  <si>
    <t xml:space="preserve">Efinix Inc
Samsung Electronics Co Ltd</t>
  </si>
  <si>
    <t xml:space="preserve">Develops software
Radio and Television Broadcasting and Wireless Communications Equipment Manufacturing</t>
  </si>
  <si>
    <t xml:space="preserve">Efinix Inc is a software
publisher. The Company was
founded in September 2012
and is located in Santa
Clara, California.
Samsung Electronics Co Ltd,
located in Suwon, South
Korea, manufactures and
wholesales consumer
electronic products. It
operates in three business
divisions: consumer
electronics (CE) division,
which involves in the color
televisions (CTVs),
monitors, printers, air
conditioners, refrigerators,
laundry machines and others;
information technology &amp;
mobile communications (IM)
division, which involves in
the production of computers,
handhold phones (HHPs),
network systems, digital
cameras and others, as well
as device solutions (DM)
division, which is divided
into semiconductor and
display business parts,
providing dynamic random
access memories (DRAMs),
flashes, thin film
transistor-liquid crystal
displays (TFT-LCDs) and
others. It is also a holding
company. The Company
distributes its products
within domestic market and
to overseas markets. It was
founded in 1969.</t>
  </si>
  <si>
    <t xml:space="preserve">7372
3663</t>
  </si>
  <si>
    <t xml:space="preserve">EFINIX INC/SAMSUNG ELECTRONICS CO LTD-STRATEGIC ALLIANCE</t>
  </si>
  <si>
    <t xml:space="preserve">Efinix Inc and Samsung Electronics Co Ltd formed a strategic alliance to
develop Quantum eFPGAs on Samsung's 10nm silicon process.</t>
  </si>
  <si>
    <t xml:space="preserve">1H5146
796050</t>
  </si>
  <si>
    <t xml:space="preserve">Hookipa Pharma Inc
Gilead Sciences Inc</t>
  </si>
  <si>
    <t xml:space="preserve">Specialty (Except Psychiatric and Substance Abuse) Hospitals
Biotechnology company</t>
  </si>
  <si>
    <t xml:space="preserve">Hookipa Pharma Inc is a
specialty hospital operator.
The Company is located in New
York City, New York.
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t>
  </si>
  <si>
    <t xml:space="preserve">HOOKIPA PHARMA INC/GILEAD SCIENCES INC-STRATEGIC ALLIANCE</t>
  </si>
  <si>
    <t xml:space="preserve">Hookipa Pharma Inc and Gilead Sciences Inc formed a strategic alliance in
United States for development of a therapeutic hepatitis B virus (HBV)
vaccine. HOOKIPA has completed the research milestone for HBV by designing
and delivering 10 research-grade vectors to Gilead, along with the
characterization of these vectors and delivery of a data package for the
HBV program.</t>
  </si>
  <si>
    <t xml:space="preserve">43906K
375558</t>
  </si>
  <si>
    <t xml:space="preserve">Adimab LLC
Novartis AG</t>
  </si>
  <si>
    <t xml:space="preserve">Adimab LLC, headquartered in
New Hampshire, United States,
researches and develops human
antibodies. The company
develops therapeutic
antibodies such as antigen and
human immunoglobulin (Igg). To
develop such, the company uses
its integrated yeast-based
human antibody discovery and
optimization platform. The
company offers its products
and research to
pharmaceuticals and
biotechnology companies. Some
of the company's partners are
Lilly, Roche and Merck &amp; Co.
The company was established by
two yeast biotechnologists:
Professor Tillman Gerngross
and Professor Dane Wittrup.
The company was founded in
2007.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</si>
  <si>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ADIMAB LLC/NOVARTIS AG-STRATEGIC ALLIANCE</t>
  </si>
  <si>
    <t xml:space="preserve">Adimab LLC and Novartis AG formed a strategic alliance to develop and
commercialize therapeutic programs resulting.</t>
  </si>
  <si>
    <t xml:space="preserve">02255X
66987V</t>
  </si>
  <si>
    <t xml:space="preserve">Agile Group Holdings Ltd
WE Solutions Ltd</t>
  </si>
  <si>
    <t xml:space="preserve">Land Subdivision
Automobile Manufacturing</t>
  </si>
  <si>
    <t xml:space="preserve">Agile Group Holdings Ltd is
a provider of land
subdivision services. The
Company was founded in July
2005 and is located in
Guangzhou, China. The
company also investment in
property development and
environmental protection
industry.
WE Solutions Ltd, located in
Hong Kong, is a manufacturer
of automobiles. The Company
was founded in 1989.</t>
  </si>
  <si>
    <t xml:space="preserve">6552
5094</t>
  </si>
  <si>
    <t xml:space="preserve">Full Choice Investments Ltd
WE Solutions Ltd</t>
  </si>
  <si>
    <t xml:space="preserve">AGILE GROUP HOLDINGS LTD/WE SOLUTIONS LTD-STRATEGIC ALLIANCE</t>
  </si>
  <si>
    <t xml:space="preserve">Agile Group Holdings Ltd and WE Solutions Ltd planned to form a strategic
alliance was to engage in the proposed cooperation for the production,
research and development of new energy vehicle(s) (NEV)-related technology
and products in the People's Republic of China (PRC).</t>
  </si>
  <si>
    <t xml:space="preserve">9E8952
7H5487</t>
  </si>
  <si>
    <t xml:space="preserve">National Renewable Energy
The National Energy Technology
Exxon Mobil Corp</t>
  </si>
  <si>
    <t xml:space="preserve">Pvd research,dvlp svcs
Alternative Energy Sources
Oil &amp; gas exploration and production company</t>
  </si>
  <si>
    <t xml:space="preserve">Provide research and
development services regarding
solar power, wind energy,
advanced vehicle systems,
geothermal energy and hydrogen
technologies
The National Energy
Technology Laboratory is an
alternative energy sources
establishment. The Company
was founded in 1970 and is
located in Pittsburgh,
Pennsylvania.
Exxon Mobil Corp is engaged
in the exploration and
production of crude oil and
natural gas, manufacturing
of petroleum products, and
transportation and sale of
crude oil, natural gas and
petroleum products. The
Company also manufactures
and markets petrochemicals,
including olefins,
aromatics, polyethylene and
polypropylene plastics, and
various specialty products.
The Company operates through
the upstream, downstream,
chemical, and corporate and
financing segments. The
upstream segment operates to
explore for and produce
crude oil and natural gas.
The downstream segment
operates to manufacture and
sell petroleum products. The
chemical segment operates to
manufacture and sell
petrochemicals. The
Company's projects include
the Kearl project,
Heidelberg project, the
Point Thomson project, the
Hadrian South project, the
Lucius project, the Barzan
project, the Arkutun-Dagi
project, and the Upper Zakum
750 project, among others.
The Company was founded on
30 November 1999 and is
located in Irving, Texas.</t>
  </si>
  <si>
    <t xml:space="preserve">8731
499A
2911</t>
  </si>
  <si>
    <t xml:space="preserve">CO
PA
TX</t>
  </si>
  <si>
    <t xml:space="preserve">NATIONAL RENEWABLE ENERGY/THE NATIONAL ENERGY TECHNOLOGY LABORATORY/EXXON
MOBIL CORP-STRATEGIC ALLIANCE</t>
  </si>
  <si>
    <t xml:space="preserve">National Renewable Energy Laboratory, The National Energy Technology
Laboratory and Exxon Mobil Corp planned to form a strategic alliance. The
purpose of strategic alliance was to bring lower-emissions technologies to
commercial scale.</t>
  </si>
  <si>
    <t xml:space="preserve">63736P
3J6961
30231G</t>
  </si>
  <si>
    <t xml:space="preserve">Indian Institute Of
Indus Cannabis Co</t>
  </si>
  <si>
    <t xml:space="preserve">Indian Institute of
Integrative Medicine (IIIM)
is a national Institute of
the Council of Scientific &amp;
Industrial Research (CSIR)
of India,
Indus Cannabis Company is
located in India.</t>
  </si>
  <si>
    <t xml:space="preserve">INDIAN INSTITUTE OF INTEGRATIVE MEDICINE/INDUS CANNABIS CO-STRATEGIC
ALLIANCE</t>
  </si>
  <si>
    <t xml:space="preserve">Indian Institute Of Integrative Medicine and Indus Cannabis Co planned to
form a strategic alliance was to the discovery of pharmaceuticals derived
from natural products, such as medicinal plants and microbial species and
Supply Premium Cannabis to Indias Vast Addressable Patient Population</t>
  </si>
  <si>
    <t xml:space="preserve">3J3341
3J3342</t>
  </si>
  <si>
    <t xml:space="preserve">RedHawk Holdings Corp
Jeeds Health Inc</t>
  </si>
  <si>
    <t xml:space="preserve">RedHawk Holdings Corp,
located in Lafayette,
Louisiana, United States of
America, is a drug store
operator. The Company is
engaged in sales and
distribution of medical
devices, sales of branded
generic pharmaceutical
drugs, commercial real
estate investment and
leasing, sales of point of
entry full-body security
systems, and specialized
financial services. The
company was founded in 2006.
Jeeds Health Inc is lovated
in US.</t>
  </si>
  <si>
    <t xml:space="preserve">LA
NY</t>
  </si>
  <si>
    <t xml:space="preserve">REDHAWK HOLDINGS CORP/JEEDS HEALTH INC-STRATEGIC ALLIANCE</t>
  </si>
  <si>
    <t xml:space="preserve">RedHawk Holdings Corp and Jeeds Health Inc planned to form a strategic
alliance\ was to for the sale of its SAN DD mini ("Sharps and Needle
Destruction Device") needle destruction devices. The Company believes the
agreement will eventually extend to the SANDD Pro unit when it is offered
for sale later in 2019.</t>
  </si>
  <si>
    <t xml:space="preserve">45343Y
3J3344</t>
  </si>
  <si>
    <t xml:space="preserve">Immersion Corp
Sony Interactive Ent Inc</t>
  </si>
  <si>
    <t xml:space="preserve">Mnfr,whl digital touch prod
Audio and Video Equipment Manufacturing</t>
  </si>
  <si>
    <t xml:space="preserve">Immersion Corp, located San
Jose, California, provides
haptic technology to create
immersive and realistic
experiences that enhance
digital interactions on mobile
devices. The company was
founded in 1993.
Sony Interactive
Entertainment Inc is a
manufacturer of audio and
video equipment. The Company
was founded in December 2016
and is located in San Mateo,
California.</t>
  </si>
  <si>
    <t xml:space="preserve">3577
3651</t>
  </si>
  <si>
    <t xml:space="preserve">Immersion Corp
Sony Corp</t>
  </si>
  <si>
    <t xml:space="preserve">IMMERSION CORP/SONY INTERACTIVE ENTERTAINMENT INC-STRATEGIC ALLIANCE</t>
  </si>
  <si>
    <t xml:space="preserve">Immersion Corp and Sony Interactive Entertainment Inc formed a strategic
alliance in United States to license Immersions advanced haptics patent
portfolio. Under the agreement, SIE can also leverage Immersions haptics
technology for gaming controllers and VR controllers.</t>
  </si>
  <si>
    <t xml:space="preserve">Licensing Services
Research &amp; Development Services
Software Development Services
Gaming Services</t>
  </si>
  <si>
    <t xml:space="preserve">452521
9H8081</t>
  </si>
  <si>
    <t xml:space="preserve">Cantargia AB
Patheon Biologics Bv</t>
  </si>
  <si>
    <t xml:space="preserve">Cantargia AB is a
biotechnology company. The
Company was founded in 2009
and is located in Lund,
Sweden. It is engaged in the
development of products used
in the treatment of cancer.
It has developed specific
antibodies against IL1RAP to
treat serious,
life-threatening diseases.
The Company''s first product
candidate, CAN04, has also
been designed to treat
different forms of cancer,
with the initial focus on
the treatment of non-small
cell lung cancer and
pancreatic cancer.
Patheon Biologics BV is a
Biotechnology company in
Groningen, Netherlands</t>
  </si>
  <si>
    <t xml:space="preserve">CANTARGIA AB/PATHEON BIOLOGICS BV-STRATEGIC ALLIANCE</t>
  </si>
  <si>
    <t xml:space="preserve">Cantargia AB and Patheon Biologics Bv planned to form a strategic alliance
was to future production of the antibody CAN04 (nidanilimab), which is
currently in phase IIa clinical development for non-small cell lung cancer
and pancreatic cancer.</t>
  </si>
  <si>
    <t xml:space="preserve">1F3766
3J3788</t>
  </si>
  <si>
    <t xml:space="preserve">Solis Mammography LLC
Rose Medical Center</t>
  </si>
  <si>
    <t xml:space="preserve">Irradiation Apparatus Manufacturing
Own and operate hospitals</t>
  </si>
  <si>
    <t xml:space="preserve">Solis Mammography LLC, located
in Addison, Texas is a
specialized healthcare
provider focused in
mammography and imaging
services
Own and operate hospitals;
provide home health care and
health and allied services</t>
  </si>
  <si>
    <t xml:space="preserve">3844
8062</t>
  </si>
  <si>
    <t xml:space="preserve">Solis Mammography LLC
HCA Healthcare Inc</t>
  </si>
  <si>
    <t xml:space="preserve">SOLIS MAMMOGRAPHY LLC/ROSE MEDICAL CENTER-STRATEGIC ALLIANCE</t>
  </si>
  <si>
    <t xml:space="preserve">Solis Mammography LLC and Rose Medical Center formed a strategic alliance.
The purpose of strategic alliance was to make breast health screening and
diagnostic services more convenient across the greater Denver area.</t>
  </si>
  <si>
    <t xml:space="preserve">5F0714
42178C</t>
  </si>
  <si>
    <t xml:space="preserve">Koninklijke Philips NV
Rutherford Diagnostics Ltd</t>
  </si>
  <si>
    <t xml:space="preserve">Audio and Video Equipment Manufacturing
Medical Laboratories</t>
  </si>
  <si>
    <t xml:space="preserve">Koninklijke Philips NV,
located in Amsterdam, the
Netherlands, manufactures and
wholesales consumer electronic
products including diagnostic
imaging, image-guided therapy,
patient monitoring, and health
informatics. It also offers
entertainment products and
house appliances; lighting
products, and automotive
accessories. Likewise, it is
engaged in the production of
telecommunication equipment
and other electronic products.
It serves as holding and
parent company of the Philips
Group. The Company was founded
in May 1891.
Rutherford Diagnostics Ltd
is a medical laboratory
operator. The Company is
located in the United
Kingdom.</t>
  </si>
  <si>
    <t xml:space="preserve">3845
8071</t>
  </si>
  <si>
    <t xml:space="preserve">Koninklijke Philips NV
Proton Partners Intl Ltd</t>
  </si>
  <si>
    <t xml:space="preserve">KONINKLIJKE PHILIPS NV/RUTHERFORD DIAGNOSTICS LTD-STRATEGIC ALLIANCE</t>
  </si>
  <si>
    <t xml:space="preserve">Koninklijke Philips NV and Rutherford Diagnostics Ltd formed a strategic
alliance. The purpose of strategic alliance was to deliver and operate
advanced personalized diagnostic services through a network of community
diagnostic centers, driving the best possible healthcare outcomes for
patients.</t>
  </si>
  <si>
    <t xml:space="preserve">N7637U
3J4057</t>
  </si>
  <si>
    <t xml:space="preserve">Vuzix Corp
Plessey Semiconductors Ltd</t>
  </si>
  <si>
    <t xml:space="preserve">Mnfr, whl personal viewers
Mnfr,whl integrated circuits</t>
  </si>
  <si>
    <t xml:space="preserve">Vuzix Corp is a manufacturer
of computer peripheral
equipment. The Company was
founded in 1997 and is
located in West Henrietta,
New York , is engaged in the
design, manufacture,
marketing and sale of
devices that are worn like
eyeglasses and feature
built-in video screens that
enable the user to view
video and digital content,
such as movies, computer
data, the Internet or video
games. The company was
founded in 1997.
Plessey Semiconductors Ltd,
located in Plymouth, UK,
manufactures and wholesales
integrated circuits. It also
offers demodulators, data
converters, amplifiers, ECL,
LDO, sensors and pin diodes.
It was founded in 1957.</t>
  </si>
  <si>
    <t xml:space="preserve">VUZIX CORP/PLESSEY SEMICONDUCTORS LTD-STRATEGIC ALLIANCE</t>
  </si>
  <si>
    <t xml:space="preserve">Vuzix Corp and Plessey Semiconductors Ltd formed a strategic alliance to
support the development and production of next-generation AR products and
solutions that combine Plessey's microLED light source technology with
Vuzix' extensive expertise and IP in smart glasses and essential optics
technologies.</t>
  </si>
  <si>
    <t xml:space="preserve">92921W
72905J</t>
  </si>
  <si>
    <t xml:space="preserve">Pneuma Respiratory Inc
Leads Biolabs Inc</t>
  </si>
  <si>
    <t xml:space="preserve">Navigational, Measuring, Electromedical, and Control Instruments Manufacturing
Biological Product (Except Diagnostic) Manufacturing</t>
  </si>
  <si>
    <t xml:space="preserve">Pneuma Respiratory Inc is a
manufacturer of
navigational, measuring,
electromedical and control
instruments. The Company was
founded in December 2015 and
is located in Boone, North
Carolina.
Leads Biolabs Inc is a
manufacturer of biological
products. The Company is
located in Germantown,
Maryland.</t>
  </si>
  <si>
    <t xml:space="preserve">PNEUMA RESPIRATORY INC/LEADS BIOLABS INC-STRATEGIC ALLIANCE</t>
  </si>
  <si>
    <t xml:space="preserve">Pneuma Respiratory Inc and Leads Biolabs Inc planned to form a strategic
alliance to develop Leads Biolabs panel of immuno-oncology monoclonal
antibodies and fusion protein molecules for the pulmonary delivery of Leads
antibodies and molecules.</t>
  </si>
  <si>
    <t xml:space="preserve">3J4034
3J4035</t>
  </si>
  <si>
    <t xml:space="preserve">Zymeworks Inc
Iconic Therapeutics Inc</t>
  </si>
  <si>
    <t xml:space="preserve">Zymeworks Inc is a provider
of biotechnology research
and development services.
The company was founded in
2003 and is located in
Vancouver, Canada.
Iconic Therapeutics, Inc. is
a United States-based
clinical-stage
biopharmaceutical company.
The Company is engaged in
utilizing Tissue Factor (TF)
biology to develop
therapeutics for retinal
disease and cancer. The
Company develops
therapeutics approach to
retinal disease and cancer
that targets TF in
angiogenesis, inflammation,
and metastasis. The Companys
TF platform includes
ophthalmology and oncology.
Its lead ICON-1 program is a
potential disease-modifying
therapy for wet AMD. . Its
second program in
preclinical development for
solid tumors has shown
activity in difficult to
treat xenografts and PDX
models.</t>
  </si>
  <si>
    <t xml:space="preserve">ZYMEWORKS INC/ICONIC THERAPEUTICS INC-STRATEGIC ALLIANCE</t>
  </si>
  <si>
    <t xml:space="preserve">Zymeworks Inc and Iconic Therapeutics Inc formed a strategic alliance. The
purpose of strategic alliance was to grant Iconic Therapeutics, Inc.
(Iconic) non-exclusive rights to Zymeworks' proprietary ZymeLink
antibody-drug conjugate (ADC) platform for the development of its ICON-2
Tissue Factor ADC for cancer.</t>
  </si>
  <si>
    <t xml:space="preserve">98985W
3J4022</t>
  </si>
  <si>
    <t xml:space="preserve">Adaptimmune Therapeutics PLC
Alpine Immune Sciences Inc</t>
  </si>
  <si>
    <t xml:space="preserve">Adaptimmune Therapeutics
PLC, located in Abingdon,
the United Kingdom, is a
provider of biotechnology
research and development
services. The Company was
founded in April 2015.
Nivalis Therapeutics Inc,
located in Boulder, Colorado,
is a clinical-stage
biopharmaceutical company. The
Company manufactures and
develops small molecules
targeting GSNOR. It is
primarily focused on the
development of therapies for
cystic fibrosis. The Companys
lead compound, oral N91115, is
progressing though Phase one
testing in healthy subjects
with studies targeted at
patients with cystic fibrosis.
The Companys therapies
preserve intracellular GSNO
(S-nitrosoglutathione), a key
regulator of CFTR (cystic
fibrosis transmembrane
conductance regulator)
trafficking and stability. The
Company was founded on 2012</t>
  </si>
  <si>
    <t xml:space="preserve">ADAPTIMMUNE THERAPEUTICS PLC/ALPINE IMMUNE SCIENCES INC-STRATEGIC ALLIANCE</t>
  </si>
  <si>
    <t xml:space="preserve">Adaptimmune Therapeutics plc and Alpine Immune Sciences Inc planned to form
a strategic alliance. The purpose of strategic alliance was to develop
next-generation SPEAR T-cell products which incorporate Alpines secreted
and transmembrane immunomodulatory protein (termed SIP and TIP)
technology.</t>
  </si>
  <si>
    <t xml:space="preserve">00653A
02083G</t>
  </si>
  <si>
    <t xml:space="preserve">Scintomics GmbH
1717 Life Science Ventures</t>
  </si>
  <si>
    <t xml:space="preserve">Scintomics GmbH is a
manufacturer of
pharmaceutical preparation.
The Company was founded in
2006 and is located in
Furstenfeldbruck, Germany.
1717 Life Science Ventures
GmbH is a manufacturer of
pharmaceutical preparation.
The Company was founded in
March 2018 and is located in
Berlin, Germany.</t>
  </si>
  <si>
    <t xml:space="preserve">SCINTOMICS GMBH/1717 LIFE SCIENCE VENTURES GMBH-JOINT VENTURE</t>
  </si>
  <si>
    <t xml:space="preserve">Scintomics GmbH and 1717 Life Science Ventures GmbH formed joint venture in
Germany to collaborate in the development of the theranostic pair
PentixaFor / PentixaTher. The joint venture enables the companies to create
optimal conditions for the clinical development of theranostic drugs.</t>
  </si>
  <si>
    <t xml:space="preserve">1H7192
3J6218</t>
  </si>
  <si>
    <t xml:space="preserve">GVK Biosciences Pvt Ltd
LifeArc</t>
  </si>
  <si>
    <t xml:space="preserve">Pvd contract research svcs
Research and Development in Biotechnology</t>
  </si>
  <si>
    <t xml:space="preserve">GVK Biosciences Pvt Ltd,
located in Hyderabad, India,
provides contract research
services to a growing global
base of pharmaceutical and
biotechnology companies. Its
main services include
informatics, chemistry,
clinical pharmacology,
process R&amp;D, clinical
research, and biology,
servicing 15 of the top 20
global Big Pharma companies.
The company was founded in
2001.
LifeArc is a provider of
biotechnology research and
development services. The
Company is located in
London, the United Kingdom.</t>
  </si>
  <si>
    <t xml:space="preserve">GVK Group Ltd
LifeArc</t>
  </si>
  <si>
    <t xml:space="preserve">GVK BIOSCIENCES PVT LTD/LIFEARC-STRATEGIC ALLIANCE</t>
  </si>
  <si>
    <t xml:space="preserve">GVK Biosciences Pvt Ltd and LifeArc planned to form a strategic
alliance.The purpose of the strategic alliance is to bring together two
organizations with a singular vision: advancing novel research ideas into
potential medicines that can make a significant difference to patients.</t>
  </si>
  <si>
    <t xml:space="preserve">36068C
3J0489</t>
  </si>
  <si>
    <t xml:space="preserve">New Flyer Of America Inc
Robotic Research LLC</t>
  </si>
  <si>
    <t xml:space="preserve">All Other Automotive Repair and Maintenance
Research and Development in The Physical, Engineering and Lifesciences (Except Biotechnology)</t>
  </si>
  <si>
    <t xml:space="preserve">New Flyer Of America Inc is
a provider of automotive
repair and maintenance
services. The Company was
founded in 1970 and is
located in the United
States.
Robotic Research LLC is a
provider of research and
development services. The
Company is located in
Gaithersburg, Maryland.</t>
  </si>
  <si>
    <t xml:space="preserve">7534
8731</t>
  </si>
  <si>
    <t xml:space="preserve">Ball Corp
Robotic Research LLC</t>
  </si>
  <si>
    <t xml:space="preserve">3411
8731</t>
  </si>
  <si>
    <t xml:space="preserve">NEW FLYER OF AMERICA INC/ROBOTIC RESEARCH LLC-STRATEGIC ALLIANCE</t>
  </si>
  <si>
    <t xml:space="preserve">New Flyer Of America Inc and Robotic Research LLC formed a strategic
alliance to advance autonomous bus technology through developing and
deploying advanced driver-assistance systems (ADAS) in heavy-duty transit
bus applications.</t>
  </si>
  <si>
    <t xml:space="preserve">3J4672
3J4673</t>
  </si>
  <si>
    <t xml:space="preserve">ipoque GmbH
Martin Luther Univ Halle</t>
  </si>
  <si>
    <t xml:space="preserve">Provide software services
Colleges, Universities, and Professional Schools</t>
  </si>
  <si>
    <t xml:space="preserve">ipoque GmbH is a provider of
custom computer programming
services. The Company was
founded in 2005 and is
located in Leipzig, Germany.
Martin Luther University
Halle Wittenberg is a
college operator. The
Company is located in Halle,
Germany.</t>
  </si>
  <si>
    <t xml:space="preserve">Rohde &amp; Schwarz GmbH &amp; Co KG
Martin Luther Univ Halle</t>
  </si>
  <si>
    <t xml:space="preserve">3669
8221</t>
  </si>
  <si>
    <t xml:space="preserve">IPOQUE GMBH/MARTIN LUTHER UNIVERSITY HALLE WITTENBERG-STRATEGIC ALLIANCE</t>
  </si>
  <si>
    <t xml:space="preserve">ipoque GmbH and Martin Luther University Halle Wittenberg formed a
strategic alliance to focus on future technologies like big data analytics,
machine learning or artificial intelligence and how they can boost network
analytics.</t>
  </si>
  <si>
    <t xml:space="preserve">47447X
3J5025</t>
  </si>
  <si>
    <t xml:space="preserve">Hyundai Capital America
Flexdrive Services LLC</t>
  </si>
  <si>
    <t xml:space="preserve">Pvd credit card services
Provides passenger car rental services</t>
  </si>
  <si>
    <t xml:space="preserve">Hyundai Capital America,
located in California, United
States, provides credit card
services. The company was
founded in 1989.
Flexdrive Services LLC,
located in Atlanta, Georgia,
provides passenger car
rental services.</t>
  </si>
  <si>
    <t xml:space="preserve">6141
7514</t>
  </si>
  <si>
    <t xml:space="preserve">Hyundai Motor Co
Cox Enterprises Inc</t>
  </si>
  <si>
    <t xml:space="preserve">3711
2711</t>
  </si>
  <si>
    <t xml:space="preserve">HYUNDAI CAPITAL AMERICA/FLEXDRIVE SERVICES LLC-STRATEGIC ALLIANCE</t>
  </si>
  <si>
    <t xml:space="preserve">Hyundai Capital America and Flexdrive Services LLC planned to form a
strategic alliance in United States to support the development of
alternatives to the traditional vehicle ownership model that include
compelling economic benefits for both automotive dealers and consumers.</t>
  </si>
  <si>
    <t xml:space="preserve">Research &amp; Development Services
Software Development Services
Automotive Services</t>
  </si>
  <si>
    <t xml:space="preserve">44609J
1J1340</t>
  </si>
  <si>
    <t xml:space="preserve">Genus PLC
Beijing Capital Agribus &amp;</t>
  </si>
  <si>
    <t xml:space="preserve">Support Activities For Animal Production
Provide animal husbandry services</t>
  </si>
  <si>
    <t xml:space="preserve">Genus PLC animal genetics
company. The Company
provides cattle breeding,
farm consulting and animal
production support services.
The Group's principal
activity is developing new
genetic traits in cattle,
sold as cattle semen
world-wide, artificial
insemination of cattle. The
Company was founded in
September 1994 and is
located in Basingstoke, the
United Kingdom.
Beijing Capital Agribusiness
&amp; Foods Group located in
Beijing, China is a provider
of animal production support
services. The Company was
founded in April 2009.</t>
  </si>
  <si>
    <t xml:space="preserve">0751
0751</t>
  </si>
  <si>
    <t xml:space="preserve">GENUS PLC/BEIJING CAPITAL AGRIBUSINESS &amp; FOODS GROUP-STRATEGIC ALLIANCE</t>
  </si>
  <si>
    <t xml:space="preserve">Genus PLC and Beijing Capital Agribusiness Group Co Ltd planned to form a
strategic alliance. The purpose of strategic alliance is to research,
develop, register and market in China elite PIC pigs that are resistant to
Porcine Reproductive and Respiratory Syndrome virus (PRRSv).</t>
  </si>
  <si>
    <t xml:space="preserve">Research &amp; Development Services
Marketing Services
Agricultural, Forestry, &amp; Fishing Svcs</t>
  </si>
  <si>
    <t xml:space="preserve">G3827X
2J2403</t>
  </si>
  <si>
    <t xml:space="preserve">Takeda Pharmaceutical Co Ltd
Frazier Healthcare Partners</t>
  </si>
  <si>
    <t xml:space="preserve">Mnfr pharmaceutical products
Private equity firm</t>
  </si>
  <si>
    <t xml:space="preserve">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
Frazier Healthcare Partners,
located in Seattle,
Washington, is a private
equity firm. It invests in
healthcare and
pharmaceutical services,
medical products and related
sectors. The Company was
founded in 1991.</t>
  </si>
  <si>
    <t xml:space="preserve">TAKEDA PHARMACEUTICAL CO LTD/FRAZIER HEALTHCARE PARTNERS-STRATEGIC
ALLIANCE</t>
  </si>
  <si>
    <t xml:space="preserve">Takeda Pharmaceutical Co Ltd and Frazier Healthcare Partners formed a
strategic alliance around the world to develop and commercialise therapies
for the treatment of gastrointestinal (GI) diseases and disorders. Takeda
Pharmaceutical has collaborated with US-based Frazier Healthcare Partners
to launch a biopharmaceutical company named Phathom Pharmaceuticals.</t>
  </si>
  <si>
    <t xml:space="preserve">874058
4E0419</t>
  </si>
  <si>
    <t xml:space="preserve">Mondo TV SpA
Undisclosed JV Partner</t>
  </si>
  <si>
    <t xml:space="preserve">Pvd motion picture prodn svcs
Investment company</t>
  </si>
  <si>
    <t xml:space="preserve">Mondo TV SpA, located in
Rome, Italy, provides motion
picture production services.
The group engages in the
production and distribution
of animated television
series and feature-length
cartoons for TV and film
markets. The Company creates
and produces its own series
of animated cartoons, such
as Sandokan and The Great
Book of Nature. It publishes
books, magazines, comic
books, and sticker
collections based on its own
cartoon series. The Company
also engages in the
multimedia development.
Investment company</t>
  </si>
  <si>
    <t xml:space="preserve">7812
6799</t>
  </si>
  <si>
    <t xml:space="preserve">MONDO TV SPA/UNDISCLOSED PARTNER-STRATEGIC ALLIANCE</t>
  </si>
  <si>
    <t xml:space="preserve">Mondo TV SpA and Undisclosed Joint Venture Partner planned to form a
strategic alliance. The purpose of strategic alliance is for the
exploitation of the House of Talent brand for the production of a web
series and the development of related licensing and merchandising.</t>
  </si>
  <si>
    <t xml:space="preserve">Radio &amp; Television Broadcasting Svcs
Research &amp; Development Services</t>
  </si>
  <si>
    <t xml:space="preserve">60923Q
904JVP</t>
  </si>
  <si>
    <t xml:space="preserve">Hemp Inc
Pistil Partners Inc
Ironside Hemp Co</t>
  </si>
  <si>
    <t xml:space="preserve">Wholesale hemp products
Medicinal and Botanical Manufacturing
Medicinal and Botanical Manufacturing</t>
  </si>
  <si>
    <t xml:space="preserve">Hemp Inc, located in Las
Vegas, Nevada, wholesales
hemp products. It focused on
various green sustainable
products that industrial
hemp offers to the world.
The Company was founded in
2008.
Pistil Partners, Inc is
located in Canada.
Ironside Hemp Company is
located in Canada.</t>
  </si>
  <si>
    <t xml:space="preserve">5159
2833
2833</t>
  </si>
  <si>
    <t xml:space="preserve">NV
FF
FF</t>
  </si>
  <si>
    <t xml:space="preserve">Hemp Inc
Pistil Partners Inc
Pistil Partners Inc</t>
  </si>
  <si>
    <t xml:space="preserve">HEMP INC/PISTIL PARTNERS INC/IRONSIDE HEMP CO-STRATEGIC ALLIANCE</t>
  </si>
  <si>
    <t xml:space="preserve">Hemp Inc, Pistil Partners Inc and Ironside Hemp Co planned to form a
strategic alliance was to further allow farmers to access high-quality
clones to continue our efforts in bringing this lucrative crop back to this
country and is always searching for value partners to add to our already
impressive list and help the small American farm through hemp</t>
  </si>
  <si>
    <t xml:space="preserve">423703
3J6760
3J6762</t>
  </si>
  <si>
    <t xml:space="preserve">Tyson Ranch
Big Foot Management LLC</t>
  </si>
  <si>
    <t xml:space="preserve">Tyson Ranch is a cannabis
company founded by Mike
Tyson. Consistency and
quality are at the core of
our company with the mission
to make cannabis universally
understood and accessible is
located in US.
Big Foot Management, LLC is
a California based cannabis
technology company that is
aims to provide high-grade
cannabis products to the
public by combining
innovative cutting-edge
technologies with meticulous
standards and care.</t>
  </si>
  <si>
    <t xml:space="preserve">TYSON RANCH/BIG FOOT MANAGEMENT LLC-STRATEGIC ALLIANCE</t>
  </si>
  <si>
    <t xml:space="preserve">Tyson Ranch and Big Foot Management LLC planned to form a strategic
alliance was to develops novel technologies and specializes in producing
water-soluble formats of cannabis and help us round out our product
offerings and continue to set us apart from all other cannabis companies</t>
  </si>
  <si>
    <t xml:space="preserve">3J6664
3J6666</t>
  </si>
  <si>
    <t xml:space="preserve">Roswell Pk Comprehensive
Buffalo Med Grp P.C
Catholic Health System
Catholic Health Svcs Of Long
Cayuga Health Sys
Niagara Falls Memorial Med
Oneida Healthcare
Upper Allegheny Health Sys</t>
  </si>
  <si>
    <t xml:space="preserve">Offices Of Physicians (Except Mental Health Specialists)
All Other Miscellaneous Ambulatory Health Care Services
Pvd medical/health svcs
All Other Miscellaneous Ambulatory Health Care Services
All Other Miscellaneous Ambulatory Health Care Services
All Other Miscellaneous Ambulatory Health Care Services
All Other Miscellaneous Ambulatory Health Care Services
All Other Miscellaneous Ambulatory Health Care Services</t>
  </si>
  <si>
    <t xml:space="preserve">Roswell Park Comprehensive
Cancer Center The Company is
located in Buffalo, New
York.
Buffalo Medical Group is a
provider of ambulatory
health care services. The
Company is located in New
York.
Provide medical/health
services
Catholic Health Services Of
Long Island is a provider of
ambulatory health care
services. The Company is
located in New York.
Cayuga Health System is a
provider of ambulatory
health care services. The
Company is located in New
York.
Niagara Falls Memorial
Medical Center is a provider
of ambulatory health care
services. The Company is
located in New York.
Oneida Healthcare is a
provider of ambulatory
health care services. The
Company is located in New
York.
Upper Allegheny Health
System is a provider of
ambulatory health care
services. The Company is
located in New York.</t>
  </si>
  <si>
    <t xml:space="preserve">8011
8099
8099
8099
8099
8099
8099
8099</t>
  </si>
  <si>
    <t xml:space="preserve">United States
United States
United States
United States
United States
United States
United States
United States</t>
  </si>
  <si>
    <t xml:space="preserve">NY
NY
NY
NY
NY
NY
NY
NY</t>
  </si>
  <si>
    <t xml:space="preserve">Roswell Park Comprehensive Cancer Center-group of Long Island hospitals</t>
  </si>
  <si>
    <t xml:space="preserve">Roswell Park Comprehensive Cancer Center, Buffalo Medical Group, Catholic
Health System, Catholic Health Services Of Long Island, Cayuga Health
System, Niagara Falls Memorial Medical Center, Oneida Healthcare and Upper
Allegheny Health System planned to form a strategic alliance. The purpose
of strategic alliance was to bring access to clinical research studies and
trials to patients in that region, while creating a referral system for
patients who have more complex needs to come to Roswell Park.</t>
  </si>
  <si>
    <t xml:space="preserve">
</t>
  </si>
  <si>
    <t xml:space="preserve">0J2282
3J6256
14922J
3J6258
3J6260
3J6261
3J6263
3J6265</t>
  </si>
  <si>
    <t xml:space="preserve">Aurora Cannabis Inc
Ufc</t>
  </si>
  <si>
    <t xml:space="preserve">Pharmaceutical Preparation Manufacturing
Sports and Recreation Instruction</t>
  </si>
  <si>
    <t xml:space="preserve">Aurora Cannabis Inc, located
in Vancouver, Canada, is a
medical cannabis company. It
is the holding company of
Australis Capital Inc. It is
vertically integrated and
horizontally diversified
across every key segment of
the value chain, from
facility engineering and
design to cannabis breeding
and genetics research,
cannabis and hemp
production, derivatives,
home cultivation, wholesale
and retail distribution. The
Company was founded in
December 2006.
Ultimate Fighting
Championship is the world's
leading mixed martial arts
organization.</t>
  </si>
  <si>
    <t xml:space="preserve">2834
7999</t>
  </si>
  <si>
    <t xml:space="preserve">Aurora Cannabis Inc
Zuffa LLC</t>
  </si>
  <si>
    <t xml:space="preserve">2834
7941</t>
  </si>
  <si>
    <t xml:space="preserve">AURORA CANNABIS INC/UFC-STRATEGIC ALLIANCE</t>
  </si>
  <si>
    <t xml:space="preserve">Aurora Cannabis Inc and Ufc planned to form a strategic alliance was to
significantly advance further clinical research on the relationship between
100% hemp derived Cannabidiol (CBD) products and athlete wellness and
recovery, with a view to accelerating CBD product development and
education.</t>
  </si>
  <si>
    <t xml:space="preserve">05156X
3J6428</t>
  </si>
  <si>
    <t xml:space="preserve">Grapefruit Blvd Investments In
Undisclosed JV Partner</t>
  </si>
  <si>
    <t xml:space="preserve">Grapefruit Boulevard
Investments Inc, located in
Los Angeles, California, is
a manufacturer of medicinals
and botanicals.
Investment company</t>
  </si>
  <si>
    <t xml:space="preserve">GRAPEFRUIT BOULEVARD INVESTMENTS INC/UNDISCLOSED PARTNER-STRATEGIC
ALLIANCE</t>
  </si>
  <si>
    <t xml:space="preserve">Grapefruit Boulevard Investments Inc and Undisclosed Joint Venture Partner
formed a strategic alliance was to provide the Company with statewide reach
and afford it the logistics to both distribute and retail its manufactured
cannabis infused products, including, Grapefruit's own 'Sugar Stoned'
branded line of infused gummies to over 400 licensed retail dispensaries in
the State of California.</t>
  </si>
  <si>
    <t xml:space="preserve">1J9160
904JVP</t>
  </si>
  <si>
    <t xml:space="preserve">STA Pharmaceutical Co Ltd
Dizal Pharmaceutical Co Ltd</t>
  </si>
  <si>
    <t xml:space="preserve">Medicinal and Botanical Manufacturing
pharmacies</t>
  </si>
  <si>
    <t xml:space="preserve">STA Pharmaceutical Co Ltd is
a manufacturer of medicinals
and botanicals. The Company
is located in Wuxi, China.
Dizal Pharmaceutical Co Ltd
is a drug store operator.
The Company is located in
China.</t>
  </si>
  <si>
    <t xml:space="preserve">2833
5122</t>
  </si>
  <si>
    <t xml:space="preserve">New Wuxi Life Science Hldg Ltd
AstraZeneca PLC</t>
  </si>
  <si>
    <t xml:space="preserve">STA PHARMACEUTICAL CO LTD/DIZAL PHARMACEUTICAL CO LTD-STRATEGIC ALLIANCE</t>
  </si>
  <si>
    <t xml:space="preserve">STA Pharmaceutical Co Ltd and Dizal Pharmaceutical Co Ltd formed a
strategic alliance in China for GMP production, providing integrated CMC
(Chemical, manufacturing and Control) process research and manufacturing
services from API to drug product.</t>
  </si>
  <si>
    <t xml:space="preserve">7F0151
0H3614</t>
  </si>
  <si>
    <t xml:space="preserve">Sparta Systems Inc
PureWorks Inc</t>
  </si>
  <si>
    <t xml:space="preserve">Software Publishers
Dvlp health risk mgmt software</t>
  </si>
  <si>
    <t xml:space="preserve">Sparta Systems Inc, located
in Hamilton, New Jersey, is
a developer of management
software used to
electronically log and track
deviations,
non-conformances,
investigations, customer
complaints, audit
observations, change
requests, and any resulting
corrective and preventive
actions using a single
centralized database under
the TrackWise brand name.
The Company was founded in
1994.
PureWorks Inc, located in
Franklin, Tennessee, develops
health risk management
software. It provides
training, safety, medical and
risk management software. It
is doing business as
PureSafety Inc and has offices
in Colorado, and Maine. The
company was founded in 1999.</t>
  </si>
  <si>
    <t xml:space="preserve">Thoma Bravo LLC
Underwriters Laboratories Inc</t>
  </si>
  <si>
    <t xml:space="preserve">6799
8734</t>
  </si>
  <si>
    <t xml:space="preserve">SPARTA SYSTEMS INC/PUREWORKS INC-STRATEGIC ALLIANCE</t>
  </si>
  <si>
    <t xml:space="preserve">Sparta Systems Inc and PureWorks Inc formed a strategic alliance was to
create strong linkage between quality content, learning, human performance
and related quality management processes.</t>
  </si>
  <si>
    <t xml:space="preserve">84664E
74583V</t>
  </si>
  <si>
    <t xml:space="preserve">Ethicann Pharmaceuticals Inc
Ilera Therapeutics Llc</t>
  </si>
  <si>
    <t xml:space="preserve">Ethicann Pharmaceuticals Inc
is a manufacturer of
pharmaceutical preparation.
The Company was founded in
April 2018 and is located in
Toronto, Canada.
Ilera Therapeutics LLC,
located in Newtown Square,
Pennsylvania, is a
manufacturer and wholesaler
of medicinal cannabis and
cannabinoids. The Company
was founded on 2016.</t>
  </si>
  <si>
    <t xml:space="preserve">ETHICANN PHARMACEUTICALS INC/ILERA THERAPEUTICS LLC-STRATEGIC ALLIANCE</t>
  </si>
  <si>
    <t xml:space="preserve">Ethicann Pharmaceuticals Inc and Ilera Therapeutics LLC formed a strategic
alliance was to develop and manufacture a highly purified botanical
THC-based product that can be used by Ethicann to conduct a limited
clinical study to support a market approval application that Ethicann will
file initially in the United States for its CAN-001 product.</t>
  </si>
  <si>
    <t xml:space="preserve">3J7291
3J7293</t>
  </si>
  <si>
    <t xml:space="preserve">Cooper University Health Care
The Univ Of Texas Md Anderson</t>
  </si>
  <si>
    <t xml:space="preserve">General Medical and Surgical Hospitals
Own,op cancer research center</t>
  </si>
  <si>
    <t xml:space="preserve">Cooper University Health
Care LLC is a hospital
operator. The Company is
located in Camden, New
Jersey.
The University Of Texas Md
Anderson Cancer Center,
located in Houston, Texas,
is a specialty hospital
operator. It provides cancer
center services.</t>
  </si>
  <si>
    <t xml:space="preserve">8062
8069</t>
  </si>
  <si>
    <t xml:space="preserve">COOPER UNIVERSITY HEALTH CARE LLC/MD ANDERSON CANCER CENTER-STRATEGIC
ALLIANCE</t>
  </si>
  <si>
    <t xml:space="preserve">Cooper University Health Care LLC and MD Anderson Cancer Center formed a
strategic alliance to develop a joint cancer program</t>
  </si>
  <si>
    <t xml:space="preserve">3A3047
55266I</t>
  </si>
  <si>
    <t xml:space="preserve">Shionogi Europe BV
Molteni Pharma(Merck E)</t>
  </si>
  <si>
    <t xml:space="preserve">Investment holding company
Mnfr pharm</t>
  </si>
  <si>
    <t xml:space="preserve">Investment holding company
Manufacture pharmaceuticals</t>
  </si>
  <si>
    <t xml:space="preserve">Netherlands
Italy</t>
  </si>
  <si>
    <t xml:space="preserve">The Carlyle Group LP
Merck KGaA</t>
  </si>
  <si>
    <t xml:space="preserve">SHIONOGI EUROPE BV/MOLTENI PHARMA(MERCK E)-STRATEGIC ALLIANCE</t>
  </si>
  <si>
    <t xml:space="preserve">Shionogi Europe BV and Molteni Pharma(Merck E) planned to form a strategic
alliance. The purpose of strategic alliance was for the distribution and
sale of RIZMOIC (naldemedine) for the treatment of opioid-induced
constipation (OIC) in adult patients previously treated with a laxative in
the two key European markets, Italy and Poland.</t>
  </si>
  <si>
    <t xml:space="preserve">82696R
60872J</t>
  </si>
  <si>
    <t xml:space="preserve">Neste Oyj
VTT Technical Research Centre</t>
  </si>
  <si>
    <t xml:space="preserve">Crude Petroleum and Natural Gas Extraction
Pvd research svcs</t>
  </si>
  <si>
    <t xml:space="preserve">Neste Oyj, located in Espoo,
Finland, manufactures and
retails oil and other
petroleum products. It also
provides oil refining
services and logistics
services for the supply of
raw materials for the
company's refineries and
for the transport of refined
petroleum products from the
refineries to destinations
in Finland. The Group
operates in four segments
namely oil refining, oil
retail, shipping and oil
other; products include
gasolines, diesel fuels,
aviation fuels, marine
fuels, heating oils, heavy
fuel oils, base oils,
lubricants, traffic fuel
components, solvents, LPGs
and bitumen and also
provides engineering
services. The Company was
founded in 1948.
VTT Technical Research Centre
of Finland, located in
Helsinki, Finland, provides
research services. It also
provides high-end technology
solutions and innovation
services. The company was
founded in 1942.</t>
  </si>
  <si>
    <t xml:space="preserve">1311
8733</t>
  </si>
  <si>
    <t xml:space="preserve">NESTE OYJ/VTT TECHNICAL RESEARCH CENTRE -STRATEGIC ALLIANCE</t>
  </si>
  <si>
    <t xml:space="preserve">Neste Oyj and VTT Technical Research Centre of Finland formed a strategic
alliance for strengthening Finnish expertise in bio and circular economy as
well as developing cleaner fuel solutions.</t>
  </si>
  <si>
    <t xml:space="preserve">2F6685
91942H</t>
  </si>
  <si>
    <t xml:space="preserve">Scatec Solar ASA
MT Energy Ltd</t>
  </si>
  <si>
    <t xml:space="preserve">Alternative Energy Sources
Alternative Energy Sources</t>
  </si>
  <si>
    <t xml:space="preserve">Scatec Solar ASA is an
integrated independent solar
power producer. The Company
was founded in April 2007
and is located in Oslo,
Norway. It develops, builds,
owns, operates and maintains
solar power plants, and has
several projects under
development in Africa, the
United States, Japan, Brazil
the Middle East and Europe.
It has three operating
business segments: Power
Production (PP), Operation &amp;
Maintenance (O&amp;M), and
Development &amp; Construction
(D&amp;C). The PP segment
comprises the Kalkbult and
Linde plants in South
Africa, the ASYV plant in
Rwanda and four plants in
the Czech Republic. The O&amp;M
includes services provided
to solar power plants in
which Scatec Solar
participates or to third
party plants constructed by
the Company. The D&amp;C
comprises development
activities as well as
construction of solar power
plants developed by Scatec
Solar.
MT Energy Ltd is an
alternative energy sources
establishment. The Company
is located in Vietnam.</t>
  </si>
  <si>
    <t xml:space="preserve">499A
499A</t>
  </si>
  <si>
    <t xml:space="preserve">Norway
Vietnam</t>
  </si>
  <si>
    <t xml:space="preserve">SCATEC SOLAR ASA/MT ENERGY LTD-STRATEGIC ALLIANCE</t>
  </si>
  <si>
    <t xml:space="preserve">Scatec Solar ASA and MT Energy Ltd formed a strategic alliance in Vietnam
to develop, finance, construct and operate large-scale solar projects in
Vietnam.</t>
  </si>
  <si>
    <t xml:space="preserve">Research &amp; Development Services
Financial Services
Construction Services
Electric Utility Services</t>
  </si>
  <si>
    <t xml:space="preserve">80619N
3J7976</t>
  </si>
  <si>
    <t xml:space="preserve">Rheinmetall AG
Fraen Corp</t>
  </si>
  <si>
    <t xml:space="preserve">Mnfr,whl vehicle parts,weapons
Manufacturer of components</t>
  </si>
  <si>
    <t xml:space="preserve">Rheinmetall AG manufactures
and wholesales vehicle
parts, weapons, ammunitions
and defense electronics. The
Company has over 25 offices
worldwide. Its products
include pistons, air supply,
pumps, aluminum technology,
plain bearings, and engine
motor, Under its Defense
sector, the Company further
divides its business
according to particular
divisions such as Land
Systems, Weapon and
Munitions, Propellants, Air
Defense, C4ISTAR and
Simulation and Training. The
Company was founded in April
1889 and is located in
Dusseldorf, Germany.
Fraen Corp is a manufacturer
of metal stampings. The
Company was founded in 1942
and is located in Reading,
Massachusetts.</t>
  </si>
  <si>
    <t xml:space="preserve">3714
3469</t>
  </si>
  <si>
    <t xml:space="preserve">RHEINMETALL AG/FRAEN CORP-JOINT VENTURE</t>
  </si>
  <si>
    <t xml:space="preserve">Rheinmetall AG and Fraen Corp planned to form joint venture named
Rheinmetall Fraen Fuzes LLC in United States to develop and produce
military fuzes to serve US defense market.</t>
  </si>
  <si>
    <t xml:space="preserve">D65111
35162M</t>
  </si>
  <si>
    <t xml:space="preserve">Sensorion SA
Institut Pasteur</t>
  </si>
  <si>
    <t xml:space="preserve">Sensorion SA is a
manufacturer of
pharmaceutical preparation.
It specializes in therapies
for deb ilitationg inner ear
disorders. The Company was
founded in 2009 and is
located in Montpellier,
France.
Institut Pasteur provides
research and development
services. The company is
headquartered in Paris,
France.
France.</t>
  </si>
  <si>
    <t xml:space="preserve">SENSORION SA/INSTITUT PASTEUR-STRATEGIC ALLIANCE</t>
  </si>
  <si>
    <t xml:space="preserve">Sensorion SA and Institut Pasteur planned to form a strategic alliance.The
purpose of the strategic alliance is to obtain exclusive licenses to
develop and market drug candidates in gene therapy coming from
collaborative projects, for the restoration, treatment and prevention of
hearing disorders.</t>
  </si>
  <si>
    <t xml:space="preserve">4A0888
44679V</t>
  </si>
  <si>
    <t xml:space="preserve">Fondazione Telethon
Orchard Therapeutics Ltd
Ospedale San Raffaele</t>
  </si>
  <si>
    <t xml:space="preserve">Provide home health care svcs
Research and Development in The Social Sciences and Humanities
Own,op hospital</t>
  </si>
  <si>
    <t xml:space="preserve">Fondazione Telethon is a
provider of home health care
services. The Company was
founded in 1990 and is
located in Rome, Italy.
Orchard Therapeutics Ltd is
a provider of social
sciences research and
development services. The
Company was founded in
September 2015 and is
located in London, the
United Kingdom and also has
office in US.
Ospedale San Raffaele, located
in Italy, owns and operates a
hospital.</t>
  </si>
  <si>
    <t xml:space="preserve">8082
8731
8062</t>
  </si>
  <si>
    <t xml:space="preserve">Italy
United Kingdom
Italy</t>
  </si>
  <si>
    <t xml:space="preserve">Fondazione Telethon
Orchard Therapeutics Ltd
Gruppo Rotelli</t>
  </si>
  <si>
    <t xml:space="preserve">8082
8731
8099</t>
  </si>
  <si>
    <t xml:space="preserve">FONDAZIONE TELETHON/ORCHARD THERAPEUTICS LTD/OSPEDALE SAN
RAFFAELE-STRATEGIC ALLIANCE</t>
  </si>
  <si>
    <t xml:space="preserve">Fondazione Telethon, Orchard Therapeutics Ltd and Ospedale San Raffaele
formed a strategic alliance for the treatment of MPS-I.</t>
  </si>
  <si>
    <t xml:space="preserve">3E0117
0F7591
84273P</t>
  </si>
  <si>
    <t xml:space="preserve">Harbour Biomed
Undisclosed JV Partner</t>
  </si>
  <si>
    <t xml:space="preserve">Research and Development in Biotechnology
Investment company</t>
  </si>
  <si>
    <t xml:space="preserve">Harbour Biomed is a provider
of biotechnology research
and development services.
The Company is located in
Shanghai, China.
Investment company</t>
  </si>
  <si>
    <t xml:space="preserve">HARBOUR BIOMED/UNDISCLOSED PARTNER-STRATEGIC ALLIANCE</t>
  </si>
  <si>
    <t xml:space="preserve">Harbour Biomed and Undisclosed Joint Venture Partner formed a strategic
alliance around the world to discover, develop, and commercialize biologic
therapeutics using Harbours patented HCAb transgenic mouse platform.</t>
  </si>
  <si>
    <t xml:space="preserve">1F2821
904JVP</t>
  </si>
  <si>
    <t xml:space="preserve">ZIOPHARM Oncology Inc
National Cancer Inst</t>
  </si>
  <si>
    <t xml:space="preserve">Biotechnology co
Pvd med research svcs</t>
  </si>
  <si>
    <t xml:space="preserve">ZIOPHARM Oncology Inc,
located in Boston,
Massachusetts is a
biopharmaceutical company.
It is engaged in the
development and
commercialization of a
portfolio of in-licensed
cancer drugs. It focuses
primarily on the licensing
and development of
proprietary drug candidate
families that are related to
cancer therapeutics that are
already on the market or in
development. The company's
product candidates include
ZIO-101, ZIO-201, and
ZIO-301, which are in phase
I and/or II studies.
ZIO-101, organic arsenic is
in a phase I/II trial in
patients with advanced
myeloma, as well as a phase
I trial in advanced cancers;
ZIO-201, stabilized
isophosphoramide mustard is
in a phase I/II trial in
patients with advanced
sarcoma, as well as in a
phase I trials in advanced
cancers; and ZIO-301, an
anti-cancer agent that
targets mitosis like the
taxanes is in a phase I
trial. The company was
founded in 2003.
National Cancer Institute,
located in Bethesda,
Maryland, provides medical
research services.</t>
  </si>
  <si>
    <t xml:space="preserve">8093
8731</t>
  </si>
  <si>
    <t xml:space="preserve">ZIOPHARM Oncology Inc
National Institutes of Health</t>
  </si>
  <si>
    <t xml:space="preserve">ZIOPHARM ONCOLOGY INC/NATIONAL CANCER INSTITUTE-STRATEGIC ALLIANCE</t>
  </si>
  <si>
    <t xml:space="preserve">ZIOPHARM Oncology Inc and National Cancer Institute planned to form a
strategic alliance in United States for intellectual property for the
development and commercialization of cell therapies for cancer.</t>
  </si>
  <si>
    <t xml:space="preserve">98973P
63306A</t>
  </si>
  <si>
    <t xml:space="preserve">Longboat
Avoca Grp Inc</t>
  </si>
  <si>
    <t xml:space="preserve">Research and Development in The Physical, Engineering and Lifesciences (Except Biotechnology)
Research and Development in The Physical, Engineering and Lifesciences (Except Biotechnology)</t>
  </si>
  <si>
    <t xml:space="preserve">Longboat is a provider of
research and development
services. The Company was
founded in 2014 and is
located in Dublin, the
Republic of Ireland.
Avoca Group Inc is a
provider of research and
development services. The
Company was founded in 1999
and is located in Princeton,
New Jersey.</t>
  </si>
  <si>
    <t xml:space="preserve">LONGBOAT/AVOCA GROUP INC-STRATEGIC ALLIANCE</t>
  </si>
  <si>
    <t xml:space="preserve">Longboat and Avoca Group Inc formed a strategic alliance was to make an
extensive suite of quality management tools available to hospitals and
clinics participating in clinical studies.</t>
  </si>
  <si>
    <t xml:space="preserve">4J4853
4J4856</t>
  </si>
  <si>
    <t xml:space="preserve">Assay Depot Inc
5AM Ventures Management LLC</t>
  </si>
  <si>
    <t xml:space="preserve">Research and Development in The Physical, Engineering and Lifesciences (Except Biotechnology)
Financial Sponsor</t>
  </si>
  <si>
    <t xml:space="preserve">Assay Depot Inc, located in
Solana Beach, California, is
a provider of research and
development services.
5AM Ventures Management LLC,
located in Menlo Park,
California, is a venture
capital firm focused on
advanced life science
technologies in the
biopharmaceutical, drug
delivery technology and
research instrument sectors.
It also operates in Boston,
Massachusetts. The Company
was founded in 2002.</t>
  </si>
  <si>
    <t xml:space="preserve">ASSAY DEPOT INC/5AM VENTURES MANAGEMENT LLC-STRATEGIC ALLIANCE</t>
  </si>
  <si>
    <t xml:space="preserve">Assay Depot Inc and 5AM Ventures Management LLC formed a strategic alliance
to use a 5AM-branded R&amp;D marketplace that simplifies research outsourcing,
saves time and money, and provides access to the latest innovative research
tools and technologies.</t>
  </si>
  <si>
    <t xml:space="preserve">8F8484
33843X</t>
  </si>
  <si>
    <t xml:space="preserve">Grandshores Tech Grp Ltd
Nanogen Labs Inc</t>
  </si>
  <si>
    <t xml:space="preserve">Commercial and Institutional Building Construction
Research and Development in Biotechnology</t>
  </si>
  <si>
    <t xml:space="preserve">Grandshores Technology Group
Ltd, located in Singapore,
is a commercial building
construction company. The
Company was founded in
November 23, 2005.
Nanogen Labs Inc is a
provider of biotechnology
research and development
services. The Company is
located in Oakland,
California.</t>
  </si>
  <si>
    <t xml:space="preserve">1542
8731</t>
  </si>
  <si>
    <t xml:space="preserve">Great Scenery Ventures Ltd
Nanogen Labs Inc</t>
  </si>
  <si>
    <t xml:space="preserve">GRANDSHORES TECHNOLOGY GROUP LTD/NANOGEN LABS INC-JOINT VENTURE</t>
  </si>
  <si>
    <t xml:space="preserve">Grandshores Technology Group Ltd and Nanogen Labs Inc planned to form joint
venture in Singapore to expand their business in Asia, in particular the
business of water dispersible cannabidiol (CBD) or where legally relevant,
other extracts from the hemp plant.</t>
  </si>
  <si>
    <t xml:space="preserve">3J0274
3J8369</t>
  </si>
  <si>
    <t xml:space="preserve">CloudMD Software &amp; Svcs Inc
Navigator Genomics Testing</t>
  </si>
  <si>
    <t xml:space="preserve">Offices Of Physicians (Except Mental Health Specialists)
Biological Product (Except Diagnostic) Manufacturing</t>
  </si>
  <si>
    <t xml:space="preserve">CloudMD Software &amp; Services
Inc, located in Vancouver,
British Columbia, provides
healthcare services. It is
developing health care
approaches that combine
human skills with emerging
technologies, and is setting
the standard for services in
locations of interest
worldwide. The Company was
founded in 19 September
2013.
Navigator Genomics Testing
is a manufacturer of
biological products. The
Company is located in
Canada.</t>
  </si>
  <si>
    <t xml:space="preserve">8011
2836</t>
  </si>
  <si>
    <t xml:space="preserve">PREMIER HEALTH GROUP INC/NAVIGATOR GENOMICS TESTING-STRATEGIC ALLIANCE</t>
  </si>
  <si>
    <t xml:space="preserve">Premier Health Group Inc and Navigator Genomics Testing planned to form a
strategic alliance in Canada to provide access to their first-of-its kind
Pharmacogenomic Testing for medical cannabis and 416 of the most popularly
prescribed medications.</t>
  </si>
  <si>
    <t xml:space="preserve">18912C
3J8355</t>
  </si>
  <si>
    <t xml:space="preserve">Luokung Technology Corp
Land Space Tech Corp Ltd</t>
  </si>
  <si>
    <t xml:space="preserve">Provide information tech svcs
Other Aircraft Parts and Auxiliary Equipment Manufacturing</t>
  </si>
  <si>
    <t xml:space="preserve">Luokung Technology Corp is a
software publisher. The
Company was founded in
October 2009 and is located
in Beijing, China.
Land Space Technology Corp
Ltd is a manufacturer of
aircraft parts and auxiliary
equipment. The Company
researches, develops,
designs, manufactures, and
operates small and medium
scale commercial aerospace
products. The Company is
located in Beijing, China.</t>
  </si>
  <si>
    <t xml:space="preserve">7376
3728</t>
  </si>
  <si>
    <t xml:space="preserve">LUOKUNG TECHNOLOGY CORP/LAND SPACE TECHNOLOGY CORP LTD-STRATEGIC ALLIANCE</t>
  </si>
  <si>
    <t xml:space="preserve">Luokung Technology Corp and Land Space Technology Corp Ltd planned to form
a strategic alliance in China to establish the measurement and control
system for rockets, satellites and earth stations with global coverage.</t>
  </si>
  <si>
    <t xml:space="preserve">Research &amp; Development Services
Inspection Services</t>
  </si>
  <si>
    <t xml:space="preserve">6H4042
3J9106</t>
  </si>
  <si>
    <t xml:space="preserve">Lantheus Holdings Inc
NanoMab Technology Ltd</t>
  </si>
  <si>
    <t xml:space="preserve">Develops and manufactures diagnostic medical imaging agents and products
Research and Development in Biotechnology</t>
  </si>
  <si>
    <t xml:space="preserve">Lantheus Holdings Inc,
located in North Billerica,
Massachusetts develops,
manufactures, sells and
distributes diagnostic
medical imaging agents and
products that assist
clinicians in the diagnosis
of cardiovascular and other
diseases. The company's
products are used by
clinicians across a range of
imaging modalities,
including nuclear imaging,
echocardiography and
magnetic resonance imaging,
or MRI. The products include
Cardiolite (Kit for the
Preparation of Technetium
Tc99m Sestamibi for
Injection), DEFINITY Vial
for (Perflutren Lipid
Microsphere) Injectable
Suspension and TechneLite
(Technetium Tc99m Generator)
that illuminate the heart
and other organs. The
Company was founded in 2007.
NanoMab Technology Ltd is a
provider of biotechnology
research and development
services. The Company is
located in Shanghai, China.</t>
  </si>
  <si>
    <t xml:space="preserve">Avista Capital Holdings LP
NanoMab Technology Ltd</t>
  </si>
  <si>
    <t xml:space="preserve">LANTHEUS HOLDINGS INC/NANOMAB TECHNOLOGY LTD-STRATEGIC ALLIANCE</t>
  </si>
  <si>
    <t xml:space="preserve">Lantheus Holdings Inc and NanoMab Technology Ltd formed a strategic
alliance to provide a novel biomarker for clinical development and
management of immuno-oncology therapies.</t>
  </si>
  <si>
    <t xml:space="preserve">516544
3J9031</t>
  </si>
  <si>
    <t xml:space="preserve">Fundscape UK Ltd
Altus Ltd</t>
  </si>
  <si>
    <t xml:space="preserve">Commercial Banking
Investment Advice</t>
  </si>
  <si>
    <t xml:space="preserve">Fundscape UK Ltd is a
commercial bank. The Company
was founded in 2010 and is
located in London, the
United Kingdom.
Altus Ltd is a investment
advisor. The Company was
founded in September 2005
and is located in Bath, the
United Kingdom.</t>
  </si>
  <si>
    <t xml:space="preserve">FUNDSCAPE UK LTD/ALTUS LTD-JOINT VENTURE</t>
  </si>
  <si>
    <t xml:space="preserve">Fundscape UK Ltd and Altus Ltd planned to form a joint venture in United
Kingdom to develop new solutions and products for the financial services
industry. The joint venture will combine rigorous systems engineering with
in-depth industry expertise to deliver innovative, market-leading
services.</t>
  </si>
  <si>
    <t xml:space="preserve">4J0943
4J0952</t>
  </si>
  <si>
    <t xml:space="preserve">Elsevier Grp Co
Netelabs</t>
  </si>
  <si>
    <t xml:space="preserve">Data Processing, Hosting, and Related Services
Research and Development in The Physical, Engineering and Lifesciences (Except Biotechnology)</t>
  </si>
  <si>
    <t xml:space="preserve">Elsevier Group Co is a
provider of data processing
and hosting services. The
Company is located in
Delaware.
Netelabs is a provider of
research and development
services. The Company is
located in Virginia.</t>
  </si>
  <si>
    <t xml:space="preserve">7374
3721</t>
  </si>
  <si>
    <t xml:space="preserve">DE
VA</t>
  </si>
  <si>
    <t xml:space="preserve">Elsevier Grp Co
Net Esolutions Corp</t>
  </si>
  <si>
    <t xml:space="preserve">7374
7379</t>
  </si>
  <si>
    <t xml:space="preserve">ELSEVIER GROUP CO/NETELABS-STRATEGIC ALLIANCE</t>
  </si>
  <si>
    <t xml:space="preserve">Elsevier Group Co and Netelabs planned to form a strategic alliance. The
purpose of strategic alliance is for codeveloping new tools for research
evaluation.</t>
  </si>
  <si>
    <t xml:space="preserve">5H9670
3J9437</t>
  </si>
  <si>
    <t xml:space="preserve">Thermo Fisher Scientific Inc
Newomics Inc</t>
  </si>
  <si>
    <t xml:space="preserve">Mnfr analytical tech,equipment
Biological Product (Except Diagnostic) Manufacturing</t>
  </si>
  <si>
    <t xml:space="preserve">Thermo Fisher Scientific
Inc, headquartered in
Waltham, Massachusetts,
manufactures analytical
technologies, scientific
equipment, and laboratory
consumables, including mass
spectrometers, liquid and
gas chromatographs, and
affiliated software, vials,
syringes, and columns
necessary for
chromatography,
microplate-based handling
and reading equipment,
optical biosensors, thermal
cyclers, DNA purification
systems, SNP scoring
systems, and capillary
electrophoresis (CE),
ultralow-temperature
freezers, high-speed
centrifuges, centrifugal
vacuum concentrators, and
laboratory freeze dryers,
precision control
instruments. It clients
include the pharmaceutical
and biotech companies,
hospitals and clinical
diagnostic labs,
universities, research
institutions and government
agencies, as well as in
environmental and process
control industries. Its
brands include Thermo
Scientific and Fisher
Scientific. The Company was
founded in 1956.
Newomics Inc is a
manufacturer of biological
products. The Company was
founded in August 2011 and
is located in Emeryville,
California.</t>
  </si>
  <si>
    <t xml:space="preserve">THERMO FISHER SCIENTIFIC INC/NEWOMICS INC-STRATEGIC ALLIANCE</t>
  </si>
  <si>
    <t xml:space="preserve">Thermo Fisher Scientific Inc and Newomics Inc planned to form a strategic
alliance in United States to develop and optimize sensitive, robust and
reproducible microflow LC-MS workflows for the validation of disease
biomarkers.</t>
  </si>
  <si>
    <t xml:space="preserve">883556
4J0471</t>
  </si>
  <si>
    <t xml:space="preserve">Devonian Health Group Inc
Histapharm Inc</t>
  </si>
  <si>
    <t xml:space="preserve">Devonian Health Group Inc,
headquartered in
Pointe-Claire, Qc, Canada,
is a botanical
pharmaceutical corporation.
Its core strategy is to
develop prescription
botanical drugs which could
be from plant materials,
algae, macroscopic fungi,
and combinations thereof.
Histapharm Inc is a
manufacturer of
pharmaceutical preparation.
The Company was founded in
May 2010 and is located in
Montreal, Canada.</t>
  </si>
  <si>
    <t xml:space="preserve">DEVONIAN HEALTH GROUP INC/HISTAPHARM INC-STRATEGIC ALLIANCE</t>
  </si>
  <si>
    <t xml:space="preserve">Devonian Health Group Inc and Histapharm Inc signed a letter of intent to
form an alliance was to extract and manufacture their proprietary botanical
pharmaceutical product and to enter into a Strategic Partnership for the
development of New Products.</t>
  </si>
  <si>
    <t xml:space="preserve">251834
4J1284</t>
  </si>
  <si>
    <t xml:space="preserve">Ablexis LLC
Zai Lab (US) LLC</t>
  </si>
  <si>
    <t xml:space="preserve">Ablexis LLC, located in San
Diego, California, provides
biotechnology research
services. It develops a
platform for human
therapeutic antibody drug
discovery. The Company
offers AlivaMab Mouse, a
transgenic mouse platform
that provides the foundation
for the discovery and
development of human
therapeutic antibodies to
treat human diseases.
Zai Lab (US) LLC is a
manufacturer of biological
products. The Company is
located in Palo Alto,
California.</t>
  </si>
  <si>
    <t xml:space="preserve">Deerfield Management Co LP
Zai Lab Ltd</t>
  </si>
  <si>
    <t xml:space="preserve">ABLEXIS LLC/ZAI LAB (US) LLC-STRATEGIC ALLIANCE</t>
  </si>
  <si>
    <t xml:space="preserve">Ablexis LLC and Zai Lab (US) LLC planned to form a strategic alliance in
United States to use the AlivaMab Mouse platform for research, development
and potential commercialization of antibodies.</t>
  </si>
  <si>
    <t xml:space="preserve">2F9607
3J9759</t>
  </si>
  <si>
    <t xml:space="preserve">Bayer AG
Arvinas Inc</t>
  </si>
  <si>
    <t xml:space="preserve">Manufacture and Wholesale Chemicals &amp; Pharmaceuticals
Pharmaceutical Preparation Manufacturing</t>
  </si>
  <si>
    <t xml:space="preserve">Bayer AG, located in
Leverkusen, Germany,
manufactures organic
chemicals. The Company was
founded in August 1863.
Arvinas Inc is a
manufacturer of
pharmaceutical preparation.
The Company was founded in
February 2013 and is located
in New Haven, Connecticut.</t>
  </si>
  <si>
    <t xml:space="preserve">BAYER AG/ARVINAS INC-STRATEGIC ALLIANCE</t>
  </si>
  <si>
    <t xml:space="preserve">Bayer AG and Arvinas Inc formed a strategic alliance to develop novel
proteolysis-targeting chimera candidates for humans and plants.</t>
  </si>
  <si>
    <t xml:space="preserve">072730
3H4700</t>
  </si>
  <si>
    <t xml:space="preserve">Tedor Pharma Inc
Altus Formulation Inc</t>
  </si>
  <si>
    <t xml:space="preserve">Tedor Pharma Inc is a
manufacturer of
pharmaceutical preparation.
The Company is located in
Cumberland, Rhode Island.
Altus Formulation Inc is a
provider of biotechnology
research and development
services. The Company was
founded in June 2012 and is
located in Mirabel, Canada.</t>
  </si>
  <si>
    <t xml:space="preserve">RI
FF</t>
  </si>
  <si>
    <t xml:space="preserve">TEDOR PHARMA INC/ALTUS FORMULATION INC-STRATEGIC ALLIANCE</t>
  </si>
  <si>
    <t xml:space="preserve">Tedor Pharma Inc and Altus Formulation Inc formed a strategic alliance to
licenses Flexitab breakable extended release tablet technology.</t>
  </si>
  <si>
    <t xml:space="preserve">3J9539
8H8276</t>
  </si>
  <si>
    <t xml:space="preserve">InterRent Reit
Brookfield Ppty Grp Llc
CLV Group Inc</t>
  </si>
  <si>
    <t xml:space="preserve">Real estate investment trust
Provides asset management services
Offices Of Real Estate Agents and Brokers</t>
  </si>
  <si>
    <t xml:space="preserve">InterRent Real Estate
Investment Trust, located in
Ottawa, Ontario, is a real
estate investment trust. It
focuses on income producing
multi-residential real
estate. The Company was
founded in 1997.
Brookfield Property Group
LLC, located in New York
City, New York, provides
asset management services
focused on property,
renewable power, private
equity and infrastructure
assets.
CLV Group Inc, located in
Ottawa, Canada, is a real
estate agency. The Company
offers Residential Rentals,
Real Estate Brokerage,
Property Management,
Financial Services, and
Construction and
Development.</t>
  </si>
  <si>
    <t xml:space="preserve">6798
6799
6531</t>
  </si>
  <si>
    <t xml:space="preserve">InterRent Reit
Brookfield Asset Management
CLV Group Inc</t>
  </si>
  <si>
    <t xml:space="preserve">6798
6282
6531</t>
  </si>
  <si>
    <t xml:space="preserve">INTERRENT REAL ESTATE INVESTMENT TRUST/BROOKFIELD PROPERTY GROUP LLC/CLV
GROUP INC-JOINT VENTURE</t>
  </si>
  <si>
    <t xml:space="preserve">InterRent Real Estate Investment Trust, Brookfield Property Group LLC and
CLV Group Inc formed joint venture. The purpose of joint venture is for a
Transformative Transit Oriented Mixed-Use Development in Burlington,
Ontario.</t>
  </si>
  <si>
    <t xml:space="preserve">46071W
84312W
2H3900</t>
  </si>
  <si>
    <t xml:space="preserve">Trsphere
Science Of Diversity &amp;</t>
  </si>
  <si>
    <t xml:space="preserve">Custom Computer Programming Services
Other Specialized Design Services</t>
  </si>
  <si>
    <t xml:space="preserve">Trustsphere is a provider of
custom computer programming
services. The Company is
located in Singapore.
Science Of Diversity &amp;
Inclusion Initiative is a
provider of specialized
design services. The Company
is located in Chicago,
Illinois.</t>
  </si>
  <si>
    <t xml:space="preserve">7371
7389</t>
  </si>
  <si>
    <t xml:space="preserve">TRUSTSPHERE/SCIENCE OF DIVERSITY &amp; INCLUSION INITIATIVE-STRATEGIC ALLIANCE</t>
  </si>
  <si>
    <t xml:space="preserve">Trustsphere and Science Of Diversity Inclusion Initiative planned to form a
strategic alliance was to will provide its pioneering network analytics
technology to SODI, giving SODI companies the opportunity to use the
TrustSphere platform as an empirical way to test the efficacy of
interventions to increase inclusion.</t>
  </si>
  <si>
    <t xml:space="preserve">4J0330
4J0332</t>
  </si>
  <si>
    <t xml:space="preserve">Novozymes A/S
Riffyn Inc</t>
  </si>
  <si>
    <t xml:space="preserve">Mnfr,wholesale enzyme products
Software Publishers</t>
  </si>
  <si>
    <t xml:space="preserve">Novozymes A/S, located in
Bagsvaerd, Denmark,
manufactures and wholesales
enzyme products and
microorganisms divided into
five divisions namely:
Technical enzymes, Detergent
enzymes, Food enzymes, Feed
enzymes and Microorganisms.
Technical enzymes include
products for the starch,
textile and bioethanol
industries, as well as
enzymes for the leather and
forest products industries
and various other smaller
industries. The Company was
founded in 2000.
Riffyn Inc, located in
Oakland, California, is a
software publisher. Its
software helps researchers
to achieve
manufacturing-grade
performance in their
research without the
inflexibility associated
with manufacturing systems.
The Company was founded in
May 2014.</t>
  </si>
  <si>
    <t xml:space="preserve">NOVOZYMES A/S/RIFFYN INC-STRATEGIC ALLIANCE</t>
  </si>
  <si>
    <t xml:space="preserve">Novozymes A/S and Riffyn Inc planned to form a strategic alliance was toR&amp;D
Data Analytics and collaborate on the design of experiments and structured
data collection for advanced analytics. Riffyn supports hundreds of
processes and several thousand experiments across almost all scientific
domains at Novozymes. Riffyn facilitates</t>
  </si>
  <si>
    <t xml:space="preserve">67026F
4J0276</t>
  </si>
  <si>
    <t xml:space="preserve">Peptidream Inc
PharmaIN Corp</t>
  </si>
  <si>
    <t xml:space="preserve">Peptidream Inc, located in
Tokyo, Japan, is engaged in
research and development of
the pharmaceutical companies
in Japan and overseas, take
advantage of PDPS which is
drug discovery platform
system and research and
development of new drug
candidates. The company was
founded in 2006.
PharmaIN Corp is a
manufacturer of
pharmaceutical preparation.
The Company is located in
Bothell, Washington.</t>
  </si>
  <si>
    <t xml:space="preserve">PEPTIDREAM INC/PHARMAIN CORP-STRATEGIC ALLIANCE</t>
  </si>
  <si>
    <t xml:space="preserve">Peptidream Inc and PharmaIN Corp formed a strategic alliance for
investigating the use of PharmaIN's proprietary drug carrier and delivery
Protected Graft Co-Polymer ("PGC") technology in combination with
PeptiDream's peptide discovery and development programs.</t>
  </si>
  <si>
    <t xml:space="preserve">0A6843
4J0056</t>
  </si>
  <si>
    <t xml:space="preserve">Ul LLC
Anguleris Technologies LLC</t>
  </si>
  <si>
    <t xml:space="preserve">Provides product safety test services
Other Building Material Dealers</t>
  </si>
  <si>
    <t xml:space="preserve">UL LLC, located in
Northbrook, Illinois,
provides product safety test
services. The company's key
areas of interest are
Certification Bodies,
Management Systems
Certifications, About Dqs.
The Company was founded in
1894.
Anguleris Technologies LLC
is a building material
dealer. The Company is
located in Elgin, Illinois.</t>
  </si>
  <si>
    <t xml:space="preserve">8734
5032</t>
  </si>
  <si>
    <t xml:space="preserve">Underwriters Laboratories Inc
Anguleris Technologies LLC</t>
  </si>
  <si>
    <t xml:space="preserve">UL LLC/ANGULERIS TECHNOLOGIES LLC-STRATEGIC ALLIANCE</t>
  </si>
  <si>
    <t xml:space="preserve">Ul LLC and Anguleris Technologies LLC planned to form a strategic alliance
in United States to offer turnkey access to dependable building product
performance and sustainability data &amp; to collaborate and develop a
sustainable product database that will enable BIMsmith users to access
product sustainability data from UL's SPOT.</t>
  </si>
  <si>
    <t xml:space="preserve">93641Y
1J2385</t>
  </si>
  <si>
    <t xml:space="preserve">Dupont Microbiome Venture
Biome Oxford Ltd
Advanced Mnfg Research Centre</t>
  </si>
  <si>
    <t xml:space="preserve">Other Scientific and Technical Consulting Services
All Other Miscellaneous Ambulatory Health Care Services
Research and Development in The Physical, Engineering and Lifesciences (Except Biotechnology)</t>
  </si>
  <si>
    <t xml:space="preserve">Dupont Microbiome Venture is
a provider of technical
consulting services. The
Company was founded in 2017
and is located in Denmark.
Biome Oxford Ltd is a
provider of ambulatory
health care services. The
Company is located in the
United Kingdom.
, located in the United
Kingdom.</t>
  </si>
  <si>
    <t xml:space="preserve">0781
8099
3721</t>
  </si>
  <si>
    <t xml:space="preserve">Denmark
United Kingdom
United Kingdom</t>
  </si>
  <si>
    <t xml:space="preserve">DuPont de Nemours Inc
Biome Oxford Ltd
University of Sheffield</t>
  </si>
  <si>
    <t xml:space="preserve">2821
8099
8221</t>
  </si>
  <si>
    <t xml:space="preserve">DUPONT MICROBIOME VENTURE/BIOME OXFORD LTD/ADVANCED MANUFACTURING RESEARCH
CENTRE-STRATEGIC ALLIANCE</t>
  </si>
  <si>
    <t xml:space="preserve">Dupont Microbiome Venture, Biome Oxford Ltd and Advanced Manufacturing
Research Centre planned to form a strategic alliance. The purpose of
strategic alliance is to further the development of BioCapture.</t>
  </si>
  <si>
    <t xml:space="preserve">4J3450
4J3452
4J3453</t>
  </si>
  <si>
    <t xml:space="preserve">Tata AutoComp Systems Ltd
Seojin Automotive Co Ltd</t>
  </si>
  <si>
    <t xml:space="preserve">Mnfr,whl motor vehicle parts
Mnfr,whl motor vehicles,parts</t>
  </si>
  <si>
    <t xml:space="preserve">Tata AutoComp Systems Ltd,
located in Pune, India,
manufactures and wholesales
motor vehicles parts. The
company manufactures
interior and exterior
plastic products, kinematic
plastic parts, automotive
batteries, seating systems,
radiators, inter coolers,
wiring harnesses, rear-view
mirrors, lighting systems,
vehicle tracking software
solutions, etc. The
Company's customers include
Ashok Leyland, BMW India,
Mercedes-Benz India, Eicher
Motors, Fiat, Force Motors,
Ford India, General Motors
India, Hero Honda, Hindustan
Motors, Honda Scooters,
Honda Siel Cars India Ltd,
International Tractors John
Deere India, Mahindra and
Mahindra, Mahindra Renault,
Man Force Trucks, New
Holland, Piaggio, Punjab
Tractors, Royal Enfield,
Skoda, Swaraj Mazda, Tata
Motors, Toyota Kirloskar
Motor Pvt. Ltd., and
Tractors and Farm Equipment
Limited. The Company was
founded, October 1995.
Seojin Automotive Co Ltd is
a manufacturer and
wholesaler of automobile
parts. The Company, along
with its subsidiaries,
mainly provides clutches,
CAM shafts, cowls, bumpers,
main cores, consoles,
mounts, dampers, lower arms,
spring pads, bearings,
weather strips, glass runs,
hoses, hoods, rear beams,
under body skid plates, side
sills, load floors, steering
wheels, flywheels, metal
molds, wheel covers and
others, which are applied in
the automobile transmission,
brake and engine systems,
automobile body and others.
In addition, it is involved
in the import and export of
automobile parts. The
Companys main clients
include Hyundai Motor Co.,
Ltd, KIA Motors Corporation,
Hyundai Mobis Co., Ltd and
others. The Company was
founded in October 1990 and
is located in Siheung, South
Korea.</t>
  </si>
  <si>
    <t xml:space="preserve">Tata Sons Pvt Ltd
Seojin Automotive Co Ltd</t>
  </si>
  <si>
    <t xml:space="preserve">TATA AUTOCOMP SYSTEMS LTD/SEOJIN AUTOMOTIVE CO LTD-JOINT VENTURE</t>
  </si>
  <si>
    <t xml:space="preserve">Tata AutoComp Systems Ltd and Seojin Automotive Co Ltd formed a joint
venture to design, develop and manufacture clutch systems in India. The
focus for the joint venture will be to enter into India commercial vehicle
market as well as the agriculture Tractor industry, expand passenger
vehicle business and establish independent aftermarket for the product.</t>
  </si>
  <si>
    <t xml:space="preserve">Research &amp; Development Services
Manufacturing Services
Automotive Services</t>
  </si>
  <si>
    <t xml:space="preserve">87659E
84241J</t>
  </si>
  <si>
    <t xml:space="preserve">JAGGAER Inc
Edgeverve Systems Ltd</t>
  </si>
  <si>
    <t xml:space="preserve">JAGGAER Inc, located in
Morrisville, North Carolina,
provides web-based
e-procurement services that
integrates customers with
their suppliers to improve
procurement of indirect
goods and services. The
Company was founded in 1995.
Edgeverve Systems Ltd is a
software publisher and
provider of Info Tech
Services. The Company was
founded in 2014 and is
located in Bengaluru, India.</t>
  </si>
  <si>
    <t xml:space="preserve">Accel Partners &amp; Co Inc
Infosys Ltd</t>
  </si>
  <si>
    <t xml:space="preserve">JAGGAER INC/EDGEVERVE SYSTEMS LTD-STRATEGIC ALLIANCE</t>
  </si>
  <si>
    <t xml:space="preserve">JAGGAER Inc and Edgeverve Systems Ltd planned to form a strategic alliance
around the world for developing innovative software products for JAGGAER
customers in multiple industries including manufacturing, retail, logistics
and higher education.</t>
  </si>
  <si>
    <t xml:space="preserve">5F6815
0C5713</t>
  </si>
  <si>
    <t xml:space="preserve">Microsaic Systems Plc
Cm Corporate Ltd</t>
  </si>
  <si>
    <t xml:space="preserve">Mnfr electronic equipment
Administrative Management and General Management Consulting Services</t>
  </si>
  <si>
    <t xml:space="preserve">Microsaic Systems Plc located
in Surrey, UK provide research
and development services. The
company is a high technology
company involved in
development and marketing next
generation analyzers based on
lonchip technology. The
company solutions are based on
micro electrical mechanical
systems developed by the
optical and semiconductor
devices group. The company was
founded in 2001.
Cm Corporate Ltd is a
provider of administrative
management and general
management consulting
services. The Company is
located in Liverpool, the
United Kingdom.</t>
  </si>
  <si>
    <t xml:space="preserve">3826
8742</t>
  </si>
  <si>
    <t xml:space="preserve">MICROSAIC SYSTEMS PLC/CM CORPORATE LTD-STRATEGIC ALLIANCE</t>
  </si>
  <si>
    <t xml:space="preserve">Microsaic Systems Plc and Cm Corporate Ltd formed a strategic alliance was
to the exclusive distribution of the Microsaic 4500 MiD MS detector in
South Korea and team at CM-C has the in-depth technical expertise in two
key areas of interest for us: reaction monitoring and thin layer
chromatography.</t>
  </si>
  <si>
    <t xml:space="preserve">59578F
4J0702</t>
  </si>
  <si>
    <t xml:space="preserve">Better Choice Co Inc
Cannasoul Analytics</t>
  </si>
  <si>
    <t xml:space="preserve">Animal health and wellness cannabidiol company
Research and Development in The Physical, Engineering and Lifesciences (Except Biotechnology)</t>
  </si>
  <si>
    <t xml:space="preserve">Better Choice Co Inc,
located in Oldsmar, Florida,
is an animal health and
wellness cannabidiol
company. It is is conducting
its business through TruPet
LLC and Bona Vida Inc.
TruPet LLC is an online
seller of ultra-premium all
natural pet food, treats and
supplements, with focus on
freeze dried and dehydrated
raw products. Bona Vida Inc
offers a cannabidiol
platform that is focused on
developing a portfolio of
brand and product verticals
within the animal and human
health and wellness space.
The Company was founded on
January 3, 2001.
Cannasoul Analytics is a
provider of research and
development services. The
Company is located in
Israel.</t>
  </si>
  <si>
    <t xml:space="preserve">5499
3721</t>
  </si>
  <si>
    <t xml:space="preserve">BETTER CHOICE CO INC/CANNASOUL ANALYTICS-STRATEGIC ALLIANCE</t>
  </si>
  <si>
    <t xml:space="preserve">Better Choice Co Inc and Cannasoul Analytics planned to form a strategic
alliance was to serve as a platform for the development of unique and
differentiated pet CBD intellectual property for use in the veterinary
market</t>
  </si>
  <si>
    <t xml:space="preserve">7J4526
4J0699</t>
  </si>
  <si>
    <t xml:space="preserve">Bharat Forge Ltd
Refu Electronik Gmbh</t>
  </si>
  <si>
    <t xml:space="preserve">Iron and Steel Forging
Environmental Consulting Services</t>
  </si>
  <si>
    <t xml:space="preserve">Bharat Forge Ltd is a
manufacturer of iron and
steel forgings. The Company
was founded in 1961 and is
located in Pune, India.
Bharat Forge Ltd is engaged
in the manufacture and
wholesale of forged
components. These include
closed and open die
forgings, crankshaft,
steering knuckle, and
connecting rods. It has
manufacturing operations
across 12 locations and 6
countries: 4 in India, 3 in
Germany, one each in Sweden,
Scotland, the United States,
and 2 in China.
Refu Electronik GmbHThe
Company was founded in 1965
and is located in
Pfullingen, Germany.</t>
  </si>
  <si>
    <t xml:space="preserve">3462
8999</t>
  </si>
  <si>
    <t xml:space="preserve">BHARAT FORGE LTD/REFU ELECTRONIK GMBH-JOINT VENTURE</t>
  </si>
  <si>
    <t xml:space="preserve">Bharat Forge Ltd and Refu Electronik GmbH formed joint venture. The purpose
of joint venture is for developing, manufacturing and selling on board
controllers and components mainly - drives, invertors, converters
(including AC/DC) and all kind of auxiliary applications, related power
electronics and battery management (BMS), etc. for all quality of
e-mobility vehicles viz, hybrid and electric 2-wheelers, 3-wheelers, cars
and commercial vehicles.</t>
  </si>
  <si>
    <t xml:space="preserve">08860X
4J1066</t>
  </si>
  <si>
    <t xml:space="preserve">LexisNexis Group Inc
Leap Legal Software Pty Ltd</t>
  </si>
  <si>
    <t xml:space="preserve">Internet Service Providers
Computer Systems Design Services</t>
  </si>
  <si>
    <t xml:space="preserve">LexisNexis Group,
headquartered in New York
City, New York, provides
online information retrieval
and electronic data services
for the legal, corporate,
government and academic
markets. It helps
professionals verify
identity, prevent fraud,
comply with legislation,
facilitate and secure
commerce, conduct background
screening and support law
enforcement and homeland
security initiatives. It
also publishes legal, tax
and regulatory information.
The Company was founded in
1977.
Leap Legal Software Pty Ltd
is a provider of computer
systems design services. The
Company is located in
Sydney, Australia.</t>
  </si>
  <si>
    <t xml:space="preserve">7375
7373</t>
  </si>
  <si>
    <t xml:space="preserve">RELX PLC
Leap Legal Software Pty Ltd</t>
  </si>
  <si>
    <t xml:space="preserve">2741
7373</t>
  </si>
  <si>
    <t xml:space="preserve">LEXISNEXIS GROUP INC/LEAP LEGAL SOFTWARE PTY LTD-JOINT VENTURE</t>
  </si>
  <si>
    <t xml:space="preserve">LexisNexis Group Inc and Leap Legal Software Pty Ltd planned to form joint
venture. The purpose of joint venture is to support the growth and
development of PCLaw and Time Matters, leading Law Firm Practice Management
(LFPM) software solutions for small-to-medium sized law firms.</t>
  </si>
  <si>
    <t xml:space="preserve">Research &amp; Development Services
Software Development Services
Management Services</t>
  </si>
  <si>
    <t xml:space="preserve">52891Z
7F4317</t>
  </si>
  <si>
    <t xml:space="preserve">LSR Group PAO
Rostelekom</t>
  </si>
  <si>
    <t xml:space="preserve">New Multifamily Housing Construction (Except Operative Builders)
Provide telecommunications services</t>
  </si>
  <si>
    <t xml:space="preserve">LSR Group PAO is a housing
construction company which
operates as a holding. The
holding comprises of the
establishments engaged in
construction and related
business. The Company was
founded in 1993 and is
located in Saint Petersburg,
the Russian Federation.
Rostelekom PAO is a wired
telecommunications carrier.
The Company was founded in
November 1993 and is located
in Moscow, the Russian
Federation.</t>
  </si>
  <si>
    <t xml:space="preserve">1522
4822</t>
  </si>
  <si>
    <t xml:space="preserve">LSR GROUP PAO/MEZHDUGORODNOI I MEZHDUNARODNOI ELEKTRICHESKOI-STRATEGIC
ALLIANCE</t>
  </si>
  <si>
    <t xml:space="preserve">LSR Group PAO and Mezhdugorodnoi i mezhdunarodnoi elektricheskoi sviazi
Rostelekom PAO formed a strategic alliance. The purpose of strategic
alliance is to focus on the development of cloud infrastructure and
information security across the industry, both parties will also introduce
a common approach to the provision of digital services, they will jointly
test technologies, and a solutions platform will be developed to meet the
needs of customers of both LSR and Rostelecom.</t>
  </si>
  <si>
    <t xml:space="preserve">49940P
778529</t>
  </si>
  <si>
    <t xml:space="preserve">Evotec SE
Bill &amp; Melinda Gates</t>
  </si>
  <si>
    <t xml:space="preserve">Mnfr small molecule drugs
Child and Youth Services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</si>
  <si>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Bill &amp; Melinda Gates
Foundation is a provider of
child and youth services.
The Companyowns and
operates a charitable
foundation. Its causes
include healthcare
enhancement, poverty
alleviation, and educational
opportunities expansion. The
Company was founded in 1994
and is located in Seattle,
Washington.</t>
  </si>
  <si>
    <t xml:space="preserve">2834
8322</t>
  </si>
  <si>
    <t xml:space="preserve">EVOTEC AG/BILL &amp; MELINDA GATES FOUNDATION-STRATEGIC ALLIANCE</t>
  </si>
  <si>
    <t xml:space="preserve">Evotec AG and Bill Melinda Gates Foundation formed a strategic alliance to
discover new treatment regimens that better address tuberculosis (TB), a
severe global health burden and one of the leading causes of death due to
infectious diseases worldwide.</t>
  </si>
  <si>
    <t xml:space="preserve">7J9459
09019M</t>
  </si>
  <si>
    <t xml:space="preserve">EastWest Bioscience Inc
Benchmark Botanics Inc</t>
  </si>
  <si>
    <t xml:space="preserve">Manufactures,wholesales hemp-based goods
Manufactures alternative medicine products</t>
  </si>
  <si>
    <t xml:space="preserve">EastWest BioScience Inc,
located in Vancouver,
British Columbia,
manufactures and wholesales
hemp-based consumer goods.
It is an active company in
the hemp industry, which
divides its business in
three divisions: Real
Estate, Manufacturing and
Consumer Goods. The Real
Estate division specializes
in the acquisition of real
estate that contributes to
the revitalization of
surrounding communities and
pushes new local business
opportunities. The
Manufacturing Division
produces natural health
supplements and vitamins for
retail chains across Canada.
The Consumer Goods divisions
offers hemp products under
the brands of Natural
Advancement, Earths Menu,
Natural Pet Science and
ChanvreHemp. The Company is
active globally and, owns
more than 30 products. The
Company was founded in
October 2014.
Benchmark Botanics Inc,
located in Richmond, British
Columbia, manufactures
alternative medicine
products. The Company''s
business is the business of
Potanicals Green Growers Inc
(Potanicals), which
capitalizes on opportunities
in the medical marijuana
market in Canada and
overseas. Potanicals has an
approximately 12,000 square
foot production facility in
Peachland, British Columbia,
Canada for planting, growing
and cultivating
medical-grade marijuana
using proprietary
cultivation methods.
Potanicals is a licensed
producer of marijuana under
the Health Canada approved
Access to Cannabis for
Medical Purposes Regulations
(ACMPR).</t>
  </si>
  <si>
    <t xml:space="preserve">EASTWEST BIOSCIENCE INC/BENCHMARK BOTANICS INC-JOINT VENTURE</t>
  </si>
  <si>
    <t xml:space="preserve">EastWest Bioscience Inc and Benchmark Botanics Inc signed a letter of
intent to form a joint venture in Canada for the purposes of Cannabis Act
licensing, joint product development, and product distribution to national
and international markets.</t>
  </si>
  <si>
    <t xml:space="preserve">0J3355
081612</t>
  </si>
  <si>
    <t xml:space="preserve">Axela Technologies Inc
Mem Ppty Mgmt Corp</t>
  </si>
  <si>
    <t xml:space="preserve">Axela Technologies Inc is a
provider of land subdivision
services. The Company was
founded in 1970 and is
located in Key Biscayne,
Florida.
Mem Property Management Corp
is a provider of land
subdivision services. The
Company is located in New
Jersey.</t>
  </si>
  <si>
    <t xml:space="preserve">AXELA TECHNOLOGIES INC/MEM PROPERTY MANAGEMENT CORP-STRATEGIC ALLIANCE</t>
  </si>
  <si>
    <t xml:space="preserve">Axela Technologies Inc and Mem Property Management Corp planned to form a
strategic alliance was to maximize the efficiency and effectiveness of the
recovery process for the benefit of its association clients and Miami-based
company specializing in providing automated solutions to help community
associations manage and address their delinquent account receivables.</t>
  </si>
  <si>
    <t xml:space="preserve">Property Development Services
Research &amp; Development Services</t>
  </si>
  <si>
    <t xml:space="preserve">4J1652
4J1654</t>
  </si>
  <si>
    <t xml:space="preserve">Amers For Safe Access
Aurelius Data Inc</t>
  </si>
  <si>
    <t xml:space="preserve">Medicinal and Botanical Manufacturing
Custom Computer Programming Services</t>
  </si>
  <si>
    <t xml:space="preserve">Americans For Safe Access is
a manufacturer of medicinals
and botanicals. The Company
is located in Washington DC.
Aurelius Data Inc is a
provider of custom computer
programming services. The
Company was founded in 1970
and is located in Missoula,
Montana.</t>
  </si>
  <si>
    <t xml:space="preserve">2833
7371</t>
  </si>
  <si>
    <t xml:space="preserve">AMERICANS FOR SAFE ACCESS/AURELIUS DATA INC-STRATEGIC ALLIANCE</t>
  </si>
  <si>
    <t xml:space="preserve">Americans For Safe Access and Aurelius Data Inc planned to form a strategic
alliance was to Create a Research Platform to Benefit Cannabis Patients and
gather and analyze millions of data points from cannabis patients.</t>
  </si>
  <si>
    <t xml:space="preserve">4J3600
4J3606</t>
  </si>
  <si>
    <t xml:space="preserve">Cool Technologies Inc
Key Options Pty Ltd</t>
  </si>
  <si>
    <t xml:space="preserve">Lessors Of Nonfinancial Intangible Assets (Except Copyrighted Works)
Search Detection Navigation Guidance Aeronautical and Nautical System and Instrument Manufacturing</t>
  </si>
  <si>
    <t xml:space="preserve">Cool Technologies Inc is a
lessor of nonfinancial
intangible assets. The
Company was founded in 2002
and is located in Tampa,
Florida.
Keyoptions is a manufacturer
of search, detection,
navigation, guidance,
aeronautical and nautical
systems and instruments. The
Company is located in
Australia.
Victoria,Australia.</t>
  </si>
  <si>
    <t xml:space="preserve">6794
3812</t>
  </si>
  <si>
    <t xml:space="preserve">COOL TECHNOLOGIES INC/KEYOPTIONS PTY LTD-JOINT VENTURE</t>
  </si>
  <si>
    <t xml:space="preserve">Cool Technologies Inc and KeyOptions Pty Ltd formed a joint venture to
introduce CoolTechs Mobile Generation technology to Australia and Southeast
Asia. KeyOptions develops and markets products for governments, defense
contractors and other commercial applications to counter security and cyber
threats. The Company will provide a license for the JV to market and sell
CoolTechs entire product platform in Australia and neighboring countries in
Southeast Asia.</t>
  </si>
  <si>
    <t xml:space="preserve">21639Y
2J3747</t>
  </si>
  <si>
    <t xml:space="preserve">Investment Mgmt Corp of ON
Tishman Speyer Properties Inc</t>
  </si>
  <si>
    <t xml:space="preserve">Portfolio Management
Real estate development firm</t>
  </si>
  <si>
    <t xml:space="preserve">Investment Management Corp
of Ontario, located in
Toronto, Ontario, is a
portfolio manager. The
Company was founded in 2016.
Tishman Speyer Properties
Inc, located in New York
City, New York, is a real
estate development firm
which owns, develops,
manages and operates retail,
residential and office
buildings. The Company was
founded in 1978.</t>
  </si>
  <si>
    <t xml:space="preserve">6282
6552</t>
  </si>
  <si>
    <t xml:space="preserve">INVESTMENT MANAGEMENT CORP OF ONTARIO/TISHMAN SPEYER PROPERTIES INC-JOINT
VENTURE</t>
  </si>
  <si>
    <t xml:space="preserve">Investment Management Corp of Ontario and Tishman Speyer Properties Inc
planned to form joint venture. The purpose of joint venture is to build a
valuable portfolio of new developments and repositioned office and
multi-residential properties in major U.S. gateway cities.</t>
  </si>
  <si>
    <t xml:space="preserve">Construction Services
Research &amp; Development Services
Property Development Services</t>
  </si>
  <si>
    <t xml:space="preserve">8H1209
88825P</t>
  </si>
  <si>
    <t xml:space="preserve">DRB-HICOM Bhd
Altel Commun Sdn Bhd
Ecarx (Hubei) Tech Co Ltd</t>
  </si>
  <si>
    <t xml:space="preserve">Automobile Manufacturing
All Other Telecommunications
Miscellaneous Financial Investment Activities</t>
  </si>
  <si>
    <t xml:space="preserve">DRB-HICOM Bhd is an
investment holding company.
The Company operates through
three segments: Automotive,
Services, and Property,
Asset and Construction. The
Automotive segment is
engaged in manufacturing,
assembly, vehicles
importation, pre-delivery
inspection, composite
manufacturing, vehicles
leasing, distribution and
sale of motor vehicles,
military vehicles,
motorcycles and special
purpose vehicles, including
sale of related spares and
services. The Services
segment is engaged in
concession, such as vehicle
inspection, solid waste
management and airport
ground handling business;
banking, including Islamic
banking and related
financial services; postal,
such as mail, courier and
retail; integrated logistics
and inventory solutions, and
education, including higher
education and vocational
training institution. The
Property, Asset and
Construction segment is
involved in property
holding, development and
construction works. The
Company was founded in 1980
and is located in Shah Alam,
Malaysia.
Altel Communications Sdn Bhd
is a provider of
telecommunications services.
The Company is located in
Petaling Jaya, Malaysia.
Ecarx (Hubei) Technology Co
Ltd is a provider of
financial investment
services. The Company is
located in China.</t>
  </si>
  <si>
    <t xml:space="preserve">3711
4899
6289</t>
  </si>
  <si>
    <t xml:space="preserve">Malaysia
Malaysia
China</t>
  </si>
  <si>
    <t xml:space="preserve">Etika Strategi Sdn Bhd
Altel Commun Sdn Bhd
Ecarx (Hubei) Tech Co Ltd</t>
  </si>
  <si>
    <t xml:space="preserve">2086
4899
6289</t>
  </si>
  <si>
    <t xml:space="preserve">DRB-HICOM BHD/ALTEL COMMUNICATIONS SDN BHD/ECARX (HUBEI) TECHNOLOGY CO
LTD-JOINT VENTURE</t>
  </si>
  <si>
    <t xml:space="preserve">Drb-Hicom Bhd, Altel Communications Sdn Bhd and Ecarx (Hubei) Technology Co
Ltd formed a 60:30:10 joint venture. The JV was to have a cost of USD
1.4471 million was to creates opportunity for PHB group to establish a car
connectivity research and development (R&amp;D) centre in Malaysia for future
products enhancement to suit local and regional ecosystem and also for
export countries with better and higher standard of services.</t>
  </si>
  <si>
    <t xml:space="preserve">60.00
30.00
10.00</t>
  </si>
  <si>
    <t xml:space="preserve">The JV was to have a cost of USD 1.4471 million(RM 6.0 million).</t>
  </si>
  <si>
    <t xml:space="preserve">25532Y
4J4393
4J4394</t>
  </si>
  <si>
    <t xml:space="preserve">Genmab A/S and Janssen Biotech Inc formed a strategic alliance to develop
and commercialize HexaBody-CD38, a next-generation human CD38 monoclonal
antibody product incorporating Genmab's proprietary HexaBody technology.</t>
  </si>
  <si>
    <t xml:space="preserve">Tessa Therapeutics Pte Ltd
CSGKC</t>
  </si>
  <si>
    <t xml:space="preserve">Biological Product (Except Diagnostic) Manufacturing
Real estate development firm</t>
  </si>
  <si>
    <t xml:space="preserve">Tessa Therapeutics Pte Ltd
is a manufacturer of
biological products. The
Company was founded in 2011
and is located in Singapore,
Singapore.
China-Singapore Guangzhou
Knowledge City Investment &amp;
Development Co Ltd is a
provider of land subdivision
services. The Company was
founded in September 2011
and is located in Guangzhou,
China.</t>
  </si>
  <si>
    <t xml:space="preserve">Singapore
China</t>
  </si>
  <si>
    <t xml:space="preserve">Tessa Therapeutics Pte Ltd
Sinar Mas Group</t>
  </si>
  <si>
    <t xml:space="preserve">Singapore
Indonesia</t>
  </si>
  <si>
    <t xml:space="preserve">2836
2611</t>
  </si>
  <si>
    <t xml:space="preserve">TESSA THERAPEUTICS PTE LTD/CHINA-SINGAPORE GUANGZHOU KNOWLEDGE CITY
INVESTMENT &amp; DEVELOPMENT CO LTD-JOINT VENTURE</t>
  </si>
  <si>
    <t xml:space="preserve">Tessa Therapeutics Pte Ltd and China-Singapore Guangzhou Knowledge City
Investment Development Co Ltd formed joint venture for research, clinical
development and commercialization in China. The Joint Venture was to have a
capitalization of 120 million USD.</t>
  </si>
  <si>
    <t xml:space="preserve">The Joint Venture was to have a capitalization of 120 million USD.</t>
  </si>
  <si>
    <t xml:space="preserve">3F8378
4J5012</t>
  </si>
  <si>
    <t xml:space="preserve">Worldline SA
Nordic Fin Innovation As</t>
  </si>
  <si>
    <t xml:space="preserve">Data Processing, Hosting, and Related Services
Administrative Management and General Management Consulting Services</t>
  </si>
  <si>
    <t xml:space="preserve">Worldline SA provides
payment and transaction
services. The Company
creates and operates digital
platforms which handle all
transactions between
companies, their partners
and customers. It's
solutions are divided into
three segments: Merchant
Services &amp; Terminals,
comprising services,
solutions and implementation
in the areas of payment
terminals, multichannel
payment acceptance, non-cash
payments, private label
cards, loyalty services and
e-commerce; Mobility &amp;
E-Transactional Services,
engaged in creation of
digital products such as
e-tickets, e-government
collection platforms, and
contact and consumer cloud
platforms, among others; and
Financial Processing &amp;
Software Licensing, which
provides payment processing,
acquiring and issuing
processing, online banking
solutions, and software
solutions. The Company is
active internationally in
more than 15 countries. The
Company was founded in July
1990 and is located in
Bezons, France.
Nordic Finance Innovation As
The Company is located in
Oslo, Norway.</t>
  </si>
  <si>
    <t xml:space="preserve">7374
8742</t>
  </si>
  <si>
    <t xml:space="preserve">WORLDLINE SA/NORDIC FINANCE INNOVATION AS-STRATEGIC ALLIANCE</t>
  </si>
  <si>
    <t xml:space="preserve">Norway
France</t>
  </si>
  <si>
    <t xml:space="preserve">Worldline SA and Nordic Finance Innovation As formed a strategic alliance.
The purpose of strategic alliance is to strengthen the position of Nordics
countries within the global ecosystem.</t>
  </si>
  <si>
    <t xml:space="preserve">04969A
4J3429</t>
  </si>
  <si>
    <t xml:space="preserve">Tlabs
Code Univ Of Applied Sciences</t>
  </si>
  <si>
    <t xml:space="preserve">Miscellaneous Intermediation
Colleges, Universities, and Professional Schools</t>
  </si>
  <si>
    <t xml:space="preserve">Tlabs is an intermediating
company. The Company is
located in Noida, India.
Code University Of Applied
Sciences is a college
operator. The Company is
located in Berlin, Germany.</t>
  </si>
  <si>
    <t xml:space="preserve">TLABS/CODE UNIVERSITY OF APPLIED SCIENCES-STRATEGIC ALLIANCE</t>
  </si>
  <si>
    <t xml:space="preserve">Tlabs and Code University Of Applied Sciences formed a strategic alliance
was to extends its academic network and continue to research towards
developing Minimum Viable Products (MVPs) highlighting future technology
applications.</t>
  </si>
  <si>
    <t xml:space="preserve">4J5151
4J5156</t>
  </si>
  <si>
    <t xml:space="preserve">New England BioLabs Inc
Bioz Inc</t>
  </si>
  <si>
    <t xml:space="preserve">Biotech co
Software Publishers</t>
  </si>
  <si>
    <t xml:space="preserve">New England BioLabs Inc,
located in Ipswich,
Massachusetts, is a
biotechnology company. The
company was founded in 1970.
Bioz Inc is a technology
company which offers search
engine for life science
experimentation. The
Company's software platform
combines the work of
scientists with Natural
Language Processing (NLP)
and Machine Learning (ML) to
help life scientists in
academia and biopharma make
experimentation decision.
The Company is located in
Los Altos, California.</t>
  </si>
  <si>
    <t xml:space="preserve">NEW ENGLAND BIOLABS INC/BIOZ INC-STRATEGIC ALLIANCE</t>
  </si>
  <si>
    <t xml:space="preserve">New England BioLabs Inc and Bioz Inc planned to form a strategic alliance
was to Empower Life Science Researchers and developing innovative products
for the life science industry. NEB is renowned for consistently providing
exceptionally high-quality products coupled with unsurpassed researcher
support.</t>
  </si>
  <si>
    <t xml:space="preserve">64385T
0J6849</t>
  </si>
  <si>
    <t xml:space="preserve">ClientPay
Thomson Reuters Elite</t>
  </si>
  <si>
    <t xml:space="preserve">Software Reproducing
Administrative Management and General Management Consulting Services</t>
  </si>
  <si>
    <t xml:space="preserve">ClientPay is a software. The
Company is located in Saint
Paul, Minnesota.
Thomson Reuters Elite is a
provider of administrative
management and general
management consulting
services. The Company was
founded in 1970 and is
located in Los Angeles,
California.</t>
  </si>
  <si>
    <t xml:space="preserve">ClientPay
Woodbridge Co Ltd</t>
  </si>
  <si>
    <t xml:space="preserve">CLIENTPAY/THOMSON REUTERS ELITE-STRATEGIC ALLIANCE</t>
  </si>
  <si>
    <t xml:space="preserve">ClientPay and Thomson Reuters Elite formed a strategic alliance. The
purpose of strategic alliance is to include an integration with Firm
Central was a welcome next step in our partnership.</t>
  </si>
  <si>
    <t xml:space="preserve">1J2724
0J7765</t>
  </si>
  <si>
    <t xml:space="preserve">Orchestra BioMed Inc
Terumo Corp</t>
  </si>
  <si>
    <t xml:space="preserve">Pharmaceutical Preparation Manufacturing
Manufacture,wholesale medical equipment,drug</t>
  </si>
  <si>
    <t xml:space="preserve">Orchestra BioMed Inc is a
manufacturer of
pharmaceutical preparation.
The Company is located in
New Hope, Pennsylvania.
Terumo Corp, located in
Tokyo, Japan, manufactures
and wholesales medical
equipment and drug. It
operates in four business
segment. The Hospital
Products segment offers
hospital medical equipment,
pharmaceuticals, peritoneal
dialysis and diabetes
related products, and the
rental of hospital medical
equipment and home medical
products. The Cardiac and
Vascular Area segment is
involved in the manufacture,
purchase and sale of
catheter systems, artificial
heart and lungs, and
artificial blood vessels,
the manufacture and sale of
therapeutic coils for
cerebral aneurysm, sampling
equipment and kits for
platelet-rich plasma and
concentrated bone-marrow
cell, and large-bore
sheaths. The Blood System
segment is engaged in the
manufacture, purchase and
sale of blood
transfusion-related
products. The Healthcare
segment offers healthcare
related products. The
company was founded in 1921.</t>
  </si>
  <si>
    <t xml:space="preserve">ORCHESTRA BIOMED INC/TERUMO CORP-STRATEGIC ALLIANCE</t>
  </si>
  <si>
    <t xml:space="preserve">Orchestra BioMed Inc and Terumo Corp formed a strategic alliance for
development and commercialization of Virtue Sirolimus-Eluting Balloon
(SEB).</t>
  </si>
  <si>
    <t xml:space="preserve">4J2201
88155A</t>
  </si>
  <si>
    <t xml:space="preserve">Oncology Pharma Inc
NanoSmart Pharmaceuticals Inc</t>
  </si>
  <si>
    <t xml:space="preserve">Research and Development in The Physical, Engineering and Lifesciences (Except Biotechnology)
Biotechnology company</t>
  </si>
  <si>
    <t xml:space="preserve">Oncology Pharma Inc, located
in San Francisco,
California, is a provider of
research and development
services. The Company was
founded in 1993.
founded in 1993.
NanoSmart Pharmaceuticals
Inc is a biotechnology
company headquartered in
Laguna Hills, California.
The Company develops next
generation immunoliposomal
drugs, these are drugs that
are focused on the treatment
of tumor and cancer.</t>
  </si>
  <si>
    <t xml:space="preserve">ONCOLOGY PHARMA INC/NANOSMART PHARMACEUTICALS INC-STRATEGIC ALLIANCE</t>
  </si>
  <si>
    <t xml:space="preserve">Oncology Pharma Inc and NanoSmart Pharmaceuticals Inc formed a strategic
alliance. The purpose of strategic alliance was for the development of
human oncology and veterinary oncology pharmaceuticals.</t>
  </si>
  <si>
    <t xml:space="preserve">7J4183
63338Z</t>
  </si>
  <si>
    <t xml:space="preserve">Jotun AS
Hyundai Heavy Inds Co Ltd</t>
  </si>
  <si>
    <t xml:space="preserve">Mnfr,wholesale paints,coatings
Mnfr heavy industrial prod</t>
  </si>
  <si>
    <t xml:space="preserve">Jotun AS, located in
Sandefjord, Norway,
manufactures and wholesales
paints and coatings. Its
products include decorative
paints, marine coatings,
protective coatings and
powder coatings. The company
was founded in 1972.
Hyundai Heavy Industries Co
Ltd, located in Ulsan, South
Korea, manufactures heavy
industrial products, steel
ships and construction
equipment for heavy
electricity business, marine
business and others. Its
main products include VLCCs,
tankers, product carriers,
chemical tankers, bulk
carriers, Ro-Pax and Ro-Ro
ships, pure car, LNG and LPG
carriers, submarines,
destroyers, frigates, fixed
platforms, pipeline and
subsea facilities, offshore
installations. Other
products include oil and gas
processing, combined-cycle
power, thermal power and
co-generation power plants,
diesel engines, propellers,
transformers, excavators,
and wheel loaders. The
company was founded in
December 28, 1973.</t>
  </si>
  <si>
    <t xml:space="preserve">2851
3731</t>
  </si>
  <si>
    <t xml:space="preserve">Norway
South Korea</t>
  </si>
  <si>
    <t xml:space="preserve">JOTUN AS/HYUNDAI HEAVY INDUSTRIES CO LTD-STRATEGIC ALLIANCE</t>
  </si>
  <si>
    <t xml:space="preserve">South Korea
Norway</t>
  </si>
  <si>
    <t xml:space="preserve">Jotun AS and Hyundai Heavy Industries Co Ltd formed a strategic alliance in
South Korea &amp; Norway to focus on research and development of
environmentally friendly paints. The companies will work on developing the
new type of marine paint for 13 years.</t>
  </si>
  <si>
    <t xml:space="preserve">48108T
44918Y</t>
  </si>
  <si>
    <t xml:space="preserve">Greenvention Biotech Pvt Ltd
CSIR-Natl Chem Lab</t>
  </si>
  <si>
    <t xml:space="preserve">Greenvention Biotech Pvt Ltd
is a manufacturer of
biological products. The
Company is located in Pune,
India.
CSIR-National Chemical
Laboratory is a provider of
research and development
services. The Company is
located in Pune, India.</t>
  </si>
  <si>
    <t xml:space="preserve">GREENVENTION BIOTECH PVT LTD/CSIR-NATIONAL CHEMICAL LABORATORY-STRATEGIC
ALLIANCE</t>
  </si>
  <si>
    <t xml:space="preserve">Greenvention Biotech Pvt Ltd and National Chemical Laboratory {NCL}(India)
formed a strategic alliance was to integrated pest and pathogen management
in agriculture using fungi and their metabolites and An eco-friendly,
integrated pest management in agriculture approach has been developed at
CSIR-NCL as a technology using microorganisms such as fungi and their
products.</t>
  </si>
  <si>
    <t xml:space="preserve">4J5535
4J5947</t>
  </si>
  <si>
    <t xml:space="preserve">Megafon PAO
Fort Ross Ventures</t>
  </si>
  <si>
    <t xml:space="preserve">Wireless Telecommunications Carriers (Except Satellite)
Miscellaneous Financial Investment Activities</t>
  </si>
  <si>
    <t xml:space="preserve">South Ossetia.
MegaFon PAO, located in
Moscow, Russian Federation, is
a provider of wireless
telecommunications services.
It is a mobile operator in GSM
900/1800 standard. Licensed
coverage of the Company and
its 100%-owned subsidiaries
includes the entire territory
of the Russian Federation with
population of 145 million. The
spectrum of services is
addressed both to mass
consumers and to corporate
customers. It is also and
Internet Service Provider
(ISP) offering its clients
high-speed 4g/LTE broadband
technology. The Company is a
provider of wide range of
wireless telecommunication
services to business, other
telecommunications services
providers and retail
subscribers. The Company was
founded in 1993.
Fort Ross Ventures, located
in Menlo Park, California,
is a provider of financial
investment services.</t>
  </si>
  <si>
    <t xml:space="preserve">4812
6289</t>
  </si>
  <si>
    <t xml:space="preserve">USM Holdings Ltd
Fort Ross Ventures</t>
  </si>
  <si>
    <t xml:space="preserve">6799
6289</t>
  </si>
  <si>
    <t xml:space="preserve">MEGAFON PAO/FORT ROSS VENTURES-STRATEGIC ALLIANCE</t>
  </si>
  <si>
    <t xml:space="preserve">MegaFon PAO and Fort Ross Ventures formed a strategic alliance. The purpose
of startegic alliance is to develop innovations, exchange technologies and
look for investment possibilities.</t>
  </si>
  <si>
    <t xml:space="preserve">58517T
4J3415</t>
  </si>
  <si>
    <t xml:space="preserve">Mca Grupo
African Sun Ltd</t>
  </si>
  <si>
    <t xml:space="preserve">Electrical Contractors
Own,operate hotels</t>
  </si>
  <si>
    <t xml:space="preserve">Mca Grupo The Company is
located in Spain.
African Sun Ltd, based in
Harare, Zimbabwe, own and
operates hotels. The company
was established in 1968.</t>
  </si>
  <si>
    <t xml:space="preserve">1711
7011</t>
  </si>
  <si>
    <t xml:space="preserve">Spain
Zimbabwe</t>
  </si>
  <si>
    <t xml:space="preserve">MCA GRUPO/AFRICAN SUN LTD-JOINT VENTURE</t>
  </si>
  <si>
    <t xml:space="preserve">Mca Grupo and African Sun Ltd formed joint venture. The purpose of joint
venture is for the development of renewable energy projects in Africa.</t>
  </si>
  <si>
    <t xml:space="preserve">Research &amp; Development Services
Electrical &amp; Electronic Services
Electric Utility Services</t>
  </si>
  <si>
    <t xml:space="preserve">4J4984
01515E</t>
  </si>
  <si>
    <t xml:space="preserve">Burloak Technologies Inc
National Research Council</t>
  </si>
  <si>
    <t xml:space="preserve">Engineering Services
State agency</t>
  </si>
  <si>
    <t xml:space="preserve">Burloak Technologies Inc is
a provider of engineering
services. The Company is
located in Oakville, Canada.
National Research Council of
Canada is a state agency which
provides research and
development services since
1916.</t>
  </si>
  <si>
    <t xml:space="preserve">8711
999D</t>
  </si>
  <si>
    <t xml:space="preserve">Samuel Son &amp; Co Ltd
Canada</t>
  </si>
  <si>
    <t xml:space="preserve">3312
999A</t>
  </si>
  <si>
    <t xml:space="preserve">BURLOAK TECHNOLOGIES INC/NATIONAL RESEARCH COUNCIL-STRATEGIC ALLIANCE</t>
  </si>
  <si>
    <t xml:space="preserve">Burloak Technologies Inc and National Research Council of Canada formed a
strategic alliance in Canada to commercialize revolutionary
laser-consolidation additive manufacturing technology.</t>
  </si>
  <si>
    <t xml:space="preserve">3F5666
63790A</t>
  </si>
  <si>
    <t xml:space="preserve">SK Telecom Co Ltd
Nokia Oyj
Telefonaktiebolaget LM</t>
  </si>
  <si>
    <t xml:space="preserve">Pvd cellular telecommun svcs
Mnfr network infrastructure products
Provides telecommun services</t>
  </si>
  <si>
    <t xml:space="preserve">SK Telecom Co Ltd,
headquartered in Seoul, South
Korea, provides cellular
telecommunication, wireless
internet, international
roaming, video telephony and
B2B services. The company was
established in 1984.
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
Telefonaktiebolaget LM
Ericsson, located in
Stockholm, Sweden, provides
telecommunications services to
operators. It also
manufactures and wholesales
related telecommunications,
avionics and missile
electronics, defense
communications, mobile data
communications, signaling and
safety equipment and systems
that are offered to rail
traffic, street and highway,
power cables, copper and
aluminum wires industries. It
has operations in Europe,
Middle East, Africa, Asia
Pacific, North America and
Latin America. The Company was
founded in 1876.</t>
  </si>
  <si>
    <t xml:space="preserve">4812
3663
4812</t>
  </si>
  <si>
    <t xml:space="preserve">South Korea
Finland
Sweden</t>
  </si>
  <si>
    <t xml:space="preserve">SK TELECOM CO LTD/NOKIA OYJ/TELEFONAKTIEBOLAGET LM ERICSSON-STRATEGIC
ALLIANCE</t>
  </si>
  <si>
    <t xml:space="preserve">SK Telecom Co Ltd, Nokia Oyj and Telefonaktiebolaget LM Ericsson planned to
form a strategic alliance. The purpose of strategic alliance is to conduct
research and development for 6G wireless networks.</t>
  </si>
  <si>
    <t xml:space="preserve">78440P
654902
294821</t>
  </si>
  <si>
    <t xml:space="preserve">Chia Tai-Tianqing Pharm Co
Akeso Biopharma Inc</t>
  </si>
  <si>
    <t xml:space="preserve">Chia Tai-Tianqing
Pharmaceutical Co Ltd is a
manufacturer of
pharmaceutical preparation.
The Company was founded in
April 1997 and is located in
Lianyungang Jiangsu, China.
Akeso Biopharma Inc, located
in Zhongshan, China is a
biotechnology company which
focuses on innovative
antibody drug research and
development. The Company was
founded in March 2012.</t>
  </si>
  <si>
    <t xml:space="preserve">Sino Biopharmaceutical Ltd
Akeso Biopharma Inc</t>
  </si>
  <si>
    <t xml:space="preserve">JIANGSU CHIA TAI-TIANQING/AKESO BIOPHARMA INC-JOINT VENTURE</t>
  </si>
  <si>
    <t xml:space="preserve">Jiangsu Chia Tai-Tianqing Pharmaceutical Co Ltd and Akeso Biopharma Inc
formed a joint venture in China to jointly develop project of recombinant
humanized anti PD-1 monoclonal antibody AK105 drug. The Joint Venture was
to have a Capitalization of 99.5642 million USD(689.45 Million Chinese
Yuan).</t>
  </si>
  <si>
    <t xml:space="preserve">The Joint Venture was to have a Capitalization of 99.5642 million
USD(689.45 Million Chinese Yuan)</t>
  </si>
  <si>
    <t xml:space="preserve">47697F
1F1705</t>
  </si>
  <si>
    <t xml:space="preserve">Voyager Therapeutics Inc
Genzyme Corp</t>
  </si>
  <si>
    <t xml:space="preserve">Voyager Therapeutics Inc,
located in Cambridge,
Massachusetts, is a
biotechnology company
developing life-changing
treatments for fatal and
debilitating diseases of the
central nervous system
(CNS). The Company was
founded in 2013.
Genzyme Corp, located in
Cambridge, Massachusetts, is a
biotechnology company
operating through 5 segments:
Renal, Therapeutics,
Transplant, Biosurgery, and
Genetics. The Renal segment
manufactures, and distributes
products that treat patients
suffering from renal diseases.
The Therapeutics segment
provides Cerezyme/Ceredase, an
enzyme replacement therapy for
the treatment of Gaucher
disease; Fabrazyme, a
recombinant form of the human
enzyme alpha-galactosidase for
the treatment of Fabry
disease; Thyrogen, an
adjunctive diagnostic agent
used in the follow-up of
patients with thyroid cancer;
Myozyme therapy for Pompe
disease; and Aldurazyme, a
recombinant form of the human
enzyme alpha-L-iduronidase to
treat mucopolysaccharidosis I.
The Transplant segment offers
Thymoglobulin, a polyclonal
antibody that suppresses
immune cells responsible for
acute organ rejection in
transplant patients; and
Lymphoglobuline, a polyclonal
antibody for the treatment of
aplastic anemia. The
Biosurgery segment markets
Synvisc, a biomaterial used to
treat the pain associated with
osteoarthritis of the knee;
and Sepra products for
preventing adhesions following
surgery. The Genetics segment
provides reproductive testing
and diagnostic services. The
company was founded in 1981.</t>
  </si>
  <si>
    <t xml:space="preserve">Voyager Therapeutics Inc
Sanofi SA</t>
  </si>
  <si>
    <t xml:space="preserve">VOYAGER THERAPEUTICS INC/GENZYME CORP-STRATEGIC ALLIANCE</t>
  </si>
  <si>
    <t xml:space="preserve">Voyager Therapeutics Inc and Genzyme Corp formed a strategic alliance to
restructure Gene Therapy Relationship.</t>
  </si>
  <si>
    <t xml:space="preserve">92915B
372917</t>
  </si>
  <si>
    <t xml:space="preserve">Minerco Resources Inc
AnyThing Technologies Media</t>
  </si>
  <si>
    <t xml:space="preserve">Medicinal and Botanical Manufacturing
Pvd multimedia app svcs</t>
  </si>
  <si>
    <t xml:space="preserve">Minerco Resources Inc is a
manufacturer of medicinals
and botanicals. The Company
was founded in June 2007 and
is located in Katy, Texas.
Anything Technologies Media,
located in Ione, California,
provides multi-media
application services.</t>
  </si>
  <si>
    <t xml:space="preserve">2833
7373</t>
  </si>
  <si>
    <t xml:space="preserve">MINERCO RESOURCES INC/ANYTHING TECHNOLOGIES MEDIA INC-JOINT VENTURE</t>
  </si>
  <si>
    <t xml:space="preserve">Minerco Resources Inc and AnyThing Technologies Media Inc formed joint
venture. The purpose of joint venture is to develop, market and distribute
a new line of CBD products. The joint venture will leverage Minercos proven
beverage formulations and distribution with ATMs hemp/CBD expertise to
jointly and efficiently take the new line of products to market.</t>
  </si>
  <si>
    <t xml:space="preserve">603173
037355</t>
  </si>
  <si>
    <t xml:space="preserve">Science Exchange Inc
Brex Inc</t>
  </si>
  <si>
    <t xml:space="preserve">Research and Development in Biotechnology
Financial Transactions Processing, Reserve, and Clearinghouse Activities</t>
  </si>
  <si>
    <t xml:space="preserve">Science Exchange Inc is a
provider of biotechnology
research and development
services. The Company is
located in Palo Alto,
California.
Brex Inc, located in San
Francisco, California, is a
provider of financial
transactions services. It
offers credit cards and cash
management. The Company was
founded in 2017.</t>
  </si>
  <si>
    <t xml:space="preserve">8731
6099</t>
  </si>
  <si>
    <t xml:space="preserve">SCIENCE EXCHANGE INC/BREX INC-STRATEGIC ALLIANCE</t>
  </si>
  <si>
    <t xml:space="preserve">California
California</t>
  </si>
  <si>
    <t xml:space="preserve">Science Exchange Inc and Brex Inc planned to form a strategic alliance. The
purpose of strategic alliance is to enable Science Exchange and Brex to
provide their mutual biotech and pharma clients with streamlined access to
payments and innovative R&amp;D services, thereby accelerating drug discovery
research.</t>
  </si>
  <si>
    <t xml:space="preserve">4E7689
7H1429</t>
  </si>
  <si>
    <t xml:space="preserve">Sq Chain Corp
Rise Therapeutics LLC</t>
  </si>
  <si>
    <t xml:space="preserve">Operates Travel Agencies
Biological Product (Except Diagnostic) Manufacturing</t>
  </si>
  <si>
    <t xml:space="preserve">Asia Travel Corp, located in
Kowloon, Hong Kong, operates
a travel agency through
lease management and a hotel
through direct ownership in
China. The Company operates
Tengda Travel through lease
management. Tengda Travel is
a travel agency located in
Zhuhai, Guangdong Province,
China. Through Tengda
Travel, it provides the
travel services and
products, which include
packaged tours, reservation
of hotel rooms and golf
course and corporate
conferences, exhibits and
show events. Tengda Travel
contracts with traffic
service providers,
accommodation providers and
leisure service providers to
purchase tickets,
accommodation, leisure or
entertainment packages in
bulk and then resell them to
its customers with a
mark-up. Tengda Travel has
contracted with a number of
hotels and golf courses in
China to offer the
reservation services. Tengda
Travel also occasionally
organizes corporate
conferences, exhibits and
show events for its
institutional customers.
Rise Therapeutics LLC is a
manufacturer of biological
products. The Company was
founded in August 2014 and
is located in Rockville,
Maryland.</t>
  </si>
  <si>
    <t xml:space="preserve">4724
2836</t>
  </si>
  <si>
    <t xml:space="preserve">NV
MD</t>
  </si>
  <si>
    <t xml:space="preserve">SQUARE CHAIN CORP/RISE THERAPEUTICS LLC-JOINT VENTURE</t>
  </si>
  <si>
    <t xml:space="preserve">Square Chain Corp and Rise Therapeutics LLC planned to form a 40:60 joint
venture was to Square Chain believes that it is getting in at the early
stages of this industry and is having the product tested by a major
university laboratory to meet all requirements now and those expected in
the near future.</t>
  </si>
  <si>
    <t xml:space="preserve">85221L
4J4383</t>
  </si>
  <si>
    <t xml:space="preserve">Riber SA
Toulouse Tech Transfer Sas</t>
  </si>
  <si>
    <t xml:space="preserve">Mnfr MBE prod
Research and Development in The Physical, Engineering and Lifesciences (Except Biotechnology)</t>
  </si>
  <si>
    <t xml:space="preserve">Riber SA, located in Bezons,
France, manufactures and
wholesales molecular beam
epitaxy (MBE) for use in the
research of compound
semiconductors and other
advanced materials, as well as
the production of epiwafers.
It also manufactures
ultra-high vacuum (UHV)
chemical vapor deposition
machines for the research and
development of epitaxial
growth technologies that are
used in the manufacture of
silicon germanium-based
compound semiconductor
devices. The Company was
founded in 1964.
Toulouse Tech Transfer Sas
is a provider of research
and development services.
The Company was founded in
January 2012 and is located
in Toulouse, France.</t>
  </si>
  <si>
    <t xml:space="preserve">RIBER SA/TOULOUSE TECH TRANSFER SAS-STRATEGIC ALLIANCE</t>
  </si>
  <si>
    <t xml:space="preserve">Riber SA and Toulouse Tech Transfer Sas planned to form a strategic
alliance. The purpose of strategic alliance is for creating value and
transferring technology from public research in Frances Occitanie region,
for the exclusive marketing of a reflective surface defect and curvature
measurement technology, developed by the LAAS-CNRS.</t>
  </si>
  <si>
    <t xml:space="preserve">76256N
4J4334</t>
  </si>
  <si>
    <t xml:space="preserve">Ricoh Co Ltd
Elixirgen Scientific Inc</t>
  </si>
  <si>
    <t xml:space="preserve">Manufacture,wholesale copiers,fax machines
Manufacture regenerative products</t>
  </si>
  <si>
    <t xml:space="preserve">Ricoh Co Ltd, located in
Tokyo, Japan, manufactures
and wholesales copiers and
fax machines. The company
operates in three business
segments. The Image &amp;
Solution segment is engaged
in the manufacture and sale
of office equipment,
including digital and analog
copiers, multi-functional
printers (MFPs), laser
printers, facsimile
machines, digital printing
presses, solution products
such as computers and
servers, as well as the
provision of various support
services. The Industrial
segment is engaged in the
manufacture and sale of
thermal media products,
optical equipment,
semiconductors, electrical
units and measuring
instruments. The other
provision of digital
cameras, as well as the
operation of financial and
logistics businesses. As of
March 31, 2011, the Company
had 227 subsidiaries and
seven associated companies.
On October 1, 2011, the
Company acquired a
subsidiary from HOYA. The
company was founded in 1936.
Elixirgen Scientific Inc,
located in Baltimore,
Maryland, manufactures
regenerative medicine
products.</t>
  </si>
  <si>
    <t xml:space="preserve">3579
2836</t>
  </si>
  <si>
    <t xml:space="preserve">Ricoh Co Ltd
Elixirgen LLC</t>
  </si>
  <si>
    <t xml:space="preserve">RICOH CO LTD/ELIXIRGEN SCIENTIFIC INC-STRATEGIC ALLIANCE</t>
  </si>
  <si>
    <t xml:space="preserve">Ricoh Co Ltd and Elixirgen Scientific Inc formed a strategic alliance was
to develop innovative biomedical products and services that support drug
discovery based on cell differentiation 1 technology.</t>
  </si>
  <si>
    <t xml:space="preserve">765658
4J4284</t>
  </si>
  <si>
    <t xml:space="preserve">X5 Retail Group NV
Santens Svc Logistics Grp NV</t>
  </si>
  <si>
    <t xml:space="preserve">Own,operate grocery stores
Freight Transportation Arrangement</t>
  </si>
  <si>
    <t xml:space="preserve">X5 Retail Group NV,
headquartered in Moscow,
Russian Federation, is an
owner and operator of grocery
stores. Founded in 1995, the
company, together with its
subsidiaries, is engaged in
the development and operation
of grocery retail stores. As
of 31 December 2009, the
company operated a retail
chain of 1,372 discount,
supermarket and hypermarket
stores under the brand names
Pyaterochka, Perekrestok and
Karusel, in Russia, including,
but not limited to Moscow, St.
Petersburg, Nizhniy Novgorod,
Rostov-on-Don, Kazan, Samara,
Lipetsk, Chelyabinsk, Perm,
Ekaterinburg and Kiev. As of
31 December 2009, the company
operated a total of 275
supermarkets, 1,039 discounter
stores, and 58 hypermarkets.
In addition as at December 31,
2009, its franchisees operated
620 stores across Russia.
Santens Service Logistics
Group NV is a provider of
freight transportation
arrangement services that
exclusively focuses on
supporting the distribution
chain for finished
pharmaceutical and
accompanying products in the
Russian market. The Company
is located in Moscow, the
Russian Federation. The
company was founded on
01/Jan/2000.</t>
  </si>
  <si>
    <t xml:space="preserve">5411
4731</t>
  </si>
  <si>
    <t xml:space="preserve">X5 RETAIL GROUP NV/SANTENS SERVICE LOGISTICS GROUP NV-STRATEGIC ALLIANCE</t>
  </si>
  <si>
    <t xml:space="preserve">X5 Retail Group NV and Santens Service Logistics Group NV planned to form a
strategic alliance in Russia to join forces in an effort to develop a
pharmaceutical marketplace based on the Perekrestok.ru online store.</t>
  </si>
  <si>
    <t xml:space="preserve">98387E
4J5394</t>
  </si>
  <si>
    <t xml:space="preserve">Sopra Steria Group SA
FIDAMC</t>
  </si>
  <si>
    <t xml:space="preserve">Pvd consulting,info tech svcs
Research and Development in The Physical, Engineering and Lifesciences (Except Biotechnology)</t>
  </si>
  <si>
    <t xml:space="preserve">Sopra Steria Group SA
provides systems integration
consulting and information
technology service. The
Companies services include
consulting, enterprise
resource planning
integration (ERP), customer
relationship management
(CRM), site software
engineering, global testing
and business intelligence
(BI), among others. The
Company is present in
France, the Benelux,
Morocco, Germany, India,
Ireland, Spain, Portugal,
Italy, the United Kingdom
and Switzerland. The Company
was founded in 1968 and is
located in Annecy-Le-Vieux,
France.
Fundacion Para La
Investigacin Desarrollo Y
Aplicacion De Materiales
Compuestos is a provider of
research and development
services. The Company is
located in Spain.</t>
  </si>
  <si>
    <t xml:space="preserve">7376
8733</t>
  </si>
  <si>
    <t xml:space="preserve">France
Spain</t>
  </si>
  <si>
    <t xml:space="preserve">SOPRA STERIA GROUP SA/FUNDACION PARA LA INVESTIGACIN DESARROLLO Y
APLICACION DE MATERIALES COMPUESTOS-STRATEGIC ALLIANCE</t>
  </si>
  <si>
    <t xml:space="preserve">Sopra Steria Group SA and Fundacion Para La Investigacin Desarrollo Y
Aplicacion De Materiales Compuestos formed a strategic alliance to
contribute to the digitalization of FIDAMC's installations in the southern
Madrid locality of Getafe and help set up a digital centre of excellence to
create value for projects related to digital transformation.</t>
  </si>
  <si>
    <t xml:space="preserve">83576V
4J5357</t>
  </si>
  <si>
    <t xml:space="preserve">Slalom LLC
Maddock Douglas Inc</t>
  </si>
  <si>
    <t xml:space="preserve">Pvd consulting services
Pvd consulting svcs</t>
  </si>
  <si>
    <t xml:space="preserve">Slalom Consulting,
headquartered in Seattle,
Washington, provides
management and technology
consulting services. It has
offices in Atlanta, Chicago,
Denver, Dallas, Los Angeles,
Portland, and San Francisco.
The company was founded in
2001.
Maddock Douglas Inc, located
in Elmhurst, Illinois provides
marketing consultancy
services. The company was
founded in 1991.</t>
  </si>
  <si>
    <t xml:space="preserve">SLALOM LLC/MADDOCK DOUGLAS INC-STRATEGIC ALLIANCE</t>
  </si>
  <si>
    <t xml:space="preserve">Slalom LLC and Maddock Douglas Inc formed a strategic alliance. The purpose
of strategic alliance were to help research, conceive, build, and launch
technology solutions and new products and services.</t>
  </si>
  <si>
    <t xml:space="preserve">83811W
55630N</t>
  </si>
  <si>
    <t xml:space="preserve">Dixi Holding Le Locle SA
Aleva Neurotherapeutics Sa</t>
  </si>
  <si>
    <t xml:space="preserve">Mnfr precision tools.
Surgical Appliance and Supplies Manufacturing</t>
  </si>
  <si>
    <t xml:space="preserve">Dixi Holding Le Locle SA
located in Le Locle,
Switzerland, manufactures
precision tools from solid
carbide, diamond for
automotive, watch,
electronics, medical and
defense industries.
Aleva Neurotherapeutic SA is
a Switzerland-based company
that develops a
neurostimulation platform
for Deep Brain Stimulation
(DBS) therapy. The platform
is used in indications,
including Parkinson's
Disease. The Company
principally develops two
products: The directSTIM DBS
System is a combined
diagnostic positioning and
therapeutic device, and
spiderSTIM allows to
encompass 3-dimensional
areas in a brain target, and
record and stimulate the
region in order to provide a
diagnostic tool.</t>
  </si>
  <si>
    <t xml:space="preserve">3544
3069</t>
  </si>
  <si>
    <t xml:space="preserve">DIXI HOLDING LE LOCLE SA/ALEVA NEUROTHERAPEUTICS SA-JOINT VENTURE</t>
  </si>
  <si>
    <t xml:space="preserve">Dixi Holding Le Locle SA and Aleva Neurotherapeutics SA planned to form
joint venture named Adept Neuro SA.The purpose of the joint venture is
developing a new generation of Stereo-Electro-Encephalo-Graphie (SEEG)
electrodes which will facilitate localization and thermocoagulation of
epileptogenic zones.</t>
  </si>
  <si>
    <t xml:space="preserve">25298M
4J9025</t>
  </si>
  <si>
    <t xml:space="preserve">Ncontracts LLC
Compliance Alliance</t>
  </si>
  <si>
    <t xml:space="preserve">Software Publishers
Commercial Banking</t>
  </si>
  <si>
    <t xml:space="preserve">Ncontracts LLC, located in
Brentwood, Tennessee, is a
provider of web-based
contract and vendor
management software and
services. The Company
provides Ncontracts, a
web-based software and data
management solution. It
serves financial
institutions, such as banks
and credit unions. The
Company was founded in 2009.
Compliance Alliance is a
commercial bank. The Company
is located in Texas.</t>
  </si>
  <si>
    <t xml:space="preserve">7372
6021</t>
  </si>
  <si>
    <t xml:space="preserve">TN
TX</t>
  </si>
  <si>
    <t xml:space="preserve">NCONTRACTS LLC/COMPLIANCE ALLIANCE-STRATEGIC ALLIANCE</t>
  </si>
  <si>
    <t xml:space="preserve">Ncontracts LLC and Compliance Alliance formed a strategic alliance.The
purpose of strategic alliance was to deliver a superior compliance
management solution along with the expertly curated content from Compliance
Alliance's team of experts.</t>
  </si>
  <si>
    <t xml:space="preserve">Banking Services
Research &amp; Development Services</t>
  </si>
  <si>
    <t xml:space="preserve">7C7804
4J5010</t>
  </si>
  <si>
    <t xml:space="preserve">CAIS
Private Client Resources LLC</t>
  </si>
  <si>
    <t xml:space="preserve">Pvd software solutions svcs
Pvd wealth mgt solutions</t>
  </si>
  <si>
    <t xml:space="preserve">CAIS, located in New York,
New York, provides software
solutions services. It
offers an alternative
investment platform to the
global wealth management
industry including
individual funds, strategy
information, independent due
diligence reports and a
schedule of manager
road-shows and educational
events.
Private Client Resources LLC
provide wealth management
solutions. The company''''s
services include wealth
aggregation, custom
solutions and services,
reporting and integrated
systems. It also offers
Palette Platform(TM), which
provides a complete view of
the client relationship and
leverages powerful tools
that can improve efficiency
and effectiveness. The
Company was founded in 2002
and is located in Wilton,
Connecticut.</t>
  </si>
  <si>
    <t xml:space="preserve">CAIS/PRIVATE CLIENT RESOURCES LLC-STRATEGIC ALLIANCE</t>
  </si>
  <si>
    <t xml:space="preserve">CAIS and Private Client Resources LLC formed a strategic alliance. The
purpose of strategic alliance was to streamline the timely and accurate
delivery of analytics-ready data for independent financial advisors and
fund managers.</t>
  </si>
  <si>
    <t xml:space="preserve">12220Z
0A4227</t>
  </si>
  <si>
    <t xml:space="preserve">Loxo Oncology Inc
Amoy Diagnostics Co Ltd
Premia Hldg Ltd</t>
  </si>
  <si>
    <t xml:space="preserve">Pharmaceutical Preparation Manufacturing
Biotechnology company
Insurance agency</t>
  </si>
  <si>
    <t xml:space="preserve">Loxo Oncology Inc, located
in Stanford, Connecticut, is
a biopharmaceutical company
focused on the development
and commercialization of
medicines for patients with
genomically defined cancers.
It develops small molecule
therapeutics for the
treatment of cancer in
genetically defined patient
populations. The Company was
founded in 2013.
Amoy Diagnostics Co Ltd is a
manufacturer of biological
products. The Company was
founded in February 2008 and
is located in Xiamen, China.
Premia Holdings Ltd, located
in Bermuda, is an insurance
agency. The Company was
founded in 2016.</t>
  </si>
  <si>
    <t xml:space="preserve">2834
2836
6411</t>
  </si>
  <si>
    <t xml:space="preserve">United States
China
Bermuda</t>
  </si>
  <si>
    <t xml:space="preserve">CT
FF
FF</t>
  </si>
  <si>
    <t xml:space="preserve">Eli Lilly &amp; Co
Amoy Diagnostics Co Ltd
Premia Hldg Ltd</t>
  </si>
  <si>
    <t xml:space="preserve">LOXO ONCOLOGY INC/AMOY DIAGNOSTICS CO LTD/PREMIA HOLDINGS LTD-STRATEGIC
ALLIANCE</t>
  </si>
  <si>
    <t xml:space="preserve">China
Bermuda
United States</t>
  </si>
  <si>
    <t xml:space="preserve">Foreign
Foreign
Connecticut</t>
  </si>
  <si>
    <t xml:space="preserve">Loxo Oncology Inc, Amoy Diagnostics Co Ltd and Premia Holdings Ltd formed a
strategic alliance. The purpose of strategic alliance is to enable AmoyDx
and PREMIA to provide large-scale cancer patient screening in Asia to
support LOXO-292 RET inhibitor clinical development leveraging AmoyDx's
proprietary multi-gene polymerase chain reaction (PCR) and next generation
sequencing (NGS) panels to identify patients with this rare genetic
alteration.</t>
  </si>
  <si>
    <t xml:space="preserve">548862
2E1585
2F0926</t>
  </si>
  <si>
    <t xml:space="preserve">EMMAC Life Sciences PLC
Hyris Ltd</t>
  </si>
  <si>
    <t xml:space="preserve">EMMAC Life Sciences PLC,
located in London, United
Kingdom, produces, supplies
and researches medical
cannabis, hemp and
derivative products. The
Company was founded on March
14, 2018.
14, 2018.
Hyris Ltd is a provider of
biotechnology research and
development services. The
Company is located in
London, the United Kingdom.</t>
  </si>
  <si>
    <t xml:space="preserve">EMMAC LIFE SCIENCES PLC/HYRIS LTD-STRATEGIC ALLIANCE</t>
  </si>
  <si>
    <t xml:space="preserve">EMMAC Life Sciences PLC and Hyris Ltd formed a strategic alliance to
develop a library of genetic profiles of existing cannabis varieties.</t>
  </si>
  <si>
    <t xml:space="preserve">0J0580
4J5804</t>
  </si>
  <si>
    <t xml:space="preserve">Kymab Ltd
LifeArc</t>
  </si>
  <si>
    <t xml:space="preserve">Kymab Ltd is a manufacturer
of pharmaceutical
preparation. The Company was
founded in 2010 and is
located in Cambridge, the
United Kingdom.
LifeArc is a provider of
biotechnology research and
development services. The
Company is located in
London, the United Kingdom.</t>
  </si>
  <si>
    <t xml:space="preserve">KYMAB LTD/LIFEARC-STRATEGIC ALLIANCE</t>
  </si>
  <si>
    <t xml:space="preserve">Kymab Ltd and LifeArc planned to form a strategic alliance. The purpose of
strategic alliance is to enable LifeArc to enhance its antibody drug
discovery capabilities into new medicinal products with Kymab's proprietary
IntelliSelect technology platforms.</t>
  </si>
  <si>
    <t xml:space="preserve">0F2632
3J0489</t>
  </si>
  <si>
    <t xml:space="preserve">Evotec SE
Sensyne Health PLC
University Of Oxford
Oxford Univ Innovation Ltd
Oxford Sciences Innovation PLC</t>
  </si>
  <si>
    <t xml:space="preserve">Mnfr small molecule drugs
Research and Development in Biotechnology
Colleges, Universities, and Professional Schools
Lessors Of Nonfinancial Intangible Assets (Except Copyrighted Works)
Lessors Of Nonfinancial Intangible Assets (Except Copyrighted Works)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</si>
  <si>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Sensyne Health PLC is a
provider of biotechnology
research and development
services. The Company is
located in Oxford, the
United Kingdom.
University of Oxford is an
owner and operator of
college and university. The
Company is located in
Oxford, the United Kingdom.
Oxford University Innovation
Ltd, located at Oxford, United
Kingdom, provides technology
transfer, consulting
activities and innovation
management service to clients
globally.
Oxford Sciences Innovation
PLC, located in London, UK,
provides patenting and
licensing services for the
commercialization of
intellectual property arising
from research. It is also
involve in spinning-out of
companies. It also offers
consulting services in
technology transfer and
innovation management.</t>
  </si>
  <si>
    <t xml:space="preserve">2834
8731
8221
6794
6794</t>
  </si>
  <si>
    <t xml:space="preserve">Germany
United Kingdom
United Kingdom
United Kingdom
United Kingdom</t>
  </si>
  <si>
    <t xml:space="preserve">Evotec SE
Sensyne Health PLC
University Of Oxford
University Of Oxford
Oxford University</t>
  </si>
  <si>
    <t xml:space="preserve">2834
8731
8221
8221
8221</t>
  </si>
  <si>
    <t xml:space="preserve">EVOTEC AG/SENSYNE HEALTH PLC/UNIVERSITY OF OXFORD/OXFORD UNIV INNOVATION
LTD/OXFORD SCIENCES INNOVATION PLC-STRATEGIC ALLIANCE</t>
  </si>
  <si>
    <t xml:space="preserve">Evotec AG, Sensyne Health PLC, University Of Oxford, Oxford University
Innovation Ltd and Oxford Sciences Innovation PLC formed a strategic
alliance. The purpose of strategic alliance was to fund a new BRIDGE called
LAB10x, to accelerate the translation of research in the fields of clinical
artificial intelligence and digital health at Oxford into forming new
companies applying breakthrough digital solutions, clinical AI algorithms
and accelerated data-driven drug discovery and development.</t>
  </si>
  <si>
    <t xml:space="preserve">Research &amp; Development Services
Health &amp; Medical Services
Hospital &amp; Clinical Services
Funding Services</t>
  </si>
  <si>
    <t xml:space="preserve">7J9459
6H2265
91476F
0F4393
7C8185</t>
  </si>
  <si>
    <t xml:space="preserve">Shionogi &amp; Co Ltd
Eddingpharm Inc</t>
  </si>
  <si>
    <t xml:space="preserve">Shionogi &amp; Co Ltd, located
in Osaka-Shi Osaka, Japan,
manufactures pharmaceutical
products.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The Company was
founded in 1878.
Eddingpharm Inc is a
manufacturer and wholesaler
of pharmaceutical
preparation. The company
focuses on product
development and sales and
marketing in four
therapeutic areas: clinical
nutrition, oncology,
antibiotics and respiratory
system. The Company was
founded in 2001 and is
located in Hong Kong.</t>
  </si>
  <si>
    <t xml:space="preserve">Japan
Hong Kong</t>
  </si>
  <si>
    <t xml:space="preserve">SHIONOGI &amp; CO LTD/EDDINGPHARM INC-STRATEGIC ALLIANCE</t>
  </si>
  <si>
    <t xml:space="preserve">Shionogi Co Ltd and Eddingpharm Inc planned to form a strategic alliance.
The purpose of strategic alliance was to license-out lusutrombopag, a
thrombopoietin receptor agonist (brand name in Japan: MULPLETA).</t>
  </si>
  <si>
    <t xml:space="preserve">Licensing Services
Marketing Services
Health &amp; Medical Services
Research &amp; Development Services</t>
  </si>
  <si>
    <t xml:space="preserve">82466Q
9A0364</t>
  </si>
  <si>
    <t xml:space="preserve">Agrifirm Group BV
Land O'Lakes Inc</t>
  </si>
  <si>
    <t xml:space="preserve">Prod,whl animal feed
Produce dairy food ingredients</t>
  </si>
  <si>
    <t xml:space="preserve">Agrifirm Group BV,
headquartered in Apeldoorn,
Netherlands, is engaged in the
production and wholesale of
animal feed. Its products
include animal nutrition and
trade items, including
fertilizers, crop protection
and seeds.
Land O'Lakes Inc, located
in Arden Hills, Minnesota,
produces and wholesales
dairy-based consumer,
foodservice and food
ingredient products and
eggs, as well as
manufactures agricultural
supplies, including feed,
seed and crop protection
products. It also provides
consulting, insights,
training and placement
services to member
cooperatives. The Company
was founded in 1921.</t>
  </si>
  <si>
    <t xml:space="preserve">2048
2021</t>
  </si>
  <si>
    <t xml:space="preserve">AGRIFIRM GROUP BV/LAND O'LAKES INC-JOINT VENTURE</t>
  </si>
  <si>
    <t xml:space="preserve">Agrifirm Group BV and Land O'Lakes Inc planned to form a 50:50 joint
venture as to will leverage existing market knowledge, insights,
technologies and research capability from both Land O'Lakes and Agrifirm to
provide world-class service to China -based feed customers and dairy
farmers.</t>
  </si>
  <si>
    <t xml:space="preserve">36534E
51466N</t>
  </si>
  <si>
    <t xml:space="preserve">Erytech Pharma SA
SQZ Biotechnologies Co Inc</t>
  </si>
  <si>
    <t xml:space="preserve">Erytech Pharma SA, located
in Lyon, France, is a
biotechnology company
specialized in the
encapsulation of therapeutic
molecules or enzymes into
red blood cells. The Company
targets the development of
products indicated in the
treatment of serious types
of cancer, such as solid or
haematological tumours, for
which existing treatments
are particularly
constraining. It was founded
in 2004.
SQZ Biotechnologies Co Inc
is a manufacturer of
biological products. The
Company was founded in 2013
and is located in Watertown,
Massachusetts.</t>
  </si>
  <si>
    <t xml:space="preserve">ERYTECH PHARMA SA/SQZ BIOTECHNOLOGIES CO INC-STRATEGIC ALLIANCE</t>
  </si>
  <si>
    <t xml:space="preserve">Erytech Pharma SA and SQZ Biotechnologies Co Inc formed a strategic
alliance around the world to grant SQZ an exclusive worldwide license to
develop antigen-specific immune modulating therapies employing RBC-based
approaches. The Strategic Alliance was to have a estimated sales of 50
million USD.</t>
  </si>
  <si>
    <t xml:space="preserve">The Strategic Alliance was to have a estimated sales of 50 million USD.</t>
  </si>
  <si>
    <t xml:space="preserve">29656C
4J6436</t>
  </si>
  <si>
    <t xml:space="preserve">Erx-Direct
Epic Pharmacies Inc</t>
  </si>
  <si>
    <t xml:space="preserve">Erx-Direct is a manufacturer
of pharmaceutical
preparation. The Company is
located in Columbus, Ohio.
Epic Pharmacies Inc is a
manufacturer of
pharmaceutical preparation.
The Company is located in
Nottingham, Maryland.</t>
  </si>
  <si>
    <t xml:space="preserve">OH
MD</t>
  </si>
  <si>
    <t xml:space="preserve">ERX-DIRECT/EPIC PHARMACIES INC-STRATEGIC ALLIANCE</t>
  </si>
  <si>
    <t xml:space="preserve">Erx-Direct and Epic Pharmacies Inc planned to form a strategic alliance was
to expand its transformational pharmacy business model in the US and
Creating a Transformational Community Pharmacy Network</t>
  </si>
  <si>
    <t xml:space="preserve">4J5639
4J5644</t>
  </si>
  <si>
    <t xml:space="preserve">Assay Depot Inc
Australian Trade Commission</t>
  </si>
  <si>
    <t xml:space="preserve">Research and Development in The Physical, Engineering and Lifesciences (Except Biotechnology)
Natl trade promotion agency</t>
  </si>
  <si>
    <t xml:space="preserve">Assay Depot Inc, located in
Solana Beach, California, is
a provider of research and
development services.
National trade promotion
authority</t>
  </si>
  <si>
    <t xml:space="preserve">8733
999B</t>
  </si>
  <si>
    <t xml:space="preserve">Assay Depot Inc
Australia</t>
  </si>
  <si>
    <t xml:space="preserve">8733
999A</t>
  </si>
  <si>
    <t xml:space="preserve">ASSAY DEPOT INC/AUSTRALIAN TRADE COMMISSION-STRATEGIC ALLIANCE</t>
  </si>
  <si>
    <t xml:space="preserve">Assay Depot Inc and Australian Trade Commission planned to form a strategic
alliance was to Expand Digital Research Marketplace to give Australian
biotechnology companies online access to the three thousand pre-qualified
research suppliers in the Scientist.com network. It will also help
Australia-based research suppliers connect with customers at most of the
worlds top pharmaceutical and biotechnology companies</t>
  </si>
  <si>
    <t xml:space="preserve">8F8484
05251P</t>
  </si>
  <si>
    <t xml:space="preserve">Boeing Co
Kitty Hawk Corp</t>
  </si>
  <si>
    <t xml:space="preserve">Manufacture jetliners,aircraft
Aircraft Manufacturing</t>
  </si>
  <si>
    <t xml:space="preserve">Boeing Co is a manufacturer of
commercial jetliners and
military aircraft
headquartered in Chicago,
Illinois, with major
operations in the Puget Sound
area of Washington State,
southern California and St
Louis. The company designs and
manufactures rotorcraft,
electronic and defense
systems, missiles, satellites,
launch vehicles and advanced
information and communication
systems. The company also
provides numerous military and
commercial airline support
services. The company is
organized into two business
units: Boeing Commercial
Airplanes and Boeing
Integrated Defense Systems.
Supporting these units is
Boeing Capital Corporation, a
global provider of financing
solutions; the Shared Services
Group, which provides a broad
range of services to Boeing
worldwide; and Boeing
Engineering, Operations &amp;
Technology, which helps
develop, acquire, apply and
protect innovative
technologies and processes.
The company was founded in
1916.
Kitty Hawk Corp is a
manufacturer of aircrafts.
The Company was founded in
2010 and is located in
Mountain View, California.</t>
  </si>
  <si>
    <t xml:space="preserve">BOEING CO/KITTY HAWK CORP-STRATEGIC ALLIANCE</t>
  </si>
  <si>
    <t xml:space="preserve">Boeing Co and Kitty Hawk Corp planned to form a strategic alliance in
United States collaborate on future efforts to advance safe urban air
mobility. The strategic partnership will bring together the innovation of
Kitty Hawks Cora division with Boeings scale and aerospace expertise.</t>
  </si>
  <si>
    <t xml:space="preserve">097023
4J6959</t>
  </si>
  <si>
    <t xml:space="preserve">Nextgate Solutions Inc
Life Image Inc</t>
  </si>
  <si>
    <t xml:space="preserve">General Medical and Surgical Hospitals
Medical, Dental, and Hospital Equipment and Supplies Merchant Wholesalers</t>
  </si>
  <si>
    <t xml:space="preserve">Nextgate Solutions Inc is a
hospital operator. The
Company is located in
Monrovia, California.
Life Image Inc, located in
Newton, Massachusetts, is a
provider of medical imaging.
It offers a network for
sharing medical images and
related health information
to health systems. The
Company was founded in 2008.</t>
  </si>
  <si>
    <t xml:space="preserve">8062
5047</t>
  </si>
  <si>
    <t xml:space="preserve">NEXTGATE SOLUTIONS INC/LIFE IMAGE INC-STRATEGIC ALLIANCE</t>
  </si>
  <si>
    <t xml:space="preserve">Massachusetts
California</t>
  </si>
  <si>
    <t xml:space="preserve">Nextgate Solutions Inc and Life Image Inc planned to form a strategic
alliance. The purpose of startegic alliance is to meet increasing demand
for reliable imaging workflow integration.</t>
  </si>
  <si>
    <t xml:space="preserve">7F1234
2F0824</t>
  </si>
  <si>
    <t xml:space="preserve">The Alchemists Kitchen
Amarantus Biosciences Hldg Inc</t>
  </si>
  <si>
    <t xml:space="preserve">Drugs and Druggists' Sundries Merchant Wholesalers
Biotechnology company</t>
  </si>
  <si>
    <t xml:space="preserve">The Alchemists Kitchen is a
drugs wholesaler. The
Company was founded in 1970
and is located in New York.
Amarantus Bioscience
Holdings Inc is a
biotechnology company
focused on developing
therapeutic products with
the potential for orphan
drug designation in the
areas of neurology,
psychiatry, ophthalmology
and regenerative medicine,
and diagnostics in
neurology. The Company was
founded in March 2013 and is
located in San Francisco,
California.</t>
  </si>
  <si>
    <t xml:space="preserve">THE ALCHEMISTS KITCHEN/AMARANTUS BIOSCIENCE HOLDINGS INC-STRATEGIC
ALLIANCE</t>
  </si>
  <si>
    <t xml:space="preserve">The Alchemists Kitchen and Amarantus Bioscience Holdings Inc planned to
form a strategic alliance was to Research and Commercialization of Hemp and
Herbal Smokables for Addiction Treatment Including Smoking Cessation</t>
  </si>
  <si>
    <t xml:space="preserve">4J8352
02300U</t>
  </si>
  <si>
    <t xml:space="preserve">Taiwan Liposome Co Ltd
Birdie Biopharms Inc</t>
  </si>
  <si>
    <t xml:space="preserve">Taiwan Liposome Co Ltd is a
biotechnology company
headquartered in Taipei,
Taiwan. The company is
focused on lipid-based
formulation and scale-up for
parenteral drugs using
micelles and nanoparticles
to optimize the
pharmacokinetics of drugs
for better efficacy and
lower toxicity, and thus
prolong the product
lifecycle of branded drugs.
It was founded in 1997.
Birdie Biopharmaceuticals
Inc is a manufacturer of
biological products. The
Company was founded in 1970
and is located in China.</t>
  </si>
  <si>
    <t xml:space="preserve">Taiwan Liposome Co Ltd
Seven And Eight Biopharms</t>
  </si>
  <si>
    <t xml:space="preserve">TAIWAN LIPOSOME CO LTD/BIRDIE BIOPHARMACEUTICALS INC-STRATEGIC ALLIANCE</t>
  </si>
  <si>
    <t xml:space="preserve">Taiwan Liposome Co Ltd and Birdie Biopharmaceuticals Inc formed a strategic
alliance was to clinical stage biotech company focused on the development
of immunotherapy to treat cancer. Under the agreement, Birdie will engage
TLC in the development and manufacturing of a liposomal formulated dual
agonist product against toll-like receptors 7 and 8 (TLR7/8) utilizing
TLC's NanoX technology.</t>
  </si>
  <si>
    <t xml:space="preserve">93606Y
4J7348</t>
  </si>
  <si>
    <t xml:space="preserve">Novartis Pharma AG
Premark Pharma GmbH</t>
  </si>
  <si>
    <t xml:space="preserve">Novartis Pharma AG, located in
Basel, Switzerland,
manufactures prescription
pharmaceuticals intended for
final consumption, including
biotech products and
antibiotics. It was founded in
1996.
Premark Pharma GmbH is a
manufacturer of
pharmaceutical preparation.
The Company is located in
Reinach, Switzerland.</t>
  </si>
  <si>
    <t xml:space="preserve">Novartis AG
Premark Pharma GmbH</t>
  </si>
  <si>
    <t xml:space="preserve">NOVARTIS PHARMA AG/PREMARK PHARMA GMBH-STRATEGIC ALLIANCE</t>
  </si>
  <si>
    <t xml:space="preserve">Novartis Pharma AG and Premark Pharma GmbH formed a strategic alliance to
develop and commercialise PMP2207, an ophthalmic ointment formulation, as a
potential treatment for blepharitis.</t>
  </si>
  <si>
    <t xml:space="preserve">67006P
4J8129</t>
  </si>
  <si>
    <t xml:space="preserve">Bharat Biotech Ltd
Hillleman Labs Pvt Ltd</t>
  </si>
  <si>
    <t xml:space="preserve">Biotech Company
Research and Development in The Physical, Engineering and Lifesciences (Except Biotechnology)</t>
  </si>
  <si>
    <t xml:space="preserve">Bharat Biotech Ltd is a
manufacturer of biological
products. It manufactures
vaccines, biotherapuetics,
and health care products.
The Company was founded in
1996 and is located in
Hyderabad, India.
Hillleman Laboratories Pvt
Ltd is a provider of
research and development
services. The Company is
located in India.</t>
  </si>
  <si>
    <t xml:space="preserve">2836
3721</t>
  </si>
  <si>
    <t xml:space="preserve">BHARAT BIOTECH LTD/HILLLEMAN LABORATORIES PVT LTD-STRATEGIC ALLIANCE</t>
  </si>
  <si>
    <t xml:space="preserve">Bharat Biotech Ltd and Hillleman Laboratories Pvt Ltd planned to form a
strategic alliance was to manufacturing of its next-generation oral Cholera
vaccine-Hillchol(R) and strengthen the ability of both organisations
towards prevention of Cholera through rapid and cost-effective deployment
of vaccine doses in low and middle-income countries.</t>
  </si>
  <si>
    <t xml:space="preserve">08876N
4J7304</t>
  </si>
  <si>
    <t xml:space="preserve">Nuance Communications Inc
Mila AG</t>
  </si>
  <si>
    <t xml:space="preserve">Develop speech,imaging software
Internet Service Providers</t>
  </si>
  <si>
    <t xml:space="preserve">Nuance Communications Inc,
located in Burlington,
Massachusetts, develops
speech and imaging software
for the healthcare,
telecommunications,
automotive, financial
services and retail
industry. It was founded in
March 1992.
Mila AG is an internet
service provider. The
Company was founded in 2013
and is located in Zurich,
Switzerland.</t>
  </si>
  <si>
    <t xml:space="preserve">Nuance Communications Inc
Swisscom AG</t>
  </si>
  <si>
    <t xml:space="preserve">7372
4813</t>
  </si>
  <si>
    <t xml:space="preserve">NUANCE COMMUNICATIONS INC/MILA AG-STRATEGIC ALLIANCE</t>
  </si>
  <si>
    <t xml:space="preserve">Nuance Communications Inc and Mila AG formed a strategic alliance was to
collaborate on research, advance cutting-edge work in machine learning, and
meaningfully enhance AI applications and Market Leader in Conversational AI
Solutions Joins Bleeding-Edge AI Research Consortium to Advance Innovation
and Applications</t>
  </si>
  <si>
    <t xml:space="preserve">67020Y
1E8557</t>
  </si>
  <si>
    <t xml:space="preserve">iQIYI Inc
China United Network Commun</t>
  </si>
  <si>
    <t xml:space="preserve">Internet Service Providers
Wired Telecommunications Carriers</t>
  </si>
  <si>
    <t xml:space="preserve">iQIYI Inc located in
Beijing, China is an
internet service provider.
The Company was founded in
April 2010.
China United Network
Communications Ltd is
principally engaged in the
telecommunication industry.
The cmpany operates business
through Mobile Communication
segment and Fixed Network
segment. Mobile Communication
segment provides global system
for mobile communications
(GSM) services and
3rd-generation (3G) services,
among others. Fixed Network
segment provides fixed network
broadband and data
communication services,
traditional fixed network
services and other services.
The company is also engaged in
broadband and convergence
businesses. The company
operates its business in
domestic markets. The company
was founded in July 1994 and
is located in Shanghai, China.</t>
  </si>
  <si>
    <t xml:space="preserve">7375
4813</t>
  </si>
  <si>
    <t xml:space="preserve">Baidu Inc
China United Network Commun</t>
  </si>
  <si>
    <t xml:space="preserve">IQIYI INC/CHINA UNITED NETWORK COMMUNICATIONS LTD-STRATEGIC ALLIANCE</t>
  </si>
  <si>
    <t xml:space="preserve">iQIYI Inc and China United Network Communications Ltd formed a strategic
alliance for the innovation and application of 5G in terminal devices.</t>
  </si>
  <si>
    <t xml:space="preserve">46267X
7F8796</t>
  </si>
  <si>
    <t xml:space="preserve">Oxford BioMedica PLC
Santen Pharmaceutical Co Ltd</t>
  </si>
  <si>
    <t xml:space="preserve">Manufacture pharmaceutical products
Pharmaceutical Preparation Manufacturing</t>
  </si>
  <si>
    <t xml:space="preserve">Oxford BioMedica PLC is a
manufacturer of
pharmaceutical preparation.
The Company was founded in
1995 and is located in
Oxford, the United Kingdom.
Santen Pharmaceutical Co
Ltd, headquartered in Osaka,
Japan, develops,
manufactures and wholesales
pharmaceuticals. The Company
operates in two business
divisions. The medicine
segment has two divisions.
The ethical pharmaceutical
division is engaged in the
manufacture, purchase and
sale of ethical
pharmaceutical products. The
general pharmaceutical
division is engaged in the
manufacture and sale of
general pharmaceutical
products through its agents.
The others segment has two
divisions. The medical
equipment division is
engaged in the import and
sale of optical-related
medical equipment, as well
as the development,
manufacture and sale of
intraocular lens. The others
division is engaged in the
provision of cleaning
services for sterilized
clothes. The Company was
founded in 1890.</t>
  </si>
  <si>
    <t xml:space="preserve">OXFORD BIOMEDICA PLC/SANTEN PHARMACEUTICAL CO LTD-STRATEGIC ALLIANCE</t>
  </si>
  <si>
    <t xml:space="preserve">Oxford BioMedica PLC and Santen Pharmaceutical Co Ltd formed a strategic
alliance to research and develop gene therapy products for the treatment of
an inherited retinal disease. Inherited retinal diseases are a group of
rare disorders caused by one of more than 260 different genes, where
mutation results in vision loss or blindness, often disproportionally
affecting children and young adults.</t>
  </si>
  <si>
    <t xml:space="preserve">69140J
80282A</t>
  </si>
  <si>
    <t xml:space="preserve">Carnegie Mellon University
Argo AI LLC</t>
  </si>
  <si>
    <t xml:space="preserve">Own,op college,university
Develops self-driving software</t>
  </si>
  <si>
    <t xml:space="preserve">Carnegie Mellon University,
located in Pittsburgh,
Pennsylvania, owns and
operates college and
university with mix of
programs in engineering,
computer science, robotics,
business, public policy, fine
arts and the humanities.
Argo AI LLC, located in
Pittsburgh, Pennsylvania,
develops self-driving system
software for automobiles. It
has operations in five
cities in the United States
namely, Pittsburgh,
Washington, Miami, Detroit
and Palo Alto. The Company
was founded in November
2016.</t>
  </si>
  <si>
    <t xml:space="preserve">Carnegie Mellon University
Ford Motor Co</t>
  </si>
  <si>
    <t xml:space="preserve">CARNEGIE MELLON UNIVERSITY/ARGO AI LLC-STRATEGIC ALLIANCE</t>
  </si>
  <si>
    <t xml:space="preserve">Carnegie Mellon University and Argo AI LLC formed a strategic alliance to
fund research into advanced perception and next-generation decision-making
algorithms for autonomous vehicles.</t>
  </si>
  <si>
    <t xml:space="preserve">14349R
9F4961</t>
  </si>
  <si>
    <t xml:space="preserve">Sun Pharm Inds Ltd
China Medical System Hldg Ltd</t>
  </si>
  <si>
    <t xml:space="preserve">Sun Pharmaceutical
Industries Ltd,
headquartered in Mumbai,
India, manufactures and
wholesales pharmaceutical
products. The Company's
products include tablets,
capsules, injections, nasal
sprays, aerosols, dry powder
inhalers, ophthalmic
preparations, creams and
ointments, melt tabs and
liposome-based products. The
operational facilities of
the group are located in
Vapi, Silvassa, Panoli,
Ahmednagar and Chennai. The
Group has international
operations in Bangladesh,
British Virgin Islands,
France, Germany, Italy,
Russia, Spain, Netherlands
and in the UK. The Company
was founded in 1983.
China Medical System
Holdings Ltd is a
manufacturer of
pharmaceutical preparation.
The Company was founded in
May 1995 and is located in
Shenzhen, China.</t>
  </si>
  <si>
    <t xml:space="preserve">SUN PHARMACEUTICAL INDUSTRIES LTD/CHINA MEDICAL SYSTEM HOLDINGS
LTD-STRATEGIC ALLIANCE</t>
  </si>
  <si>
    <t xml:space="preserve">Sun Pharmaceutical Industries Ltd and China Medical System Holdings Ltd
formed a strategic alliance. The purpose of strategic alliance is for the
development and commercialisation of its dermatology products.</t>
  </si>
  <si>
    <t xml:space="preserve">86683C
17211P</t>
  </si>
  <si>
    <t xml:space="preserve">Sequential Brands Group Inc
Bellevue Brands Inc</t>
  </si>
  <si>
    <t xml:space="preserve">Mnf,whl contemporary apparel
Cosmetics, Beauty Supplies, and Perfume Stores</t>
  </si>
  <si>
    <t xml:space="preserve">Sequential Brands Group Inc,
located in New York, New York,
manufactures and wholesales
premium contemporary apparel.
It sells brand names such as
People's Liberation, William
Rast and J. Lindeberg. The
Company was founded in 1982.
Bellevue Brands Inc is a
cosmetics retailer. The
Company is located in
Delaware.</t>
  </si>
  <si>
    <t xml:space="preserve">2311
5087</t>
  </si>
  <si>
    <t xml:space="preserve">SEQUENTIAL BRANDS GROUP INC/BELLEVUE BRANDS INC-STRATEGIC ALLIANCE</t>
  </si>
  <si>
    <t xml:space="preserve">Sequential Brands Group Inc and Bellevue Brands Inc formed a strategic
alliance in United States to develop, produce and distribute a line of mens
and womens fragrances.</t>
  </si>
  <si>
    <t xml:space="preserve">Licensing Services
Research &amp; Development Services
Manufacturing Services
Retail &amp; Wholesale Services
Supply Services</t>
  </si>
  <si>
    <t xml:space="preserve">817340
4J7964</t>
  </si>
  <si>
    <t xml:space="preserve">Oncimmune Holdings PLC
Biodesix Inc</t>
  </si>
  <si>
    <t xml:space="preserve">Oncimmune Holdings PLC is a
provider of biotechnology
research and development
services. The Company is
located in Nottingham, the
United Kingdom.
Biodesix Inc, located in
Boulder, Colorado, is a
molecular diagnostics
company. It is engaged in
developing and
commercializing blood-based
diagnostic tests for
oncology. The Company was
founded in 2005.</t>
  </si>
  <si>
    <t xml:space="preserve">ONCIMMUNE HOLDINGS PLC/BIODESIX INC-STRATEGIC ALLIANCE</t>
  </si>
  <si>
    <t xml:space="preserve">Oncimmune Holdings PLC and Biodesix Inc formed a strategic alliance to
unlock the full potential of EarlyCDT Lung in the United States, bringing
this lung cancer test to more patients as a result.</t>
  </si>
  <si>
    <t xml:space="preserve">5E2551
3F5207</t>
  </si>
  <si>
    <t xml:space="preserve">ExpreS2ion Biotech Holding AB
ERS Genomics Ltd</t>
  </si>
  <si>
    <t xml:space="preserve">ExpreS2ion Biotech Holding
AB is a manufacturer of
biological products. The
Company is located in
Helsingborg, Sweden. It is
specializing in developing
cell lines and processes
based on Drosophila S2
cells. The Company was
founded in 2016.
ERS Genomics Ltd is a
manufacturer of biological
products. The Company
provides broad access to the
foundational CRISPR-Cas9
intellectual property. The
Company was founded in 2014
and is located in Dublin,
the Republic of Ireland.</t>
  </si>
  <si>
    <t xml:space="preserve">Sweden
Ireland-Rep</t>
  </si>
  <si>
    <t xml:space="preserve">EXPRES2ION BIOTECH HOLDING AB/ERS GENOMICS LTD-STRATEGIC ALLIANCE</t>
  </si>
  <si>
    <t xml:space="preserve">ExpreS2ion Biotech Holding AB and Ers Genomics Ltd planned to form a
strategic alliance.The purpose of the strategic alliance is to enable the
company to offer a whole new range of solutions for the next generation of
vaccines, immunotherapy and diagnostics.</t>
  </si>
  <si>
    <t xml:space="preserve">6E0851
5F0103</t>
  </si>
  <si>
    <t xml:space="preserve">Y-MABS Therapeutics Inc
Spectronrx</t>
  </si>
  <si>
    <t xml:space="preserve">Y-mAbs Therapeutics Inc,
located in New York City ,
New York, is a clinical
stage biopharmaceutical
company. The Company is
focused on developing new
cancer treatments through
immunotherapies. The
Companys lead antibody
programs target GD2 and
B7-H3. In addition, the
Company utilizes its
platform technologies to
create next-generation
humanized, affinity matured
bispecific antibodies. The
Company is developing a
novel human protein tag that
dimerizes T-cell engaging
bispecific antibodies, which
enables higher tumor binding
and results in a longer
serum half-life and a
significantly greater T-cell
mediated killing of tumor
cells.
Spectronrx is a manufacturer
of pharmaceutical
preparation. The Company is
located in Fishers, Indiana.</t>
  </si>
  <si>
    <t xml:space="preserve">NY
IN</t>
  </si>
  <si>
    <t xml:space="preserve">Y-MABS THERAPEUTICS INC/SPECTRONRX-STRATEGIC ALLIANCE</t>
  </si>
  <si>
    <t xml:space="preserve">Y-MABS Therapeutics Inc and Spectronrx planned to form a strategic alliance
was to secure access to clinical and commercial scale radiolabeling
capacity for omburtamab. Under the terms of the agreement, SpectronRx has
agreed to establish a manufacturing unit designated for Y-mAbs within its
existing facilities, at which both clinical and commercial supply of
radiolabelled omburtamab can be produced.</t>
  </si>
  <si>
    <t xml:space="preserve">984241
4J8473</t>
  </si>
  <si>
    <t xml:space="preserve">Bayer AG
FUJIFILM Holdings Corp</t>
  </si>
  <si>
    <t xml:space="preserve">Manufacture and Wholesale Chemicals &amp; Pharmaceuticals
Photographic Film, Paper, Plate, and Chemical Manufacturing</t>
  </si>
  <si>
    <t xml:space="preserve">Bayer AG, located in
Leverkusen, Germany,
manufactures organic
chemicals. The Company was
founded in August 1863.
FUJIFILM Holdings Corp,
located in Minato-Ku, Tokyo,
manufactures and wholesales
of imaging products and
information systems. It
operates in three business
segments. The imaging
solution segment offers
color films, digital
cameras, photo-finishing
machines, and color papers,
chemical and services for
instant printing. The
information solution segment
offers medical systems,
life-science machinery,
graphic system machinery,
front panel display
materials, recording media,
optical devices, electronic
components and inkjet
materials. Document solution
segment offers printers,
copy machines, production
service-related products,
paper, consumer goods and
others. The Company was
founded in 1934.</t>
  </si>
  <si>
    <t xml:space="preserve">2899
3861</t>
  </si>
  <si>
    <t xml:space="preserve">BAYER AG/FUJIFILM HOLDINGS CORP-STRATEGIC ALLIANCE</t>
  </si>
  <si>
    <t xml:space="preserve">Bayer AG and FUJIFILM Holdings Corp formed a strategic alliance in Germany
&amp; Japan to develop an immune-based cancer treatment using induced
pluripotent stem cells. Companies to test cheaper stem cell-based
immunotherapy drug for cancer patients.</t>
  </si>
  <si>
    <t xml:space="preserve">072730
J14208</t>
  </si>
  <si>
    <t xml:space="preserve">Photocure ASA
Asieris Pharmaceuticals Co Ltd</t>
  </si>
  <si>
    <t xml:space="preserve">Photocure ASA is a company
active in the pharmaceutical
industry. The Company was
founded in 1993 and is
located in Oslo, Norway. It
operates in the field of
photodynamic diagnosis,
cosmetics and treatment of
acne, bladder cancer, colon
cancer, as well as human
papilloma virus (HPV) and
precancerous lesions of the
cervix. The Company's
activities comprise
research, development and
commercialization of
pipeline projects within two
segments: Cancer and
Dermatology. Its brand
portfolio includes: Hexvix
and Cysview, for detection
and management of bladder
cancer; Visonac, for acne
treatment; Cevira, used in
HPV and precancerous lesions
of the cervix treatment; and
Lumacan, applied in
colorectal cancer treatment.
Furthermore, It owns a
Photocure Technology
platform, which develops
photodynamic technology for
diagnosis and therapy.
Asieris Pharmaceuticals Co
Ltd is a manufacturer of
pharmaceutical preparation.
The Company is located in
China.</t>
  </si>
  <si>
    <t xml:space="preserve">Norway
China</t>
  </si>
  <si>
    <t xml:space="preserve">PHOTOCURE ASA/ASIERIS PHARMACEUTICALS CO LTD-STRATEGIC ALLIANCE</t>
  </si>
  <si>
    <t xml:space="preserve">Photocure ASA and Asieris Pharmaceuticals Co Ltd formed a strategic
alliance for the development and commercialization of Cevira.</t>
  </si>
  <si>
    <t xml:space="preserve">71931Y
4J9346</t>
  </si>
  <si>
    <t xml:space="preserve">Sumitomo Chemical Co Ltd
Isorg SA</t>
  </si>
  <si>
    <t xml:space="preserve">Mnfr,whl chem
Semiconductor and Related Device Manufacturing</t>
  </si>
  <si>
    <t xml:space="preserve">Sumitomo Chemical Co Ltd,
located in Chuo-Ku, Tokyo,
has six business segments:
Basic chemical, such as the
manufacture and sale of
inorganic and organic
chemicals, synthetic fiber
materials, metal acrylate,
alumina products and others;
Petrochemical, including the
provision of petrochemical,
synthetic resin, rubber
products and others;
Information and electronic
chemical, including the
supply of optical goods,
color filters,
semiconductors processing
materials, and electronic
materials and others; Health
and agriculture-related,
such as the manufacture and
sale of agrochemicals,
fertilizers, agricultural
materials, pesticide,
dietary additives and
others; Medical products,
including the provision of
medical products and
radioactive diagnostic
products, and others,
encompassing the supply of
vapor and electric power,
the design of industrial
chemical facilities, as well
as the transportation and
warehouse businesses. The
company was founded in 1913.
Isorg SA, located in Grenoble,
France, manufactures and
wholesales photo detectors and
image sensors. The company
operates in France, China,
Japan and South Korea. It was
founded in 2010.</t>
  </si>
  <si>
    <t xml:space="preserve">2821
3674</t>
  </si>
  <si>
    <t xml:space="preserve">SUMITOMO CHEMICAL CO LTD/ISORG SA-STRATEGIC ALLIANCE</t>
  </si>
  <si>
    <t xml:space="preserve">Sumitomo Chemical Co Ltd and Isorg SA planned to form a strategic alliance
was to develop new OPD products for use as smartphone fingerprint sensors
and hybrid organic CMOS image sensors.</t>
  </si>
  <si>
    <t xml:space="preserve">Research &amp; Development Services
Electric Utility Services
Software Development Services</t>
  </si>
  <si>
    <t xml:space="preserve">865610
1C7977</t>
  </si>
  <si>
    <t xml:space="preserve">LongiTech Smart Energy Hldg
HMAC Industrial Pk Dvlp And
HMAC Urban Dvlp &amp; Invest Co</t>
  </si>
  <si>
    <t xml:space="preserve">Power and Communication Line and Related Structures Construction
Land Subdivision
Miscellaneous Intermediation</t>
  </si>
  <si>
    <t xml:space="preserve">LongiTech Smart Energy
Holding Ltd is a power and
communication line
construction company. The
Company was founded in 2006
and is located in Beijing,
China.
HMAC Industrial Park
Development &amp; Investment Co
Ltd is a provider of land
subdivision services. The
Company is located in Ili,
China.
HMAC Urban Development &amp;
Investment Co Ltd is an
intermediating company. The
Company is located in Ili,
China.</t>
  </si>
  <si>
    <t xml:space="preserve">8741
6552
6799</t>
  </si>
  <si>
    <t xml:space="preserve">LONGITECH SMART ENERGY HLDG/HMAC INDUSTRIAL PK DVLP AND/HMAC URBAN DVLP &amp;
INVEST CO-JOINT VENTURE</t>
  </si>
  <si>
    <t xml:space="preserve">LongiTech Smart Energy Holding Ltd, HMAC Industrial Park Development
Investment Co Ltd and HMAC Urban Development Investment Co Ltd planned to
form joint venture. The purpose of joint venture is to engage in
investment, construction,operation and management of incremental
distribution network at HMAC industrial park.</t>
  </si>
  <si>
    <t xml:space="preserve">Investment Services
Construction Services
Management Services
Research &amp; Development Services</t>
  </si>
  <si>
    <t xml:space="preserve">9E6980
4J8848
4J8850</t>
  </si>
  <si>
    <t xml:space="preserve">Genedata AG
AB Enzymes Gmbh</t>
  </si>
  <si>
    <t xml:space="preserve">All Other Miscellaneous Ambulatory Health Care Services
All Other Miscellaneous Chemical Product and Preparation Manufacturing</t>
  </si>
  <si>
    <t xml:space="preserve">Genedata AG is a provider
healthcare technology
services. The Company is
located in Basel,
Switzerland.
AB Enzymes Gmbh is a
manufacturer of chemical
products. The Company was
founded in March 2006 and is
located in Darmstadt,
Germany.</t>
  </si>
  <si>
    <t xml:space="preserve">8099
2819</t>
  </si>
  <si>
    <t xml:space="preserve">GENEDATA AG/AB ENZYMES GMBH-STRATEGIC ALLIANCE</t>
  </si>
  <si>
    <t xml:space="preserve">Genedata AG and AB Enzymes Gmbh formed a strategic alliance. The purpose of
strategic alliance is to allow both the companies to increase the
efficiency of our strain development processes.</t>
  </si>
  <si>
    <t xml:space="preserve">20835W
3J9421</t>
  </si>
  <si>
    <t xml:space="preserve">East Africa Metals Inc
Silk Road Resources Invest Co</t>
  </si>
  <si>
    <t xml:space="preserve">Mineral exploration company
Investment Advice</t>
  </si>
  <si>
    <t xml:space="preserve">East Africa Metals Inc is a
gold ore mine operator. The
Company is located in
Vancouver, Canada.
Silk Road Resources
Investment Co Ltd is a
investment advisor. The
Company is located in China.</t>
  </si>
  <si>
    <t xml:space="preserve">1041
6282</t>
  </si>
  <si>
    <t xml:space="preserve">East Africa Metals Inc
Tibet Huayu Mining Co Ltd</t>
  </si>
  <si>
    <t xml:space="preserve">1041
3356</t>
  </si>
  <si>
    <t xml:space="preserve">EAST AFRICA METALS INC/SILK ROAD RESOURCES INVESTMENT CO LTD-JOINT VENTURE</t>
  </si>
  <si>
    <t xml:space="preserve">East Africa Metals Inc and Silk Road Resources Investment Co Ltd planned to
form joint venture. The purpose of joint venture is for the development and
operation of the Adyabo Projects Mato Bula and Da Tambuk deposits located
in the Tigray region of the Federal Republic of Ethiopia.</t>
  </si>
  <si>
    <t xml:space="preserve">270410
4J8528</t>
  </si>
  <si>
    <t xml:space="preserve">Kurve Technology Inc
Seurat Therapeutics Inc</t>
  </si>
  <si>
    <t xml:space="preserve">Kurve Technology Inc is a
provider of biotechnology
research and development
services. The Company is
located in Mill Creek,
Washington.
Seurat Therapeutics Inc is a
provider of biotechnology
research and development
services. The Company is
located in Chicago,
Illinois.</t>
  </si>
  <si>
    <t xml:space="preserve">KURVE TECHNOLOGY INC/SEURAT THERAPEUTICS INC-STRATEGIC ALLIANCE</t>
  </si>
  <si>
    <t xml:space="preserve">Kurve Technology Inc and Seurat Therapeutics Inc formed a strategic
alliance for their proprietary technology to be used for migraine
prevention in adults.</t>
  </si>
  <si>
    <t xml:space="preserve">4J9357
4J9358</t>
  </si>
  <si>
    <t xml:space="preserve">Amicus Therapeutics Inc
Paragon Bioservices Inc</t>
  </si>
  <si>
    <t xml:space="preserve">Manufacture pharmaceuticals
Manufactures pharmaceutical preparation</t>
  </si>
  <si>
    <t xml:space="preserve">Amicus Therapeutics Inc,
located in Cranbury, New
Jersey, manufactures and
develops orally-administered
drugs (pharmalogical
chaperones) to treat several
genetic diseases. It had been
able to generate three product
development program focused on
human genetic diseases caused
by mutations in certain
specific genes. the company
was founded in 2002.
Paragon Bioservices Inc,
located in Baltimore,
Maryland, manufactures
pharmaceutical preparation.
It provides cell
culture-based contract
production and research
services specializing in
recombinant protein
expression, protein
purification, adenovirus
production and purification,
recombinant vaccines,
process development,
histology and
immunohistochemistry.</t>
  </si>
  <si>
    <t xml:space="preserve">Amicus Therapeutics Inc
Catalent Inc</t>
  </si>
  <si>
    <t xml:space="preserve">AMICUS THERAPEUTICS INC/PARAGON BIOSERVICES INC-STRATEGIC ALLIANCE</t>
  </si>
  <si>
    <t xml:space="preserve">Amicus Therapeutics Inc and Paragon Bioservices Inc formed a strategic
alliance was to for clinical manufacturing capabilities and capacity for
multiple active preclinical lysosomal disorder programs that are currently
in development in collaboration with the University of Pennsylvania (Penn)</t>
  </si>
  <si>
    <t xml:space="preserve">03152W
69961K</t>
  </si>
  <si>
    <t xml:space="preserve">University of Dundee
Bukwang Pharm Co Ltd</t>
  </si>
  <si>
    <t xml:space="preserve">University of Dundee is a
college operator. The
Company was founded in 1967
and is located in Dundee
Scotland, the United
Kingdom.
Bukwang Pharm Co Ltd is a
manufacturer of
pharmaceutical preparation.
The Company was founded in
October 1960 and is located
in Seoul, South Korea.</t>
  </si>
  <si>
    <t xml:space="preserve">UNIVERSITY OF DUNDEE/BUKWANG PHARM CO LTD-STRATEGIC ALLIANCE</t>
  </si>
  <si>
    <t xml:space="preserve">University of Dundee and Bukwang Pharm Co Ltd formed a strategic alliance
to develop a new drug treatment for parkinson's disease.</t>
  </si>
  <si>
    <t xml:space="preserve">91423N
11992P</t>
  </si>
  <si>
    <t xml:space="preserve">Precision Biomonitoring Inc
Agriseq Solutions Inc</t>
  </si>
  <si>
    <t xml:space="preserve">Precision Biomonitoring Inc
is a manufacturer of
biological products. The
Company was founded in 1970
and is located in Guelph,
Canada.
Agriseq Solutions Inc is a
manufacturer of biological
products. The Company was
founded in 1970 and is
located in Guelph, Canada.</t>
  </si>
  <si>
    <t xml:space="preserve">PRECISION BIOMONITORING INC/AGRISEQ SOLUTIONS INC-STRATEGIC ALLIANCE</t>
  </si>
  <si>
    <t xml:space="preserve">Precision Biomonitoring Inc and Agriseq Solutions Inc planned to form a
strategic alliance was to Joint efforts to help industry and public
organizations quickly and accurately identify organisms and advance plant
and animal breeding programs.</t>
  </si>
  <si>
    <t xml:space="preserve">4J9458
4J9459</t>
  </si>
  <si>
    <t xml:space="preserve">Aptahem AB
LGC Ltd</t>
  </si>
  <si>
    <t xml:space="preserve">Biological Product (Except Diagnostic) Manufacturing
Life sciences measurement and testing company</t>
  </si>
  <si>
    <t xml:space="preserve">Aptahem AB is a manufacturer
of biological products. The
Company was founded in 2014
and is located in Malmo,
Sweden.
LGC Ltd, located in
Teddington, the United
Kingdom,is a life sciences
measurement and testing
company. It offers
laboratory testing services
including measurement
standards, reference
materials and proficiency
testing marketplaces. Its
products and services enable
its customers to achieve
results in investigative,
diagnostic and measurement
science and to conform to
international statutory and
regulatory standards. The
Company was founded in
February 1996.</t>
  </si>
  <si>
    <t xml:space="preserve">2836
8734</t>
  </si>
  <si>
    <t xml:space="preserve">Aptahem AB
KKR &amp; Co Inc</t>
  </si>
  <si>
    <t xml:space="preserve">APTAHEM AB/LGC LTD-STRATEGIC ALLIANCE</t>
  </si>
  <si>
    <t xml:space="preserve">Aptahem AB and LGC Ltd formed a strategic alliance was to the concluding
toxicological studies and the production is expected to commence during the
third quarter of 2019.</t>
  </si>
  <si>
    <t xml:space="preserve">4E1738
8A6859</t>
  </si>
  <si>
    <t xml:space="preserve">Oncimmune Holdings PLC
R-Pharm</t>
  </si>
  <si>
    <t xml:space="preserve">Oncimmune Holdings PLC is a
provider of biotechnology
research and development
services. The Company is
located in Nottingham, the
United Kingdom.
R-Pharm JSC is a
manufacturer of
pharmaceutical preparation.
The Company was founded in
2001 and is located in
Moscow, the Russian
Federation.</t>
  </si>
  <si>
    <t xml:space="preserve">ONCIMMUNE HOLDINGS PLC/R-PHARM JSC-STRATEGIC ALLIANCE</t>
  </si>
  <si>
    <t xml:space="preserve">Oncimmune Holdings PLC and R-Pharm JSC formed a strategic alliance was to
use EarlyCDT Lung for the early detection of lung cancer in Russia and the
member states of the Eurasian Customs Union and R-Pharm to extend the use
of EarlyCDT Lung into the Commonwealth of Independent States countries of
Azerbaijan, Turkmenistan, Tajikistan, Ukraine, Uzbekistan, and Georgia.</t>
  </si>
  <si>
    <t xml:space="preserve">5E2551
99228V</t>
  </si>
  <si>
    <t xml:space="preserve">Cobo Tech
Ab Sciex LLC</t>
  </si>
  <si>
    <t xml:space="preserve">Biological Product (Except Diagnostic) Manufacturing
Mnfr,whl spectrometer</t>
  </si>
  <si>
    <t xml:space="preserve">Cobo Technologies is a
manufacturer of biological
products. The Company is
located in Denmark.
Applied Biosystems/MDS
Sciex, based in Foster City,
California, manufactures and
wholesales
spectrometer-based products
for use in drug discovery
and development to uncover
the cause of human disease.</t>
  </si>
  <si>
    <t xml:space="preserve">Cobo Tech
Danaher Corp</t>
  </si>
  <si>
    <t xml:space="preserve">COBO TECHNOLOGIES/AB SCIEX LLC-STRATEGIC ALLIANCE</t>
  </si>
  <si>
    <t xml:space="preserve">Cobo Technologies and AB SCIEX LLC planned to form a strategic alliance was
to develop PIPPR , a unique protein expression analysis platform. Based in
Copenhagen, Denmark, Cobo Technologies specialises in products and services
for Quality Control of CRISPR-modified cells and animals</t>
  </si>
  <si>
    <t xml:space="preserve">4J9652
03796E</t>
  </si>
  <si>
    <t xml:space="preserve">SV Health Investors LLC
Cancer Research UK</t>
  </si>
  <si>
    <t xml:space="preserve">Financial Sponsor
Provide charitable trust services</t>
  </si>
  <si>
    <t xml:space="preserve">SV Health Investors LLC is a
financial sponsor. The
Company is located in
Boston, Massachusetts.
Cancer Research UK is a
provider of charitable trust
services. The Company is
located in London, the United
Kingdom.</t>
  </si>
  <si>
    <t xml:space="preserve">6799
6732</t>
  </si>
  <si>
    <t xml:space="preserve">SV HEALTH INVESTORS LLC/CANCER RESEARCH UK-STRATEGIC ALLIANCE</t>
  </si>
  <si>
    <t xml:space="preserve">SV Health Investors LLC and Cancer Research UK planned to form a strategic
alliance was to focused on accelerating the translation of Cancer Research
UKs research and the development of new cancer medicines for patients.</t>
  </si>
  <si>
    <t xml:space="preserve">7H4652
13737T</t>
  </si>
  <si>
    <t xml:space="preserve">Blue World Technologies ApS
Wuxi Lead Intelligent Equip</t>
  </si>
  <si>
    <t xml:space="preserve">Motor and Generator Manufacturing
All Other Miscellaneous Electrical Equipment and Component Manufacturing</t>
  </si>
  <si>
    <t xml:space="preserve">Blue World Technologies ApS
is a manufacturer of motors
and generators. The Company
was founded in 2018 and is
located in Aalborg, Denmark.
Wuxi Lead Intelligent
Equipment Co Ltd is a
manufacturer and wholesaler
of electrical equipment. The
Company was founded in 2002
and is located in Wuxi,
China.</t>
  </si>
  <si>
    <t xml:space="preserve">3621
3629</t>
  </si>
  <si>
    <t xml:space="preserve">AMM Holding af 2018 ApS
Wuxi Lead Intelligent Equip</t>
  </si>
  <si>
    <t xml:space="preserve">6799
3629</t>
  </si>
  <si>
    <t xml:space="preserve">BLUE WORLD TECHNOLOGIES APS/WUXI LEAD INTELLIGENT EQUIPMENT CO
LTD-STRATEGIC ALLIANCE</t>
  </si>
  <si>
    <t xml:space="preserve">Blue World Technologies ApS and Wuxi Lead Intelligent Equipment Co Ltd
formed a strategic alliance.The purpose of the strategic alliance is to
enable the companies to achieve mass production of fuel cells.</t>
  </si>
  <si>
    <t xml:space="preserve">5J0600
5E2191</t>
  </si>
  <si>
    <t xml:space="preserve">Cowen Inc
Massrobotics</t>
  </si>
  <si>
    <t xml:space="preserve">Provides investment banking services
Engineering Services</t>
  </si>
  <si>
    <t xml:space="preserve">Cowen Inc, headquartered in
New York City, New York,
provides investment banking
services. It also offers
investment management,
research, sales and trading,
prime brokerage, global
clearing and commission
management services. It
offers services through its
segments: the investment
management segment and the
investment bank segment. The
investment management
segment includes advisers to
investment funds (including
privately placed hedge
funds, real estate funds,
and private equity
structures), managed
accounts, registered funds
and a significant portion
its proprietary capital. The
investment bank segment
offers industry focused
investment banking for
growth-oriented companies
including advisory and
global capital markets
origination and domain
knowledge-driven research,
sales and trading platform
for institutional investors,
global clearing and
commission management
services and also a
comprehensive suite of prime
brokerage services. The
Company was founded in 1918.
Massrobotics is a provider
of engineering services. The
Company is located in
Boston, Massachusetts.</t>
  </si>
  <si>
    <t xml:space="preserve">6211
8711</t>
  </si>
  <si>
    <t xml:space="preserve">COWEN INC/MASSROBOTICS-JOINT VENTURE</t>
  </si>
  <si>
    <t xml:space="preserve">Cowen Inc and Massrobotics formed joint venture was to bring together their
extensive market knowledge to advance research into the emerging robotics
and artificial intelligence industry.</t>
  </si>
  <si>
    <t xml:space="preserve">223622
0J8196</t>
  </si>
  <si>
    <t xml:space="preserve">Mimi's Rock Corp
Lennox Claudius Lewis</t>
  </si>
  <si>
    <t xml:space="preserve">Electronic Shopping
Miscellaneous Financial Investment Activities</t>
  </si>
  <si>
    <t xml:space="preserve">Canada.
Lennox Claudius Lewis,
located in West Ham, United
Kingdom, is an individual
investor.</t>
  </si>
  <si>
    <t xml:space="preserve">5961
6799</t>
  </si>
  <si>
    <t xml:space="preserve">MIMI'S ROCK CORP/LENNOX CLAUDIUS LEWIS-JOINT VENTURE</t>
  </si>
  <si>
    <t xml:space="preserve">Mimi's Rock Corp and Lennox Claudius Lewis formed a joint venture in Canada
to develop and commercialize a new line of branded nutritional
supplements.</t>
  </si>
  <si>
    <t xml:space="preserve">Research &amp; Development Services
Marketing Services
Supply Services</t>
  </si>
  <si>
    <t xml:space="preserve">200508
5J0658</t>
  </si>
  <si>
    <t xml:space="preserve">Tokyo Electron Ltd
Bridg Inc</t>
  </si>
  <si>
    <t xml:space="preserve">Mnfr,whl semiconductor equip
Software Publishers</t>
  </si>
  <si>
    <t xml:space="preserve">Tokyo Electron Ltd, located in
Tokyo, Japan, manufactures and
wholesales semiconductor
production equipment, FPD
Production Equipment, and PV
Production Equipment for
semiconductors and flat panel
displays including plasma
etching systems, thermal
processing systems, Expedius
auto wet station, Precio water
prober and flat panel display
coater. The company was
founded in 1963.
Bridg Inc, located in Los
Angeles, California, is an
online marketing consulting
company.</t>
  </si>
  <si>
    <t xml:space="preserve">TOKYO ELECTRON LTD/BRIDG INC-STRATEGIC ALLIANCE</t>
  </si>
  <si>
    <t xml:space="preserve">Tokyo Electron Ltd and Bridg Inc planned to form a strategic alliance. The
purpose of strategic alliance is to develop tool and process technology
needed to further enable collaborative approaches for
development-to-commercialization of technologies and applications that
accelerate commercialization of emerging technologies.</t>
  </si>
  <si>
    <t xml:space="preserve">J86957
8F4989</t>
  </si>
  <si>
    <t xml:space="preserve">IFP Energies Nouvelles
Total SA</t>
  </si>
  <si>
    <t xml:space="preserve">Research and Development
Oil and gas company</t>
  </si>
  <si>
    <t xml:space="preserve">IFP Energies Nouvelles,
based in Rueil-Malmaison,
France, provides reseach and
industrial development
(R&amp;D), training and
information services center
active in the fields of oil
and natural gas, their use,
in particular by vehicles,
and new energy and
environmental technologies.
Total SA, located in Paris,
France, is an oil and gas
company. Its operations
include petroleum products
distribution, electricity
generation, refining and
chemistry, via 18
international refineries,
manufacturing of basic and
special chemistry products
(olefins, aromatics, rubber,
resins) and hydrocarbon
production with operations
in Europe, Africa, Middle
East, South and North
America and Asia Pacific.
Its products are also used
in aviation, heating and
marine sectors. It also has
operations in
transportation, storage and
sales of gas, LNG, LPG and
carbon. It is also a holding
company. The Company was
founded on March 28, 1924.</t>
  </si>
  <si>
    <t xml:space="preserve">8731
1311</t>
  </si>
  <si>
    <t xml:space="preserve">IFP ENERGIES NOUVELLES/TOTAL SA-STRATEGIC ALLIANCE</t>
  </si>
  <si>
    <t xml:space="preserve">IFP Energies Nouvelles and Total SA formed a strategic alliance was to
endow a chair at the IFP School, on carbon capture, utilization and storage
(CCUS) and technologies to curb CO2emissions. reduce the cost of
infrastructure and improve the CCUS chain's energy efficiency to secure its
large-scale deployment</t>
  </si>
  <si>
    <t xml:space="preserve">1H8545
89151E</t>
  </si>
  <si>
    <t xml:space="preserve">MacroGenics Inc
I-Mab Biopharma (Shanghai) Co</t>
  </si>
  <si>
    <t xml:space="preserve">MacroGenics Inc, located in
Rockville, Maryland, is a
biopharmaceutical company
focused on discovering and
developing innovative
monoclonal antibody-based
therapeutics for the
treatment of cancer and
autoimmune diseases. The
company was founded in 2000.
I-Mab Biopharma is a
manufacturer of biological
products. The Company is
located in China. District,
China.</t>
  </si>
  <si>
    <t xml:space="preserve">MACROGENICS INC/I-MAB BIOPHARMA (SHANGHAI) CO LTD-STRATEGIC ALLIANCE</t>
  </si>
  <si>
    <t xml:space="preserve">MacroGenics Inc and I-Mab Biopharma (Shanghai) Co Ltd formed a strategic
alliance was to Develop and Commercialize Enoblituzumab in Greater China
and This investigational drug is an immune-optimized, anti-B7-H3 monoclonal
antibody that incorporates MacroGenics' proprietary Fc Optimization
technology platform.</t>
  </si>
  <si>
    <t xml:space="preserve">556099
5H3410</t>
  </si>
  <si>
    <t xml:space="preserve">Passage Bio Inc
Paragon Bioservices Inc</t>
  </si>
  <si>
    <t xml:space="preserve">Biological Product (Except Diagnostic) Manufacturing
Manufactures pharmaceutical preparation</t>
  </si>
  <si>
    <t xml:space="preserve">Passage Bio Inc, located in
Philadelphia, Pennsylvania, is
a United States-based genetic
medicines company. The Company
is focused on developing
therapies for the treatment of
rare monogenic central nervous
system diseases. The
Company''s products pipeline
includes GM1 gangliosidosis,
frontotemporal dementia and
krabbe disease. The Company
has a research, collaboration
and license agreement with the
University of Pennsylvania and
its gene therapy program (GTP)
as well as the orphan disease
center (ODC). The Company
discovers and develop
life-transforming therapies
for patients with rare
monogenic CNS diseases. The
Company was founded in July
26, 2017.
Paragon Bioservices Inc,
located in Baltimore,
Maryland, manufactures
pharmaceutical preparation.
It provides cell
culture-based contract
production and research
services specializing in
recombinant protein
expression, protein
purification, adenovirus
production and purification,
recombinant vaccines,
process development,
histology and
immunohistochemistry.</t>
  </si>
  <si>
    <t xml:space="preserve">Passage Bio Inc
Catalent Inc</t>
  </si>
  <si>
    <t xml:space="preserve">PASSAGE BIO INC/PARAGON BIOSERVICES INC-STRATEGIC ALLIANCE</t>
  </si>
  <si>
    <t xml:space="preserve">Passage Bio Inc and Paragon Bioservices Inc formed a strategic alliance in
United States for the development of a dedicated manufacturing suite at
their facility near Baltimore, MD.</t>
  </si>
  <si>
    <t xml:space="preserve">702712
69961K</t>
  </si>
  <si>
    <t xml:space="preserve">Well Marker Bio Co Ltd
Korea Inst Of Radiological &amp;</t>
  </si>
  <si>
    <t xml:space="preserve">Dental Equipment and Supplies Manufacturing
Research and Development in The Physical, Engineering and Lifesciences (Except Biotechnology)</t>
  </si>
  <si>
    <t xml:space="preserve">Well Marker Bio Co Ltd is a
manufacturer of dental
equipment and supplies. The
Company is located in Seoul,
South Korea.
Korea Institute Of
Radiological &amp; Medical
Sciences is a provider of
research and development
services. The Company was
founded in December 1963 and
is located in South Korea.</t>
  </si>
  <si>
    <t xml:space="preserve">3843
3721</t>
  </si>
  <si>
    <t xml:space="preserve">WELL MARKER BIO CO LTD/KOREA INSTITUTE OF RADIOLOGICAL &amp; MEDICAL
SCIENCES-STRATEGIC ALLIANCE</t>
  </si>
  <si>
    <t xml:space="preserve">Well Marker Bio Co Ltd and Korea Institute Of Radiological Medical Sciences
formed a strategic alliance was transfer two biomarkers for anti-cancer
drug and finding out certain characteristics that incur cancer through the
biomarker such as a molecule, DNA, and antibody, researchers can predict
the drug response of the patients before administrating medication and
diagnose incurable diseases in the early stage.</t>
  </si>
  <si>
    <t xml:space="preserve">2F7663
5J4398</t>
  </si>
  <si>
    <t xml:space="preserve">Leaf Rwanda
Undisclosed JV Partner</t>
  </si>
  <si>
    <t xml:space="preserve">Leaf Rwanda is a provider of
biotechnology research and
development services. The
Company was founded in 1970
and is located in Kigali,
Rwanda.
Investment company</t>
  </si>
  <si>
    <t xml:space="preserve">Rwanda
Unknown</t>
  </si>
  <si>
    <t xml:space="preserve">Leaf Pharmaceuticals LLC
Undisclosed JV Partner</t>
  </si>
  <si>
    <t xml:space="preserve">LEAF RWANDA/UNDISCLOSED PARTNER-STRATEGIC ALLIANCE</t>
  </si>
  <si>
    <t xml:space="preserve">Rwanda</t>
  </si>
  <si>
    <t xml:space="preserve">Leaf Rwanda and Undisclosed Joint Venture Partner formed a strategic
alliance was to manufacture its first complex generic anticancer medicine,
LEAF-1404, under global current good manufacturing practices (cGMP).</t>
  </si>
  <si>
    <t xml:space="preserve">5J1657
904JVP</t>
  </si>
  <si>
    <t xml:space="preserve">Valagro SpA
Marrone Bio Innovations Inc</t>
  </si>
  <si>
    <t xml:space="preserve">Nitrogenous Fertilizer Manufacturing
Mnfr,whl biopesticides prod</t>
  </si>
  <si>
    <t xml:space="preserve">Valagro SpA is a manufacturer
of nitrogenous fertilizers.
The Company manufactures and
wholesales bio-stimulants and
fertilizers, with 13
subsidiaries located
throughout the world. It was
founded in 1980 and is located
in Atessa, Italy.
Marrone Bio Innovations Inc
manufactures and distributes
bio-based pest management
and plant health products
for the agricultural and
water treatment markets. Its
sells its products through
major agrichemical companies
use for distributing
conventional chemical
pesticides such as the Crop
Production Services, Helena
and Wilbur Ellis. Its
products are Grandevo for
broad spectrum bio
insecticide, Zequanox for
invasive mussel control, and
Regalia for fungal and
bacterial disease control.
The company was originally
incorporated in the State of
Delaware in June 2006 as
Marrone Organic Innovation
Inc. The Company was founded
in June 2006 and is located
in Davis, California.</t>
  </si>
  <si>
    <t xml:space="preserve">VALAGRO SPA/MARRONE BIO INNOVATIONS INC-STRATEGIC ALLIANCE</t>
  </si>
  <si>
    <t xml:space="preserve">Valagro SpA and Marrone Bio Innovations Inc planned to form a strategic
alliance was to collaborate on research and development efforts with
Valagro S.p.A , a leader in the production and commercialization of
biostimulants and specialty nutrients and develop innovative bio-based
products to increase crop yields and quality.</t>
  </si>
  <si>
    <t xml:space="preserve">1E8395
57165B</t>
  </si>
  <si>
    <t xml:space="preserve">Lexaria Hemp Corp
Universal Hemp LLC</t>
  </si>
  <si>
    <t xml:space="preserve">Food (Health) Supplement Stores
Food (Health) Supplement Stores</t>
  </si>
  <si>
    <t xml:space="preserve">Lexaria Hemp Corp is a food
supplement products
retailer. The Company is
located in Canada.
Universal Hemp LLC is a food
supplement products
retailer. The Company is
located in Boulder,
Colorado.</t>
  </si>
  <si>
    <t xml:space="preserve">5499
5499</t>
  </si>
  <si>
    <t xml:space="preserve">Lexaria Bioscience Corp
Universal Hemp LLC</t>
  </si>
  <si>
    <t xml:space="preserve">1311
5499</t>
  </si>
  <si>
    <t xml:space="preserve">LEXARIA HEMP CORP/UNIVERSAL HEMP LLC-STRATEGIC ALLIANCE</t>
  </si>
  <si>
    <t xml:space="preserve">Lexaria Hemp Corp and Universal Hemp LLC formed a strategic alliance in
Canada to enter into licensing agreement to provide Lexarias patented
DehydraTECH technology.</t>
  </si>
  <si>
    <t xml:space="preserve">5J1348
5J1352</t>
  </si>
  <si>
    <t xml:space="preserve">Olympia Hotel Mgmt
Mtn Shore Ppty Inc</t>
  </si>
  <si>
    <t xml:space="preserve">Hotels (Except Casino Hotels) and Motels
Other Activities Related To Real Estate</t>
  </si>
  <si>
    <t xml:space="preserve">Olympia Hotel Management The
Company is located in
Portland, Maine.
Mountain Shore Properties
Inc is a provider of real
estate services. The Company
is located in Fayetteville,
West Virginia.</t>
  </si>
  <si>
    <t xml:space="preserve">7011
6531</t>
  </si>
  <si>
    <t xml:space="preserve">ME
WV</t>
  </si>
  <si>
    <t xml:space="preserve">OLYMPIA HOTEL MANAGEMENT/MOUNTAIN SHORE PROPERTIES INC-STRATEGIC ALLIANCE</t>
  </si>
  <si>
    <t xml:space="preserve">West Virginia
Maine</t>
  </si>
  <si>
    <t xml:space="preserve">Olympia Hotel Management and Mountain Shore Properties Inc planned to form
a strategic alliance. The purpose of strategic alliance is to allow Olympia
and MSP to see more development opportunities.</t>
  </si>
  <si>
    <t xml:space="preserve">Research &amp; Development Services
Management Services
Hotel &amp; Casino Services</t>
  </si>
  <si>
    <t xml:space="preserve">5J2636
5J2639</t>
  </si>
  <si>
    <t xml:space="preserve">Gilead Sciences Inc
Renown Regional Medical Center</t>
  </si>
  <si>
    <t xml:space="preserve">Biotechnology company
Provide trauma center services</t>
  </si>
  <si>
    <t xml:space="preserve">Gilead Sciences Inc, located
in Foster City, California,
is a biotechnology company
focused on developing
treatments for
life-threatening illnesses
such as human
immunodeficiency virus
(HIV), liver diseases,
cardiovascular diseases,
hematology/oncology and
inflammation/respiratory
diseases. The Company
operates in Canada, the
United Kingdom, New Zealand,
Australia, Austria, Benelux,
Denmark, France, Germany,
Greece, Ireland, Italy,
Norway, Poland, Portugal,
Spain, Sweden, Switzerland
and Turkey. The Company was
founded in 1987.
Renown Regional Medical
Center is a hospital
operator. The Company was
founded in 1862 and is
located in Reno, Nevada.</t>
  </si>
  <si>
    <t xml:space="preserve">GILEAD SCIENCES INC/RENOWN REGIONAL MEDICAL CENTER-STRATEGIC ALLIANCE</t>
  </si>
  <si>
    <t xml:space="preserve">Nevada
California</t>
  </si>
  <si>
    <t xml:space="preserve">Gilead Sciences Inc and Renown Regional Medical Center planned to form a
strategic alliance. The purpose of strategic alliance is to collect and
analyze genetic and electronic health data that can enhance the
understanding of nonalcoholic steatohepatitis (NASH) and potentially inform
development of treatment options for the disease.</t>
  </si>
  <si>
    <t xml:space="preserve">375558
76360F</t>
  </si>
  <si>
    <t xml:space="preserve">Seqster PDM Inc
Boston University</t>
  </si>
  <si>
    <t xml:space="preserve">Develops a healthcare platform
Own,op college,university</t>
  </si>
  <si>
    <t xml:space="preserve">Seqster PDM Inc, located in
San Diego, California,
develops a healthcare
platform. It offers a
software as a service-based
technology platform enabling
person-centric health data
management. The Company was
founded on August 25, 2016.
Boston University, located in
Boston, Massachusetts, is a
private research and teaching
institution. The Company was
founded in 1839.</t>
  </si>
  <si>
    <t xml:space="preserve">SEQSTER PDM INC/BOSTON UNIVERSITY-STRATEGIC ALLIANCE</t>
  </si>
  <si>
    <t xml:space="preserve">Seqster Pdm Inc and Boston University formed a strategic alliance. The
purpose of strategic alliance was for the use of Seqster Research Portal
("SRP") as the solution for streamlined patient recruitment and consent at
the Alzheimer's Association International Conference (AAIC) 2019.</t>
  </si>
  <si>
    <t xml:space="preserve">Educational Services
Research &amp; Development Services
Health &amp; Medical Services</t>
  </si>
  <si>
    <t xml:space="preserve">9H1427
10115M</t>
  </si>
  <si>
    <t xml:space="preserve">Genmab A/S
Blink Biomedical Sas</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</si>
  <si>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Blink Biomedical Sas is a
medical equipment and
supplies wholesaler. The
Company was founded in
November 2014 and is located
in Marseille, France.</t>
  </si>
  <si>
    <t xml:space="preserve">GENMAB A/S/BLINK BIOMEDICAL SAS-STRATEGIC ALLIANCE</t>
  </si>
  <si>
    <t xml:space="preserve">Genmab A/S and Blink Biomedical SAS formed a strategic alliance. The
purpose of strategic alliance was to develop novel bispecific therapeutics
based on BliNK Biomedicals CD47 antibodies and Genmabs DuoBody Platform
technology.</t>
  </si>
  <si>
    <t xml:space="preserve">K3967W
5J2213</t>
  </si>
  <si>
    <t xml:space="preserve">Recordati SpA
Novartis AG</t>
  </si>
  <si>
    <t xml:space="preserve">Recordati Industria Chimica
e Farmaceutica SpA, located
in Milan, Italy,
manufactures and wholesales
pharmaceuticals and
pharmaceutical chemicals for
treatment of rheumatic
diseases, respiratory and
urinary tract infections,
cardiovascular diseases and
diabetes. It also provides
research and development
services for the
pharmaceutical industry. The
Company's product lines are
used for treatment of
diseases in various
therapeutic areas, such as
viral infections,
cardiovascular, central
nervous system,
dermatological,
gastroenteritis,
genitor-urinary system,
gynecology, muscolo-skeletal
disorders and pain therapy.
Research activities are
currently focusing on new
drugs for cardiovascular and
urinary tract areas. It
operates in the UK, Italy,
France, Germany, Portugal,
Spain and Greece and other
countries. The Company was
founded in 1926.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</si>
  <si>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FIMEI SpA
Novartis AG</t>
  </si>
  <si>
    <t xml:space="preserve">RECORDATI INDUSTRIA CHIMICA E FARMACEUTICA SPA/NOVARTIS AG-STRATEGIC
ALLIANCE</t>
  </si>
  <si>
    <t xml:space="preserve">Recordati Industria Chimica E Farmaceutica SpA and Novartis AG planned to
form a strategic alliance. The purpose of strategic alliance was to
Signifor and Signifor LAR for the treatment of Cushings disease and
acromegaly in adult patients for whom surgery is not an option or for whom
surgery has failed.</t>
  </si>
  <si>
    <t xml:space="preserve">75625T
66987V</t>
  </si>
  <si>
    <t xml:space="preserve">PDVSA
Pdvsa Intevep</t>
  </si>
  <si>
    <t xml:space="preserve">Crude Petroleum and Natural Gas Extraction
Pvd research, development svcs</t>
  </si>
  <si>
    <t xml:space="preserve">Petroleos de Venezuela SA
{PDVSA}, headquartered in
Caracas, Venezuela, is an
oil and gas exploration and
production company. It is
also a state-owned
corporation that focuses on
energy resources and
technology. The company was
founded in 1975.
Provide research and
development services located
in Venezuela.</t>
  </si>
  <si>
    <t xml:space="preserve">Venezuela
Venezuela</t>
  </si>
  <si>
    <t xml:space="preserve">Republic of Venezuela
Republic of Venezuela</t>
  </si>
  <si>
    <t xml:space="preserve">PETROLEOS DE VENEZUELA SA {PDVSA}/PDVSA INTEVEP-STRATEGIC ALLIANCE</t>
  </si>
  <si>
    <t xml:space="preserve">Petroleos de Venezuela SA {PDVSA} and Pdvsa Intevep formed a strategic
alliance. The purpose of strategic alliance was for the application of
MULTIGEL and ULTRAMIX technologies within the national territory.</t>
  </si>
  <si>
    <t xml:space="preserve">71690Q
46878Q</t>
  </si>
  <si>
    <t xml:space="preserve">Simulations Plus Inc
Fda Ctr For Veterinary</t>
  </si>
  <si>
    <t xml:space="preserve">Design,dvlp comp software
Veterinary Services</t>
  </si>
  <si>
    <t xml:space="preserve">Simulations Plus Inc,
located in Lancaster,
California, designs and
develops computer software.
The company develops series
of simulation software
products for the school,
home, and pharmaceutical
study markets. The company
offers four software
products for pharmaceutical
research: Admet
Predictor/Admet Modeler,
ClassPharmer, DDDplus, and
GastroPlus. It also develops
and sells interactive,
educational software
programs in highschool
science classes. It markets
its products in US,
Australia, New Zealand,
Canada, England, Norway,
Finland, The Netherlands,
France, Israel, Japan,
Korea, Mexico, and Malaysia.
The company was founded in
1996.
Fda Center For Veterinary
Medicine is a provider of
veterinary services. The
Company is located in the
United States.</t>
  </si>
  <si>
    <t xml:space="preserve">7372
0741</t>
  </si>
  <si>
    <t xml:space="preserve">SIMULATIONS PLUS INC/FDA CENTER FOR VETERINARY MEDICINE-STRATEGIC ALLIANCE</t>
  </si>
  <si>
    <t xml:space="preserve">Simulations Plus Inc and Fda Center For Veterinary Medicine formed a
strategic alliance.The purpose of the strategic alliance is to evaluate
alternative approaches for determining product bioequivalence (BE) for
locally-acting drugs in animals.</t>
  </si>
  <si>
    <t xml:space="preserve">829214
5J2645</t>
  </si>
  <si>
    <t xml:space="preserve">Catalent Biologics Inc
AveXis Inc</t>
  </si>
  <si>
    <t xml:space="preserve">Pharmaceutical Preparation Manufacturing
Manufactures pharmaceutical preparations</t>
  </si>
  <si>
    <t xml:space="preserve">Catalent Biologics Inc is a
manufacturer of
pharmaceutical preparation.
The Company is located in
Somerset, New Jersey.
AveXis Inc, located in
Bannockburn, Illinois,
manufactures pharmaceutical
preparations. It is clinical
stage gene therapy company
that develops and researches
treatments for neurological
genetic diseases. The
Company's AVXS-101, is its
gene therapy product
candidate that is in a Phase
I clinical trial for the
treatment of spinal muscular
atrophy (SMA) Type 1, which
is a genetic disorder
characterized by motor
neuron loss and associated
muscle deterioration. The
survival motor neuron (SMN)
is a protein for normal
motor neuron signaling and
function. Patients with SMA
Type 1 either have
experienced a deletion of
their SMN1 genes, which
prevents them from producing
adequate levels of
functional SMN protein, or
carry a mutation in their
SMN1 gene. AVXS-101 is
designed to deliver a
functional human SMN gene
into the nuclei of motor
neurons that then generates
an increase in SMN protein
levels. The Company was
founded in 2010.</t>
  </si>
  <si>
    <t xml:space="preserve">Catalent Inc
Novartis AG</t>
  </si>
  <si>
    <t xml:space="preserve">CATALENT BIOLOGICS INC/AVEXIS INC-STRATEGIC ALLIANCE</t>
  </si>
  <si>
    <t xml:space="preserve">Catalent Biologics Inc and AveXis Inc planned to form a strategic alliance
in United States for the development and manufacturing of Zolgensma for
spinal muscular atrophy.</t>
  </si>
  <si>
    <t xml:space="preserve">5J3037
05366U</t>
  </si>
  <si>
    <t xml:space="preserve">Rapid Dose Therapeutics Corp
Ukraine Pharma</t>
  </si>
  <si>
    <t xml:space="preserve">Rapid Dose Therapeutics Corp
is a manufacturer of
biological products. The
Company was founded in
February 2008 and is located
in Burlington, Canada.
Ukraine Pharma is a
manufacturer of
pharmaceutical preparation.
The Company is located in
Ukraine.</t>
  </si>
  <si>
    <t xml:space="preserve">Canada
Ukraine</t>
  </si>
  <si>
    <t xml:space="preserve">RAPID DOSE THERAPEUTICS CORP/UKRAINE PHARMA-STRATEGIC ALLIANCE</t>
  </si>
  <si>
    <t xml:space="preserve">Rapid Dose Therapeutics Corp and Ukraine Pharma formed a strategic
alliance. The purpose of strategic alliance was to export QuickStrip
nutraceutical products to Ukraine and a number of other Eastern European
countries, giving the Company rights to market the Energy, B12, and Sleep
QuickStrip nutraceutical products to a consumer base of over 200 million
people with tremendous buying power.</t>
  </si>
  <si>
    <t xml:space="preserve">004773
5J2642</t>
  </si>
  <si>
    <t xml:space="preserve">Zymeworks Inc
Celgene Corp</t>
  </si>
  <si>
    <t xml:space="preserve">Zymeworks Inc is a provider
of biotechnology research
and development services.
The company was founded in
2003 and is located in
Vancouver, Canada.
Celgene Corp, headquartered
in Summit, New Jersey, is a
biopharmaceutical company
engaged primarily in the
discovery, development and
commercialization of
innovative therapies for the
treatment of cancer and
inflammatory diseases
through next-generation
solutions in protein
homeostasis,
immuno-oncology, epigenetic,
immunology and
neuro-inflammation. The
Company's products include
REVLIMID (lealidomide),
POMALYST/IMNOVID
(pomalidomide), OTEZLA
(apremilast), ABRAXANE
(paclitaxel albumin-bound
particles for injectable
suspension), VIDAZA,
azacitidine for injection
and THALOMID (thalidomide).
Its operations also include
development of technology
for the recovery of stem
cells from human placental
tissues following the
completion of full-term,
successful pregnancies. The
Company was founded in 1986.</t>
  </si>
  <si>
    <t xml:space="preserve">ZYMEWORKS INC/CELGENE CORP-STRATEGIC ALLIANCE</t>
  </si>
  <si>
    <t xml:space="preserve">Zymeworks Inc and Celgene Corp planned to form a strategic alliance. The SA
was to have a cost of USD 7.5 million was to further development and
exercised its option to a commercial license under the companies 2014
Azymetric technology platform enables the rapid development of bispecific
and multifunctional therapeutics with broad potential for the treatment of
cancer, inflammation, and infectious disease.</t>
  </si>
  <si>
    <t xml:space="preserve">The strategic alliance was to have a estimated cost of USD 7.5 Mil.</t>
  </si>
  <si>
    <t xml:space="preserve">98985W
151020</t>
  </si>
  <si>
    <t xml:space="preserve">Matsumotokiyoshi Hldg Co Ltd
Lotus Food Grp</t>
  </si>
  <si>
    <t xml:space="preserve">Own,op drug stores,groceries
All Other Miscellaneous Food Manufacturing</t>
  </si>
  <si>
    <t xml:space="preserve">MatsumotoKiyoshi Holdings Co
Ltd, located in Matsudo-Shi
Chiba, Japan, is mainly
engaged in the operation of
chain stores and retail
business. The Retail segment
is engaged in the operation
of drug stores, insurance
pharmacies and home center
chain stores. The Wholesale
segment involves in the
wholesale of
pharmaceuticals, cosmetics
and daily goods, the
provision of commodities.
The Management Support
construction and renovation
of stores, the management
and supervision of group
companies and the
contracting of indirect
businesses, the operation of
non-life and life insurance
agency businesses, and the
distribution of newspaper
advertising fliers. The
Company was founded in 2007.
Lotus Food Group is a
manufacturer of foods. The
Company is located in
Vietnam.</t>
  </si>
  <si>
    <t xml:space="preserve">5912
2015</t>
  </si>
  <si>
    <t xml:space="preserve">Japan
Vietnam</t>
  </si>
  <si>
    <t xml:space="preserve">MATSUMOTOKIYOSHI HOLDINGS CO LTD/LOTUS FOOD GROUP-JOINT VENTURE</t>
  </si>
  <si>
    <t xml:space="preserve">MatsumotoKiyoshi Holdings Co Ltd and Lotus Food Group planned to form a
joint venture to develop and manage Matsumotokiyoshi cosmetics and
drugstore chain in Vietnam. The Joint Venture was to have a capitalization
of USD 1.36 mil (VND 31.5 Bil).</t>
  </si>
  <si>
    <t xml:space="preserve">The Joint Venture was to have a capitalization of USD 1.36 mil (VND 31.5
Bil).</t>
  </si>
  <si>
    <t xml:space="preserve">J41208
5J4929</t>
  </si>
  <si>
    <t xml:space="preserve">Hubrecht Organoid Technology
Epistem 2 Ltd</t>
  </si>
  <si>
    <t xml:space="preserve">Drugs and Druggists' Sundries Merchant Wholesalers
Research and Development in Biotechnology</t>
  </si>
  <si>
    <t xml:space="preserve">Hubrecht Organoid Technology
is a drugs wholesaler. The
Company was founded in 1970
and is located in Utrecht,
the Netherlands.
Epistem 2 Ltd is a provider
of biotechnology research
and development services.
The Company was founded in
October 2017 and is located
in Manchester, the United
Kingdom.</t>
  </si>
  <si>
    <t xml:space="preserve">HUBRECHT ORGANOID TECHNOLOGY/EPISTEM 2 LTD-STRATEGIC ALLIANCE</t>
  </si>
  <si>
    <t xml:space="preserve">Hubrecht Organoid Technology and Epistem 2 Ltd formed a strategic alliance
was to expand pre-clinical toxicology service portfolio and enable the
delivery of an increased range of multi species organoid models. Services
are focused on the identification of off target or off tissue intestinal
toxicities associated with various therapeutics.</t>
  </si>
  <si>
    <t xml:space="preserve">2J3423
4H3075</t>
  </si>
  <si>
    <t xml:space="preserve">Sosei Group Corp
Genentech Inc</t>
  </si>
  <si>
    <t xml:space="preserve">Sosei Group Corp, located in
Tokyo, Japan, is primarily
engaged in the
biopharmaceutical business.
The pharmaceutical business
is engaged in the research,
development and sales of
medicines, the management of
regenerative medical funds,
the investment in bio
venture companies related to
regenerative medicine, the
overseas development by
licensing, the promotion of
commercialization, the
structural analysis of GPCR,
the initial lead compound
creation, the candidate
search by proprietary StaR
technology, as well as
structural base of new drugs
using GPCR related basic
technology drug discovery,
screening, promotion of
antibody drug research and
development. The company was
founded in 1990.
Genentech Inc, located in
South San Francisco,
California, manufactures
pharmaceuticals. It
discovers, develops,
manufactures and
commercializes
biotherapeutics. It markets
Avastin for treating
metastatic cancer of the
colon or rectum and
metastatic non-squamous
non-small cell lung cancer.
The Company also
commercialized Rituxan to
treat B-cell non-Hodgkin's
lymphoma, Herceptin for
treating node-positive
breast cancer, Lucentis to
treat neovascular
age-related macular
degeneration, Xolair for
adults with asthma, Tarceva
for the treatment of
metastatic non-small cell
lung cancer and Nutropin and
Nutropin AQ growth hormone
products. The Company was
founded in 1976.</t>
  </si>
  <si>
    <t xml:space="preserve">Sosei Group Corp
Roche Holdings AG</t>
  </si>
  <si>
    <t xml:space="preserve">SOSEI GROUP CORP/GENENTECH INC-STRATEGIC ALLIANCE</t>
  </si>
  <si>
    <t xml:space="preserve">Sosei Group Corp and Genentech Inc formed a strategic alliance.The purpose
of the strategic alliance is to combine the proprietary GPCR-focused
structure-based drug design capabilities at Sosei Heptares with Genentech's
discovery, development and therapeutic area expertise directed towards
multiple GPCR targets nominated by Genentech.</t>
  </si>
  <si>
    <t xml:space="preserve">83678Y
368710</t>
  </si>
  <si>
    <t xml:space="preserve">X4 Pharmaceuticals Inc
Abbisko Therapeutics Co Ltd</t>
  </si>
  <si>
    <t xml:space="preserve">X4 Pharmaceuticals Inc,
located in Cambridge,
Massachusetts, manufactures
novel therapeutic products.
It is a clinical-stage
biotechnology company that
is engaged in developing
chemokine (C-X-C motif)
receptor 4 (CXCR4) inhibitor
drugs to improve immune cell
trafficking and increasing
the ability for T-cells to
track and destroy cancer.
X4P-001 is the Company's
lead drug candidate for the
treatment of refractory
clear cell renal cell
carcinoma (ccRCC). X4P-001
is a CXCR4 inhibitor
designed to block
non-cancerous
immunosuppressive and
pro-angiogenic cells from
populating the tumor
microenvironment, thereby
restoring anti-tumor immune
function. The Company's
oral small molecule drug
candidates inhibit the CXCR4
receptor, which plays a
central role in promoting
the immunosuppressive and
pro-angiogenic
microenvironment of various
cancers. The Company's
second program, X4P-002, is
in pre-clinical development
for oncology applications.
X4P-002 is a series of late
lead molecules that
antagonize CXCR4 and
penetrate the blood brain
barrier. The Company was
founded in 2010.
Abbisko Therapeutics Co Ltd
is a manufacturer of
biological products. The
Company discovers, develop,
and manufactures
immuno-oncology therapies.
The Company was founded in
April 2016 and is located in
Pudong, China.</t>
  </si>
  <si>
    <t xml:space="preserve">X4 PHARMACEUTICALS INC/ABBISKO THERAPEUTICS CO LTD-STRATEGIC ALLIANCE</t>
  </si>
  <si>
    <t xml:space="preserve">X4 Pharmaceuticals Inc and Abbisko Therapeutics Co Ltd formed a strategic
alliance to develop and commercialize X4's product candidate, mavorixafor,
in combination with checkpoint inhibitors or other agents in Greater China
for oncology indications.</t>
  </si>
  <si>
    <t xml:space="preserve">98420X
5J3045</t>
  </si>
  <si>
    <t xml:space="preserve">Boehringer Ingelheim GmbH
Bridge Biotherapeutics Inc</t>
  </si>
  <si>
    <t xml:space="preserve">Boehringer Ingelheim GmbH,
located in Ingelheim,
Germany, manufactures and
develops prescription
pharmaceuticals for human
and animals. It operates
through its business units,
namely Prescription
Medicine, Animal Health, and
Biopharma. Its
pharmaceutical products for
human includes prescription
medicine for cardiovascular,
oncology, respiratory,
central nervous system,
metabolic diseases,
immunology and retinal
health. Its animal health
business unit covers
prescription for companion
animals, and livestock. Its
Biopharma unit gives
contract development and
manufacturing services to
the biopharmaceutical
industry. It operates
globally with 143 affiliates
in 47 countries. The Company
was founded in 1885.
Bridge Biotherapeutics Inc
is a provider of
biotechnology research and
development services. The
Company was founded in
September 2015 and is
located in Seongnam, South
Korea.</t>
  </si>
  <si>
    <t xml:space="preserve">Laboratorios Sanfer SA de CV
Bridge Biotherapeutics Inc</t>
  </si>
  <si>
    <t xml:space="preserve">Mexico
South Korea</t>
  </si>
  <si>
    <t xml:space="preserve">BOEHRINGER INGELHEIM GMBH/BRIDGE BIOTHERAPEUTICS INC-STRATEGIC ALLIANCE</t>
  </si>
  <si>
    <t xml:space="preserve">Boehringer Ingelheim GmbH and Bridge Biotherapeutics Inc formed a strategic
alliance. for developing Bridge Biotherapeuticss autotaxin inhibitor
BBT-877 for patients with fibrosing interstitial lung diseases, including
IPF.</t>
  </si>
  <si>
    <t xml:space="preserve">09710W
9H8772</t>
  </si>
  <si>
    <t xml:space="preserve">PEPDesign SIA
NUMAFERM GmbH</t>
  </si>
  <si>
    <t xml:space="preserve">Research and Development in Biotechnology
Medicinal and Botanical Manufacturing</t>
  </si>
  <si>
    <t xml:space="preserve">PEPDesign SIA is a provider
of biotechnology research
and development services.
The Company was founded in
January 2019 and is located
in Tukums, Latvia.
NUMAFERM GmbH is a
manufacturer of peptides in
E.coli. Its manufacturing
process is based on a
microorganism that converts
simple nutrients to
peptides. The Company was
founded in 2017 and is
located in Duesseldorf,
Germany.</t>
  </si>
  <si>
    <t xml:space="preserve">Latvia
Germany</t>
  </si>
  <si>
    <t xml:space="preserve">PEPDESIGN SIA/NUMAFERM GMBH-STRATEGIC ALLIANCE</t>
  </si>
  <si>
    <t xml:space="preserve">PEPDesign SIA and NUMAFERM GmbH formed a strategic alliance. for unique
manufacturing process for peptides.</t>
  </si>
  <si>
    <t xml:space="preserve">5J4943
8F4953</t>
  </si>
  <si>
    <t xml:space="preserve">NewLeaf Symbiotics Inc
Joyn Bio Llc</t>
  </si>
  <si>
    <t xml:space="preserve">NewLeaf Symbiotics Inc,
located in St Louis, Missouri,
is a biotechnology company
engaged in research and
product development using a
naturally occurring family of
beneficial plant bacteria. The
company was founded in 2012.
Joyn Bio LLC is a provider
of biotechnology research
and development services.
The Company is located in
Boston, Massachusetts.</t>
  </si>
  <si>
    <t xml:space="preserve">NewLeaf Symbiotics Inc
Ginkgo Bioworks Inc</t>
  </si>
  <si>
    <t xml:space="preserve">NEWLEAF SYMBIOTICS INC/JOYN BIO LLC-STRATEGIC ALLIANCE</t>
  </si>
  <si>
    <t xml:space="preserve">NewLeaf Symbiotics Inc and Joyn Bio LLC formed a strategic alliance was to
access NewLeaf's collection of proprietary strains of plant-colonizing
microbes and engineer the microbes to provide farmers with disease and pest
control offerings that reduce the use of chemicals.</t>
  </si>
  <si>
    <t xml:space="preserve">7A6672
5J4022</t>
  </si>
  <si>
    <t xml:space="preserve">Glovebox Llc
Safeco Ins</t>
  </si>
  <si>
    <t xml:space="preserve">Insurance Agencies and Brokerages
Insurance Agency</t>
  </si>
  <si>
    <t xml:space="preserve">Glovebox LLC is an insurance
agency. The Company was
founded in 2018 and is
located in Denver, Colorado.
GloveBox is the first of its
kind centralized mobile and
web application allowing
insurance policy holders to
access their policy
documents, pay a bill,
initiate a claim and so much
more regardless of which
carrier their policies are
written with. The goal of
GloveBox is to enhance the
customer experience for the
insurance client while
reducing service costs and
increasing overhead for both
agencies and carriers.
Safeco Insurance is an
insurance agency. The
Company is located in
Seattle, Washington.</t>
  </si>
  <si>
    <t xml:space="preserve">6411
6411</t>
  </si>
  <si>
    <t xml:space="preserve">CO
WA</t>
  </si>
  <si>
    <t xml:space="preserve">Glovebox Llc
Liberty Mutual Holding Co Inc</t>
  </si>
  <si>
    <t xml:space="preserve">6411
6311</t>
  </si>
  <si>
    <t xml:space="preserve">GLOVEBOX LLC/SAFECO INSURANCE-STRATEGIC ALLIANCE</t>
  </si>
  <si>
    <t xml:space="preserve">Washington
Colorado</t>
  </si>
  <si>
    <t xml:space="preserve">Glovebox LLC and Safeco Insurance formed a strategic alliance. The purpose
of strategic alliance is to allow Safeco Insurance's clients to use
GloveBox to view their insurance documents on their smartphones.</t>
  </si>
  <si>
    <t xml:space="preserve">Insurance Services
Research &amp; Development Services</t>
  </si>
  <si>
    <t xml:space="preserve">5J4333
2H5012</t>
  </si>
  <si>
    <t xml:space="preserve">Bioxytran Inc
Avise Analytics Pvt Ltd</t>
  </si>
  <si>
    <t xml:space="preserve">Manufactures biological products
Other Management Consulting Services</t>
  </si>
  <si>
    <t xml:space="preserve">Bioxytran Inc, located in
Newton, Massachusetts,
manufactures biological
products.
Avise Analytics Pvt Ltd is a
provider of management
consulting services. The
Company was founded in 2012
and is located in Atlanta,
Georgia.</t>
  </si>
  <si>
    <t xml:space="preserve">US Rare Earth Minerals Inc
Avise Analytics Pvt Ltd</t>
  </si>
  <si>
    <t xml:space="preserve">5191
8748</t>
  </si>
  <si>
    <t xml:space="preserve">BIOXYTRAN INC/AVISE ANALYTICS PVT LTD-STRATEGIC ALLIANCE</t>
  </si>
  <si>
    <t xml:space="preserve">Bioxytran Inc and Avise Analytics Pvt Ltd planned to form a strategic
alliance. to initiate coverage on Bioxtytran.</t>
  </si>
  <si>
    <t xml:space="preserve">7H1122
5J5223</t>
  </si>
  <si>
    <t xml:space="preserve">Ncondezi Energy Ltd
China Mach Engineering Corp
Gen Elec (Switzerland) Gmbh</t>
  </si>
  <si>
    <t xml:space="preserve">Bituminous Coal and Lignite Surface Mining
Other Heavy and Civil Engineering Construction
Pvd power generation svcs</t>
  </si>
  <si>
    <t xml:space="preserve">Ncondezi Energy Ltd is a
bituminous coal mine
operator. The Company is
located in Road Town, the
British Virgin Islands.
China Machinery Engineering
Corp is a civil engineering
construction company. The
Company was founded in 1978
and is located in Beijing,
China.
General Electric
(Switzerland) GmbH is an
electric power generation
facility operator. The
Company is located in Baden,
Switzerland.</t>
  </si>
  <si>
    <t xml:space="preserve">1221
1629
4911</t>
  </si>
  <si>
    <t xml:space="preserve">British Virgin
China
Switzerland</t>
  </si>
  <si>
    <t xml:space="preserve">Ncondezi Energy Ltd
China Natl Mach Ind Corp
General Electric Co</t>
  </si>
  <si>
    <t xml:space="preserve">British Virgin
China
United States</t>
  </si>
  <si>
    <t xml:space="preserve">1221
3569
3612</t>
  </si>
  <si>
    <t xml:space="preserve">NCONDEZI ENERGY LTD/CHINA MACHINERY ENGINEERING CORP/GENERAL ELECTRIC
(SWITZERLAND) GMBH-STRATEGIC ALLIANCE</t>
  </si>
  <si>
    <t xml:space="preserve">Ncondezi Energy Ltd, China Machinery Engineering Corp and General Electric
(Switzerland) GmbH formed a strategic alliance. The purpose of strategic
alliance is to co-develop and construct the integrated Ncondezi 300MW coal
fired power project and coal mine in Tete, Mozambique (the "Project").</t>
  </si>
  <si>
    <t xml:space="preserve">Research &amp; Development Services
Construction Services
Mining Services
Electric Utility Services</t>
  </si>
  <si>
    <t xml:space="preserve">7A5486
55135T
9H7303</t>
  </si>
  <si>
    <t xml:space="preserve">MediTechnix Inc
Clinical Research Stratges LLC</t>
  </si>
  <si>
    <t xml:space="preserve">All Other Miscellaneous Ambulatory Health Care Services
Biological Product (Except Diagnostic) Manufacturing</t>
  </si>
  <si>
    <t xml:space="preserve">MediTechnix Inc is a
provider of ambulatory
health care services. The
Company was founded in 2010
and is located in
Pittsburgh, Pennsylvania.
Clinical Research Strategies
LLC is a manufacturer of
biological products. The
Company was founded in 2011
and is located in Delaware.</t>
  </si>
  <si>
    <t xml:space="preserve">MEDITECHNIX INC/CLINICAL RESEARCH STRATEGIES LLC-STRATEGIC ALLIANCE</t>
  </si>
  <si>
    <t xml:space="preserve">MediTechnix Inc and Clinical Research Strategies LLC planned to form a
strategic alliance in United States to address life sciences pursuit of
combination drug or device with digital health, digital therapeutics,
blockchain, and software as a medical device platform in clinical
development.</t>
  </si>
  <si>
    <t xml:space="preserve">5J4076
5J4080</t>
  </si>
  <si>
    <t xml:space="preserve">Lallemand S.A.S
Icc</t>
  </si>
  <si>
    <t xml:space="preserve">Other Animal Food Manufacturing
Research and Development in Biotechnology</t>
  </si>
  <si>
    <t xml:space="preserve">Lallemand S.A.S is a
manufacturer of animal
foods. The Company was
founded in 1970 and is
located in Aparecida de
Goiania, Brazil.
Icc is a provider of
biotechnology research and
development services. The
Company is located in Sao
Paulo, Brazil.</t>
  </si>
  <si>
    <t xml:space="preserve">Lallemand Inc
Icc</t>
  </si>
  <si>
    <t xml:space="preserve">2099
8731</t>
  </si>
  <si>
    <t xml:space="preserve">LALLEMAND S.A.S/ICC-STRATEGIC ALLIANCE</t>
  </si>
  <si>
    <t xml:space="preserve">Lallemand S.A.S and Icc formed a strategic alliance was to for the
research, development, and supply of inactive yeast products and
derivatives derived from sugar cane ethanol .</t>
  </si>
  <si>
    <t xml:space="preserve">5J4399
5J4401</t>
  </si>
  <si>
    <t xml:space="preserve">Algolux  Inc
Mila Quebec Ai Institute</t>
  </si>
  <si>
    <t xml:space="preserve">Custom Computer Programming Services
Research and Development in The Physical, Engineering and Lifesciences (Except Biotechnology)</t>
  </si>
  <si>
    <t xml:space="preserve">Algolux Inc, located in
Montreal, Canada, which
develops imaging algorithms.
The Company specializes in
computational imaging,
intersection of photography,
image processing, computer
vision and graphics. The
Companys technology offers
Computationally
Reconfigurable Image Signal
Platform (CRISP) imaging
platform, which offers image
processing for cameras. Its
sample applications include
deblurring, denoising and
red green blue-infrared
(RGB-IR) crosstalk
reduction. The Company
offers CRISP, a software
Internet service provider
(ISP) which provides images
and adapts to new optics,
new sensors and new
applications. Its new optics
include stereo cameras,
array cameras, lenslet
arrays, light-field cameras,
optical masks and
coded-aperture. Its new
sensors include RGB-IR, new
bayer filters, multispectral
imaging and medical scoping.
Its new applications include
images captured in
low-light, depth-mapping and
three-dimensional, and
refocus capabilities.
MILA Quebec AI Institute is
a provider of research and
development services. The
Company is located in
Montreal, Canada.</t>
  </si>
  <si>
    <t xml:space="preserve">7371
8731</t>
  </si>
  <si>
    <t xml:space="preserve">ALGOLUX INC/MILA QUEBEC AI INSTITUTE-STRATEGIC ALLIANCE</t>
  </si>
  <si>
    <t xml:space="preserve">Algolux Inc and Mila Quebec Ai Institute formed a strategic alliance in
Canada to enter into artificial intelligence research partnership for
computer vision. Algolux and Mila will collaborate on research and talent
development initiatives exploring deep learning techniques to advance the
state-of-the-art in computer vision accuracy and robustness, sensor fusion,
and computational imaging.</t>
  </si>
  <si>
    <t xml:space="preserve">4H1216
5J5813</t>
  </si>
  <si>
    <t xml:space="preserve">Exscientia Ltd
Rallybio LLC</t>
  </si>
  <si>
    <t xml:space="preserve">In-Vitro Diagnostic Substance Manufacturing
Pharmaceutical Preparation Manufacturing</t>
  </si>
  <si>
    <t xml:space="preserve">Exscientia Ltd is a
manufacturer of in-vitro
diagnostic substances. It
focused on Artificial
Intelligence ("AI")-driven
drug discovery and design..
The Company was founded in
July 2012 and is located in
Dundee, the United Kingdom.
Rallybio LLC, located in New
Haven, Connecticut, is a
biopharmaceutical company
focusing on the development
of life-transforming
therapies for patients with
severe and rare disorders.
Through its RLYB211 product,
it prevents life-threatening
rare disease that can cause
uncontrolled bleeding in
fetuses and newborns.</t>
  </si>
  <si>
    <t xml:space="preserve">EXSCIENTIA LTD/RALLYBIO LLC-JOINT VENTURE</t>
  </si>
  <si>
    <t xml:space="preserve">Exscientia Ltd and Rallybio LLC planned to form joint venture. The purpose
of joint venture is combine Exscientia's AI drug discovery platform with
Rallybio's expertise in rare disease drug development to accelerate the
discovery of small molecule drug therapeutics for undisclosed rare disease
indications.</t>
  </si>
  <si>
    <t xml:space="preserve">4C8826
5J4958</t>
  </si>
  <si>
    <t xml:space="preserve">Tuya Inc
Cosmic Tech Inc
Skyworth Digital Holdings Ltd</t>
  </si>
  <si>
    <t xml:space="preserve">Internet Publishing and Broadcasting and Web Search Portals
Radio and Television Broadcasting and Wireless Communications Equipment Manufacturing
Mnfr,whl electn prod</t>
  </si>
  <si>
    <t xml:space="preserve">Tuya Inc is an internet
portal operator. The Company
is located in San Jose,
California.Tuya is a global
"AI+IoT" developer platform,
and the world's leading
voice AI interactive
platform, connecting
consumers, manufacturing
brands, OEMs and retail
chains, providing customers
with a one-stop artificial
intelligence Internet of
Things solution, and
covering hardware access,
cloud services and App
development, forming a
closed loop of AI +
manufacturing, providing
technology and business
model upgrade services for
business with consumer IoT
smart devices, in order to
meet consumers' higher
demands for hardware
products.
Cosmic Technologies Inc is a
manufacturer of wireless
communications equipment.
The Company is located in
Manila, the Philippines.
Skyworth Digital Holdings
Ltd is a manufacturer of
electronic components. The
Company was founded in 1988
and is located in Shenzhen,
China.</t>
  </si>
  <si>
    <t xml:space="preserve">2711
3663
3679</t>
  </si>
  <si>
    <t xml:space="preserve">United States
Philippines
China</t>
  </si>
  <si>
    <t xml:space="preserve">TUYA INC/COSMIC TECHNOLOGIES INC/SKYWORTH DIGITAL HOLDINGS LTD-STRATEGIC
ALLIANCE</t>
  </si>
  <si>
    <t xml:space="preserve">Tuya Inc, Cosmic Technologies Inc and Skyworth Digital Holdings Ltd planned
to form a strategic alliance. The purpose of startegic alliance is to speed
up the development of the IoT market in Southeast Asia .</t>
  </si>
  <si>
    <t xml:space="preserve">5J3275
5J4990
83088L</t>
  </si>
  <si>
    <t xml:space="preserve">LifeAssays AB
Abreos Biosciences Inc</t>
  </si>
  <si>
    <t xml:space="preserve">LifeAssays AB is a
diagnostic company. The
Company was founded in 2000
and is located in Lund,
Sweden. It is engaged in the
provision of in-house
diagnostic testing for
community health centers and
physicians, as well as for
home use and veterinary
applications. The Company
develops and markets
point-of-care testing (POCT)
instruments and technology
for the diagnosis of
diabetes, renal dysfunction
and cardiovascular diseases.
The Companys business
portfolio comprises such
products, as LifeAssays
Canine CRP Test Kit, which
monitors inflammation in
dogs for early disease
intervention; LifeAssays CRP
Test Kit, which is a reagent
kit for high-sensitive
C-Reactive Protein (hsCRP)
and normal range C-Reactive
Protein (CRP) in whole
blood; LifeAssays Reader,
which utilizes a disposable
algorithm chip containing
all reagent identification
data, as well as, a
self-executable algorithm;
and LifeAssays Vet Reader,
which offers veterinary
practitioners all the
functions provided with the
LifeAssays Reader.
Abreos Biosciences Inc. is a
United States-based
diagnostics company, which
offers a portfolio of
dose-monitoring solutions.
The Company is engaged in
developing laboratory-based
and point-of-care tests for
precision dosing of biologic
drugs. It offers a reagent
platform, Veritopes that is
developed based on peptide
mimetopes, which detects a
given biologic or biosimilar
drug by mimicking the
natural target, including
cell membrane bound
proteins. The Companys
Veritope tests allow for
direct monitoring of blood
concentrations of monoclonal
antibody drugs to enable
personalized dosing of
patients. Its reagents and
assays are customizable and
can be developed for the
detection of any biologic
drug in a range of formats,
including lateral flow and
enzyme linked immunosorbent
assay (ELISA). The Company
is also developing
laboratory developed
testings (LDTs) for other
monoclonal antibody (mAb)
drugs used in oncology and
autoimmune diseases.</t>
  </si>
  <si>
    <t xml:space="preserve">LIFEASSAYS AB/ABREOS BIOSCIENCES INC-JOINT VENTURE</t>
  </si>
  <si>
    <t xml:space="preserve">LifeAssays AB and Abreos Biosciences Inc planned to form joint venture to
focus on the human part.</t>
  </si>
  <si>
    <t xml:space="preserve">53187M
0J5637</t>
  </si>
  <si>
    <t xml:space="preserve">Sharecare Inc
Yale School Of Medicine</t>
  </si>
  <si>
    <t xml:space="preserve">Software Publishers
Colleges, Universities, and Professional Schools</t>
  </si>
  <si>
    <t xml:space="preserve">Sharecare Inc, located in
Atlanta, Georgia, provides
interactive healthcare
services platform that offer
health and wellness platform
to doctors, specialist,
hospitals, healthcare
companies, and
health-conscious consumers.
It also allows for
interaction between medical
experts and consumers with a
platform for addressing
concerns. The Company was
founded in 2009.
Yale School Of Medicine is a
college operator. The
Company was founded in 1970
and is located in New Haven,
Connecticut.</t>
  </si>
  <si>
    <t xml:space="preserve">SHARECARE INC/YALE SCHOOL OF MEDICINE-STRATEGIC ALLIANCE</t>
  </si>
  <si>
    <t xml:space="preserve">Sharecare Inc and Yale School Of Medicine planned to form a strategic
alliance to integrate 3d virtual lab training into physician assistant
online program curriculum.</t>
  </si>
  <si>
    <t xml:space="preserve">81525R
5J5954</t>
  </si>
  <si>
    <t xml:space="preserve">Biological E Ltd
GVK Biosciences Pvt Ltd</t>
  </si>
  <si>
    <t xml:space="preserve">Mnfr pharm,biological prods
Pvd contract research svcs</t>
  </si>
  <si>
    <t xml:space="preserve">Biological E Ltd, located in
Hyderabad, India,
manufactures pharmaceutical
and biological products.
Some products of the company
are: vaccines;
anti-infectives; analgesics;
anticoagulants and others.
The comapny was previously
known as Biological Products
Pvt Ltd. The company was
founded in 1953.
GVK Biosciences Pvt Ltd,
located in Hyderabad, India,
provides contract research
services to a growing global
base of pharmaceutical and
biotechnology companies. Its
main services include
informatics, chemistry,
clinical pharmacology,
process R&amp;D, clinical
research, and biology,
servicing 15 of the top 20
global Big Pharma companies.
The company was founded in
2001.</t>
  </si>
  <si>
    <t xml:space="preserve">Biological E Ltd
GVK Group Ltd</t>
  </si>
  <si>
    <t xml:space="preserve">2834
1541</t>
  </si>
  <si>
    <t xml:space="preserve">BIOLOGICAL E LTD/GVK BIOSCIENCES PVT LTD-STRATEGIC ALLIANCE</t>
  </si>
  <si>
    <t xml:space="preserve">Biological E Ltd and GVK Biosciences Pvt Ltd planned to form a strategic
alliance was to drug product development and successful regulatory
submissions and marketing authorizations for the products in the US, Europe
and RoW markets.</t>
  </si>
  <si>
    <t xml:space="preserve">09300P
36068C</t>
  </si>
  <si>
    <t xml:space="preserve">Vertex Energy Inc
Tensile Capital Management LLC</t>
  </si>
  <si>
    <t xml:space="preserve">Pvd waste mgmt,disposal svcs
Miscellaneous Intermediation</t>
  </si>
  <si>
    <t xml:space="preserve">Vertex Energy Inc, located in
Houston, Texas, provides waste
management and disposal
services by aggregation,
recycling and processing of
distressed hydrocarbon
streams. The company has
offices located in Georgia and
California. It was founded in
2001.
Tensile Capital Management
LLC, based in San Francisco,
California, is an investment
company. It is focused on
making long-term investments
in private and public
companies. Tensile invests
in high quality businesses
assisting strong management
teams with their strategic
growth plans, offering
stability through a
partnership horizon of up to
ten years. Tensile currently
manages a portfolio of
assets worth approximately
$600 million.</t>
  </si>
  <si>
    <t xml:space="preserve">4953
6799</t>
  </si>
  <si>
    <t xml:space="preserve">VERTEX ENERGY INC/TENSILE CAPITAL MANAGEMENT LLC-JOINT VENTURE</t>
  </si>
  <si>
    <t xml:space="preserve">Vertex Energy Inc and Tensile Capital Management LLC formed a 35:65 joint
venture for accelerating the full development of the Company's Heartland
base oil refinery located in Ohio, United States.</t>
  </si>
  <si>
    <t xml:space="preserve">92534K
6C0099</t>
  </si>
  <si>
    <t xml:space="preserve">Gevo Inc
Locus Agricultural Solutions</t>
  </si>
  <si>
    <t xml:space="preserve">Mnfr,develop bio-products
Research and Development in Biotechnology</t>
  </si>
  <si>
    <t xml:space="preserve">Gevo Inc, located in
Englewood, Colorado,
manufactures and develops
bio-products for
transportation fuel and
chemical industries. It
develops a technology to
convert sugar derived from
biomass into alcohols and
hydrocarbons. It was founded
in 2005.
Locus Agricultural Solutions
is a provider of
biotechnology research and
development services. The
Company is located in Solon,
Ohio.</t>
  </si>
  <si>
    <t xml:space="preserve">GEVO INC/LOCUS AGRICULTURAL SOLUTIONS-STRATEGIC ALLIANCE</t>
  </si>
  <si>
    <t xml:space="preserve">Gevo Inc and Locus Agricultural Solutions planned to form a strategic
alliance was to improve capture of soil carbon, reduce applied nitrogen
fertilizer needs and improve yield.</t>
  </si>
  <si>
    <t xml:space="preserve">374396
5J6168</t>
  </si>
  <si>
    <t xml:space="preserve">Trivitron Healthcare Pvt Ltd
Centre For Cellular And</t>
  </si>
  <si>
    <t xml:space="preserve">Manufactures, wholesales medical equipment
Research and Development in Biotechnology</t>
  </si>
  <si>
    <t xml:space="preserve">Trivitron Healthcare Pvt Ltd
is a manufacturer of
navigational, measuring,
electromedical and control
instruments. It manufactures
and wholesales medical
equipment and related
surgical instruments &amp;
apparatus. It operates in 6
core business areas namely
Diagnostics, Imaging,
Critical Care, Renal Care,
MIS &amp; OR, Neurology.The
Company was founded in 1997
and is located in Chennai,
India.
Centre For Cellular And
Mollecular Platforms is a
provider of biotechnology
research and development
services. The Company was
founded in January 2010 and
is located in Bangalore,
India.</t>
  </si>
  <si>
    <t xml:space="preserve">TRIVITRON HEALTHCARE PVT LTD/CENTRE FOR CELLULAR AND MOLLECULAR
PLATFORMS-STRATEGIC ALLIANCE</t>
  </si>
  <si>
    <t xml:space="preserve">Trivitron Healthcare Pvt Ltd and Centre For Cellular And Mollecular
Platforms planned to form a strategic alliance for the co-development of
world-class healthcare technologies completely indigenously under "Joint
Intellectual Properties" (i.e. product and process patents and know-how).</t>
  </si>
  <si>
    <t xml:space="preserve">89718X
5J6547</t>
  </si>
  <si>
    <t xml:space="preserve">I-Mab Biopharma (Shanghai) Co
TRACON Pharmaceuticals Inc</t>
  </si>
  <si>
    <t xml:space="preserve">I-Mab Biopharma is a
manufacturer of biological
products. The Company is
located in China. District,
China.
TRACON Pharmaceuticals Inc
is a manufacturer of
biological products. It
focuses on the development
of novel targeted
therapeutics for cancer,
age-related macular
degeneration, or AMD, and
fibrotic diseases. The
Company was founded in
October 2004 and is located
in San Diego, California.</t>
  </si>
  <si>
    <t xml:space="preserve">I-MAB BIOPHARMA (SHANGHAI) CO LTD/TRACON PHARMACEUTICALS INC-STRATEGIC
ALLIANCE</t>
  </si>
  <si>
    <t xml:space="preserve">I-Mab Biopharma (Shanghai) Co Ltd and TRACON Pharmaceuticals Inc planned to
form a strategic alliance. The purpose of strategic alliance is for the
development and commercialization of novel targeted therapeutics for
cancer.</t>
  </si>
  <si>
    <t xml:space="preserve">5H3410
89237H</t>
  </si>
  <si>
    <t xml:space="preserve">Ul LLC
Safetraces Inc</t>
  </si>
  <si>
    <t xml:space="preserve">Provides product safety test services
Research and Development in Biotechnology</t>
  </si>
  <si>
    <t xml:space="preserve">UL LLC, located in
Northbrook, Illinois,
provides product safety test
services. The company's key
areas of interest are
Certification Bodies,
Management Systems
Certifications, About Dqs.
The Company was founded in
1894.
SafeTraces Inc is a United
States-based company, which
is engaged in developing
food safety solutions. The
Company's solutions include
on-food source assurance,
on-site sanitation
verification and on-the-spot
purity verification. Its
on-food source assurance
solution is used for fresh
produce, protein and
processed foods, among
others. Its on-site
sanitation verification
solution is used for leafy
greens and fresh produce.
Its on-the-spot purity
verification solution is
used for liquid and dry
foods. The SafeTraces
on-food safety solutions use
SafeTracers technology.
SafeTracers enables
producers, processors and
retailers in food source and
safety assurance.
SafeTracers technology
provides features, such as
using in sanitation and
produce wash systems;
applying with standard
coating steps or as
ingredient; recovering and
testing with handheld
device; verifying process
and safety of finished
product, and cloud-based
data retention for food
safety throughout the supply
chain.</t>
  </si>
  <si>
    <t xml:space="preserve">Underwriters Laboratories Inc
Safetraces Inc</t>
  </si>
  <si>
    <t xml:space="preserve">UL LLC/SAFETRACES INC-STRATEGIC ALLIANCE</t>
  </si>
  <si>
    <t xml:space="preserve">Ul LLC and Safetraces Inc planned to form a strategic alliance to launch a
ground-breaking traceability solution, combining SafeTraces
state-of-the-art, DNA-based traceability solutions and UL's scientific
leadership and trusted supply chain verification capabilities.</t>
  </si>
  <si>
    <t xml:space="preserve">93641Y
7H6186</t>
  </si>
  <si>
    <t xml:space="preserve">Elixinol LLC
PharmaCare Laboratories Ltd</t>
  </si>
  <si>
    <t xml:space="preserve">Drugs and Druggists' Sundries Merchant Wholesalers
Mnfr pharm</t>
  </si>
  <si>
    <t xml:space="preserve">Elixinol LLC is a drugs
wholesaler. The Company was
founded in 2014 and is
located in Broomfield,
Colorado.
PharmaCare Laboratories Ltd
is a manufacturer of
pharmaceutical preparation.
The Company was founded in
1985 and is located in
Warriewood, Australia.</t>
  </si>
  <si>
    <t xml:space="preserve">Raw With Life Pty Ltd
PharmaCare Laboratories Ltd</t>
  </si>
  <si>
    <t xml:space="preserve">6282
2834</t>
  </si>
  <si>
    <t xml:space="preserve">ELIXINOL LLC/PHARMACARE LABORATORIES LTD-STRATEGIC ALLIANCE</t>
  </si>
  <si>
    <t xml:space="preserve">Elixinol LLC and PharmaCare Laboratories Ltd planned to form a strategic
alliance was to Release New Hemp CBD Capsules and Leading Hemp-Derived CBD
Brand and one of Europes Largest Health &amp; Wellness Companies Create
Groundbreaking Co-branded CBD Capsules.</t>
  </si>
  <si>
    <t xml:space="preserve">2J9545
71628J</t>
  </si>
  <si>
    <t xml:space="preserve">Eckert &amp; Ziegler AG-Blood
Tcl Healthcare Equip</t>
  </si>
  <si>
    <t xml:space="preserve">Mnfr radioactive components
Medical Laboratories</t>
  </si>
  <si>
    <t xml:space="preserve">Blood irradiation systems
business of Eckert &amp; Ziegler
AG, located in Berlin,
Germany.
Tcl Healthcare Equipment
(Shanghai) Co Ltd is a
medical laboratory operator.
The Company is located in
Shanghai, China.</t>
  </si>
  <si>
    <t xml:space="preserve">Eckert &amp; Ziegler
Tcl Healthcare Equip</t>
  </si>
  <si>
    <t xml:space="preserve">2819
8071</t>
  </si>
  <si>
    <t xml:space="preserve">ECKERT &amp; ZIEGLER AG-BLOOD IRRADIATION SYSTEMS BUSINESS/TCL HEALTHCARE
EQUIPMENT (SHANGHAI) CO LTD-JOINT VENTURE</t>
  </si>
  <si>
    <t xml:space="preserve">Eckert Ziegler AG-Blood Irradiation Systems Business and Tcl Healthcare
Equipment (Shanghai) Co Ltd formed joint venture. The purpose of joint
venture is for the development, production and distribution of advanced
tumor irradiation devices highly effective against gynecological and other
forms of cancer.</t>
  </si>
  <si>
    <t xml:space="preserve">27919K
5J6325</t>
  </si>
  <si>
    <t xml:space="preserve">Aurigene Discovery Tech Ltd
Exelixis Inc</t>
  </si>
  <si>
    <t xml:space="preserve">Aurigene Discovery
Technologies Ltd, located in
Bangalore, India, is a
partnership-focused
collaborative discovery
company that partners with
pharmaceutical and biotech
companies for drug discovery
activities.
Exelixis Inc, located in South
San Francisco, California, is
a biotechnology company
focused on the discovery and
development of novel small
molecule therapeutics for
cancer and other serious
diseases. The company was
founded in 1994.</t>
  </si>
  <si>
    <t xml:space="preserve">Dr Reddy's Laboratories Ltd
Exelixis Inc</t>
  </si>
  <si>
    <t xml:space="preserve">AURIGENE DISCOVERY/EXELIXIS INC-STRATEGIC ALLIANCE</t>
  </si>
  <si>
    <t xml:space="preserve">Aurigene Discovery Technologies Ltd and Exelixis Inc planned to form a
strategic alliance was to Discover and Develop Novel Therapies for Cancer.</t>
  </si>
  <si>
    <t xml:space="preserve">05193K
30161Q</t>
  </si>
  <si>
    <t xml:space="preserve">University of New South Wales
Manipal Academy Of Higher</t>
  </si>
  <si>
    <t xml:space="preserve">Own,op college,university
Own,op college,university</t>
  </si>
  <si>
    <t xml:space="preserve">University of New South
Wales is a college operator.
The Company is located in
Sydney, Australia.
Manipal Academy of Higher
Education is a college
operator. The Company is
located in India.</t>
  </si>
  <si>
    <t xml:space="preserve">Australia
India</t>
  </si>
  <si>
    <t xml:space="preserve">UNIVERSITY OF NEW SOUTH WALES/MANIPAL ACADEMY OF HIGHER EDUCATION-STRATEGIC
ALLIANCE</t>
  </si>
  <si>
    <t xml:space="preserve">University of New South Wales and Manipal Academy Of Higher Education
formed a strategic alliance to facilitate large-scale two-way mobility of
students and announced a new seed funding scheme that will build capacity
in India's higher education system based on joint research.</t>
  </si>
  <si>
    <t xml:space="preserve">91469Q
59144A</t>
  </si>
  <si>
    <t xml:space="preserve">Cleopatra Hospital Group Corp
Taaleem Mgmt Svcs Co Sae
Al Nahda Intl Education Co</t>
  </si>
  <si>
    <t xml:space="preserve">General Medical and Surgical Hospitals
Educational Support Services
Elementary and Secondary Schools</t>
  </si>
  <si>
    <t xml:space="preserve">Cleopatra Hospital is a
Egypt. hospital operator.
The company is located in
Cairo,
Taaleem Management Services
Co SAE is a provider of
educational support
services. It owns and
operates Nahda University in
Beni Suef. The Company was
founded in 2015 and is
located in Dokki, Egypt.
Al Nahda International
Education Co located in Abu
Dhabi, United Arab Emirates is
an owner and operator of
elementary and secondary
schools. It was founded in
1983.</t>
  </si>
  <si>
    <t xml:space="preserve">8062
8299
8211</t>
  </si>
  <si>
    <t xml:space="preserve">Egypt
Egypt
Utd Arab Em</t>
  </si>
  <si>
    <t xml:space="preserve">Abraaj Invest Mgmt Ltd
Edu Mena Hldg Cooperatief Ua
Al Nahda Intl Education Co</t>
  </si>
  <si>
    <t xml:space="preserve">Utd Arab Em
Netherlands
Utd Arab Em</t>
  </si>
  <si>
    <t xml:space="preserve">6799
6799
8211</t>
  </si>
  <si>
    <t xml:space="preserve">CLEOPATRA HOSPITALS GROUP SAE/TAALEEM MANAGEMENT SERVICES CO SAE/AL NAHDA
INTERNATIONAL EDUCATION CO-JOINT VENTURE</t>
  </si>
  <si>
    <t xml:space="preserve">Cleopatra Hospitals Group SAE, Taaleem Management Services Co SAE and Al
Nahda International Education Co planned to form a 90:5:5 joint venture in
Egypt to develop Al Nahda Hospital. The Joint Venture was to have a
estimated capital of USD 21.779 Mil (EGP 360 Mil).</t>
  </si>
  <si>
    <t xml:space="preserve">Investment Services
Research &amp; Development Services
Hospital &amp; Clinical Services</t>
  </si>
  <si>
    <t xml:space="preserve">90.00
5.00
5.00</t>
  </si>
  <si>
    <t xml:space="preserve">The Joint Venture was to have a estimated capital of USD 21.779 Mil (EGP
360 Mil).</t>
  </si>
  <si>
    <t xml:space="preserve">4E9464
2J8190
9A6532</t>
  </si>
  <si>
    <t xml:space="preserve">Thar Process Inc
PSC Group LLC</t>
  </si>
  <si>
    <t xml:space="preserve">All Other Miscellaneous Electrical Equipment and Component Manufacturing
Pvd IT consulting svcs</t>
  </si>
  <si>
    <t xml:space="preserve">Thar Process Inc is a
manufacturer of electrical
equipment. The Company was
founded in 2007 and is
located in Pittsburgh,
Pennsylvania.
Provide information-technology
and professional consulting
services</t>
  </si>
  <si>
    <t xml:space="preserve">3629
7379</t>
  </si>
  <si>
    <t xml:space="preserve">PA
IL</t>
  </si>
  <si>
    <t xml:space="preserve">THAR PROCESS INC/PSC GROUP LLC-JOINT VENTURE</t>
  </si>
  <si>
    <t xml:space="preserve">Thar Process Inc and PSC Group LLC planned to form a joint venture to
develop a 5-ton-per-day, Certified cGMP, USDA Organic CO2 extraction /
purification facility in Pueblo, CO.</t>
  </si>
  <si>
    <t xml:space="preserve">0J1939
69531L</t>
  </si>
  <si>
    <t xml:space="preserve">GlaxoSmithKline PLC
Albert B Sabin Vaccine Inst</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</si>
  <si>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Albert B Sabin Vaccine
Institute Inc is a provider
of biotechnology research
and development services.
The Company was founded in
1970 and is located in
Washington, Washington DC.</t>
  </si>
  <si>
    <t xml:space="preserve">FF
DC</t>
  </si>
  <si>
    <t xml:space="preserve">GLAXOSMITHKLINE PLC/ALBERT B SABIN VACCINE INSTITUTE INC-STRATEGIC
ALLIANCE</t>
  </si>
  <si>
    <t xml:space="preserve">GlaxoSmithKline PLC and Albert B Sabin Vaccine Institute Inc formed a
strategic alliance to advance the development of the prophylactic candidate
vaccines against the deadly Ebola Zaire, Ebola Sudan and the closely
related, but lesser known, Marburg virus.</t>
  </si>
  <si>
    <t xml:space="preserve">37733W
5J8104</t>
  </si>
  <si>
    <t xml:space="preserve">Undisclosed JV Partner
BioCurate</t>
  </si>
  <si>
    <t xml:space="preserve">Investment company
Research and Development in Biotechnology</t>
  </si>
  <si>
    <t xml:space="preserve">Investment company
BioCurate is a provider of
biotechnology research and
development services. The
Company is located in
Australia.</t>
  </si>
  <si>
    <t xml:space="preserve">Unknown
Australia</t>
  </si>
  <si>
    <t xml:space="preserve">BIOCURATE/UNDISCLOSED PARTNER-STRATEGIC ALLIANCE</t>
  </si>
  <si>
    <t xml:space="preserve">Undisclosed Joint Venture Partner and BioCurate formed a strategic alliance
to accelerate the discovery of new therapeutics and drugs.</t>
  </si>
  <si>
    <t xml:space="preserve">904JVP
5J8011</t>
  </si>
  <si>
    <t xml:space="preserve">Fujitsu Australia Ltd
General Electric Co
Macquarie University
Macquarie Med Imaging Pty Ltd</t>
  </si>
  <si>
    <t xml:space="preserve">Whl computer,telecomm equip
Manufacture,wholesale power generation equipment
Own,op university
Provide medical imaging svcs</t>
  </si>
  <si>
    <t xml:space="preserve">Fujitsu Australia Ltd, owned
by Japan-based Fujitsu Ltd,
wholesales computer and
telecommunications
equipment. It is also
engaged in providing
incremental services such as
consulting, application
software services,
infrastructure services, IT
products and consumer
products sale. It caters to
firms belonging in the
government, retail,
telecommunications, energy
and utilities, financial
services, healthcare and
justice sectors. The company
is based in Australia.
General Electric Co, located
in Boston, Massachusetts,
manufactures and wholesales
power generation,
transmission, distribution,
and control equipment. It
offers lamps and lighting
products, home appliances,
industrial automation
products, motors, locomotives,
power generation and delivery,
commercial and military
aircraft jet engines,
materials including plastics,
silicones and super-abrasives,
hi-tech products including
medical diagnostic
applications. It also provides
electric apparatus
installation, engineering,
repair, rebuilding and
computer related information
services. It has offices in
140 countries. The Company was
founded in 1892.
Macquarie University is an
Australian public research
university located in Sydney
with its main campus
situated in Macquarie Park.
Founded in 1964 by the New
South Wales Government, it
was the third university to
be established in the
metropolitan area of Sydney.
Macquaries 126 hectare
park-like campus belies its
setting within the
high-technology corridor of
Sydneys north-west.
Macquarie Medical Imaging
Pty Ltd, located in Sydney,
Australia, is a provider of
medical imaging services.</t>
  </si>
  <si>
    <t xml:space="preserve">5045
3612
8221
8071</t>
  </si>
  <si>
    <t xml:space="preserve">Australia
United States
Australia
Australia</t>
  </si>
  <si>
    <t xml:space="preserve">FF
MA
FF
FF</t>
  </si>
  <si>
    <t xml:space="preserve">Fujitsu Ltd
General Electric Co
Macquarie University
Cyclopharm Ltd</t>
  </si>
  <si>
    <t xml:space="preserve">Japan
United States
Australia
Australia</t>
  </si>
  <si>
    <t xml:space="preserve">7373
3612
8221
3845</t>
  </si>
  <si>
    <t xml:space="preserve">FUJITSU AUSTRALIA LTD/GENERAL ELECTRIC CO/MACQUARIE UNIVERSITY/MACQUARIE
MEDICAL IMAGING PTY LTD-STRATEGIC ALLIANCE</t>
  </si>
  <si>
    <t xml:space="preserve">Fujitsu Australia Ltd, General Electric Co, Macquarie University and
Macquarie Medical Imaging Pty Ltd formed a strategic alliance to focus on
developing a solution that leverages artificial intelligence (AI) to detect
and monitor brain aneurysms on scans faster and more efficiently.</t>
  </si>
  <si>
    <t xml:space="preserve">35961J
369604
55608J
55704Y</t>
  </si>
  <si>
    <t xml:space="preserve">EverSpin Technologies
Seagate Technology Plc</t>
  </si>
  <si>
    <t xml:space="preserve">Mnfr memory,sensors
Mnfr,wholesale disc drives</t>
  </si>
  <si>
    <t xml:space="preserve">EverSpin Technologies,
located in Chandler,
Arizona, manufactures
magnetic-based memory and
sensors. It was founded in
2008.
Seagate Technology Plc is a
manufacturer of computer
storage devices. The Company
was founded in 1979 and is
located in Cupertino,
California.</t>
  </si>
  <si>
    <t xml:space="preserve">3674
3572</t>
  </si>
  <si>
    <t xml:space="preserve">EVERSPIN TECHNOLOGIES/SEAGATE TECHNOLOGY PLC-STRATEGIC ALLIANCE</t>
  </si>
  <si>
    <t xml:space="preserve">EverSpin Technologies and Seagate Technology Plc formed a strategic
alliance. The purpose of strategic alliance is to clearly demonstrates that
our patent portfolio is delivering significant value to Everspin as well as
storage industry leaders like Seagate.</t>
  </si>
  <si>
    <t xml:space="preserve">30084R
G7945J</t>
  </si>
  <si>
    <t xml:space="preserve">AC Immune SA
Perelman Skl Of Med</t>
  </si>
  <si>
    <t xml:space="preserve">Pvd research,dvlp svcs
Colleges, Universities, and Professional Schools</t>
  </si>
  <si>
    <t xml:space="preserve">AC Immune SA, located in
Lausanne, Switzerland,
provides research and
development services. It
involves in the combination of
an immunology and a chemistry
platform technology to develop
therapies against
conformational diseases and
cancer. The company was
founded in 2003.
founded in 2003.
Perelman School Of Medicine
is a medical school of the
University of Pennsylvania.
It is located in the
University City section of
Philadelphia. The Company
was founded in 1970 and is
located in Philadelphia,
Pennsylvania.</t>
  </si>
  <si>
    <t xml:space="preserve">AC IMMUNE SA/PERELMAN SCHOOL OF MEDICINE-STRATEGIC ALLIANCE</t>
  </si>
  <si>
    <t xml:space="preserve">AC Immune SA and Perelman School Of Medicine planned to form a strategic
alliance in Switzerland &amp; United States to enter into research
collaboration focused on studying the pathological mechanisms of TDP-43
misfolding and aggregation. TDP-43, the transactive response (TAR) DNA
binding protein, is a transcription factor found in most human tissues. It
is a recently identified target of growing interest for neuroOrphan
indications such as frontotemporal lobar degeneration (FTLD) and
amyotrophic lateral sclerosis (ALS).</t>
  </si>
  <si>
    <t xml:space="preserve">8E9397
5J8752</t>
  </si>
  <si>
    <t xml:space="preserve">Nuvo Dvlp Partners Llc
Clark Invest Grp</t>
  </si>
  <si>
    <t xml:space="preserve">Other Activities Related To Real Estate
Other Activities Related To Real Estate</t>
  </si>
  <si>
    <t xml:space="preserve">Nuvo Development Partners
LLC is a provider of real
estate services. The Company
is located in Winter Park,
Florida.
Clark Investment Group is a
provider of real estate
services. The Company is
located in Wichita, Kansas.</t>
  </si>
  <si>
    <t xml:space="preserve">6531
6531</t>
  </si>
  <si>
    <t xml:space="preserve">FL
KS</t>
  </si>
  <si>
    <t xml:space="preserve">NUVO DEVELOPMENT PARTNERS LLC/CLARK INVESTMENT GROUP-JOINT VENTURE</t>
  </si>
  <si>
    <t xml:space="preserve">Nuvo Development Partners LLC and Clark Investment Group formed joint
venture. The purpose of joint venture is for Atlanta Storage Development.</t>
  </si>
  <si>
    <t xml:space="preserve">6J0863
6J0865</t>
  </si>
  <si>
    <t xml:space="preserve">LEO Pharma A/S
Bausch Health Cos Inc</t>
  </si>
  <si>
    <t xml:space="preserve">Leo Pharma A/S, located in
Ballerup, Denmark,
manufactures pharmaceuticals
intended for final
consumption, including
biotech products and
antibiotics. The Company
offers drugs for the
treatment of psoriasis,
atopic dermatitis, eczema,
and acne; anti-coagulation,
bone turnover/nephrology,
and antithrombin
deficiencies; inflammation;
thromboembolic disorders;
and infectious diseases. It
was founded in 1908.
Bausch Health Cos Inc,
headquartered in Quebec,
Canada, is a manufacturer
and wholesaler of specialty
pharmaceutical products
focused on dermatology,
gastrointestinal disorders,
eye health, neurology and
branded generics. Its brands
include Mestinon, Tasmar,
Virazole, Dermatix and
Kinerase. The Company was
founded on 1960.</t>
  </si>
  <si>
    <t xml:space="preserve">Denmark
Canada</t>
  </si>
  <si>
    <t xml:space="preserve">Leo Fondet
Bausch Health Cos Inc</t>
  </si>
  <si>
    <t xml:space="preserve">LEO PHARMA A/S/BAUSCH HEALTH COS INC-STRATEGIC ALLIANCE</t>
  </si>
  <si>
    <t xml:space="preserve">LEO Pharma A/S and Bausch Health Cos Inc formed a strategic alliance. The
purpose of strategic alliance is to develop and market brodalumab for
moderate-to-severe psoriasis outside of Europe.</t>
  </si>
  <si>
    <t xml:space="preserve">52668Z
071734</t>
  </si>
  <si>
    <t xml:space="preserve">Lwk Project Mgmt Co Ltd
Beijing Gen Municipal</t>
  </si>
  <si>
    <t xml:space="preserve">Residential Remodelers
Construction Company, Heavy Civil</t>
  </si>
  <si>
    <t xml:space="preserve">Lwk Project Management Co
Ltd is a residential
remodeler. The Company is
located in Hong Kong.
Beijing General Municipal
Engineering Design &amp;
Research Institute Co Ltd is
a highway, street and bridge
construction company. The
Company was founded in April
1955 and is located in
Beijing, China.</t>
  </si>
  <si>
    <t xml:space="preserve">1521
1611</t>
  </si>
  <si>
    <t xml:space="preserve">C Cheng Holdings Ltd
Beijing Entrp Grp Co Ltd</t>
  </si>
  <si>
    <t xml:space="preserve">8712
6799</t>
  </si>
  <si>
    <t xml:space="preserve">LWK PROJECT MANAGEMENT CO LTD/BEIJING GENERAL MUNICIPAL ENGINEERING DESIGN
&amp; RESEARCH INSTITUTE CO LTD-JOINT VENTURE</t>
  </si>
  <si>
    <t xml:space="preserve">Lwk Project Management Co Ltd and Beijing General Municipal Engineering
Design Research Institute Co Ltd formed joint venture. The purpose of joint
venture is to provides architectural design, consulting, and other related
services to form Sino-foreign JV Company, C-Bay Smart Cities Limited, which
will focus on smart cities as its main line of business, of which the
Guangdong-Hong Kong-Macau Greater Bay Area and the Belt-and-Road
international cities development are the core markets.</t>
  </si>
  <si>
    <t xml:space="preserve">6J1152
2F3216</t>
  </si>
  <si>
    <t xml:space="preserve">GDS Holdings Ltd
GIC Pte Ltd</t>
  </si>
  <si>
    <t xml:space="preserve">Data Processing, Hosting, and Related Services
Provide investment management services</t>
  </si>
  <si>
    <t xml:space="preserve">GDS Holdings Ltd is a
provider of data processing
and hosting services. The
Company was founded in 2000
and is located in Shanghai,
China.
GIC Pte Ltd is a sovereign
wealth fund. It handles the
country's foreign reserves.
The Company invests
internationally in equities,
fixed income, foreign
exchange, commodities, money
markets, alternative
investments, real estate and
private equity. The Company
was founded in May 1981 and
is located in Singapore,
Singapore.</t>
  </si>
  <si>
    <t xml:space="preserve">7374
6722</t>
  </si>
  <si>
    <t xml:space="preserve">GDS Holdings Ltd
Singapore</t>
  </si>
  <si>
    <t xml:space="preserve">GDS HOLDINGS LTD/GIC PTE LTD-STRATEGIC ALLIANCE</t>
  </si>
  <si>
    <t xml:space="preserve">GDS Holdings Ltd and GIC Pte Ltd formed a strategic alliance to develop and
operate hyperscale build-to-suit data centers in China. GDS and GIC will
focus initially on a BTS data center program for a leading internet and
cloud service provider, which is a strategic customer of GDS. GDS has also
signed a Memorandum of Understanding with the Customer for multiple BTS
data centers at several of its campuses serving different regions of
China.</t>
  </si>
  <si>
    <t xml:space="preserve">36165L
7A1134</t>
  </si>
  <si>
    <t xml:space="preserve">Grenco Science Inc
Vapium Inc</t>
  </si>
  <si>
    <t xml:space="preserve">Consumer Electronics Repair and Maintenance
Custom Computer Programming Services</t>
  </si>
  <si>
    <t xml:space="preserve">Grenco Science Inc is a
provider of consumer
electronics repair and
maintenance services. The
Company was founded in March
2012 and is located in North
Hollywood, California.
Vapium Inc is a provider of
custom computer programming
services. The Company was
founded in March 2015 and is
located in Wilmington,
Delaware.</t>
  </si>
  <si>
    <t xml:space="preserve">7622
7371</t>
  </si>
  <si>
    <t xml:space="preserve">GRENCO SCIENCE INC/VAPIUM INC-JOINT VENTURE</t>
  </si>
  <si>
    <t xml:space="preserve">Grenco Science Inc and Vapium Inc planned to form joint venture. The
purpose of joint venture is to integrate ground-breaking technologies for
the medical cannabis industry under the brand name Accudose. The
first-of-its-kind cannabis consumption platform will fill a void in the
market for an accurate, dosing protocol that will allow practitioners to
prescribe cannabis as medicine, reframing cannabis consumption.</t>
  </si>
  <si>
    <t xml:space="preserve">1J4376
5J9016</t>
  </si>
  <si>
    <t xml:space="preserve">Ultragenyx Pharmaceutical Inc
Genetx Biotherapeutics LLC</t>
  </si>
  <si>
    <t xml:space="preserve">Ultragenyx Pharmaceutical
Inc, located in Novato,
California, is a
biopharmaceutical company.
It is focused on the
identification, acquisition,
development, and
commercialization of
products for the treatment
of genetic diseases. Its
clinical-stage pipeline
consists of two product
categories: biologics
(including a monoclonal
antibody and an enzyme
replacement therapy), and
small-molecule substrate
replacement therapies. Its
product candidates under
biologics category include
KRN23 (UX023) and
recombinant human
beta-glucuronidase (rhGUS)
(UX003). Its product
candidates under
small-molecule category
include UX007 and
aceneuramic acid
extended-release (Ace-ER)
(UX001). It is also
developing recombinant human
protective protein
cathepsin-A (rhPPCA). KRN23
is a fully human monoclonal
antibody. rhGUS is an
intravenous (IV) enzyme
replacement therapy. UX007
is a substrate replacement
therapy. It is developing
Ace-ER for the treatment of
GNE myopathy. rhPPCA is in
preclinical development. The
Company was founded on April
22, 2010.
Genetx Biotherapeutics LLC
is a manufacturer of
biological products. The
Company was founded in
November 2017 and is located
in Downers Grove, Illinois.</t>
  </si>
  <si>
    <t xml:space="preserve">ULTRAGENYX PHARMACEUTICAL INC/GENETX BIOTHERAPEUTICS LLC-STRATEGIC
ALLIANCE</t>
  </si>
  <si>
    <t xml:space="preserve">Ultragenyx Pharmaceutical Inc and Genetx Biotherapeutics LLC formed a
strategic alliance develop GeneTx's GTX-102, an antisense oligonucleotide
(ASO) for the treatment of Angelman syndrome, a serious, debilitating, rare
neurogenetic disorder that affects approximately 1 in 15,000 people
worldwide.</t>
  </si>
  <si>
    <t xml:space="preserve">90400D
5J9282</t>
  </si>
  <si>
    <t xml:space="preserve">Zifo Rnd Solutions
Scilligence Corp</t>
  </si>
  <si>
    <t xml:space="preserve">Research and Development in The Physical, Engineering and Lifesciences (Except Biotechnology)
Other Scientific and Technical Consulting Services</t>
  </si>
  <si>
    <t xml:space="preserve">Zifo Rnd Solutions is a
provider of research and
development services. The
Company is located in New
York.
Scilligence Corp is a
provider of technical
consulting services. The
Company was founded in
August 2011 and is located
in Cambridge, Massachusetts.</t>
  </si>
  <si>
    <t xml:space="preserve">3721
0781</t>
  </si>
  <si>
    <t xml:space="preserve">ZIFO RND SOLUTIONS/SCILLIGENCE CORP-STRATEGIC ALLIANCE</t>
  </si>
  <si>
    <t xml:space="preserve">Zifo Rnd Solutions and Scilligence Corp formed a strategic alliance to
enable Zifo to provide System Integrations Solutions for Scilligence suite
of integrated informatics solutions.</t>
  </si>
  <si>
    <t xml:space="preserve">6J0833
6J0834</t>
  </si>
  <si>
    <t xml:space="preserve">Kalos Therapeutics Inc
Oncology Pharma Inc</t>
  </si>
  <si>
    <t xml:space="preserve">Kalos Therapeutics Inc is a
manufacturer of biological
products. The Company was
founded in December 2007 and
is located in Phoenix,
Arizona.
Oncology Pharma Inc, located
in San Francisco,
California, is a provider of
research and development
services. The Company was
founded in 1993.
founded in 1993.</t>
  </si>
  <si>
    <t xml:space="preserve">KALOS THERAPEUTICS INC/ONCOLOGY PHARMA INC-STRATEGIC ALLIANCE</t>
  </si>
  <si>
    <t xml:space="preserve">Kalos Therapeutics Inc and Oncology Pharma Inc signed a letter of intent to
form an alliance for a world-wide license and co-development of Kalos's
lead anti-cancer drug, KTH 222. The KTH 222 combined with the NanoSmart's
targeted delivery of doxorubicin provides an excellent synergy between the
two therapies while offsetting further the potential cardiotoxicity
inherent with doxorubicin.</t>
  </si>
  <si>
    <t xml:space="preserve">6J0960
7J4183</t>
  </si>
  <si>
    <t xml:space="preserve">Murata Machinery Ltd
Alert Innovation Inc</t>
  </si>
  <si>
    <t xml:space="preserve">Mnfr,whl texile machinery
Automatic Environmental Control Manufacturing For Residential, Commercial, and Appliance Use</t>
  </si>
  <si>
    <t xml:space="preserve">Murata Machinery Ltd is a
manufacturer of textile
machinery. The Company was
founded in July 1935 and is
located in Kyoto-Shi Kyoto,
Japan.
Alert Innovation Inc is a
manufacturer of automatic
environmental controls. The
Company was founded in
November 2013 and is located
in North Billerica,
Massachusetts.</t>
  </si>
  <si>
    <t xml:space="preserve">3552
3822</t>
  </si>
  <si>
    <t xml:space="preserve">MURATA MACHINERY LTD/ALERT INNOVATION INC-STRATEGIC ALLIANCE</t>
  </si>
  <si>
    <t xml:space="preserve">Murata Machinery Ltd and Alert Innovation Inc formed a strategic alliance.
The purpose of strategic alliance is the development and commercialization
of Alert Innovation's Alphabot material handling technology.</t>
  </si>
  <si>
    <t xml:space="preserve">62641M
6J0213</t>
  </si>
  <si>
    <t xml:space="preserve">Neogen Corp
Corvium Inc</t>
  </si>
  <si>
    <t xml:space="preserve">In-Vitro Diagnostic Substance Manufacturing
Custom Computer Programming Services</t>
  </si>
  <si>
    <t xml:space="preserve">Neogen Corp, is located in
Lansing, Michigan,
manufactures and wholesales
diagnostic substances for
the food safety and animal
health markets. Its food
safety testing products are
used by the food industry to
make sure food is clean,
unspoiled, and free of
toxins, pathogens, and
allergens. They also produce
drugs, vaccines,
diagnostics, and instruments
for the veterinary market.
The Company was founded in
1982.
Corvium Inc is a provider of
custom computer programming
services. The Company was
founded in 2010 and is
located in Boston,
Massachusetts.</t>
  </si>
  <si>
    <t xml:space="preserve">2835
7371</t>
  </si>
  <si>
    <t xml:space="preserve">NEOGEN CORP/CORVIUM INC-STRATEGIC ALLIANCE</t>
  </si>
  <si>
    <t xml:space="preserve">Neogen Corp and Corvium Inc formed a strategic alliance. The purpose of
strategic alliance is to allow Neogen's customers exclusive access to an
enhanced version of Corvium's award-winning CONTROL-PRO food risk
intelligence platform.</t>
  </si>
  <si>
    <t xml:space="preserve">Licensing Services
Research &amp; Development Services
Restaurant &amp; Catering Services</t>
  </si>
  <si>
    <t xml:space="preserve">640491
6J0194</t>
  </si>
  <si>
    <t xml:space="preserve">ZTE Corp
Chery Automobile Co Ltd</t>
  </si>
  <si>
    <t xml:space="preserve">Telephone Apparatus Manufacturing
Automobile Manufacturing</t>
  </si>
  <si>
    <t xml:space="preserve">ZTE Corp is a manufacturer
and wholesaler of telephone
apparatuses and other
related products. The
Company was founded in 1985
and is located in Shenzhen,
China.
Chery Automobile Co Ltd,
located in China,
manufactures and wholesales
motor vehicles. The company
was founded in January 1997.</t>
  </si>
  <si>
    <t xml:space="preserve">3661
3711</t>
  </si>
  <si>
    <t xml:space="preserve">ZTE Corp
Shanghai Automotive Ind Corp</t>
  </si>
  <si>
    <t xml:space="preserve">ZTE CORP/CHERY AUTOMOBILE CO LTD-JOINT VENTURE</t>
  </si>
  <si>
    <t xml:space="preserve">ZTE Corp and Chery Automobile Co Ltd planned to form joint venture named
Anhui Qiying Smart Technology Co Ltd to jointly conduct research and
development on the use of 5G technology in smart factory, warehousing and
logistics, in addition to smart cars.</t>
  </si>
  <si>
    <t xml:space="preserve">Automotive Services
Research &amp; Development Services
Software Development Services</t>
  </si>
  <si>
    <t xml:space="preserve">82328J
6F5733</t>
  </si>
  <si>
    <t xml:space="preserve">Wipro Ltd
Indian Institute of Science</t>
  </si>
  <si>
    <t xml:space="preserve">Provide information technology services
Research and Development in Biotechnology</t>
  </si>
  <si>
    <t xml:space="preserve">Wipro Ltd, located in
Bengaluru, India, is a
provider of information
technology (IT), consulting,
and business process
services. It operates
through two segments: IT
Services and IT Products.
Its IT Services business
provides a range of IT and
IT-enabled services, which
include digital strategy
advisory, customer centric
design, technology
consulting, IT consulting,
custom application design,
development, re-engineering
and maintenance, systems
integration, package
implementation, global
infrastructure services,
analytics services, business
process services, research
and development and hardware
and software design. Its IT
Products segment provides a
range of third-party IT
products, which allows it to
offer IT system integration
services. Its products
include computing, Platforms
and Storage, Networking
Solutions, Enterprise
Information Security, and
software products, including
databases and operating
systems. It is a reseller of
third-party enterprise
products through its direct
sales force. The Company was
founded on 1945.
Manufacture gasifiers; provide
commercial science research
services
India.</t>
  </si>
  <si>
    <t xml:space="preserve">WIPRO LTD/INDIAN INSTITUTE OF SCIENCE-STRATEGIC ALLIANCE</t>
  </si>
  <si>
    <t xml:space="preserve">Wipro Ltd and Indian Institute of Science formed a strategic alliance. The
purpose of strategic alliance is to conduct advanced applied research in
autonomous systems, robotics and 5G space. The two organizations have
jointly set up the Wipro IISc Research and Innovation Network (WIRIN), a
hybrid industry academia collaboration unit, which will drive idea
discovery, research and innovation in technology and product design.</t>
  </si>
  <si>
    <t xml:space="preserve">Research &amp; Development Services
Educational Services
Engineering Services
Software Development Services</t>
  </si>
  <si>
    <t xml:space="preserve">97651M
45428W</t>
  </si>
  <si>
    <t xml:space="preserve">Orexo AB
Gaia Agro Securitizadora SA</t>
  </si>
  <si>
    <t xml:space="preserve">Mnfr,wholesale pharmaceuticals
Special purpose finance co</t>
  </si>
  <si>
    <t xml:space="preserve">Orexo AB, located in
Uppsala, Sweden,
manufactures and wholesales
prescription
pharmaceuticals. The
Company's product portfolio
includes OX 40 for treating
migraine, OX 19 for treating
urinary incontinence, OX 17
for treating gastro
esophageal reflux disease,
Sublinox for treating
temporary insomnia, Rapinyl
for treating cancer pain,
Diabact UBT and HeliProbe
Systems for conducting
breath tests. It operates in
the United States, European
Union and Southeast Asia.
The Company was founded in
1995.
Gaia Agro Securitizadora S.A.
is a special purpose finance
company. The company is
headquartered in Brazil.
Special purpose finance
company enables a company to
reduce its risk by creating
separate partnerships for
certain holdings and solicits
outside investors to take on
the risk.</t>
  </si>
  <si>
    <t xml:space="preserve">2834
619B</t>
  </si>
  <si>
    <t xml:space="preserve">Sweden
Brazil</t>
  </si>
  <si>
    <t xml:space="preserve">OREXO AB/GAIA AGRO SECURITIZADORA SA-STRATEGIC ALLIANCE</t>
  </si>
  <si>
    <t xml:space="preserve">Orexo AB and Gaia Agro Securitizadora SA formed a strategic alliance to
develop and commercialize a new digital therapy for the treatment of opioid
use disorder.</t>
  </si>
  <si>
    <t xml:space="preserve">68646K
9C4256</t>
  </si>
  <si>
    <t xml:space="preserve">Hoth Therapeutics Inc
Zylo Therapeutics Inc</t>
  </si>
  <si>
    <t xml:space="preserve">Hoth Therapeutics Inc is a
manufacturer of biological
products. The Company offers
therapies for patients
suffering atopic dermatitis
and other diseases. The
Company serves patients in
the United States. The
Company was founded in 2017
and is located in New York
City, New York.
Zylo Therapeutics Inc is a
manufacturer of biological
products. The Company was
founded in October 2017 and
is located in Greenville,
South Carolina.</t>
  </si>
  <si>
    <t xml:space="preserve">NY
SC</t>
  </si>
  <si>
    <t xml:space="preserve">HOTH THERAPEUTICS INC/ZYLO THERAPEUTICS INC-STRATEGIC ALLIANCE</t>
  </si>
  <si>
    <t xml:space="preserve">Hoth Therapeutics Inc and Zylo Therapeutics Inc formed a strategic alliance
to develop a new treatment for patients suffering from Cutaneous Lupus
Erythematosus [CLE], a chronic autoimmune disease that affects the skin.</t>
  </si>
  <si>
    <t xml:space="preserve">44148G
0J8695</t>
  </si>
  <si>
    <t xml:space="preserve">Enteris BioPharma Inc
Cara Therapeutics Inc</t>
  </si>
  <si>
    <t xml:space="preserve">Enteris BioPharma Inc,
located in Boonton, New
Jersey, is a manufacturer of
biological products,
offering innovative
formulation solutions built
around its proprietary drug
delivery technologies. The
Company was founded in April
2013.
Cara Therapeutics Inc,
headquartered in Shelton,
Connecticut, is a
biopharmaceutical company
focused on developing and
commercializing new chemical
entities designed to
alleviate pain by
selectively targeting kappa
opioid receptors. Its most
advanced product candidate
is the intravenous, or I.V.
CR845. The company was
founded in 2004.</t>
  </si>
  <si>
    <t xml:space="preserve">Victory Park Capital Advisors
Cara Therapeutics Inc</t>
  </si>
  <si>
    <t xml:space="preserve">ENTERIS BIOPHARMA INC/CARA THERAPEUTICS INC-STRATEGIC ALLIANCE</t>
  </si>
  <si>
    <t xml:space="preserve">Enteris BioPharma Inc and Cara Therapeutics Inc formed a strategic alliance
to develop, manufacture and commercialize Oral KORSUVA worldwide, excluding
Japan and South Korea .</t>
  </si>
  <si>
    <t xml:space="preserve">2F5978
140755</t>
  </si>
  <si>
    <t xml:space="preserve">Tetra Bio-Pharma Inc
Thorne Research Inc
Onegevity Health LLC</t>
  </si>
  <si>
    <t xml:space="preserve">Research and Development in Biotechnology
Manufactures,wholesales dietary supplements
Medical, Dental, and Hospital Equipment and Supplies Merchant Wholesalers</t>
  </si>
  <si>
    <t xml:space="preserve">Tetra Bio-Pharma Inc,
located in Ottawa, Ontario,
is a provider of
biotechnology research and
development services. The
Company was founded in May
17, 2007.
Thorne Research Inc, located
in New York, New York,
manufactures and wholesales
premium hypoallergenic
dietary supplements. Its
products include: aging,
antioxidants/flavonoids,
circulatory support,
cognitive support,
detoxification support,
essential fatty acids,
gastrointestinal support,
immune support and other
health products. The Company
was founded in 1984.
Onegevity Health LLC is a
medical equipment and
supplies wholesaler. The
Company was founded in 2018
and is located in New York,
New York.</t>
  </si>
  <si>
    <t xml:space="preserve">8731
2834
5047</t>
  </si>
  <si>
    <t xml:space="preserve">FF
NY
NY</t>
  </si>
  <si>
    <t xml:space="preserve">TETRA BIO-PHARMA INC/THORNE RESEARCH INC/ONEGEVITY HEALTH LLC-JOINT
VENTURE</t>
  </si>
  <si>
    <t xml:space="preserve">Tetra Bio-Pharma Inc, Thorne Research Inc and Onegevity Health LLC planned
to form joint venture to pursue development of safe, natural molecules that
act on the ECS for unique applications as drugs and natural products.</t>
  </si>
  <si>
    <t xml:space="preserve">39985Y
88505Z
2J8773</t>
  </si>
  <si>
    <t xml:space="preserve">Veristor Systems Inc
Forty8fifty Labs Llc
Sonatype Inc</t>
  </si>
  <si>
    <t xml:space="preserve">Pvd data storage solution svcs
Software Publishers
Software Publishers</t>
  </si>
  <si>
    <t xml:space="preserve">Provide next generation data
storage solutions services
Forty8fifty Labs LLC is a
software publisher. The
Company is located in
Duluth, Georgia.
Sonatype Inc is a software
publisher. The Company was
founded in 2008 and is
located in Fulton, Maryland.</t>
  </si>
  <si>
    <t xml:space="preserve">7374
7372
7372</t>
  </si>
  <si>
    <t xml:space="preserve">GA
GA
MD</t>
  </si>
  <si>
    <t xml:space="preserve">VERISTOR SYSTEMS INC/FORTY8FIFTY LABS LLC/SONATYPE INC-STRATEGIC ALLIANCE</t>
  </si>
  <si>
    <t xml:space="preserve">Veristor Systems Inc, Forty8fifty Labs LLC and Sonatype Inc formed a
strategic alliance. The purpose of strategic alliance is to accelerate the
development and delivery of open source governance.</t>
  </si>
  <si>
    <t xml:space="preserve">92377Q
9H8619
1F7795</t>
  </si>
  <si>
    <t xml:space="preserve">SciDev Ltd
Phoenix Process Equipment Co</t>
  </si>
  <si>
    <t xml:space="preserve">All Other Miscellaneous Chemical Product and Preparation Manufacturing
Industrial Gas Manufacturing</t>
  </si>
  <si>
    <t xml:space="preserve">SciDev Ltd, located in
Sydney, Australia,is a
manufacturer of polymers for
liquids-solids preparation
primarily used for
wastewater treatment in the
industrial, mining, dairy,
and sewage treatment sector.
Its brands include MAXIFLOX,
OPTIFLOX, DAIRY FLOX and
BIOFLOX. The Company was
founded in 1992.
Phoenix Process Equipment Co
is a manufacturer of
industrial gas. The Company
was founded in 1970 and is
located in Louisville,
Kentucky.</t>
  </si>
  <si>
    <t xml:space="preserve">2869
2813</t>
  </si>
  <si>
    <t xml:space="preserve">SCIDEV LTD/PHOENIX PROCESS EQUIPMENT CO-STRATEGIC ALLIANCE</t>
  </si>
  <si>
    <t xml:space="preserve">SciDev Ltd and Phoenix Process Equipment Co formed a strategic alliance.
The purpose of strategic alliance is for supply of chemistry into united
states.</t>
  </si>
  <si>
    <t xml:space="preserve">9F8538
6J0851</t>
  </si>
  <si>
    <t xml:space="preserve">ParcelPal Technology Inc
Aphria Inc</t>
  </si>
  <si>
    <t xml:space="preserve">ParcelPal Technology Inc is
a Canada-based company
engaged in logistics
businesss sector. The
Company is a technology
driven logistics company,
that connects consumers to
the goods. Customers can
shop at partner businesses
and through the ParcelPal
technology receive their
purchased goods within an
hour. The Company offers
on-demand delivery of
merchandise from retailers,
restaurants, medical
marijuana dispensaries and
liquor stores in Vancouver
and in other cities
Canada-wide. It is focused
on on-demand courier service
connecting people with the
goods through a shared
network of community
couriers.
Aphria Inc, located in
Leamington, Ontario, is a
medical cannabis company. It
is engaged in the business
of producing, supplying and
selling medical marijuana.
It has over 40 strains of
medical marijuana in
approximately 30,000 square
feet of operating space
across three light and
computer controlled glass
greenhouses. The Company was
founded in June 2011.</t>
  </si>
  <si>
    <t xml:space="preserve">PARCELPAL TECHNOLOGY INC/APHRIA INC-STRATEGIC ALLIANCE</t>
  </si>
  <si>
    <t xml:space="preserve">ParcelPal Technology Inc and Aphria Inc formed a strategic alliance to not
only enable consumers unfettered access to their medicinal cannabis in a
safe and timely manner but will furthermore assist in eliminating impaired
drivers from our roadways by removing their need to drive to or from
cannabis stores for product.</t>
  </si>
  <si>
    <t xml:space="preserve">72941U
03765K</t>
  </si>
  <si>
    <t xml:space="preserve">Yuyang D&amp;U Co Ltd
The Neural Stem Cell Institute</t>
  </si>
  <si>
    <t xml:space="preserve">All Other Miscellaneous Electrical Equipment and Component Manufacturing
Biological Product (Except Diagnostic) Manufacturing</t>
  </si>
  <si>
    <t xml:space="preserve">Yuyang D&amp;U Co Ltd, located
in Hwaseong, South Korea,
manufactures and wholesales
power supply equipment. The
Company operates its
business through four main
divisions: power division,
light emitting diode (LED)
division, hybrid integrated
circuit division and
chemical products division.
Itsdivision provides power
supplies for liquid crystal
display televisions (LCD
TVs) and other displays. Its
LED division provides LED
lighting products under the
brand name YUYANG. Its
hybrid integrated circuit
division provides hybrid
integrated circuit (HIC)
modules, which are used for
communication devices. Its
chemical products division
engages in the wholesale of
petrochemical products. The
Company distributes its
products within domestic
market and to overseas
markets. It was founded in
1976.
The Neural Stem Cell
Institute is a manufacturer
of biological products. The
Company was founded in 1970
and is located in
Rensselaer, New York.</t>
  </si>
  <si>
    <t xml:space="preserve">3699
2836</t>
  </si>
  <si>
    <t xml:space="preserve">YUYANG D&amp;U CO LTD/THE NEURAL STEM CELL INSTITUTE-JOINT VENTURE</t>
  </si>
  <si>
    <t xml:space="preserve">Yuyang DU Co Ltd and The Neural Stem Cell Institute planned to form joint
venture to jointly develop the treatment for dry macular degeneration.</t>
  </si>
  <si>
    <t xml:space="preserve">8E1191
7J1411</t>
  </si>
  <si>
    <t xml:space="preserve">CARFAX Inc
Gubagoo Inc</t>
  </si>
  <si>
    <t xml:space="preserve">Pvd vehicle history info svcs
Used Car Dealers</t>
  </si>
  <si>
    <t xml:space="preserve">CARFAX Inc is an internet
service provider. The
Company was founded in 1986
and is located in
Centreville, Virginia.
Gubagoo Inc is a used car
dealer. The Company is
located in Boca Raton,
Florida.</t>
  </si>
  <si>
    <t xml:space="preserve">7375
5521</t>
  </si>
  <si>
    <t xml:space="preserve">IHS Markit Ltd
Gubagoo Inc</t>
  </si>
  <si>
    <t xml:space="preserve">CARFAX INC/GUBAGOO INC-STRATEGIC ALLIANCE</t>
  </si>
  <si>
    <t xml:space="preserve">CARFAX Inc and Gubagoo Inc formed a strategic alliance. The purpose of
strategic alliance is to enable car shoppers to seamlessly research
vehicles online before buying.</t>
  </si>
  <si>
    <t xml:space="preserve">Research &amp; Development Services
Internet Services
Automotive Services</t>
  </si>
  <si>
    <t xml:space="preserve">14214L
1J9255</t>
  </si>
  <si>
    <t xml:space="preserve">Crozet Biopharma LLC
Public Health Vaccines LLC</t>
  </si>
  <si>
    <t xml:space="preserve">Crozet Biopharma LLC is a
provider of biotechnology
research and development
services. The Company was
founded in 1970 and is
located in Devens,
Massachusetts.
Public Health Vaccines LLC
is a provider of
biotechnology research and
development services. The
Company was founded in
January 2018 and is located
in Cambridge, Massachusetts.</t>
  </si>
  <si>
    <t xml:space="preserve">CROZET BIOPHARMA LLC/PUBLIC HEALTH VACCINES LLC-STRATEGIC ALLIANCE</t>
  </si>
  <si>
    <t xml:space="preserve">Crozet Biopharma LLC and Public Health Vaccines LLC formed a strategic
alliance. The purpose of strategic alliance is to advance the development
and manufacture of a vaccine against the Nipah virus, listed as a priority
pathogen by the World Health Organization.</t>
  </si>
  <si>
    <t xml:space="preserve">Research &amp; Development Services
Manufacturing Services
Health &amp; Medical Services
Hospital &amp; Clinical Services</t>
  </si>
  <si>
    <t xml:space="preserve">6J2183
6J2184</t>
  </si>
  <si>
    <t xml:space="preserve">Salarius Pharmaceuticals Inc
Ivy Brain Tumor Center</t>
  </si>
  <si>
    <t xml:space="preserve">Salarius Pharmaceuticals Inc
is a manufacturer of
biological products. The
Companyis a clinical-stage
oncology company targeting
the epigenetic causes of
cancers and is developing
treatments for patients that
need them the most.
Epigenetics refers to the
regulatory system that
affects gene expression. In
some cancers, epigenetic
regulators often become
disregulated and incorrectly
turn genes "on" or "off"
leading to cancer
progression. The Company was
founded in 2014 and is
located in Houston, Texas.
Ivy Brain Tumor Center is a
provider of ambulatory
health care services. The
Company is located in
Phoenix, Arizona.</t>
  </si>
  <si>
    <t xml:space="preserve">SALARIUS PHARMACEUTICALS INC/IVY BRAIN TUMOR CENTER-STRATEGIC ALLIANCE</t>
  </si>
  <si>
    <t xml:space="preserve">Salarius Pharmaceuticals Inc and Ivy Brain Tumor Center formed a strategic
alliance in United States to launch collaborative partnership to develop
new cancer treatment for Glioblastoma.</t>
  </si>
  <si>
    <t xml:space="preserve">9H6979
6J2289</t>
  </si>
  <si>
    <t xml:space="preserve">Presage Biosciences Inc
Bristol-Myers Squibb Co</t>
  </si>
  <si>
    <t xml:space="preserve">Presage Biosciences Inc, is a
biotechnology company
headquartered in Seattle,
Washington. The company
develops a technology platform
to improve cancer drug
development process. It was
founded in 2008.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</si>
  <si>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PRESAGE BIOSCIENCES INC/BRISTOL-MYERS SQUIBB CO-STRATEGIC ALLIANCE</t>
  </si>
  <si>
    <t xml:space="preserve">Presage Biosciences Inc and Bristol-Myers Squibb Co formed a strategic
alliance to evaluate early stage oncology targets in Phase 0 trials.
Presage's CIVO platform is used to evaluate patients' unique responses to
microdoses of multiple cancer drugs.</t>
  </si>
  <si>
    <t xml:space="preserve">2A7990
110122</t>
  </si>
  <si>
    <t xml:space="preserve">China Natl Mach Imp &amp; Exp
N-W Power Generation Co Ltd</t>
  </si>
  <si>
    <t xml:space="preserve">Engineering Services
Electric utility company</t>
  </si>
  <si>
    <t xml:space="preserve">China National Machinery Imp
&amp; Exp Corp is a provider of
engineering services. The
Company was founded in July
1982 and is located in
Beijing, China.
North-West Power Generation
Co Ltd is an electric power
distributor. The Company was
founded in 2007 and is
located in Dhaka,
Bangladesh.</t>
  </si>
  <si>
    <t xml:space="preserve">8711
4911</t>
  </si>
  <si>
    <t xml:space="preserve">China
Bangladesh</t>
  </si>
  <si>
    <t xml:space="preserve">China Natl Mach Imp &amp; Exp
Bangladesh Power Dvlp Board</t>
  </si>
  <si>
    <t xml:space="preserve">CHINA NATIONAL MACHINERY IMP &amp; EXP CORP/NORTH-WEST POWER GENERATION CO
LTD-JOINT VENTURE</t>
  </si>
  <si>
    <t xml:space="preserve">China National Machinery Imp Exp Corp and North-West Power Generation Co
Ltd planned to form joint venture named Bangladesh-China Power Co Pvt Ltd
in Bangladesh to develop 450 MW solar &amp; 50 MW wind power. The Joint Venture
was to have a estimated investment of USD 500 mil.</t>
  </si>
  <si>
    <t xml:space="preserve">Investment Services
Research &amp; Development Services
Electric Utility Services</t>
  </si>
  <si>
    <t xml:space="preserve">The Joint Venture was to have a estimated investment of USD 500 mil.</t>
  </si>
  <si>
    <t xml:space="preserve">17358R
8E0573</t>
  </si>
  <si>
    <t xml:space="preserve">Russian Helicopters JSC
KrasAeroScan JSC</t>
  </si>
  <si>
    <t xml:space="preserve">Aircraft Manufacturing
Aircraft Manufacturing</t>
  </si>
  <si>
    <t xml:space="preserve">Russian Helicopters JSC is a
manufacturer of aircrafts.
It includes design bureaus,
helicopter assembly plants,
components production,
maintenance and repair
enterprises, aircraft repair
plants, and helicopter
service companies providing
after-sales support in
Russia and abroad The
Company was founded in
January 2007 and is located
in Moscow, the Russian
Federation.
KrasAeroScan JSC is a
manufacturer of aircrafts.
The Company is located in
the Russian Federation.</t>
  </si>
  <si>
    <t xml:space="preserve">Russian Federation
KrasAeroScan JSC</t>
  </si>
  <si>
    <t xml:space="preserve">RUSSIAN ELICOPTERS JSC/KRASAEROSCAN JSC-STRATEGIC ALLIANCE</t>
  </si>
  <si>
    <t xml:space="preserve">Russian elicopters JSC and KrasAeroScan JSC formed a strategic alliance in
Russia for development and serial production of VRT30 unmanned aerial
system (UAS). The subject of the agreement is the establishment of
partnership and efficient and mutually beneficial cooperation for the
development of technologies of unmanned aerial systems use in the energy,
oil and gas, construction, forestry, agricultural, machine-building and
utility industries of Russia.</t>
  </si>
  <si>
    <t xml:space="preserve">Research &amp; Development Services
Manufacturing Services
Airline Maintenance Services</t>
  </si>
  <si>
    <t xml:space="preserve">93261T
6J3241</t>
  </si>
  <si>
    <t xml:space="preserve">3D Systems Corp
Toyota Motorsport GmbH</t>
  </si>
  <si>
    <t xml:space="preserve">Develop 3D printing software
Automobile Manufacturing</t>
  </si>
  <si>
    <t xml:space="preserve">3D Systems Corp, located in
Rock Hill, South Carolina,
develops 3D printing,
prototyping and
manufacturing solutions
software. Its products
include stereo lithography
or SLA equipment, selective
laser sintering or SLS
equipment, and 3D modeling
equipment comprising
multi-jet and
layer-deposition equipment
and film transfer imaging
equipment. It has a network
of 10 service facilities in
over 80 countries. It has
offices located in
Australia, the Netherlands
and Italy. The Company was
founded in 1986.
Toyota Motorsport GmbH is a
manufacturer of automobiles.
The Company is located in
Cologne, Germany.</t>
  </si>
  <si>
    <t xml:space="preserve">SC
FF</t>
  </si>
  <si>
    <t xml:space="preserve">3D Systems Corp
Toyota Motor Corp</t>
  </si>
  <si>
    <t xml:space="preserve">3D SYSTEMS CORP/TOYOTA MOTORSPORT GMBH-STRATEGIC ALLIANCE</t>
  </si>
  <si>
    <t xml:space="preserve">3D Systems Corp and Toyota Motorsport GmbH formed a strategic alliance to
develop first-to-market additive manufacturing solutions to change
automotive design and production.</t>
  </si>
  <si>
    <t xml:space="preserve">Manufacturing Services
Automotive Services
Research &amp; Development Services
Engineering Services</t>
  </si>
  <si>
    <t xml:space="preserve">88554D
0H0086</t>
  </si>
  <si>
    <t xml:space="preserve">Vattenfall AB
Gaia Mbh</t>
  </si>
  <si>
    <t xml:space="preserve">Electric utility company
Environmental Consulting Services</t>
  </si>
  <si>
    <t xml:space="preserve">Vattenfall AB is an electric
power distributor. The
Company was founded in 1909
and is located in Stockholm,
Sweden.
Gaia mbH is a provider of
environmental consulting
services. The Company is
located in Lambsheim,
Germany.</t>
  </si>
  <si>
    <t xml:space="preserve">4911
8999</t>
  </si>
  <si>
    <t xml:space="preserve">VATTENFALL AB/GAIA MBH-STRATEGIC ALLIANCE</t>
  </si>
  <si>
    <t xml:space="preserve">Vattenfall AB and Gaia mbH formed a strategic alliance. The purpose of
strategic alliance was to to jointly develop onshore wind projects in
northern and western Germany.</t>
  </si>
  <si>
    <t xml:space="preserve">92290X
6J3169</t>
  </si>
  <si>
    <t xml:space="preserve">Helix Healthcare Inc
Shanghai LongJin Invstmnt Co
Sveva Capitals Co Ltd</t>
  </si>
  <si>
    <t xml:space="preserve">Psychiatric and Substance Abuse Hospitals
Miscellaneous Intermediation
Miscellaneous Intermediation</t>
  </si>
  <si>
    <t xml:space="preserve">Helix Healthcare Inc, doing
business as Alvarado Parkway
Institute Behavioral Health
Services, located in La Mesa,
California provides inpatient
and outpatient psychiatric
services.
Shanghai LongJin Investment
Co Ltd is an intermediating
company. The Company is
located in Shanghai, China.
Sveva Capitals Co Ltd is an
intermediating company. The
Company is located in China.</t>
  </si>
  <si>
    <t xml:space="preserve">8063
6799
6799</t>
  </si>
  <si>
    <t xml:space="preserve">Behavioral Healthcare Group
Shanghai LongJin Invstmnt Co
Sveva Capitals Co Ltd</t>
  </si>
  <si>
    <t xml:space="preserve">HELIX HEALTHCARE INC/SHANGHAI LONGJIN INVESTMENT CO LTD/SVEVA CAPITALS CO
LTD-JOINT VENTURE</t>
  </si>
  <si>
    <t xml:space="preserve">Longxiang Pharma Taizhou Co
Ltd is a manufacturer of
pharmaceutical preparation.
The Company is located in
China.</t>
  </si>
  <si>
    <t xml:space="preserve">Helix Healthcare Inc, Shanghai LongJin Investment Co Ltd and Sveva Capitals
Co Ltd formed a 57:40:3 joint venture named Longxiang Pharma Taizhou Co for
development, manufacturing, marketing and sale of pharmaceutical products
for China.</t>
  </si>
  <si>
    <t xml:space="preserve">57.00
40.00
3.00</t>
  </si>
  <si>
    <t xml:space="preserve">6J5233</t>
  </si>
  <si>
    <t xml:space="preserve">5C3529
6J5229
6J5231</t>
  </si>
  <si>
    <t xml:space="preserve">Cidara Therapeutics Inc
Mundipharma Int Ltd</t>
  </si>
  <si>
    <t xml:space="preserve">Cidara Therapeutics Inc,
located in San Diego,
California, is a
biotechnology company
focused on the discovery,
development and
commercialization of novel
anti-infectives for the
treatment of diseases that
are inadequately addressed
by current standard of care
therapies. The company was
incorporated on December
2012.
Mundipharma Int Ltd is a
manufacturer of
pharmaceutical preparation.
The Company was founded in
1992 and is located in
Cambridge, the United
Kingdom.</t>
  </si>
  <si>
    <t xml:space="preserve">CIDARA THERAPEUTICS INC/MUNDIPHARMA INT LTD-STRATEGIC ALLIANCE</t>
  </si>
  <si>
    <t xml:space="preserve">Cidara Therapeutics Inc and Mundipharma Int Ltd formed a strategic alliance
to develop and commercialize rezafungin for the treatment and prevention of
invasive fungal infections.</t>
  </si>
  <si>
    <t xml:space="preserve">171757
62615M</t>
  </si>
  <si>
    <t xml:space="preserve">Sandoz International GmbH
Polpharma Biologics SA</t>
  </si>
  <si>
    <t xml:space="preserve">Sandoz International GmbH,
located in Holzkirchen,
Germany, manufactures and
wholesales generic
pharmaceutical products. Its
therapeutic areas include
systemic anti-infectives,
hormone therapy,
respiratory, cardiovascular,
central nervous, and
gastrointestinal systems.
The Company was founded in
1886.
Polpharma Biologics SA is a
manufacturer of
pharmaceutical preparation.
The Company is located in
Gdansk, Poland.</t>
  </si>
  <si>
    <t xml:space="preserve">Germany
Poland</t>
  </si>
  <si>
    <t xml:space="preserve">Novartis AG
Polpharma Biologics SA</t>
  </si>
  <si>
    <t xml:space="preserve">Switzerland
Poland</t>
  </si>
  <si>
    <t xml:space="preserve">SANDOZ INTERNATIONAL GMBH/POLPHARMA BIOLOGICS SA-STRATEGIC ALLIANCE</t>
  </si>
  <si>
    <t xml:space="preserve">Sandoz International GmbH and Polpharma Biologics SA formed a strategic
alliance for development, manufacturing and supply of proposed biosimilar
natalizumab worldwide.</t>
  </si>
  <si>
    <t xml:space="preserve">Licensing Services
Research &amp; Development Services
Manufacturing Services
Supply Services
Health &amp; Medical Services</t>
  </si>
  <si>
    <t xml:space="preserve">79999E
6J3865</t>
  </si>
  <si>
    <t xml:space="preserve">Velabs Therapeutics Gmbh
Alytas Therapeutics Gmbh</t>
  </si>
  <si>
    <t xml:space="preserve">Velabs Therapeutics Gmbh is
a manufacturer of biological
products. The Company was
founded in 1970 and is
located in Heidelberg,
Germany.
Alytas Therapeutics GmbH is
a manufacturer of biological
products. The Company is
located in Jena, Germany.</t>
  </si>
  <si>
    <t xml:space="preserve">VELABS THERAPEUTICS GMBH/ALYTAS THERAPEUTICS GMBH-STRATEGIC ALLIANCE</t>
  </si>
  <si>
    <t xml:space="preserve">Velabs Therapeutics Gmbh and Alytas Therapeutics GmbH formed a strategic
alliance to leverage its proprietary microfluidic-based technology for
rapid functional antibody screening of antibodies with modulatory function
on complex signaling proteins.</t>
  </si>
  <si>
    <t xml:space="preserve">6J3508
6J3509</t>
  </si>
  <si>
    <t xml:space="preserve">Woolpert Inc
Ixblue Sas</t>
  </si>
  <si>
    <t xml:space="preserve">Provide eng,architectural svcs
Marinas</t>
  </si>
  <si>
    <t xml:space="preserve">Woolpert Inc, headquartered
in Dayton, Ohio, is a
provider of engineering,
architectural, geospatial
and related consulting
services to clients in the
public and private sectors.
The Company was founded in
1911.
Ixblue Sas is a marina
operator. The Company is
located in Marly-le-Roi,
France.</t>
  </si>
  <si>
    <t xml:space="preserve">8711
4493</t>
  </si>
  <si>
    <t xml:space="preserve">WOOLPERT INC/IXBLUE SAS-STRATEGIC ALLIANCE</t>
  </si>
  <si>
    <t xml:space="preserve">Woolpert Inc and Ixblue Sas formed a strategic alliance. The purpose of
strategic alliance was to provide aerial mapping services to clients in
Australia, New Zealand and across the South Pacific.</t>
  </si>
  <si>
    <t xml:space="preserve">98085H
6J7514</t>
  </si>
  <si>
    <t xml:space="preserve">BioMotiv LLC
Bristol-Myers Squibb Co</t>
  </si>
  <si>
    <t xml:space="preserve">BioMotiv LLC is a
manufacturer of biological
products. The company is
located in Cleveland, Ohio.
Bristol-Myers Squibb Co,
headquartered in New York
City, New York, manufactures
pharmaceuticals and medical
products. It also offers
health products, surgical
supplies and equipment,
toiletries, beauty aids,
household products, and dry,
condensed and evaporated
dairy products. Its
pharmaceutical products
include
chemically-synthesized or
small molecule drugs and
products produced from
biological processes such as
Opdivo, Eliquis, Orencia,
Sprycel, Yervoy, Baraclude,
the Reyataz Franchise, the
Sustiva Franchise, and the
Hepatitis C Franchise. Its
cardiovascular line-up
includes heart disease drug
Plavix, as well as Pravachol
(which lowers cholesterol)
and Avapro (for
hypertension). It also makes
antipsychotic medication
Abilify and drugs in a
number of other therapeutic
categories, particularly
oncology, virology
(including HIV), and
autoimmune disease. Its
brands include, Abilify,
Atripla, disoproxil, and
Avapro. The Company was
founded in 1887.</t>
  </si>
  <si>
    <t xml:space="preserve">OH
NY</t>
  </si>
  <si>
    <t xml:space="preserve">BIOMOTIV LLC/BRISTOL-MYERS SQUIBB CO-STRATEGIC ALLIANCE</t>
  </si>
  <si>
    <t xml:space="preserve">BioMotiv LLC and Bristol-Myers Squibb Co formed a strategic alliance to
form and fund new companies to develop novel therapeutics in disease areas
where unmet medical needs remain.</t>
  </si>
  <si>
    <t xml:space="preserve">8E8392
110122</t>
  </si>
  <si>
    <t xml:space="preserve">Universal Display Corp
LG Chem Ltd</t>
  </si>
  <si>
    <t xml:space="preserve">Manufacture diagnostic tests
Mnfr,whl petrochem,automotive</t>
  </si>
  <si>
    <t xml:space="preserve">Universal Display Corp,
located in Ewing, New
Jersey, specializes in
research, development and
commercialization of organic
light emitting diode, or
OLED, technologies and
materials. The company was
organized under the laws of
the Commonwealth of
Pennsylvania in April 1985.
LG Chem Ltd is a company
principally engaged in the
manufacture of petrochemical
materials. The Company
operates its business
through four segments. The
Basic Materials Segment is
mainly engaged in the
manufacture of basic
materials which are mainly
used for petrochemical
industry, and the products
include polyvinyl chloride
(PVC) resins, low-density
polyethylene (LDPE), poly
styrene (PS), acrylonitrile
butadiene styrene (ABS),
acrylate and others. The
Information and Electronic
Material Segment is mainly
engaged in the manufacture
of optics materials whose
main product is polarizing
plates. The Battery Segment
is mainly engaged in the
manufacture of rechargeable
batteries including mobile
phone, automobile and
storage batteries. And the
Material Industry segment
which is engaged in the
manufacture of electronic
materials include liquid
crystal display (LCD) and
the positive pole materials.
The Company was founded in
April 2001 and is located in
Seoul, South Korea.</t>
  </si>
  <si>
    <t xml:space="preserve">2835
2869</t>
  </si>
  <si>
    <t xml:space="preserve">UNIVERSAL DISPLAY CORP/LG CHEM LTD-STRATEGIC ALLIANCE</t>
  </si>
  <si>
    <t xml:space="preserve">Universal Display Corp and LG Chem Ltd formed a strategic alliance to work
together to develop and commercialize red, green and yellow OLED host
materials. LG Chem will be a local manufacturer of these host materials for
specific customers in Korea.</t>
  </si>
  <si>
    <t xml:space="preserve">91347P
50344E</t>
  </si>
  <si>
    <t xml:space="preserve">KemPharm Inc
Gurnet Point Capital Ltd</t>
  </si>
  <si>
    <t xml:space="preserve">Pharmaceutical Preparation Manufacturing
Financial Sponsor</t>
  </si>
  <si>
    <t xml:space="preserve">KemPharm Inc, located in
Celebration, Florida, is a
pharmaceutical company that
manufactures prodrugs to
improve attributes of
approved drugs such as
susceptibility to abuse,
bioavailability and safety.
The company's product
candidate, KP201, was
focused to treat epidemic of
opioid abuse in the United
States and other targets of
such as ADHD and central
nervous system
complications. The company
was founded on 2006.
Gurnet Point Capital Ltd,
located in Cambridge,
Massachusetts, is a private
equity and venture capital
firm specializing in seed,
growth capital,
acquisitions, market
expansion, and buyout
investments. The firm
primarily invests in life
sciences companies focusing
on therapeutics,
biotechnology, digital
health, health information,
and medical technologies.
The firm also makes
syndicate investments.</t>
  </si>
  <si>
    <t xml:space="preserve">KemPharm Inc
Waypoint Capital Partners LLC</t>
  </si>
  <si>
    <t xml:space="preserve">KEMPHARM INC/GURNET POINT CAPITAL LTD-STRATEGIC ALLIANCE</t>
  </si>
  <si>
    <t xml:space="preserve">KemPharm Inc and Gurnet Point Capital Ltd formed a strategic alliance to
provide for an exclusive worldwide license to develop, manufacture and
commercialize KemPharm's product candidates containing
serdexmethylphenidate (SDX) and d-methylphenidate (d-MPH), including
KemPharm's attention deficit and hyperactivity disorder (ADHD) product
candidates, KP415 and KP484.</t>
  </si>
  <si>
    <t xml:space="preserve">488445
0F9196</t>
  </si>
  <si>
    <t xml:space="preserve">Vineti Inc
Cryoport Inc</t>
  </si>
  <si>
    <t xml:space="preserve">Provide information tech svcs
Provides cold chain logistics services</t>
  </si>
  <si>
    <t xml:space="preserve">Vineti Inc, located in San
Francisco, California, is a
software publisher.
Cryoport Inc, located in
Irvine, California, provides
cold chain logistics
services. It develops
reusable cryogenic transport
containers capable of
transporting biological,
environmental and other
temperature sensitive
materials at temperatures
below zero degrees
centigrade. The company also
provides a cold chain frozen
shipping system dedicated to
providing superior,
affordable cryogenic
shipping solutions that
ensure the safety, status
and temperature, of high
value, temperature sensitive
materials. The Company was
founded in 1990.</t>
  </si>
  <si>
    <t xml:space="preserve">7376
4731</t>
  </si>
  <si>
    <t xml:space="preserve">VITRUVIAN NETWORKS INC/CRYOPORT INC-STRATEGIC ALLIANCE</t>
  </si>
  <si>
    <t xml:space="preserve">Vitruvian Networks Inc and Cryoport Inc formed a strategic alliance to
provide biopharmaceutical developers with a pre-integrated SCO and
temperature logistics system that will offer digital, optimized end-to-end
traceability and control.</t>
  </si>
  <si>
    <t xml:space="preserve">1K7317
229050</t>
  </si>
  <si>
    <t xml:space="preserve">CNC Software Inc
Imco Carbide Tool Inc</t>
  </si>
  <si>
    <t xml:space="preserve">Develop software
Cutting Tool and Machine Tool Accessory Manufacturing</t>
  </si>
  <si>
    <t xml:space="preserve">CNC Software Inc is a
software. The Company is
located in Tolland,
Connecticut.
Imco Carbide Tool Inc is a
manufacturer of accessories
for cutting and metal
forming machine tools. The
Company was founded in 1970
and is located in
Perrysburg, Ohio.</t>
  </si>
  <si>
    <t xml:space="preserve">7372
3545</t>
  </si>
  <si>
    <t xml:space="preserve">CNC SOFTWARE INC/IMCO CARBIDE TOOL INC-STRATEGIC ALLIANCE</t>
  </si>
  <si>
    <t xml:space="preserve">CNC Software Inc and Imco Carbide Tool Inc formed a strategic alliance. The
purpose of strategic alliance was for researches, designs, and
manufacturers high-performance cutting tools for a variety of applications
in the aerospace, automotive, medical, petrochemical, and manufacturing
industries.</t>
  </si>
  <si>
    <t xml:space="preserve">Research &amp; Development Services
Manufacturing Services
Health &amp; Medical Services
Airline Maintenance Services</t>
  </si>
  <si>
    <t xml:space="preserve">12592N
6J7649</t>
  </si>
  <si>
    <t xml:space="preserve">Theragnostics Ltd
AstraZeneca PLC</t>
  </si>
  <si>
    <t xml:space="preserve">Theragnostics Ltd is a
manufacturer of
pharmaceutical preparation.
The Company was founded in
July 2013 and is located in
London, the United Kingdom.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</si>
  <si>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THERAGNOSTICS LTD/ASTRAZENECA PLC-STRATEGIC ALLIANCE</t>
  </si>
  <si>
    <t xml:space="preserve">Theragnostics Ltd and AstraZeneca PLC formed a strategic alliance to
operate globally in the diagnostic field of certain selected
radionuclide-labelled PARPi (Poly (ADP-Ribose) Polymerase inhibitors) with
an option to an exclusive licence for freedom to operate globally in the
therapeutic field of certain selected radionuclide-labelled PARPi.</t>
  </si>
  <si>
    <t xml:space="preserve">7F7457
046353</t>
  </si>
  <si>
    <t xml:space="preserve">Theramed Health Corp
Undisclosed JV Partner</t>
  </si>
  <si>
    <t xml:space="preserve">Theramed Health Corp,
located in Vancouver,
British Columbia, is a
manufacturer of
pharmaceutical preparation.
It is a technology company
that offers automated
biomedical care (ABC) online
services for health
problems. The Company owns a
platform for
electro-physiologically
interactive computing (EPIC)
supporting
therapeutic-diagnostic
(theranostic) devices and
recommender applications for
personal health management.
Its offer is targeted at
people with cardio-metabolic
conditions seeking to
normalize blood pressure,
blood glucose levels, BMI
(weight) management and skin
conditions such as acne. The
Company integrates the
hardware Fully Automated
Signal Transduction (FAST)
medical device with the
(EPIC) system health care
software. The Company was
founded in November 2011.
Investment company</t>
  </si>
  <si>
    <t xml:space="preserve">THERAMED HEALTH CORP/UNDISCLOSED PARTNER-JOINT VENTURE</t>
  </si>
  <si>
    <t xml:space="preserve">Theramed Health Corp and Undisclosed Joint Venture Partner planned to form
joint venture. The purpose of joint venture is to develop the Asia Pacific
market from the Hong Kong SAR (Special Administration Region) for the
Company's licensed cardio-metabolic health system and any developed
products under the trade name EGF-Theramed Health.</t>
  </si>
  <si>
    <t xml:space="preserve">3J5550
904JVP</t>
  </si>
  <si>
    <t xml:space="preserve">Amer Brivision (Hldg) Corp
Biolite Inc</t>
  </si>
  <si>
    <t xml:space="preserve">American Brivision (Holding)
Corp is a manufacturer of
biological products. The
Company is located in
Goshen, New York.
Biolite Inc is a provider of
research and development
services. The Company was
founded in February 2006 and
is located in Japan.</t>
  </si>
  <si>
    <t xml:space="preserve">AMERICAN BRIVISION (HOLDING) CORP/BIOLITE INC-STRATEGIC ALLIANCE</t>
  </si>
  <si>
    <t xml:space="preserve">American Brivision (Holding) Corp and Biolite Inc formed a strategic
alliance to identify New Chemical Entities (NCEs), New Biological Entities
(NBEs), diagnostic tools, OTC companions, biomarkers, and/or medical
devices in the early stages of discovery and development, in-licensing and
conducting pre-clinical research as necessary.</t>
  </si>
  <si>
    <t xml:space="preserve">278880
6J6357</t>
  </si>
  <si>
    <t xml:space="preserve">WISeKey SA
Saudi Advanced Tech Co Ltd</t>
  </si>
  <si>
    <t xml:space="preserve">WISeKey SA is a software
publisher. The Company was
founded in 1999 and is
located in Geneva,
Switzerland.
Saudi Advanced Technologies
Co Ltd is a provider of
custom computer programming
services. The Company is
located in Aidabi, Saudi
Arabia.</t>
  </si>
  <si>
    <t xml:space="preserve">Switzerland
Saudi Arabia</t>
  </si>
  <si>
    <t xml:space="preserve">Wisekey Intl Hldg Ag
Saudi Advanced Tech Co Ltd</t>
  </si>
  <si>
    <t xml:space="preserve">WISEKEY SA/SAUDI ADVANCED TECHNOLOGIES CO LTD-JOINT VENTURE</t>
  </si>
  <si>
    <t xml:space="preserve">WISeKey SA and Saudi Advanced Technologies Co Ltd planned to form joint
venture. The purpose of joint venture is to implement a strategy for the
development of cybersecurity and IoT market in Saudi Arabia, with the
objective of expanding WISeKeys presence in the Middle East with the common
objective of establishment WISeKey Arabia as one of the countrys leading
providers of cybersecurity, Internet of Things (IoT) and Blockchain
services for the growing Middle East market.</t>
  </si>
  <si>
    <t xml:space="preserve">97729T
6J7573</t>
  </si>
  <si>
    <t xml:space="preserve">Sberbank Rossii PAO
McDonald's Corp</t>
  </si>
  <si>
    <t xml:space="preserve">Bank
Limited-Service Restaurants</t>
  </si>
  <si>
    <t xml:space="preserve">Sberbank Rossii PAO, located
in Moscow, Russian
Federation, is a bank, which
provides corporate and
retail banking services. The
Company operates in two
segments: retail banking and
corporate banking. The
retail banking segment
involves in private customer
current accounts, savings,
deposits, custody, debit
cards, consumer loans, and
mortgages businesses. The
corporate banking segment
represents operations with
securities, current
accounts, deposits,
overdrafts, loans and other
credit facilities, foreign
currency and derivative
products. It was founded in
1841.
McDonald's Corp is a
limited-service restaurant
operator. The Company's
restaurants serve a locally
relevant menu of food and
drinks sold at various price
points in over 100
countries. The Company's
segments include U.S.,
International Lead Markets,
High Growth Markets, and
Foundational Markets and
Corporate. The U.S. segment
focuses on offering a
platform for authentic
ingredients that allows
customers to customize their
sandwiches. Its High Growth
Markets segment includes its
operations in markets, such
as China, Italy, Korea,
Poland, Russia, Spain,
Switzerland, the Netherlands
and related markets. The
International Lead markets
segment includes the
Company's operations in
various markets, such as
Australia, Canada, France,
Germany, the United Kingdom
Foundational markets and
Corporate segment is engaged
in operating restaurants and
increasing convenience to
customers, including through
drive-thru and delivery. The
Company was founded in 1940
and is located in Chicago,
Illinois.</t>
  </si>
  <si>
    <t xml:space="preserve">6000
5812</t>
  </si>
  <si>
    <t xml:space="preserve">SBERBANK ROSSII PAO/MCDONALD'S CORP-STRATEGIC ALLIANCE</t>
  </si>
  <si>
    <t xml:space="preserve">Sberbank Rossii PAO and McDonald's Corp formed a strategic alliance in
Russia to develop cooperation in the areas of project finance, consumer
market studies , loyalty programs and development of digital ecosystem. The
agreement also provides for development of innovative food service concepts
where McDonalds outlets are combined with Sberbank branches with joint
waiting area and other alternatives that are under discussion.</t>
  </si>
  <si>
    <t xml:space="preserve">Research &amp; Development Services
Restaurant &amp; Catering Services</t>
  </si>
  <si>
    <t xml:space="preserve">80584P
580135</t>
  </si>
  <si>
    <t xml:space="preserve">Sumitomo Dainippon Pharma Co
Roivant Sciences Ltd</t>
  </si>
  <si>
    <t xml:space="preserve">Manufacture, wholesale pharma production, chemical
Research and Development in Biotechnology</t>
  </si>
  <si>
    <t xml:space="preserve">Sumitomo Dainippon Pharma Co
Ltd is a manufacturer of
pharmaceutical preparation.
The Company was founded in
May 1897 and is located in
Osaka-Shi Osaka, Japan.
Roivant Sciences Ltd is a
provider of biotechnology
research and development
services. Roivant improves
health by rapidly delivering
medicines and technologies to
patients. Roivant does this by
building Vants entrepreneurial
biotech and healthcare
companies with a aligning
incentives, and deploying
technology to drive greater
efficiency in R&amp;D and
commercialization. Roivant
today is comprised of a
central technology-enabled
platform and 20 Vants with
over 45 investigational
medicines in clinical and
preclinical development and
multiple healthcare
technologies. It also acts as
a holding company. The Company
was founded in April 2014 and
is located in Basel,
Switzerland.</t>
  </si>
  <si>
    <t xml:space="preserve">Sumitomo Chemical Co Ltd
Roivant Sciences Ltd</t>
  </si>
  <si>
    <t xml:space="preserve">SUMITOMO DAINIPPON PHARMA CO LTD/ROIVANT SCIENCES LTD-STRATEGIC ALLIANCE</t>
  </si>
  <si>
    <t xml:space="preserve">Sumitomo Dainippon Pharma Co Ltd and Roivant Sciences Ltd formed a
strategic alliance in Switzerland &amp; Japan to develop and commercialize
innovative therapies for urologic conditions.</t>
  </si>
  <si>
    <t xml:space="preserve">J10542
2J4396</t>
  </si>
  <si>
    <t xml:space="preserve">EA Pharma Co Ltd
Natl Ctr Of Neurology And</t>
  </si>
  <si>
    <t xml:space="preserve">Pharmaceutical Preparation Manufacturing
General Medical and Surgical Hospitals</t>
  </si>
  <si>
    <t xml:space="preserve">EA Pharma Co Ltd is a
manufacturer of
pharmaceutical preparation.
The Company was founded in
April 2010 and is located in
Chuo-Ku Tokyo, Japan.
National Center Of Neurology
And Psychiatry is a hospital
operator. The Company is
located in Kodaira-shi,
Japan.</t>
  </si>
  <si>
    <t xml:space="preserve">Eisai Co Ltd
Natl Ctr Of Neurology And</t>
  </si>
  <si>
    <t xml:space="preserve">EA PHARMA CO LTD/NATIONAL CENTER OF NEUROLOGY AND PSYCHIATRY-STRATEGIC
ALLIANCE</t>
  </si>
  <si>
    <t xml:space="preserve">EA Pharma Co Ltd and National Center Of Neurology And Psychiatry formed a
strategic alliance. The purpose of strategic alliance was or development,
manufacture and marketing for all indications of OCH-NCNP1, which is under
development by NCNP.</t>
  </si>
  <si>
    <t xml:space="preserve">5E0204
7J0734</t>
  </si>
  <si>
    <t xml:space="preserve">University of Exeter
BMT Group Ltd</t>
  </si>
  <si>
    <t xml:space="preserve">University
Pvd maritime engineering svcs</t>
  </si>
  <si>
    <t xml:space="preserve">University
BMT Group Ltd is a provider
of engineering services. It
provides maritime
engineering services,
design, engineering and risk
management consultancy
services. It offers a broad
range of services,
particularly in the defense,
energy, environment,
shipping and ports and
logistics sectors. It was
founded in 1985. The Company
was founded in 1985 and is
located in Teddington, the
United Kingdom.</t>
  </si>
  <si>
    <t xml:space="preserve">8221
8711</t>
  </si>
  <si>
    <t xml:space="preserve">UNIVERSITY OF EXETER/BMT GROUP LTD-STRATEGIC ALLIANCE</t>
  </si>
  <si>
    <t xml:space="preserve">University of Exeter and BMT Group Ltd formed a strategic alliance.will
help support the development of future research and technology, the sharing
of expertise and the development of new insights.</t>
  </si>
  <si>
    <t xml:space="preserve">91425P
06428E</t>
  </si>
  <si>
    <t xml:space="preserve">CITIC Ltd
China Shipbldg Ind Sys
Shenzhen Baize Investment Ltd
Cssc Financial Leasing Co Ltd</t>
  </si>
  <si>
    <t xml:space="preserve">Miscellaneous Financial Investment Activities
Research and Development in The Physical, Engineering and Lifesciences (Except Biotechnology)
Investment Advice
Sales Financing</t>
  </si>
  <si>
    <t xml:space="preserve">CITIC Ltd is an investment
holding company. Along with
its subsidiaries, the
Company is engaged in
financial services, real
estate and infrastructure,
engineering contracting,
resources and energy and
manufacturing, as well as
other businesses both in
China and overseas. Its
subsidiaries include CITIC
Bank, CITIC Securities,
CITIC Finance, CITIC Real
Estate, CITIC Construction,
CITIC Resources, CITIC
Engineering, CITIC Pacific
Mining, CITIC telecom
International, Daye Special
Steel Co Ltd, Korean Steel
Pty Ltd, Shanghai Super
Property Co Ltd, Borgia Ltd
and Sunburst Energy
Development Co Ltd.The
Company is located in Hong
Kong.
China Shipbuilding Industry
Systems Engineering Research
Institute is a provider of
research and development
services. The Company is
located in China.
Shenzhen Baize Investment
Ltd is a investment advisor.
The Company is located in
China.
Cssc Financial Leasing Co
Ltd is a provider of sales
financing services. The
Company is located in
Shanghai, China.</t>
  </si>
  <si>
    <t xml:space="preserve">6289
3721
6282
6141</t>
  </si>
  <si>
    <t xml:space="preserve">CITIC Group Corp
China Shipbldg Ind Sys
Shenzhen Baize Investment Ltd
Cssc Financial Leasing Co Ltd</t>
  </si>
  <si>
    <t xml:space="preserve">6799
3721
6282
6141</t>
  </si>
  <si>
    <t xml:space="preserve">CITIC LTD/CHINA SHIPBLDG IND SYS/SHENZHEN BAIZE INVESTMENT LTD/CSSC
FINANCIAL LEASING CO LTD-JOINT VENTURE</t>
  </si>
  <si>
    <t xml:space="preserve">Zhendui Industrial
Intelligent Technology Co
Ltd is a provider of
biotechnology research and
development services. The
Company is located in China.</t>
  </si>
  <si>
    <t xml:space="preserve">CITIC Ltd, China Shipbuilding Industry Systems Engineering Research
Institute, Shenzhen Baize Investment Ltd and Cssc Financial Leasing Co Ltd
formed a 31:31:20:18 joint venture named Zhendui Industrial Intelligent
Technology Co Ltd to provide biotechnology research and development
services.The JV was to have a cost of USD 13.99 million.The Company is
located in China.</t>
  </si>
  <si>
    <t xml:space="preserve">31.00
31.00
20.00
18.00</t>
  </si>
  <si>
    <t xml:space="preserve">The registered capital of the JV Company shall be RMB100 million (USD 13.99
million).</t>
  </si>
  <si>
    <t xml:space="preserve">8J5737</t>
  </si>
  <si>
    <t xml:space="preserve">2C6008
8J5731
8J5728
8J5727</t>
  </si>
  <si>
    <t xml:space="preserve">Swift Navigation Inc
Arm Ltd</t>
  </si>
  <si>
    <t xml:space="preserve">Vehicular Lighting Equipment Manufacturing
Semiconductor and Related Device Manufacturing</t>
  </si>
  <si>
    <t xml:space="preserve">Swift Navigation Inc is a
manufacturer of vehicular
lighting equipment. The
Company provides precise
positioning solutions for
automotive, autonomous
vehicle, mobile and mass
market applications. The
Company was founded in 2012
and is located in San
Francisco, California.
ARM Ltd is a manufacturer of
semiconductors and related
device. The Company was
founded in 1990 and is
located in Cambridge, the
United Kingdom.</t>
  </si>
  <si>
    <t xml:space="preserve">3647
3674</t>
  </si>
  <si>
    <t xml:space="preserve">Swift Navigation Inc
SoftBank Group Corp</t>
  </si>
  <si>
    <t xml:space="preserve">3647
4812</t>
  </si>
  <si>
    <t xml:space="preserve">SWIFT NAVIGATION INC/ARM LTD-STRATEGIC ALLIANCE</t>
  </si>
  <si>
    <t xml:space="preserve">Swift Navigation Inc and Arm Ltd formed a strategic alliance in United
States &amp; United Kingdom to offer high-integrity, high-accuracy GNSS
positioning solutions as an option on Arm-based platforms to developers of
autonomous and connected vehicles.</t>
  </si>
  <si>
    <t xml:space="preserve">6F3332
04321X</t>
  </si>
  <si>
    <t xml:space="preserve">Gruenenthal GmbH
Mesoblast Ltd</t>
  </si>
  <si>
    <t xml:space="preserve">Gruenenthal GmbH is a
manufacturer of
pharmaceutical preparation.
The Company manufactures,
develops and wholesales
pharmaceuticals. Its
products include analgesics,
oral contraceptives and
pharmaceuticals for the
treatment of respiratory
tract diseases. The Company
was founded in December 1946
and is located in Aachen,
Germany.
Mesoblast Ltd is a
biotechnology company,
headquartered in Melbourne,
Victoria, Australia. It is
committed to the development
of novel treatment for
orthopedic conditions,
including commercialization
of unique adult stem cells
to regenerate and repair
bone and cartilage. The
company was founded in 2004.</t>
  </si>
  <si>
    <t xml:space="preserve">GRUENENTHAL GMBH/MESOBLAST LTD-STRATEGIC ALLIANCE</t>
  </si>
  <si>
    <t xml:space="preserve">Gruenenthal GmbH and Mesoblast Ltd formed a strategic alliance to develop
and commercialise MPC-06-ID, a Phase III allogeneic cell therapy candidate
for the treatment of chronic low back pain due to degenerative disc disease
in patients who have exhausted conservative treatment options. Under the
partnership, Grnenthal will have exclusive commercialisation rights to
MPC-06-ID for Europe and Latin America. The Strategic Alliance was to have
a estimated cost of USD 150 mil.</t>
  </si>
  <si>
    <t xml:space="preserve">The Strategic Alliance was to have a estimated cost of USD 150 mil.</t>
  </si>
  <si>
    <t xml:space="preserve">40012M
590717</t>
  </si>
  <si>
    <t xml:space="preserve">Prevacus Inc
Odyssey Group International</t>
  </si>
  <si>
    <t xml:space="preserve">Prevacus, Inc., a drug
development company, is
engaged in the prevention
and treatment of mild
traumatic brain injury or
concussion
Odyssey Group International
Inc, located in Las Vegas,
Nevada, was formed for the
purpose of distributing
athletic enhancement products
throughout the United States.
The company was founded on
March 19, 2014.</t>
  </si>
  <si>
    <t xml:space="preserve">PREVACUS INC/ODYSSEY GROUP INTERNATIONAL INC-STRATEGIC ALLIANCE</t>
  </si>
  <si>
    <t xml:space="preserve">Prevacus Inc and Odyssey Group International Inc formed a strategic
alliance to develop a proprietary neurosteroid for treating pediatric
Niemann Pick Type C Disease.</t>
  </si>
  <si>
    <t xml:space="preserve">1J5124
4C6204</t>
  </si>
  <si>
    <t xml:space="preserve">Two Six Labs LLC
Gemedy Inc</t>
  </si>
  <si>
    <t xml:space="preserve">Two Six Labs LLC is a
provider of custom computer
programming services. The
Company is a leading and
highly respected provider of
advanced R&amp;D and
breakthrough technologies
for the U.S. Government. The
Company was founded in 2009
and is located in Arlington,
Virginia.
Gemedy Inc is a software
publisher. The Company is a
leading provider of
artificial
intelligence-based software
and systems. The Company was
founded in 2011 and is
located in Cambridge,
Massachusetts.</t>
  </si>
  <si>
    <t xml:space="preserve">VA
MA</t>
  </si>
  <si>
    <t xml:space="preserve">TWO SIX LABS LLC/GEMEDY INC-STRATEGIC ALLIANCE</t>
  </si>
  <si>
    <t xml:space="preserve">Two Six Labs LLC and Gemedy Inc planned to form a strategic alliance in
United States for continued development of cybersecurity technologies. The
new Strategic Alliance will focus on further developing cybersecurity
technologies to support mission-critical activities, including in the areas
of cyber operations, mission management, security orchestration, automated
response, intuitive data visualizations, big-data integration, and threat
intelligence management.</t>
  </si>
  <si>
    <t xml:space="preserve">6J6213
6J6215</t>
  </si>
  <si>
    <t xml:space="preserve">Passage Bio Inc
University of Pennsylvania</t>
  </si>
  <si>
    <t xml:space="preserve">Passage Bio Inc, located in
Philadelphia, Pennsylvania, is
a United States-based genetic
medicines company. The Company
is focused on developing
therapies for the treatment of
rare monogenic central nervous
system diseases. The
Company''s products pipeline
includes GM1 gangliosidosis,
frontotemporal dementia and
krabbe disease. The Company
has a research, collaboration
and license agreement with the
University of Pennsylvania and
its gene therapy program (GTP)
as well as the orphan disease
center (ODC). The Company
discovers and develop
life-transforming therapies
for patients with rare
monogenic CNS diseases. The
Company was founded in July
26, 2017.
Own and operate university</t>
  </si>
  <si>
    <t xml:space="preserve">PASSAGE BIO INC/UNIVERSITY OF PENNSYLVANIA-STRATEGIC ALLIANCE</t>
  </si>
  <si>
    <t xml:space="preserve">Passage Bio Inc and University of Pennsylvania formed a strategic alliance
for the clinical development of a potential treatment for patients with
Charcot-Marie-Tooth Neuropathy Type 2A (CMT2A).</t>
  </si>
  <si>
    <t xml:space="preserve">702712
91476C</t>
  </si>
  <si>
    <t xml:space="preserve">TIAP LP
Amgen Inc</t>
  </si>
  <si>
    <t xml:space="preserve">Financial Sponsor
Manufacture human therapeutics</t>
  </si>
  <si>
    <t xml:space="preserve">Toronto Innovation
Acceleration Partners LP is
a financial sponsor. The
Company was founded in 2014
and is located in Toronto,
Canada.
Amgen Inc, headquartered in
Thousand Oaks, California,
manufactures human
therapeutics products. It
develops human therapeutics
focused on the development
of novel products based on
advances in recombinant DNA
and molecular biology. Its
therapeutics is focused on
the treatment of cancer,
kidney disease, rheumatoid
arthritis, bone disease, and
other serious illnesses. The
Company was founded in April
8, 1980.</t>
  </si>
  <si>
    <t xml:space="preserve">TORONTO INNOVATION ACCELERATION PARTNERS LP/AMGEN INC-STRATEGIC ALLIANCE</t>
  </si>
  <si>
    <t xml:space="preserve">Toronto Innovation Acceleration Partners LP and Amgen Inc formed a
strategic alliance in Canada to jointly fund nascent technologies managed
by TIAP on behalf of its Toronto-based member institutions. The two
organizations will collaborate in a proactive manner to identify disruptive
technologies derived from transformational discovery research conducted by
the scientific community of Toronto.</t>
  </si>
  <si>
    <t xml:space="preserve">6J5909
031162</t>
  </si>
  <si>
    <t xml:space="preserve">ProBioGen AG
Bayer AG</t>
  </si>
  <si>
    <t xml:space="preserve">ProBioGen AG, located in
Berlin, Germany, is a
biotechnology company. The
company is specialized in
mammalian cell technology.
The company was founded in
1994.
Bayer AG, located in
Leverkusen, Germany,
manufactures organic
chemicals. The Company was
founded in August 1863.</t>
  </si>
  <si>
    <t xml:space="preserve">Triquera BV
Bayer AG</t>
  </si>
  <si>
    <t xml:space="preserve">PROBIOGEN AG/BAYER AG-STRATEGIC ALLIANCE</t>
  </si>
  <si>
    <t xml:space="preserve">ProBioGen AG and Bayer AG formed a strategic alliance for the GlymaxX
Technology &amp; leverage the technology to further increase the potency of an
undisclosed antibody candidate for oncological indications.</t>
  </si>
  <si>
    <t xml:space="preserve">74564E
072730</t>
  </si>
  <si>
    <t xml:space="preserve">Troy Medicare Inc
PeakTPA LLC</t>
  </si>
  <si>
    <t xml:space="preserve">All Other Miscellaneous Ambulatory Health Care Services
All Other Miscellaneous Ambulatory Health Care Services</t>
  </si>
  <si>
    <t xml:space="preserve">Troy Medicare Inc is a
provider of ambulatory
health care services. The
Company is located in
Charlotte, North Carolina.
PeakTPA LLC is a provider of
ambulatory health care
services. The Company is
located in Moorestown, New
Jersey.</t>
  </si>
  <si>
    <t xml:space="preserve">Troy Medicare Inc
Tabula Rasa Healthcare Inc</t>
  </si>
  <si>
    <t xml:space="preserve">TROY MEDICARE INC/PEAKTPA LLC-STRATEGIC ALLIANCE</t>
  </si>
  <si>
    <t xml:space="preserve">Troy Medicare Inc and PeakTPA LLC formed a strategic alliance in United
States to leverage technology so that they could provide innovative care
co-ordination.</t>
  </si>
  <si>
    <t xml:space="preserve">6J5556
6J5559</t>
  </si>
  <si>
    <t xml:space="preserve">George Washington Univ Hosp
Novarad Corp</t>
  </si>
  <si>
    <t xml:space="preserve">Own,op medical hospital
All Other Miscellaneous Ambulatory Health Care Services</t>
  </si>
  <si>
    <t xml:space="preserve">Own and operate medical
hospital
Novarad Corp is a provider
of ambulatory health care
services. The Company was
founded in September 1997
and is located in American
Fork, Utah.</t>
  </si>
  <si>
    <t xml:space="preserve">DC
UT</t>
  </si>
  <si>
    <t xml:space="preserve">Universal Health Services Inc
Novarad Corp</t>
  </si>
  <si>
    <t xml:space="preserve">8063
8099</t>
  </si>
  <si>
    <t xml:space="preserve">GEORGE WASHINGTON UNIVERSITY/NOVARAD CORP-STRATEGIC ALLIANCE</t>
  </si>
  <si>
    <t xml:space="preserve">George Washington University Hospital(Universal Health Svcs,George) and
Novarad Corp formed a strategic alliance implementation of an augmented
reality (AR) medical solution in a surgical setting.</t>
  </si>
  <si>
    <t xml:space="preserve">37254M
6J6315</t>
  </si>
  <si>
    <t xml:space="preserve">Futura Medical PLC
CBDerma Technology Ltd</t>
  </si>
  <si>
    <t xml:space="preserve">Manufacture pharmaceutical product
Biological Product (Except Diagnostic) Manufacturing</t>
  </si>
  <si>
    <t xml:space="preserve">Futura Medical PLC is a
manufacturer of
pharmaceutical preparation.
The Company is located in
Guildford, the United
Kingdom.
CBDerma Technology Ltd is a
manufacturer of biological
products. The Company was
founded in August 2019 and
is located in Bristol, the
United Kingdom.
United Kingdom.</t>
  </si>
  <si>
    <t xml:space="preserve">FUTURA MEDICAL PLC/CBDERMA TECHNOLOGY LTD-JOINT VENTURE</t>
  </si>
  <si>
    <t xml:space="preserve">Futura Medical PLC and Cbderma Technology Ltd formed joint venture in
United Kingdom to explore the application of Futura's advanced proprietary
transdermal drug delivery technology, DermaSys for delivery of Cannabidiol.
All Intellectual Property will be owned jointly by the Company and CBDerma
Technology Ltd.</t>
  </si>
  <si>
    <t xml:space="preserve">36098Z
6J5176</t>
  </si>
  <si>
    <t xml:space="preserve">Civica Inc
Exela Holdings Inc</t>
  </si>
  <si>
    <t xml:space="preserve">Civica Inc, located in Salt
Lake City, Utah, is a
manufacturer of
pharmaceutical preparation.
Civica Rx (the initiative
previously known as Project
Rx) is a new not-for-profit
generic drug company that
will help patients by
addressing shortages and
high prices of lifesaving
generic medications. The
Company was founded in May
2018.
Exela Holdings Inc, located
in Lenoir, North Carolina,
is a specialty
pharmaceutical company
focused on pharmaceutical
products and drug shortage
products. It develops and
manufactures injectable and
sterile ophthalmic products.</t>
  </si>
  <si>
    <t xml:space="preserve">UT
NC</t>
  </si>
  <si>
    <t xml:space="preserve">CIVICA INC/EXELA HOLDINGS INC-STRATEGIC ALLIANCE</t>
  </si>
  <si>
    <t xml:space="preserve">Civica Inc and Exela Holdings Inc planned to form a strategic alliance in
United States to manufacture and supply Civica's growing membership of US
health systems with sodium bicarbonate injection, which has been in
critically short supply in US hospitals.</t>
  </si>
  <si>
    <t xml:space="preserve">Manufacturing Services
Supply Services
Health &amp; Medical Services
Research &amp; Development Services</t>
  </si>
  <si>
    <t xml:space="preserve">5J3981
2F1414</t>
  </si>
  <si>
    <t xml:space="preserve">Xti Aircraft Co
Science Bake Co
Guiyang Digital Finl Invest
Undisclosed JV Partner</t>
  </si>
  <si>
    <t xml:space="preserve">Other Support Activities For Air Transportation
Miscellaneous Intermediation
Miscellaneous Intermediation
Investment company</t>
  </si>
  <si>
    <t xml:space="preserve">Xti Aircraft Co is a
provider of air
transportation support
services. The Company was
founded in 1970 and is
located in Greenwood
Village, Colorado.
Science Bake Co is an
intermediating company. The
Company is located in
Israel.
Guiyang Digital Financial
Investment Co is an
intermediating company. The
Company is located in
Israel.
Investment company</t>
  </si>
  <si>
    <t xml:space="preserve">4581
6799
6799
6799</t>
  </si>
  <si>
    <t xml:space="preserve">United States
Israel
Israel
Unknown</t>
  </si>
  <si>
    <t xml:space="preserve">CO
FF
FF
FF</t>
  </si>
  <si>
    <t xml:space="preserve">XTI AIRCRAFT CO/SCIENCE BAKE CO/GUIYANG DIGITAL FINANCIAL INVESTMENT
CO/UNDISCLOSED PARTNER-JOINT VENTURE</t>
  </si>
  <si>
    <t xml:space="preserve">Xti Aircraft Co, Merkantilbygg AS, Merkantilbygg AS and Undisclosed Joint
Venture Partner formed joint venture. The purpose of the joint Venture is
to establish a manufacturing base of a vertical takeoff and landing
airplane, as well as related marketing, training and maintenance centers
for the Asia-Pacific region in Guizhou.</t>
  </si>
  <si>
    <t xml:space="preserve">The value of investment is 2.8 million.</t>
  </si>
  <si>
    <t xml:space="preserve">3J9450
6J6448
6J6449
904JVP</t>
  </si>
  <si>
    <t xml:space="preserve">BlueCats Australia Pty Ltd
Decawave Ltd</t>
  </si>
  <si>
    <t xml:space="preserve">Integrated Location Platform and Bluetooth Equipment Manufacturing
Semiconductor and Related Device Manufacturing</t>
  </si>
  <si>
    <t xml:space="preserve">BlueCats Australia Pty Ltd,
located in Milsons Point,
Australia is a manufacturer
of integrated location
platform and bluetooth
equipment. They provide
Bluetooth, Ultra Wide-Band
and GPS tracking data in
Real Time. Industries served
include construction, oil,
gas, mining, industrial and
hospitality. The Company was
founded in 2009.
Decawave Ltd is a
manufacturer of
semiconductors and related
device. The Company is
located in Dublin, the
Republic of Ireland.</t>
  </si>
  <si>
    <t xml:space="preserve">Australia
Ireland-Rep</t>
  </si>
  <si>
    <t xml:space="preserve">BLUECATS AUSTRALIA PTY LTD/DECAWAVE LTD-STRATEGIC ALLIANCE</t>
  </si>
  <si>
    <t xml:space="preserve">BlueCats Australia Pty Ltd and Decawave Ltd planned to form a strategic
alliance in Australia &amp; Ireland to develop a new generation of tracking
solutions &amp; also to create an RTLS that can truly scale.</t>
  </si>
  <si>
    <t xml:space="preserve">6J6097
9F2471</t>
  </si>
  <si>
    <t xml:space="preserve">Kensho
Authorea Inc
Opens Beta</t>
  </si>
  <si>
    <t xml:space="preserve">Offices Of All Other Miscellaneous Health Practitioners
Data Processing, Hosting, and Related Services
Computer Systems Design Services</t>
  </si>
  <si>
    <t xml:space="preserve">Kensho is a health
practitioner office
operator. The Company is
located in Venice,
California.
Authorea Inc is a provider
of data processing and
hosting services. The
Company was founded in 2012
and is located in Hoboken,
New Jersey. It offers its
customers to write their
research using Markdown,
LaTeX, HTML, and plain text;
to cite sources using the
Companys citation tool; to
collaborate with other
researchers; to host data in
one place; and to publish
their work. The Company was
founded in 2012.
Opens Beta is a provider of
computer systems design
services. The Company is
located in the United
Kingdom.</t>
  </si>
  <si>
    <t xml:space="preserve">8049
7374
7373</t>
  </si>
  <si>
    <t xml:space="preserve">CA
NJ
FF</t>
  </si>
  <si>
    <t xml:space="preserve">KENSHO/AUTHOREA INC/OPENS BETA-STRATEGIC ALLIANCE</t>
  </si>
  <si>
    <t xml:space="preserve">Kensho, Authorea Inc and Opens Beta formed a strategic alliance solving for
holistic health's provider curation and consumer trust challenges with a
personalized discovery platform that leverages in-depth scientific research
to customize provider recommendations based on a wide range of
considerations, including a user's symptoms, goals, lifestyle, and
preferences.</t>
  </si>
  <si>
    <t xml:space="preserve">6J8618
1F9121
6J8619</t>
  </si>
  <si>
    <t xml:space="preserve">Brain Health &amp; Research Inst
Posit Science Corp</t>
  </si>
  <si>
    <t xml:space="preserve">All Other Miscellaneous Ambulatory Health Care Services
Dvlp science based programs</t>
  </si>
  <si>
    <t xml:space="preserve">Brain Health &amp; Research
Institute Pllc is a provider
of ambulatory health care
services. The Company was
founded in April 2019 and is
located in Seattle,
Washington.
Posit Science Corporation,
located in San Francisco,
California, develops science
based brain health programs.
The company was founded in
2003.</t>
  </si>
  <si>
    <t xml:space="preserve">BRAIN HEALTH &amp; RESEARCH INSTITUTE PLLC/POSIT SCIENCE CORP-STRATEGIC
ALLIANCE</t>
  </si>
  <si>
    <t xml:space="preserve">Brain Health Research Institute Pllc and Posit Science Corp formed a
strategic alliance. The purpose of strategic alliance was to help them in
developing the best clinical practices in the world for integrating BrainHQ
into their revolutionary approaches to the cognitive care of patients.</t>
  </si>
  <si>
    <t xml:space="preserve">6J6317
73748H</t>
  </si>
  <si>
    <t xml:space="preserve">R3 Holdco LLC
Mastercard Inc</t>
  </si>
  <si>
    <t xml:space="preserve">Financial Transactions Processing, Reserve, and Clearinghouse Activities
Global payments technology company</t>
  </si>
  <si>
    <t xml:space="preserve">R3 Holdco LLC is a provider
of financial transactions
services. The Company was
founded in February 2016 and
is located in New York.
MasterCard Inc, located in
Purchase, New York, is a
global payments technology
company. It develops and
markets payment solutions,
process payment transactions
and provides consulting and
information services to
customers and merchants. It
manages a family of payment
card brands that include
MasterCard, MasterCard
Electronic, Maestro and
Cirrus. It also establishes
and enforces rules and
standards surrounding the
use of the payment card
system. The Company was
founded in November 1966.</t>
  </si>
  <si>
    <t xml:space="preserve">6099
7389</t>
  </si>
  <si>
    <t xml:space="preserve">R3 HOLDCO LLC/MASTERCARD INC-STRATEGIC ALLIANCE</t>
  </si>
  <si>
    <t xml:space="preserve">R3 Holdco LLC and Mastercard Inc formed a strategic alliance in United
States to develop and pilot a new blockchain-enabled cross-border payments
solution that will initially focus on connecting global faster payments
infrastructures, schemes and banks supported by a clearing and settlement
network operated by Mastercard.</t>
  </si>
  <si>
    <t xml:space="preserve">9H9562
57636Q</t>
  </si>
  <si>
    <t xml:space="preserve">Dance Biopharm Inc
Dariohealth Corp</t>
  </si>
  <si>
    <t xml:space="preserve">Biotechnology company
Surgical Appliance and Supplies Manufacturing</t>
  </si>
  <si>
    <t xml:space="preserve">Dance Biopharm Inc is a
biotechnology company
headquartered in San
Francisco and with locations
in United States. The
company focused on the
clinical development of
inhaled insulin products to
treat diabetes patients
world wide. Founded in 2009.
DarioHealth Corp is a
manufacturer of surgical
appliance and supplies. The
Company was founded in
August 2011 and is located
in Newark, Delaware.</t>
  </si>
  <si>
    <t xml:space="preserve">DANCE BIOPHARM INC/DARIOHEALTH CORP-STRATEGIC ALLIANCE</t>
  </si>
  <si>
    <t xml:space="preserve">Dance Biopharm Inc and DarioHealth Corp formed a strategic alliance in
United States to expand access to a personalized digital health management
platform for patients with chronic diseases. Under the terms of the
agreement, Dance Biopharm will integrate its gentle mist smart inhaler into
DarioHealth's digital therapeutics platform to provide patients automated,
real-time treatment data through an advanced mobile application.</t>
  </si>
  <si>
    <t xml:space="preserve">7A1352
23725P</t>
  </si>
  <si>
    <t xml:space="preserve">Tubulis Gmbh
Glycotope GmbH</t>
  </si>
  <si>
    <t xml:space="preserve">Tubulis Gmbh is a
manufacturer of biological
products. The Company is
located in Munich, Germany.
Glycotope GmbH is a provider
of biotechnology research and
development services. The
Company was founded in 2001
and is located in Berlin,
Germany.</t>
  </si>
  <si>
    <t xml:space="preserve">TUBULIS GMBH/GLYCOTOPE GMBH-STRATEGIC ALLIANCE</t>
  </si>
  <si>
    <t xml:space="preserve">Tubulis Gmbh and Glycotope GmbH formed a strategic alliance in Germany for
the Discovery of Antibody Drug Conjugates. Glycotope will have
non-exclusive access to Tubulis Tub-tag technology for one of its ADC
candidates. Tub-tag allows for site-specific and stable ADC conjugation by
implementing biology-inspired aspects for enhanced ADC stability.</t>
  </si>
  <si>
    <t xml:space="preserve">6J6488
2E1738</t>
  </si>
  <si>
    <t xml:space="preserve">Atomwise Inc
Atropos Therapeutics Inc</t>
  </si>
  <si>
    <t xml:space="preserve">Atomwise Inc, located in San
Francisco, California, is a
biotechnology company that
uses artificial intelligence
systems to help discover new
medicines and agricultural
compounds. It has developed
AtomNet, which is a deep
learning technology for
small molecule discovery.
Its drug research technology
is applicable to infectious
diseases, neurological
diseases and cancers.
Atropos Therapeutics Inc is
a manufacturer of biological
products. The Company was
founded in 2018 and is
located in Belmont,
California.</t>
  </si>
  <si>
    <t xml:space="preserve">ATOMWISE INC/ATROPOS THERAPEUTICS INC-JOINT VENTURE</t>
  </si>
  <si>
    <t xml:space="preserve">Atomwise Inc and Atropos Therapeutics Inc formed a joint venture in United
States to discover and advance a pipeline of compounds for promising
discovery targets for the treatment of cancer.</t>
  </si>
  <si>
    <t xml:space="preserve">6H1392
6J6484</t>
  </si>
  <si>
    <t xml:space="preserve">Zebra Medical Vision Inc
Medsynaptic Pvt Ltd</t>
  </si>
  <si>
    <t xml:space="preserve">Zebra Medical Vision Inc,
located in Kibbutz Shefayim,
Israel. is a medical
software publisher. Its
Imaging Analytics Platform
gives healthcare
institutions tools to
potentially identify
patients at risk of disease.
The Company was founded in
2014.
Medsynaptic Pvt Ltd is a
software publisher. The
Company is the leading PACS
(Picture Archival &amp;
Communications System) &amp;
Teleradiology company from
India developing cutting
edge Healthcare IT
solutions. With a diverse
product range and world
class support and service,
Medsynaptic is committed to
developing new technologies
and products which will make
life easier for the
healthcare professionals and
deliver the best possible
care to their patients.
Medsynaptic has introduced
several new technologies in
the Indian market including
VNA (Vendor Neutral
Archive), ZFP (Zero
Footprint Viewer), Cloud
PACS, Data mining, RT PACS
etc. The Company is located
in Pune, India.</t>
  </si>
  <si>
    <t xml:space="preserve">ZEBRA MEDICAL VISION INC/MEDSYNAPTIC PVT LTD-STRATEGIC ALLIANCE</t>
  </si>
  <si>
    <t xml:space="preserve">Zebra Medical Vision Inc and Medsynaptic Pvt Ltd planned to form a
strategic alliance in India to developing cutting edge Healthcare IT
solutions. With this integration, Zebra-Med's all-in-one AI1 solution will
be supporting the care of over 40 million people covered by Apollo
Hospitals , making this the largest installation of AI in India to this
day.</t>
  </si>
  <si>
    <t xml:space="preserve">6F6840
6J6494</t>
  </si>
  <si>
    <t xml:space="preserve">Translate Bio Inc
Albany Molecular Research Inc</t>
  </si>
  <si>
    <t xml:space="preserve">Translate Bio Inc, located
in Lexington, Massachusetts,
is a provider of
biotechnology research and
development services. It is
a messenger RNA (mRNA)
therapeutics company. It is
developing medicines to
treat diseases caused by
protein or gene dysfunction.
It is using its proprietary
mRNA therapeutic platform,
or MRT platform, and it
create mRNA that encodes
functional proteins. Its
mRNA is delivered to the
target cell where the cells
own machinery recognizes it
and translates it, restoring
or augmenting protein
function to treat or prevent
disease. Its MRT product
candidate for the lung,
MRT5005, is designed to
address the underlying cause
of CF by delivering mRNA
encoding fully functional
CFTR protein to the lung
epithelial cells through
nebulization. The Company
was founded in November 10,
2016.
Albany Molecular Research Inc,
located in Albany, New York,
is a biotechnology company
focused on chemistry-based
drug discovery, development
and manufacture of small
molecule prescription drugs.
It also operates in Europe and
Asia. The Company was founded
in 1991.</t>
  </si>
  <si>
    <t xml:space="preserve">TRANSLATE BIO INC/ALBANY MOLECULAR RESEARCH INC-STRATEGIC ALLIANCE</t>
  </si>
  <si>
    <t xml:space="preserve">Translate Bio Inc and Albany Molecular Research Inc formed a strategic
alliance in United States to provide support of the planned expansion of
Translate Bio's current Good Manufacturing Practices (cGMP) clinical mRNA
manufacturing capabilities. Under the five-year agreement, AMRI will build
out new, dedicated cGMP clinical manufacturing suites that will support
Translate Bio's manufacturing needs.</t>
  </si>
  <si>
    <t xml:space="preserve">89374L
012423</t>
  </si>
  <si>
    <t xml:space="preserve">Shekel Brainweigh Ltd
Hitachi Europe Ltd</t>
  </si>
  <si>
    <t xml:space="preserve">Other Electronic and Precision Equipment Repair and Maintenance
Electronic Computer Manufacturing</t>
  </si>
  <si>
    <t xml:space="preserve">Shekel Brainweight Ltd is
engaged in developing,
manufacturing, marketing and
distributing advanced
weighing systems for the
retail, healthcare and
industrial markets. It
designs and manufactures
weighing systems for OEMs
including GE Healthcare,
Toshiba, Fujitsu,
Diebold-Nixdorf and
Datalogic. The Company was
founded in 1971 and is
located in Lower Galilee,
Israel.
Hitachi Europe Ltd, located
in Maidenhead, the UK,
manufactures and wholesales
electronic equipments such
as information &amp;
telecommunication systems,
power and industrial
systems, rail systems,
digital media and consumer
products, industrial
components and equipments,
air conditioning and
refrigeration systems in
Europe, Middle East and
Africa. The Company was
founded in 1988.</t>
  </si>
  <si>
    <t xml:space="preserve">7629
3571</t>
  </si>
  <si>
    <t xml:space="preserve">Israel
United Kingdom</t>
  </si>
  <si>
    <t xml:space="preserve">Shekel Brainweigh Ltd
Hitachi Ltd</t>
  </si>
  <si>
    <t xml:space="preserve">7629
3577</t>
  </si>
  <si>
    <t xml:space="preserve">SHEKEL BRAINWEIGH LTD/HITACHI EUROPE LTD-STRATEGIC ALLIANCE</t>
  </si>
  <si>
    <t xml:space="preserve">Shekel Brain weigh Ltd and Hitachi Europe Ltd formed a strategic alliance
for joint development and marketing of autonomous retail shopping
solutions.</t>
  </si>
  <si>
    <t xml:space="preserve">6H9204
43376X</t>
  </si>
  <si>
    <t xml:space="preserve">Noble Development PCL
Hongkong Land Co Ltd</t>
  </si>
  <si>
    <t xml:space="preserve">Land Subdivision
Investment company</t>
  </si>
  <si>
    <t xml:space="preserve">Noble Development PCL is a
Thailand-based property
development company. Main
activities of the Company
and its subsidiaries involve
the developments of
single-detached houses,
condominiums, townhouses and
land plots. The Company was
founded in 1991 and is
located in Bangkok,
Thailand.
Hongkong Land Co Ltd is an
investment company.</t>
  </si>
  <si>
    <t xml:space="preserve">Thailand
Hong Kong</t>
  </si>
  <si>
    <t xml:space="preserve">Noble Development PCL
Jardine Matheson Holdings Ltd</t>
  </si>
  <si>
    <t xml:space="preserve">NOBLE DEVELOPMENT PCL/HONGKONG LAND CO LTD-JOINT VENTURE</t>
  </si>
  <si>
    <t xml:space="preserve">Noble Development PCL and Hongkong Land Co Ltd planned to form joint
venture. The purpose of joint venture is for development of a real estatae
project.</t>
  </si>
  <si>
    <t xml:space="preserve">65492T
43839H</t>
  </si>
  <si>
    <t xml:space="preserve">Foresight Autonomous Hldg Ltd
Wuhan Guide Infrared Co Ltd</t>
  </si>
  <si>
    <t xml:space="preserve">Software Publishers
Mnfr,whl electn equip</t>
  </si>
  <si>
    <t xml:space="preserve">Foresight Autonomous
Holdings Ltd is a software
publisher. The Company was
founded in 1977 and is
located in Herzliya, Israel.
Wuhan Guide Infrared Co Ltd,
located in China,
manufactures and wholesales
electronic equipment. Its
main products can be
classified into three
sections, thermograph,
commercial vision systems
and government systems. The
company was founded in 2004.</t>
  </si>
  <si>
    <t xml:space="preserve">7376
3829</t>
  </si>
  <si>
    <t xml:space="preserve">Magna BSP Ltd
Wuhan Guide Infrared Co Ltd</t>
  </si>
  <si>
    <t xml:space="preserve">7382
3829</t>
  </si>
  <si>
    <t xml:space="preserve">FORESIGHT AUTONOMOUS HOLDINGS LTD/WUHAN GUIDE INFRARED CO LTD-STRATEGIC
ALLIANCE</t>
  </si>
  <si>
    <t xml:space="preserve">Foresight Autonomous Holdings Ltd and Wuhan Guide Infrared Co Ltd formed a
strategic alliance to cooperate in the development, marketing and
distribution of Foresights QuadSight vision system, incorporating Guide
Infrareds solutions, to potential customers in Greater China.</t>
  </si>
  <si>
    <t xml:space="preserve">Computer Integrated Systems Svcs
Marketing Services
Supply Services
Research &amp; Development Services</t>
  </si>
  <si>
    <t xml:space="preserve">345523
99297T</t>
  </si>
  <si>
    <t xml:space="preserve">Tonix Pharms Hldg Corp
Columbia University</t>
  </si>
  <si>
    <t xml:space="preserve">Mnfr pharmaceuticals
Own,op college,university</t>
  </si>
  <si>
    <t xml:space="preserve">Tonix Pharmaceuticals
Holding Corp, located in New
York, New York, manufactures
specialty pharmaceuticals.
The Company focuses on
developing products for
central nervous system (CNS)
conditions. The TNX-102, the
company's lead candidate,
is an optimized dosage form
of cyclobenzaprine developed
for the management of
fibromyalgia syndrome, a CNS
condition that is
characterized by diffuse
musculoskeletal pain,
increased pain sensitivity,
fatigue and disturbed sleep.
The company was incorporated
in Nevada on November 16,
2007.
Columbia University is a
college operator. The
Company was founded in 1754
and is located in New York,
New York.</t>
  </si>
  <si>
    <t xml:space="preserve">TONIX PHARMACEUTICALS HOLDING CORP/COLUMBIA UNIVERSITY-STRATEGIC ALLIANCE</t>
  </si>
  <si>
    <t xml:space="preserve">Tonix Pharmaceuticals Holding Corp and Columbia University formed a
strategic alliance for the development of TNX-1700 (rTFF2) for the
treatment of gastric and pancreatic cancers.</t>
  </si>
  <si>
    <t xml:space="preserve">890260
19864M</t>
  </si>
  <si>
    <t xml:space="preserve">Interpace BioPharma Inc
Genecast Biotechnology Co Ltd</t>
  </si>
  <si>
    <t xml:space="preserve">Provides medical diagnostic services
Research and Development in Biotechnology</t>
  </si>
  <si>
    <t xml:space="preserve">Interpace BioPharma Inc,
located in New Jersey,
provides medical diagnostic
services.
Genecast Biotechnology Co
Ltd is a provider of
biotechnology research and
development services. The
Company was founded in
November 2014 and is located
in Beijing, China.</t>
  </si>
  <si>
    <t xml:space="preserve">Interpace Diagnostics Grp Inc
Genecast Biotechnology Co Ltd</t>
  </si>
  <si>
    <t xml:space="preserve">INTERPACE BIOPHARMA INC/GENECAST BIOTECHNOLOGY CO LTD-STRATEGIC ALLIANCE</t>
  </si>
  <si>
    <t xml:space="preserve">Interpace BioPharma Inc and Genecast Biotechnology Co Ltd extended their
strategic alliance in China to jointly develop, promote, and offer
translational studies and clinical trial solutions to biotech and
pharmaceutical companies.</t>
  </si>
  <si>
    <t xml:space="preserve">5J3620
0J0320</t>
  </si>
  <si>
    <t xml:space="preserve">Ares Genetics GmbH
Undisclosed JV Partner</t>
  </si>
  <si>
    <t xml:space="preserve">located in Vienna, Austria.
Investment company</t>
  </si>
  <si>
    <t xml:space="preserve">Austria
Unknown</t>
  </si>
  <si>
    <t xml:space="preserve">Curetis NV
Undisclosed JV Partner</t>
  </si>
  <si>
    <t xml:space="preserve">Germany
Unknown</t>
  </si>
  <si>
    <t xml:space="preserve">ARES GENETICS GMBH/UNDISCLOSED PARTNER-STRATEGIC ALLIANCE</t>
  </si>
  <si>
    <t xml:space="preserve">Ares Genetics GmbH and Undisclosed Joint Venture Partner formed a strategic
alliance. The purpose of strategic alliance was to jointly develop
diagnostic solutions for infectious disease testing based on
next-generation sequencing (NGS) technology. The companies signed an R&amp;D
and option agreement for the first phase of the partnership.</t>
  </si>
  <si>
    <t xml:space="preserve">1J0755
904JVP</t>
  </si>
  <si>
    <t xml:space="preserve">PT Kalbe Genexine Biologics
Shanghai Henlius Biotech Inc</t>
  </si>
  <si>
    <t xml:space="preserve">PT Kalbe Genexine Biologics
is a manufacturer of
biological products. The
Company is located in
Indonesia.
Shanghai Henlius Biotech Inc
is a manufacturer of
biological products. The
company has a product
pipeline of both biosimilars
and bio-innovative drugs
which includes HLX01, HLX02,
HLX03, and HLX04. The
Company was founded in
February 2010 and is located
in Shanghai, China.</t>
  </si>
  <si>
    <t xml:space="preserve">Indonesia
China</t>
  </si>
  <si>
    <t xml:space="preserve">Kalbe Farma Tbk PT
Fosun Interntional Hldgs Ltd</t>
  </si>
  <si>
    <t xml:space="preserve">PT KALBE GENEXINE BIOLOGICS/SHANGHAI HENLIUS BIOTECH INC-STRATEGIC
ALLIANCE</t>
  </si>
  <si>
    <t xml:space="preserve">PT Kalbe Genexine Biologics and Shanghai Henlius Biotech Inc formed a
strategic alliance to produce HLX10, a recombinant human monoclonal
antibody product that can be used to treat tumour. This agreement enhances
KG Bio's research capabilities and enrich its portfolio of products in the
field of immuno-oncology. With the collaboration, KG Bio will be granted
exclusive rights to develop and commercialize HLX10 in the South East Asia
including Philippines, Indonesia, Malaysia, Singapore, Thailand, Laos,
Myanmar, Cambodia, Brunei and Vietnam.</t>
  </si>
  <si>
    <t xml:space="preserve">6J8606
8E0554</t>
  </si>
  <si>
    <t xml:space="preserve">Nextleaf Solutions Ltd
Bevcanna Enterprises Inc</t>
  </si>
  <si>
    <t xml:space="preserve">Medicinal and Botanical Manufacturing
Wine and Distilled Alcoholic Beverage Merchant Wholesalers</t>
  </si>
  <si>
    <t xml:space="preserve">Nextleaf Solutions Ltd,
located in Vancouver,
British Columbia, is a
manufacturer of medicinals
and botanicals. The Company
was incorporated on December
8, 2016.
Bevcanna Enterprises Inc is
an alcoholic beverages
wholesaler. The Company was
founded in July 2017 and is
located in Vancouver,
Canada.</t>
  </si>
  <si>
    <t xml:space="preserve">2833
5182</t>
  </si>
  <si>
    <t xml:space="preserve">NEXTLEAF SOLUTIONS LTD/BEVCANNA ENTERPRISES INC-STRATEGIC ALLIANCE</t>
  </si>
  <si>
    <t xml:space="preserve">Nextleaf Solutions Ltd and Bevcanna Enterprises Inc formed a strategic
alliance. The purpose of strategic alliance was for the development,
manufacturing and sale of BevCanna products.</t>
  </si>
  <si>
    <t xml:space="preserve">Supply Services
Research &amp; Development Services
Manufacturing Services
Health &amp; Medical Services</t>
  </si>
  <si>
    <t xml:space="preserve">2J0597
5J3342</t>
  </si>
  <si>
    <t xml:space="preserve">Karl Fazer Ab Oy
Solar Foods Ltd</t>
  </si>
  <si>
    <t xml:space="preserve">Produce meals,bakery products
All Other Miscellaneous Food Manufacturing</t>
  </si>
  <si>
    <t xml:space="preserve">Karl Fazer ABOy, based in
Helsinki, Finland, produces
and wholesales meals, bakery
and confectionary products.
The Group operates in the
Nordic countries, Estonia,
Latvia and Russia, with
three major division which
includes Amica, Fazer
Bakeries and Candyking. The
Company was founded in 2017.
Solar Foods Ltd is a
manufacturer of foods. The
Company was founded in 2017
and is located in
Lappeenranta, Finland.</t>
  </si>
  <si>
    <t xml:space="preserve">2038
2015</t>
  </si>
  <si>
    <t xml:space="preserve">KARL FAZER AB OY/SOLAR FOODS LTD-STRATEGIC ALLIANCE</t>
  </si>
  <si>
    <t xml:space="preserve">Karl Fazer AB Oy and Solar Foods Ltd formed a strategic alliance in Finland
to jointly research and develop Solar Foods' novel carbon neutral protein
ingredient, Solein. Fazer will do research on the ingredient and its
applicability to food applications. The ingredient is under rigorous
testing to ensure food safety and it is subject to novel food permission by
the European Food Safety Authority.</t>
  </si>
  <si>
    <t xml:space="preserve">31303Q
6J8593</t>
  </si>
  <si>
    <t xml:space="preserve">Cynata Therapeutics Ltd and Fujifilm Corp formed a strategic alliance in
Japan to enter into licensing agreement to develop, manufacture and market
CYP-001 for the indication of graft-versus-host disease (GvHD), a
complication that occurs after bone marrow transplants. The Strategic
Alliance were to have a estimated cost of USD 45.3 mil.</t>
  </si>
  <si>
    <t xml:space="preserve">The Strategic Alliance were to have a estimated cost of USD 45.3 mil.</t>
  </si>
  <si>
    <t xml:space="preserve">GlaxoSmithKline PLC
Nanolek Llc</t>
  </si>
  <si>
    <t xml:space="preserve">GlaxoSmithKline PLC, located
in Brentford, the United
Kingdom, manufactures and
wholesales prescription
pharmaceuticals and consumer
health products including
biotech products, antibiotics
and vaccines such as medicines
in the therapeutic areas of
respiratory, central nervous
system, anti-viral,
anti-bacterial,
anti-bacterial/anti-malarial,
metabolic, vaccines, oncology
and emesis, and cardiovascular
and urogenital. Its product
brands include Serevent,
Wellbutrin, Lamictal, Requip,
Combivir, Ziagen, Trizivir,
Zeffix, Valtrex, Augmentin,
Zinnat, Malarone, Lapdap,
Avandia, Avandamet, Avandaryl,
Twinrix, Fluarix, Infanrix,
Zofran, Hycamtin, Bexxar,
Coreg, Levitra, Avodart,
Arixtra, Fraxiparine,
Integrilin, Seretide/Advair,
Flixotidel/Flovent,
Flixonase/Flonase, Beconase,
Seroxat/Paxil,
Imigran/Imitrex, Panadol,
Zovirax, Abreva, Tums,
Citrucel, Contac, Beechams,
Commit, Nicorette, Nicoderm
CQ, NiQuitinNicabate CQ,
Abtei, Aquafresh, Dr. Best and
Odol. The Company was founded
in 2000.
Nanolek OOO is a
manufacturer of
pharmaceutical preparation.
The Company was founded in
April 2011 and is located in
Moscow, the Russian
Federation.</t>
  </si>
  <si>
    <t xml:space="preserve">GLAXOSMITHKLINE PLC/NANOLEK LLC-STRATEGIC ALLIANCE</t>
  </si>
  <si>
    <t xml:space="preserve">GlaxoSmithKline PLC and NANOLEK LLC formed a strategic alliance for the
production of GSK vaccines at production facilities in Russias Kirov
Region.</t>
  </si>
  <si>
    <t xml:space="preserve">37733W
6J8259</t>
  </si>
  <si>
    <t xml:space="preserve">Vesselon Inc
Temple University</t>
  </si>
  <si>
    <t xml:space="preserve">Medical, Dental, and Hospital Equipment and Supplies Merchant Wholesalers
Own,op college,university</t>
  </si>
  <si>
    <t xml:space="preserve">Vesselon Inc is a medical
equipment and supplies
wholesaler.The Company
develops an automated
external defibrillator (AED)
device for stroke, which is
referred to as a brain
attack. The Company uses
unfocused ultrasound along
with intravenous (IV)
administered micro bubbles
to dissolve a clot without
the use of thrombolytic
drugs. The treatment
includes a pair of
single-use transducer Stroke
Pads, which would be placed
by a first responder; a
portable, automated system
called the Vessex
Processor/Log that controls
the output ultrasound energy
and monitors associated
events during the treatment
period, and the first
responder would delivers a
dose of commercially
available micro bubbles
through an IV into the
patients circulatory system.
The patient suffers from
ischemic stroke, an
administration of a
clot-busting drug tissue
plasminogen activator (tPA)
must start within
approximately three hours of
onset of symptoms. The
Company was founded in
November 2012 and is located
in Norwalk, Connecticut.
Temple University is a
college operator. The
Company is located in
Philadelphia, Pennsylvania.</t>
  </si>
  <si>
    <t xml:space="preserve">5047
8221</t>
  </si>
  <si>
    <t xml:space="preserve">CT
PA</t>
  </si>
  <si>
    <t xml:space="preserve">VESSELON INC/TEMPLE UNIVERSITY-STRATEGIC ALLIANCE</t>
  </si>
  <si>
    <t xml:space="preserve">Vesselon Inc and Temple University formed a strategic alliance in United
States to enter into license agreement for patented technology that enables
viral therapy to be delivered repeatedly by systemic injection. This
agreement enables Vesselon to expand its portfolio with patented technology
to enable systemic viral therapy with microspheres and ultrasound.</t>
  </si>
  <si>
    <t xml:space="preserve">6J9244
880170</t>
  </si>
  <si>
    <t xml:space="preserve">Rowan University
National Research Development</t>
  </si>
  <si>
    <t xml:space="preserve">Rowan University is a
provider of research and
development services. The
Company was founded in 1970
and is located in Glassboro,
New Jersey.
National Research
Development Corporation
provides intellectual
property rights (IPR)
consulting services to
individuals, small and
medium enterprises, research
and development
institutions, government
funded laboratories, IITs,
and universities primarily
in India</t>
  </si>
  <si>
    <t xml:space="preserve">ROWAN UNIVERSITY/NATIONAL RESEARCH DEVELOPMENT CORP OF INDIA-STRATEGIC
ALLIANCE</t>
  </si>
  <si>
    <t xml:space="preserve">NATIONAL RESEARCH DEVELOPMENT CORPORATION AND ROWAN UNIVERSITY ANNOUNCE
HISTORIC PARTNERSHIP to collaborate on research and development.</t>
  </si>
  <si>
    <t xml:space="preserve">6J8355
1J8831</t>
  </si>
  <si>
    <t xml:space="preserve">Livent Corp
E3 Metals Corp</t>
  </si>
  <si>
    <t xml:space="preserve">All Other Basic Inorganic Chemical Manufacturing
Other Chemical and Fertilizer Mineral Mining</t>
  </si>
  <si>
    <t xml:space="preserve">Livent Corp, located in
Philadelphia, Pennsylvania,
manufacturer of inorganic
chemical products. It offers
lithium chemicals for
inorganic applications in
batteries, agrochemicals,
aerospace alloys, greases,
pharmaceuticals, polymers,
and various industrial
applications. Its primary
products are battery-grade
lithium hydroxide,
butyllithium and high purity
lithium metal are critical
inputs used in various
performance applications.
E3 Metals Corp, located in
Alberta, Calgary, is a
petro-lithium company. It
has direct recovery lithium
brine projects in Alberta.
It holds lithium resources
at 6.7 Mt LCE (inferred).
The Company was founded on
August 19, 1998.</t>
  </si>
  <si>
    <t xml:space="preserve">2819
1479</t>
  </si>
  <si>
    <t xml:space="preserve">LIVENT CORP/E3 METALS CORP-STRATEGIC ALLIANCE</t>
  </si>
  <si>
    <t xml:space="preserve">Livent Corp and E3 Metals Corp formed a strategic alliance in Canada to
advance the development of E3 Metals proprietary direct lithium extraction
process. The Joint Venture was to have a estimated cost of USD 5.5 mil.</t>
  </si>
  <si>
    <t xml:space="preserve">Investment Services
Research &amp; Development Services
Mining Services</t>
  </si>
  <si>
    <t xml:space="preserve">The Joint Venture was to have a estimated cost of USD 5.5 mil.</t>
  </si>
  <si>
    <t xml:space="preserve">53814L
29766W</t>
  </si>
  <si>
    <t xml:space="preserve">Y-Trap Inc
Merck KGaA</t>
  </si>
  <si>
    <t xml:space="preserve">Y-Trap Inc is a manufacturer
of biological products. The
Company was founded in
September 2015 and is
located in Baltimore,
Maryland.
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</si>
  <si>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Y-TRAP INC/MERCK KGAA-STRATEGIC ALLIANCE</t>
  </si>
  <si>
    <t xml:space="preserve">Maryland
Foreign</t>
  </si>
  <si>
    <t xml:space="preserve">Y-Trap Inc and Merck KGaA formed a strategic alliance in United States &amp;
Germany for the exclusive development of multiple specific antibody-ligand
traps for cancer immunotherapy. This agreement enables Merck and Y-Trap to
develop candidates for immuno-oncology from their innovative platform.</t>
  </si>
  <si>
    <t xml:space="preserve">7J0574
589339</t>
  </si>
  <si>
    <t xml:space="preserve">Murdoch University
Bruker Corp</t>
  </si>
  <si>
    <t xml:space="preserve">Own,op college,university
Manufacture,wholesale scientific instruments</t>
  </si>
  <si>
    <t xml:space="preserve">Murdoch University is a
university with its main
campus at Murdoch, 14
kilometres (9 mi) south of
Perth, Western Australia, and
additional campuses at
Rockingham and Mandurah. It
commenced operations as the
state's second university in
1973, and accepted its first
students in 1975.
Bruker Corp, located in
Billerica, Massachusetts,
manufactures and wholesales
scientific instruments for
chemical analysis, life
science and pharmaceutical,
biotechnology and molecular
diagnostics research. It has
offices in Africa, Asia,
Pacific, Australia and New
Zealand, Europe, North
America and South America.
The Company was founded in
1991.</t>
  </si>
  <si>
    <t xml:space="preserve">8221
3826</t>
  </si>
  <si>
    <t xml:space="preserve">MURDOCH UNIVERSITY/BRUKER CORP-STRATEGIC ALLIANCE</t>
  </si>
  <si>
    <t xml:space="preserve">Murdoch University and Bruker Corp formed a strategic alliance to transform
the prevention and diagnosis of disease and personalised health around the
world.</t>
  </si>
  <si>
    <t xml:space="preserve">Health &amp; Medical Services
Research &amp; Development Services
Educational Services</t>
  </si>
  <si>
    <t xml:space="preserve">62646J
116794</t>
  </si>
  <si>
    <t xml:space="preserve">ATAI Life Sciences AG
Gaba Therapeutics</t>
  </si>
  <si>
    <t xml:space="preserve">Atai Life Sciences AG,
located in Munich, Bavaria,
is a manufacturer of
biological products. It
focuses on the cure for
mental health disorders. The
Company was founded in 1970.
Gaba Therapeutics is a
manufacturer of
pharmaceutical preparation.
The Company is located in
Newport Beach, California.</t>
  </si>
  <si>
    <t xml:space="preserve">ATAI LIFE SCIENCES AG/GABA THERAPEUTICS-STRATEGIC ALLIANCE</t>
  </si>
  <si>
    <t xml:space="preserve">Atai Life Sciences AG and Gaba Therapeutics formed a strategic alliance to
develop a novel compound that promises efficacy across a spectrum of mood
disorders, particularly anxiety and depression.</t>
  </si>
  <si>
    <t xml:space="preserve">6J9302
6J9304</t>
  </si>
  <si>
    <t xml:space="preserve">Boehringer Ingelheim Intl
Inflammasome Therapeutics LLC</t>
  </si>
  <si>
    <t xml:space="preserve">Pharmaceutical Preparation Manufacturing
Specialty (Except Psychiatric and Substance Abuse) Hospitals</t>
  </si>
  <si>
    <t xml:space="preserve">Boehringer Ingelheim
International GmbH is a
manufacturer of
pharmaceutical preparation.
It manufactures and
wholesales prescription
pharmaceuticals intended for
final consumption, including
biotech products and
antibiotics, and veterinary
medicines. It also provides
pharmaceutical research and
development services. The
Company was founded in 1885
and is located in Ingelheim
Company was founded in 1885.
am Rhein , Germany.
Inflammasome Therapeutics
LLC is a specialty hospital
operator. The Company was
founded in November 2016 and
is located in Boston,
Massachusetts.</t>
  </si>
  <si>
    <t xml:space="preserve">Laboratorios Sanfer SA de CV
Inflammasome Therapeutics LLC</t>
  </si>
  <si>
    <t xml:space="preserve">BOEHRINGER INGELHEIM INTERNATIONAL GMBH/INFLAMMASOME THERAPEUTICS
LLC-STRATEGIC ALLIANCE</t>
  </si>
  <si>
    <t xml:space="preserve">Boehringer Ingelheim International GmbH and Inflammasome Therapeutics LLC
formed a strategic alliance to develop novel therapies with significantly
reduced patient burden for eye diseases with limited or only insufficient
treatment options using Inflammasome Therapeutics' intravitreal drug
delivery technology Inflammasome Therapeutics.</t>
  </si>
  <si>
    <t xml:space="preserve">09689T
7J0136</t>
  </si>
  <si>
    <t xml:space="preserve">Qingdao Holdings International
Star Hope Intl Ltd</t>
  </si>
  <si>
    <t xml:space="preserve">Land Subdivision
Corporate, Subsidiary, and Regional Managing Offices</t>
  </si>
  <si>
    <t xml:space="preserve">Qingdao Holdings International
Ltd, located in Hong Kong, is
a property investment and
development services provider.
The company is also engaged in
wireless telecommunication
services and investment
holding. It was founded in
1980.
Star Hope International Ltd
is a provider of financial
investment services. The
Company is located in Hong
Kong.</t>
  </si>
  <si>
    <t xml:space="preserve">6552
6289</t>
  </si>
  <si>
    <t xml:space="preserve">China Qingdao Dvlp Co Ltd
Star Hope Intl Ltd</t>
  </si>
  <si>
    <t xml:space="preserve">QINGDAO HOLDINGS INTERNATIONAL/STAR HOPE INTERNATIONAL LTD-JOINT VENTURE</t>
  </si>
  <si>
    <t xml:space="preserve">Qingdao Holdings International Ltd(WAS 44861W) and Star Hope International
Ltd planned to form a joint venture in Hong Kong to develop environmental
friendly tyre recycling plants. The Joint Venture was to have a
Capitalization of USD 14.103 mil (RMB 100 mil).</t>
  </si>
  <si>
    <t xml:space="preserve">Research &amp; Development Services
Environmental Services
Recycling Services</t>
  </si>
  <si>
    <t xml:space="preserve">The Joint Venture was to have a Capitalization of USD 14.103 mil (RMB 100
mil).</t>
  </si>
  <si>
    <t xml:space="preserve">4C6662
7J0183</t>
  </si>
  <si>
    <t xml:space="preserve">Clovis Oncology Inc
3B Pharmaceuticals GmbH</t>
  </si>
  <si>
    <t xml:space="preserve">Manufacture, wholesale biopharmaceutical products
Pharmaceutical Preparation Manufacturing</t>
  </si>
  <si>
    <t xml:space="preserve">Clovis Oncology Inc, located
in Boulder, Colorado, is a
biopharmaceutical company
focused on acquiring,
developing and
commercializing innovative
anti-cancer agents in the
United States, Europe and
additional international
markets. It currently have
two clinical development
programs and one drug
discovery program underway -
CO-1686, an orally
available, small molecule
epidermal growth factor
receptor, and Rucaparib, an
oral, potent inhibitor of
poly (ADP-ribose)
polymerase, or PARP, in
development for the
treatment of ovarian cancer
and is designed to inhibit
both the PARP-1 and PARP-2
genes. The Company was
founded on 2009.
3B Pharmaceuticals GmbH is a
manufacturer of
pharmaceutical preparation.
The Company is located in
Berlin, Germany.</t>
  </si>
  <si>
    <t xml:space="preserve">CLOVIS ONCOLOGY INC/3B PHARMACEUTICALS GMBH-STRATEGIC ALLIANCE</t>
  </si>
  <si>
    <t xml:space="preserve">Clovis Oncology Inc and 3B Pharmaceuticals GmbH formed a strategic alliance
to collaborate on a discovery program directed at three additional targets
for radionuclide therapy, to which Clovis will have global rights. Terms of
the transactions include approximately $12 million in upfront payments to
3BP.</t>
  </si>
  <si>
    <t xml:space="preserve">The Strategic Alliance was to have a estimated cost of USD 12 mil.</t>
  </si>
  <si>
    <t xml:space="preserve">189464
7J0588</t>
  </si>
  <si>
    <t xml:space="preserve">I-Mab Biopharma (Shanghai) Co
Merck &amp; Co Inc</t>
  </si>
  <si>
    <t xml:space="preserve">Biological Product (Except Diagnostic) Manufacturing
Manufactures and wholesales pharmaceuticals</t>
  </si>
  <si>
    <t xml:space="preserve">I-Mab Biopharma is a
manufacturer of biological
products. The Company is
located in China. District,
China.
Merck &amp; Co Inc, located in
Kenilworth, New Jersey,
manufactures and wholesales
pharmaceuticals. It operates
in four segments, namely
Pharmaceutical, Animal
Health, Healthcare Services
and Alliances segments. It
offers treatment products
for cardiovascular diseases,
central nervous system
disorders, immunology and
infectious disease,
oncology, respiratory
diseases and women''s
health. Its largest-selling
products include Vytorin,
Zetia, Remicade and Nasonex.
The Company was founded in
1891.</t>
  </si>
  <si>
    <t xml:space="preserve">I-MAB BIOPHARMA (SHANGHAI) CO LTD/MERCK &amp; CO INC-STRATEGIC ALLIANCE</t>
  </si>
  <si>
    <t xml:space="preserve">I-Mab Biopharma (Shanghai) Co Ltd and Merck Co Inc formed a strategic
alliance to evaluate the combination of I-Mab's TJC4 and MSD's anti-PD-1
therapy, KEYTRUDA (pembrolizumab) in patients with multiple cancer types.</t>
  </si>
  <si>
    <t xml:space="preserve">5H3410
58933Y</t>
  </si>
  <si>
    <t xml:space="preserve">InterDigital Inc
University of Oulu</t>
  </si>
  <si>
    <t xml:space="preserve">Manufacture wireless radio systems
Colleges, Universities, and Professional Schools</t>
  </si>
  <si>
    <t xml:space="preserve">InterDigital Inc, located in
Wilmington, Delaware,
manufactures wireless
radio-telephone systems,
including 2G, 2.5G, 3G, IEEE
802, and broadband
technology-related products.
The Company has development
centers in Melville, New
York and in Montreal,
Quebec, Canada. Its
trademarked brands include
SlimChip, UltraPhone. It is
also a holding company. The
Company was founded in 1972.
University of Oulu is a
college operator. The
Company is located in Oulu,
Finland.</t>
  </si>
  <si>
    <t xml:space="preserve">INTERDIGITAL INC/UNIVERSITY OF OULU-STRATEGIC ALLIANCE</t>
  </si>
  <si>
    <t xml:space="preserve">InterDigital Inc and University of Oulu planned to form a strategic
alliance in Finland to explore the impact of metamaterials-based
intelligent surfaces on disruptive smart radio protocols beyond 5G, to
explore experimental Beyond-5G research to build upon InterDigital's 5G NR
access platform capabilities &amp; to implement initiatives related to the
implementation of consortium research.</t>
  </si>
  <si>
    <t xml:space="preserve">45867G
0J3211</t>
  </si>
  <si>
    <t xml:space="preserve">Guerbet SA
IBM Watson Group</t>
  </si>
  <si>
    <t xml:space="preserve">Mnfr med imaging prod
Software Publishers</t>
  </si>
  <si>
    <t xml:space="preserve">Guerbet SA is a manufacturer
of irradiation apparatuses.
The Company was founded in
1895 and is located in
Villepinte, France.
IBM Watson Group is a software
publisher focused in the
development and
commercialization of
cloud-delivered cognitive
innovations. The company is
located in New York.</t>
  </si>
  <si>
    <t xml:space="preserve">3844
7372</t>
  </si>
  <si>
    <t xml:space="preserve">Guerbet SA
IBM Corp</t>
  </si>
  <si>
    <t xml:space="preserve">3844
3571</t>
  </si>
  <si>
    <t xml:space="preserve">GUERBET SA/IBM WATSON GROUP-STRATEGIC ALLIANCE</t>
  </si>
  <si>
    <t xml:space="preserve">Guerbet SA and IBM Watson Group formed a strategic alliance in United
States &amp; France to co-develop &amp; co-commercialize an AI-solution. The
agreement is aimed at developing and marketing a software solution to help
radiologists and oncologists diagnose and monitor prostate cancer.</t>
  </si>
  <si>
    <t xml:space="preserve">Software Development Services
Marketing Services
Computer Programming Services
Research &amp; Development Services
Health &amp; Medical Services</t>
  </si>
  <si>
    <t xml:space="preserve">40158T
3E6298</t>
  </si>
  <si>
    <t xml:space="preserve">Orbital Imaging(Orbital Scien)
Imcon Intl Inc</t>
  </si>
  <si>
    <t xml:space="preserve">Pvd satellite imagery svcs
Internet Publishing and Broadcasting and Web Search Portals</t>
  </si>
  <si>
    <t xml:space="preserve">Provide high resolution
satellite imagery services
Imcon International Inc is
an internet portal operator.
The Company is located in
Marietta, Georgia.</t>
  </si>
  <si>
    <t xml:space="preserve">4899
2711</t>
  </si>
  <si>
    <t xml:space="preserve">Northrop Grumman Corp
Imcon Intl Inc</t>
  </si>
  <si>
    <t xml:space="preserve">3812
2711</t>
  </si>
  <si>
    <t xml:space="preserve">ORBITAL IMAGING CORP(ORBITAL/IMCON INTERNATIONAL INC-STRATEGIC ALLIANCE</t>
  </si>
  <si>
    <t xml:space="preserve">Orbital Imaging Corp(Orbital Sciences Corp) and Imcon International Inc
formed a strategic alliance. The purpose of strategic alliance was for
Development and Marketing of Advanced Mobile Connectivity Solutions.</t>
  </si>
  <si>
    <t xml:space="preserve">68557F
7J0466</t>
  </si>
  <si>
    <t xml:space="preserve">Deep Science Ventures Ltd
Cancer Research UK</t>
  </si>
  <si>
    <t xml:space="preserve">Miscellaneous Intermediation
Provide charitable trust services</t>
  </si>
  <si>
    <t xml:space="preserve">Deep Science Ventures Ltd is
an intermediating company.
The Company is located in
the United Kingdom. Energy,
Convergent science,
Oncology, Food &amp;
Agriculture, Drug delivery &amp;
targeting, Neurodegenerative
diseases, Infectious
diseases, Energy storage,
Clean hydrocarbons,
Cancer Research UK is a
provider of charitable trust
services. The Company is
located in London, the United
Kingdom.</t>
  </si>
  <si>
    <t xml:space="preserve">DEEP SCIENCE VENTURES LTD/CANCER RESEARCH UK-STRATEGIC ALLIANCE</t>
  </si>
  <si>
    <t xml:space="preserve">Deep Science Ventures partners with Cancer Research UK, The World's Largest
Independent Funder of Cancer Research Through their partnership with Cancer
Research UK, DSV will seek to build at least three companies over the next
year.</t>
  </si>
  <si>
    <t xml:space="preserve">7J0462
13737T</t>
  </si>
  <si>
    <t xml:space="preserve">T2 Biosystems Inc
Undisclosed JV Partner</t>
  </si>
  <si>
    <t xml:space="preserve">Diagnostic Imaging Centers
Investment company</t>
  </si>
  <si>
    <t xml:space="preserve">T2 Biosystems Inc, located
in Lexington, Massachusetts,
is a in vitro diagnostics
company that has developed a
technology platform that
offers a rapid, sensitive
and simple alternative to
existing diagnostic
methodologies. The company
is using T2 Magnetic
Resonance platform, or T2MR,
to develop a broad set of
applications aimed at
lowering mortality rates,
improving patient outcomes
and reducing the cost of
healthcare by helping
medical professionals make
targeted treatment decisions
earlier. It was incorporated
in April 27, 2006.
Investment company</t>
  </si>
  <si>
    <t xml:space="preserve">T2 BIOSYSTEMS INC/UNDISCLOSED PARTNER-STRATEGIC ALLIANCE</t>
  </si>
  <si>
    <t xml:space="preserve">T2 Biosystems Inc and Undisclosed Joint Venture Partner formed a strategic
alliance to introduce its rapid diagnostic technologies, including the
T2Bacteria and T2Candida Panels, in Puerto Rico and the U.S. Virgin
Islands, which have approximately 64 hospitals that could benefit from T2s
products.</t>
  </si>
  <si>
    <t xml:space="preserve">89853L
904JVP</t>
  </si>
  <si>
    <t xml:space="preserve">Biaksplen OOO
Manucor SpA</t>
  </si>
  <si>
    <t xml:space="preserve">Mnfr polymeric films
Mnfr polypropylene film</t>
  </si>
  <si>
    <t xml:space="preserve">Biaksplen OOO is a
manufacturer of rubber
products. The Company was
founded in 2003 and is
located in Gidrotorf, the
Russian Federation.
Manucor SpA is a
manufacturer of polystyrene
foam products. It also
manufactures biorented
polypropylene film (BOPP)
used in the packaging
industry. The Company is
located in Sessa Aurunca,
Italy.</t>
  </si>
  <si>
    <t xml:space="preserve">3069
3086</t>
  </si>
  <si>
    <t xml:space="preserve">Russian Fed
Italy</t>
  </si>
  <si>
    <t xml:space="preserve">SIBUR Holding PJSC
KKR &amp; Co Inc</t>
  </si>
  <si>
    <t xml:space="preserve">2911
6799</t>
  </si>
  <si>
    <t xml:space="preserve">BIAKSPLEN OOO/MANUCOR SPA-JOINT VENTURE</t>
  </si>
  <si>
    <t xml:space="preserve">Biaksplen OOO and Manucor SpA formed joint venture. will share their best
practices in terms of R&amp;D, sales and marketing, production, and technical
support.</t>
  </si>
  <si>
    <t xml:space="preserve">08903K
56185H</t>
  </si>
  <si>
    <t xml:space="preserve">Sumitomo Chemical Co Ltd
Nufarm Ltd</t>
  </si>
  <si>
    <t xml:space="preserve">Mnfr,whl chem
Mnfr,whl agricultural chem</t>
  </si>
  <si>
    <t xml:space="preserve">Sumitomo Chemical Co Ltd,
located in Chuo-Ku, Tokyo,
has six business segments:
Basic chemical, such as the
manufacture and sale of
inorganic and organic
chemicals, synthetic fiber
materials, metal acrylate,
alumina products and others;
Petrochemical, including the
provision of petrochemical,
synthetic resin, rubber
products and others;
Information and electronic
chemical, including the
supply of optical goods,
color filters,
semiconductors processing
materials, and electronic
materials and others; Health
and agriculture-related,
such as the manufacture and
sale of agrochemicals,
fertilizers, agricultural
materials, pesticide,
dietary additives and
others; Medical products,
including the provision of
medical products and
radioactive diagnostic
products, and others,
encompassing the supply of
vapor and electric power,
the design of industrial
chemical facilities, as well
as the transportation and
warehouse businesses. The
company was founded in 1913.
Nufarm Ltd, located in
Melbourne, Australia, and
with operations in New
Zealand, Asia, Europe and
the Americas, manufactures
and wholesales agricultural
chemicals for crop
protection. The Company's
main products include
herbicides, insecticides and
fungicides. It also operates
in the seeds and seed
treatment products segments,
including fertilizers. The
Company was founded in 2000.</t>
  </si>
  <si>
    <t xml:space="preserve">SUMITOMO CHEMICAL CO LTD/NUFARM LTD-STRATEGIC ALLIANCE</t>
  </si>
  <si>
    <t xml:space="preserve">Germany
United Kingdom
Poland</t>
  </si>
  <si>
    <t xml:space="preserve">Sumitomo Chemical Co Ltd and Nufarm Ltd formed a strategic alliance novel
fungicide compound metyltetraprole, for key European markets.</t>
  </si>
  <si>
    <t xml:space="preserve">865610
67124Y</t>
  </si>
  <si>
    <t xml:space="preserve">Sino-Life Group Ltd
Undisclosed JV Partner</t>
  </si>
  <si>
    <t xml:space="preserve">Own,op funeral homes
Investment company</t>
  </si>
  <si>
    <t xml:space="preserve">Sino-Life Group Ltd, located
in Hong Kong, Hong Kong, is
a cemetery and crematory
operator. The Group is
principally engaged in the
provision of funeral
services to the general
public in Taiwan and the
PRC. During the Track Record
Period, in Taiwan, the Group
is principally engaged in:
1. the sales of funeral
services deeds which is
accounted by the Group as
receipt in advance; and 2.
the provision of funeral
arrangement services to
funeral services deed
holders and non-funeral
services deed holders, which
are accounted by the Group
as revenue.
Investment company</t>
  </si>
  <si>
    <t xml:space="preserve">7261
6799</t>
  </si>
  <si>
    <t xml:space="preserve">SINO-LIFE GROUP LTD/UNDISCLOSED PARTNER-JOINT VENTURE</t>
  </si>
  <si>
    <t xml:space="preserve">Sino-Life Group Ltd and Undisclosed Joint Venture Partner planned to form
joint venture to carry out biotechnology business.</t>
  </si>
  <si>
    <t xml:space="preserve">83754X
904JVP</t>
  </si>
  <si>
    <t xml:space="preserve">Emmaus Life Sciences Inc
Oncology Supply</t>
  </si>
  <si>
    <t xml:space="preserve">Mnfr pharm prod
Whl,retail auto,home supplies</t>
  </si>
  <si>
    <t xml:space="preserve">Emmaus Life Sciences Inc,
based in Torrance, California,
manufactures pharmaceutical
products. It is also engaged
in the discovery, development
and commercialization of
innovative and cost-effective
treatments and therapies for
rare diseases. It was founded
on 2007.
Wholesale and retail
automobile and home supplies</t>
  </si>
  <si>
    <t xml:space="preserve">2834
5531</t>
  </si>
  <si>
    <t xml:space="preserve">MYnd Analytics
Bergen Brunswig Corp</t>
  </si>
  <si>
    <t xml:space="preserve">8099
5122</t>
  </si>
  <si>
    <t xml:space="preserve">EMMAUS LIFE SCIENCES INC/ONCOLOGY SUPPLY(BERGEN-STRATEGIC ALLIANCE</t>
  </si>
  <si>
    <t xml:space="preserve">Emmaus Life Sciences Inc and Oncology Supply(Bergen Brunswig Corp) formed a
strategic alliance to distribute Endari (L-glutamine oral powder).</t>
  </si>
  <si>
    <t xml:space="preserve">29137T
68233F</t>
  </si>
  <si>
    <t xml:space="preserve">Ab Sciex LLC
Protein Metrics Inc</t>
  </si>
  <si>
    <t xml:space="preserve">Mnfr,whl spectrometer
Research and Development in Biotechnology</t>
  </si>
  <si>
    <t xml:space="preserve">Applied Biosystems/MDS
Sciex, based in Foster City,
California, manufactures and
wholesales
spectrometer-based products
for use in drug discovery
and development to uncover
the cause of human disease.
Protein Metrics Inc is a
provider of biotechnology
research and development
services. The Company was
founded in January 2011 and
is located in Cupertino,
California.</t>
  </si>
  <si>
    <t xml:space="preserve">Danaher Corp
Protein Metrics Inc</t>
  </si>
  <si>
    <t xml:space="preserve">3823
8731</t>
  </si>
  <si>
    <t xml:space="preserve">AB SCIEX LLC/PROTEIN METRICS INC-STRATEGIC ALLIANCE</t>
  </si>
  <si>
    <t xml:space="preserve">CIEX and Protein Metrics Join Forces to Meet Biopharmaceutical Customers AI
and Automation-driven Data Requirements</t>
  </si>
  <si>
    <t xml:space="preserve">03796E
7J2145</t>
  </si>
  <si>
    <t xml:space="preserve">Moberg Pharma AB
Taisho Pharmaceutical Holdings</t>
  </si>
  <si>
    <t xml:space="preserve">Mnfr dermatological prod
Mnfr,whl pharmaceutical prod</t>
  </si>
  <si>
    <t xml:space="preserve">Moberg Pharma AB, located in
Bromma, Sweden, manufactures
dermatological products. The
Company was founded in 2006.
Taisho Pharmaceutical Holdings
Co Ltd, located in Tokyo,
Japan, is a holding company,
it manufactures pharmaceutical
products. The Company operates
in two business segment. The
Self Medication segment is
engaged in the research,
development, manufacture and
sale of general medication
pharmaceuticals, quasi drugs
and food products. This
segment is also involved in
the provision of insurance
services, logistics services,
printing services, as well as
real estate leasing,
management and operation
services. The Medication
segment is engaged in the
sale of prescribed
pharmaceuticals. The company
was founded in 1912.</t>
  </si>
  <si>
    <t xml:space="preserve">MOBERG PHARMA AB/TAISHO PHARMACEUTICAL HOLDINGS CO LTD-STRATEGIC ALLIANCE</t>
  </si>
  <si>
    <t xml:space="preserve">Moberg Pharma AB and Taisho Pharmaceutical Holdings Co Ltd formed a
strategic alliance for development, registration and commercialization of
MOB-015 in Japan.</t>
  </si>
  <si>
    <t xml:space="preserve">3A6796
91596J</t>
  </si>
  <si>
    <t xml:space="preserve">Aridis Pharmaceuticals Inc
Serum Amr</t>
  </si>
  <si>
    <t xml:space="preserve">Aridis Pharmaceuticals Inc,
located in San Jose,
California, is a provider of
biotechnology research and
development services. The
Company was founded in May
2014.
Serum Amr is a manufacturer
of biological products. The
Company is located in the
Netherlands.</t>
  </si>
  <si>
    <t xml:space="preserve">Aridis Pharmaceuticals Inc
Serum Institute Of India Ltd</t>
  </si>
  <si>
    <t xml:space="preserve">ARIDIS PHARMACEUTICALS INC/SERUM AMR-STRATEGIC ALLIANCE</t>
  </si>
  <si>
    <t xml:space="preserve">Aridis Pharmaceuticals Inc and Serum Amr formed a strategic alliance to
grant Serum AMR a license to multiple programs from Aridis for certain
limited territories and access the Company's MabIgX platform technology for
asset identification and selection.</t>
  </si>
  <si>
    <t xml:space="preserve">040334
7J2335</t>
  </si>
  <si>
    <t xml:space="preserve">Yuja Inc
Philadelphia College Of</t>
  </si>
  <si>
    <t xml:space="preserve">Custom Computer Programming Services
Colleges, Universities, and Professional Schools</t>
  </si>
  <si>
    <t xml:space="preserve">Yuja Inc is a provider of
custom computer programming
services. The Company was
founded in 2012 and is
located in San Jose,
California.
Philadelphia College Of
Osteopathic Medicine is a
college operator. The
Company was founded in 1899
and is located in
Philadelphia, Pennsylvania.</t>
  </si>
  <si>
    <t xml:space="preserve">YUJA CORP/PHILADELPHIA COLLEGE OF OSTEOPATHIC MEDICINE-STRATEGIC ALLIANCE</t>
  </si>
  <si>
    <t xml:space="preserve">Yuja Corp and Philadelphia College Of Osteopathic Medicine formed a
strategic alliance to provide a campus-wide lecture capture system and
video management solution to both their Philadelphia and Suwanee</t>
  </si>
  <si>
    <t xml:space="preserve">8H9916
7J2329</t>
  </si>
  <si>
    <t xml:space="preserve">Hubrecht Organoid Technology
Mimetas Bv</t>
  </si>
  <si>
    <t xml:space="preserve">Drugs and Druggists' Sundries Merchant Wholesalers
In-Vitro Diagnostic Substance Manufacturing</t>
  </si>
  <si>
    <t xml:space="preserve">Hubrecht Organoid Technology
is a drugs wholesaler. The
Company was founded in 1970
and is located in Utrecht,
the Netherlands.
Mimetas Bv is a manufacturer
of in-vitro diagnostic
substances. The Company was
founded in 1970 and is
located in the Netherlands.</t>
  </si>
  <si>
    <t xml:space="preserve">HUBRECHT ORGANOID TECHNOLOGY/MIMETAS BV-STRATEGIC ALLIANCE</t>
  </si>
  <si>
    <t xml:space="preserve">MIMETAS and Hubrecht Organoid Technology to develop and market
Organoids-on-a-Chip</t>
  </si>
  <si>
    <t xml:space="preserve">2J3423
7J3137</t>
  </si>
  <si>
    <t xml:space="preserve">TransAlta Corp
SemCAMS Midstream ULC</t>
  </si>
  <si>
    <t xml:space="preserve">Provides electric utility services
Crude Petroleum and Natural Gas Extraction</t>
  </si>
  <si>
    <t xml:space="preserve">TransAlta Corp, located in
Calgary, Alberta, Canada,
provides electric utility
services. It trades and
markets electricity and gas
in Canada and the US. Most
of TransAlta''s generating
capacity is coal-fired; the
rest comes from gas-fired,
hydroelectric, and
alternative-energy plants.
The Company was founded in
1909.
SemCAMS Midstream ULC is
engaged in the crude
petroleum and natural gas
services business. The
Company is located in
Calgary, Canada.</t>
  </si>
  <si>
    <t xml:space="preserve">TransAlta Corp
SemGroup Corp</t>
  </si>
  <si>
    <t xml:space="preserve">4911
1389</t>
  </si>
  <si>
    <t xml:space="preserve">TRANSALTA CORP/SEMCAMS MIDSTREAM ULC-STRATEGIC ALLIANCE</t>
  </si>
  <si>
    <t xml:space="preserve">TransAlta Corp and SemCAMS Midstream ULC formed a strategic alliance. The
purpose of strategic alliance was to develop, construct and operate a new
cogeneration facility at the Kaybob South No. 3 sour gas processing plant.</t>
  </si>
  <si>
    <t xml:space="preserve">89346D
1J1032</t>
  </si>
  <si>
    <t xml:space="preserve">Genomenon Inc
Congenica Ltd</t>
  </si>
  <si>
    <t xml:space="preserve">Genomenon Inc is a provider
of biotechnology research
and development services.
The Company was founded in
May 2014 and is located in
Ann Arbor, Michigan.
Congenica Ltd is a United
Kingdom-based company that
provides a diagnostic
decision support platform,
Sapientia. The Company also
provides associated clinical
services, which enable
clinicians to interrogate
the human genome to identify
disease-causing variants.
The features of Sapientia
includes clinical/genomics
data, variant interpretation
and patient reports. User
can upload next generation
sequencing (NGS) data from
gene panels, exomes, or
genomes. Users can also link
their family members to
automatically generate
pedigrees.</t>
  </si>
  <si>
    <t xml:space="preserve">GENOMENON INC/CONGENICA LTD-STRATEGIC ALLIANCE</t>
  </si>
  <si>
    <t xml:space="preserve">Genomenon Inc and Congenica Ltd formed a strategic alliance to incorporates
Mastermind Genomic Search Engine results into Congenica's clinical decision
support platform for genomic data interpretation.</t>
  </si>
  <si>
    <t xml:space="preserve">0J0744
7J2829</t>
  </si>
  <si>
    <t xml:space="preserve">Entos Pharms Inc
Undisclosed JV Partner</t>
  </si>
  <si>
    <t xml:space="preserve">Entos Pharmaceuticals Inc is
a manufacturer of biological
products. The Company was
founded in May 2011 and is
located in Edmonton, Canada.
Investment company</t>
  </si>
  <si>
    <t xml:space="preserve">ENTOS PHARMACEUTICALS INC/UNDISCLOSED PARTNER-STRATEGIC ALLIANCE</t>
  </si>
  <si>
    <t xml:space="preserve">Entos Pharmaceuticals Inc and Undisclosed Joint Venture Partner formed a
strategic alliance in Canada to enter into a research, development and
collaboration agreement to collaborate on the formulation and screening of
candidates using Entos Fusogenix non-viral delivery platform for nucleic
acid therapies. Entos could receive up to US$109 million from the license
agreement and undisclosed royalties on sales.</t>
  </si>
  <si>
    <t xml:space="preserve">The Strategic Alliance was to have a estimated cost of USD 109 mil.</t>
  </si>
  <si>
    <t xml:space="preserve">8H3117
904JVP</t>
  </si>
  <si>
    <t xml:space="preserve">Blinc Group LLC
Think20 Labs Llc</t>
  </si>
  <si>
    <t xml:space="preserve">Blinc Group is a provider of
research and development
services. The Company is
located in New York, New
York.
Think20 Labs LLC is a
provider of biotechnology
research and development
services. The Company is
located in Irvine,
California.</t>
  </si>
  <si>
    <t xml:space="preserve">BLINC GROUP/THINK20 LABS LLC-STRATEGIC ALLIANCE</t>
  </si>
  <si>
    <t xml:space="preserve">Blinc Group and Think20 Labs LLC formed a strategic alliance. The purpose
of strategic alliance was to develop a vaping apparatus that helps identify
possible dangerous compounds that are inhaled by consumers.</t>
  </si>
  <si>
    <t xml:space="preserve">5J8094
7J4411</t>
  </si>
  <si>
    <t xml:space="preserve">Goldfinch Bio Inc
Takeda Pharmaceutical Co Ltd</t>
  </si>
  <si>
    <t xml:space="preserve">Goldfinch Biopharma Inc is a
United States-based
biotechnology company. The
Company focuses on
discovering and developing
precision therapies for
patients with kidney
disease. The Company
develops a product engine
that integrates genetic,
genomic and biological tools
to identify and validate
novel drug targets and
inform treatment strategies
focused on molecularly
defined patient groups. The
Company focuses on focal
segmental glomerulosclerosis
(FSGS) and polycystic kidney
disease (PKD) therapeutic
programs. The Company's
FSGS, a kidney disorder, is
a histopathologic diagnosis
characterized by scarring of
the kidney's filtering
units, or glomeruli, leading
to an excess of various
proteins spilling into the
urine, called proteinuria.
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</si>
  <si>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GOLDFINCH BIO INC/TAKEDA PHARMACEUTICAL CO LTD-STRATEGIC ALLIANCE</t>
  </si>
  <si>
    <t xml:space="preserve">Goldfinch Bio Inc and Takeda Pharmaceutical Co Ltd formed a strategic
alliance to grant Takeda the option, prior to the initiation of pivotal
studies, to request Goldfinch Bio negotiate with Takeda for sub-licensing
of Japanese rights to Takeda.</t>
  </si>
  <si>
    <t xml:space="preserve">7J3681
874058</t>
  </si>
  <si>
    <t xml:space="preserve">Tmunity Therapeutics Inc
Childrens Hosp Of</t>
  </si>
  <si>
    <t xml:space="preserve">Research and Development in Biotechnology
Own,op children's hospitals</t>
  </si>
  <si>
    <t xml:space="preserve">Tmunity Therapeutics, Inc.
is a United States-based
biopharmaceutical company.
The Company is engaged in
developing products to
unleash the immunological
potential of T cells to
treat a range of disease
indications. The Company is
developing T Cell Receptor
(TCR) engineered T cells,
regulatory T cells (Treg)
and universal engineered T
cell platforms that control
over T cell activation and
direction in vivo, as well
as technologies to activate,
expand and genetically
engineer T cells from
peripheral blood, cord blood
and tumors. The Company
offers clinic personalized
immunotherapies for
oncology, infectious
diseases and autoimmune
disease. In addition, the
Company's manufacturing
platform supports
multi-center clinical
studies across various
therapeutic indications.
Children's Hospital of
Philadelphia is a specialty
hospital operator. The
Company is located in
Philadelphia, Pennsylvania.</t>
  </si>
  <si>
    <t xml:space="preserve">TMUNITY THERAPEUTICS INC/CHILDREN'S HOSPITAL OF PHILADELPHIA-STRATEGIC
ALLIANCE</t>
  </si>
  <si>
    <t xml:space="preserve">Tmunity Therapeutics Inc and Children's Hospital of Philadelphia formed a
strategic alliance to build a pediatric oncology franchise and advance
novel T-cell therapies for devastating diseases.</t>
  </si>
  <si>
    <t xml:space="preserve">0J3866
16875H</t>
  </si>
  <si>
    <t xml:space="preserve">PAREXEL International Corp
Healthverity Inc</t>
  </si>
  <si>
    <t xml:space="preserve">Research and Development in Biotechnology
Data Processing, Hosting, and Related Services</t>
  </si>
  <si>
    <t xml:space="preserve">PAREXEL International Corp,
located in Waltham,
Massachusetts, provides
biopharmaceutical services,
including social sciences
research and development
services. It offers
expertise-based clinical
research, consulting, medical
communications and technology
solutions and services
worldwide pharmaceutical,
biotechnology and medical
device industries. It
currently has offices in 86
locations in 51 countries
across the world and employs
approximately 19,600
employees. The Company was
founded in 1982.
Healthverity Inc, located in
Philadelphia, Pennsylvania,
is a provider of data
processing and hosting
services. The Company was
founded in 2014.</t>
  </si>
  <si>
    <t xml:space="preserve">8731
7374</t>
  </si>
  <si>
    <t xml:space="preserve">Pamplona Capital Management
Healthverity Inc</t>
  </si>
  <si>
    <t xml:space="preserve">PAREXEL INTERNATIONAL CORP/HEALTHVERITY INC-STRATEGIC ALLIANCE</t>
  </si>
  <si>
    <t xml:space="preserve">PAREXEL International Corp and Healthverity Inc planned to form a strategic
alliance in United States to accelerate the delivery of drug development
solutions for customers. Through this collaboration, Parexel will gain
access to HealthVerity's diverse data sets including claims, electronic
medical records (EMR), lab data and social determinants of health, enabled
through the HealthVerity suite of privacy-preserving technologies, to
provide customized RWD solutions to help life sciences companies solve
their most complex clinical trial demands.</t>
  </si>
  <si>
    <t xml:space="preserve">Research &amp; Development Services
Data Processing Services
Health &amp; Medical Services</t>
  </si>
  <si>
    <t xml:space="preserve">699462
2J4943</t>
  </si>
  <si>
    <t xml:space="preserve">Linde AG
Gazprom</t>
  </si>
  <si>
    <t xml:space="preserve">Mnfr,whl industrial gases
Oil,gas exploration,prodn co</t>
  </si>
  <si>
    <t xml:space="preserve">Linde AG, located in Munich,
Germany, manufactures and
wholesales industrial gases.
The Company is comprised of
three divisions: Industrial
Gases &amp; Healthcare,
Engineering and Gist. The
Gases segment offers a wide
range of compressed and
liquefied gases, as well as
chemicals, to various
industries, including
energy, steel production,
chemical processing,
environmental protection and
welding, food processing,
glass production and
electronics. The Engineering
division offers planning,
project development and
construction of turnkey
industrial plants, such as
petrochemical and chemical
plants, refineries,
fertilizer plants, as well
as olefin, natural gas, air
separation, hydrogen and
synthesis gas plants. The
Gist specializes in the
distribution of chilled food
and beverages. It operates
in 100 countries worldwide.
The Company offers its
products and services to
industrial, retail, trade,
science, research and public
sectors. It was founded in
1879.
Gazprom PAO, located in
Moscow, Russian Federation, is
a holding company engaged in
oil and gas exploration and
production and focused on
geological exploration,
production, transportation,
storage, processing and
marketing of gas and other
hydrocarbons. The Company was
founded in February 1993.</t>
  </si>
  <si>
    <t xml:space="preserve">2813
1311</t>
  </si>
  <si>
    <t xml:space="preserve">Linde PLC
Gazprom</t>
  </si>
  <si>
    <t xml:space="preserve">LINDE AG/GAZPROM PAO-JOINT VENTURE</t>
  </si>
  <si>
    <t xml:space="preserve">Linde AG and Gazprom PAO planned to form joint venture to develop process,
design and engineering documentation for natural gas processing and
liquefaction facilities in Russia. In addition, the companies plan to
provide services for the commissioning and operation of LNG plants.</t>
  </si>
  <si>
    <t xml:space="preserve">535223
36828E</t>
  </si>
  <si>
    <t xml:space="preserve">Neometals Ltd
IMUMR</t>
  </si>
  <si>
    <t xml:space="preserve">Other Chemical and Fertilizer Mineral Mining
Research and Development in The Physical, Engineering and Lifesciences (Except Biotechnology)</t>
  </si>
  <si>
    <t xml:space="preserve">Neometals Ltd, located in
West Perth, Western
Australia, is a mineral
mining company focused in
the development of lithium,
titanium, nickel, and iron
projects. Its properties
include Mount Marion,
Barrambie, Yilgarn, and
Mount Finnerty.
Institute Of Multipurpose
Utilisation Of Mineral
Resources Chinese Academy Of
Geological Sciences is a
provider of research and
development services. The
Company is located in China.</t>
  </si>
  <si>
    <t xml:space="preserve">1479
8731</t>
  </si>
  <si>
    <t xml:space="preserve">NEOMETALS LTD/INSTITUTE OF MULTIPURPOSE UTILISATION OF MINERAL RESOURCES
CHINESE ACADEMY OF-JOINT VENTURE</t>
  </si>
  <si>
    <t xml:space="preserve">Neometals Ltd and Institute Of Multipurpose Utilisation Of Mineral
Resources Chinese Academy Of Geological Sciences planned to form a joint
venture to jointly develop its Barrambie titanium-vanadium project in
Western Australia. Under the MoU, the partners will evaluate and develop
Barrambie, creating a pathway for a commercial production joint venture
(JV).</t>
  </si>
  <si>
    <t xml:space="preserve">9C2104
7J3419</t>
  </si>
  <si>
    <t xml:space="preserve">M3 Inc
Shionogi &amp; Co Ltd</t>
  </si>
  <si>
    <t xml:space="preserve">Pvd med-related Internet svcs
Pharmaceutical Preparation Manufacturing</t>
  </si>
  <si>
    <t xml:space="preserve">M3 Inc, located in
Minato-Ku, Tokyo, provides
medical-related internet
services through the
operation of
membership-based medical
specialty website m3.com.
The Medical Portal segment
has three sectors. The
Medical Related Company
Marketing sector involves in
the development and
provision of marketing
support services under the
names MR-kun, m3MT and
m3.com to corporate clients
such as pharmaceutical
companies and
medical-related companies,
through the Internet. The
Survey sector involves in
the customized research
services and routine
research services. Others
sector provides QOL-kun
services, business partner
services and paid content
services, among others. The
Evidence Solution segment
provides large-scale
clinical research support
service and site management
organization (SMO) service.
The Overseas segment offers
marketing support and
research service. The
Company was founded in 2000.
Shionogi &amp; Co Ltd, located
in Osaka-Shi Osaka, Japan,
manufactures pharmaceutical
products. It is engaged in
the research, development,
purchase, manufacture and
sale of pharmaceuticals, as
well as
pharmaceutical-related
businesses. The Company
mainly provides vitamin
preparations, analgesic
antipyretics, eye care
products, cold and sinus
medicine, digestive
medicine, dermatologic
preparations, antiphlogistic
analgetics,
antihypercholesterolemic
agents, test paper for
glucose in urine and
artificial teeth-related
products. The Company was
founded in 1878.</t>
  </si>
  <si>
    <t xml:space="preserve">M3 INC/SHIONOGI &amp; CO LTD-JOINT VENTURE</t>
  </si>
  <si>
    <t xml:space="preserve">Stream-I Inc is a
manufacturer of biological
products. The Company is
located in Japan.</t>
  </si>
  <si>
    <t xml:space="preserve">M3 Inc and Shionogi Co Ltd formed a 49:51 joint venture named Stream-I Inc.
The JV was expected to have revenues of USD 0.46605 million. The purpose of
joint venture was to create disease solutions that are not limited to
medication.</t>
  </si>
  <si>
    <t xml:space="preserve">The JV was to be capitalized a USD 0.466050 mil.</t>
  </si>
  <si>
    <t xml:space="preserve">7J3505</t>
  </si>
  <si>
    <t xml:space="preserve">55158A
82466Q</t>
  </si>
  <si>
    <t xml:space="preserve">Aqua Bio Tech ASA
DBK Pharmaceutical SAE</t>
  </si>
  <si>
    <t xml:space="preserve">Mnfr,whl cosmetic products
In-Vitro Diagnostic Substance Manufacturing</t>
  </si>
  <si>
    <t xml:space="preserve">Aqua Bio Technology ASA is a
manufacturer, developer and
wholesaler of cosmetic
products, patented
ingredients and technology
to the cosmetic industry.
The Company was founded in
February 2004 and is located
in Lysaker, Norway. The
Company operates in the
market for products that are
based on natural ingredients
and products that have a
physiological effect in
addition to being a cosmetic
product.
DBK Pharmaceutical SAE,
located in Cairo, Egypt, is
a manufacturer, wholesaler
and retailer of
pharmaceuticals. Its
products include Herbal
Brands, Food supplements,
cosmetics and veterinary
products. It was founded in
2004.</t>
  </si>
  <si>
    <t xml:space="preserve">2844
2835</t>
  </si>
  <si>
    <t xml:space="preserve">Norway
Egypt</t>
  </si>
  <si>
    <t xml:space="preserve">AQUA BIO TECHNOLOGY ASA/DBK PHARMACEUTICAL SAE-STRATEGIC ALLIANCE</t>
  </si>
  <si>
    <t xml:space="preserve">Aqua Bio Technology ASA and DBK Pharmaceutical SAE formed a strategic
alliance for the distribution of the Moana Skincare skincare range in the
country.</t>
  </si>
  <si>
    <t xml:space="preserve">03910M
6C5854</t>
  </si>
  <si>
    <t xml:space="preserve">Barenbrug Holding BV(Unilever)
Keygene NV</t>
  </si>
  <si>
    <t xml:space="preserve">Produce grass seeds
Biological Product (Except Diagnostic) Manufacturing</t>
  </si>
  <si>
    <t xml:space="preserve">Produce grass and animal
fodder seeds
Keygene NV is a manufacturer
of biological products. The
Company was founded in June
1989 and is located in
Wageningen, the Netherlands.</t>
  </si>
  <si>
    <t xml:space="preserve">0181
2836</t>
  </si>
  <si>
    <t xml:space="preserve">Unilever PLC
Keygene NV</t>
  </si>
  <si>
    <t xml:space="preserve">2099
2836</t>
  </si>
  <si>
    <t xml:space="preserve">BARENBRUG HOLDING BV(UNILEVER/KEYGENE NV-JOINT VENTURE</t>
  </si>
  <si>
    <t xml:space="preserve">Lion-Flex NV is a nursery
production establishment.
The Company is located in
the Netherlands.</t>
  </si>
  <si>
    <t xml:space="preserve">0811</t>
  </si>
  <si>
    <t xml:space="preserve">Barenbrug Holding BV(Unilever PLC) and Keygene NV named Lion-Flex NV.
Lion-Flex NV is a nursery production establishment. The Company is located
in the Netherlands. for sustainable natural rubber production &amp; to develop
and produce rubber dandelion varieties and establish the sustainable
production of natural rubber.</t>
  </si>
  <si>
    <t xml:space="preserve">7J8049</t>
  </si>
  <si>
    <t xml:space="preserve">06750Q
49328X</t>
  </si>
  <si>
    <t xml:space="preserve">Qurient Co Ltd
Robert Huber
Michael Hamacher</t>
  </si>
  <si>
    <t xml:space="preserve">Research and Development in The Physical, Engineering and Lifesciences (Except Biotechnology)
Miscellaneous Financial Investment Activities
Miscellaneous Financial Investment Activities</t>
  </si>
  <si>
    <t xml:space="preserve">Qurient Co Ltd, located in
Seongnam, South Korea, is a
provider of research and
development pharmaceuticals.
The Company includes two
programs: development phase
programs and research phase
programs. The development
phase programs consist of
Q203 which is a candidate
therapy for drug-resistant
tuberculosis, Q301 which is
atopic dermatitis treatment
drug and Q702 which is a
treatment for cancer and
activates anti-cancer
immunotherapy. The research
phase programs consist of 5
lipoxygenase (5LO) inhibit
asthma medicines and cyclin
dependent kinase 7 (CDK7)
inhibit cancer drug. The
company was founded in 2008.
Robert Huber, located in
Munich, Germany, is an
individual investor.
Michael Hamacher, located in
Munich, Germany, is an
individual investor.</t>
  </si>
  <si>
    <t xml:space="preserve">8731
6799
6799</t>
  </si>
  <si>
    <t xml:space="preserve">South Korea
Germany
Germany</t>
  </si>
  <si>
    <t xml:space="preserve">QURIENT CO LTD/ROBERT HUBER/MICHAEL HAMACHER-JOINT VENTURE</t>
  </si>
  <si>
    <t xml:space="preserve">Qurient Co Ltd, Robert Huber and Michael Hamacher formed a joint venture in
Germany to develop anticancer drugs and immunotherapy using proteasome
inhibition technology. Qurient expects to accelerate research using the
underlying technologies and development capabilities of the
Max-Planck-Institut and LDC.</t>
  </si>
  <si>
    <t xml:space="preserve">0E5320
7J4024
7J4025</t>
  </si>
  <si>
    <t xml:space="preserve">OMZ PAO
SIBUR Holding PJSC</t>
  </si>
  <si>
    <t xml:space="preserve">All Other Miscellaneous General Purpose Machinery Manufacturing
Petroleum Refineries</t>
  </si>
  <si>
    <t xml:space="preserve">Ob"edinennye
mashynostroitel'nye zavody
(Gruppa Uralmash-Izhora) PAO,
located in Moscow, Russian
Federation, is a manufacturer
of heavy industrial equipment
such as cranes, mining
equipment, metallurgical
equipment, rotary kilns,
reducers, and coke-chemical
equipment as well as specialty
steel large size forgings and
castings. The Company was
founded in 1996.
SIBUR Holding PJSC is a
petroleum refinery operator.
It is engaged in the
production of the
petrochemical products. The
Company operates across the
entire petrochemical process
chain from gas processing,
production of monomers,
plastics and synthetic
rubbers to the production of
mineral fertilizers, tires
and the processing of
plastics. SIBUR Holding PAO
is a vertically integrated
company with its gas
processing facilities
providing feedstock for its
petrochemical production. It
incorporates Hydrocarbon
Feedstock Division, Basic
Polymers Division, Plastics
and Organic Synthesis
Products Division, Synthetic
Rubbers Division, as well as
two subsidiaries - SIBUR-
Minudobreniya OAO and
SIBUR-Russkie Shiny OAO. The
Company was founded in 1995
and is located in Tobolsk,
the Russian Federation.</t>
  </si>
  <si>
    <t xml:space="preserve">3569
2911</t>
  </si>
  <si>
    <t xml:space="preserve">Gazprombank JSC
SIBUR Holding PJSC</t>
  </si>
  <si>
    <t xml:space="preserve">6000
2911</t>
  </si>
  <si>
    <t xml:space="preserve">OB''EDINENNYE MASHYNOSTROITEL'NYE ZAVODY/SIBUR HOLDING PJSC-STRATEGIC
ALLIANCE</t>
  </si>
  <si>
    <t xml:space="preserve">SIBUR petrochemical company and United Heavy Machinery Plants (OMZ) have
signed an agreement on strategic partnership he plan is to conduct
scientific, marketing and technology research for manufacture of such
products and development of technologies for SIBUR,</t>
  </si>
  <si>
    <t xml:space="preserve">910921
98349Q</t>
  </si>
  <si>
    <t xml:space="preserve">Teclens LLC
Servimed Srl</t>
  </si>
  <si>
    <t xml:space="preserve">Surgical and Medical Instrument Manufacturing
All Other Miscellaneous Ambulatory Health Care Services</t>
  </si>
  <si>
    <t xml:space="preserve">Teclens LLC is a
manufacturer of medical
instruments. The Company was
founded in October 2013 and
is located in Stamford,
Connecticut.
Servimed Srl is a provider
of ambulatory health care
services. The Company is
located in Rome, Italy.</t>
  </si>
  <si>
    <t xml:space="preserve">TECLENS LLC/SERVIMED SRL-STRATEGIC ALLIANCE</t>
  </si>
  <si>
    <t xml:space="preserve">Teclens LLC and Servimed Srl formed a strategic alliance. The purpose of
strategic alliance was for development and FDA approval of a new
combination product to treat keratoconus..</t>
  </si>
  <si>
    <t xml:space="preserve">7J3875
7J3878</t>
  </si>
  <si>
    <t xml:space="preserve">Cactus Communications Pvt Ltd
Scholarcy Ltd</t>
  </si>
  <si>
    <t xml:space="preserve">All Other Telecommunications
Translation and Interpretation Services</t>
  </si>
  <si>
    <t xml:space="preserve">Cactus Communications Pvt
Ltd is a provider of
telecommunications services.
The Company was founded in
2002 and is located in
Mumbai, India.
Scholarcy Ltd is a provider
of translation and
interpretation services. The
Company is located in
London, the United Kingdom.</t>
  </si>
  <si>
    <t xml:space="preserve">4899
7389</t>
  </si>
  <si>
    <t xml:space="preserve">CACTUS COMMUNICATIONS PVT LTD/SCHOLARCY LTD-STRATEGIC ALLIANCE</t>
  </si>
  <si>
    <t xml:space="preserve">Cactus Communications Pvt Ltd and Scholarcy Ltd formed a strategic
alliance. The purpose of strategic alliance was to explore ways to speed up
the scholarly communication process for researchers..</t>
  </si>
  <si>
    <t xml:space="preserve">7J3483
7J3487</t>
  </si>
  <si>
    <t xml:space="preserve">Akcea Therapeutics Inc
Pfizer Inc</t>
  </si>
  <si>
    <t xml:space="preserve">Biotechnology Company
Manufacture,wholesale pharmaceuticals</t>
  </si>
  <si>
    <t xml:space="preserve">Akcea Therapeutics Inc is a
manufacturer of biological
products. The Company was
founded in December 2014 and
is located in Cambridge,
Massachusetts.
Massachusetts.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</si>
  <si>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Ionis Pharmaceuticals Inc
Pfizer Inc</t>
  </si>
  <si>
    <t xml:space="preserve">AKCEA THERAPEUTICS INC/PFIZER INC-STRATEGIC ALLIANCE</t>
  </si>
  <si>
    <t xml:space="preserve">Akcea Therapeutics Inc and Pfizer Inc terminated their alliance prior to
the expiration date. Previously in October 10th 2019, Akcea Therapeutics
Inc and Pfizer Inc formed a strategic alliance.</t>
  </si>
  <si>
    <t xml:space="preserve">00972L
717081</t>
  </si>
  <si>
    <t xml:space="preserve">Shenzhen Chipscreen
Novogene Co Ltd</t>
  </si>
  <si>
    <t xml:space="preserve">Shenzhen Chipscreen
Biosciences Co Ltd is a
manufacturer of biological
products. The Company was
founded in March 2001 and is
located in Shenzhen, China.
Novogene Co Ltd is a
manufacturer and wholesaler
of biological products. The
Company was founded in March
2011 and is located in
Beijing, China.</t>
  </si>
  <si>
    <t xml:space="preserve">SHENZHEN CHIPSCREEN BIOSCIENCES CO LTD/NOVOGENE CO LTD-STRATEGIC ALLIANCE</t>
  </si>
  <si>
    <t xml:space="preserve">Shenzhen Chipscreen Biosciences Co Ltd and Novogene Co Ltd planned to form
a strategic alliance in China for companion diagnostics (CDx) development.
Under the agreement, Novogene will develop a CDx for Chipscreen's
anti-tumor drug candidate Chiauranib (CS2164), and will provide molecular
testing services during Chipscreen's clinical trials on Chiauranib.</t>
  </si>
  <si>
    <t xml:space="preserve">2J8364
8E7180</t>
  </si>
  <si>
    <t xml:space="preserve">Hyundai Cradle
NetraDyne Inc</t>
  </si>
  <si>
    <t xml:space="preserve">General Automotive Repair
Software Publishers</t>
  </si>
  <si>
    <t xml:space="preserve">Hyundai Cradle is a provider
of automotive repair
services. The Company is
located in Menlo Park,
California.
NetraDyne Inc, located in
San Diego, California,
develops computer vision and
deep learning technology
software. The Company was
founded in 2015.</t>
  </si>
  <si>
    <t xml:space="preserve">7538
7372</t>
  </si>
  <si>
    <t xml:space="preserve">Hyundai Motor Co
NetraDyne Inc</t>
  </si>
  <si>
    <t xml:space="preserve">HYUNDAI CRADLE/NETRADYNE INC-STRATEGIC ALLIANCE</t>
  </si>
  <si>
    <t xml:space="preserve">Hyundai Cradle and NetraDyne Inc formed a strategic alliance to collaborate
to utilize the road and driving behavior data collected by Netradyne to
support HD mapping and map updates for Hyundai's development of future L3+
ADAS and AD features.</t>
  </si>
  <si>
    <t xml:space="preserve">7J4323
6E9835</t>
  </si>
  <si>
    <t xml:space="preserve">Ashrae
Curiosity Lab At Peachtree</t>
  </si>
  <si>
    <t xml:space="preserve">Engineering Services
Testing Laboratories</t>
  </si>
  <si>
    <t xml:space="preserve">Ashrae is a provider of
engineering services. The
Company is located in
Georgia.
Curiosity Lab At Peachtree
Corners is a testing
laboratory. The Company is
located in Delaware.</t>
  </si>
  <si>
    <t xml:space="preserve">8711
8734</t>
  </si>
  <si>
    <t xml:space="preserve">GA
DE</t>
  </si>
  <si>
    <t xml:space="preserve">ASHRAE/CURIOSITY LAB AT PEACHTREE CORNERS-STRATEGIC ALLIANCE</t>
  </si>
  <si>
    <t xml:space="preserve">Curiosity Lab Partnership with ASHRAE to Support Smart City Technology and
Sustainable Energy Innovation</t>
  </si>
  <si>
    <t xml:space="preserve">7J4083
7J4084</t>
  </si>
  <si>
    <t xml:space="preserve">The UNITE Group PLC
University of Leeds</t>
  </si>
  <si>
    <t xml:space="preserve">Rooming and Boarding Houses
Own,operate college,university</t>
  </si>
  <si>
    <t xml:space="preserve">The UNITE Group PLC, located
in Bristol, the United
Kingdom, is an owner,
developer and operator of
student accommodation
properties around the
country. The group is also
ventured in accommodations
for graduates and young
professionals through
Livocity. The Company's
portfolio includes 36,000
beds in 250 properties and
an additional 10,000 new
beds in the pipeline. It
operates in different
locations such as Aberdeen,
Dundee, Glasgow, Edinburgh,
Newcastle, Leeds, Liverpool
and Manchester. It is also a
holding company. The Company
was founded in 1991.
University of Leeds, located
in Leeds, UK, own and
operates university.</t>
  </si>
  <si>
    <t xml:space="preserve">7021
8221</t>
  </si>
  <si>
    <t xml:space="preserve">THE UNITE GROUP PLC/UNIVERSITY OF LEEDS-STRATEGIC ALLIANCE</t>
  </si>
  <si>
    <t xml:space="preserve">The UNITE Group PLC and University of Leeds formed a strategic alliance.
The purpose of the strategic alliance is to support the scheme through
planning and developing its design. The agreement underpins a development
yield in line with the Companys stated targets.</t>
  </si>
  <si>
    <t xml:space="preserve">90930L
3C4135</t>
  </si>
  <si>
    <t xml:space="preserve">Bayer AG
RIKEN Innovation Co Ltd</t>
  </si>
  <si>
    <t xml:space="preserve">Manufacture and Wholesale Chemicals &amp; Pharmaceuticals
Biological Product (Except Diagnostic) Manufacturing</t>
  </si>
  <si>
    <t xml:space="preserve">Bayer AG, located in
Leverkusen, Germany,
manufactures organic
chemicals. The Company was
founded in August 1863.
RIKEN Innovation Co Ltd is a
manufacturer of biological
products. The Company was
founded in September 2019
and is located in Wako-Shi,
Japan.</t>
  </si>
  <si>
    <t xml:space="preserve">BAYER AG/RIKEN INNOVATION CO LTD-STRATEGIC ALLIANCE</t>
  </si>
  <si>
    <t xml:space="preserve">Bayer AG and RIKEN Innovation Co Ltd formed a strategic alliance in Japan
to jointly explore novel drug discovery opportunities across indications.
The agreement aims to identify potential joint research projects combining
RIKEN Innovation's expertise in academic basic research with Bayer's global
experience in drug discovery and development.</t>
  </si>
  <si>
    <t xml:space="preserve">072730
7J6554</t>
  </si>
  <si>
    <t xml:space="preserve">Evotec SE
Celmatix Inc</t>
  </si>
  <si>
    <t xml:space="preserve">Mnfr small molecule drugs
Research and Development in Biotechnology</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</si>
  <si>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Celmatix Inc is a provider
of biotechnology research
and development services.
The Company was founded in
1970 and is located in New
York, New York.</t>
  </si>
  <si>
    <t xml:space="preserve">EVOTEC AG/CELMATIX INC-STRATEGIC ALLIANCE</t>
  </si>
  <si>
    <t xml:space="preserve">Evotec AG and Celmatix Inc formed a strategic alliance. The purpose of the
strategic alliance is to develop pre-clinical programmes in prevalent but
underserved conditions affecting womens reproductive health, including
polycystic ovary syndrome (PCOS), endometriosis, and infertility.</t>
  </si>
  <si>
    <t xml:space="preserve">7J9459
7J5956</t>
  </si>
  <si>
    <t xml:space="preserve">bluebird bio Inc
Novo Nordisk A/S</t>
  </si>
  <si>
    <t xml:space="preserve">bluebird bio Inc, located in
Cambridge, Massachusetts, is
a biotechnology company
focused on transforming the
lives of patients with
severe genetic and orphan
diseases using gene therapy.
The Company was founded in
1992.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</si>
  <si>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bluebird bio Inc
Novo Nordisk Foundation</t>
  </si>
  <si>
    <t xml:space="preserve">BLUEBIRD BIO INC/NOVO NORDISK A/S-STRATEGIC ALLIANCE</t>
  </si>
  <si>
    <t xml:space="preserve">bluebird bio Inc and Novo Nordisk A/S formed a strategic alliance in United
States &amp; Denmark to jointly develop next-generation in vivo genome editing
treatments for genetic diseases, including haemophilia. Bluebird and Novo
Nordisk will focus on identifying a development gene therapy candidate with
the ambition of offering people with haemophilia A a lifetime free of
factor replacement therapy.</t>
  </si>
  <si>
    <t xml:space="preserve">09609G
670100</t>
  </si>
  <si>
    <t xml:space="preserve">Sberbank Rossii PAO
Saratov Biotech LLC</t>
  </si>
  <si>
    <t xml:space="preserve">Bank
Biological Product (Except Diagnostic) Manufacturing</t>
  </si>
  <si>
    <t xml:space="preserve">Sberbank Rossii PAO, located
in Moscow, Russian
Federation, is a bank, which
provides corporate and
retail banking services. The
Company operates in two
segments: retail banking and
corporate banking. The
retail banking segment
involves in private customer
current accounts, savings,
deposits, custody, debit
cards, consumer loans, and
mortgages businesses. The
corporate banking segment
represents operations with
securities, current
accounts, deposits,
overdrafts, loans and other
credit facilities, foreign
currency and derivative
products. It was founded in
1841.
Saratov Biotechnologies LLC
is a manufacturer of
biological products. The
Company is located in
Delaware.</t>
  </si>
  <si>
    <t xml:space="preserve">6000
2836</t>
  </si>
  <si>
    <t xml:space="preserve">SBERBANK ROSSII PAO/SARATOV BIOTECHNOLOGIES LLC-STRATEGIC ALLIANCE</t>
  </si>
  <si>
    <t xml:space="preserve">Sberbank Rossii PAO and Saratov Biotechnologies LLC formed a strategic
alliance to finance the construction of Russia's first advanced processing
facility that turns wheat into amino acids.</t>
  </si>
  <si>
    <t xml:space="preserve">80584P
7J5486</t>
  </si>
  <si>
    <t xml:space="preserve">Vodafone Idea Ltd
Revolt Intellicorp Pvt Ltd</t>
  </si>
  <si>
    <t xml:space="preserve">Wired Telecommunications Carriers
Motor and Generator Manufacturing</t>
  </si>
  <si>
    <t xml:space="preserve">Vodafone Idea Ltd is a wired
telecommunications carrier.
The Company was founded in
1995 and is located in
Mumbai, India.Vodafone Idea
Ltd, formerly Idea Cellular
Limited, is an India-based
telecom service provider.
The Company's offerings
include consumer and
enterprise. Consumer
offerings include prepaid
unlimited propositions,
red/nirvana postpaid plans,
unlimited international
roaming products and others.
Its Vodafone Idea Business
services provides
communication solutions to
global and Indian
corporations, public sector
and government bodies, small
and medium enterprises and
start-ups. Its enterprise
offerings include enterprise
mobility, connectivity,
Internet of things (IoT)
solutions, business
communication and cloud and
insightful business
analytics and enabling
solutions. It provides its
products and services under
various plans and packs. The
Company allows users to pay
their bills and also offers
various services through its
applications.
Revolt Intellicorp Pvt Ltd
is a manufacturer of motors
and generators. The Company
is located in New Delhi,
India.</t>
  </si>
  <si>
    <t xml:space="preserve">4812
3621</t>
  </si>
  <si>
    <t xml:space="preserve">VODAFONE IDEA LTD/REVOLT INTELLICORP PVT LTD-STRATEGIC ALLIANCE</t>
  </si>
  <si>
    <t xml:space="preserve">Vodafone Idea Ltd and Revolt Intellicorp Pvt Ltd planned to form a
strategic alliance in India to give a smart riding experience for Indias
first AI-enabled electric motorbike.</t>
  </si>
  <si>
    <t xml:space="preserve">45157L
6J8749</t>
  </si>
  <si>
    <t xml:space="preserve">CombiGene AB
Lipigon Pharmaceuticals AB</t>
  </si>
  <si>
    <t xml:space="preserve">CombiGene AB is a
manufacturer of biological
products. The Company was
founded in 1990 and is
located in Lund, Sweden. It
specializes in development
of treatments for
neurological disorders. Its
business concept is to
develop effective gene
therapies for severe
life-altering diseases where
adequate treatment is
currently lacking.
Development assets are
sourced from an external
research network and
developed to achieve
clinical proof of concept.
The Company''s platform
comprises the use of gene
therapy vectors delivering a
combination of transgenes
encoding two or more of
neuropeptide Y (NPY)
receptors, galanin, galanin
receptors, somatostatin, and
somatostatin receptors, for
the treatment of
neurological and psychiatric
diseases in humans and
animals. The Company focuses
on the development of an
epilepsy treatment by means
of an adeno-associated virus
(AAV) vector carrying the
transgenes for the
neurotransmitter NPY and one
of its receptors, the G
protein-coupled receptor Y2.
Lipigon Pharmaceuticals AB
is a manufacturer of
pharmaceutical preparation.
The Company was founded in
1970 and is located in
Sweden.</t>
  </si>
  <si>
    <t xml:space="preserve">COMBIGENE AB/LIPIGON PHARMACEUTICALS AB-STRATEGIC ALLIANCE</t>
  </si>
  <si>
    <t xml:space="preserve">CombiGene AB and Lipigon Pharmaceuticals AB formed a strategic alliance to
break the vicious cycle of liver lipid accumulation and normalize liver
lipid levels and restore normal liver function.</t>
  </si>
  <si>
    <t xml:space="preserve">3E4132
7J6786</t>
  </si>
  <si>
    <t xml:space="preserve">Cerence Inc
Milan Design Pty Ltd</t>
  </si>
  <si>
    <t xml:space="preserve">Software Reproducing
Provide ecommerce retail services</t>
  </si>
  <si>
    <t xml:space="preserve">Cerence Inc, located in
Burlington, Massachusetts,
is a software. It is
developing automotive
cognitive assistance
solutions. It also provides
artificial intelligence
(AI)-powered assistants for
connected and autonomous
vehicles, including software
platforms for building
automotive virtual
assistants. Its platform
uses speech recognition,
natural language
understanding, speech signal
enhancement and acoustic
modeling technology.
Automotive virtual
assistants developed with
the Companys platform
enables a range of modes of
human-vehicle interaction,
including speech, touch,
handwriting, gaze tracking
and gesture recognition, and
supports the integration of
third-party virtual
assistants into the
in-vehicle experience. Its
software platforms edge
software components are
installed on a vehicles head
unit and can operate without
access to external networks
and information. It also
offers professional
services, such as
personalization of grammar
and natural language
understanding development.
Milan Design Pty Ltd provides
online retail services for
furnitures. The company is
headquartered in Brisbane,
Queensland.</t>
  </si>
  <si>
    <t xml:space="preserve">Cerence Inc
Temple &amp; Webster Group Ltd</t>
  </si>
  <si>
    <t xml:space="preserve">7372
5961</t>
  </si>
  <si>
    <t xml:space="preserve">CERENCE INC/MILAN DESIGN PTY LTD-STRATEGIC ALLIANCE</t>
  </si>
  <si>
    <t xml:space="preserve">Cerence Announces Partnership with Mila Quebec Artificial Intelligence
Institute Premier provider of AI-powered automotive assistants joins
cutting-edge AI research group to advance innovation</t>
  </si>
  <si>
    <t xml:space="preserve">156727
2E1639</t>
  </si>
  <si>
    <t xml:space="preserve">Falck Renewables Plc
REG Damery Developers Ltd</t>
  </si>
  <si>
    <t xml:space="preserve">Wind energy co
Corporate, Subsidiary, and Regional Managing Offices</t>
  </si>
  <si>
    <t xml:space="preserve">Falck Renewables Ltd, located
in London, UK, is a wind
energy company. It builds and
operates wind energy plants,
directly and through its
subsidiaries, in the United
Kingdom, Spain, France and
Italy, with a total installed
capacity of 408 MW and
pipelines which include
authorized and under
construction projects. The
company was founded in 2002.
REG Damery Developers Ltd is
a provider of financial
investment services. The
Company was founded in
September 2019 and is
located in Berkeley, the
United Kingdom.</t>
  </si>
  <si>
    <t xml:space="preserve">499A
6799</t>
  </si>
  <si>
    <t xml:space="preserve">Falck SpA
REG Damery Developers Ltd</t>
  </si>
  <si>
    <t xml:space="preserve">FALCK RENEWABLES PLC/REG DAMERY DEVELOPERS LTD-JOINT VENTURE</t>
  </si>
  <si>
    <t xml:space="preserve">Naturalis Energy
Developments Ltd is an
alternative energy sources
establishment. The Company
is located in the United
Kingdom.</t>
  </si>
  <si>
    <t xml:space="preserve">Falck Renewables Plc and REG Damery Developers Ltd formed joint venture
named Naturalis Energy Dvlps Ltd in United Kingdom to develop about 200 MW
of wind and solar projects in the United Kingdom.</t>
  </si>
  <si>
    <t xml:space="preserve">7J5456</t>
  </si>
  <si>
    <t xml:space="preserve">30611A
7J5454</t>
  </si>
  <si>
    <t xml:space="preserve">Cmab Biopharma (Suzhou) Inc
BJ Bioscience Inc</t>
  </si>
  <si>
    <t xml:space="preserve">CMAB BioPharma (Suzhou)
Inc., formerly Suqiao
Pharmaceutical (Suzhou) Co.,
Ltd., is a China-based
company principally engaged
in the provision of one-stop
services for
biopharmaceutical production
outsourcing. The Company is
capable of provide range of
services from cell line
establishment, process
development, test methods to
domestic and foreign
declarations.
BJ Bioscience Inc is a
manufacturer of biological
products. The Company was
founded in January 2017 and
is located in Hangzhou,
China.</t>
  </si>
  <si>
    <t xml:space="preserve">CMAB BIOPHARMA (SUZHOU) INC/BJ BIOSCIENCE INC-STRATEGIC ALLIANCE</t>
  </si>
  <si>
    <t xml:space="preserve">Cmab Biopharma (Suzhou) Inc and BJ Bioscience Inc formed a strategic
alliance to combine the research and development ingenuity of BJ Bioscience
with the state-of-art biologics manufacturing set up of CMABCMAB will
provide full development and manufacturing services for BJ Bioscience.</t>
  </si>
  <si>
    <t xml:space="preserve">6J1427
7J5980</t>
  </si>
  <si>
    <t xml:space="preserve">Wellthy Therapeutics Pvt Ltd
Bayer AG</t>
  </si>
  <si>
    <t xml:space="preserve">Offices Of Physicians, Mental Health Specialists
Manufacture and Wholesale Chemicals &amp; Pharmaceuticals</t>
  </si>
  <si>
    <t xml:space="preserve">Wellthy Therapeutics Pvt Ltd
is a digital therapeutics
Company. The Company,
through its mobile
application offers real-time
instructions from doctors
and health coaches to
patients who suffer from
type-2 diabetes. The Company
was founded in 2015 and is
located in Mumbai, India.
Bayer AG, located in
Leverkusen, Germany,
manufactures organic
chemicals. The Company was
founded in August 1863.</t>
  </si>
  <si>
    <t xml:space="preserve">8011
2899</t>
  </si>
  <si>
    <t xml:space="preserve">WELLTHY THERAPEUTICS PVT LTD/BAYER AG-STRATEGIC ALLIANCE</t>
  </si>
  <si>
    <t xml:space="preserve">Wellthy Therapeutics Pvt Ltd and Bayer AG formed a strategic alliance to
improve the latter's product, regulatory and commercialization capabilities
while exploring areas of collaboration.</t>
  </si>
  <si>
    <t xml:space="preserve">0J8037
072730</t>
  </si>
  <si>
    <t xml:space="preserve">Great Bay Bio Ltd
Guangzhou Boji Med Biotech</t>
  </si>
  <si>
    <t xml:space="preserve">Great Bay Bio Ltd is a
manufacturer of biological
products. The Company is
located in Hong Kong, Hong
Kong.
Guangzhou Boji Medical
Biotechnological Co Ltd is a
manufacturer of medicinals
and botanicals. The Company
was founded in 2002 and is
located in Guangzhou, China.</t>
  </si>
  <si>
    <t xml:space="preserve">GREAT BAY BIO LTD/GUANGZHOU BOJI MEDICAL BIOTECHNOLOGICAL CO LTD-JOINT
VENTURE</t>
  </si>
  <si>
    <t xml:space="preserve">Great Bay Bio Ltd and Guangzhou Boji Medical Biotechnological Co Ltd formed
a joint venture in China to jointly develop GBB101, a new long-acting
injectable biologics for the treatment of anemia caused by Chronic Kidney
Disease (CKD).</t>
  </si>
  <si>
    <t xml:space="preserve">7J7320
9A2197</t>
  </si>
  <si>
    <t xml:space="preserve">Clementia Pharmaceuticals Inc
Blueprint Medicines Corp</t>
  </si>
  <si>
    <t xml:space="preserve">Biotechnology Company
Pharmaceutical Preparation Manufacturing</t>
  </si>
  <si>
    <t xml:space="preserve">Clementia Pharmaceuticals
Inc, located in Montreal,
Quebec, is a biotechnology
company. It is currently
developing palovarotene, an
investigational retinoic
acid receptor gamma (RAR)
selective agonist, for the
treatment of individuals who
are affected by
fibrodysplasia ossificans
progressiva (FOP), multiple
osteochondromas (MO) and
other diseases. The Company
was founded on 5 November
2010.
Blueprint Medicines Corp,
located in Cambridge,
Massachusetts, is a
pharmaceutical company that
manufactures, drug
therapeutics that aims to
improve the lives of
patients with genomically
defined diseases driven by
abnormal kinase activation.
The company was founded on
2008.</t>
  </si>
  <si>
    <t xml:space="preserve">Mayroy SA
Blueprint Medicines Corp</t>
  </si>
  <si>
    <t xml:space="preserve">CLEMENTIA PHARMACEUTICALS INC/BLUEPRINT MEDICINES CORP-STRATEGIC ALLIANCE</t>
  </si>
  <si>
    <t xml:space="preserve">Clementia Pharmaceuticals Inc and Blueprint Medicines Corp formed a
strategic alliance to enter into licensing agreement for the development
and commercialization of BLU-782, an oral, highly selective investigational
ALK2 inhibitor being developed for the treatment of fibrodysplasia
ossificans progressiva (FOP). The Strategic Alliance was to have a
estimated capitalization of USD 535 mil.</t>
  </si>
  <si>
    <t xml:space="preserve">The Strategic Alliance was to have a estimated capitalization of USD 535
mil.</t>
  </si>
  <si>
    <t xml:space="preserve">185575
09627Y</t>
  </si>
  <si>
    <t xml:space="preserve">Reeds Inc
Full Sail Brewing Inc</t>
  </si>
  <si>
    <t xml:space="preserve">Produce non-alcoholic beverage
Breweries</t>
  </si>
  <si>
    <t xml:space="preserve">Reed's Inc, located in Los
Angeles, California,
produces and wholesales
natural non-alcoholic
beverages including natural
soda, fruit juices and fruit
drinks, ready-to-drink teas,
sports drinks, and water.
The company was founded in
2007.
Full Sail Brewing Inc is a
brewery. The Company was
founded in 1987 and is
located in Hood River,
Oregon.</t>
  </si>
  <si>
    <t xml:space="preserve">2086
2082</t>
  </si>
  <si>
    <t xml:space="preserve">REEDS INC/FULL SAIL BREWING INC-STRATEGIC ALLIANCE</t>
  </si>
  <si>
    <t xml:space="preserve">Reeds Inc and Full Sail Brewing Inc formed a strategic alliance in United
States for the development, marketing and distribution of ready-to-drink
Reeds Craft Ginger Mules, which come in two flavors: Classic and Zero
Sugar.</t>
  </si>
  <si>
    <t xml:space="preserve">758338
7J6296</t>
  </si>
  <si>
    <t xml:space="preserve">KSQ Therapeutics Inc
Crispr Therapeutics AG</t>
  </si>
  <si>
    <t xml:space="preserve">KSQ Therapeutics Inc is a
manufacturer of biological
products. The Company
engaged in drug development.
The Company is developing a
genome-scale precision
functional genomics
platform, CRISPRomics.
CRISPRomics pinpoint
therapeutic nodes that
directly correlate genomic
function to disease with
certainty and speed. Its
focused therapeutic areas
include oncology and
immune-oncology. The Company
is advancing a proprietary
pipeline of tumor and
immune-focused drug
candidates. The Company was
founded in 2015 and is
located in Cambridge,
Massachusetts.
CRISPR Therapeutics AG is a
manufacturer of biological
products. The Company was
founded in 2013 and is located
in Basel, Switzerland.</t>
  </si>
  <si>
    <t xml:space="preserve">KSQ THERAPEUTICS INC/CRISPR THERAPEUTICS AG-STRATEGIC ALLIANCE</t>
  </si>
  <si>
    <t xml:space="preserve">KSQ Therapeutics Inc and Crispr Therapeutics AG planned to form a strategic
alliance in United States &amp; Switzerland to receive non-exclusive access to
certain CRISPR IP for its autologous cell therapies, including its existing
eTIL cell franchise. The partnership enables a license agreement whereby
CRISPR Therapeutics will gain access to KSQ intellectual property (IP) for
editing certain novel gene targets in its allogeneic oncology cell therapy
programs.</t>
  </si>
  <si>
    <t xml:space="preserve">7J6565
H17182</t>
  </si>
  <si>
    <t xml:space="preserve">Accelerate Techn Pte Ltd
Epigeneron Inc</t>
  </si>
  <si>
    <t xml:space="preserve">Pvd patent research svcs
Biological Product (Except Diagnostic) Manufacturing</t>
  </si>
  <si>
    <t xml:space="preserve">Accelerate Technologies Pte
Ltd is a provider of
biotechnology research and
development services. The
Company is located in
Singapore, Singapore.
Epigeneron Inc is a
manufacturer of biological
products. The Company deals
with research &amp; development,
manufacturing, sales &amp;
marketing, import &amp; export
of pharmaceutical drugs,
etc. The Company was founded
in April 2015 and is located
in Chuo-Ku, Japan.</t>
  </si>
  <si>
    <t xml:space="preserve">7376
2836</t>
  </si>
  <si>
    <t xml:space="preserve">ACCELERATE TECHNOLOGIES PTE LTD/EPIGENERON INC-STRATEGIC ALLIANCE</t>
  </si>
  <si>
    <t xml:space="preserve">Accelerate Technologies Pte Ltd and Epigeneron Inc planned to form a
strategic alliance in Japan to open new frontiers in epigenetics, leading
to the development of effective cancer drugs. The agreement will ensure the
collaboration to engage pharmaceutical companies on the development of
therapeutic drugs targeting such identified epigenetic factors.</t>
  </si>
  <si>
    <t xml:space="preserve">7J7325
7J7326</t>
  </si>
  <si>
    <t xml:space="preserve">Equine Amnio Solutions LLC
Oklahoma State Univ College</t>
  </si>
  <si>
    <t xml:space="preserve">Horse and Other Equine Production
Colleges, Universities, and Professional Schools</t>
  </si>
  <si>
    <t xml:space="preserve">Equine Amnio Solutions LLC
is an equines farming
establishment. The Company
is a distributor of advanced
equine allografts derived
from equine amniotic
tissues. The Company is
located in Argyle, Texas.
Oklahoma State University
College Of Veterinary
Medicine is a college
operator. The Company is
located in Stillwater,
Oklahoma.</t>
  </si>
  <si>
    <t xml:space="preserve">0272
8221</t>
  </si>
  <si>
    <t xml:space="preserve">EQUINE AMNIO SOLUTIONS LLC/OKLAHOMA STATE UNIVERSITY COLLEGE OF VETERINARY
MEDICINE-STRATEGIC ALLIANCE</t>
  </si>
  <si>
    <t xml:space="preserve">Equine Amnio Solutions LLC and Oklahoma State University College Of
Veterinary Medicine planned to form a strategic alliance in United States
to conduct clinical evaluation of RenoVo on equine limb wounds. RenoVo is
an acellular, liquid allograft derived from amniotic tissues and is
intended for equine homologous use.</t>
  </si>
  <si>
    <t xml:space="preserve">7J5750
7J5751</t>
  </si>
  <si>
    <t xml:space="preserve">Gedeon Richter Plc
Mycovia Pharmaceuticals Inc</t>
  </si>
  <si>
    <t xml:space="preserve">Mnfr,whl pharmaceutical prod
All Other Miscellaneous Ambulatory Health Care Services</t>
  </si>
  <si>
    <t xml:space="preserve">Gedeon Richter Plc, located
in Budapest, Hungary,
manufactures and
pharmaceutical products. It
is engaged in the research,
development, production and
marketing of pharmaceutical
products and also in the
wholesale and retail of
these products. The
Company''s activities
concentrate on female
healthcare with such
gynecological products as
contraceptive pills or
hormone replacement therapy,
among others. It also
develops products for the
cardiovascular,
gastrointestinal and central
nervous system areas. The
Company maintains a direct
presence in 30 countries,
with a total of four
manufacturing sites, 30
representative offices and
14 commercial subsidiaries
and wholesalers. Its
activities are supported by
a number of subsidiaries,
joint ventures and
associated companies,
including ZAO Gedeon Richter
RUS, Gedeon Richter USA Inc,
Gedeon Richter UK Ltd,
Medimpex Jamaica Ltd,
Farnham Laboratories Ltd and
Pesti Sas Patika Bt. The
Company was founded in 1901.
Mycovia Pharmaceuticals Inc
is a provider of ambulatory
health care services. The
Company is located in
Durham, North Carolina.</t>
  </si>
  <si>
    <t xml:space="preserve">Hungary
United States</t>
  </si>
  <si>
    <t xml:space="preserve">GEDEON RICHTER PLC/MYCOVIA PHARMACEUTICALS INC-STRATEGIC ALLIANCE</t>
  </si>
  <si>
    <t xml:space="preserve">Gedeon Richter Plc and Mycovia Pharmaceuticals Inc formed a strategic
alliance to enter into licensing agreement to develop, commercialize and
manufacture VT-1161 in Europe, Latin America, Australia, Russia and other
CIS countries. VT-1161, an oral antifungal product candidate, is currently
in Phase 3 clinical trials for the treatment of Recurrent Vulvovaginal
Candidiasis (RVVC), a debilitating, chronic infectious condition that
affects nearly 138 million women worldwide each year.</t>
  </si>
  <si>
    <t xml:space="preserve">Licensing Services
Research &amp; Development Services
Marketing Services
Manufacturing Services
Health &amp; Medical Services</t>
  </si>
  <si>
    <t xml:space="preserve">76549A
4J5055</t>
  </si>
  <si>
    <t xml:space="preserve">Brooks Life Science Systems
Andrew Alliance SA</t>
  </si>
  <si>
    <t xml:space="preserve">Biological Product (Except Diagnostic) Manufacturing
Computer Systems Design Services</t>
  </si>
  <si>
    <t xml:space="preserve">Brooks Life Science Systems
is a manufacturer of
biological products. The
Company is located in
Chelmsford, Massachusetts.
Andrew Alliance SA is a
producer of new class of
easy-to-use robots and
connected devices that take
repeatability, performance
and efficiency of laboratory
experiments. The Company was
founded in March 2011 and is
located in Geneve,
Switzerland.</t>
  </si>
  <si>
    <t xml:space="preserve">Brooks Automation Inc
Andrew Alliance SA</t>
  </si>
  <si>
    <t xml:space="preserve">3674
7373</t>
  </si>
  <si>
    <t xml:space="preserve">BROOKS LIFE SCIENCE SYSTEMS/ANDREW ALLIANCE SA-STRATEGIC ALLIANCE</t>
  </si>
  <si>
    <t xml:space="preserve">Andrew Alliance SA and Brooks Life Science Systems formed a strategic
alliance to enable Brooks Life Sciences consumables to be added to Andrew
Alliance's groundbreaking OneLab software environment, developed to support
the design, execution and sharing of life science experiment protocols.</t>
  </si>
  <si>
    <t xml:space="preserve">11477R
6F9700</t>
  </si>
  <si>
    <t xml:space="preserve">Mesoblast Ltd
Lonza Group AG</t>
  </si>
  <si>
    <t xml:space="preserve">Biological Product (Except Diagnostic) Manufacturing
Biopharmaceutical company</t>
  </si>
  <si>
    <t xml:space="preserve">Mesoblast Ltd is a
biotechnology company,
headquartered in Melbourne,
Victoria, Australia. It is
committed to the development
of novel treatment for
orthopedic conditions,
including commercialization
of unique adult stem cells
to regenerate and repair
bone and cartilage. The
company was founded in 2004.
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t>
  </si>
  <si>
    <t xml:space="preserve">MESOBLAST LTD/LONZA GROUP AG-STRATEGIC ALLIANCE</t>
  </si>
  <si>
    <t xml:space="preserve">Mesoblast Ltd and Lonza Group AG formed a strategic alliance to manufacture
Mesoblast's lead allogeneic (off-the-shelf) cell therapy product candidate,
remestemcel-L for pediatric steroid-refractory acute graft versus host
disease .</t>
  </si>
  <si>
    <t xml:space="preserve">590717
54338V</t>
  </si>
  <si>
    <t xml:space="preserve">dynaCERT Inc
MOSOLF</t>
  </si>
  <si>
    <t xml:space="preserve">Manufactures, wholesales generator products
General Freight Trucking, Local</t>
  </si>
  <si>
    <t xml:space="preserve">dynaCERT Inc, located in
Toronto, Ontario,
manufactures and wholesales
transportable hydrogen
generator retrofit products
targeted for use in the
heavy tractor trailer
industry. Its flagship
product, the Jetstar, is a
patent-pending aftermarket
retrofit solution that
provides combustion
enhancement by mixing
hydrogen and oxygen into a
vehicle's intake air to
provide the engine with a
more complete burn of the
fuel in its internal
combustion engine. The
Company was founded in 2004.
MOSOLF SE &amp; Co KG, located
in Kirchheim/Teck, Germany,
is a provider of local
freight trucking services.
The Company was founded in
1955.</t>
  </si>
  <si>
    <t xml:space="preserve">3621
4212</t>
  </si>
  <si>
    <t xml:space="preserve">DYNACERT INC/MOSOLF SE &amp; CO KG-JOINT VENTURE</t>
  </si>
  <si>
    <t xml:space="preserve">dynaCERT Inc and MOSOLF SE Co KG planned to form a joint venture in Germany
to fund, develop, certify and offer a customized HydraGENa Technology to
the passenger car after-market in Europe capitalizing on MOSOLF's extensive
commercial relationships in the transportation industry throughout Europe.
Concurrently dynaCERT Inc and MOSOLF SE Co KG signed two more agreements.</t>
  </si>
  <si>
    <t xml:space="preserve">Research &amp; Development Services
Funding Services
Automotive Services</t>
  </si>
  <si>
    <t xml:space="preserve">26780A
4F1040</t>
  </si>
  <si>
    <t xml:space="preserve">SBI Business Solutions Co Ltd
NEC Corp</t>
  </si>
  <si>
    <t xml:space="preserve">All Other Business Support Services
Computer Systems Design Services</t>
  </si>
  <si>
    <t xml:space="preserve">SBI Business Solutions Co Ltd,
based in Tokyo, Japan, mainly
provides back office support
services. The company was
founded in 1989.
NEC Corp, located in
Minato-Ku, Tokyo, Japan, is
engaged in providing
information technology (IT)
services and products. The
Information Technology (IT)
Solution segment provides
system integration,
supporting, outsourcing and
cloud services, servers,
mainframes, super computers,
wireless access devices and
software. Carrier Network
segment provides backbone
network system, network
access and operation support
system, among others. Social
Infrastructure segment
provides broadcasting video
system, control system,
transportation and public
system, fire and disaster
prevention system and
others. Personal Solution
segment provides smart
phones, cellular phones,
corporate computers, tablet
terminals, mobile and
wireless routers and
internet service and display
solution. The others segment
provides smart energy
solution, electronic
components and lighting
fixtures. The Company was
founded in 1899.</t>
  </si>
  <si>
    <t xml:space="preserve">7389
7373</t>
  </si>
  <si>
    <t xml:space="preserve">SBI Holdings Inc
NEC Corp</t>
  </si>
  <si>
    <t xml:space="preserve">6211
7373</t>
  </si>
  <si>
    <t xml:space="preserve">SBI BUSINESS SOLUTIONS CO LTD/NEC CORP-JOINT VENTURE</t>
  </si>
  <si>
    <t xml:space="preserve">SBI Business Solutions Co Ltd and NEC Corp formed joint venture in Japan to
develop solution business for financial institutions such as identity
verification and AML / CFT. The joint venture will utilize SBISecSol's
global cybersecurity measures knowledge and NEC's advanced technologies
such as biometric authentication and AI / security.</t>
  </si>
  <si>
    <t xml:space="preserve">Research &amp; Development Services
Data Processing Services
Computer Programming Services</t>
  </si>
  <si>
    <t xml:space="preserve">2F7292
629050</t>
  </si>
  <si>
    <t xml:space="preserve">Consort Medical PLC
Regeneron Pharmaceuticals Inc</t>
  </si>
  <si>
    <t xml:space="preserve">Manufactures, wholesales,specialty med devices
Mnfr,dvlp biopharm</t>
  </si>
  <si>
    <t xml:space="preserve">Consort Medical PLC is a
manufacturer and wholesaler
of specialty medical
devices. The Company is a
healthcare company focused
on medical technologies. The
principal activities of the
Company are the design,
development and manufacture
of specialty medical drug
delivery devices and
services to the
pharmaceutical industry
through its Bespak Division
and disposable airway
management products for
critical care settings in
hospitals and pre-hospital
settings through its King
Systems Division. The
Company''s products include
metered dose inhalers, dry
powder devices, actuators,
compliance aids, disposable
auto injectors, needle free
reusable jet injectors,
disposable facemasks,
breathing circuits,
laryngeal tubes and video
laryngoscopes. The Company
operates through two
divisions: Bespak which
consists of respiratory and
an injectables business; and
King Systems, a United
States-based anesthesia
products business. The
Company was founded in
December 1946 and is located
in Hemel Hempstead, the
United Kingdom.
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t>
  </si>
  <si>
    <t xml:space="preserve">CONSORT MEDICAL PLC/REGENERON PHARMACEUTICALS INC-STRATEGIC ALLIANCE</t>
  </si>
  <si>
    <t xml:space="preserve">Consort Medical PLC and Regeneron Pharmaceuticals Inc formed a strategic
alliance in United Kingdom &amp; United States to enter into research &amp;
development agreement including key commercial supply terms that provides
for Consort's proprietary VapourSoft technology to be incorporated into a
novel drug delivery device designed by Regeneron.</t>
  </si>
  <si>
    <t xml:space="preserve">21098F
75886F</t>
  </si>
  <si>
    <t xml:space="preserve">Ocean Insights GmbH
Triple Ring Technologies Inc</t>
  </si>
  <si>
    <t xml:space="preserve">Freight Transportation Arrangement
Surgical Appliance and Supplies Manufacturing</t>
  </si>
  <si>
    <t xml:space="preserve">Ocean Insights GmbH is a
provider of freight
transportation arrangement
services. The Company offers
robust, scalable optical
sensing tools, complemented
by deep application
knowledge, machine learning
and cloud-based digital
tools, design and
manufacturing expertise, and
a global support and service
network. The Company was
founded in 2012 and is
located in Rostock, Germany.
Triple Ring Technologies Inc
is a manufacturer of
surgical appliance and
supplies. The Company was
founded in 2005 and is
located in Newark,
California.</t>
  </si>
  <si>
    <t xml:space="preserve">4731
3842</t>
  </si>
  <si>
    <t xml:space="preserve">Halma PLC
Triple Ring Technologies Inc</t>
  </si>
  <si>
    <t xml:space="preserve">3829
3842</t>
  </si>
  <si>
    <t xml:space="preserve">OCEAN INSIGHTS GMBH/TRIPLE RING TECHNOLOGIES INC-STRATEGIC ALLIANCE</t>
  </si>
  <si>
    <t xml:space="preserve">Ocean Insights GmbH and Triple Ring Technologies Inc formed a strategic
alliance in Germany to strengthen its research and development capabilities
in support of biomedical and life sciences industries.</t>
  </si>
  <si>
    <t xml:space="preserve">7J2594
3E4316</t>
  </si>
  <si>
    <t xml:space="preserve">WEY Technology AG
Raytheon Co</t>
  </si>
  <si>
    <t xml:space="preserve">Electronic Connector Manufacturing
Mnfr radar,electn equip</t>
  </si>
  <si>
    <t xml:space="preserve">WEY Technology AG is a
manufacturer of electronic
connectors. The Company was
founded in 1980 and is located
in Unterengstringen,
Switzerland.
Raytheon Co, located in
Waltham, Massachusetts,
manufactures radar
equipment, electronics,
aircraft and aircraft
engines, and home
appliances; provide
geophysical surveillance
services in the areas of
defense and commercial
electronics, engineering and
construction, and business
and special mission
aircraft.It operates in five
business segments:
Integrated Defense Systrems;
Intelligence, Information
and Services; Missile
systems; Space and Airborne
Systems and Forcepoint. The
Company was founded in 1922.</t>
  </si>
  <si>
    <t xml:space="preserve">3678
3812</t>
  </si>
  <si>
    <t xml:space="preserve">WEY TECHNOLOGY AG/RAYTHEON CO-STRATEGIC ALLIANCE</t>
  </si>
  <si>
    <t xml:space="preserve">WEY Technology AG and Raytheon Co formed a strategic alliance. The purpose
of strategic alliance was to co-develop the next-generation air traffic
controller workplaces called Multi-platform ATC Re-hosting Solution, or
MARS.</t>
  </si>
  <si>
    <t xml:space="preserve">0F7743
755111</t>
  </si>
  <si>
    <t xml:space="preserve">Cesca Therapeutics Inc
Healthbanks Biotech USA Inc</t>
  </si>
  <si>
    <t xml:space="preserve">Analytical Laboratory Instrument Manufacturing
Biological Product (Except Diagnostic) Manufacturing</t>
  </si>
  <si>
    <t xml:space="preserve">Cesca Therapeutics Inc,
formerly ThermoGenesis
Corp., designs, develops and
commercializes devices and
disposable tools for the
processing, storage and
administration of cell and
tissue therapies used in the
practice of regenerative
medicine. The Company's
products automate the volume
reduction and
cryopreservation of adult
stem cell concentrates from
cord blood and bone marrow
for use in laboratory and
point of care settings. The
Company sells its products
in approximately 30
countries throughout the
world to customers that
include private and public
cord blood banks, surgeons,
hospitals and research
institutions. The Company
provides products and
technologies to enables cell
separation, processing and
cryopreservation for storage
of biological fluids,
including umbilical cord
blood, peripheral blood and
bone marrow in a format. In
February 2014, the Company
consummated the merger with
TotipotentRX Corp.
Healthbanks Biotech USA Inc
is a manufacturer of
biological products. The
Company was founded in March
2008 and is located in
Irvine, California.</t>
  </si>
  <si>
    <t xml:space="preserve">CESCA THERAPEUTICS INC/HEALTHBANKS BIOTECH USA INC-JOINT VENTURE</t>
  </si>
  <si>
    <t xml:space="preserve">Cesca Therapeutics Inc and Healthbanks Biotech USA Inc planned to form a
20:80 joint venture named ImmuneCyte Life Sciences Inc in United States to
provide immune cell banking and cell processing services.</t>
  </si>
  <si>
    <t xml:space="preserve">157131
7J7794</t>
  </si>
  <si>
    <t xml:space="preserve">Qpex Biopharma Inc
Brii Biosciences Inc</t>
  </si>
  <si>
    <t xml:space="preserve">Qpex Biopharma Inc is a
manufacturer of biological
products. The Company was
founded in September 2018
and is located in San Diego,
California.
Brii Biosciences Inc is a
manufacturer of biological
products. The Company was
founded in 2018 and is
located in Durham, North
Carolina.</t>
  </si>
  <si>
    <t xml:space="preserve">QPEX BIOPHARMA INC/BRII BIOSCIENCES INC-STRATEGIC ALLIANCE</t>
  </si>
  <si>
    <t xml:space="preserve">Qpex Biopharma Inc and Brii Biosciences Inc formed a strategic alliance to
enter into a licensing agreement to develop and commercialize Qpex's
portfolio in China of potentially best-in-class therapies to treat a range
of multi-drug resistant gram-negative infections.</t>
  </si>
  <si>
    <t xml:space="preserve">3J2097
0J0172</t>
  </si>
  <si>
    <t xml:space="preserve">Bioinvent International AB
Cancer Research UK</t>
  </si>
  <si>
    <t xml:space="preserve">Biotechnology company
Provide charitable trust services</t>
  </si>
  <si>
    <t xml:space="preserve">Bioinvent International AB,
headquartered in Lund,
Sweden, is a biotechnology
company, involved in the
isolation and development of
human antibodies through its
proprietary human antibody
library n-CoDeR, as well as
the out-licensing of the
same library. The Group also
establishes collaborative
research, development and
manufacturing partnerships
with pharmaceutical
companies and is developing
antibody-based drugs against
AIDS, atherosclerosis,
cancer and diseases of the
joints. The company was
founded in 1995.
Cancer Research UK is a
provider of charitable trust
services. The Company is
located in London, the United
Kingdom.</t>
  </si>
  <si>
    <t xml:space="preserve">BIOINVENT INTERNATIONAL AB/CANCER RESEARCH UK-STRATEGIC ALLIANCE</t>
  </si>
  <si>
    <t xml:space="preserve">Bioinvent International AB and Cancer Research UK planned to form a
strategic alliance in United Kingdom &amp; Sweden for the production of
Hummingbird Bioscience's anti-HER3 antibody drug HMBD-001 for use within a
clinical partnership to test the agent in a phase I trial.</t>
  </si>
  <si>
    <t xml:space="preserve">09059S
13737T</t>
  </si>
  <si>
    <t xml:space="preserve">Evotec SE
Integra Holdings Ltd
Yissum Research Development</t>
  </si>
  <si>
    <t xml:space="preserve">Mnfr small molecule drugs
Biological Product (Except Diagnostic) Manufacturing
Pvd research,dvlp svcs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</si>
  <si>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Integra Holdings Ltd is a
manufacturer of biological
products. The Company is
located in Tel Aviv, Israel.
Yissum Research Development
Co of the Hebrew University
of Jerusalem is a provider
of research and development
services. The Company is
located in Jerusalem,
Israel.</t>
  </si>
  <si>
    <t xml:space="preserve">2834
2836
8731</t>
  </si>
  <si>
    <t xml:space="preserve">Germany
Israel
Israel</t>
  </si>
  <si>
    <t xml:space="preserve">Evotec SE
Hebrew Univ of Jerusalem
Hebrew Univ of Jerusalem</t>
  </si>
  <si>
    <t xml:space="preserve">2834
8221
8221</t>
  </si>
  <si>
    <t xml:space="preserve">EVOTEC SE/INTEGRA HOLDINGS LTD/YISSUM RESEARCH DEVELOPMENT CO OF THE HEBREW
UNIVERSITY OF JERUSALEM-STRATEGIC ALLIANCE</t>
  </si>
  <si>
    <t xml:space="preserve">Evotec SE, Integra Holdings Ltd and Yissum Research Development Co of the
Hebrew University of Jerusalem formed a strategic alliance to expedite drug
discovery and development by providing efficient translation of early stage
Hebrew University research.</t>
  </si>
  <si>
    <t xml:space="preserve">7J9459
3C9538
98583R</t>
  </si>
  <si>
    <t xml:space="preserve">ITOCHU Corp
Justpark Parking Ltd</t>
  </si>
  <si>
    <t xml:space="preserve">Other Chemical and Allied Products Merchant Wholesalers
Software Publishers</t>
  </si>
  <si>
    <t xml:space="preserve">Itochu Corp, located in
Minato-Ku, Tokyo, is a
trading company. It operates
in seven segments. Textile
segment provides textile
materials and products,
clothing, interior items and
others. Machinery segment
deals with construction
projects and machinery,
ships and automobiles, among
others. Metals segment
develops metal mines and
deals with ferrous and
non-ferrous metals. Energy
and Chemicals segment
develops energy resources
and deals with chemical
products. Food segment
produces and distributes
food materials and various
food. Living and Information
segment deals with lumber,
pulps, paper, gum, tire,
cement and ceramics, among
others. Others segment is
engaged in exchange and
securities dealing,
securities investment. The
Company was founded in
January 1858.
Justpark Parking Ltd is a
software publisher. The
Company has operated as an
aggregator of parking spaces
and has built its unique
platform, with which drivers
can find and reserve parking
space via web or app. The
Company was founded in 2006
and is located in London,
the United Kingdom.</t>
  </si>
  <si>
    <t xml:space="preserve">5169
7372</t>
  </si>
  <si>
    <t xml:space="preserve">ITOCHU CORP/JUSTPARK PARKING LTD-STRATEGIC ALLIANCE</t>
  </si>
  <si>
    <t xml:space="preserve">ITOCHU Corp and Justpark Parking Ltd planned to form a strategic alliance
in United Kingdom to develop new mobility businesses and related services,
including car-sharing.</t>
  </si>
  <si>
    <t xml:space="preserve">465717
8J3198</t>
  </si>
  <si>
    <t xml:space="preserve">Johnson &amp; Johnson Med
TINAVI Med Tech Co Ltd</t>
  </si>
  <si>
    <t xml:space="preserve">Medical, Dental, and Hospital Equipment and Supplies Merchant Wholesalers
Other Computer Peripheral Equipment Manufacturing</t>
  </si>
  <si>
    <t xml:space="preserve">Johnson &amp; Johnson Medical
(Shanghai) Ltd is a medical
equipment and supplies
wholesaler. The Company was
founded in July 2001 and is
TINAVI Medical Technologies
Co Ltd is a manufacturer and
wholesaler of robots. The
Company was founded in
October 2010 and is located
in Beijing, China.</t>
  </si>
  <si>
    <t xml:space="preserve">5047
3577</t>
  </si>
  <si>
    <t xml:space="preserve">JOHNSON &amp; JOHNSON MEDICAL (SHANGHAI) LTD/TINAVI MEDICAL TECHNOLOGIES CO
LTD-STRATEGIC ALLIANCE</t>
  </si>
  <si>
    <t xml:space="preserve">Johnson Johnson Medical (Shanghai) Ltd and TINAVI Medical Technologies Co
Ltd formed a strategic alliance to enter into research, development,
marketing and distribution agreement to bring Tinavi's robotic solutions
for spine and trauma surgery to the China orthopaedics implant market.</t>
  </si>
  <si>
    <t xml:space="preserve">Research &amp; Development Services
Marketing Services
Retail &amp; Wholesale Services
Supply Services
Health &amp; Medical Services
Hospital &amp; Clinical Services</t>
  </si>
  <si>
    <t xml:space="preserve">8J2197
9E0439</t>
  </si>
  <si>
    <t xml:space="preserve">Bioe Hldg Inc
National Cancer Inst</t>
  </si>
  <si>
    <t xml:space="preserve">Biological Product (Except Diagnostic) Manufacturing
Pvd med research svcs</t>
  </si>
  <si>
    <t xml:space="preserve">Bioe Holdings Inc is a
manufacturer of biological
products. The Company is
located in India.
National Cancer Institute,
located in Bethesda,
Maryland, provides medical
research services.</t>
  </si>
  <si>
    <t xml:space="preserve">Biological E Ltd
National Institutes of Health</t>
  </si>
  <si>
    <t xml:space="preserve">BIOE HOLDINGS INC/NATIONAL CANCER INSTITUTE-STRATEGIC ALLIANCE</t>
  </si>
  <si>
    <t xml:space="preserve">Bioe Holdings Inc and National Cancer Institute formed a strategic alliance
for the prevention and treatment of BK Polyomavirus (BKV) and/or JCV
associated diseases in organ/kidney transplantation, bone marrow
transplantation and progressive multifocal leukoencephalopathy (PML).</t>
  </si>
  <si>
    <t xml:space="preserve">7J8841
63306A</t>
  </si>
  <si>
    <t xml:space="preserve">Sundial Growers Inc
Crescita Therapeutics Inc</t>
  </si>
  <si>
    <t xml:space="preserve">Medicinal and Botanical Manufacturing
Pharmacies and Drug Stores</t>
  </si>
  <si>
    <t xml:space="preserve">Sundial Growers Inc is a
manufacturer of medicinals
and botanicals. The Company
was founded in August 2006
and is located in Calgary,
Canada.
Crescita Therapeutics Inc,
located in Mississauga,
Ontario, is a drug
development company. It is a
dermatology company that
owns a portfolio of
non-prescription skincare
products for the treatment
and care of skin conditions
and diseases and their
symptoms and prescription
drug products for the
treatment of pain. The
Company was founded in 2016.</t>
  </si>
  <si>
    <t xml:space="preserve">SUNDIAL GROWERS INC/CRESCITA THERAPEUTICS INC-STRATEGIC ALLIANCE</t>
  </si>
  <si>
    <t xml:space="preserve">Sundial Growers Inc and Crescita Therapeutics Inc formed a strategic
alliance. The purpose of strategic alliance was to Crescita's proprietary
transdermal delivery technologies for the development of topicals
containing cannabis and hemp.</t>
  </si>
  <si>
    <t xml:space="preserve">Research &amp; Development Services
Licensing Services
Health &amp; Medical Services
Hospital &amp; Clinical Services</t>
  </si>
  <si>
    <t xml:space="preserve">86730L
225847</t>
  </si>
  <si>
    <t xml:space="preserve">MPP
Pfizer Inc</t>
  </si>
  <si>
    <t xml:space="preserve">All Other Miscellaneous Ambulatory Health Care Services
Manufacture,wholesale pharmaceuticals</t>
  </si>
  <si>
    <t xml:space="preserve">Medicines Patent Pool is a
provider of ambulatory health
care services. The Company was
founded in 2010 and is located
in Geneva, Switzerland.
Pfizer Inc, located in New
York, New York, manufactures
and wholesales prescription
pharmaceutical products for
humans and animals. The group
operates in three segments
namely, human health segment,
consumer healthcare segment
and animal health segment. The
Company's pharmaceutical
brands include Aricept,
Aromasin, Arthrotec, Caduet,
Camptosar, Celebrex, Chantix,
Detrol/Detrol LA, Effexor,
Enbrel, Eraxis, Fragmin,
Genotropin, Geodon/Zeldox,
Lipitor, Lyrica Mylotarg,
Norvasc, Prevnar, Rebif,
Relpax, Revatio, Spiriva,
Sutent, Torisel, Vfend,
Viagra, Xalatan/Xalacom, Zmax,
Zoloft, and Zyvox. Its animal
health brands include Draxxin,
Excede, Naxcel/Excenel,
RespiSure/Stellamune,
Dectomax, Rimadyl,
Revolution/Stronghold,
Clavamox/Synulox, BoviShield,
Lutalyse, Slentrol, Cerenia,
Convenia, Improvac/Vivax and
West Nile Innovator. The
Company was founded in 1849.</t>
  </si>
  <si>
    <t xml:space="preserve">MEDICINES PATENT POOL/PFIZER INC-STRATEGIC ALLIANCE</t>
  </si>
  <si>
    <t xml:space="preserve">Medicines Patent Pool and Pfizer Inc formed a strategic alliance to
facilitate the clinical development of sutezolid, an investigational
medicine for the treatment of tuberculosis (TB).</t>
  </si>
  <si>
    <t xml:space="preserve">7E4630
717081</t>
  </si>
  <si>
    <t xml:space="preserve">Macleods Pharmaceuticals Ltd
Global Alliance For Tb Drug</t>
  </si>
  <si>
    <t xml:space="preserve">Pharmaceutical Preparation Manufacturing
Provide medical,health svcs</t>
  </si>
  <si>
    <t xml:space="preserve">Macleods Pharmaceuticals Ltd
is a manufacturer of
pharmaceutical preparation.
The Company was founded in
1986 and is located in
Mumbai, India.
Global Alliance for TB Drug
Development is a provider of
ambulatory health care
services. The Company is
located in New York, New
York.</t>
  </si>
  <si>
    <t xml:space="preserve">MACLEODS PHARMACEUTICALS LTD/GLOBAL ALLIANCE FOR TB DRUG-STRATEGIC
ALLIANCE</t>
  </si>
  <si>
    <t xml:space="preserve">Macleods Pharmaceuticals Ltd and Global Alliance for TB Drug Development
formed a strategic alliance to enter into licensing agreement to produce
new tuberculosis (TB) drug for countries with high incidence of TB.
Macleods Pharma has agreed to commercialize the anti-tuberculosis (TB)
medicine in approximately 140 countries and territories.</t>
  </si>
  <si>
    <t xml:space="preserve">8H9472
38127P</t>
  </si>
  <si>
    <t xml:space="preserve">Terna SpA
Eni SpA
Fincantieri SpA
Cassa Depositi E Prestiti SpA</t>
  </si>
  <si>
    <t xml:space="preserve">Electric utility company
Petroleum Refineries
Ship Building and Repairing
Investment company</t>
  </si>
  <si>
    <t xml:space="preserve">Terna Rete Elettrica Nazionale
SpA is an electric power
distributor. It acts as an
independent grid operator for
the transmission of
electricity. It deals with the
management of electrical
systems through the operation
of the grid, efficiency of
infrastructures and their
maintenance through
engineering and management of
plants and grid developments.
It ensures a balance of
deliveries and withdrawals
between the supply of energy
and consumption by end users.
The Company is diversified
into two operating segments.
The Core Business includes the
development, operation and
maintenance of the National
Transmission Grid (NTG) in
addition to dispatching. The
Non-Core Business includes
specialized services provided
to third parties mainly
relating to systems
engineering services, the
operation and maintenance of
high voltage plants and the
housing of telecommunications
equipment and optic fiber grid
maintenance services. The
Company was founded in 1999
and is located in Rome, Italy.
Eni SpA, located in Rome,
Italy, is engaged in the
exploration, development and
production of hydrocarbons.
It supplies and markets gas,
liquefied natural gas and
power. It provides refining
and marketing of petroleum
products; and produces and
markets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 The Company was
founded in December 1953.
Fincantieri SpA is a
provider of ship building
and repairing services. The
Company manufactures
merchant and naval vessels.
The Company manufactures
cruise ships, ferries, ship
repairs and conversions,
marine systems, mega yachts
and special ships. The
Company is active in the
shipbuilding constructions.
The Companys activities are
divided into four business
divisions. The Shipbuilding
division produces cruise
ships, ferries, naval
vessels and mega yachts, as
well as offers ship repair,
conversion, refitting and
refurbishment. The Offshore
division focuses on the
design and construction of
support vessels for the oil
and gas exploration and
production market. The
Equipment, Systems and
Service division is engaged
in the design and
manufacture of systems and
apparatus, and the provision
of after sales service. The
Other division provides
costs for directing,
controlling and coordinating
the business. Fincantieri
SpA is active in the
domestic market, as well as
in the United States,
Brazil, Norway, Romania and
India, among others. It
operates through Vard
Promar. The Company was
founded in December 1959 and
is located in Trieste,
Italy.
Cassa Depositi e Prestiti
SpA is a provider of
financial investment
services. It operates as a
parent company of CDP GROUP.
It supports economy and
assists businesses of all
sizes in the export and
internationalization
process. It is a joint-stock
company under public
control, with the Italian
government holding 80.1% and
a broad group of bank
foundations holding 18.4%,
the remaining 1.5% in
treasury shares. The Company
was founded in 1850 and is
located in Rome, Italy.</t>
  </si>
  <si>
    <t xml:space="preserve">4911
2911
3731
6799</t>
  </si>
  <si>
    <t xml:space="preserve">Italy
Italy
Italy
Italy</t>
  </si>
  <si>
    <t xml:space="preserve">Terna SpA
Eni SpA
Cassa Depositi E Prestiti SpA
Cassa Depositi E Prestiti SpA</t>
  </si>
  <si>
    <t xml:space="preserve">4911
2911
6799
6799</t>
  </si>
  <si>
    <t xml:space="preserve">TERNA RETE ELETTRICA NAZIONALE SPA/ENI SPA/FINCANTIERI SPA/CASSA DEPOSITI E
PRESTITI SPA-STRATEGIC ALLIANCE</t>
  </si>
  <si>
    <t xml:space="preserve">Terna Rete Elettrica Nazionale SpA, Eni SpA, Fincantieri SpA and Cassa
Depositi e Prestiti SpA formed a strategic alliance in Italy for the
development and manufacturing of wave-energy power plants. The agreement
will launch the first phase of a joint project to convert the Inertial Sea
Wave Energy Converter (ISWEC) pilot project, an innovative system that
transforms energy generated by waves into electricity, into an industrial
scale power station, making its application and use immediately available.</t>
  </si>
  <si>
    <t xml:space="preserve">Research &amp; Development Services
Manufacturing Services
Electric Utility Services</t>
  </si>
  <si>
    <t xml:space="preserve">87809P
26874R
31742P
14814V</t>
  </si>
  <si>
    <t xml:space="preserve">Crown Bioscience Inc
Next Oncology LLC</t>
  </si>
  <si>
    <t xml:space="preserve">Crown Bioscience Inc, located
in Santa Clara, California, is
a biotechnology company that
provides integrated services
in oncology. Its team of
scientists is highly skilled
in molecular biology,
biochemistry, cell biology,
veterinarian science,
pharmacology, bioanalytics,
and histopathology. It
currently offers services in
Protein Expression, Cancer
pharmacology Antibody
generation and assay
development and Translational
research.
California.
Next Oncology LLC is a
manufacturer of biological
products. The Company was
founded in September 2011
and is located in San
Antonio, Texas.</t>
  </si>
  <si>
    <t xml:space="preserve">JSR Corp
Next Oncology LLC</t>
  </si>
  <si>
    <t xml:space="preserve">2822
2836</t>
  </si>
  <si>
    <t xml:space="preserve">CROWN BIOSCIENCE INC/NEXT ONCOLOGY LLC-STRATEGIC ALLIANCE</t>
  </si>
  <si>
    <t xml:space="preserve">Crown Bioscience Inc and Next Oncology LLC planned to form a strategic
alliance in United States provide new clinically-relevant PDX models for
preclinical drug development. The. agreement establishes CrownBio as the
exclusive global commercialization partner for all primary tumor PDX models
generated by NEXT Oncology for the next five years.</t>
  </si>
  <si>
    <t xml:space="preserve">22831W
8J0055</t>
  </si>
  <si>
    <t xml:space="preserve">Thermo Fisher Scientific Inc
Genialis Inc</t>
  </si>
  <si>
    <t xml:space="preserve">Mnfr analytical tech,equipment
Data Processing, Hosting, and Related Services</t>
  </si>
  <si>
    <t xml:space="preserve">Thermo Fisher Scientific
Inc, headquartered in
Waltham, Massachusetts,
manufactures analytical
technologies, scientific
equipment, and laboratory
consumables, including mass
spectrometers, liquid and
gas chromatographs, and
affiliated software, vials,
syringes, and columns
necessary for
chromatography,
microplate-based handling
and reading equipment,
optical biosensors, thermal
cyclers, DNA purification
systems, SNP scoring
systems, and capillary
electrophoresis (CE),
ultralow-temperature
freezers, high-speed
centrifuges, centrifugal
vacuum concentrators, and
laboratory freeze dryers,
precision control
instruments. It clients
include the pharmaceutical
and biotech companies,
hospitals and clinical
diagnostic labs,
universities, research
institutions and government
agencies, as well as in
environmental and process
control industries. Its
brands include Thermo
Scientific and Fisher
Scientific. The Company was
founded in 1956.
Genialis Inc is a provider
of data processing and
hosting services. The
Companyis a data science
company based in San Ramon,
California, Houston, Texas,
and Ljubljana, Slovenia.
Genialis team of biologists
and data scientists is
passionate about helping
realize the promise of
precision medicine.
Recognizing that each
patients biology is their
own, Genialis champions an
approach to developing model
that consider diverse data
in concert with focused
experiments and trials. The
Company was founded in 2011
and is located in Houston,
Texas.</t>
  </si>
  <si>
    <t xml:space="preserve">3829
7374</t>
  </si>
  <si>
    <t xml:space="preserve">THERMO FISHER SCIENTIFIC INC/GENIALIS INC-STRATEGIC ALLIANCE</t>
  </si>
  <si>
    <t xml:space="preserve">Thermo Fisher Scientific Inc and Genialis Inc planned to form a strategic
alliance in United States to enter into a comarketing agreement on data
analysis for RNA sequencing. Under the terms of the agreement, the partners
will integrate Thermo Fisher's Invitrogen Collibri Stranded RNA Library
Prep Kit for Illumina next-generation sequencing systems with the Genialis
Expressions analysis software.</t>
  </si>
  <si>
    <t xml:space="preserve">Marketing Services
Research &amp; Development Services
Data Processing Services
Health &amp; Medical Services</t>
  </si>
  <si>
    <t xml:space="preserve">883556
9F4205</t>
  </si>
  <si>
    <t xml:space="preserve">Impact Coatings AB
Hyundai Motor Co</t>
  </si>
  <si>
    <t xml:space="preserve">Mnfr,whl surface treatment products
Mnfr, whl motor vehicles</t>
  </si>
  <si>
    <t xml:space="preserve">Impact Coatings AB, located
in Linkoping, Sweden,
manufactures and wholesales
surface treatment products.
Its Physical Vapor
Deposition (PVD), a surface
treatment method that can
replace the process of wet
chemical plating. The
company was founded in 1997.
Hyundai Motor Co is a
manufacturer of automobiles.
The Company is engaged in
the manufacture and
distribution of automobiles
and automobile parts. Along
with its subsidiaries, the
Company operates its
business through three
segments. The Vehicle
Segment manufactures
automobiles mainly under the
brand names of Genesis,
Tucson, Equus, Veloster,
Azera, Sonata, Elantra,
Accent. This segment also
produces commercial vehicles
including trucks, buses,
special vehicles and others,
as well as automobile
components. Meanwhile, it
also involves in providing
automobile maintenance
services. The Company was
founded in December 1967 and
is located in Seoul, South
Korea.</t>
  </si>
  <si>
    <t xml:space="preserve">2851
3711</t>
  </si>
  <si>
    <t xml:space="preserve">IMPACT COATINGS AB/HYUNDAI MOTOR CO-STRATEGIC ALLIANCE</t>
  </si>
  <si>
    <t xml:space="preserve">Impact Coatings AB and Hyundai Motor Co formed a strategic alliance in
Sweden &amp; South Korea to jointly research and develop novel materials,
processes and equipment for coatings for applying it into bipolar plates
for a variety of applications including fuel cells and/or hydrogen
production.</t>
  </si>
  <si>
    <t xml:space="preserve">45103P
44918T</t>
  </si>
  <si>
    <t xml:space="preserve">Huakang Biomedical Co Ltd
Undisclosed JV Partner</t>
  </si>
  <si>
    <t xml:space="preserve">Huakang Biomedical Co Ltd is
a manufacturer of biological
products. The Company is
located in Hong Kong.
Investment company</t>
  </si>
  <si>
    <t xml:space="preserve">Huakang Biomed Hldg Co Ltd
Undisclosed JV Partner</t>
  </si>
  <si>
    <t xml:space="preserve">HUAKANG BIOMEDICAL CO LTD/UNDISCLOSED PARTNER-JOINT VENTURE</t>
  </si>
  <si>
    <t xml:space="preserve">Huakang Biomedical Co Ltd and Undisclosed Joint Venture Partner planned to
form joint venture for the research, development and registration of
technology, devices and products for assisted reproductive treatment.</t>
  </si>
  <si>
    <t xml:space="preserve">8J1590
904JVP</t>
  </si>
  <si>
    <t xml:space="preserve">Pandion Therapeutics Inc
Astellas Pharma Inc</t>
  </si>
  <si>
    <t xml:space="preserve">Biological Product (Except Diagnostic) Manufacturing
Manufactures and wholesales pharmaceutical</t>
  </si>
  <si>
    <t xml:space="preserve">Pandion Therapeutics Inc,
located in Cambridge,
Massachusetts, is a
manufacturer of biological
products. The Company was
founded in 19 September
2016.
Astellas Pharma Inc, located
in Chuo-Ku, Tokyo,
manufactures and wholesales
pharmaceutical. It is
involved in the manufacture
and sale of pharmaceutical
products in Japan, the
United States, Europe,
China, Korea, Taiwan and
other markets through its
subsidiaries. Its main
products include
immunosuppressive drug
Prograf, overactive bladder
agent Vesicare, Protopic
ointment for atopic
dermatitis, Harnal for
prostatic and urethral
smooth muscle, and
antimycotic agent Funguard,
among others. It also
provides pharmaceutical
products for gastritis,
osteoporosis, hypertension,
schizophrenia, rheumatoid
arthritis, atopic dermatitis
and other diseases. The
Company was founded in 1923.</t>
  </si>
  <si>
    <t xml:space="preserve">PANDION THERAPEUTICS INC/ASTELLAS PHARMA INC-STRATEGIC ALLIANCE</t>
  </si>
  <si>
    <t xml:space="preserve">Pandion Therapeutics Inc and Astellas Pharma Inc formed a strategic
alliance to enter into licensing agreement for the research, development,
and commercialization of locally acting immunomodulators for autoimmune
diseases of the pancreas.</t>
  </si>
  <si>
    <t xml:space="preserve">0J3533
J03393</t>
  </si>
  <si>
    <t xml:space="preserve">Checkers &amp; Rallys Rest Inc
Waitr Holdings Inc</t>
  </si>
  <si>
    <t xml:space="preserve">Hotels (Except Casino Hotels) and Motels
Local Messengers and Local Delivery</t>
  </si>
  <si>
    <t xml:space="preserve">Checkers &amp; Rallys
Restaurants Inc is a hotel
operator. The Company was
founded in 1970 and is
located in Tampa, Florida.
Waitr Holdings Inc is a
provider of delivery
services. The Company was
founded in November 2008 and
is located in Lake Charles,
Louisiana.
Louisiana.</t>
  </si>
  <si>
    <t xml:space="preserve">7011
4215</t>
  </si>
  <si>
    <t xml:space="preserve">FL
LA</t>
  </si>
  <si>
    <t xml:space="preserve">CHECKERS &amp; RALLYS RESTAURANTS INC/WAITR HOLDINGS INC-STRATEGIC ALLIANCE</t>
  </si>
  <si>
    <t xml:space="preserve">Louisiana</t>
  </si>
  <si>
    <t xml:space="preserve">Checkers Rallys Restaurants Inc and Waitr Holdings Inc formed a strategic
alliance to bring customers' favorite classic menu items to the comforts of
their home.</t>
  </si>
  <si>
    <t xml:space="preserve">7J9134
930752</t>
  </si>
  <si>
    <t xml:space="preserve">ZYUS Life Sciences Inc
9869247 Canada Ltd</t>
  </si>
  <si>
    <t xml:space="preserve">ZYUS Life Sciences Inc is a
manufacturer of
pharmaceutical preparation.
The Company is located in
Saskatoon, Canada.
9869247 Canada Ltd is a
manufacturer of medicinals
and botanicals. The Company
is located in Fort Erie,
Canada.</t>
  </si>
  <si>
    <t xml:space="preserve">ZYUS LIFE SCIENCES INC/9869247 CANADA LTD-STRATEGIC ALLIANCE</t>
  </si>
  <si>
    <t xml:space="preserve">ZYUS Life Sciences Inc and 9869247 Canada Ltd formed a strategic alliance
to expand supply of high-grade cannabis raw material input for ZYUSs
medical cannabinoid-based therapeutics.</t>
  </si>
  <si>
    <t xml:space="preserve">0J7041
5J2224</t>
  </si>
  <si>
    <t xml:space="preserve">Neuralstem Inc
Jiangsu QYuns Therapeutics Co</t>
  </si>
  <si>
    <t xml:space="preserve">Neuralstem Inc, located in
Rockville, Maryland, is a
biotechnology company focuses
on developing and
commercializing of treatments
for central nervous system
disease based on transplanting
human neural stem cells and
small molecule drugs. It has
developed and maintain a
portfolio of patents and
patent applications that form
the base of its research and
development efforts in the
areas of neural stem cell
research, small molecule
research, and related
technologies. It has also
developed and patented a
series of small molecule
compounds (low molecular
weight organic compounds,
which can efficiently cross
the blood/brain barrier. The
company was founded in 1996.
Jiangsu QYuns Therapeutics
Co Ltd is a manufacturer of
pharmaceutical preparation.
The Company is located in
China.</t>
  </si>
  <si>
    <t xml:space="preserve">SENECA BIOPHARMA INC/JIANGSU QYUNS THERAPEUTICS CO LTD-STRATEGIC ALLIANCE</t>
  </si>
  <si>
    <t xml:space="preserve">Seneca Biopharma Inc and Jiangsu QYuns Therapeutics Co Ltd planned to form
a strategic alliance to enter into licensing agreement to develop and
commercialize certain of QYuns' assets exclusive worldwide.</t>
  </si>
  <si>
    <t xml:space="preserve">64127R
8J0318</t>
  </si>
  <si>
    <t xml:space="preserve">Akadeum Life Sciences Inc
Agilent Technologies Inc</t>
  </si>
  <si>
    <t xml:space="preserve">Research and Development in Biotechnology
Manufactures life sciences, diagnostics, applied chemical products</t>
  </si>
  <si>
    <t xml:space="preserve">Akadeum Life Sciences Inc is
a provider of biotechnology
research and development
services. The Company was
founded in October 2014 and
is located in Ann Arbor,
Michigan.
Agilent Technologies Inc,
headquartered in Santa
Clara, California,
manufactures products for
the life sciences,
diagnostics and applied
chemical markets such as
instruments, software,
services and consumables for
the entire laboratory
workflow. It serves life
sciences, diagnostics and
applied chemical markets.
The Company was founded in
May 1999.</t>
  </si>
  <si>
    <t xml:space="preserve">AKADEUM LIFE SCIENCES INC/AGILENT TECHNOLOGIES INC-STRATEGIC ALLIANCE</t>
  </si>
  <si>
    <t xml:space="preserve">Akadeum Life Sciences Inc and Agilent Technologies Inc formed a strategic
alliance work toward a new method of isolating target molecules for
detection.</t>
  </si>
  <si>
    <t xml:space="preserve">7J8326
00846U</t>
  </si>
  <si>
    <t xml:space="preserve">Denso Corp
Kitov Sys Ltd</t>
  </si>
  <si>
    <t xml:space="preserve">Other Motor Vehicle Electrical and Electronic Equipment Manufacturing
Other Electronic Parts and Equipment Merchant Wholesalers</t>
  </si>
  <si>
    <t xml:space="preserve">Denso Corp, located in
Aichi, Japan, manufactures
and wholesales automobile
parts. Its powertrain
machinery segment offers
engine equipment including
ignition coils, magnetos and
others; valves and oil
filters; diesel injection
products, including nozzles
and others; petrol injection
products, such as fuel
pumps. Electronic segment
offers engine control
computers, power management
computers and others.
Thermal segment offers car
air conditioning systems,
cooling fans, as well as
refrigerators and air
purifiers. Information
Security segment offers
information communication
equipment, including
combination meters and air
conditioning panels, car
navigation systems,
actuators and computers,
sensors and others. Motors
segment offers wiper and
washer systems, among
others. Industrial Equipment
offers bar code handy
scanners and handy
terminals. Living-related
Equipment segment offers
automatic faucets and
others. The Company was
founded in 1949.
Kitov Systems Ltd is an
electronic parts and
equipment wholesaler. The
Company is located in Petah
Tikva, Israel.</t>
  </si>
  <si>
    <t xml:space="preserve">3694
5065</t>
  </si>
  <si>
    <t xml:space="preserve">DENSO CORP/KITOV SYSTEMS LTD-STRATEGIC ALLIANCE</t>
  </si>
  <si>
    <t xml:space="preserve">Denso Corp and Kitov Systems Ltd planned to form a strategic alliance to
adopt Kitov's technology for smart quality inspection across its global
manufacturing facilities. According to the terms of the agreement, the
parties will co-design a standard smart visual inspection solution, based
on Kitov's state-of-the-art technology, that is expected to be used across
DENSO's manufacturing lines</t>
  </si>
  <si>
    <t xml:space="preserve">Software Development Services
Computer Programming Services
Research &amp; Development Services</t>
  </si>
  <si>
    <t xml:space="preserve">J12075
7J9322</t>
  </si>
  <si>
    <t xml:space="preserve">Peerstream Inc
Vertiprime Govt Svcs Llc</t>
  </si>
  <si>
    <t xml:space="preserve">Pvd online dating svcs
Search Detection Navigation Guidance Aeronautical and Nautical System and Instrument Manufacturing</t>
  </si>
  <si>
    <t xml:space="preserve">Snap Interactive Inc is a
provider of personal
services. The Company is
located in New York, New
York.
Vertiprime Government
Services LLC is a
manufacturer of search,
detection, navigation,
guidance, aeronautical and
nautical systems and
instruments. The Company is
located in Duncan, Oklahoma.</t>
  </si>
  <si>
    <t xml:space="preserve">7299
3812</t>
  </si>
  <si>
    <t xml:space="preserve">NY
OK</t>
  </si>
  <si>
    <t xml:space="preserve">PEERSTREAM INC/VERTIPRIME GOVERNMENT SERVICES LLC-STRATEGIC ALLIANCE</t>
  </si>
  <si>
    <t xml:space="preserve">Peerstream Inc and Vertiprime Government Services LLC formed a strategic
alliance. The purpose of startegic alliance was to collaborate on an
upcoming Air Force contract award for a Phase II Small Business Innovation
Research (SBIR) trial. PeerStreams subcontract work is dependent on
VertiPrime successfully winning the contract and the entry into a
definitive subcontract agreement with VertiPrime.</t>
  </si>
  <si>
    <t xml:space="preserve">83303W
7J8365</t>
  </si>
  <si>
    <t xml:space="preserve">Union Med Healthcare Ltd
Euroeyes Intl Eye Clinic Ltd</t>
  </si>
  <si>
    <t xml:space="preserve">Offices Of Physicians (Except Mental Health Specialists)
Optical Goods Stores</t>
  </si>
  <si>
    <t xml:space="preserve">Union Medical Healthcare Ltd
provides medical services
comprising aesthetic
surgical procedures,
minimally invasive
procedures and energy-based
procedures and general
consultation services. The
Company also provides dental
services, Chinese medicinal
and ophthalmological
services. It also provides
quasi-medical services,
traditional beauty services,
health management centre
operation services and
produces skincare and beauty
products. The Company was
founded in July 2015 and is
located in Kowloon, Hong
Kong.
surgery.</t>
  </si>
  <si>
    <t xml:space="preserve">8011
5995</t>
  </si>
  <si>
    <t xml:space="preserve">Union Medical Care Holding Ltd
Euroeyes Intl Eye Clinic Ltd</t>
  </si>
  <si>
    <t xml:space="preserve">8062
5995</t>
  </si>
  <si>
    <t xml:space="preserve">UNION MEDICAL HEALTHCARE LTD/EUROEYES INTERNATIONAL EYE CLINIC LTD-JOINT
VENTURE</t>
  </si>
  <si>
    <t xml:space="preserve">Union Medical Healthcare Ltd and Euroeyes International Eye Clinic Ltd
planned to form a joint venture to develop ophthalmological services in
Hong Kong and mainland China. EuroEyes Group will be primarily responsible
for medical matters while UMH Group will be primarily responsible for
marketing and recruitment in Hong Kong.</t>
  </si>
  <si>
    <t xml:space="preserve">1E4102
2J4339</t>
  </si>
  <si>
    <t xml:space="preserve">Hilo Svcs Inc
Stelpro Ltd</t>
  </si>
  <si>
    <t xml:space="preserve">Other Measuring and Controlling Device Manufacturing
Other Measuring and Controlling Device Manufacturing</t>
  </si>
  <si>
    <t xml:space="preserve">Hilo Services Inc is a
manufacturer of measuring
and controlling devices. The
Company is located in
Montreal, Canada.
Stelpro Ltd is a
manufacturer of measuring
and controlling devices. The
Company is located in
Toronto, Canada.</t>
  </si>
  <si>
    <t xml:space="preserve">3829
3829</t>
  </si>
  <si>
    <t xml:space="preserve">Canada
Commercial Technology Inc</t>
  </si>
  <si>
    <t xml:space="preserve">999A
3559</t>
  </si>
  <si>
    <t xml:space="preserve">HILO SERVICES INC/STELPRO LTD-JOINT VENTURE</t>
  </si>
  <si>
    <t xml:space="preserve">Hilo Services Inc and Stelpro Ltd planned to form a joint venture in Canada
to develop innovative products designed to manage energy use, such as smart
thermostats and other connected devices, and will provide them to both
partners.</t>
  </si>
  <si>
    <t xml:space="preserve">7J9084
85853A</t>
  </si>
  <si>
    <t xml:space="preserve">D&amp;V Electronics Ltd
Opal-RT Technologies Inc</t>
  </si>
  <si>
    <t xml:space="preserve">Instrument Manufacturing For Measuring and Testing Electricity and Electrical Signals
Dvlp software</t>
  </si>
  <si>
    <t xml:space="preserve">D&amp;V Electronics Ltd is a
manufacturer of electrical
signals measuring and
testing instruments. The
Company was founded in 1997
and is located in
Woodbridge, Canada.
Opal-RT Technologies Inc is
a software publisher. The
Company Develop software and
related solutions for
real-time simulation
applications, with aim of
enabling real-time parallel
processing through flexible
and affordable technology;
provide engineering and
consulting services
including hardware supply
and integration, simulation,
modeling, problem solving
and training. The Company
was founded in 1997 and is
located in Montreal, Canada.</t>
  </si>
  <si>
    <t xml:space="preserve">3825
7372</t>
  </si>
  <si>
    <t xml:space="preserve">Motorcar Parts of America Inc
Opal-RT Technologies Inc</t>
  </si>
  <si>
    <t xml:space="preserve">3714
7372</t>
  </si>
  <si>
    <t xml:space="preserve">D&amp;V ELECTRONICS LTD/OPAL-RT TECHNOLOGIES INC-STRATEGIC ALLIANCE</t>
  </si>
  <si>
    <t xml:space="preserve">DV Electronics Ltd and Opal-RT Technologies Inc formed a strategic alliance
in United States to combine complementary technologies for electric motor
R&amp;D, testing and manufacturing applications.</t>
  </si>
  <si>
    <t xml:space="preserve">6F9627
68346J</t>
  </si>
  <si>
    <t xml:space="preserve">Sysmex Corp
OPTiM Corp</t>
  </si>
  <si>
    <t xml:space="preserve">Surgical and Medical Instrument Manufacturing
Other Computer Related Services</t>
  </si>
  <si>
    <t xml:space="preserve">Sysmex Corp is a
manufacturer of medical
instruments. The Company was
founded in February 1968 and
is located in Kobe, Japan.
Sysmex has a global network
of operations throughout the
world. Along with its
subsidiaries, the Company is
involved in the development,
manufacture, sale and
service of clinical
laboratory equipment,
laboratory test drugs and
products related to
laboratory test.
OPTiM Corp, based in Tokyo,
Japan, provides management
service and information
technology support service.
The Company provides cloud
device management service,
remote manage service,
support service, as well as
content management service
and security management
service. Its products
include Optimal Biz, Optimal
Biz for Mobile, Optimal
Remote, Optimal Setup,
Optimal Diagnosis &amp; Repair,
Optimal Guard, among others.
The company was founded in
2000.</t>
  </si>
  <si>
    <t xml:space="preserve">3841
7379</t>
  </si>
  <si>
    <t xml:space="preserve">SYSMEX CORP/OPTIM CORP-JOINT VENTURE</t>
  </si>
  <si>
    <t xml:space="preserve">Sysmex Corp and OPTiM Corp planned to form a joint venture in Japan to
accelerate the commercialization of digital medicine to support
next-generation healthcare and diagnostics.</t>
  </si>
  <si>
    <t xml:space="preserve">87196F
68449T</t>
  </si>
  <si>
    <t xml:space="preserve">Atomwise Inc
Hansoh Pharm Grp Co Ltd</t>
  </si>
  <si>
    <t xml:space="preserve">Atomwise Inc, located in San
Francisco, California, is a
biotechnology company that
uses artificial intelligence
systems to help discover new
medicines and agricultural
compounds. It has developed
AtomNet, which is a deep
learning technology for
small molecule discovery.
Its drug research technology
is applicable to infectious
diseases, neurological
diseases and cancers.
Hansoh Pharmaceutical Group
Company Ltd is a
pharmaceutical company
headquartered in
Lianyungang, China. It is a
subsidiary of Stellar
Infinity Company Ltd. The
Company has franchises in
central nervous system,
oncology, anti-infectives,
and diabetes. It also
focuses on gastrointestinal
and cardiovascular
therapeutic areas. It was
founded in 1995.</t>
  </si>
  <si>
    <t xml:space="preserve">Atomwise Inc
Harmonia Hldg Investing Ltd</t>
  </si>
  <si>
    <t xml:space="preserve">United States
British Virgin</t>
  </si>
  <si>
    <t xml:space="preserve">2836
6091</t>
  </si>
  <si>
    <t xml:space="preserve">ATOMWISE INC/HANSOH PHARMACEUTICAL GROUP CO LTD-STRATEGIC ALLIANCE</t>
  </si>
  <si>
    <t xml:space="preserve">Atomwise Inc and Hansoh Pharmaceutical Group Co Ltd extended their
strategic alliance to develop their first-in-class or best-in-class
portfolio of novel small molecule therapies</t>
  </si>
  <si>
    <t xml:space="preserve">6H1392
6H6596</t>
  </si>
  <si>
    <t xml:space="preserve">Aeromics Inc
Simcere Pharm Grp Ltd</t>
  </si>
  <si>
    <t xml:space="preserve">Aeromics Inc is a provider
of biotechnology research
and development services
anti-edema therapy for
patients affected by
disabling and
life-threatening severe
ischemic stroke. The Company
was founded in 2008 and is
located in New Haven,
Connecticut.
Simcere Pharmaceutical
Group, located in Nanjing,
China, is a manufactures and
wholesale prescription
pharmaceuticals intended for
final consumption, including
biotech products and
antibiotics. Simcere
currently manufactures and
sells more than 50
pharmaceutical products,
including antibiotics,
anti-cancer medication and
stroke management medication
and is the exclusive
distributor of three
additional pharmaceuticals
that are marketed under its
brand names, including
anti-inflammatory pain
relievers including
Yingtaiqing, Anqi, and Biqi.
The company was founded in
1995.</t>
  </si>
  <si>
    <t xml:space="preserve">AEROMICS INC/SIMCERE PHARMACEUTICAL GROUP-STRATEGIC ALLIANCE</t>
  </si>
  <si>
    <t xml:space="preserve">Aeromics Inc and Simcere Pharmaceutical Group formed a strategic alliance
was for the clinical development and commercialization of AER-271 in
Greater China.</t>
  </si>
  <si>
    <t xml:space="preserve">8J1625
82859P</t>
  </si>
  <si>
    <t xml:space="preserve">Quickrcare Inc
Thomas Jefferson Univ Hosp</t>
  </si>
  <si>
    <t xml:space="preserve">Home Health Care Services
Own,op colleges,universities</t>
  </si>
  <si>
    <t xml:space="preserve">Quickrcare Inc is a provider
of home health care
services. The Company was
founded in November 2016 and
is located in Miami,
Florida.
Thomas Jefferson University,
located in Philadelphia,
Pennsylvania, owns and
operates colleges and
universities.</t>
  </si>
  <si>
    <t xml:space="preserve">8082
8221</t>
  </si>
  <si>
    <t xml:space="preserve">FL
PA</t>
  </si>
  <si>
    <t xml:space="preserve">Quickrcare Inc
Philadelphia University</t>
  </si>
  <si>
    <t xml:space="preserve">8082
8211</t>
  </si>
  <si>
    <t xml:space="preserve">QUICKRCARE INC/THOMAS JEFFERSON UNIVERSITY-STRATEGIC ALLIANCE</t>
  </si>
  <si>
    <t xml:space="preserve">Quickrcare Inc and Thomas Jefferson University planned to form a strategic
alliance.</t>
  </si>
  <si>
    <t xml:space="preserve">8J1547
53690T</t>
  </si>
  <si>
    <t xml:space="preserve">SeraNovo BV
Carna Biosciences Inc</t>
  </si>
  <si>
    <t xml:space="preserve">SeraNovo BV is a
manufacturer of
pharmaceutical preparation.
The Company was founded in
2017 and is located in
Leiden, the Netherlands.
Carna Biosciences Inc, based
in Hyogo, Japan, is a
biotechnology company. The
Company operates in two
business segments. The Drug
Discovery Support segment is
engaged in the provision of
products and services in
support of drug discovery
research conducted by
pharmaceutical companies and
universities, including the
sale of kinase proteins and
assay kits, the provision of
profiling services and
screening services for
compounds of pharmaceutical
companies, the entrusted
development of kinase
assays, as well as the
provision of other services,
such as X-ray crystal
structural analysis
services. The Drug Discovery
segment is engaged in the
basic research and drug
discovery research of kinase
inhibitors. It was founded
in 2003.</t>
  </si>
  <si>
    <t xml:space="preserve">SERANOVO BV/CARNA BIOSCIENCES INC-STRATEGIC ALLIANCE</t>
  </si>
  <si>
    <t xml:space="preserve">SeraNovo BV and Carna Biosciences Inc formed a strategic alliance in
Netherland &amp; Japan to enter into licensing agreement for the development of
oral formulation of Carna's kinase inhibitor.</t>
  </si>
  <si>
    <t xml:space="preserve">8J0284
14347V</t>
  </si>
  <si>
    <t xml:space="preserve">Samsung BioLogics Co Ltd
Ichnos Sciences Inc</t>
  </si>
  <si>
    <t xml:space="preserve">Samsung BioLogics Co Ltd,
located in Seoul, South Korea,
manufactures biological
products. Its services include
process development and
optimization; cGMP production
and manufacturing scale-up;
quality assurance/quality
control; and regulatory
compliance functions. The
company also provides services
in the areas of research,
development, stability
testing, bulk manufacturing,
and regulatory assistance. It
was founded in April 2011.
2011.
Ichnos Sciences Inc is a
manufacturer of
pharmaceutical preparation.
The Company was founded in
May 2019 and is located in
Paramus, New Jersey.</t>
  </si>
  <si>
    <t xml:space="preserve">SAMSUNG BIOLOGICS CO LTD/ICHNOS SCIENCES INC-STRATEGIC ALLIANCE</t>
  </si>
  <si>
    <t xml:space="preserve">Samsung BioLogics Co Ltd and Ichnos Sciences Inc formed a strategic
alliance for manufacturing drug substance for ISB 830, an anti-OX40
monoclonal antibody in development as a potential treatment for
moderate-to-severe atopic dermatitis.</t>
  </si>
  <si>
    <t xml:space="preserve">79684M
8J0223</t>
  </si>
  <si>
    <t xml:space="preserve">Faurecia SA
Aptoide SA</t>
  </si>
  <si>
    <t xml:space="preserve">All Other Motor Vehicle Parts Manufacturing
Software Publishers</t>
  </si>
  <si>
    <t xml:space="preserve">Faurecia SA, located in
Nanterre, France,
manufactures and wholesales
motor vehicle parts,
specializing in car seats,
cockpits, doors, acoustic
packages, front end, and
exhaust systems. The Group
operates under four major
segments, automotive
seating, vehicle interiors,
exhaust systems and front
end. The Company was founded
in 1997.
Aptoide Sa is a software
publisher. The Company is
located in Portugal.</t>
  </si>
  <si>
    <t xml:space="preserve">France
Portugal</t>
  </si>
  <si>
    <t xml:space="preserve">FAURECIA SA/APTOIDE SA-JOINT VENTURE</t>
  </si>
  <si>
    <t xml:space="preserve">Faurecia SA and Aptoide SA planned to form joint venture in France to
develop and commercialize android apps market solutions for the automotive
industry. This joint venture offers OEMs an affordable and secured
automotive apps market, available worldwide with adaptable content per
region.</t>
  </si>
  <si>
    <t xml:space="preserve">Research &amp; Development Services
Marketing Services
Software Development Services</t>
  </si>
  <si>
    <t xml:space="preserve">F3445A
8J0778</t>
  </si>
  <si>
    <t xml:space="preserve">Pathogendx Corp
Icon Farms</t>
  </si>
  <si>
    <t xml:space="preserve">Pathogendx Corp is a
provider of biotechnology
research and development
services. The Company was
founded in November 2014 and
is located in Scottsdale,
Arizona.
Icon Farms is a manufacturer
of medicinals and
botanicals. The Company is
located in Redding,
California.</t>
  </si>
  <si>
    <t xml:space="preserve">PATHOGENDX CORP/ICON FARMS-STRATEGIC ALLIANCE</t>
  </si>
  <si>
    <t xml:space="preserve">Pathogendx Corp and Icon Farms formed a strategic was to help standardize
and implement microbial safety protocols across a comprehensive, emerging
hemp industry with the launch of a new safety standard in testing amidst a
rapidly increasing supply chain.</t>
  </si>
  <si>
    <t xml:space="preserve">2F7551
8J1782</t>
  </si>
  <si>
    <t xml:space="preserve">N Carolina State Univ
Pyxus International Inc</t>
  </si>
  <si>
    <t xml:space="preserve">Own,op college,university
Tobacco and Tobacco Product Merchant Wholesalers</t>
  </si>
  <si>
    <t xml:space="preserve">North Carolina State
University is a college
operator. The Company was
founded in March 1887 and is
located in Raleigh, North
Carolina.
Pyxus International Inc
headquartered in
Morrisville, North Carolina,
wholesales tobacco products
including flue-cured, burley
and oriental tobaccos, which
are the primary components
of American blend
cigarettes. The Company
purchases, transports and
sells fresh-cut flowers to
wholesalers and retailers in
the United States, Africa,
Europe, South America and
Asia. It was founded on Sep,
12, 2018.</t>
  </si>
  <si>
    <t xml:space="preserve">8221
5194</t>
  </si>
  <si>
    <t xml:space="preserve">NORTH CAROLINA STATE UNIVERSITY/PYXUS INTERNATIONAL INC-STRATEGIC ALLIANCE</t>
  </si>
  <si>
    <t xml:space="preserve">North Carolina State University and Pyxus International Inc formed a
strategic alliance in US to advance research on hemp cultivation and CBD
production in greenhouse conditions and to develop better data and insights
for hemp farmers.</t>
  </si>
  <si>
    <t xml:space="preserve">Agricultural, Forestry, &amp; Fishing Svcs
Research &amp; Development Services
Financial Services</t>
  </si>
  <si>
    <t xml:space="preserve">653289
018772</t>
  </si>
  <si>
    <t xml:space="preserve">Sonic Healthcare Usa Inc
Univ Of Pittsburgh Med Ctr</t>
  </si>
  <si>
    <t xml:space="preserve">All Other Miscellaneous Ambulatory Health Care Services
Provide healthcare services</t>
  </si>
  <si>
    <t xml:space="preserve">Sonic Healthcare Usa Inc is
a provider of ambulatory
health care services. The
Company was founded in 1970
and is located in Austin,
Texas.
University of Pittsburgh
Medical Center {UPMC},
located in Pittsburgh,
Pennsylvania, provides
healthcare services. It
operates 20 academic,
community, and specialty
hospitals and 400 outpatient
sites. It develops programs
in cancer, neurosurgery,
orthopedics, sports
medicine, transplantation
and psychiatry. It has a
transplant facility in Italy
and two cancer centers and a
hospital in Ireland. The
Company was founded in 1893.</t>
  </si>
  <si>
    <t xml:space="preserve">8099
8062</t>
  </si>
  <si>
    <t xml:space="preserve">TX
PA</t>
  </si>
  <si>
    <t xml:space="preserve">Sonic Healthcare Ltd
Duke University</t>
  </si>
  <si>
    <t xml:space="preserve">SONIC HEALTHCARE USA INC/UNIVERSITY OF PITTSBURGH MEDICAL CENTER-STRATEGIC
ALLIANCE</t>
  </si>
  <si>
    <t xml:space="preserve">Sonic Healthcare Usa Inc and University of Pittsburgh Medical Center formed
a strategic alliance was to the test, which aids in the management of
thyroid nodules of indeterminate cytology, will become available through
all of Sonic's clinical labs and anatomic pathology practices in the US.</t>
  </si>
  <si>
    <t xml:space="preserve">0J9674
91480A</t>
  </si>
  <si>
    <t xml:space="preserve">Black Belt Therapeutics Ltd
Praxis Biotech LLC</t>
  </si>
  <si>
    <t xml:space="preserve">All Other Professional, Scientific, and Technical Services
Pharmaceutical Preparation Manufacturing</t>
  </si>
  <si>
    <t xml:space="preserve">Black Belt Therapeutics Ltd
is a provider of
professional services. The
Company was founded in
September 2018 and is
located in Stevenage, the
United Kingdom.
Praxis Biotech LLC is a
manufacturer of
pharmaceutical preparation.
The Company was founded in
July 2016 and is located in
San Francisco, California.</t>
  </si>
  <si>
    <t xml:space="preserve">BLACK BELT THERAPEUTICS LTD/PRAXIS BIOTECH LLC-STRATEGIC ALLIANCE</t>
  </si>
  <si>
    <t xml:space="preserve">Black Belt Therapeutics Ltd and Praxis Biotech LLC formed a strategic
alliance in United Kingdom and United States to discover and develop new
therapies targeting stress response pathways in cancer.</t>
  </si>
  <si>
    <t xml:space="preserve">2J8292
7J9362</t>
  </si>
  <si>
    <t xml:space="preserve">Qiagen NV
University Of Bonn</t>
  </si>
  <si>
    <t xml:space="preserve">Biotechnology company
Colleges, Universities, and Professional Schools</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</si>
  <si>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University Of Bonn is a
college operator. The
Company was founded in 1970
and is located in Bonn,
Germany.</t>
  </si>
  <si>
    <t xml:space="preserve">QIAGEN NV/UNIVERSITY OF BONN-STRATEGIC ALLIANCE</t>
  </si>
  <si>
    <t xml:space="preserve">Qiagen NV and University Of Bonn formed a strategic alliance for epigenomic
biomarkers based on immune checkpoint gene methylation, with rights to
co-develop predictive companion diagnostics.</t>
  </si>
  <si>
    <t xml:space="preserve">N72482
8J1614</t>
  </si>
  <si>
    <t xml:space="preserve">Qiagen NV
Repertoire Genesis Inc</t>
  </si>
  <si>
    <t xml:space="preserve">Biotechnology company
General Medical and Surgical Hospitals</t>
  </si>
  <si>
    <t xml:space="preserve">Qiagen NV, located in Venlo,
the Netherlands, is a
biotechnology company
providing pre-analytical
sample preparation of products
enabling genetic and protein
analysis. The Company provides
these products to molecular
diagnostics laboratories,
academic researchers,
pharmaceutical and
biotechnology companies, and
applied testing customers for
purposes such as forensics,
animal or food testing and
pharmaceutical process
control. It was founded in
1986.
Repertoire Genesis Inc is a
hospital operator. The
Company was founded in
October 2014 and is located
in Ibaraki-Shi, Japan.</t>
  </si>
  <si>
    <t xml:space="preserve">QIAGEN NV/REPERTOIRE GENESIS INC-STRATEGIC ALLIANCE</t>
  </si>
  <si>
    <t xml:space="preserve">Stratifyer Molecular Pathology GmbH and Repertoire Genesis Inc formed a
strategic alliance to provide access to technologies for the development of
T-cell / B-cell receptor repertoire assays for use on NGS systems.</t>
  </si>
  <si>
    <t xml:space="preserve">N72482
8J1609</t>
  </si>
  <si>
    <t xml:space="preserve">Allogene Therapeutics Inc
Notch Therapeutics</t>
  </si>
  <si>
    <t xml:space="preserve">Allogene Therapeutics Inc,
located in South San
Francisco, California., is a
provider of biotechnology
research and development
services. The Company was
founded in November 2017.
Notch Therapeutics is a
manufacturer of
pharmaceutical preparation.
The Company was founded in
1970 and is located in
Toronto, Canada.</t>
  </si>
  <si>
    <t xml:space="preserve">ALLOGENE THERAPEUTICS INC/NOTCH THERAPEUTICS-STRATEGIC ALLIANCE</t>
  </si>
  <si>
    <t xml:space="preserve">Allogene Therapeutics Inc and Notch Therapeutics formed a strategic
alliance to research and develop induced pluripotent stem cell (iPSC)
AlloCAR therapy products for initial application in non-Hodgkin lymphoma,
leukemia and multiple myeloma.</t>
  </si>
  <si>
    <t xml:space="preserve">019770
7J9904</t>
  </si>
  <si>
    <t xml:space="preserve">CryoPort Systems Inc
Lonza Group AG</t>
  </si>
  <si>
    <t xml:space="preserve">Mnfr,whl frozen pkg containers
Biopharmaceutical company</t>
  </si>
  <si>
    <t xml:space="preserve">Manufacture and wholesale
temperature-sensitive frozen
packaging containers
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t>
  </si>
  <si>
    <t xml:space="preserve">2655
2836</t>
  </si>
  <si>
    <t xml:space="preserve">CRYOPORT SYSTEMS INC/LONZA GROUP AG-STRATEGIC ALLIANCE</t>
  </si>
  <si>
    <t xml:space="preserve">CryoPort Systems Inc and Lonza Group AG formed a strategic alliance was to
the transport and delivery of patient tissues on a global basis, with the
continued goal of seamless service for Lonza's customers and their
patients.</t>
  </si>
  <si>
    <t xml:space="preserve">22904F
54338V</t>
  </si>
  <si>
    <t xml:space="preserve">Regeneron Pharmaceuticals Inc
Vyriad Inc</t>
  </si>
  <si>
    <t xml:space="preserve">Mnfr,dvlp biopharm
Pharmaceutical Preparation Manufacturing</t>
  </si>
  <si>
    <t xml:space="preserve">Regeneron Pharmaceuticals
Inc, located in Tarrytown,
New York, is a
biopharmaceutical company,
focused on the development
of products for the
treatment of obesity,
rheumatoid arthritis and
other inflammatory
conditions, as well as
cancer and related
disorders, allergies, asthma
and other serious medical
conditions. Some of its
therapeutic areas are in
oncology, ophthalmology,
cardiovascular diseases,
immunity and inflammation,
metabolic diseases, muscle
disorders, pain and bone
disease. The Company was
founded in 1988.
Vyriad Inc is a manufacturer
of pharmaceutical
preparation. The Company is
located in Rochester,
Minnesota.</t>
  </si>
  <si>
    <t xml:space="preserve">REGENERON PHARMACEUTICALS INC/VYRIAD INC-STRATEGIC ALLIANCE</t>
  </si>
  <si>
    <t xml:space="preserve">Regeneron Pharmaceuticals Inc and Vyriad Inc formed a strategic alliance to
development of new oncolytic (cancer-killing) virus-based treatments for
various forms of cancer.</t>
  </si>
  <si>
    <t xml:space="preserve">75886F
5E5406</t>
  </si>
  <si>
    <t xml:space="preserve">Kashiv BioSciences LLC
Amneal Pharmaceuticals Inc</t>
  </si>
  <si>
    <t xml:space="preserve">Kashiv BioSciences LLC is a
manufacturer of biological
products. The Company was
founded in August 2010 and
is located in Bridgewater,
New Jersey.
Amneal Pharmaceuticals Inc
is a manufacturer of
pharmaceutical preparation.
The Company offers products
in the analgesic,
anti-anxiety, antibiotic,
antihistamine,
anti-inflammatory,
decongestant, laxative,
urinary antiseptic, vitamin
supplement and more
therapeutic categories. It
has facilities and
operations in Kentucky, New
York, New Jersey and India.
It is also a holding
company. The Company was
founded in 2002 and is
located in Bridgewater, New
Jersey.</t>
  </si>
  <si>
    <t xml:space="preserve">KASHIV BIOSCIENCES LLC/AMNEAL PHARMACEUTICALS INC-STRATEGIC ALLIANCE</t>
  </si>
  <si>
    <t xml:space="preserve">Amneal Pharmaceuticals Inc and Kashiv BioSciences LLC formed a strategic
alliance in United States to enter into licensing agreement for the
development and commercialization of Kashiv's orphan drug K127
(pyridostigmine) for the treatment of Myasthenia Gravis.</t>
  </si>
  <si>
    <t xml:space="preserve">8J1551
03168L</t>
  </si>
  <si>
    <t xml:space="preserve">Vifor Pharma AG
Evotec SE</t>
  </si>
  <si>
    <t xml:space="preserve">Mnfr pharm
Mnfr small molecule drugs</t>
  </si>
  <si>
    <t xml:space="preserve">Vifor Pharma AG,
headquartered in Glattbrugg,
Switzerland, manufactures
iron pharmaceuticals for the
treatment and prophylaxis of
Iron Deficiency Anemia. Its
products include Maltofer,
which is an oral iron
preparation for the
treatment of latent iron
deficiency and IDA; and
Venofer, which is a
parenteral iron preparation
enabling correction of iron
deficiency. The Company was
founded in 1991.
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t>
  </si>
  <si>
    <t xml:space="preserve">Galenica AG
Evotec SE</t>
  </si>
  <si>
    <t xml:space="preserve">VIFOR PHARMA LTD/EVOTEC SE-JOINT VENTURE</t>
  </si>
  <si>
    <t xml:space="preserve">Vifor Pharma Ltd and Evotec SE planned to form a 50:50 joint venture. The
JV was to have a cost of USD 27.685 million. The purpose of joint venture
was to discover and develop novel nephrology therapeutics. The Joint
Venture was to have a estimated cost of USD 27.685 mil(EUR 25 mil).</t>
  </si>
  <si>
    <t xml:space="preserve">The Joint Venture was to have a estimated cost of USD 27.685 mil(EUR 25
mil).</t>
  </si>
  <si>
    <t xml:space="preserve">1A4314
7J9459</t>
  </si>
  <si>
    <t xml:space="preserve">Blackberry Ltd
University of Waterloo</t>
  </si>
  <si>
    <t xml:space="preserve">Manufactures communications equipment
Own,operate university</t>
  </si>
  <si>
    <t xml:space="preserve">BlackBerry Ltd, located in
Waterloo, Ontario,
manufactures wireless
internet devices and radio
modems for the mobile data
communications market. It
provides mobile
communications solutions. It
is also engaged in the sale
of smartphones and
enterprise software and
services. Its products and
services include Enterprise
Solutions and Services,
Devices, BlackBerry
Technology Solutions and
Messaging. It is engaged in
providing enterprise
mobility management (EMM)
and mobile security, and
offers a portfolio of
enterprise software
solutions and services that
can be deployed across a
range of ecosystems and
devices, including
BlackBerry Enterprise
Service (BES) 12 and Good
Platforms, BES12 Cloud,
enterprise
file-sync-and-share (EFSS),
SecuSUITE for Enterprise,
Enhanced subscriber identity
module (SIM)-Based Licensing
(ESBL), WorkLife by
BlackBerry solution and
Professional Cybersecurity
Services. The BlackBerry
Technology Solutions
business unit consists of
five units: QNX, Certicom,
Paratek, the BlackBerry IoT
Platform and Intellectual
Property and Patent
Licensing (IPPL). The
Company was founded in 1984.
University of Waterloo,
headquartered in Waterloo,
Ontario, owns and operates
university.</t>
  </si>
  <si>
    <t xml:space="preserve">BLACKBERRY LTD/UNIVERSITY OF WATERLOO-STRATEGIC ALLIANCE</t>
  </si>
  <si>
    <t xml:space="preserve">Blackberry Ltd and University of Waterloo formed a strategic alliance. The
purpose of the strategic alliance is to develop a plan for continuous joint
innovation, with the goal of creating a joint lab that will fast track the
development of research and technology into products that can ultimately be
taken to market.</t>
  </si>
  <si>
    <t xml:space="preserve">09228F
91510F</t>
  </si>
  <si>
    <t xml:space="preserve">voxeljet AG
Creavis AG</t>
  </si>
  <si>
    <t xml:space="preserve">Mnfr printers,on-demand parts
All Other Miscellaneous Chemical Product and Preparation Manufacturing</t>
  </si>
  <si>
    <t xml:space="preserve">voxeljet AG is a
manufacturer of printing
machinery and equipment. The
Company provides high-speed,
large-format 3D printers and
on-demand parts services to
industrial and commercial
customers serving the
automotive, aerospace, film
and entertainment, art and
architecture, engineering
and consumer product end
markets. Its key innovations
inlcude VX4000 system and
VXC800. Its business is
divided into two principal
segments - Systems and
Services. In Systems
segment, it focus on the
sale, production and
development of 3D printers
while in Services segment,
it print on-demand parts for
its customers. The Company
was founded in July 2013 and
is located in Friedberg,
Germany.
Creavis AG is a manufacturer
of chemical products. The
Company is located in
Recklinghausen, Germany.</t>
  </si>
  <si>
    <t xml:space="preserve">3555
2819</t>
  </si>
  <si>
    <t xml:space="preserve">voxeljet AG
Rag-Stiftung</t>
  </si>
  <si>
    <t xml:space="preserve">3555
1241</t>
  </si>
  <si>
    <t xml:space="preserve">VOXELJET AG/CREAVIS AG-STRATEGIC ALLIANCE</t>
  </si>
  <si>
    <t xml:space="preserve">voxeljet AG and Creavis AG formed a strategic alliance in Germany to
develop material systems for the next generation of the binder-jetting
method in 3D printing. Research collaboration with Voxeljet is paving the
way for using 3D printing for industrial production of large final parts.</t>
  </si>
  <si>
    <t xml:space="preserve">Research &amp; Development Services
Manufacturing Services
Printing &amp; Publishing Services</t>
  </si>
  <si>
    <t xml:space="preserve">92912L
8J1009</t>
  </si>
  <si>
    <t xml:space="preserve">BYD Co Ltd
Toyota Motor Corp</t>
  </si>
  <si>
    <t xml:space="preserve">BYD Co Ltd located in
Shenzhen, China is a
manufacturer of automobiles.
The Company was founded in
February 1995.
Toyota Motor Corp,
headquartered in Aichi, Japan,
is a manufacturer and seller
of automobiles and a provider
of financial services. The
Group operates through three
segments: Automotive,
Financial Services and others.
Automotive segment designs,
manufactures, assembles and
sells passenger cars,
recreational and sport-utility
vehicles, minivans and trucks
and related parts and
accessories. Financial
services segment provides
financing to dealers and their
customers for the purchase or
lease of Toyota vehicles.
Other services segment
provides intelligent transport
systems, information
technology-based systems
encompassing car multimedia
systems, on-board intelligent
systems, advanced
transportation systems and
transportation infrastructure
and logistics systems. The
Group markets vehicles in more
than 170 countries. The
company was founded in 1937.</t>
  </si>
  <si>
    <t xml:space="preserve">BYD CO LTD/TOYOTA MOTOR CORP-JOINT VENTURE</t>
  </si>
  <si>
    <t xml:space="preserve">BYD Co Ltd and Toyota Motor Corp formed a Joint Venture. The new R&amp;D
company, which will work on designing and developing BEVs (including
platform) and its related parts.</t>
  </si>
  <si>
    <t xml:space="preserve">12435X
892331</t>
  </si>
  <si>
    <t xml:space="preserve">Bionova Pharmaceuticals Ltd
Kadmon Holdings Inc</t>
  </si>
  <si>
    <t xml:space="preserve">Bionova Pharmaceuticals Ltd
is a manufacturer of
pharmaceutical preparation.
The Company was founded in
December 2018 and is located
Kadmon Holdings, LLC is a
biopharmaceutical company
engaged in the discovery,
development and
commercialization of small
molecules and biologics to
address disease areas of
unmet medical need. The
Company is developing
product candidates within
autoimmune and fibrotic
diseases, oncology and
genetic diseases. Its
product candidates include
KD025, Tesevatinib in
Oncology, Tesevatinib in
polycystic kidney disease
(PKD) and KD034. It also
offers tablets and capsules,
such as Ribasphere RibaPak,
Qsymia, Tetrabenazine and
Valganciclovir. KD025 is its
candidate in its
rho-associated coiled-coil
kinase 2 (ROCK2) platform,
which is an oral, selective
ROCK2 inhibitor. Tesevatinib
is an oral tyrosine kinase
inhibitor (TKI) designed to
block key molecular drivers
of tumor growth, metastases
and drug resistance. KD034
is its portfolio of
formulations of trientine
hydrochloride, a chelating
compound for the removal of
excess copper from the body,
for the treatment of
Wilson's disease.</t>
  </si>
  <si>
    <t xml:space="preserve">BIONOVA PHARMACEUTICALS LTD/KADMON HOLDINGS INC-JOINT VENTURE</t>
  </si>
  <si>
    <t xml:space="preserve">Bionova Pharmaceuticals Ltd and Kadmon Holdings Inc planned to form a joint
venture named BK Pharmaceuticals Limited. The JV was to have a cost of USD
45 million in Hong kong to exclusively develop and commercialize KD025 for
the treatment of graft-versus-host disease (GVHD) in the Peoples Republic
of China.</t>
  </si>
  <si>
    <t xml:space="preserve">The joint venture was to have a estimated cost of US$ 45 mil.</t>
  </si>
  <si>
    <t xml:space="preserve">8J1511
48283N</t>
  </si>
  <si>
    <t xml:space="preserve">Phanes Therapeutics Inc
Fosun Kite Biotech Co Ltd</t>
  </si>
  <si>
    <t xml:space="preserve">Phanes Therapeutics Inc is a
provider of biotechnology
research and development
services. The Company was
founded in July 2016 and is
located in San Diego,
California.
Fosun Kite Biotechnology Co
Ltd is a provider of
biotechnology research and
development services. The
Company was founded in April
2017 and is located in
Shanghai, China.</t>
  </si>
  <si>
    <t xml:space="preserve">PHANES THERAPEUTICS INC/FOSUN KITE BIOTECHNOLOGY CO LTD-STRATEGIC ALLIANCE</t>
  </si>
  <si>
    <t xml:space="preserve">Phanes Therapeutics Inc and Fosun Kite Biotechnology Co Ltd formed a
strategic alliance to advance the discovery and development of company
CAR-T pipeline for solid tumor treatment.</t>
  </si>
  <si>
    <t xml:space="preserve">9H8495
8J1621</t>
  </si>
  <si>
    <t xml:space="preserve">Foresight Grp Svcs Ltd Fzco
Padmanabh Mafatlal Grp Pvt</t>
  </si>
  <si>
    <t xml:space="preserve">Freight Transportation Arrangement
Research and Development in The Physical, Engineering and Lifesciences (Except Biotechnology)</t>
  </si>
  <si>
    <t xml:space="preserve">Foresight Group Services Ltd
FZCO is a provider of
freight transportation
arrangement services. The
Company was founded in
September 1984 and is
located in Dubai, the United
Arab Emirates.
Padmanabh Mafatlal Group Pvt
Ltd is a provider of
research and development
services. The Company is
located in Mumbai, India.</t>
  </si>
  <si>
    <t xml:space="preserve">4731
8731</t>
  </si>
  <si>
    <t xml:space="preserve">FORESIGHT GROUP SERVICES LTD FZCO/PADMANABH MAFATLAL GROUP PVT LTD-JOINT
VENTURE</t>
  </si>
  <si>
    <t xml:space="preserve">Foresight Group Services Ltd FZCO and Padmanabh Mafatlal Group Pvt Ltd
planned to form a joint venture to develop a CNG terminal with a capacity
of 1.5 million tpa in Bhavnagar district of Gujarat, India.</t>
  </si>
  <si>
    <t xml:space="preserve">9J6084
9J6069</t>
  </si>
  <si>
    <t xml:space="preserve">Abcam PLC
Brickbio Inc</t>
  </si>
  <si>
    <t xml:space="preserve">Manufactures Pharmaceutical Preparation
Research and Development in Biotechnology</t>
  </si>
  <si>
    <t xml:space="preserve">Abcam PLC, located in
Cambridge, UK, manufactures
and wholesale research-grade
antibodies and associated
proteomics research
products. It has offices in
Cambridge, Massachusetts
(USA), Tokyo (Japan) and
Hong Kong (China) serving 75
countries. It was founded in
1998.
Brickbio Inc is a provider
of biotechnology research
and development services.
The Company was founded in
March 2019 and is located in
Boston, Massachusetts.</t>
  </si>
  <si>
    <t xml:space="preserve">ABCAM PLC/BRICKBIO INC-STRATEGIC ALLIANCE</t>
  </si>
  <si>
    <t xml:space="preserve">Abcam PLC and Brickbio Inc planned to form a strategic alliance. The
purpose of strategic alliance is to introducing conjugation-ready sites
into antibodies and other proteins in both mammalian and bacterial
expression systems. Under the partnership, Abcam will have exclusive rights
to the platform for the creation of novel conjugation-ready recombinant
products for the research tools market, as well as rights to commercialize
the platform across its recombinant antibody and protein portfolio for
diagnostic use.</t>
  </si>
  <si>
    <t xml:space="preserve">Health &amp; Medical Services
Marketing Services
Hospital &amp; Clinical Services
Research &amp; Development Services</t>
  </si>
  <si>
    <t xml:space="preserve">00576H
8J0679</t>
  </si>
  <si>
    <t xml:space="preserve">Zhejiang Zotye Auto Co Ltd
Air Liquide SA</t>
  </si>
  <si>
    <t xml:space="preserve">Mnfr SUVs
Manufacture,wholesale industrial gases</t>
  </si>
  <si>
    <t xml:space="preserve">Zhe Jiang Zotye Auto Co Ltd is
a manufacturer of automobiles.
The Company was founded in
January 2005 and is located in
Shanghai, China.
Air Liquide SA is a
manufacturer of industrial
gas. The Company was founded
in 1902 and is located in
Paris, France. manufactures
and wholesales industrial
gases such as oxygen,
nitrogen and hydrogen. It
also manufactures welding
and cutting equipment,
engineering equipment,
chemicals, pharmaceuticals,
diving equipment and
paramedical equipment. The
Company was founded in 1902
and is located in Paris,
France.</t>
  </si>
  <si>
    <t xml:space="preserve">3711
2813</t>
  </si>
  <si>
    <t xml:space="preserve">Zotye Auto
Air Liquide SA</t>
  </si>
  <si>
    <t xml:space="preserve">3714
2813</t>
  </si>
  <si>
    <t xml:space="preserve">ZHEJIANG ZOTYE AUTO CO LTD/AIR LIQUIDE SA-JOINT VENTURE</t>
  </si>
  <si>
    <t xml:space="preserve">Zhejiang Zotye Auto Co Ltd and Air Liquide SA formed a joint venture to
jointly developing metal bipolar voltaic piles, a key component for a new
type of hydrogen fuel cell, for use in the Chinese carmaker's vehicles.</t>
  </si>
  <si>
    <t xml:space="preserve">99230H
009126</t>
  </si>
  <si>
    <t xml:space="preserve">Globalstar Inc
Nokia Oyj</t>
  </si>
  <si>
    <t xml:space="preserve">Pvd voice,data svcs
Mnfr network infrastructure products</t>
  </si>
  <si>
    <t xml:space="preserve">Globalstar Inc, located in
Covington, Louisiana,
provides voice and data
services to businesses,
communities and individuals
around the world. The
company was founded in 1991.
Nokia Oyj manufactures
network infrastructure
products. The Company
operates within three
businesses: Nokia Networks,
business, HERE, intelligence
business and Nokia
Technologies, focused on
technology development and
intellectual property rights
activities. It also develops
and retails software for
mobile phones including
games, email, and dictionary
as well as provides online
software retail services and
serves as a holding company
for its subsidiaries. The
Company was founded in 1967
and is located in Espoo,
Finland.</t>
  </si>
  <si>
    <t xml:space="preserve">4812
3663</t>
  </si>
  <si>
    <t xml:space="preserve">GLOBALSTAR INC/NOKIA OYJ-STRATEGIC ALLIANCE</t>
  </si>
  <si>
    <t xml:space="preserve">Foreign
Louisiana</t>
  </si>
  <si>
    <t xml:space="preserve">Globalstar Inc and Nokia Oyj formed a strategic alliance in United States &amp;
Finland to develop an innovative solution, which allows enterprises to
deploy intelligent network applications in a dedicated spectrum band.</t>
  </si>
  <si>
    <t xml:space="preserve">378973
654902</t>
  </si>
  <si>
    <t xml:space="preserve">Clean Seed Capital Group Ltd
Norwood Sales Inc</t>
  </si>
  <si>
    <t xml:space="preserve">Provide business advisory svcs
Farm Machinery and Equipment Manufacturing</t>
  </si>
  <si>
    <t xml:space="preserve">Clean Seed Capital Group
Ltd, located in Burnaby,
British Columbia, is a
manufacturer of farm
machinery and equipment. The
Company was founded in
January 2010.
Norwood Sales Inc is a
manufacturer of farm
machinery and equipment. The
Company was founded in 1996
and is located in Horace,
North Dakota.</t>
  </si>
  <si>
    <t xml:space="preserve">3523
3523</t>
  </si>
  <si>
    <t xml:space="preserve">FF
ND</t>
  </si>
  <si>
    <t xml:space="preserve">CLEAN SEED CAPITAL GROUP LTD/NORWOOD SALES INC-JOINT VENTURE</t>
  </si>
  <si>
    <t xml:space="preserve">Clean Seed Capital Group Ltd and Norwood Sales Inc planned to form a joint
venture in Canada to develop, commercialize, distribute and support its
hybrid planting and seeding equipment in North America.</t>
  </si>
  <si>
    <t xml:space="preserve">18451F
8J1869</t>
  </si>
  <si>
    <t xml:space="preserve">Urogen Pharma Ltd
Agenus Inc</t>
  </si>
  <si>
    <t xml:space="preserve">Pharmaceutical Preparation Manufacturing
Mnfr immunotherapeutic drugs</t>
  </si>
  <si>
    <t xml:space="preserve">Urogen Pharma Ltd, located
in Ra'Anana, Israel, is a
manufacturer of biological
products. The Company was
founded in April 2004.
Agenus Inc, located in
Lexington, Massachusetts,
manufactures
immunotherapeutic drugs for
the treatment of life
threatening and chronic
medical conditions. It is a
biotechnology company,
engages in developing and
commercializing technologies
to treat cancers and
infectious diseases. It
offers Oncophage vaccine for
the treatment of adjuvant
renal cell carcinoma. Its
products under development
include Prophage series of
cancer vaccines, which has
been tested in Phase III
clinical trials for the
treatment of renal cell
carcinoma (RCC) and
metastatic melanoma, as well
as has been tested in Phase
I and Phase II clinical
trials in various
indications; and under Phase
II clinical trials in
glioma, a type of brain
cancer, and adjuvant renal
cell carcinoma. The Company
was founded in 1994.</t>
  </si>
  <si>
    <t xml:space="preserve">UROGEN PHARMA LTD/AGENUS INC-STRATEGIC ALLIANCE</t>
  </si>
  <si>
    <t xml:space="preserve">Urogen Pharma Ltd and Agenus Inc formed a strategic alliance to enter into
exclusive global licensing agreement to develop and commercialize
zalifrelimab (AGEN1884, anti-CTLA-4 antibody) via intravesical delivery in
combination with UGN-201 for the treatment of urinary tract cancers. The
Strategic Alliance was to have a estimated cost of USD 10 mil.</t>
  </si>
  <si>
    <t xml:space="preserve">The Strategic Alliance was to have a estimated cost of USD 10 mil.</t>
  </si>
  <si>
    <t xml:space="preserve">M96088
037032</t>
  </si>
  <si>
    <t xml:space="preserve">Therapeutics Soltns Intl Inc
Beijing Regenesis Biotech Co</t>
  </si>
  <si>
    <t xml:space="preserve">Offices Of All Other Miscellaneous Health Practitioners
Biological Product (Except Diagnostic) Manufacturing</t>
  </si>
  <si>
    <t xml:space="preserve">Therapeutics Solutions
International Inc is a
health practitioner office
operator. The Company was
founded in 2010 and is
located in Oceanside,
California.
Beijing Regenesis
Biotechnology Co Ltd is a
manufacturer of biological
products. The Company is
located in Beijing, China.</t>
  </si>
  <si>
    <t xml:space="preserve">8049
2836</t>
  </si>
  <si>
    <t xml:space="preserve">THERAPEUTICS SOLUTIONS INTERNATIONAL INC/BEIJING REGENESIS BIOTECHNOLOGY CO
LTD-STRATEGIC ALLIANCE</t>
  </si>
  <si>
    <t xml:space="preserve">Therapeutics Solutions International Inc and Beijing Regenesis
Biotechnology Co Ltd formed a strategic alliance to license and develop &amp;
commercialize patent for anti-aging use of cord blood plasma and
NanoStilbene.</t>
  </si>
  <si>
    <t xml:space="preserve">3J6230
8J1441</t>
  </si>
  <si>
    <t xml:space="preserve">AES Tiete Energia SA
Unipar Carbocloro SA</t>
  </si>
  <si>
    <t xml:space="preserve">Electric Power Distribution
Petrochemical Manufacturing</t>
  </si>
  <si>
    <t xml:space="preserve">AES Tiete Energia SA is an
electric power distributor.
It is also a holding company
that comprises seven
companies that operate in
the sectors of electric
power generation,
distribution, trade and
telecommunications. The
Company was founded in 1997
and is located in Barueri,
Brazil.
Unipar Carbocloro SA,
located in Sao Paulo,
Brazil, is a non-operational
investment holding Company,
whose core business is
holding shareholding
interest in other companies,
whether directly or
indirectly, including
through investment funds.
The Company main business
are related to chemical and
petrochemical sectors. It
was founded in 1969.</t>
  </si>
  <si>
    <t xml:space="preserve">AES Tiete Energia SA
Vila Velha SA Administracao e</t>
  </si>
  <si>
    <t xml:space="preserve">AES TIETE ENERGIA SA/UNIPAR CARBOCLORO SA-JOINT VENTURE</t>
  </si>
  <si>
    <t xml:space="preserve">AES Tiete Energia SA and Unipar Carbocloro SA planned to form a joint
venture in Brazil to develop a 155-MW wind project. Unipar will enter into
a 20-year power purchase agreement (PPA) with the JV to buy 60 average
megawatts (MWa) from the wind park. The Joint Venture was to have
Capitalization of USD 0.963 mil (BRL 4 mil).</t>
  </si>
  <si>
    <t xml:space="preserve">The Joint Venture was to have Capitalization of USD 0.963 mil (BRL 4 mil).</t>
  </si>
  <si>
    <t xml:space="preserve">2F3029
9C8850</t>
  </si>
  <si>
    <t xml:space="preserve">Systemic Formulas Inc
Frelii Inc</t>
  </si>
  <si>
    <t xml:space="preserve">Systemic Formulas Inc is a
leading nutraceutical
company utilizing a
proprietary blend of
vitamins, minerals, enzymes,
RNA/DNA tissue factors,
amino acids, and botanicals
which are synergistically
formulated to target
particular health issues as
well as support general
wellness. The Company was
founded in 1985 and is
located in Ogden, Utah.
Frelii Inc is a provider of
biotechnology research and
development services. The
Company was founded in 2002
and is located in Utah.</t>
  </si>
  <si>
    <t xml:space="preserve">2833
8099</t>
  </si>
  <si>
    <t xml:space="preserve">SYSTEMIC FORMULAS INC/FRELII INC-STRATEGIC ALLIANCE</t>
  </si>
  <si>
    <t xml:space="preserve">Systemic Formulas Inc and Frelii Inc formed a strategic alliance was to
sell and utilize its artificial intelligence products for an initial term
of three years.</t>
  </si>
  <si>
    <t xml:space="preserve">8J1391
925606</t>
  </si>
  <si>
    <t xml:space="preserve">Hawthorne Gardening Co
Earth Alive Clean Tech Inc</t>
  </si>
  <si>
    <t xml:space="preserve">Pesticide and Other Agricultural Chemical Manufacturing
Biological Product (Except Diagnostic) Manufacturing</t>
  </si>
  <si>
    <t xml:space="preserve">Hawthorne Gardening Co is a
manufacturer of agricultural
chemicals. It acts also as a
holding company. The Company
was founded in 2014 and is
located in Port Washington,
New York.
Earth Alive Clean
Technologies Inc is a
biotechnology company
engaged in the development
and manufacturing of
microbial technology-based
products. The Company is
located in Lasalle, Canada.</t>
  </si>
  <si>
    <t xml:space="preserve">The Scotts Miracle-Gro Co
Earth Alive Clean Tech Inc</t>
  </si>
  <si>
    <t xml:space="preserve">HAWTHORNE GARDENING CO/EARTH ALIVE CLEAN TECHNOLOGIES INC-STRATEGIC
ALLIANCE</t>
  </si>
  <si>
    <t xml:space="preserve">Hawthorne Gardening Co and Earth Alive Clean Technologies Inc formed a
strategic alliance was for the sale of Dr. Marijane Root Probiotic in
Canada.</t>
  </si>
  <si>
    <t xml:space="preserve">Research &amp; Development Services
Manufacturing Services
Agricultural, Forestry, &amp; Fishing Svcs</t>
  </si>
  <si>
    <t xml:space="preserve">8E2346
27031Q</t>
  </si>
  <si>
    <t xml:space="preserve">ENGIE New Ventures Invest Fund
Humanlearning Ltd</t>
  </si>
  <si>
    <t xml:space="preserve">Other Financial Vehicles
Custom Computer Programming Services</t>
  </si>
  <si>
    <t xml:space="preserve">ENGIE New Ventures
Investment Fund is a venture
capital fund. It is
specialized in growth
capital investments in young
companies. It seeks to
invest in energy transition.
The firm prefers to invest
in Europe, North America,
Asia, and Israel. The
Company was founded in 2014
and is located in Paris,
France.
Humanlearning Ltd is a
provider of custom computer
programming services. The
Company was founded in 2013
and is located in London,
the United Kingdom.</t>
  </si>
  <si>
    <t xml:space="preserve">6726
7371</t>
  </si>
  <si>
    <t xml:space="preserve">Engie SA
Humanlearning Ltd</t>
  </si>
  <si>
    <t xml:space="preserve">4911
7371</t>
  </si>
  <si>
    <t xml:space="preserve">ENGIE NEW VENTURES INVESTMENT FUND/HUMANLEARNING LTD-STRATEGIC ALLIANCE</t>
  </si>
  <si>
    <t xml:space="preserve">ENGIE New Ventures Investment Fund and Humanlearning Ltd formed a strategic
alliance in UK and France to develop custom data collection and analytics
solutions.</t>
  </si>
  <si>
    <t xml:space="preserve">9E0723
8J2948</t>
  </si>
  <si>
    <t xml:space="preserve">Cray Inc
Fujitsu Ltd</t>
  </si>
  <si>
    <t xml:space="preserve">Manufactures and wholesales computer systems and supercomputers
Computer Systems Design Services</t>
  </si>
  <si>
    <t xml:space="preserve">Cray Inc, located in
Seattle, Washington,
manufactures and wholesales
computer systems and
supercomputers. Its segments
include Supercomputing,
Storage and Data Management,
Maintenance and Support, and
Engineering Services and
others. The Supercomputing
segment includes a suite of
supercomputer systems, which
are used by engineering
centers in universities,
government laboratories, and
commercial institutions. The
Storage and Data Management
segment includes Cray Data
Warp and Sonexion, as well
as other third-party storage
products and their ongoing
maintenance and system
analysts. The Maintenance
and Support segment provides
ongoing maintenance of Cray
supercomputers, big data
storage and analytics
systems, as well as system
analysts. The Engineering
Services and others segment
includes its analytics
business and Custom
Engineering. The Company was
founded in 1972.
Fujitsu Ltd is a provider of
computer systems design
services. The Company was
founded in June 1935 and is
located in Minato-Ku Tokyo,
Japan.</t>
  </si>
  <si>
    <t xml:space="preserve">Hewlett Packard Enterprise Co
Fujitsu Ltd</t>
  </si>
  <si>
    <t xml:space="preserve">CRAY INC/FUJITSU LTD-STRATEGIC ALLIANCE</t>
  </si>
  <si>
    <t xml:space="preserve">Cray Inc and Fujitsu Ltd formed a strategic alliance to explore engineering
collaboration, co-development, and joint go-to-market to meet customer
demand in the supercomputing space.</t>
  </si>
  <si>
    <t xml:space="preserve">225223
359590</t>
  </si>
  <si>
    <t xml:space="preserve">Baystate Health Inc
Life Image Inc</t>
  </si>
  <si>
    <t xml:space="preserve">Own,operate hospital
Medical, Dental, and Hospital Equipment and Supplies Merchant Wholesalers</t>
  </si>
  <si>
    <t xml:space="preserve">Baystate Health Inc, located
in Springfield, Massachusetts,
owns and operates hospitals.
Life Image Inc, located in
Newton, Massachusetts, is a
provider of medical imaging.
It offers a network for
sharing medical images and
related health information
to health systems. The
Company was founded in 2008.</t>
  </si>
  <si>
    <t xml:space="preserve">BAYSTATE HEALTH INC/LIFE IMAGE INC-STRATEGIC ALLIANCE</t>
  </si>
  <si>
    <t xml:space="preserve">Baystate Health Inc and Life Image Inc planned to form a strategic alliance
was to develop AI innovations to Improve treatment decisions and match
cancer patients to clinical trials and the largest medical evidence network
providing access to points of care and curated clinical and imaging data,
to develop novel artificial intelligence tools that would help advance
technical innovations in radiology, neurology and oncology.</t>
  </si>
  <si>
    <t xml:space="preserve">Research &amp; Development Services
Hospital &amp; Clinical Services
Computer Integrated Systems Svcs</t>
  </si>
  <si>
    <t xml:space="preserve">07314X
2F0824</t>
  </si>
  <si>
    <t xml:space="preserve">LEO Pharma A/S
HitGen Inc</t>
  </si>
  <si>
    <t xml:space="preserve">Mnfr pharmaceuticals
Biological Product (Except Diagnostic) Manufacturing</t>
  </si>
  <si>
    <t xml:space="preserve">Leo Pharma A/S, located in
Ballerup, Denmark,
manufactures pharmaceuticals
intended for final
consumption, including
biotech products and
antibiotics. The Company
offers drugs for the
treatment of psoriasis,
atopic dermatitis, eczema,
and acne; anti-coagulation,
bone turnover/nephrology,
and antithrombin
deficiencies; inflammation;
thromboembolic disorders;
and infectious diseases. It
was founded in 1908.
HitGen Inc is a manufacturer
of biological products. The
Company was founded in
February 2012 and is located
in Chengdu, China.</t>
  </si>
  <si>
    <t xml:space="preserve">Leo Fondet
HitGen Inc</t>
  </si>
  <si>
    <t xml:space="preserve">LEO PHARMA A/S/HITGEN INC-STRATEGIC ALLIANCE</t>
  </si>
  <si>
    <t xml:space="preserve">LEO Pharma A/S and HitGen Inc formed a strategic alliance to enter into
licensing agreement to expands their collaboration with a license to
develop a class of drugs for a dermatology indication. HitGen will grant
exclusive rights to LEO Pharma to develop and commercialize the licensed
compounds.</t>
  </si>
  <si>
    <t xml:space="preserve">52668Z
4F5139</t>
  </si>
  <si>
    <t xml:space="preserve">GLM Ltd
Jemmell Co</t>
  </si>
  <si>
    <t xml:space="preserve">General Automotive Repair
Miscellaneous Intermediation</t>
  </si>
  <si>
    <t xml:space="preserve">GLM Ltd is a provider of
automotive repair services.
The Company is located in
Sakyo-ku, Japan.
Jemmell Co is an
intermediating company. The
Company is located in Hong
Kong.</t>
  </si>
  <si>
    <t xml:space="preserve">GLM LTD/JEMMELL CO-JOINT VENTURE</t>
  </si>
  <si>
    <t xml:space="preserve">GLM Ltd and Jemmell Co planned to form joint venture. The purpose of joint
venture was to ENGAGE PRIMARILY IN DESIGN, RESEARCH AND DEVELOPMENT, AND
PRODUCTION OF NEVS AND RELATED AUTOMOBILE PARTS</t>
  </si>
  <si>
    <t xml:space="preserve">8J1518
8J1520</t>
  </si>
  <si>
    <t xml:space="preserve">Evotec SE
Merck KGaA</t>
  </si>
  <si>
    <t xml:space="preserve">Mnfr small molecule drugs
Manufactures and wholesales pharmaceuticals, specialty chemicals, and cosmetic pigments</t>
  </si>
  <si>
    <t xml:space="preserve">Evotec AG, located in
Hamburg, Germany, is a
manufacturer of
pharmaceutical preparation.
It manufactures small
molecule drugs. It is
focused on providing
integrated and drug
discovery services and
alliances to the
pharmaceutical and
biotechnology industries.
Through its Discovery
Alliance Business, the
Company provides integrated
solutions to the
biotechnology industry from
target to clinical
development through a range
of capabilities and
capacities. It has
operational sites in Europe
and Asia. The Company was
founded in December 1993.
Merck KGaA, headquartered in
Darmstadt, Germany,
manufactures and wholesales
pharmaceuticals, specialty
chemicals, and cosmetic
pigments. It operates under
four divisions: Merck Serono
(biopharmaceuticals),
Consumer Health
(over-the-counter
pharmaceuticals),
Performance Materials
(high-tech chemicals) and
Merck Millipore (products
for pharmaceutical research
and biotechnology). The
Company was founded in 1668.</t>
  </si>
  <si>
    <t xml:space="preserve">EVOTEC SE/MERCK KGAA-STRATEGIC ALLIANCE</t>
  </si>
  <si>
    <t xml:space="preserve">Evotec SE and Merck KGaA formed a strategic alliance in Germany to enter
into licensing agreement providing Evotec SE access to Merck's foundational
CRISPR intellectual property.</t>
  </si>
  <si>
    <t xml:space="preserve">7J9459
589339</t>
  </si>
  <si>
    <t xml:space="preserve">Real Brands Inc
Wonder Labs Llc</t>
  </si>
  <si>
    <t xml:space="preserve">Whl bottled water
Testing Laboratories</t>
  </si>
  <si>
    <t xml:space="preserve">Real Brands Inc is a
manufacturer of bottled
water. The Company is
located in Pompano Beach,
Florida.
Wonder Labs LLC is a testing
laboratory. The Company is
located in White House,
Tennessee.</t>
  </si>
  <si>
    <t xml:space="preserve">2086
8734</t>
  </si>
  <si>
    <t xml:space="preserve">REAL BRANDS INC/WONDER LABS LLC-JOINT VENTURE</t>
  </si>
  <si>
    <t xml:space="preserve">Real Brands Inc and Wonder Labs LLC formed a strategic alliance to leverage
Real Brands brand building and sales capabilities with Wonder Labs product
development and production capabilities.</t>
  </si>
  <si>
    <t xml:space="preserve">2J4076
8J1111</t>
  </si>
  <si>
    <t xml:space="preserve">Add Nutrition AB
Doughlicious Ltd</t>
  </si>
  <si>
    <t xml:space="preserve">Ice Cream and Frozen Dessert Manufacturing
All Other Miscellaneous Food Manufacturing</t>
  </si>
  <si>
    <t xml:space="preserve">Add Nutrition AB is a
manufacturer of frozen
desserts. The Company is
located in Sweden.
Doughlicious Ltd is a
manufacturer of foods. The
Company was founded in
November 2014 and is located
in London, the United
Kingdom.</t>
  </si>
  <si>
    <t xml:space="preserve">2024
2015</t>
  </si>
  <si>
    <t xml:space="preserve">Frill Holding AB
Doughlicious Ltd</t>
  </si>
  <si>
    <t xml:space="preserve">ADD NUTRITION AB/DOUGHLICIOUS LTD-JOINT VENTURE</t>
  </si>
  <si>
    <t xml:space="preserve">Add Nutrition AB and Doughlicious Ltd formed joint venture in Sweden for
the development, sale and distribution of a series of new food products.</t>
  </si>
  <si>
    <t xml:space="preserve">Research &amp; Development Services
Retail &amp; Wholesale Services
Supply Services
Marketing Services</t>
  </si>
  <si>
    <t xml:space="preserve">8J1387
8J1407</t>
  </si>
  <si>
    <t xml:space="preserve">Pond Naturals Inc
Howlbrands Inc</t>
  </si>
  <si>
    <t xml:space="preserve">Pond Naturals Inc is a
manufacturer of in-vitro
diagnostic substances. The
Company is located in
Agassiz, Canada.
Howlbrands Inc is a
manufacturer of biological
products. The Company was
founded in 2019 and is
located in Toronto, Canada.</t>
  </si>
  <si>
    <t xml:space="preserve">Pond Technologies Holdings Inc
Toronto Wolfpack Rugby League</t>
  </si>
  <si>
    <t xml:space="preserve">0273
7941</t>
  </si>
  <si>
    <t xml:space="preserve">POND NATURALS INC/HOWLBRANDS INC-STRATEGIC ALLIANCE</t>
  </si>
  <si>
    <t xml:space="preserve">Pond Naturals Inc and Howlbrands Inc planned to form a strategic alliance
was to co-development of Astaxanthin sports and wellness products.</t>
  </si>
  <si>
    <t xml:space="preserve">8J2188
8J2199</t>
  </si>
  <si>
    <t xml:space="preserve">Revive Therapeutics Ltd
Herman Hldg Ltd</t>
  </si>
  <si>
    <t xml:space="preserve">Provides biotechnology research, development services
Miscellaneous Intermediation</t>
  </si>
  <si>
    <t xml:space="preserve">Revive Therapeutics Ltd,
located in Toronto, Ontario,
provides biotechnology
research and development
services. The Company was
founded in March 2012.
Herman Holdings Ltd is an
intermediating company. The
Company is located in
Canada.</t>
  </si>
  <si>
    <t xml:space="preserve">REVIVE THERAPEUTICS LTD/HERMAN HOLDINGS LTD-JOINT VENTURE</t>
  </si>
  <si>
    <t xml:space="preserve">Revive Therapeutics Ltd and Herman Holdings Ltd formed joint venture for
the purpose of developing, producing, distributing, marketing and selling
cannabis derivative products for the Canadian recreational cannabis
market.</t>
  </si>
  <si>
    <t xml:space="preserve">Research &amp; Development Services
Manufacturing Services
Retail &amp; Wholesale Services
Marketing Services
Health &amp; Medical Services</t>
  </si>
  <si>
    <t xml:space="preserve">761516
8J2560</t>
  </si>
  <si>
    <t xml:space="preserve">Visa Inc
Space JSC</t>
  </si>
  <si>
    <t xml:space="preserve">Provide electronic payment services
Miscellaneous Financial Investment Activities</t>
  </si>
  <si>
    <t xml:space="preserve">Visa Inc, located in San
Francisco, California,
provides electronic payment
processing and other
financial services through
its network that allows
global commerce through the
transfer of value and
information among financial
institutions, merchants,
consumers, businesses and
government entities. The
Company provides payment
product platforms that its
financial institution
clients use to develop and
offer credit, charge,
deferred debit, prepaid and
cash access programs to
cardholders. Its brand
include Visa, Visa Electron,
Plus and Interlink. The
Company was founded in 1970.
Space JSC is a provider of
financial investment
services. The Company was
founded in 2018 and is
located in Tbilisi, Georgia.</t>
  </si>
  <si>
    <t xml:space="preserve">6099
6282</t>
  </si>
  <si>
    <t xml:space="preserve">United States
Georgia</t>
  </si>
  <si>
    <t xml:space="preserve">Visa Inc
TBC Bank Group PLC</t>
  </si>
  <si>
    <t xml:space="preserve">6099
6000</t>
  </si>
  <si>
    <t xml:space="preserve">VISA INC/SPACE JSC-STRATEGIC ALLIANCE</t>
  </si>
  <si>
    <t xml:space="preserve">Visa Inc and Space JSC planned to form a strategic alliance to develop
innovative banking solutions in Georgia and beyond in the growing digital
payments landscape.</t>
  </si>
  <si>
    <t xml:space="preserve">Research &amp; Development Services
Software Development Services
Computer Programming Services
Banking Services</t>
  </si>
  <si>
    <t xml:space="preserve">92826C
8J2158</t>
  </si>
  <si>
    <t xml:space="preserve">Exicure Inc
Allergan Pharms Intl Ltd</t>
  </si>
  <si>
    <t xml:space="preserve">Exicure Inc is a
manufacturer of
pharmaceutical preparation.
The Company was founded in
February 2017 and is located
in Skokie, Illinois.
Allergan Pharmaceuticals
International Ltd is a
manufacturer of
pharmaceutical preparation.
The Company was founded in
1970 and is located in
Dublin, the Republic of
Ireland.</t>
  </si>
  <si>
    <t xml:space="preserve">Exicure Inc
Allergan PLC</t>
  </si>
  <si>
    <t xml:space="preserve">EXICURE INC/ALLERGAN PHARMACEUTICALS INTERNATIONAL LTD-STRATEGIC ALLIANCE</t>
  </si>
  <si>
    <t xml:space="preserve">Exicure Inc and Allergan Pharmaceuticals International Ltd formed a
strategic alliance to discover and develop novel treatments for hair loss
disorders based on Exicures proprietary SNA technology.</t>
  </si>
  <si>
    <t xml:space="preserve">30205M
8J2292</t>
  </si>
  <si>
    <t xml:space="preserve">Sarepta Therapeutics Inc
StrideBio Inc</t>
  </si>
  <si>
    <t xml:space="preserve">Sarepta Therapeutics Inc,
located in Cambridge,
Massachusetts, is a
biopharmaceutical company
developing drugs to treat
life-threatening diseases
using its patented
third-generation antisense
technology. With its
flagship NeuGene antisense
drugs, they have completed
eleven clinical trials in
more than 300 subjects
addressing cardiovascular
restenosis, infectious
disease, cancer, polycystic
kidney disease and drug
metabolism. The Company was
founded in 1980.
StrideBio Inc is a
manufacturer of biological
products. The Company
creates and develops
adeno-associated viral (AAV)
vector technologies and
therapeutics that enables
gene addition, gene
silencing, and gene editing
modalities for rare
diseases. The Company
develops a platform by
combining structural
information with accelerated
evolution to create AAV
capsids that can evade
neutralizing antibodies. The
Company was founded in
September 2015 and is
located in Durham, North
Carolina.</t>
  </si>
  <si>
    <t xml:space="preserve">SAREPTA THERAPEUTICS INC/STRIDEBIO INC-STRATEGIC ALLIANCE</t>
  </si>
  <si>
    <t xml:space="preserve">Sarepta Therapeutics Inc and StrideBio Inc formed a strategic alliance in
United States to enter into licensing agreement to develop in vivo
AAV-based therapies for up to eight central nervous system (CNS) and
neuromuscular targets. The Strategic Alliance was to have a estimated cost
of USD 48 mil.</t>
  </si>
  <si>
    <t xml:space="preserve">The Strategic Alliance was to have a estimated cost of USD 48 mil.</t>
  </si>
  <si>
    <t xml:space="preserve">803607
8J2578</t>
  </si>
  <si>
    <t xml:space="preserve">Adara Inc
Skift Inc</t>
  </si>
  <si>
    <t xml:space="preserve">Internet Publishing and Broadcasting and Web Search Portals
Publishes news and research</t>
  </si>
  <si>
    <t xml:space="preserve">ADARA, Inc. is a United
States-based
software-defined networking
(SDN) and cloud networking
company. The Companys cloud
ready platform includes
software defined- wide area
network (SD WAN) routers, SD
WAN proxies and its direct
connections multi cloud
management platform. It
provides ADARA Direct
Connection(s) Cloud Software
for automated hybrid and
multi-cloud connections. Its
artificial intelligence (AI)
learning algorithms monitors
hundreds of attributes in
real time in networks,
physical and virtual hosts
and services. ADARA Topology
Visualization enables
enterprise wide visibility
of networks and clouds on a
real time basis. Its
products include customer
experience optimization,
merchandising optimization,
destination marketing cloud
and guestfinder.
Skift Inc, located in New
York City, New York,
publishes news and research
for the travel industry. It
also offers marketing
services through its SkiftX
platform. The Company was
founded in 2012.</t>
  </si>
  <si>
    <t xml:space="preserve">2711
2741</t>
  </si>
  <si>
    <t xml:space="preserve">ADARA INC/SKIFT INC-STRATEGIC ALLIANCE</t>
  </si>
  <si>
    <t xml:space="preserve">Adara Inc and Skift Inc formed a strategic alliance. The purpose of
strategic alliance was new research detailing travel marketer use of
advanced marketing tactics for personalization entitled "Getting to Peak
Personalization".</t>
  </si>
  <si>
    <t xml:space="preserve">8J1947
7H2163</t>
  </si>
  <si>
    <t xml:space="preserve">Genscript Biotech Corp
Abl Bio Inc</t>
  </si>
  <si>
    <t xml:space="preserve">Genscript Biotech Corp is a
manufacturer of biological
products. The Company is
located in Nanjing, China.
Abl Bio Inc is a provider of
biotechnology research and
development services. The
Company was founded in
February 2016 and is located
in South Korea.</t>
  </si>
  <si>
    <t xml:space="preserve">Genscript USA Corp
Abl Bio Inc</t>
  </si>
  <si>
    <t xml:space="preserve">GENSCRIPT BIOTECH CORP/ABL BIO INC-STRATEGIC ALLIANCE</t>
  </si>
  <si>
    <t xml:space="preserve">Genscript Biotech Corp and Abl Bio Inc formed a strategic alliance was,
GenScript will grant a sublicense to ABL Bio to use sdAb (single-domain
antibody), mAb (monoclonal antibody) targeting tumor antigens, and its
Single-Domain Antibody fused to Monoclonal Ab (SMAB) Platform to develop
several bispecific antibody molecules.</t>
  </si>
  <si>
    <t xml:space="preserve">9C9975
8H1903</t>
  </si>
  <si>
    <t xml:space="preserve">Dicerna Pharmaceuticals Inc
Novo Nordisk A/S</t>
  </si>
  <si>
    <t xml:space="preserve">Pharmaceutical Preparation Manufacturing
Healthcare company</t>
  </si>
  <si>
    <t xml:space="preserve">Dicerna Pharmaceuticals Inc,
located in Cambridge,
Massachusetts, is a
biopharmaceutical company
focused on the discovery and
development of innovative
treatments for rare
inherited diseases involving
the liver and for cancers
that are genetically
defined. The Company was
founded in 2006.
Novo Nordisk A/S, located in
Bagsvaerd, Denmark, is a
healthcare company. It
offers pharmaceutical and
health care products. It
operates in the areas of
diabetes care, haemophilia
management, obesity and
weight management, growth
hormone therapy and hormone
replacement therapy. It
manufactures drugs via
numerous brand names,
including Levemir, NovoLog,
Novolin R, NovoSeven,
NovoEight and Victoza. It is
also engaged in research and
development projects in the
field of medicine. It is
also a holding company. The
Company was founded in 1923.</t>
  </si>
  <si>
    <t xml:space="preserve">Dicerna Pharmaceuticals Inc
Novo Nordisk Foundation</t>
  </si>
  <si>
    <t xml:space="preserve">DICERNA PHARMACEUTICALS INC/NOVO NORDISK A/S-STRATEGIC ALLIANCE</t>
  </si>
  <si>
    <t xml:space="preserve">Dicerna Pharmaceuticals Inc and Novo Nordisk A/S formed a strategic
alliance to discover and develop novel therapies for the treatment of
liver-related cardio-metabolic diseases using Dicernas proprietary GalXC
RNAi platform technology.</t>
  </si>
  <si>
    <t xml:space="preserve">253031
670100</t>
  </si>
  <si>
    <t xml:space="preserve">Diagenode Inc
Bio-Rad Laboratories Inc</t>
  </si>
  <si>
    <t xml:space="preserve">Biotechnology company
Mnfr chem research prod</t>
  </si>
  <si>
    <t xml:space="preserve">Diagenode Inc is a
manufacturer of biological
products. The Company is
located in Seraing, Belgium.
Bio-Rad Laboratories Inc,
located in Hercules,
California, manufactures and
wholesales chemical and
biological materials,
separation and purification
systems, medical test kits,
molecular structure
analyzing systems and
semiconductor measuring
instruments. The Company was
founded in 1952.</t>
  </si>
  <si>
    <t xml:space="preserve">DIAGENODE INC/BIO-RAD LABORATORIES INC-STRATEGIC ALLIANCE</t>
  </si>
  <si>
    <t xml:space="preserve">Diagenode Inc and Bio-Rad Laboratories Inc formed a strategic alliance to
offer Single-Cell ATAC-Seq (scATAC-Seq) Services, featuring Bio-Rads
Droplet Digital PCR technology, to help advance epigenomics research.</t>
  </si>
  <si>
    <t xml:space="preserve">0F3490
090572</t>
  </si>
  <si>
    <t xml:space="preserve">Zelluna Immunotherapy AS
Glycostem Therapeutics Bv</t>
  </si>
  <si>
    <t xml:space="preserve">Zelluna Immunotherapy AS is
a provider of biotechnology
research and development
services. The Company was
founded in March 2016 and is
located in Oslo, Norway.
Glycostem Therapeutics Bv
is a clinical-stage company
and provider of
biotechnology research and
development services in the
field of cellular
immunotherapy. The Company
is located in Oss, the
Netherlands.</t>
  </si>
  <si>
    <t xml:space="preserve">ZELLUNA IMMUNOTHERAPY AS/GLYCOSTEM THERAPEUTICS BV-STRATEGIC ALLIANCE</t>
  </si>
  <si>
    <t xml:space="preserve">ZELLUNA IMMUNOTHERAPY AS and Glycostem Therapeutics Bv formed a strategic
alliance to focus on the development and manufacture of allogeneic TCR
guided NK-cell therapies (TCR-NKs) for the treatment of patients with
cancer.</t>
  </si>
  <si>
    <t xml:space="preserve">8J3328
7J3209</t>
  </si>
  <si>
    <t xml:space="preserve">Antares Pharma Inc
Idorsia Ltd</t>
  </si>
  <si>
    <t xml:space="preserve">Mnfr pharm
Research and Development in Biotechnology</t>
  </si>
  <si>
    <t xml:space="preserve">Antares Pharma Inc, located
in Ewing, New Jersey, is a
specialty drug delivery and
pharmaceutical company with
three established delivery
platforms, transdermal gel
systems, oral disintegrating
tablets, and injection
devices. It offers injection
devices, which include
Medi-Jector Vision for
insulin;2 Vision,
Zomajet Vision X,
Twin-Jector EZ II, and Tjet
for human growth hormone;
Vibex pressure assisted auto
injector platform that
enables a controlled
pressure delivery of drugs
into the body utilizing a
spring power source; and
disposable pen injectors,
which are needle-based
devices designed to deliver
multiple injections from
multi-dose drug cartridges.
The Company was founded in
1979.
Idorsia Ltd is a provider of
biotechnology research and
development services. It
focuses on drug discovery
operations and early-stage
clinical development assets.
One of its products is
ACT-132577 developed for
resistant hypertension. The
Company is located in
Allschwil, Switzerland.</t>
  </si>
  <si>
    <t xml:space="preserve">ANTARES PHARMA INC/IDORSIA LTD-STRATEGIC ALLIANCE</t>
  </si>
  <si>
    <t xml:space="preserve">Antares Pharma Inc and Idorsia Ltd formed a strategic alliance to develop a
novel, drug-device product combining selatogrel, Idorsias potent,
fast-acting and highly selective P2Y12 receptor antagonist under
development, with the Antares subcutaneous QuickShot auto injector.</t>
  </si>
  <si>
    <t xml:space="preserve">036642
6F5703</t>
  </si>
  <si>
    <t xml:space="preserve">Harpoon Therapeutics Inc
AbbVie Inc</t>
  </si>
  <si>
    <t xml:space="preserve">Research and Development in Biotechnology
Manufactures and wholesales pharmaceutical products</t>
  </si>
  <si>
    <t xml:space="preserve">Harpoon Therapeutics Inc,
located in South San
Francisco, California, is a
provider of biotechnology
research and development
services. The Company was
founded in March 2015.
AbbVie Inc, located in North
Chicago, Illinois,
manufactures and wholesales
pharmaceutical products. Its
products are focused on
treating conditions such as
chronic autoimmune diseases
in rheumatology,
gastroenterology and
dermatology; oncology,
including blood cancers;
virology, including
hepatitis C virus (HCV) and
human immunodeficiency virus
(HIV); neurological
disorders, such as
Parkinson's disease;
metabolic diseases,
including thyroid disease
and complications associated
with cystic fibrosis; pain
associated with
endometriosis; and other
serious health conditions.
Its brands include HUMIRA,
Kaltera, Lupron, Synagis,
Androgel, Zemplar,
Synthroid, Creon, TriCor,
Trilipix, Simcor, Niaspan
and among others. The
Company was founded in
10, 2012.
January 2013.</t>
  </si>
  <si>
    <t xml:space="preserve">HARPOON THERAPEUTICS INC/ABBVIE INC-STRATEGIC ALLIANCE</t>
  </si>
  <si>
    <t xml:space="preserve">Harpoon Therapeutics Inc and AbbVie Inc formed a strategic alliance to
expand exclusive worldwide option and license transaction for HPN217,
Harpoon's B cell maturation antigen (BCMA)-targeting Tri-specific T cell
Activating Construct. The Strategic Alliance was to have a estimated cost
of USD 510 mil.</t>
  </si>
  <si>
    <t xml:space="preserve">The Strategic Alliance was to have a estimated cost of USD 510 mil.</t>
  </si>
  <si>
    <t xml:space="preserve">8H1812
00287Y</t>
  </si>
  <si>
    <t xml:space="preserve">Lonza Pharma &amp; Biotech
Navrogen Inc</t>
  </si>
  <si>
    <t xml:space="preserve">Lonza Pharma &amp; Biotech is a
manufacturer of biological
products. The Company is
located in Basel,
Switzerland.
Navrogen, Inc. is a United
States-based biotechnology
company. The Company focuses
on discovery of tumor
produced humoral
immuno-oncology
(HIO)-factors that are
associated with cancer
prognosis and therapeutic
response of immune-mediated
anti-cancer therapies. It
also focuses on therapeutic
solutions to reverse the
immuno-suppressive
mechanisms mediated by
HIO-factors through
screening platforms that
identify tumor-derived
proteins with HIO-factor
activity and to develop
agents that can overcome a
HIO-factors
immuno-suppressive effects.
The company is located in
Pennsylvania, US and it was
founded in 8th Oct 2017.</t>
  </si>
  <si>
    <t xml:space="preserve">Lonza Group AG
Navrogen Inc</t>
  </si>
  <si>
    <t xml:space="preserve">LONZA PHARMA &amp; BIOTECH/NAVROGEN INC-STRATEGIC ALLIANCE</t>
  </si>
  <si>
    <t xml:space="preserve">Lonza Pharma Biotech and Navrogen Inc formed a strategic alliance for the
production of Navrogen's biotherapeutics using Lonzas GS Xceed Expression
System.</t>
  </si>
  <si>
    <t xml:space="preserve">2H4597
8J3316</t>
  </si>
  <si>
    <t xml:space="preserve">Lysogene SA
Sarepta Therapeutics Inc</t>
  </si>
  <si>
    <t xml:space="preserve">Lysogene SA, located in
Paris, France, is a
biotechnology company. It is
specialized in the
development of intracerebral
gene therapy aimed at
treating pathologies
affecting the central
nervous system. It was
founded in 2009.
Sarepta Therapeutics Inc,
located in Cambridge,
Massachusetts, is a
biopharmaceutical company
developing drugs to treat
life-threatening diseases
using its patented
third-generation antisense
technology. With its
flagship NeuGene antisense
drugs, they have completed
eleven clinical trials in
more than 300 subjects
addressing cardiovascular
restenosis, infectious
disease, cancer, polycystic
kidney disease and drug
metabolism. The Company was
founded in 1980.</t>
  </si>
  <si>
    <t xml:space="preserve">LYSOGENE SA/SAREPTA THERAPEUTICS INC-STRATEGIC ALLIANCE</t>
  </si>
  <si>
    <t xml:space="preserve">Lysogene SA and Sarepta Therapeutics Inc formed a strategic alliance. The
purpose of strategic alliance was to provide ability to both the companies
to fund full development of our lead asset .</t>
  </si>
  <si>
    <t xml:space="preserve">0C7863
803607</t>
  </si>
  <si>
    <t xml:space="preserve">Wah Fu Education Group Ltd
Chengdu Neusoft Univ</t>
  </si>
  <si>
    <t xml:space="preserve">Educational Support Services
Own,op college,university</t>
  </si>
  <si>
    <t xml:space="preserve">Wah Fu Education Group Ltd is
a provider of educational
support services. The Company
is located in Beijing, China.
Chengdu Neusoft University,
owns and operates a
university. The university is
headquartered in China. It was
founded in 2003.</t>
  </si>
  <si>
    <t xml:space="preserve">8299
8221</t>
  </si>
  <si>
    <t xml:space="preserve">Wah Fu Education Group Ltd
Neusoft Corp</t>
  </si>
  <si>
    <t xml:space="preserve">8299
7376</t>
  </si>
  <si>
    <t xml:space="preserve">WAH FU EDUCATION GROUP LTD/CHENGDU NEUSOFT UNIVERSITY-STRATEGIC ALLIANCE</t>
  </si>
  <si>
    <t xml:space="preserve">Wah Fu Education Group Ltd and Chengdu Neusoft University formed a
strategic alliance in China to develop and maintain a customized online
education platform featuring online courses, self-taught examinations, and
administration and student management services. The Agreement has an
initial term of one year.</t>
  </si>
  <si>
    <t xml:space="preserve">G94184
16441L</t>
  </si>
  <si>
    <t xml:space="preserve">Appili Therapeutics Inc
Toyama Chemical Co Ltd</t>
  </si>
  <si>
    <t xml:space="preserve">Biotechnology company
Mnfr pharm,chem</t>
  </si>
  <si>
    <t xml:space="preserve">Appili Therapeutics Inc is a
manufacturer of biological
products. The Company was
founded in May 2015 and is
located in Halifax, Canada.
Toyama Chemical Co Ltd,
located in Tokyo, Japan,
manufactures and wholesales
pharmaceutical products. The
company specializes in
production of ethical drugs,
consumer health care products,
and industrial chemicals. The
operations are carried out
through the following
divisions: Pharmaceuticals and
others. Pharmaceuticals
division deals with
antibiotics, chemotherapeutics
and healthy foods and drinks.
The company was founded in
1936.</t>
  </si>
  <si>
    <t xml:space="preserve">Appili Therapeutics Inc
FUJIFILM Holdings Corp</t>
  </si>
  <si>
    <t xml:space="preserve">APPILI THERAPEUTICS INC/TOYAMA CHEMICAL CO LTD-STRATEGIC ALLIANCE</t>
  </si>
  <si>
    <t xml:space="preserve">Appili Therapeutics Inc and Toyama Chemical Co Ltd formed a strategic
alliance to acquire and develop the antifungal drug T-2307, which will now
be called ATI-2307. The agreement with FUJIFILM Toyama Chemical assigns
Appili exclusive worldwide development and marketing rights (ex-Japan) to
develop and commercialize this antifungal candidate.</t>
  </si>
  <si>
    <t xml:space="preserve">03783R
89226Q</t>
  </si>
  <si>
    <t xml:space="preserve">Synbiotic Health Llc
Nutech Ventures</t>
  </si>
  <si>
    <t xml:space="preserve">Synbiotic Health LLC is a
manufacturer of
pharmaceutical preparation.
The Company was founded in
1970 and is located in
Nebraska.
Nutech Ventures is a
provider of research and
development services. The
Company is located in
Lincoln, Nebraska.</t>
  </si>
  <si>
    <t xml:space="preserve">NE
NE</t>
  </si>
  <si>
    <t xml:space="preserve">SYNBIOTIC HEALTH LLC/NUTECH VENTURES-STRATEGIC ALLIANCE</t>
  </si>
  <si>
    <t xml:space="preserve">Synbiotic Health LLC and Nutech Ventures formed a strategic alliance to
enable development of unique synergistic synbiotics.</t>
  </si>
  <si>
    <t xml:space="preserve">8J4104
8J4105</t>
  </si>
  <si>
    <t xml:space="preserve">AN2 Therapeutics Inc
Brii Biosciences Inc</t>
  </si>
  <si>
    <t xml:space="preserve">AN2 Therapeutics Inc is a
manufacturer of biological
products. The Company
focuses on research,
development, and
commercialization of
medicines to provide
transformational medicines
for patients suffering from
infectious diseases. The
Company helps to restore the
health of patients suffering
in all corners of the world.
The Company was founded in
February 2017 and is located
in Menlo Park, California.
Brii Biosciences Inc is a
manufacturer of biological
products. The Company was
founded in 2018 and is
located in Durham, North
Carolina.</t>
  </si>
  <si>
    <t xml:space="preserve">AN2 THERAPEUTICS INC/BRII BIOSCIENCES INC-STRATEGIC ALLIANCE</t>
  </si>
  <si>
    <t xml:space="preserve">AN2 Therapeutics Inc and Brii Biosciences Inc formed a strategic alliance
to enter into licensing agreement to develop, manufacture, and
commercialize AN2's clinical-stage antibacterial compound with a
mechanism-of-action in greater China.</t>
  </si>
  <si>
    <t xml:space="preserve">8J5559
0J0172</t>
  </si>
  <si>
    <t xml:space="preserve">Amoy Diagnostics Co Ltd
Eisai Co Ltd</t>
  </si>
  <si>
    <t xml:space="preserve">Amoy Diagnostics Co Ltd is a
manufacturer of biological
products. The Company was
founded in February 2008 and
is located in Xiamen, China.
Eisai Co Ltd, headquartered in
Tokyo, Japan, is mainly
engaged in the manufacture and
sale of pharmaceutical
products. The Company operates
in two business segments. The
Pharmaceutical segment is
engaged in the research,
development, manufacture and
sale of drugs for
pharmaceutical,
over-the-counter and
diagnostic uses. The Others
segment manufactures and sells
food additives and chemicals.
It was founded on 1941.</t>
  </si>
  <si>
    <t xml:space="preserve">AMOY DIAGNOSTICS CO LTD/EISAI CO LTD-STRATEGIC ALLIANCE</t>
  </si>
  <si>
    <t xml:space="preserve">Amoy Diagnostics Co Ltd and Eisai Co Ltd formed a strategic alliance. The
purpose of strategic alliance was for the development and registration of
companion diagnostic tests.</t>
  </si>
  <si>
    <t xml:space="preserve">2E1585
282579</t>
  </si>
  <si>
    <t xml:space="preserve">Dak Deutsche Angestellten-
Diamontech AG</t>
  </si>
  <si>
    <t xml:space="preserve">Pvd health insurance services
Navigational, Measuring, Electromedical, and Control Instruments Manufacturing</t>
  </si>
  <si>
    <t xml:space="preserve">DAK Deutsche Angestellten-
Krankenkasse is a direct
health and medical insurance
carrier. The Company was
founded in July 2016 and is
located in Hamburg, Germany.
Diamontech GmbH is a
manufacturer of
navigational, measuring,
electromedical and control
instruments. The Company was
founded in 1970 and is
located in Berlin, Germany.</t>
  </si>
  <si>
    <t xml:space="preserve">6324
3842</t>
  </si>
  <si>
    <t xml:space="preserve">DAK DEUTSCHE ANGESTELLTEN- KRANKENKASSEDAK/DIAMONTECH AG-STRATEGIC
ALLIANCE</t>
  </si>
  <si>
    <t xml:space="preserve">Dak Deutsche Angestellten- Krankenkassedak and Diamontech AG planned to
form a strategic alliance in Germany to jointly develop differentiated,
complementary and to date unique care services regarding diabetes. As part
of the strategic partnership, DiaMonTech shall provide DAK insured persons
with individual care products. DAK Gesundheit will contribute its
healthcare expertise to product development.</t>
  </si>
  <si>
    <t xml:space="preserve">23911W
7J8130</t>
  </si>
  <si>
    <t xml:space="preserve">Woolsey Pharmaceuticals Inc
Asahi Kasei Pharma Corp</t>
  </si>
  <si>
    <t xml:space="preserve">Woolsey Pharmaceuticals Inc
is a manufacturer of
pharmaceutical preparation.
The Company was founded in
May 2019 and is located in
New York, New York.
Asahi Kasei Pharma Corp,
headquartered in Tokyo, Japan,
manufactures and wholesales
sprecialty prescription
pharmaceuticals. It offers
feed additives, diagnostic
reagents, nutritional
products, and animal health
products. The company was
founded in 2003.</t>
  </si>
  <si>
    <t xml:space="preserve">Woolsey Pharmaceuticals Inc
Asahi Kasei Corp</t>
  </si>
  <si>
    <t xml:space="preserve">WOOLSEY PHARMACEUTICALS INC/ASAHI KASEI PHARMA CORP-STRATEGIC ALLIANCE</t>
  </si>
  <si>
    <t xml:space="preserve">Woolsey Pharmaceuticals Inc and Asahi Kasei Pharma Corp formed a strategic
alliance to enter into licensing agreement for granting Woolsey the
exclusive right to develop and commercialize any formulations of fasudil
hydrochloride hydrate, a Rho-kinase inhibitor, in the US, Europe, and all
other territories outside of Japan, China, South Korea, and Taiwan.</t>
  </si>
  <si>
    <t xml:space="preserve">8J4663
04398J</t>
  </si>
  <si>
    <t xml:space="preserve">Ferring International Center
Blackstone Group Inc</t>
  </si>
  <si>
    <t xml:space="preserve">Manufacture pharmaceuticals
Private equity, investment firm</t>
  </si>
  <si>
    <t xml:space="preserve">Ferring International Center
SA, located in Saint-Prex,
Switzerland, is a
pharmaceuticals
manufacturer. It develops
products in the fields of
urology, gynecology &amp;
obstetrics, gastroenterology
and endocrinology. It is
also a holding company. It
was founded in 1950.
Blackstone Group Inc,
located in New York, New
York, offers private equity
and investment management
services. The Company is an
asset manager and provider
of financial advisory
services. It provides asset
management services of
corporate private equity
funds, real estate
opportunity funds, funds of
hedge funds, mezzanine
funds, senior debt funds,
proprietary hedge funds and
closed-end mutual funds. The
Company provides financial
advisory services, including
mergers and acquisitions
advisory, restructuring and
reorganization advisory and
fund placement services. It
invests in lodging, urban
office buildings,
residential properties,
distribution and warehousing
centers and real estate
operating companies through
real estate opportunity
funds. The Company focuses
on actual and expected
changes in the economic
conditions in the debt and
equity capital markets in
all of the geographic
regions in which the company
conducts its business and
tries to accelerate or
reduce the rate of its
investment or disposition
activities in response to
changing economic and market
conditions. The Company was
founded in 1985.</t>
  </si>
  <si>
    <t xml:space="preserve">FERRING INTERNATIONAL CENTER SA/BLACKSTONE GROUP INC-JOINT VENTURE</t>
  </si>
  <si>
    <t xml:space="preserve">Fergene LLC is a provider of
marketing consulting
services. The Company is a
new gene therapy, created to
potentially commercialize
nadofaragene firadenovec in
the US and to advance the
global clinical development
with a goal of bringing the
promising therapy to a
patient population which has
seen little improvement in
their standard of care. The
Company is located in
Delaware.</t>
  </si>
  <si>
    <t xml:space="preserve">Ferring International Center SA and Blackstone Group Inc named FerGene LLC
potentially commercialize nadofaragene firadenovec in the US and to advance
the global clinical development. The Joint Venture was to have a estimated
investment of USD 570 mil.</t>
  </si>
  <si>
    <t xml:space="preserve">The Joint Venture was to have a estimated investment of USD 570 mil.</t>
  </si>
  <si>
    <t xml:space="preserve">8J6455</t>
  </si>
  <si>
    <t xml:space="preserve">31531V
09260D</t>
  </si>
  <si>
    <t xml:space="preserve">Enochian Biosciences Inc
G-Tech Bio LLC</t>
  </si>
  <si>
    <t xml:space="preserve">Enochian Biosciences Inc is
a manufacturer of
pharmaceutical preparation.
The Company was founded in
January 2011 and is located
in Los Angeles, California.
G-Tech Bio LLC is a
manufacturer of biological
products. The Company is
located in Delaware.</t>
  </si>
  <si>
    <t xml:space="preserve">ENOCHIAN BIOSCIENCES INC/G-TECH BIO LLC-STRATEGIC ALLIANCE</t>
  </si>
  <si>
    <t xml:space="preserve">Enochian Biosciences Inc and G-Tech Bio LLC formed a strategic alliance in
United States to enter into licensing agreement to acquire an exclusive,
license for a treatment under development aimed to treat the Hepatitis B
Virus (HBV) infections from G-Tech Bio LLC.</t>
  </si>
  <si>
    <t xml:space="preserve">236078
8J6672</t>
  </si>
  <si>
    <t xml:space="preserve">Novoheart Holdings Inc
AstraZeneca PLC</t>
  </si>
  <si>
    <t xml:space="preserve">Novoheart Holdings Inc is a
Canada-based holding
company. The Company,
through its subsidiary,
provides, discovers and
develops heart therapeutics.
Novoheart's scientific team
has pioneered a range of
bioengineering technologies
collectively known as the
MyHeart platform, including
first human mini-heart
novoHeart that is capable of
fully capable of pumping and
ejecting fluid. It is
currently partnering with a
pharmaceutical company to
develop human heart tissues
and chambers that carry a
hereditary neurodegenerative
disease. It is anticipated
that the pharmaceutical
company will be able to use
the developed pathological
tissues as a unique drug
discovery and drug screening
platform for effective
therapies targeting the
heart-associated issues of
this specific disease.
Novoheart is currently
completing the build out a
large commercial laboratory
in Asia to enable it to
service additional potential
commercial partnerships,
which are under discussion.
AstraZeneca PLC, located in
Cambridge, Cambridgeshire,
manufactures and wholesales
pharmaceutical products. The
Company offers products for
the treatment of
cardiovascular, central
nervous system,
gastrointestinal,
infectious, oncology, and
respiratory diseases. It
also offers medical devices
and implants for use in
healthcare, primarily in
urology but also in
odontology, diagnostic
radiology and surgery with
brand names as Atacand,
Crestor, Entocort, Losec,
Merrem, Carbocaine,
Citanest, Arimidex, Iressa,
Accolate, and Bricanyl. It
has operations in over 100
countries, including China,
Mexico, Brazil and Russia.
It is also a holding
company. The Company was
founded on April 6, 1999.</t>
  </si>
  <si>
    <t xml:space="preserve">NOVOHEART HOLDINGS INC/ASTRAZENECA PLC-JOINT VENTURE</t>
  </si>
  <si>
    <t xml:space="preserve">Novoheart Holdings Inc and AstraZeneca PLC planned to form a joint venture
in Canada to develop the worlds first human-specific in vitro functional
model of heart failure with preserved ejection fraction.</t>
  </si>
  <si>
    <t xml:space="preserve">67011V
046353</t>
  </si>
  <si>
    <t xml:space="preserve">N Carolina State Univ
Hoth Therapeutics Inc</t>
  </si>
  <si>
    <t xml:space="preserve">North Carolina State
University is a college
operator. The Company was
founded in March 1887 and is
located in Raleigh, North
Carolina.
Hoth Therapeutics Inc is a
manufacturer of biological
products. The Company offers
therapies for patients
suffering atopic dermatitis
and other diseases. The
Company serves patients in
the United States. The
Company was founded in 2017
and is located in New York
City, New York.</t>
  </si>
  <si>
    <t xml:space="preserve">NORTH CAROLINA STATE UNIVERSITY/HOTH THERAPEUTICS INC-STRATEGIC ALLIANCE</t>
  </si>
  <si>
    <t xml:space="preserve">North Carolina State University and Hoth Therapeutics Inc formed a
strategic alliance to study NC State's Exon Skipping Approach for Treating
Allergic Diseases.</t>
  </si>
  <si>
    <t xml:space="preserve">Licensing Services
Health &amp; Medical Services
Educational Services
Research &amp; Development Services</t>
  </si>
  <si>
    <t xml:space="preserve">653289
44148G</t>
  </si>
  <si>
    <t xml:space="preserve">DiNAQOR AG
Lonza Group AG</t>
  </si>
  <si>
    <t xml:space="preserve">Offices Of All Other Miscellaneous Health Practitioners
Biopharmaceutical company</t>
  </si>
  <si>
    <t xml:space="preserve">DiNAQOR AG is a health
practitioner office
operator. The Company was
founded in April 2019 and is
located in Pfaeffikon,
Switzerland.
Lonza Group AG, located in
Basel, Switzerland, is a
biopharmaceutical company
that manufactures and
develops active ingredients,
peptides, amino acids and
other chemical and biotech
ingredients for the
nutrition, hygiene,
preservation, agro and
personal care markets. It
has market offerings in the
field industry of bio
research, pharmaceutical and
biotech, consumer care,
water treatment, wood
protection, agro ingredients
and coatings and composites.
The Company was founded in
1897.</t>
  </si>
  <si>
    <t xml:space="preserve">DINAQOR AG/LONZA GROUP AG-STRATEGIC ALLIANCE</t>
  </si>
  <si>
    <t xml:space="preserve">Swaziland</t>
  </si>
  <si>
    <t xml:space="preserve">Dinaqor AG and Lonza Group AG formed a strategic alliance to advance
DiNAQOR's preclinical programs for the treatment of cardiac myosin-binding
protein-C (MYBPC3) cardiomyopathies, a genetic condition that can result in
heart failure.</t>
  </si>
  <si>
    <t xml:space="preserve">8J5187
54338V</t>
  </si>
  <si>
    <t xml:space="preserve">Hysab Kytab
Telenor Pakistan Pvt Ltd</t>
  </si>
  <si>
    <t xml:space="preserve">Computer and Office Machine Repair and Maintenance
Provide telecommunication services</t>
  </si>
  <si>
    <t xml:space="preserve">Hysab Kytab is a provider of
computer and office machine
repair and maintenance
services. The Company was
founded in 2017 and is
located in Pakistan.
Telenor Pakistan Pvt Ltd is
a wired telecommunications
carrier. The Company was
founded in March 2005 and is
located in Islamabad,
Pakistan.</t>
  </si>
  <si>
    <t xml:space="preserve">7378
4812</t>
  </si>
  <si>
    <t xml:space="preserve">Hysab Kytab
Telenor ASA</t>
  </si>
  <si>
    <t xml:space="preserve">Pakistan
Norway</t>
  </si>
  <si>
    <t xml:space="preserve">HYSAB KYTAB/TELENOR PAKISTAN PVT LTD-STRATEGIC ALLIANCE</t>
  </si>
  <si>
    <t xml:space="preserve">Hysab Kytab and Telenor Pakistan Pvt Ltd formed a strategic alliance in
Pakistan to personalize consumer experience.</t>
  </si>
  <si>
    <t xml:space="preserve">8J4830
86640C</t>
  </si>
  <si>
    <t xml:space="preserve">Wuxi Atu Co Ltd
Genemedicine Co Ltd</t>
  </si>
  <si>
    <t xml:space="preserve">Biological Product (Except Diagnostic) Manufacturing
Surgical and Medical Instrument Manufacturing</t>
  </si>
  <si>
    <t xml:space="preserve">Wuxi Atu Co Ltd is a
manufacturer of biological
products. The Company was
founded in September 2017
and is located in Wuxi,
China.
Genemedicine Co Ltd is a
manufacturer of medical
instruments. The Company is
located in Seoul, South
Korea.</t>
  </si>
  <si>
    <t xml:space="preserve">WuXi AppTec Co Ltd
Genemedicine Co Ltd</t>
  </si>
  <si>
    <t xml:space="preserve">WUXI ATU CO LTD/GENEMEDICINE CO LTD-STRATEGIC ALLIANCE</t>
  </si>
  <si>
    <t xml:space="preserve">Wuxi Atu Co Ltd and Genemedicine Co Ltd formed a strategic alliance for the
development and manufacturing of oncolytic virus products.</t>
  </si>
  <si>
    <t xml:space="preserve">8J5171
3J3841</t>
  </si>
  <si>
    <t xml:space="preserve">Premium Card
Sarwa Capital Hldg For Finl</t>
  </si>
  <si>
    <t xml:space="preserve">Premium Card is a credit
card issuer. The company is
the first truly guaranteed
interest-free and bank-free
instalment card in Egypt.
With Premium Card,
cardholders can buy now and
pay later over 10 monthly
instalments at an
unprecedented 0% interest
rate.The Company is
located in Giza, Egypt.
Sarwa Capital Holding For
Financial Investments SAE is
a provider of financial
investment services. The
Company was founded in 2001
and is located in Cairo,
Egypt.</t>
  </si>
  <si>
    <t xml:space="preserve">8742
6282</t>
  </si>
  <si>
    <t xml:space="preserve">Egypt
Egypt</t>
  </si>
  <si>
    <t xml:space="preserve">PREMIUM CARD/SARWA CAPITAL HOLDING FOR FINANCIAL INVESTMENTS SAE-JOINT
VENTURE</t>
  </si>
  <si>
    <t xml:space="preserve">Premium Card and Sarwa Capital Holding For Financial Investments SAE
planned to form a 50:50 joint venture to offer an innovative consumer
finance product in Egypt.</t>
  </si>
  <si>
    <t xml:space="preserve">9J0118
0C6942</t>
  </si>
  <si>
    <t xml:space="preserve">Blackstone Minerals Ltd
Ecopro Bm Co Ltd</t>
  </si>
  <si>
    <t xml:space="preserve">Gold Ore Mining
Storage Battery Manufacturing</t>
  </si>
  <si>
    <t xml:space="preserve">Blackstone Minerals Ltd,
located in Perth, Australia,
is a gold ore mine operator.
The Company intends to hold
an interest in various
projects located in Western
Australia, such as Red Gate
Project, Middle Creek
Project and Silver Swan
South Project. The Red Gate
Project consists of a
granted exploration license
(E 31/1096), which covers an
area of approximately 145.2
square kilometers. The Red
Gate Project is located
approximately 10 kilometers
north of the Porphyry Gold
Mine, over 140 kilometers
northeast of Kalgoorlie. The
Middle Creek Project,
located in the Pilbara
region of Western Australia,
consists of approximately 21
prospecting license
applications covering over
39.6 square kilometers
within the Mosquito Creek
Belt. The Silver Swan South
Project comprises an
exploration license
application (E27/545) and
six granted prospecting
licenses. The Silver Swan
South Project is along trend
of the nickel sulfide Silver
Swan Deposit. The Company
was founded in August 2016.
Ecopro Bm Co Ltd is a
manufacturer and wholesaler
of storage batteries. The
Company was founded in May
2016 and is located in
Cheongju, South Korea.</t>
  </si>
  <si>
    <t xml:space="preserve">1041
3691</t>
  </si>
  <si>
    <t xml:space="preserve">Australia
South Korea</t>
  </si>
  <si>
    <t xml:space="preserve">Blackstone Minerals Ltd
Ecopro Co Ltd</t>
  </si>
  <si>
    <t xml:space="preserve">1041
3679</t>
  </si>
  <si>
    <t xml:space="preserve">BLACKSTONE MINERALS LTD/ECOPRO BM CO LTD-JOINT VENTURE</t>
  </si>
  <si>
    <t xml:space="preserve">Blackstone Minerals Ltd and Ecopro BM Co Ltd planned to form joint venture
in Vietnam to develop nickel, cobalt or other minerals for battery
manufacturing and to deliver the critical raw materials required for
Ecopro's cathode manufacturing process and meet the ever-increasing demand
for high-nickel content cathodes driven by the imminent electric vehicle
(EV) revolution.</t>
  </si>
  <si>
    <t xml:space="preserve">0F4286
0J8387</t>
  </si>
  <si>
    <t xml:space="preserve">Cmab Biopharma (Suzhou) Inc
Shenzhen Fapon Biopharma Inc</t>
  </si>
  <si>
    <t xml:space="preserve">CMAB BioPharma (Suzhou)
Inc., formerly Suqiao
Pharmaceutical (Suzhou) Co.,
Ltd., is a China-based
company principally engaged
in the provision of one-stop
services for
biopharmaceutical production
outsourcing. The Company is
capable of provide range of
services from cell line
establishment, process
development, test methods to
domestic and foreign
declarations.
Shenzhen Fapon Biopharma Inc
is a manufacturer of
biological products. The
Company is located in
Dongguan, China.</t>
  </si>
  <si>
    <t xml:space="preserve">CMAB BIOPHARMA (SUZHOU) INC/SHENZHEN FAPON BIOPHARMA INC-STRATEGIC
ALLIANCE</t>
  </si>
  <si>
    <t xml:space="preserve">Cmab Biopharma (Suzhou) Inc and Shenzhen Fapon Biopharma Inc planned to
form a strategic alliance in China for the development and manufacturing of
an undisclosed biologic drug project.</t>
  </si>
  <si>
    <t xml:space="preserve">6J1427
8J7153</t>
  </si>
  <si>
    <t xml:space="preserve">Kishi Kasei Co Ltd
Gene Techno Science Co Ltd</t>
  </si>
  <si>
    <t xml:space="preserve">Spice and Extract Manufacturing
Research and Development in Biotechnology</t>
  </si>
  <si>
    <t xml:space="preserve">Kishi Kasei Co Ltd is a
manufacturer of spices and
extracts. The company is
located in Japan.
Gene Techno Science Co Ltd,
located in Chuo-Ku Tokyo,
Japan, is mainly engaged in
engaged in the development
of biopharmaceuticals
including biosimilars and
new drugs. The Biosimilars
segment develops biosimilars
of equal or superior quality
to existing
biopharmaceuticals with
patents expired, and
conducts the nonclinical
studies. It builds in-house
or introduces from others
the cells that produce the
drug substances of
biopharmaceuticals. Its
primary product is
granulocyte colony
stimulating factor (G-CSF),
which promotes the
differentiation and growth
of neutrophils, one of the
white blood cells, and
increases neutrophils
function. The New
Biopharmaceuticals segment
is engaged in the research
and development of new
biopharmaceuticals,
cooperating with
universities and research
institutions. It primary
product is anti-9 integrin
antibody, which inhibits the
binding of 9 integrin and
osteopontin. The Company was
founded in 2001.</t>
  </si>
  <si>
    <t xml:space="preserve">KISHI KASEI CO LTD/GENE TECHNO SCIENCE CO LTD-STRATEGIC ALLIANCE</t>
  </si>
  <si>
    <t xml:space="preserve">Kishi Kasei Co Ltd and Gene Techno Science Co Ltd planned to form a
strategic alliance for the development and commercialization of Aflibercept
Biosimilars.</t>
  </si>
  <si>
    <t xml:space="preserve">5E4179
J1770Q</t>
  </si>
  <si>
    <t xml:space="preserve">Lumosa Therapeutics Co Ltd
Jemincare Grp Co Ltd</t>
  </si>
  <si>
    <t xml:space="preserve">Lumosa Therapeutics Co Ltd
is a manufacturer of
pharmaceutical preparation.
The Company was founded in
November 2000 and is located
in Taipei, Taiwan.
Jemincare Group Co Ltd is a
manufacturer of
pharmaceutical preparation.
The Company is located in
Nanchang, China.</t>
  </si>
  <si>
    <t xml:space="preserve">LUMOSA THERAPEUTICS CO LTD/JEMINCARE GROUP CO LTD-STRATEGIC ALLIANCE</t>
  </si>
  <si>
    <t xml:space="preserve">Lumosa Therapeutics Co Ltd and Jemincare Group Co Ltd formed a strategic
alliance. The purpose of strategic alliance was for the exclusive
development and commercialization rights for LT1001 ('Product') in China
(including Hong Kong and Macau; 'Territory').</t>
  </si>
  <si>
    <t xml:space="preserve">5E3198
8J6817</t>
  </si>
  <si>
    <t xml:space="preserve">Lalique Group SA
Brioni Roman Style SpA</t>
  </si>
  <si>
    <t xml:space="preserve">Toilet Preparation Manufacturing
Manufacture,retail clothings</t>
  </si>
  <si>
    <t xml:space="preserve">Lalique Group SA, located in
Zurich, Switzerland,
manufactures and wholesales
perfumes and cosmetics. It
designs and develops new
fragrances, acquires and
manages brands and license
rights in the perfume and
cosmetics area, and
distributes its own
products. The Company also
specializes in crystal and
jewelry. Its brands include
Lalique, Parfums Gres,
Parfums Alain Delon, Jaguar
Fragrances and Ultrasun. In
addition, it offers private
labeling services, which
enable its customers to
arrange fragrances and
cosmetics with individual
logotypes. The production of
fragrances and cosmetics is
carried out by external
partners, and marketing and
sales activities are
conducted by independent
distribution partner. The
Company operates through a
sales network, as well as
through subsidiaries in
Europe and Asia, among
others. It was founded in
2000.
Brioni Roman Style SpA,
located in Penne, Italy,
manufacture and retail men's
and women's clothing. The
company was founded in 1945.</t>
  </si>
  <si>
    <t xml:space="preserve">2844
2389</t>
  </si>
  <si>
    <t xml:space="preserve">Lalique Group SA
Kering SA</t>
  </si>
  <si>
    <t xml:space="preserve">2844
5651</t>
  </si>
  <si>
    <t xml:space="preserve">LALIQUE GROUP SA/BRIONI ROMAN STYLE SPA-STRATEGIC ALLIANCE</t>
  </si>
  <si>
    <t xml:space="preserve">Lalique Group SA and Brioni Roman Style SpA formed a strategic alliance to
create and distribute perfumes for the mens wear brand.</t>
  </si>
  <si>
    <t xml:space="preserve">1H2402
10971N</t>
  </si>
  <si>
    <t xml:space="preserve">Absolute Antibody Ltd
Recombinant Antibody Network</t>
  </si>
  <si>
    <t xml:space="preserve">Wholesaler of reagents
Biological Product (Except Diagnostic) Manufacturing</t>
  </si>
  <si>
    <t xml:space="preserve">Absolute Antibody Ltd is a
drugs wholesaler. The
Company is located in
Oxford, the United Kingdom.
Recombinant Antibody Network
is a manufacturer of
biological products. The
Company is located in
Delaware.</t>
  </si>
  <si>
    <t xml:space="preserve">ABSOLUTE ANTIBODY LTD/RECOMBINANT ANTIBODY NETWORK-STRATEGIC ALLIANCE</t>
  </si>
  <si>
    <t xml:space="preserve">Absolute Antibody Ltd and Recombinant Antibody Network formed a strategic
alliance to select recombinant antibodies made by the Recombinant Antibody
Network will be engineered into new formats and made available to a wider
scientific audience via Absolute Antibody's online reagents catalog.</t>
  </si>
  <si>
    <t xml:space="preserve">2H2089
8J8330</t>
  </si>
  <si>
    <t xml:space="preserve">Atlas Biotechnologies Inc
University of Alberta</t>
  </si>
  <si>
    <t xml:space="preserve">Atlas Biotechnologies Inc,
located in Edmonton, Canada,
is a provider of
biotechnology research and
development services. The
Company was founded in
January 2017.
University of Alberta is a
college operator. The
Company was founded in 1908
and is located in Edmonton
Alberta, Canada.</t>
  </si>
  <si>
    <t xml:space="preserve">ATLAS BIOTECHNOLOGIES INC/UNIVERSITY OF ALBERTA-STRATEGIC ALLIANCE</t>
  </si>
  <si>
    <t xml:space="preserve">Atlas Biotechnologies Inc and University of Alberta planned to form a
strategic alliance in Canada for research on the use of cannabis in
treating three ailments.</t>
  </si>
  <si>
    <t xml:space="preserve">5H6496
01063A</t>
  </si>
  <si>
    <t xml:space="preserve">Catalent Inc
Ethicann Pharmaceuticals Inc</t>
  </si>
  <si>
    <t xml:space="preserve">Manufactures solutions for drugs
Pharmaceutical Preparation Manufacturing</t>
  </si>
  <si>
    <t xml:space="preserve">Catalent Inc, located in
Somerset, New Jersey,
manufactures and develop
solutions for drugs,
biologics and consumer
health products. It provides
delivery technologies and
development solutions for
drugs, biologics, and
consumer and animal health
products. Its segments
include Softgel
Technologies, Drug Delivery
Solutions and Clinical
Supply Services. The Softgel
Technologies segment is
engaged in the formulation,
development and
manufacturing of
prescription and consumer
health soft capsules or
softgels. The Drug Delivery
Solutions segment is engaged
in the formulation,
and animal health products;
blow-fill seal unit dose
manufacturing; biologic cell
line development; analytical
and bioanalytical
development, and testing
services. The Clinical
Supply Services segment is
engaged in manufacturing,
packaging, labeling,
storage, distribution and
inventory management for
clinical trials of drugs and
biologics for patient kits;
FastChain clinical supply
service; clinical
e-solutions and informatics,
and global comparator
sourcing services. The
Company was founded in 2007.
Ethicann Pharmaceuticals Inc
is a manufacturer of
pharmaceutical preparation.
The Company was founded in
April 2018 and is located in
Toronto, Canada.</t>
  </si>
  <si>
    <t xml:space="preserve">CATALENT INC/ETHICANN PHARMACEUTICALS INC-STRATEGIC ALLIANCE</t>
  </si>
  <si>
    <t xml:space="preserve">Catalent Inc and Ethicann Pharmaceuticals Inc formed a strategic alliance
was to focus on using Catalent's proven Zydis orally disintegrating tablet
technology to develop a new combination pharmaceutical-grade cannabidiol
(CBD) and tetrahydrocannabinol (THC) product that, if approved, would treat
patients suffering from multiple sclerosis (MS) spasticity.</t>
  </si>
  <si>
    <t xml:space="preserve">148806
3J7291</t>
  </si>
  <si>
    <t xml:space="preserve">Maxcyte Inc
KSQ Therapeutics Inc</t>
  </si>
  <si>
    <t xml:space="preserve">MaxCyte Inc, located in
Rockville, Maryland, USA, is
a manufacturer of biological
products.
KSQ Therapeutics Inc is a
manufacturer of biological
products. The Company
engaged in drug development.
The Company is developing a
genome-scale precision
functional genomics
platform, CRISPRomics.
CRISPRomics pinpoint
therapeutic nodes that
directly correlate genomic
function to disease with
certainty and speed. Its
focused therapeutic areas
include oncology and
immune-oncology. The Company
is advancing a proprietary
pipeline of tumor and
immune-focused drug
candidates. The Company was
founded in 2015 and is
located in Cambridge,
Massachusetts.</t>
  </si>
  <si>
    <t xml:space="preserve">MAXCYTE INC/KSQ THERAPEUTICS INC-STRATEGIC ALLIANCE</t>
  </si>
  <si>
    <t xml:space="preserve">MaxCyte Inc and KSQ Therapeutics Inc formed a strategic alliance in United
States to enter into licensing agreement for the development and
commercialization of enabling the advancement of KSQ's adoptive cell
therapy programs.</t>
  </si>
  <si>
    <t xml:space="preserve">57777K
7J6565</t>
  </si>
  <si>
    <t xml:space="preserve">Kyriba Corp
Assay Depot Inc</t>
  </si>
  <si>
    <t xml:space="preserve">Provide Treasury solutions services
Research and Development in The Physical, Engineering and Lifesciences (Except Biotechnology)</t>
  </si>
  <si>
    <t xml:space="preserve">Kyriba Corp, headquartered
in New York, New York,
provides treasury solutions
services delivered under the
Software as a Service (SaaS)
model. The Company serves a
global client base of more
than 130 corporate
treasuries, insurance
companies and financial
stitutions. It has offices
in San Diego, Rio de
Janeiro, Paris, London,
Amsterdam, Dubai, Singapore,
Tokyo, Hong Kong and
Shanghai. The Company was
founded in 2000.
Assay Depot Inc, located in
Solana Beach, California, is
a provider of research and
development services.</t>
  </si>
  <si>
    <t xml:space="preserve">7372
8733</t>
  </si>
  <si>
    <t xml:space="preserve">Bridgepoint Advisers Group Ltd
Assay Depot Inc</t>
  </si>
  <si>
    <t xml:space="preserve">6799
8733</t>
  </si>
  <si>
    <t xml:space="preserve">KYRIBA CORP/ASSAY DEPOT INC-STRATEGIC ALLIANCE</t>
  </si>
  <si>
    <t xml:space="preserve">Kyriba Corp and Assay Depot Inc formed a strategic alliance to the creation
of SciPay, an early payment platform for suppliers of pharmaceutical R&amp;D
services.</t>
  </si>
  <si>
    <t xml:space="preserve">Research &amp; Development Services
Accounting Services</t>
  </si>
  <si>
    <t xml:space="preserve">48431R
8F8484</t>
  </si>
  <si>
    <t xml:space="preserve">Lift &amp; Co Corp
Enlighten Technologies Inc</t>
  </si>
  <si>
    <t xml:space="preserve">Data Processing, Hosting, and Related Services
Other Scientific and Technical Consulting Services</t>
  </si>
  <si>
    <t xml:space="preserve">Lift &amp; Co Corp, located in
Toronto, Ontario, is a
provider of data processing
and hosting services. The
Company was founded in
February 2017.
Enlighten Technologies Inc
is a provider of technical
consulting services. The
Company was founded in 1970
and is located in Kentucky.</t>
  </si>
  <si>
    <t xml:space="preserve">7374
0781</t>
  </si>
  <si>
    <t xml:space="preserve">LIFT &amp; CO CORP/ENLIGHTEN TECHNOLOGIES INC-STRATEGIC ALLIANCE</t>
  </si>
  <si>
    <t xml:space="preserve">Lift Co Corp and Enlighten Technologies Inc planned to form a strategic
alliance in United States to expedite the development of Lift &amp; Co.'s US
product listings site.</t>
  </si>
  <si>
    <t xml:space="preserve">7H1406
1J2435</t>
  </si>
  <si>
    <t xml:space="preserve">Dynavax Technologies Corp
Albertsons Cos Inc</t>
  </si>
  <si>
    <t xml:space="preserve">Mnfr,whl pharm prod
Retails food and drug products</t>
  </si>
  <si>
    <t xml:space="preserve">Dynavax Technologies Corp,
located in Emeryville,
California, manufactures,
develops and wholesales
pharmaceutical products to
treat and prevent allergies,
infectious diseases, cancer
and chronic inflammatory
diseases using proprietary
approaches that alter immune
system responses. The
Company was founded in 1996.
Albertsons Cos Inc,
headquartered in Boise,
Idaho, is a food and drug
retailer. It offers grocery
products, general
merchandise, health and
beauty care products,
pharmacy, fuel, and other
items and services. It has
2,252 stores across 35
states and the District of
Columbia under 20 banners,
including Albertsons,
Safeway, Vons, Jewel-Osco,
Shaws, Acme, Tom Thumb,
Randalls, United
Supermarkets, Pavilions,
Star Market, Carrs and
Haggen. The Company was
founded in 2015.</t>
  </si>
  <si>
    <t xml:space="preserve">2834
5411</t>
  </si>
  <si>
    <t xml:space="preserve">CA
ID</t>
  </si>
  <si>
    <t xml:space="preserve">Dynavax Technologies Corp
Albertsons Inv Hldg LLC</t>
  </si>
  <si>
    <t xml:space="preserve">DYNAVAX TECHNOLOGIES CORP/ALBERTSONS COMPANIES INC-STRATEGIC ALLIANCE</t>
  </si>
  <si>
    <t xml:space="preserve">Dynavax Technologies Corp and Albertsons Companies Inc formed a strategic
alliance to provide HEPLISAV-B at Albertsons Companies more than 1,700
pharmacies nationwide, with a special focus on people living with
diabetes.</t>
  </si>
  <si>
    <t xml:space="preserve">268158
013091</t>
  </si>
  <si>
    <t xml:space="preserve">Oboya Horticulture Industries
Aureum Life Ab</t>
  </si>
  <si>
    <t xml:space="preserve">Floriculture Production
Medicinal and Botanical Manufacturing</t>
  </si>
  <si>
    <t xml:space="preserve">Oboya Horticulture
Industries AB is a
floriculture production
establishment. The Company
is located in Stenkullen,
Sweden. It manufactures
daily disposable products
for floral, herbal,
vegetable cultivators and
logistic companies.
Aureum Life AB is a
manufacturer of medicinals
and botanicals. The Company
is located in Stockholm,
Sweden.</t>
  </si>
  <si>
    <t xml:space="preserve">0181
2833</t>
  </si>
  <si>
    <t xml:space="preserve">Oboya Holding HK Ltd
Aureum Life Ab</t>
  </si>
  <si>
    <t xml:space="preserve">Hong Kong
Sweden</t>
  </si>
  <si>
    <t xml:space="preserve">OBOYA HORTICULTURE INDUSTRIES AB/AUREUM LIFE AB-JOINT VENTURE</t>
  </si>
  <si>
    <t xml:space="preserve">Oboya Horticulture Industries AB and Aureum Life AB planned to form joint
venture named Aureum Green Thumps AB to become a total supplier to Aureum
by offering a comprehensive solution for Aureum's future development of
cultivation facilities around the world.</t>
  </si>
  <si>
    <t xml:space="preserve">2C5404
0K7223</t>
  </si>
  <si>
    <t xml:space="preserve">Halo Labs Inc
OG DNA Genetics Inc</t>
  </si>
  <si>
    <t xml:space="preserve">Manufactures Medicinal and Botanical
Research and Development in The Physical, Engineering and Lifesciences (Except Biotechnology)</t>
  </si>
  <si>
    <t xml:space="preserve">Halo Labs Inc, located in
Toronto, Ontario,
manufactures cannabis
products. It cultivates
cannabis plants and utilizes
its technology to process
cannabis, extract oils and
manufacture concentrates.
Its products include flower,
pre-rolls, diamonds, sauce,
live resin cartridges and
clear shatter. The Company
was founded in May 25,1987.
OG DNA Genetics Inc, located
in San Diego, California,
provides research and
development services for
cannabis strains. The
Company was founded in 2018.</t>
  </si>
  <si>
    <t xml:space="preserve">HALO LABS INC/OG DNA GENETICS INC-STRATEGIC ALLIANCE</t>
  </si>
  <si>
    <t xml:space="preserve">Halo Labs Inc and OG DNA Genetics Inc formed a strategic alliance in United
States to exclusively develop its genetics in Oregon through breeding,
growing, phenotyping and processing.</t>
  </si>
  <si>
    <t xml:space="preserve">406372
8H8158</t>
  </si>
  <si>
    <t xml:space="preserve">Stagezero Life Sciences Ltd
Oncore Pharma Inc</t>
  </si>
  <si>
    <t xml:space="preserve">GeneNews Ltd, based in
Richmond Hill, Ontario, is a
biotechnology company. It is a
molecular diagnostics company
focused on developing and
commercializing proprietary
blood-based diagnostic tests
for early disease detection,
determining the stage of
disease and monitoring its
progression, treatment or
recurrence. It is focused on
commercializing molecular
diagnostic tests for early
detection of cancer. It has
developed Sentinel Principle
platform technology, which
determines biomarkers from
whole blood. In additional,
the Company offers ColonSentry
product, it is a blood test to
determine an individuals
current risk for having
colorectal cancer. It is
developing cancer testing kit
Aristotle, which is a
multi-cancer panel for
simultaneously screening for
10 cancers from a single
sample of blood. The Company
is also focused on testing
Aristotle application on other
disease conditions including
neurology, gastroenterology,
cardiology, and autoimmune
disorders. The Company was
founded in Ontario on 1998.
Oncore Pharma Inc is a
manufacturer of
pharmaceutical preparation.
The Company is a catalyst
for research, development
and commercialization of
innovative products for the
diagnosis, care and cure of
early stage cancer patient
by distributing ColonSentry,
StageZero Life Sciences'
advanced blood-based
molecular diagnostic assay
for the early detection of
ColoRectal Cancer. The
Company was founded in
November 2016 and is located
in Cambridge, Massachusetts.</t>
  </si>
  <si>
    <t xml:space="preserve">STAGEZERO LIFE SCIENCES LTD/ONCORE PHARMA INC-STRATEGIC ALLIANCE</t>
  </si>
  <si>
    <t xml:space="preserve">Stagezero Life Sciences Ltd and Oncore Pharma Inc formed a strategic
alliance was to commercializing ColonSentry under the exclusive 5-year
licensing agreement, will now add BreastSentry and the Prostate Health
Index to its offering.</t>
  </si>
  <si>
    <t xml:space="preserve">852540
7J5230</t>
  </si>
  <si>
    <t xml:space="preserve">INEOS Styrolution Group GmbH
Agilyx Corp</t>
  </si>
  <si>
    <t xml:space="preserve">Manufactures styrenics
Industrial Gas Manufacturing</t>
  </si>
  <si>
    <t xml:space="preserve">INEOS Styrolution Group
GmbH, located in Frankfurt,
Germany, manufactures
styrenics. It has a focus on
styrene monomer,
polystyrene, ABS Standard
and styrenic specialties. It
offers styrenic applications
for Automotive, Electronics,
Household, Construction,
Healthcare, Packaging and
Toys/ Sports/ Leisure
markets. The Company was
founded in October 2011.
Agilyx Corp is a
manufacturer of industrial
gas. The Company was founded
in August 2004 and is
located in Tigard, Oregon.</t>
  </si>
  <si>
    <t xml:space="preserve">2865
2813</t>
  </si>
  <si>
    <t xml:space="preserve">INEOS Group AG
Agilyx Corp</t>
  </si>
  <si>
    <t xml:space="preserve">INEOS STYROLUTION GROUP GMBH/AGILYX CORP-STRATEGIC ALLIANCE</t>
  </si>
  <si>
    <t xml:space="preserve">Ineos Styrolution Group GMBH and Agilyx Corp formed a strategic alliance to
leverage Agilyxs proprietary chemical recycling technology, which breaks
polystyrene down to its molecular base monomers that will be used for the
creation of new styrenic polymers.</t>
  </si>
  <si>
    <t xml:space="preserve">Research &amp; Development Services
Recycling Services</t>
  </si>
  <si>
    <t xml:space="preserve">9E9016
7F3254</t>
  </si>
  <si>
    <t xml:space="preserve">Charles River Labs Intl Inc
Bit Bio Ltd</t>
  </si>
  <si>
    <t xml:space="preserve">Charles River Laboratories
International Inc, located
in Wilmington,
Massachusetts, provides
biotechnology research and
development services. It
also has offices in North
America, Europe and Asia.
The Company was founded in
1947.
Bit Bio Ltd is a
manufacturer of biological
products. The Company is
located in Cambridge, the
United Kingdom.</t>
  </si>
  <si>
    <t xml:space="preserve">CHARLES RIVER LABORATORIES INTERNATIONAL INC/BIT BIO LTD-STRATEGIC
ALLIANCE</t>
  </si>
  <si>
    <t xml:space="preserve">Charles River Laboratories International Inc and Bit Bio Ltd formed a
strategic alliance to leverage Bit Bios unique ability to generate
authentic human cells at scale.</t>
  </si>
  <si>
    <t xml:space="preserve">159864
8J8646</t>
  </si>
  <si>
    <t xml:space="preserve">Eurofins Scientific Inc
Medicinal Genomics BV</t>
  </si>
  <si>
    <t xml:space="preserve">Pvd lab testing,support svcs
Provide genomic services</t>
  </si>
  <si>
    <t xml:space="preserve">Eurofins Scientific Inc
provides laboratory testing
and support services. The
company is headquartered in
Des Moines, Iowa and has
locations in North Carolina,
California, Georgia, Florida,
Michigan, South Carolina,
Louisiana, Virginia, Colorado,
and Alabama. It focuses on
testing and support services
to the pharmaceutical, food,
environmental and consumer
products industries and to
government units.
Medicinal Genomics BV,
located in Amsterdam, the
Netherlands, provides
genomic services. It decoded
the Cannabis Genome.</t>
  </si>
  <si>
    <t xml:space="preserve">Eurofins Scientific SE
Courtagen Life Sciences Inc</t>
  </si>
  <si>
    <t xml:space="preserve">EUROFINS SCIENTIFIC INC/MEDICINAL GENOMICS BV-STRATEGIC ALLIANCE</t>
  </si>
  <si>
    <t xml:space="preserve">Eurofins Scientific Inc and Medicinal Genomics BV planned to form a
strategic alliance to improve agricultural productivity, safety, and
transparency of cannabis, to introduce a next generation high-density SNP
chip for cannabis and hemp genotyping, breeding, and pathogen testing.</t>
  </si>
  <si>
    <t xml:space="preserve">30008L
58763Z</t>
  </si>
  <si>
    <t xml:space="preserve">Landrace Bioscience Inc
Abacus Health Products Inc</t>
  </si>
  <si>
    <t xml:space="preserve">Research and Development in Biotechnology
Drugs and Druggists' Sundries Merchant Wholesalers</t>
  </si>
  <si>
    <t xml:space="preserve">Landrace Bioscience Inc is a
provider of biotechnology
research and development
services. The Company is
located in Chattanooga,
Tennessee.
Abacus Health Products Inc,
located in Toronto, Canada,
is a drugs wholesaler
offering a range of cannabis
products such as oils,
lotions, and supplements.
The Company was founded in
2014.</t>
  </si>
  <si>
    <t xml:space="preserve">LANDRACE BIOSCIENCE INC/ABACUS HEALTH PRODUCTS INC-STRATEGIC ALLIANCE</t>
  </si>
  <si>
    <t xml:space="preserve">Landrace Bioscience Inc and Abacus Health Products Inc formed a strategic
alliance to begin supplying hemp extracts for Abacus' leading
over-the-counter, non-prescription topical brands, CBDMEDIC and CBDCLINIC.</t>
  </si>
  <si>
    <t xml:space="preserve">8J8697
0J3069</t>
  </si>
  <si>
    <t xml:space="preserve">Quanergy Systems Inc
Geely Automobile Holdings Ltd</t>
  </si>
  <si>
    <t xml:space="preserve">Quanergy Systems Inc is a
manufacturer of search,
detection, navigation,
guidance, aeronautical and
nautical systems and
instruments. The Company was
founded in 2012 and is
located in Sunnyvale,
California.
Geely Automobile Holdings
Ltd is a manufacturer and
wholesaler of automobiles.
The Company is located in
Hong Kong. The Company
manufactures, develops,
wholesales, distributes and
markets motor vehicles, car
bodies, parts and
accessories. The company is
also involved n the
research, production,
marketing and sales of
sedans and related
automobile components</t>
  </si>
  <si>
    <t xml:space="preserve">QUANERGY SYSTEMS INC/GEELY AUTOMOBILE HOLDINGS LTD-STRATEGIC ALLIANCE</t>
  </si>
  <si>
    <t xml:space="preserve">Quanergy Systems Inc and Geely Automobile Holdings Ltd planned to form a
strategic alliance in United States to collaborate in developing and
commercializing solutions for the broad deployment of smart city and
autonomous vehicle systems.</t>
  </si>
  <si>
    <t xml:space="preserve">Research &amp; Development Services
Marketing Services
Automotive Services</t>
  </si>
  <si>
    <t xml:space="preserve">9C4654
36885R</t>
  </si>
  <si>
    <t xml:space="preserve">Dominion Energy Inc
Vanguard Renewables Inc</t>
  </si>
  <si>
    <t xml:space="preserve">Provides electric and gas utility services
Farm Management Services</t>
  </si>
  <si>
    <t xml:space="preserve">Dominion Energy Inc, located
in Richmond, Virginia,
provides electric and gas
utility services. It is a
holding company which also
serves as a developer of
residential real estate and
a provider of commercial and
mortgage lending services.
It specializes in investing
on regulated electric
generation, transmission,
distribution and regulated
electric transmission. It
also operates in two
segments namely regulated
electric fleet and merchant
electric fleet. The Company
was founded in 1983.
Vanguard Renewables Inc is a
provider of farm management
services. The Company is
located in Wellesley,
Massachusetts.</t>
  </si>
  <si>
    <t xml:space="preserve">4911
0762</t>
  </si>
  <si>
    <t xml:space="preserve">DOMINION ENERGY INC/VANGUARD RENEWABLES INC-STRATEGIC ALLIANCE</t>
  </si>
  <si>
    <t xml:space="preserve">Dominion Energy Inc and Vanguard Renewables Inc formed a strategic alliance
in United States to develop first nationwide network of dairy
waste-to-energy projects. The Strategic partnership will substantially
reduce greenhouse gas emissions from U.S. dairy farms, equivalent to taking
nearly 100,000 cars off the road or planting 7.5 million new trees each
year. The Strategic Alliance was to have a estimated investment of USD 200
mil.</t>
  </si>
  <si>
    <t xml:space="preserve">The Strategic Alliance was to have a estimated investment of USD 200 mil.</t>
  </si>
  <si>
    <t xml:space="preserve">25746U
9J1532</t>
  </si>
  <si>
    <t xml:space="preserve">Heritage Cannabis Hldg Corp
Brock University</t>
  </si>
  <si>
    <t xml:space="preserve">Heritage Cannabis Holdings
Corp, located in Vancouver,
British Columbia,
manufactures pharmaceutical
preparation focusing on
marijuana production. It
owns a 75-per-cent interest
in PhyeinMed Inc., a Health
Canada late-stage applicant
under the ACMPR (Access to
Cannabis for Medical
Purposes Regulations). The
Company was founded in
October 2007.
Brock University is a
college operator. The
Company is located in St.
Catharines, Canada.</t>
  </si>
  <si>
    <t xml:space="preserve">HERITAGE CANNABIS HOLDINGS CORP/BROCK UNIVERSITY-STRATEGIC ALLIANCE</t>
  </si>
  <si>
    <t xml:space="preserve">Heritage Cannabis Holdings Corp and Brock University formed a strategic
alliance to undertake research on cannabis tissue culture and contribute to
the advanced understanding of the medical benefits of cannabis.</t>
  </si>
  <si>
    <t xml:space="preserve">42727B
11165E</t>
  </si>
  <si>
    <t xml:space="preserve">Genedit Inc
Editas Medicine Inc</t>
  </si>
  <si>
    <t xml:space="preserve">GenEdit Inc. is a United
States-based biotechnology
company. The Company is
engaged in developing gene
therapies which enables next
generation of non-viral,
gene editing based
therapeutics. It provides an
platform which solves
delivery challenges by
systematically screening its
nanoparticle library and
providing safer and
efficient delivery to target
tissues.
Editas Medicine Inc, located
in Cambridge, Massachusetts,
is a provider of
biotechnology research and
development services. The
Company was founded in
September 3, 2013.</t>
  </si>
  <si>
    <t xml:space="preserve">GENEDIT INC/EDITAS MEDICINE INC-STRATEGIC ALLIANCE</t>
  </si>
  <si>
    <t xml:space="preserve">Genedit Inc and Editas Medicine Inc formed a strategic alliance for
nanoparticle gene therapy delivery.</t>
  </si>
  <si>
    <t xml:space="preserve">8J9531
28106W</t>
  </si>
  <si>
    <t xml:space="preserve">Forendo Pharma Ltd
Novartis AG</t>
  </si>
  <si>
    <t xml:space="preserve">Forendo Pharma Oy is a
Finland-based drug
development company,
specialized in tissue
specific hormone mechanisms.
The Companys solutions
comprise HSD17B1 inhibitor
program, a disease modifying
drug candidate for
endometriosis, and Dual HSD
inhibitor program, compounds
combining two mechanisms of
action for the treatment of
endometriosis.
Novartis AG, located in
Basel, Switzerland,
manufactures and wholesales
pharmaceuticals including
self-medications and
non-prescription drugs. It
also offers optical and
ophthalmic products
including contact lenses. It
operates in four key areas:
pharmaceuticals (innovative
patent-protected medicines),
vaccines and diagnostics
(vaccines and diagnostic
tools to protect against
life-threatening diseases),
sandoz (affordable, generic
medicines and biosimilars),
consumer health, and animal
health and CIBA vision. Its
main brands are Diovan,
Glivec, Zometa, Femara and
Lucentis. It operates in
over 140 countries
worldwide. The Company was
founded in December 1996.</t>
  </si>
  <si>
    <t xml:space="preserve">FORENDO PHARMA LTD/NOVARTIS AG-STRATEGIC ALLIANCE</t>
  </si>
  <si>
    <t xml:space="preserve">Forendo Pharma Ltd and Novartis AG formed a strategic alliance for the
identification of novel drugs for the treatment of chronic liver diseases.</t>
  </si>
  <si>
    <t xml:space="preserve">8J9532
66987V</t>
  </si>
  <si>
    <t xml:space="preserve">Amylgen
Neuron Experts</t>
  </si>
  <si>
    <t xml:space="preserve">Medicinal and Botanical Manufacturing
In-Vitro Diagnostic Substance Manufacturing</t>
  </si>
  <si>
    <t xml:space="preserve">Amylgen is a manufacturer of
medicinals and botanicals.
The Company was founded in
1970 and is located in
Montpellier, France.
Neuron Experts is a
manufacturer of in-vitro
diagnostic substances. The
Company is located in
Marseille, France.</t>
  </si>
  <si>
    <t xml:space="preserve">2833
2835</t>
  </si>
  <si>
    <t xml:space="preserve">AMYLGEN/NEURON EXPERTS-STRATEGIC ALLIANCE</t>
  </si>
  <si>
    <t xml:space="preserve">Amylgen and Neuron Experts formed a strategic alliance to combine Amylgen
and Neuron's respective in-vivo and in-vitro expertise to provide a new
offering for a rapid efficacy assessment of compounds in neurodegenerative
diseases.</t>
  </si>
  <si>
    <t xml:space="preserve">8J9064
8J9065</t>
  </si>
  <si>
    <t xml:space="preserve">Theranexus SA
Beyond Batten Disease</t>
  </si>
  <si>
    <t xml:space="preserve">Theranexus SAS is a
manufacturer of biological
products. The Company is
located in Lyon, France. It
is a biopharmaceutical
company that develops
products destined for the
treatment of central nervous
system. It manufactures
drugs for neurogical
disorders such as
narcolepsy, epilepsy,
Parkinson's and
Alzheimer's diseases,
neuropathic pain and
psychiatric disorders.
Beyond Batten Disease
Foundation is a provider of
research and development
services. The Company was
founded in August 2008 and
is located in Austin, Texas.</t>
  </si>
  <si>
    <t xml:space="preserve">THERANEXUS SA/BEYOND BATTEN DISEASE FOUNDATION-STRATEGIC ALLIANCE</t>
  </si>
  <si>
    <t xml:space="preserve">Theranexus SA and Beyond Batten Disease Foundation planned to form a
strategic alliance to develop and commercialize the drug candidate BBDF-101
for juvenile Batten disease.</t>
  </si>
  <si>
    <t xml:space="preserve">4C2455
9J0188</t>
  </si>
  <si>
    <t xml:space="preserve">Edgeverve Systems Ltd
IDEGO Ltd</t>
  </si>
  <si>
    <t xml:space="preserve">Edgeverve Systems Ltd is a
software publisher and
provider of Info Tech
Services. The Company was
founded in 2014 and is
located in Bengaluru, India.
IDEGO Ltd is a software
publisher. The Company is
allied to large global
technology providers
specialized in tools and
methodologies for Digital
Transformation, Process
Automation and Optimization,
Artificial Intelligence and
Machine Learning. With a
solid network of local and
regional partners and the
support of Valinvest, it is
one of the most important
investment funds and finance
consulting firms in the
country, guaranteeing trust
across the Latin American
corporate market. The
Company is located in Lima,
Peru.</t>
  </si>
  <si>
    <t xml:space="preserve">India
Peru</t>
  </si>
  <si>
    <t xml:space="preserve">Infosys Ltd
IDEGO Ltd</t>
  </si>
  <si>
    <t xml:space="preserve">7371
7376</t>
  </si>
  <si>
    <t xml:space="preserve">EDGEVERVE SYSTEMS LTD/IDEGO LTD-STRATEGIC ALLIANCE</t>
  </si>
  <si>
    <t xml:space="preserve">Edgeverve Systems Ltd and IDEGO Ltd planned to form a strategic alliance to
develop and deliver innovative tech products to their customers across
Latin America. Together, they will assist enterprises across telecom and
financial services to help improve enterprise-wide productivity and
efficiency.</t>
  </si>
  <si>
    <t xml:space="preserve">0C5713
9J2786</t>
  </si>
  <si>
    <t xml:space="preserve">China Renaissance Holdings Ltd
Aozora Bank Ltd</t>
  </si>
  <si>
    <t xml:space="preserve">Financial Sponsor
Bank (non-US)</t>
  </si>
  <si>
    <t xml:space="preserve">China Renaissance Holdings
Ltd is a financial sponsor.
The Company was founded in
2004 and is located in
Beijing, China.
Aozora Bank Ltd, located in
Tokyo, Japan, is a regional
bank that provides a range
of banking services. The
Bank operates in two
business divisions. The
Banking division is engaged
in the provision of banking
services, including deposit,
loan, domestic and foreign
currency exchange, as well
as debt services through
central branch and 19
branches. The Others segment
is engaged in the securities
business, such as securities
trading, investment and
brokerage services, as well
as the trust business, debt
management and collection,
and venture capital
investment. The Company was
founded in April 1957.</t>
  </si>
  <si>
    <t xml:space="preserve">FBH Partners(DNU)
Aozora Bank Ltd</t>
  </si>
  <si>
    <t xml:space="preserve">British Virgin
Japan</t>
  </si>
  <si>
    <t xml:space="preserve">CHINA RENAISSANCE HOLDINGS LTD/AOZORA BANK LTD-STRATEGIC ALLIANCE</t>
  </si>
  <si>
    <t xml:space="preserve">China Renaissance Holdings Ltd and Aozora Bank Ltd formed a strategic
alliance in China &amp; Japan to develop an in-depth partnership by integrating
strategic resources and exchanging industry experience in a series of
mutually beneficial banking areas.</t>
  </si>
  <si>
    <t xml:space="preserve">Research &amp; Development Services
Banking Services</t>
  </si>
  <si>
    <t xml:space="preserve">17416K
00029Y</t>
  </si>
  <si>
    <t xml:space="preserve">Numab Therapeutics AG
Sunshine Guojian Pharm</t>
  </si>
  <si>
    <t xml:space="preserve">Numab Therapeutics AG is a
manufacturer of biological
products. The Company is an
oncology-focused
biopharmaceutical company.
The Company was founded in
December 2016 and is located
in Waedenswil, Switzerland.
Sunshine Guojian
Pharmaceutical (Shanghai) Co
Ltd is a manufacturer and
wholesaler of pharmaceutical
preparation. The Company was
founded in 2002 and is
located in Shanghai, China.</t>
  </si>
  <si>
    <t xml:space="preserve">Numab Therapeutics AG
3SBio Inc</t>
  </si>
  <si>
    <t xml:space="preserve">NUMAB THERAPEUTICS LTD/SUNSHINE GUOJIAN PHARMACEUTICAL (SHANGHAI) CO
LTD-STRATEGIC ALLIANCE</t>
  </si>
  <si>
    <t xml:space="preserve">Numab Therapeutics Ltd and Sunshine Guojian Pharmaceutical (Shanghai) Co
Ltd formed a strategic alliance to focus on the development and
commercialization of a portfolio of novel multi-specific antibodies for the
therapy of cancer based on Numabs technology platform.</t>
  </si>
  <si>
    <t xml:space="preserve">3J1219
7J8359</t>
  </si>
  <si>
    <t xml:space="preserve">Cowen Inc
Marijuana Bus Daily</t>
  </si>
  <si>
    <t xml:space="preserve">Provides investment banking services
Newspaper Publishers</t>
  </si>
  <si>
    <t xml:space="preserve">Cowen Inc, headquartered in
New York City, New York,
provides investment banking
services. It also offers
investment management,
research, sales and trading,
prime brokerage, global
clearing and commission
management services. It
offers services through its
segments: the investment
management segment and the
investment bank segment. The
investment management
segment includes advisers to
investment funds (including
privately placed hedge
funds, real estate funds,
and private equity
structures), managed
accounts, registered funds
and a significant portion
its proprietary capital. The
investment bank segment
offers industry focused
investment banking for
growth-oriented companies
including advisory and
global capital markets
origination and domain
knowledge-driven research,
sales and trading platform
for institutional investors,
global clearing and
commission management
services and also a
comprehensive suite of prime
brokerage services. The
Company was founded in 1918.
Marijuana Business Daily is
a newspaper publisher. The
Company is located in
Lakewood, Colorado.</t>
  </si>
  <si>
    <t xml:space="preserve">6211
2711</t>
  </si>
  <si>
    <t xml:space="preserve">COWEN INC/MARIJUANA BUSINESS DAILY-STRATEGIC ALLIANCE</t>
  </si>
  <si>
    <t xml:space="preserve">Cowen Inc and Marijuana Business Daily planned to form a strategic alliance
was to cannabis industry distributor of Cowen's thought-leading fundamental
and Washington policy research on the cannabis industry, including reports
published as part of its highly regarded Ahead of The Curve research
series.</t>
  </si>
  <si>
    <t xml:space="preserve">223622
8J9549</t>
  </si>
  <si>
    <t xml:space="preserve">Hollister Biosciences Inc
ER71 USA Inc</t>
  </si>
  <si>
    <t xml:space="preserve">Cannabis company
Convention and Trade Show Organizers</t>
  </si>
  <si>
    <t xml:space="preserve">Hollister Biosciences Inc,
located in Vancouver,
Canada, is a cannabis
company. It is primarily
engaged in manufacturing
hash, tinctures, hash
infused products, crumble
infused products, pre-roll,
and other cannabis products
under several brands as
white label products. It is
focused on offering various
cannabis processed and
unprocessed products, such
as dried flowers and oil
derived from the cannabis
leaves. The Company was
founded in April 17, 2019.
ER71 USA Inc is a trade show
organizer. The Company is
located in Agoura Hills,
California.</t>
  </si>
  <si>
    <t xml:space="preserve">2833
7389</t>
  </si>
  <si>
    <t xml:space="preserve">HOLLISTER BIOSCIENCES INC/ER71 USA INC-JOINT VENTURE</t>
  </si>
  <si>
    <t xml:space="preserve">Hollister Biosciences Inc and ER71 USA Inc signed a letter of intent to
form a joint venture in Canada to collaborate on the development and
marketing of co-branded hemp based everyday premium product lines.</t>
  </si>
  <si>
    <t xml:space="preserve">9J3637
9J3642</t>
  </si>
  <si>
    <t xml:space="preserve">KYOCERA Corp
Tactotek Oy</t>
  </si>
  <si>
    <t xml:space="preserve">Mnfr,whl electronic components
All Other Miscellaneous Electrical Equipment and Component Manufacturing</t>
  </si>
  <si>
    <t xml:space="preserve">KYOCERA Corp, located in
Kyoto-Shi Kyoto, Japan,
manufactures and wholesales
electronic components. It
offers products for the
information and
communications market and
environment and energy
market worldwide. The Fine
Ceramic segment offers
semiconductor and liquid
crystal manufacturing
equipment parts, information
communication parts and
others. The Semiconductor
Parts segment offers various
ceramic and optical
communication packages. The
Fine Ceramic Applied Product
Related segment offers
residential, industrial
photovoltaic generations.
The Electronic Device
segment offers ceramic
capacitors, tantalum
capacitors and others. The
Communication Device segment
provides cell-phone units,
personal handy phone systems
(PHSs). The Information
Equipment segment offers
monochromes, combined
machine, among others. The
others segment provides
information communication
services and electrical
insulations, among others.
The Company was founded in
1951.
TactoTek Oy is a
manufacturer of electrical
equipment. The Company is
located in Oulunsalo,
Finland.</t>
  </si>
  <si>
    <t xml:space="preserve">3675
3699</t>
  </si>
  <si>
    <t xml:space="preserve">KYOCERA CORP/TACTOTEK OY-STRATEGIC ALLIANCE</t>
  </si>
  <si>
    <t xml:space="preserve">Kyocera Corp and TactoTek Oy formed a strategic alliance to bring IMSE
solutions to several new market segments, including industrial and
automotive components, electronic devices, and more.</t>
  </si>
  <si>
    <t xml:space="preserve">501556
3F2307</t>
  </si>
  <si>
    <t xml:space="preserve">Item 9 Labs Corp
Third Eye Investments LLC</t>
  </si>
  <si>
    <t xml:space="preserve">Manufactures,wholesales nasal breathing devices
Miscellaneous Financial Investment Activities</t>
  </si>
  <si>
    <t xml:space="preserve">Item 9 Labs Corp, located in
Scottsdale, Arizona,
develops, manufactures and
wholesales nasal breathing
devices. The Company was
founded in 2010.
Third Eye Investments Llcq
is a provider of financial
investment services. The
Company was founded in
August 2007 and is located
in Na02, Delaware.</t>
  </si>
  <si>
    <t xml:space="preserve">AZ
DE</t>
  </si>
  <si>
    <t xml:space="preserve">ITEM 9 LABS CORP/THIRD EYE INVESTMENTS LLC-JOINT VENTURE</t>
  </si>
  <si>
    <t xml:space="preserve">Item 9 Labs Corp and Third Eye Investments LLC planned to form joint
venture. The purpose of joint venture is to focus on the development of
Spectrum 8 hemp with planned nationwide distribution and construction of
the first solvent free, RF processing extraction facility in North
America.</t>
  </si>
  <si>
    <t xml:space="preserve">8H6481
9J0596</t>
  </si>
  <si>
    <t xml:space="preserve">Takeda Pharmaceuticals North
Mitest Health Llc</t>
  </si>
  <si>
    <t xml:space="preserve">Mnfr pharmaceutical products
Research and Development in Biotechnology</t>
  </si>
  <si>
    <t xml:space="preserve">Takeda Pharmaceuticals North
America Inc, located in
Deerfield, Illinois,
manufactures pharmaceutical
products. Its product
portfolio includes ACTOS,
ACTOplus met, Duetact,
Amitiza, Trintellix, Colcrys,
Dexilant, Oseni, Uloric, etc.
Mitest Health LLC is a
provider of biotechnology
research and development
services. The Company is
located in Illinois.</t>
  </si>
  <si>
    <t xml:space="preserve">Takeda Pharmaceutical Co Ltd
Mitest Health Llc</t>
  </si>
  <si>
    <t xml:space="preserve">TAKEDA PHARMACEUTICALS NORTH/MITEST HEALTH LLC-STRATEGIC ALLIANCE</t>
  </si>
  <si>
    <t xml:space="preserve">Takeda Pharmaceuticals North America Inc and Mitest Health LLC formed a
strategic alliance to launch innovative disease risk prediction tool to
redefine crohns disease management.</t>
  </si>
  <si>
    <t xml:space="preserve">87419W
9J1131</t>
  </si>
  <si>
    <t xml:space="preserve">Allen Organ Co LLC
Rockwell Automation Inc</t>
  </si>
  <si>
    <t xml:space="preserve">Mnfr musical instr
Manufactures industrial power detection and protection systems</t>
  </si>
  <si>
    <t xml:space="preserve">Allen Organ Co LLC is a
manufacturer of musical
instruments. The Company is
located in Macungie,
Pennsylvania.
Rockwell Automation Inc,
located in Milwaukee,
Wisconsin, manufactures
industrial power detection
and protection systems for
manufacturing companies. Its
registered trademarks are
Allen-Bradley, Rockwell
Software, Reliance Electric
and Dodge. It also operates
in the US, Canada, Europe,
Middle East, Africa,
Asia-Pacific and Latin
America. The Company was
founded in 1903.</t>
  </si>
  <si>
    <t xml:space="preserve">3931
3829</t>
  </si>
  <si>
    <t xml:space="preserve">ALLEN ORGAN CO LLC/ROCKWELL AUTOMATION INC-JOINT VENTURE</t>
  </si>
  <si>
    <t xml:space="preserve">Allen Organ Co LLC and Rockwell Automation Inc formed joint venture. The
purpose of joint venture was for the development and marketing of
micro-electronic devices, previously developed for advanced aerospace
applications, for musical applications.</t>
  </si>
  <si>
    <t xml:space="preserve">Research &amp; Development Services
Marketing Services
Electrical &amp; Electronic Services</t>
  </si>
  <si>
    <t xml:space="preserve">017753
773903</t>
  </si>
  <si>
    <t xml:space="preserve">Novoheart Holdings Inc
Harvard Office Of Tech Dvlp</t>
  </si>
  <si>
    <t xml:space="preserve">Novoheart Holdings Inc is a
Canada-based holding
company. The Company,
through its subsidiary,
provides, discovers and
develops heart therapeutics.
Novoheart's scientific team
has pioneered a range of
bioengineering technologies
collectively known as the
MyHeart platform, including
first human mini-heart
novoHeart that is capable of
fully capable of pumping and
ejecting fluid. It is
currently partnering with a
pharmaceutical company to
develop human heart tissues
and chambers that carry a
hereditary neurodegenerative
disease. It is anticipated
that the pharmaceutical
company will be able to use
the developed pathological
tissues as a unique drug
discovery and drug screening
platform for effective
therapies targeting the
heart-associated issues of
this specific disease.
Novoheart is currently
completing the build out a
large commercial laboratory
in Asia to enable it to
service additional potential
commercial partnerships,
which are under discussion.
Harvards research enterprise
is a wellspring of
innovation with the
potential to improve lives,
transform industries, and
create tremendous social and
economic value. We make that
a reality.</t>
  </si>
  <si>
    <t xml:space="preserve">NOVOHEART HOLDINGS INC/HARVARD OFFICE OF TECHNOLOGY DEVELOPMENT
(OTD)-STRATEGIC ALLIANCE</t>
  </si>
  <si>
    <t xml:space="preserve">Novoheart Holdings Inc and Harvard Office Of Technology Development (Otd)
formed a strategic alliance to develop next-generation human
Heart-in-a-Jar.</t>
  </si>
  <si>
    <t xml:space="preserve">Licensing Services
Research &amp; Development Services
Engineering Services</t>
  </si>
  <si>
    <t xml:space="preserve">67011V
1J6094</t>
  </si>
  <si>
    <t xml:space="preserve">Telix Pharmaceuticals Ltd
Atonco Sas</t>
  </si>
  <si>
    <t xml:space="preserve">Pharmaceutical Preparation Manufacturing
Offices Of Physicians (Except Mental Health Specialists)</t>
  </si>
  <si>
    <t xml:space="preserve">Telix Pharmaceuticals Ltd,
located in Melbourne,
Australia, develops and
commercializes molecularly
targeted radiation products
for the treatment of cancer.
Atonco Sas is a physician
office operator. The Company
is located in France.</t>
  </si>
  <si>
    <t xml:space="preserve">2834
8011</t>
  </si>
  <si>
    <t xml:space="preserve">TELIX PHARMACEUTICALS LTD/ATONCO SAS-STRATEGIC ALLIANCE</t>
  </si>
  <si>
    <t xml:space="preserve">Telix Pharmaceuticals Ltd and Atonco Sas formed a strategic alliance to
investigate the use of Telixs Molecularly Targeted Radiation (MTR)
intellectual property for the treatment of non-muscle invasive bladder
cancer that is resistant to standard therapies.</t>
  </si>
  <si>
    <t xml:space="preserve">2F1442
9J6623</t>
  </si>
  <si>
    <t xml:space="preserve">Albertsons Cos Inc
Genomind Inc</t>
  </si>
  <si>
    <t xml:space="preserve">Retails food and drug products
Pharmaceutical Preparation Manufacturing</t>
  </si>
  <si>
    <t xml:space="preserve">Albertsons Cos Inc,
headquartered in Boise,
Idaho, is a food and drug
retailer. It offers grocery
products, general
merchandise, health and
beauty care products,
pharmacy, fuel, and other
items and services. It has
2,252 stores across 35
states and the District of
Columbia under 20 banners,
including Albertsons,
Safeway, Vons, Jewel-Osco,
Shaws, Acme, Tom Thumb,
Randalls, United
Supermarkets, Pavilions,
Star Market, Carrs and
Haggen. The Company was
founded in 2015.
Genomind Inc, located in
King of Prussia,
Pennsylvania, manufactures
personalized medicine for
brain health based on
genetic testing. It offers
Genecept Assay, a genetic
test, which helps clinicians
optimize treatment decisions
for their patients with
mental illness.</t>
  </si>
  <si>
    <t xml:space="preserve">5411
2834</t>
  </si>
  <si>
    <t xml:space="preserve">ID
PA</t>
  </si>
  <si>
    <t xml:space="preserve">Albertsons Inv Hldg LLC
Genomind Inc</t>
  </si>
  <si>
    <t xml:space="preserve">ALBERTSONS COMPANIES INC/GENOMIND INC-STRATEGIC ALLIANCE</t>
  </si>
  <si>
    <t xml:space="preserve">Albertsons Companies Inc and Genomind Inc formed a strategic alliance was
to have access to G-DIG, the Genomind Drug Interaction Guide. G-DIG is a
patient-specific software tool designed to assist clinicians and
pharmacists in checking gene-drug and drug-drug interactions when
prescribing medications.</t>
  </si>
  <si>
    <t xml:space="preserve">Software Development Services
Marketing Services
Research &amp; Development Services</t>
  </si>
  <si>
    <t xml:space="preserve">013091
7H5684</t>
  </si>
  <si>
    <t xml:space="preserve">Isracann Biosciences Inc
Undisclosed JV Partner</t>
  </si>
  <si>
    <t xml:space="preserve">All Other Miscellaneous Crop Farming
Investment company</t>
  </si>
  <si>
    <t xml:space="preserve">Isracann Biosciences Inc is
a crop farming
establishment. The Company
is located in Israel.
Investment company</t>
  </si>
  <si>
    <t xml:space="preserve">0831
6799</t>
  </si>
  <si>
    <t xml:space="preserve">Israel
Unknown</t>
  </si>
  <si>
    <t xml:space="preserve">ISRACANN BIOSCIENCES INC/UNDISCLOSED PARTNER-STRATEGIC ALLIANCE</t>
  </si>
  <si>
    <t xml:space="preserve">Isracann Biosciences Inc and Undisclosed Joint Venture Partner planned to
form a strategic alliance capitalize the buildout of the remaining
construction in return for an economic interest in the project in
compliance with Israeli laws.</t>
  </si>
  <si>
    <t xml:space="preserve">7H5219
904JVP</t>
  </si>
  <si>
    <t xml:space="preserve">INEOS Group AG
Magna Steyr AG &amp; Co KG</t>
  </si>
  <si>
    <t xml:space="preserve">Manufactures petrochemicals, specialty chemicals and oil products
Manufacturevehicle powertrains</t>
  </si>
  <si>
    <t xml:space="preserve">INEOS Group AG, located in
London, the United Kingdom,
manufactures petrochemicals,
specialty chemicals and oil
products. Its products
include fluorine chlorine
derivatives, olefins and
aromatics, ethylene and
propylene oxide, biodiesel,
nitric acid, salt and sulfur
chemicals, silicates,
resins, zeolites, polymers,
propellants and other
chemical products. Its
businesses are INEOS ABS,
INEOS ChlorVinyls, ENEOS
Enterprises, ENEOS Films and
Compounds, ENEOS flour,
ENEOS Melamines, ENEOS
Nitriles, ENEOS Olefins &amp;
Polymers Europe, ENEOS
Olefins &amp; Polymers USA,
ENEOS Oligomers, Eneos
Oxide, ENEOS Paraform, ENEOS
Phenol, ENEOS Refining,
ENEOS Styrenics and ENEOS
Technologies. It has
manufacturing sites and
offices in Europe, Americas,
Asia, Africa and the Middle
East. It also serves as a
holding company. The Company
was founded on March 19,
1998.
Magna Steyr AG &amp; Co KG,
located in Oberwaltersdorf,
Austria manufactures vehicle
powertrains. the company's
services include also vehicle
engineering and assembly
services.</t>
  </si>
  <si>
    <t xml:space="preserve">2865
3568</t>
  </si>
  <si>
    <t xml:space="preserve">United Kingdom
Austria</t>
  </si>
  <si>
    <t xml:space="preserve">INEOS Group AG
Magna International Inc</t>
  </si>
  <si>
    <t xml:space="preserve">2865
3714</t>
  </si>
  <si>
    <t xml:space="preserve">INEOS GROUP AG/MAGNA STEYR AG &amp; CO KG-STRATEGIC ALLIANCE</t>
  </si>
  <si>
    <t xml:space="preserve">INEOS Group AG and Magna Steyr AG Co KG planned to form a strategic
alliance in United Kingdom to partner for the development as its
engineering partner for the development of its forthcoming Grenadier 4x4.</t>
  </si>
  <si>
    <t xml:space="preserve">45701J
55924E</t>
  </si>
  <si>
    <t xml:space="preserve">Shelterzoom Corp
Berkshire Hathaway HomeSvcs</t>
  </si>
  <si>
    <t xml:space="preserve">Marketing Consulting Services
Real estate investment firm</t>
  </si>
  <si>
    <t xml:space="preserve">Shelterzoom Corp is a
provider of marketing
consulting services. The
Company was founded in 1970
and is located in New York,
New York.
Berkshire Hathaway
HomeServices Professional
Realty, located in West
Chester, Ohio, is a lessor of
real estate property.</t>
  </si>
  <si>
    <t xml:space="preserve">8748
6798</t>
  </si>
  <si>
    <t xml:space="preserve">Shelterzoom Corp
Woodlan Realtors</t>
  </si>
  <si>
    <t xml:space="preserve">SHELTERZOOM CORP/BERKSHIRE HATHAWAY HOMESERVICES PROFESSIONAL
REALTY-STRATEGIC ALLIANCE</t>
  </si>
  <si>
    <t xml:space="preserve">Shelterzoom Corp and Berkshire Hathaway HomeServices Professional Realty
formed a strategic alliance for buying and selling real estate and managing
documents, contracts and transactions.</t>
  </si>
  <si>
    <t xml:space="preserve">9J3485
1F6653</t>
  </si>
  <si>
    <t xml:space="preserve">Shandong Fontacea Pharm Co
Janssen Biotech Inc</t>
  </si>
  <si>
    <t xml:space="preserve">Shandong Fontacea
Pharmaceutical Co Ltd is a
manufacturer of
pharmaceutical preparation.
The Company is located in
Jinan, China.
Janssen Biotech Inc is a
manufacturer of biological
products. The Company offers
innovative therapeutic drugs
in the field of Immunology,
Oncology, nephrology,
Dermatology,
Gastroenterology,
Nephrology, Rheumatology,
Surgery and Virology. The
Company was founded in May
1979 and is located in
Horsham, Pennsylvania.</t>
  </si>
  <si>
    <t xml:space="preserve">Shandong Fontacea Pharm Co
J&amp;J</t>
  </si>
  <si>
    <t xml:space="preserve">SHANDONG FONTACEA PHARMACEUTICAL CO LTD/JANSSEN BIOTECH INC-STRATEGIC
ALLIANCE</t>
  </si>
  <si>
    <t xml:space="preserve">China
South Korea
Taiwan</t>
  </si>
  <si>
    <t xml:space="preserve">Shandong Fontacea Pharmaceutical Co Ltd and Janssen Biotech Inc formed a
strategic alliance to develop and commercialize pharmaceutical products
containing a human IgG1 anti-human IL-17A neutralizing monoclonal antibody
in Peoples Republic of China (China) including Hong Kong Special
Administrative Region (Hong Kong), Macao Special Administrative Region
(Macao), the region of Taiwan (Taiwan) and South Korea.</t>
  </si>
  <si>
    <t xml:space="preserve">9J3484
44300K</t>
  </si>
  <si>
    <t xml:space="preserve">SenzaGen AB
Genevolution</t>
  </si>
  <si>
    <t xml:space="preserve">SenzaGen AB is a
manufacturer of biological
products. The Company is
located in Lund, Sweden. The
Company markets, sells and
performs the in vitro
Genomic Allergen Rapid
Detection (GARD)
sensitization test through
its own laboratory and
through licensed Contract
Research Organization
(CROs). SenzaGen AB makes it
possible to replace animal
experiments with in vitro
genetic testing to determine
the allergenicity of the
chemicals people come in
contact with in their daily
lives, such as for example
in cosmetics,
pharmaceuticals, food
products and dyes. The
Company sells the tests in
Sweden and the United
States, and also sells
through partners in several
other countries. The Company
was founded in 2010 and is
located in Lund, Sweden.
Genevolution is a provider
of biotechnology research
and development services.
The Company was founded in
2017 and is located in
Porcheville, France.</t>
  </si>
  <si>
    <t xml:space="preserve">Sweden
France</t>
  </si>
  <si>
    <t xml:space="preserve">SENZAGEN AB/GENEVOLUTION-STRATEGIC ALLIANCE</t>
  </si>
  <si>
    <t xml:space="preserve">SenzaGen AB and Genevolution planned to form a strategic alliance. The
purpose of the strategic alliance was to SenzaGen further broadens its
licensing and distribution network in Europe with another strategically
important partner for toxicological in vitro studies.</t>
  </si>
  <si>
    <t xml:space="preserve">7F7138
9J1481</t>
  </si>
  <si>
    <t xml:space="preserve">Super Tea (S) Pte Ltd
PT Berkah Cipta Adirasa</t>
  </si>
  <si>
    <t xml:space="preserve">Coffee and Tea Manufacturing
Miscellaneous Intermediation</t>
  </si>
  <si>
    <t xml:space="preserve">Super Tea (S) Pte Ltd is a
manufacturer of coffee and
tea products. The Company is
located in Singapore.
PT Berkah Cipta Adirasa is
an intermediating company.
The Company is located in
Indonesia.</t>
  </si>
  <si>
    <t xml:space="preserve">2043
6799</t>
  </si>
  <si>
    <t xml:space="preserve">Jun Yuan Holdings Pte Ltd
PT Berkah Cipta Adirasa</t>
  </si>
  <si>
    <t xml:space="preserve">SUPER TEA (S) PTE LTD/PT BERKAH CIPTA ADIRASA-JOINT VENTURE</t>
  </si>
  <si>
    <t xml:space="preserve">Super Tea (S) Pte Ltd and Pt Berkah Cipta Adirasa formed a 55:45 joint
venture to develop, manage and operate food and beverage outlets under the
proprietary marks of Super Tea in Indonesia. The Joint Venture was to have
a capitalization of USD 0.72 mil (IDR 10 bil).</t>
  </si>
  <si>
    <t xml:space="preserve">The Joint Venture was to have a capitalization of USD 0.72 mil (IDR 10
bil).</t>
  </si>
  <si>
    <t xml:space="preserve">5J1628
9J4022</t>
  </si>
  <si>
    <t xml:space="preserve">Titan Aviation Hldg Inc
Bain Capital Credit LP</t>
  </si>
  <si>
    <t xml:space="preserve">Other Nonscheduled Air Transportation
Investment Advice</t>
  </si>
  <si>
    <t xml:space="preserve">Titan Aviation Holdings Inc
is a charter airline. The
Company is located in
Delaware.
Bain Capital Credit LP,
located in Boston,
Massachusetts, is a provider
of investment management
services. It provides fixed
income and credit instrument
management services. The
Company has approximately
$105 billion in assets under
management. It is focused on
providing consulting-based
approach to private equity
investing, partnering with
management teams to build
businesses and improve their
operations. The Company''s
affiliated advisors make
private equity, public
equity, fixed income and
credit, venture capital and
absolute return investments
across multiple sectors,
industries and sector
classes. The Company''s
affiliated businesses
include Bain Capital Private
Equity, Brookside Capital,
Sankaty Advisors, Bain
Capital Ventures and
Absolute Return Capital.
Bain Capital Private Equity
utilizes the value added
investment approach.
Brookside Capital is the
global long/short public
equity affiliate of the
Company. Sankaty Advisors,
the credit affiliate of the
Company, is a manager of
corporate credit
obligations. Bain Capital
Ventures is the venture
capital affiliate of the
Company. The Company was
founded in 1984.</t>
  </si>
  <si>
    <t xml:space="preserve">4522
6282</t>
  </si>
  <si>
    <t xml:space="preserve">DE
MA</t>
  </si>
  <si>
    <t xml:space="preserve">Atlas Air Worldwide Hldg Inc
Bain Capital LP</t>
  </si>
  <si>
    <t xml:space="preserve">4522
6799</t>
  </si>
  <si>
    <t xml:space="preserve">TITAN AVIATION HOLDINGS INC/BAIN CAPITAL CREDIT LP-JOINT VENTURE</t>
  </si>
  <si>
    <t xml:space="preserve">Titan Aviation Holdings Inc and Bain Capital Credit LP planned to form a
joint venture in United States to develop a diversified freighter aircraft
leasing portfolio. The long-term joint venture aims to capitalize on demand
for cargo aircraft, underpinned by robust e-commerce and express market
growth. The Joint Venture was to have a capitalization of USD 400 mil.</t>
  </si>
  <si>
    <t xml:space="preserve">Research &amp; Development Services
Freight Services
Automotive Services</t>
  </si>
  <si>
    <t xml:space="preserve">The Joint Venture was to have a capitalization of USD 400 mil.</t>
  </si>
  <si>
    <t xml:space="preserve">9J1126
7E8941</t>
  </si>
  <si>
    <t xml:space="preserve">Genmab A/S
Curevac AG</t>
  </si>
  <si>
    <t xml:space="preserve">Genmab A/S, headquartered in
Copenhagen, Denmark, is a
biotechnology company that
creates and manufactures
antibody therapeutics for
life-threatening and
debilitating diseases such
as cancer and autoimmune
disorders. It has HuMax
products under development
to treat cancers, infectious
diseases, and auto immune
and inflammatory conditions.
The Company was founded in
1999.
Curevac AG is a manufacturer
of biological products. The
Company was founded in 2000
and is located in Tuebingen,
Germany.The companys
brands include RNActive(R)
for the delivery of modified
and complexed mRNA molecules
for a broad range of
therapeutic applications and
RNAdjuvant(R) for the use of
RNA as an immune stimulant.</t>
  </si>
  <si>
    <t xml:space="preserve">Genmab A/S
dievini Hopp BioTech holding</t>
  </si>
  <si>
    <t xml:space="preserve">GENMAB A/S/CUREVAC AG-STRATEGIC ALLIANCE</t>
  </si>
  <si>
    <t xml:space="preserve">Genmab A/S and CureVac AG formed a strategic alliance to enter into
research collaboration and licensing agreement to focus on the research and
development of differentiated mRNA-based antibody products by combining
CureVac's mRNA technology and know-how with Genmab's proprietary antibody
technologies and expertise. The Strategic Alliance was to have a estimated
cost of USD 10 mil.</t>
  </si>
  <si>
    <t xml:space="preserve">K3967W
24094C</t>
  </si>
  <si>
    <t xml:space="preserve">IBM Corp
The University Of Tokyo</t>
  </si>
  <si>
    <t xml:space="preserve">Manufacture computer products
Colleges, Universities, and Professional Schools</t>
  </si>
  <si>
    <t xml:space="preserve">International Business
Machines Corp, located in
Armonk, New York, manufacture
computer products. It provides
computer programming and
advanced information
technology solutions services.
The Company develops computer
systems and applications
software and manufactures
storage systems,
microelectronics and computer
peripherals, radio and
television communications
equipment, office machines,
typewriters, photograph
equipment and supplies, carbon
paper and inked ribbons and
provides global financing and
leasing. The Company operates
five business segments: Global
Technology Services (GTC) and
Global Business Services
(GBS), Software, Systems and
Technology (STG), and Global
Financing. The Company was
founded in 1911.
The University Of Tokyo,
headquartered in Bunkyo-Ku,
Tokyo, is a leading research
university. It offers
courses in essentially all
academic disciplines at both
undergraduate and graduate
levels and conducts research
across the full spectrum of
academic activity. It was
founded in 1877.</t>
  </si>
  <si>
    <t xml:space="preserve">INTERNATIONAL BUSINESS/THE UNIVERSITY OF TOKYO-STRATEGIC ALLIANCE</t>
  </si>
  <si>
    <t xml:space="preserve">International Business Machines Corp and The University Of Tokyo planned to
form a strategic alliance, thi will have three tracks of engagement: one
focused on the development of quantum applications with industry; another
on quantum computing system technology development; and the third focused
on advancing the state of quantum science and education.</t>
  </si>
  <si>
    <t xml:space="preserve">459200
91513Q</t>
  </si>
  <si>
    <t xml:space="preserve">Ionis Pharmaceuticals Inc
Biogen Inc</t>
  </si>
  <si>
    <t xml:space="preserve">Ionis Pharmaceuticals Inc,
located in Carlsbad,
California, is a
biopharmaceutical company
engaged in RNA-based drug
discovery and development
its product pipeline and for
its partners. The company
commercialized an antisense
drug, Vitravene, to treat
CMV retinitis in AIDS
patients. The company and
its partners have
approximately 17 drugs in
development principally in
Phase I and Phase II
clinical trials. Its drug
development programs are
focused on treating
cardiovascular and metabolic
diseases. The company''s
partners are developing
drugs for cancer, and
inflammatory and other
diseases. It is also
developing and
commercializing the Ibis
T5000 Biosensor System, a
system to identify
infectious organisms. The
company was founded in 1989.
Biogen Inc, located in
Cambridge, Massachusetts, is
a biopharmaceutical company.
It is focused on developing
therapies for people living
with serious neurological,
rare and autoimmune
diseases. It markets
products, including
TECFIDERA, AVONEX, PLEGRIDY,
TYSABRI, ZINBRYTA and
FAMPYRA for multiple
sclerosis (MS), FUMADERM for
the treatment of severe
plaque psoriasis and
SPINRAZA for the treatment
of spinal muscular atrophy
(SMA). The Company was
founded in 1978.</t>
  </si>
  <si>
    <t xml:space="preserve">IONIS PHARMACEUTICALS INC/BIOGEN INC-STRATEGIC ALLIANCE</t>
  </si>
  <si>
    <t xml:space="preserve">Ionis Pharmaceuticals Inc and Biogen Inc formed a strategic alliance for
IONIS-MAPTRx, a platform targeted to reduce production of the protein tau
in the central nervous system and is currently evaluated in P-I for mild AD
patients.</t>
  </si>
  <si>
    <t xml:space="preserve">462222
5E4690</t>
  </si>
  <si>
    <t xml:space="preserve">Catalyst Biosciences Inc
Biogen Inc</t>
  </si>
  <si>
    <t xml:space="preserve">Catalyst Biosciences Inc,
located in South San
Francisco, California, is a
biopharmaceutical company.
The company is focused on
creating and developing
medicines to address serious
medical conditions. Its
product development focuses
in the fields of hemostasis,
including the treatment of
hemophilia and surgical
bleeding, and inflammation,
including prevention of
delayed graft function in
renal transplants and the
treatment of dry age-related
macular degeneration, a
condition that can cause
visual impairment or
blindness. The company's
hemostasis product
candidates include CB
813d/PF-0520602, CB
2679d/ISU 304 and FXa. Its
inflammation development
candidates include CB 2782
and Ophthalmic. Its
technology selects its
anti-C3 proteases, including
CB 2782 for delayed graft
function (DGF), and the
leads in its dry age-related
macular degeneration (dry
AMD) program. The company
was founded in 1997.
Biogen Inc, located in
Cambridge, Massachusetts, is
a biopharmaceutical company.
It is focused on developing
therapies for people living
with serious neurological,
rare and autoimmune
diseases. It markets
products, including
TECFIDERA, AVONEX, PLEGRIDY,
TYSABRI, ZINBRYTA and
FAMPYRA for multiple
sclerosis (MS), FUMADERM for
the treatment of severe
plaque psoriasis and
SPINRAZA for the treatment
of spinal muscular atrophy
(SMA). The Company was
founded in 1978.</t>
  </si>
  <si>
    <t xml:space="preserve">CATALYST BIOSCIENCES INC/BIOGEN INC-STRATEGIC ALLIANCE</t>
  </si>
  <si>
    <t xml:space="preserve">Catalyst Biosciences Inc and Biogen Inc formed a strategic alliance for the
development and commercialization of pegylated CB 2782 (CB 2782-PEG) for
the potential treatment of geographic atrophy (GA) associated dry
age-related macular degeneration (dry AMD).</t>
  </si>
  <si>
    <t xml:space="preserve">14888D
5E4690</t>
  </si>
  <si>
    <t xml:space="preserve">Turnstone Biologics Inc
Takeda Pharmaceutical Co Ltd</t>
  </si>
  <si>
    <t xml:space="preserve">Turnstone Biologics Inc is a
Canada-based biotechnology
company. The Company focuses
on developing treatments for
cancer that harness the
patient's own immune
system. The Company develops
bio-therapeutics for the
treatment of cancer. The
Company's lead cancer
immunotherapy technology,
Marabex, is a tumor-targeted
oncolytic vaccine that
combines potent tumor
killing effects of the
Maraba oncolytic virus with
the benefits of a cancer
vaccine. Turnstone is also
developing additional
oncolytic virus strategies
and immunotherapy
combination treatments. The
Company receives investment
from Versant Ventures.
Takeda Pharmaceutical Co
Ltd, located in Chuo-Ku
Tokyo, Japan, manufactures
pharmaceutical products. Its
product portfolio includes
Lansoprazole, Dexlan
soprazole, Vonoprazan,
Vedolizumab, Bortezomib,
Leuprorelin Acetate,
Panitumumab, Ixazomib, etc.
It also operates in other
locations such as Italy,
Ireland, Germany, Austria,
Denmark, Belgium, Brazil,
UK, Switzerland, China, etc.
The Company was founded in
June 1781.</t>
  </si>
  <si>
    <t xml:space="preserve">TURNSTONE BIOLOGICS INC/TAKEDA PHARMACEUTICAL CO LTD-STRATEGIC ALLIANCE</t>
  </si>
  <si>
    <t xml:space="preserve">Turnstone Biologics Inc and Takeda Pharmaceutical Co Ltd formed a strategic
alliance to develop multiple products from its proprietary vaccinia virus
platform targeting a broad range of cancer indications.</t>
  </si>
  <si>
    <t xml:space="preserve">2J3400
874058</t>
  </si>
  <si>
    <t xml:space="preserve">Promega Corp
MilliporeSigma</t>
  </si>
  <si>
    <t xml:space="preserve">Mnfr molecular biological prod
Research and Development in Biotechnology</t>
  </si>
  <si>
    <t xml:space="preserve">Promega Corp, located in
Madison, Wisconsn,
manufactures molecular
biological products for
research applications.
Exported in 14 countries
through 50 international
distributors, the company
offers transcription
systems, systems for
sequencing nucleic acids, a
ribonuclease inhibitor,
cloning systems and vectors,
detection/purification
systems, products for in
vitro translation,
transfection/transformation
systems, products for
labeling nucleic acids and
modifying enzymes, and
restriction enzymes.
Products are sold via a
direct sales force,
international distributors,
and subsidiaries to research
institutes and universities
involved in genetic
engineering and molecular
biology. The company was
founded in 1978.
MilliporeSigma, located in
Billerica, Massachusetts,
provides bioscience research
services and manufactures
biopharmaceuticals. The
Company was founded in 1668.</t>
  </si>
  <si>
    <t xml:space="preserve">Ted Kellner
Merck KGaA</t>
  </si>
  <si>
    <t xml:space="preserve">PROMEGA CORP/MILLIPORESIGMA-STRATEGIC ALLIANCE</t>
  </si>
  <si>
    <t xml:space="preserve">Promega Corp and MilliporeSigma formed a strategic alliance was to, Promega
will create new research products for investigating endogenous biology,
including those for drug development. These tools will allow researchers to
better read the physiological or natural levels of protein expression,
providing a more accurate understanding of protein behavior.</t>
  </si>
  <si>
    <t xml:space="preserve">74341Z
5F0482</t>
  </si>
  <si>
    <t xml:space="preserve">IPCA Laboratories Ltd
MMV</t>
  </si>
  <si>
    <t xml:space="preserve">Mnfr,wholesale pharmaceuticals
Biotechnology company</t>
  </si>
  <si>
    <t xml:space="preserve">IPCA Laboratories Ltdis
engaged in pharmaceuticals
business. The Company is a
manufacturer and supplier of
over 10 active
pharmaceutical ingredients
(APIs). It offers APIs, such
as atenolol,
hydroxychloroquine sulfate,
morantel citrate, pyrantel
pamoate and zaltoprofen. It
offers brands, such as
Zerodol, Lariago, HCQS
Perinorm, Rapither, Tenoric,
Lumerax, Etova, Malirid and
Folitrax. Its 3c division
focuses on cardiovascular
and anti-diabetic markets.
Its 3d division is focused
on cardio-diabetic market.
The Company''s activa
division serves the
rheumatology market. Its
altus division caters to the
needs of intensivists, both
surgical and non-surgical.
Its Bionova division''s
focus area is dermatology.
Its dynamix division focuses
on cardiovascular,
gastro-intestinal,
anti-bacterial, pain
management and respiratory
sectors. It hycare division
caters to the needs of
cardiologists and
diabetologists. Its
divisions also include
innova, intima, pain
management, pharma and uro
sciences. The Company is
located in Mumbai, India.
Biotechnology company</t>
  </si>
  <si>
    <t xml:space="preserve">IPCA LABORATORIES LTD/MEDICINES FOR MALARIA VENTURE-STRATEGIC ALLIANCE</t>
  </si>
  <si>
    <t xml:space="preserve">IPCA Laboratories Ltd and Medicines for Malaria Venture {MMV} formed a
strategic alliance co-develop a novel antimalarial co-formulation named
"Atoguanil".</t>
  </si>
  <si>
    <t xml:space="preserve">44981V
58583J</t>
  </si>
  <si>
    <t xml:space="preserve">TRACON Pharmaceuticals Inc
3d Medicines (Beijing) Co Ltd
Alphamab (Jiangsu) Biopharms</t>
  </si>
  <si>
    <t xml:space="preserve">Biological Product (Except Diagnostic) Manufacturing
Glass Product Manufacturing Made Of Purchased Glass
Pharmaceutical Preparation Manufacturing</t>
  </si>
  <si>
    <t xml:space="preserve">TRACON Pharmaceuticals Inc
is a manufacturer of
biological products. It
focuses on the development
of novel targeted
therapeutics for cancer,
age-related macular
degeneration, or AMD, and
fibrotic diseases. The
Company was founded in
October 2004 and is located
in San Diego, California.
3d Medicines (Beijing) Co
Ltd is a manufacturer of
glass products. The Company
was founded in December 2014
and is located in Beijing,
China.
Alphamab (Jiangsu)
Biopharmaceuticals Co Ltd is
a manufacturer of
pharmaceutical preparation.
The Company was founded in
July 2015 and is located in
Suzhou, China.</t>
  </si>
  <si>
    <t xml:space="preserve">2836
3231
2834</t>
  </si>
  <si>
    <t xml:space="preserve">TRACON Pharmaceuticals Inc
3d Medicines (Beijing) Co Ltd
Alphamab Oncology</t>
  </si>
  <si>
    <t xml:space="preserve">TRACON PHARMACEUTICALS INC/3D MEDICINES (BEIJING) CO LTD/ALPHAMAB (JIANGSU)
BIOPHARMACEUTICALS CO LTD-STRATEGIC ALLIANCE</t>
  </si>
  <si>
    <t xml:space="preserve">TRACON Pharmaceuticals Inc, 3d Medicines (Beijing) Co Ltd and Alphamab
(Jiangsu) Biopharmaceuticals Co Ltd formed a strategic alliance for the
development of envafolimab, also known as KN035, a PD-L1 single-domain
antibody administered by subcutaneous injection, for development in soft
tissue sarcoma in North America.</t>
  </si>
  <si>
    <t xml:space="preserve">89237H
9J4216
9J4217</t>
  </si>
  <si>
    <t xml:space="preserve">Sberbank Rossii PAO
Etalon Group PLC</t>
  </si>
  <si>
    <t xml:space="preserve">Bank
Land Subdivision</t>
  </si>
  <si>
    <t xml:space="preserve">Sberbank Rossii PAO, located
in Moscow, Russian
Federation, is a bank, which
provides corporate and
retail banking services. The
Company operates in two
segments: retail banking and
corporate banking. The
retail banking segment
involves in private customer
current accounts, savings,
deposits, custody, debit
cards, consumer loans, and
mortgages businesses. The
corporate banking segment
represents operations with
securities, current
accounts, deposits,
overdrafts, loans and other
credit facilities, foreign
currency and derivative
products. It was founded in
1841.
Etalon Group PLC is a
provider of land subdivision
services. The Company was
founded in 1987 and is
located in Saint Petersburg,
the Russian Federation.</t>
  </si>
  <si>
    <t xml:space="preserve">6000
6552</t>
  </si>
  <si>
    <t xml:space="preserve">SBERBANK ROSSII PAO/ETALON GROUP PLC-STRATEGIC ALLIANCE</t>
  </si>
  <si>
    <t xml:space="preserve">Sberbank Rossii PAO and Etalon Group PLC formed a strategic alliance in
Russia for sharing of innovative development expertise. The strategic
partnership will expertise sharing, joint research and development, search
for and engagement of innovative development solutions across the domestic
and global markets.</t>
  </si>
  <si>
    <t xml:space="preserve">80584P
29760G</t>
  </si>
  <si>
    <t xml:space="preserve">Pharma Mar SA
Jazz Pharmaceuticals PLC</t>
  </si>
  <si>
    <t xml:space="preserve">Manufacture pharmaceuticals
Mnfr prescription pharm</t>
  </si>
  <si>
    <t xml:space="preserve">Pharma Mar SA, located in
Madrid, Spain, manufactures
pharmaceuticals derived from
marine organisms and
anti-tumoral, anti-viral, and
anti-fungal products.
and anti-fungal products.
Jazz Pharmaceuticals PLC,
headquartered in Palo Alto,
California, manufactures
prescription pharmaceuticals
focused on neurological and
psychiatric products. The
company was incorporated in
California in March 2003, and
reincorporated in Delaware in
January 2004.</t>
  </si>
  <si>
    <t xml:space="preserve">J&amp;J
Jazz Pharmaceuticals PLC</t>
  </si>
  <si>
    <t xml:space="preserve">PHARMA MAR SA/JAZZ PHARMACEUTICALS PLC-STRATEGIC ALLIANCE</t>
  </si>
  <si>
    <t xml:space="preserve">Pharma Mar SA and Jazz Pharmaceuticals Inc formed a strategic alliance for
lurbinectedin in the US.</t>
  </si>
  <si>
    <t xml:space="preserve">71714C
G50871</t>
  </si>
  <si>
    <t xml:space="preserve">Taurus Therapeutics Inc
Impetis Biosciences Ltd</t>
  </si>
  <si>
    <t xml:space="preserve">Taurus Therapeutics Inc is a
manufacturer of biological
products. The Company is
located in Wilmington,
Delaware.
Impetis Biosciences Ltd is a
provider of financial
investment services. The
Company was founded in May
2017 and is located in Mumbai,
India.</t>
  </si>
  <si>
    <t xml:space="preserve">TAURUS THERAPEUTICS INC/IMPETIS BIOSCIENCES LTD-STRATEGIC ALLIANCE</t>
  </si>
  <si>
    <t xml:space="preserve">Taurus Therapeutics Inc and Impetis Biosciences Ltd formed a strategic
alliance to develop a portfolio of adenosine receptor antagonists for
cancer immunotherapy as well as non-cancer indications.</t>
  </si>
  <si>
    <t xml:space="preserve">9J4113
7F0533</t>
  </si>
  <si>
    <t xml:space="preserve">Suzhou Dawnrays Pharm Co Ltd
Nanjing Haina Pharm Tech Co</t>
  </si>
  <si>
    <t xml:space="preserve">Suzhou Dawnrays
Pharmaceutical Co Ltd is a
manufacturer of
pharmaceutical preparation.
The Company was founded in
December 1995 and is located
in Suzhou, China.
Nanjing Haina Pharmaceutical
Technology Co Ltd is a
manufacturer of
pharmaceutical preparation.
The Company is located in
Nanjing, China.</t>
  </si>
  <si>
    <t xml:space="preserve">Dawnrays Pharm(Hldg)Ltd
Nanjing Haina Pharm Tech Co</t>
  </si>
  <si>
    <t xml:space="preserve">SUZHOU DAWNRAYS PHARMACEUTICAL CO LTD/NANJING HAINA PHARMACEUTICAL
TECHNOLOGY CO LTD-STRATEGIC ALLIANCE</t>
  </si>
  <si>
    <t xml:space="preserve">Suzhou Dawnrays Pharmaceutical Co Ltd and Nanjing Haina Pharmaceutical
Technology Co Ltd formed a strategic alliance in China to develop, license,
supply and to assign the MAH in respect of Febuxostat tablets.</t>
  </si>
  <si>
    <t xml:space="preserve">Research &amp; Development Services
Licensing Services
Marketing Services
Retail &amp; Wholesale Services
Supply Services
Health &amp; Medical Services</t>
  </si>
  <si>
    <t xml:space="preserve">9J4828
9J4831</t>
  </si>
  <si>
    <t xml:space="preserve">Selecxine Inc
Genscript Biotech Corp</t>
  </si>
  <si>
    <t xml:space="preserve">Selecxine Inc is a provider
of biotechnology research
and development services.
The Company was founded in
December 2018 and is located
in Pohang, South Korea.
Genscript Biotech Corp is a
manufacturer of biological
products. The Company is
located in Nanjing, China.</t>
  </si>
  <si>
    <t xml:space="preserve">Selecxine Inc
Genscript USA Corp</t>
  </si>
  <si>
    <t xml:space="preserve">SELECXINE INC/GENSCRIPT BIOTECH CORP-STRATEGIC ALLIANCE</t>
  </si>
  <si>
    <t xml:space="preserve">Selecxine Inc and Genscript Biotech Corp formed a strategic alliance was
for the innovation of antibody drug development.</t>
  </si>
  <si>
    <t xml:space="preserve">9J5062
9C9975</t>
  </si>
  <si>
    <t xml:space="preserve">Digital Ally Inc
Pivot International Inc</t>
  </si>
  <si>
    <t xml:space="preserve">Mnfr digital videos
Manufactures semiconductors</t>
  </si>
  <si>
    <t xml:space="preserve">Digital Ally Inc, located in
Lenexa, Kansas, is a
manufacturer of wireless
communications equipment. The
Company was founded in May
2003.
Pivot International Inc,
located in Lenexa, Kansas,
is a product design,
development, and
manufacturing firm with
strengths in software
development, electrical
mechanical engineering, and
industrial design.</t>
  </si>
  <si>
    <t xml:space="preserve">KS
KS</t>
  </si>
  <si>
    <t xml:space="preserve">DIGITAL ALLY INC/PIVOT INTERNATIONAL INC-STRATEGIC ALLIANCE</t>
  </si>
  <si>
    <t xml:space="preserve">Digital Ally Inc and Pivot International Inc formed a strategic alliance
for the development and production of innovative breathalyzer for law
enforcement.</t>
  </si>
  <si>
    <t xml:space="preserve">Legal Services
Research &amp; Development Services
Computer Integrated Systems Svcs</t>
  </si>
  <si>
    <t xml:space="preserve">25382P
4E0150</t>
  </si>
  <si>
    <t xml:space="preserve">Florida Pharm Prod Inc
Agenix Pharms LLC</t>
  </si>
  <si>
    <t xml:space="preserve">Florida Pharmaceutical
Products Inc is a drug store
operator. The Company is
located in Boca Raton,
Florida.
Agenix Pharmaceuticals LLC
is a manufacturer of
pharmaceutical preparation.
The Company is located in
Grand Prairie, Texas.</t>
  </si>
  <si>
    <t xml:space="preserve">5912
2834</t>
  </si>
  <si>
    <t xml:space="preserve">FLORIDA PHARMACEUTICAL PRODUCTS INC/AGENIX PHARMACEUTICALS LLC-STRATEGIC
ALLIANCE</t>
  </si>
  <si>
    <t xml:space="preserve">Florida Pharmaceutical Products Inc and Agenix Pharmaceuticals LLC planned
to form a strategic alliance in United States to enter into an agreement
for the development, licensing, and Supply of an ANDA developed by Agenix.</t>
  </si>
  <si>
    <t xml:space="preserve">Research &amp; Development Services
Licensing Services
Retail &amp; Wholesale Services
Supply Services
Retail &amp; Wholesale Services</t>
  </si>
  <si>
    <t xml:space="preserve">0J8124
9J4637</t>
  </si>
  <si>
    <t xml:space="preserve">Nuprobe Usa Inc
Illumina Inc</t>
  </si>
  <si>
    <t xml:space="preserve">Medical Laboratories
Manufacture,wholesale science tools,systems</t>
  </si>
  <si>
    <t xml:space="preserve">NuProbe Inc is a United
States-based molecular
diagnostics company. The
Company is a developer of an
ultra-sensitive and
multiplexed platform with
reagents for noninvasive
nucleic acid profiling and
diagnostics. The Company's
toehold probe-based
technology is a molecular
strategy to test for diverse
disease signatures,
including cancer. Its
technology is sensitive at
identifying many variants in
the early stages, that
enables improve detection
and help guide treatment
decisions that enables
survival for patients.
Illumina Inc, located in San
Diego, California,
manufactures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 The
Company was founded in April
1998.</t>
  </si>
  <si>
    <t xml:space="preserve">8071
3826</t>
  </si>
  <si>
    <t xml:space="preserve">NUPROBE USA INC/ILLUMINA INC-STRATEGIC ALLIANCE</t>
  </si>
  <si>
    <t xml:space="preserve">Nuprobe Usa Inc and Illumina Inc formed a strategic alliance to develop
clinical molecular diagnostic kits, including for nucleic acid extraction,
library construction, and bioinformatic software.</t>
  </si>
  <si>
    <t xml:space="preserve">9J7949
452327</t>
  </si>
  <si>
    <t xml:space="preserve">Request</t>
  </si>
  <si>
    <t xml:space="preserve">Hits</t>
  </si>
  <si>
    <t xml:space="preserve">Request Description</t>
  </si>
  <si>
    <t xml:space="preserve">0</t>
  </si>
  <si>
    <t xml:space="preserve">-</t>
  </si>
  <si>
    <t xml:space="preserve">DATABASE: Joint Ventures (JV)</t>
  </si>
  <si>
    <t xml:space="preserve">1</t>
  </si>
  <si>
    <t xml:space="preserve">Alliance Date Announced: 01/01/2006 to 31/12/2019 (Custom)
(Calendar)</t>
  </si>
  <si>
    <t xml:space="preserve">2</t>
  </si>
  <si>
    <t xml:space="preserve">4706</t>
  </si>
  <si>
    <t xml:space="preserve">Alliance Research &amp; Development Agreement: Select All Alliance
Research &amp; Development Agreements</t>
  </si>
  <si>
    <t xml:space="preserve">3</t>
  </si>
  <si>
    <t xml:space="preserve">Custom Report: R&amp;D 2006 to 2019 (Columnar)</t>
  </si>
  <si>
    <t xml:space="preserve">Billing Ref # : 2819679</t>
  </si>
  <si>
    <t xml:space="preserve">Capture File  : mbcpc.2819679</t>
  </si>
  <si>
    <t xml:space="preserve">Session Name  : </t>
  </si>
</sst>
</file>

<file path=xl/styles.xml><?xml version="1.0" encoding="utf-8"?>
<styleSheet xmlns="http://schemas.openxmlformats.org/spreadsheetml/2006/main">
  <numFmts count="4">
    <numFmt numFmtId="164" formatCode="General"/>
    <numFmt numFmtId="165" formatCode="DD/MM/YY"/>
    <numFmt numFmtId="166" formatCode="################"/>
    <numFmt numFmtId="167" formatCode="0"/>
  </numFmts>
  <fonts count="5">
    <font>
      <sz val="10"/>
      <name val="Arial"/>
      <family val="0"/>
      <charset val="1"/>
    </font>
    <font>
      <sz val="10"/>
      <name val="Arial"/>
      <family val="0"/>
    </font>
    <font>
      <sz val="10"/>
      <name val="Arial"/>
      <family val="0"/>
    </font>
    <font>
      <sz val="10"/>
      <name val="Arial"/>
      <family val="0"/>
    </font>
    <font>
      <b val="true"/>
      <sz val="1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47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5.7" zeroHeight="false" outlineLevelRow="0" outlineLevelCol="0"/>
  <cols>
    <col collapsed="false" customWidth="true" hidden="false" outlineLevel="0" max="1" min="1" style="0" width="10.93"/>
    <col collapsed="false" customWidth="true" hidden="false" outlineLevel="0" max="2" min="2" style="0" width="14.65"/>
    <col collapsed="false" customWidth="true" hidden="false" outlineLevel="0" max="4" min="3" style="0" width="38.29"/>
    <col collapsed="false" customWidth="true" hidden="false" outlineLevel="0" max="6" min="5" style="0" width="100"/>
    <col collapsed="false" customWidth="true" hidden="false" outlineLevel="0" max="7" min="7" style="0" width="43.16"/>
    <col collapsed="false" customWidth="true" hidden="false" outlineLevel="0" max="8" min="8" style="0" width="13.67"/>
    <col collapsed="false" customWidth="true" hidden="false" outlineLevel="0" max="9" min="9" style="0" width="19.34"/>
    <col collapsed="false" customWidth="true" hidden="false" outlineLevel="0" max="10" min="10" style="0" width="9.58"/>
    <col collapsed="false" customWidth="true" hidden="false" outlineLevel="0" max="11" min="11" style="0" width="36.33"/>
    <col collapsed="false" customWidth="true" hidden="false" outlineLevel="0" max="12" min="12" style="0" width="19.34"/>
    <col collapsed="false" customWidth="true" hidden="false" outlineLevel="0" max="13" min="13" style="0" width="13.67"/>
    <col collapsed="false" customWidth="true" hidden="false" outlineLevel="0" max="14" min="14" style="0" width="103.51"/>
    <col collapsed="false" customWidth="true" hidden="false" outlineLevel="0" max="15" min="15" style="0" width="40.04"/>
    <col collapsed="false" customWidth="true" hidden="false" outlineLevel="0" max="16" min="16" style="0" width="14.84"/>
    <col collapsed="false" customWidth="true" hidden="false" outlineLevel="0" max="17" min="17" style="0" width="12.7"/>
    <col collapsed="false" customWidth="true" hidden="false" outlineLevel="0" max="18" min="18" style="0" width="19.34"/>
    <col collapsed="false" customWidth="true" hidden="false" outlineLevel="0" max="19" min="19" style="0" width="18.56"/>
    <col collapsed="false" customWidth="true" hidden="false" outlineLevel="0" max="20" min="20" style="0" width="21.1"/>
    <col collapsed="false" customWidth="true" hidden="false" outlineLevel="0" max="21" min="21" style="0" width="99.61"/>
    <col collapsed="false" customWidth="true" hidden="false" outlineLevel="0" max="22" min="22" style="0" width="14.84"/>
    <col collapsed="false" customWidth="true" hidden="false" outlineLevel="0" max="23" min="23" style="0" width="40.62"/>
    <col collapsed="false" customWidth="true" hidden="false" outlineLevel="0" max="25" min="24" style="0" width="11.12"/>
    <col collapsed="false" customWidth="true" hidden="false" outlineLevel="0" max="26" min="26" style="0" width="13.67"/>
    <col collapsed="false" customWidth="true" hidden="false" outlineLevel="0" max="27" min="27" style="0" width="78.71"/>
    <col collapsed="false" customWidth="true" hidden="false" outlineLevel="0" max="28" min="28" style="0" width="13.09"/>
    <col collapsed="false" customWidth="true" hidden="false" outlineLevel="0" max="29" min="29" style="0" width="12.1"/>
    <col collapsed="false" customWidth="true" hidden="false" outlineLevel="0" max="30" min="30" style="0" width="13.87"/>
    <col collapsed="false" customWidth="true" hidden="false" outlineLevel="0" max="31" min="31" style="0" width="12.5"/>
    <col collapsed="false" customWidth="true" hidden="false" outlineLevel="0" max="1025" min="32" style="0" width="9.14"/>
  </cols>
  <sheetData>
    <row r="1" customFormat="false" ht="15.7" hidden="false" customHeight="true" outlineLevel="0" collapsed="false">
      <c r="A1" s="1" t="s">
        <v>0</v>
      </c>
    </row>
    <row r="2" customFormat="false" ht="21.7" hidden="false" customHeight="true" outlineLevel="0" collapsed="false">
      <c r="A2" s="2" t="s">
        <v>1</v>
      </c>
      <c r="B2" s="2" t="s">
        <v>2</v>
      </c>
      <c r="C2" s="2" t="s">
        <v>3</v>
      </c>
      <c r="D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row>
    <row r="3" customFormat="false" ht="15.7" hidden="false" customHeight="true" outlineLevel="0" collapsed="false">
      <c r="A3" s="2"/>
      <c r="B3" s="3" t="n">
        <f aca="false">DATE(2006,1,1)</f>
        <v>0</v>
      </c>
      <c r="C3" s="3" t="n">
        <v>38718</v>
      </c>
      <c r="D3" s="2" t="s">
        <v>30</v>
      </c>
      <c r="F3" s="2" t="s">
        <v>31</v>
      </c>
      <c r="G3" s="2" t="s">
        <v>32</v>
      </c>
      <c r="H3" s="2" t="s">
        <v>33</v>
      </c>
      <c r="I3" s="2" t="s">
        <v>34</v>
      </c>
      <c r="J3" s="2" t="s">
        <v>35</v>
      </c>
      <c r="K3" s="2" t="s">
        <v>30</v>
      </c>
      <c r="L3" s="2" t="s">
        <v>34</v>
      </c>
      <c r="M3" s="2" t="s">
        <v>33</v>
      </c>
      <c r="N3" s="2" t="s">
        <v>36</v>
      </c>
      <c r="O3" s="2"/>
      <c r="P3" s="2" t="s">
        <v>37</v>
      </c>
      <c r="Q3" s="4" t="n">
        <v>8731</v>
      </c>
      <c r="R3" s="2" t="s">
        <v>38</v>
      </c>
      <c r="S3" s="2" t="s">
        <v>39</v>
      </c>
      <c r="T3" s="2" t="s">
        <v>40</v>
      </c>
      <c r="U3" s="2" t="s">
        <v>41</v>
      </c>
      <c r="V3" s="2"/>
      <c r="W3" s="2" t="s">
        <v>42</v>
      </c>
      <c r="X3" s="2" t="s">
        <v>43</v>
      </c>
      <c r="Y3" s="2" t="s">
        <v>37</v>
      </c>
      <c r="Z3" s="2" t="s">
        <v>44</v>
      </c>
      <c r="AA3" s="2"/>
      <c r="AB3" s="2"/>
      <c r="AC3" s="2" t="s">
        <v>45</v>
      </c>
      <c r="AD3" s="2" t="s">
        <v>46</v>
      </c>
    </row>
    <row r="4" customFormat="false" ht="15.7" hidden="false" customHeight="true" outlineLevel="0" collapsed="false">
      <c r="A4" s="2"/>
      <c r="B4" s="3" t="n">
        <f aca="false">DATE(2006,1,3)</f>
        <v>0</v>
      </c>
      <c r="C4" s="3" t="n">
        <v>38720</v>
      </c>
      <c r="D4" s="2" t="s">
        <v>47</v>
      </c>
      <c r="F4" s="2" t="s">
        <v>48</v>
      </c>
      <c r="G4" s="2" t="s">
        <v>49</v>
      </c>
      <c r="H4" s="2" t="s">
        <v>50</v>
      </c>
      <c r="I4" s="2" t="s">
        <v>51</v>
      </c>
      <c r="J4" s="2" t="s">
        <v>52</v>
      </c>
      <c r="K4" s="2" t="s">
        <v>53</v>
      </c>
      <c r="L4" s="2" t="s">
        <v>51</v>
      </c>
      <c r="M4" s="2" t="s">
        <v>54</v>
      </c>
      <c r="N4" s="2" t="s">
        <v>55</v>
      </c>
      <c r="O4" s="2"/>
      <c r="P4" s="2" t="s">
        <v>37</v>
      </c>
      <c r="Q4" s="4" t="n">
        <v>8731</v>
      </c>
      <c r="R4" s="2" t="s">
        <v>56</v>
      </c>
      <c r="S4" s="2" t="s">
        <v>57</v>
      </c>
      <c r="T4" s="2" t="s">
        <v>40</v>
      </c>
      <c r="U4" s="2" t="s">
        <v>58</v>
      </c>
      <c r="V4" s="2"/>
      <c r="W4" s="2" t="s">
        <v>42</v>
      </c>
      <c r="X4" s="2" t="s">
        <v>43</v>
      </c>
      <c r="Y4" s="2" t="s">
        <v>37</v>
      </c>
      <c r="Z4" s="2" t="s">
        <v>44</v>
      </c>
      <c r="AA4" s="2"/>
      <c r="AB4" s="2"/>
      <c r="AC4" s="2" t="s">
        <v>59</v>
      </c>
      <c r="AD4" s="2" t="s">
        <v>46</v>
      </c>
    </row>
    <row r="5" customFormat="false" ht="15.7" hidden="false" customHeight="true" outlineLevel="0" collapsed="false">
      <c r="A5" s="2"/>
      <c r="B5" s="3" t="n">
        <f aca="false">DATE(2006,1,4)</f>
        <v>0</v>
      </c>
      <c r="C5" s="3" t="n">
        <v>38721</v>
      </c>
      <c r="D5" s="2" t="s">
        <v>60</v>
      </c>
      <c r="F5" s="2" t="s">
        <v>61</v>
      </c>
      <c r="G5" s="2" t="s">
        <v>62</v>
      </c>
      <c r="H5" s="2" t="s">
        <v>63</v>
      </c>
      <c r="I5" s="2" t="s">
        <v>64</v>
      </c>
      <c r="J5" s="2" t="s">
        <v>65</v>
      </c>
      <c r="K5" s="2" t="s">
        <v>66</v>
      </c>
      <c r="L5" s="2" t="s">
        <v>67</v>
      </c>
      <c r="M5" s="2" t="s">
        <v>68</v>
      </c>
      <c r="N5" s="2" t="s">
        <v>69</v>
      </c>
      <c r="O5" s="2"/>
      <c r="P5" s="2" t="s">
        <v>37</v>
      </c>
      <c r="Q5" s="4" t="n">
        <v>6794</v>
      </c>
      <c r="R5" s="2" t="s">
        <v>70</v>
      </c>
      <c r="S5" s="2" t="s">
        <v>39</v>
      </c>
      <c r="T5" s="2" t="s">
        <v>40</v>
      </c>
      <c r="U5" s="2" t="s">
        <v>71</v>
      </c>
      <c r="V5" s="2"/>
      <c r="W5" s="2" t="s">
        <v>72</v>
      </c>
      <c r="X5" s="2" t="s">
        <v>43</v>
      </c>
      <c r="Y5" s="2" t="s">
        <v>37</v>
      </c>
      <c r="Z5" s="2" t="s">
        <v>44</v>
      </c>
      <c r="AA5" s="2"/>
      <c r="AB5" s="2"/>
      <c r="AC5" s="2" t="s">
        <v>73</v>
      </c>
      <c r="AD5" s="2" t="s">
        <v>46</v>
      </c>
    </row>
    <row r="6" customFormat="false" ht="15.7" hidden="false" customHeight="true" outlineLevel="0" collapsed="false">
      <c r="A6" s="2"/>
      <c r="B6" s="3" t="n">
        <f aca="false">DATE(2006,1,4)</f>
        <v>0</v>
      </c>
      <c r="C6" s="3" t="n">
        <v>38721</v>
      </c>
      <c r="D6" s="2" t="s">
        <v>74</v>
      </c>
      <c r="F6" s="2" t="s">
        <v>75</v>
      </c>
      <c r="G6" s="2" t="s">
        <v>76</v>
      </c>
      <c r="H6" s="2" t="s">
        <v>63</v>
      </c>
      <c r="I6" s="2" t="s">
        <v>51</v>
      </c>
      <c r="J6" s="2" t="s">
        <v>77</v>
      </c>
      <c r="K6" s="2" t="s">
        <v>74</v>
      </c>
      <c r="L6" s="2" t="s">
        <v>51</v>
      </c>
      <c r="M6" s="2" t="s">
        <v>63</v>
      </c>
      <c r="N6" s="2" t="s">
        <v>78</v>
      </c>
      <c r="O6" s="2"/>
      <c r="P6" s="2" t="s">
        <v>79</v>
      </c>
      <c r="Q6" s="4" t="n">
        <v>6794</v>
      </c>
      <c r="R6" s="2" t="s">
        <v>56</v>
      </c>
      <c r="S6" s="2" t="s">
        <v>80</v>
      </c>
      <c r="T6" s="2" t="s">
        <v>40</v>
      </c>
      <c r="U6" s="2" t="s">
        <v>81</v>
      </c>
      <c r="V6" s="2"/>
      <c r="W6" s="2" t="s">
        <v>82</v>
      </c>
      <c r="X6" s="2" t="s">
        <v>43</v>
      </c>
      <c r="Y6" s="2" t="s">
        <v>37</v>
      </c>
      <c r="Z6" s="2" t="s">
        <v>44</v>
      </c>
      <c r="AA6" s="2"/>
      <c r="AB6" s="2"/>
      <c r="AC6" s="2" t="s">
        <v>83</v>
      </c>
      <c r="AD6" s="2" t="s">
        <v>46</v>
      </c>
    </row>
    <row r="7" customFormat="false" ht="15.7" hidden="false" customHeight="true" outlineLevel="0" collapsed="false">
      <c r="A7" s="2"/>
      <c r="B7" s="3" t="n">
        <f aca="false">DATE(2006,1,4)</f>
        <v>0</v>
      </c>
      <c r="C7" s="3" t="n">
        <v>38721</v>
      </c>
      <c r="D7" s="2" t="s">
        <v>84</v>
      </c>
      <c r="F7" s="2" t="s">
        <v>85</v>
      </c>
      <c r="G7" s="2" t="s">
        <v>86</v>
      </c>
      <c r="H7" s="2" t="s">
        <v>87</v>
      </c>
      <c r="I7" s="2" t="s">
        <v>88</v>
      </c>
      <c r="J7" s="2" t="s">
        <v>65</v>
      </c>
      <c r="K7" s="2" t="s">
        <v>89</v>
      </c>
      <c r="L7" s="2" t="s">
        <v>88</v>
      </c>
      <c r="M7" s="2" t="s">
        <v>90</v>
      </c>
      <c r="N7" s="2" t="s">
        <v>91</v>
      </c>
      <c r="O7" s="2"/>
      <c r="P7" s="2" t="s">
        <v>79</v>
      </c>
      <c r="Q7" s="4" t="n">
        <v>6794</v>
      </c>
      <c r="R7" s="2" t="s">
        <v>56</v>
      </c>
      <c r="S7" s="2" t="s">
        <v>92</v>
      </c>
      <c r="T7" s="2" t="s">
        <v>40</v>
      </c>
      <c r="U7" s="2" t="s">
        <v>93</v>
      </c>
      <c r="V7" s="2"/>
      <c r="W7" s="2" t="s">
        <v>94</v>
      </c>
      <c r="X7" s="2" t="s">
        <v>43</v>
      </c>
      <c r="Y7" s="2" t="s">
        <v>37</v>
      </c>
      <c r="Z7" s="2" t="s">
        <v>44</v>
      </c>
      <c r="AA7" s="2"/>
      <c r="AB7" s="2"/>
      <c r="AC7" s="2" t="s">
        <v>95</v>
      </c>
      <c r="AD7" s="2" t="s">
        <v>46</v>
      </c>
    </row>
    <row r="8" customFormat="false" ht="15.7" hidden="false" customHeight="true" outlineLevel="0" collapsed="false">
      <c r="A8" s="2"/>
      <c r="B8" s="3" t="n">
        <f aca="false">DATE(2006,1,4)</f>
        <v>0</v>
      </c>
      <c r="C8" s="3" t="n">
        <v>38721</v>
      </c>
      <c r="D8" s="2" t="s">
        <v>96</v>
      </c>
      <c r="F8" s="2" t="s">
        <v>97</v>
      </c>
      <c r="G8" s="2" t="s">
        <v>98</v>
      </c>
      <c r="H8" s="2" t="s">
        <v>99</v>
      </c>
      <c r="I8" s="2" t="s">
        <v>100</v>
      </c>
      <c r="J8" s="2" t="s">
        <v>101</v>
      </c>
      <c r="K8" s="2" t="s">
        <v>102</v>
      </c>
      <c r="L8" s="2" t="s">
        <v>100</v>
      </c>
      <c r="M8" s="2" t="s">
        <v>99</v>
      </c>
      <c r="N8" s="2" t="s">
        <v>103</v>
      </c>
      <c r="O8" s="2" t="s">
        <v>104</v>
      </c>
      <c r="P8" s="2" t="s">
        <v>37</v>
      </c>
      <c r="Q8" s="4" t="n">
        <v>3357</v>
      </c>
      <c r="R8" s="2" t="s">
        <v>105</v>
      </c>
      <c r="S8" s="2" t="s">
        <v>39</v>
      </c>
      <c r="T8" s="2" t="s">
        <v>40</v>
      </c>
      <c r="U8" s="2" t="s">
        <v>106</v>
      </c>
      <c r="V8" s="2"/>
      <c r="W8" s="2" t="s">
        <v>107</v>
      </c>
      <c r="X8" s="2" t="s">
        <v>46</v>
      </c>
      <c r="Y8" s="2" t="s">
        <v>37</v>
      </c>
      <c r="Z8" s="2" t="s">
        <v>108</v>
      </c>
      <c r="AA8" s="2"/>
      <c r="AB8" s="2" t="s">
        <v>109</v>
      </c>
      <c r="AC8" s="2" t="s">
        <v>110</v>
      </c>
      <c r="AD8" s="2" t="s">
        <v>46</v>
      </c>
    </row>
    <row r="9" customFormat="false" ht="15.7" hidden="false" customHeight="true" outlineLevel="0" collapsed="false">
      <c r="A9" s="2"/>
      <c r="B9" s="3" t="n">
        <f aca="false">DATE(2006,1,4)</f>
        <v>0</v>
      </c>
      <c r="C9" s="3" t="n">
        <v>38721</v>
      </c>
      <c r="D9" s="2" t="s">
        <v>111</v>
      </c>
      <c r="F9" s="2" t="s">
        <v>112</v>
      </c>
      <c r="G9" s="2" t="s">
        <v>113</v>
      </c>
      <c r="H9" s="2" t="s">
        <v>114</v>
      </c>
      <c r="I9" s="2" t="s">
        <v>115</v>
      </c>
      <c r="J9" s="2" t="s">
        <v>116</v>
      </c>
      <c r="K9" s="2" t="s">
        <v>117</v>
      </c>
      <c r="L9" s="2" t="s">
        <v>118</v>
      </c>
      <c r="M9" s="2" t="s">
        <v>119</v>
      </c>
      <c r="N9" s="2" t="s">
        <v>120</v>
      </c>
      <c r="O9" s="2"/>
      <c r="P9" s="2" t="s">
        <v>37</v>
      </c>
      <c r="Q9" s="4" t="n">
        <v>4581</v>
      </c>
      <c r="R9" s="2" t="s">
        <v>121</v>
      </c>
      <c r="S9" s="2" t="s">
        <v>39</v>
      </c>
      <c r="T9" s="2" t="s">
        <v>122</v>
      </c>
      <c r="U9" s="2" t="s">
        <v>123</v>
      </c>
      <c r="V9" s="2"/>
      <c r="W9" s="2" t="s">
        <v>124</v>
      </c>
      <c r="X9" s="2" t="s">
        <v>46</v>
      </c>
      <c r="Y9" s="2" t="s">
        <v>37</v>
      </c>
      <c r="Z9" s="2" t="s">
        <v>125</v>
      </c>
      <c r="AA9" s="2"/>
      <c r="AB9" s="2"/>
      <c r="AC9" s="2" t="s">
        <v>126</v>
      </c>
      <c r="AD9" s="2" t="s">
        <v>46</v>
      </c>
    </row>
    <row r="10" customFormat="false" ht="15.7" hidden="false" customHeight="true" outlineLevel="0" collapsed="false">
      <c r="A10" s="2"/>
      <c r="B10" s="3" t="n">
        <f aca="false">DATE(2006,1,5)</f>
        <v>0</v>
      </c>
      <c r="C10" s="3" t="n">
        <v>38722</v>
      </c>
      <c r="D10" s="2" t="s">
        <v>127</v>
      </c>
      <c r="F10" s="2" t="s">
        <v>128</v>
      </c>
      <c r="G10" s="2" t="s">
        <v>129</v>
      </c>
      <c r="H10" s="2" t="s">
        <v>130</v>
      </c>
      <c r="I10" s="2" t="s">
        <v>131</v>
      </c>
      <c r="J10" s="2" t="s">
        <v>132</v>
      </c>
      <c r="K10" s="2" t="s">
        <v>133</v>
      </c>
      <c r="L10" s="2" t="s">
        <v>131</v>
      </c>
      <c r="M10" s="2" t="s">
        <v>134</v>
      </c>
      <c r="N10" s="2" t="s">
        <v>135</v>
      </c>
      <c r="O10" s="2"/>
      <c r="P10" s="2" t="s">
        <v>37</v>
      </c>
      <c r="Q10" s="4" t="n">
        <v>8731</v>
      </c>
      <c r="R10" s="2" t="s">
        <v>136</v>
      </c>
      <c r="S10" s="2" t="s">
        <v>39</v>
      </c>
      <c r="T10" s="2" t="s">
        <v>40</v>
      </c>
      <c r="U10" s="2" t="s">
        <v>137</v>
      </c>
      <c r="V10" s="2"/>
      <c r="W10" s="2" t="s">
        <v>138</v>
      </c>
      <c r="X10" s="2" t="s">
        <v>43</v>
      </c>
      <c r="Y10" s="2" t="s">
        <v>37</v>
      </c>
      <c r="Z10" s="2" t="s">
        <v>44</v>
      </c>
      <c r="AA10" s="2" t="s">
        <v>139</v>
      </c>
      <c r="AB10" s="2"/>
      <c r="AC10" s="2" t="s">
        <v>140</v>
      </c>
      <c r="AD10" s="2" t="s">
        <v>46</v>
      </c>
    </row>
    <row r="11" customFormat="false" ht="15.7" hidden="false" customHeight="true" outlineLevel="0" collapsed="false">
      <c r="A11" s="2"/>
      <c r="B11" s="3" t="n">
        <f aca="false">DATE(2006,1,5)</f>
        <v>0</v>
      </c>
      <c r="C11" s="3" t="n">
        <v>38722</v>
      </c>
      <c r="D11" s="2" t="s">
        <v>141</v>
      </c>
      <c r="F11" s="2" t="s">
        <v>142</v>
      </c>
      <c r="G11" s="2" t="s">
        <v>143</v>
      </c>
      <c r="H11" s="2" t="s">
        <v>144</v>
      </c>
      <c r="I11" s="2" t="s">
        <v>51</v>
      </c>
      <c r="J11" s="2" t="s">
        <v>145</v>
      </c>
      <c r="K11" s="2" t="s">
        <v>141</v>
      </c>
      <c r="L11" s="2" t="s">
        <v>51</v>
      </c>
      <c r="M11" s="2" t="s">
        <v>144</v>
      </c>
      <c r="N11" s="2" t="s">
        <v>146</v>
      </c>
      <c r="O11" s="2"/>
      <c r="P11" s="2" t="s">
        <v>37</v>
      </c>
      <c r="Q11" s="4" t="n">
        <v>8731</v>
      </c>
      <c r="R11" s="2" t="s">
        <v>56</v>
      </c>
      <c r="S11" s="2" t="s">
        <v>147</v>
      </c>
      <c r="T11" s="2" t="s">
        <v>40</v>
      </c>
      <c r="U11" s="2" t="s">
        <v>148</v>
      </c>
      <c r="V11" s="2"/>
      <c r="W11" s="2" t="s">
        <v>42</v>
      </c>
      <c r="X11" s="2" t="s">
        <v>43</v>
      </c>
      <c r="Y11" s="2" t="s">
        <v>37</v>
      </c>
      <c r="Z11" s="2" t="s">
        <v>44</v>
      </c>
      <c r="AA11" s="2"/>
      <c r="AB11" s="2"/>
      <c r="AC11" s="2" t="s">
        <v>149</v>
      </c>
      <c r="AD11" s="2" t="s">
        <v>46</v>
      </c>
    </row>
    <row r="12" customFormat="false" ht="15.7" hidden="false" customHeight="true" outlineLevel="0" collapsed="false">
      <c r="A12" s="2"/>
      <c r="B12" s="3" t="n">
        <f aca="false">DATE(2006,1,5)</f>
        <v>0</v>
      </c>
      <c r="C12" s="3" t="n">
        <v>38722</v>
      </c>
      <c r="D12" s="2" t="s">
        <v>150</v>
      </c>
      <c r="F12" s="2" t="s">
        <v>151</v>
      </c>
      <c r="G12" s="2" t="s">
        <v>152</v>
      </c>
      <c r="H12" s="2" t="s">
        <v>153</v>
      </c>
      <c r="I12" s="2" t="s">
        <v>154</v>
      </c>
      <c r="J12" s="2" t="s">
        <v>155</v>
      </c>
      <c r="K12" s="2" t="s">
        <v>150</v>
      </c>
      <c r="L12" s="2" t="s">
        <v>154</v>
      </c>
      <c r="M12" s="2" t="s">
        <v>153</v>
      </c>
      <c r="N12" s="2" t="s">
        <v>156</v>
      </c>
      <c r="O12" s="2"/>
      <c r="P12" s="2" t="s">
        <v>79</v>
      </c>
      <c r="Q12" s="4" t="n">
        <v>6794</v>
      </c>
      <c r="R12" s="2" t="s">
        <v>136</v>
      </c>
      <c r="S12" s="2" t="s">
        <v>39</v>
      </c>
      <c r="T12" s="2" t="s">
        <v>40</v>
      </c>
      <c r="U12" s="2" t="s">
        <v>157</v>
      </c>
      <c r="V12" s="2"/>
      <c r="W12" s="2" t="s">
        <v>82</v>
      </c>
      <c r="X12" s="2" t="s">
        <v>43</v>
      </c>
      <c r="Y12" s="2" t="s">
        <v>37</v>
      </c>
      <c r="Z12" s="2" t="s">
        <v>44</v>
      </c>
      <c r="AA12" s="2"/>
      <c r="AB12" s="2"/>
      <c r="AC12" s="2" t="s">
        <v>158</v>
      </c>
      <c r="AD12" s="2" t="s">
        <v>46</v>
      </c>
    </row>
    <row r="13" customFormat="false" ht="15.7" hidden="false" customHeight="true" outlineLevel="0" collapsed="false">
      <c r="A13" s="2"/>
      <c r="B13" s="3" t="n">
        <f aca="false">DATE(2006,1,5)</f>
        <v>0</v>
      </c>
      <c r="C13" s="3" t="n">
        <v>38722</v>
      </c>
      <c r="D13" s="2" t="s">
        <v>159</v>
      </c>
      <c r="F13" s="2" t="s">
        <v>160</v>
      </c>
      <c r="G13" s="2" t="s">
        <v>161</v>
      </c>
      <c r="H13" s="2" t="s">
        <v>162</v>
      </c>
      <c r="I13" s="2" t="s">
        <v>163</v>
      </c>
      <c r="J13" s="2" t="s">
        <v>35</v>
      </c>
      <c r="K13" s="2" t="s">
        <v>159</v>
      </c>
      <c r="L13" s="2" t="s">
        <v>163</v>
      </c>
      <c r="M13" s="2" t="s">
        <v>162</v>
      </c>
      <c r="N13" s="2" t="s">
        <v>164</v>
      </c>
      <c r="O13" s="2"/>
      <c r="P13" s="2" t="s">
        <v>37</v>
      </c>
      <c r="Q13" s="4" t="n">
        <v>8731</v>
      </c>
      <c r="R13" s="2" t="s">
        <v>136</v>
      </c>
      <c r="S13" s="2" t="s">
        <v>39</v>
      </c>
      <c r="T13" s="2" t="s">
        <v>40</v>
      </c>
      <c r="U13" s="2" t="s">
        <v>165</v>
      </c>
      <c r="V13" s="2"/>
      <c r="W13" s="2" t="s">
        <v>138</v>
      </c>
      <c r="X13" s="2" t="s">
        <v>43</v>
      </c>
      <c r="Y13" s="2" t="s">
        <v>37</v>
      </c>
      <c r="Z13" s="2" t="s">
        <v>44</v>
      </c>
      <c r="AA13" s="2"/>
      <c r="AB13" s="2"/>
      <c r="AC13" s="2" t="s">
        <v>166</v>
      </c>
      <c r="AD13" s="2" t="s">
        <v>46</v>
      </c>
    </row>
    <row r="14" customFormat="false" ht="15.7" hidden="false" customHeight="true" outlineLevel="0" collapsed="false">
      <c r="A14" s="2"/>
      <c r="B14" s="3" t="n">
        <f aca="false">DATE(2006,1,8)</f>
        <v>0</v>
      </c>
      <c r="C14" s="3" t="n">
        <v>38725</v>
      </c>
      <c r="D14" s="2" t="s">
        <v>167</v>
      </c>
      <c r="F14" s="2" t="s">
        <v>168</v>
      </c>
      <c r="G14" s="2" t="s">
        <v>169</v>
      </c>
      <c r="H14" s="2" t="s">
        <v>170</v>
      </c>
      <c r="I14" s="2" t="s">
        <v>51</v>
      </c>
      <c r="J14" s="2" t="s">
        <v>171</v>
      </c>
      <c r="K14" s="2" t="s">
        <v>167</v>
      </c>
      <c r="L14" s="2" t="s">
        <v>51</v>
      </c>
      <c r="M14" s="2" t="s">
        <v>170</v>
      </c>
      <c r="N14" s="2" t="s">
        <v>172</v>
      </c>
      <c r="O14" s="2"/>
      <c r="P14" s="2" t="s">
        <v>37</v>
      </c>
      <c r="Q14" s="4" t="n">
        <v>8731</v>
      </c>
      <c r="R14" s="2" t="s">
        <v>56</v>
      </c>
      <c r="S14" s="2" t="s">
        <v>92</v>
      </c>
      <c r="T14" s="2" t="s">
        <v>40</v>
      </c>
      <c r="U14" s="2" t="s">
        <v>173</v>
      </c>
      <c r="V14" s="2"/>
      <c r="W14" s="2" t="s">
        <v>42</v>
      </c>
      <c r="X14" s="2" t="s">
        <v>43</v>
      </c>
      <c r="Y14" s="2" t="s">
        <v>37</v>
      </c>
      <c r="Z14" s="2" t="s">
        <v>44</v>
      </c>
      <c r="AA14" s="2"/>
      <c r="AB14" s="2"/>
      <c r="AC14" s="2" t="s">
        <v>174</v>
      </c>
      <c r="AD14" s="2" t="s">
        <v>46</v>
      </c>
    </row>
    <row r="15" customFormat="false" ht="15.7" hidden="false" customHeight="true" outlineLevel="0" collapsed="false">
      <c r="A15" s="2"/>
      <c r="B15" s="3" t="n">
        <f aca="false">DATE(2006,1,9)</f>
        <v>0</v>
      </c>
      <c r="C15" s="3" t="n">
        <v>38726</v>
      </c>
      <c r="D15" s="2" t="s">
        <v>175</v>
      </c>
      <c r="F15" s="2" t="s">
        <v>176</v>
      </c>
      <c r="G15" s="2" t="s">
        <v>177</v>
      </c>
      <c r="H15" s="2" t="s">
        <v>130</v>
      </c>
      <c r="I15" s="2" t="s">
        <v>51</v>
      </c>
      <c r="J15" s="2" t="s">
        <v>178</v>
      </c>
      <c r="K15" s="2" t="s">
        <v>179</v>
      </c>
      <c r="L15" s="2" t="s">
        <v>180</v>
      </c>
      <c r="M15" s="2" t="s">
        <v>130</v>
      </c>
      <c r="N15" s="2" t="s">
        <v>181</v>
      </c>
      <c r="O15" s="2"/>
      <c r="P15" s="2" t="s">
        <v>79</v>
      </c>
      <c r="Q15" s="4" t="n">
        <v>6794</v>
      </c>
      <c r="R15" s="2" t="s">
        <v>56</v>
      </c>
      <c r="S15" s="2" t="s">
        <v>57</v>
      </c>
      <c r="T15" s="2" t="s">
        <v>40</v>
      </c>
      <c r="U15" s="2" t="s">
        <v>182</v>
      </c>
      <c r="V15" s="2"/>
      <c r="W15" s="2" t="s">
        <v>82</v>
      </c>
      <c r="X15" s="2" t="s">
        <v>43</v>
      </c>
      <c r="Y15" s="2" t="s">
        <v>37</v>
      </c>
      <c r="Z15" s="2" t="s">
        <v>44</v>
      </c>
      <c r="AA15" s="2"/>
      <c r="AB15" s="2"/>
      <c r="AC15" s="2" t="s">
        <v>183</v>
      </c>
      <c r="AD15" s="2" t="s">
        <v>46</v>
      </c>
    </row>
    <row r="16" customFormat="false" ht="15.7" hidden="false" customHeight="true" outlineLevel="0" collapsed="false">
      <c r="A16" s="2"/>
      <c r="B16" s="3" t="n">
        <f aca="false">DATE(2006,1,9)</f>
        <v>0</v>
      </c>
      <c r="C16" s="3" t="n">
        <v>38726</v>
      </c>
      <c r="D16" s="2" t="s">
        <v>184</v>
      </c>
      <c r="F16" s="2" t="s">
        <v>185</v>
      </c>
      <c r="G16" s="2" t="s">
        <v>186</v>
      </c>
      <c r="H16" s="2" t="s">
        <v>170</v>
      </c>
      <c r="I16" s="2" t="s">
        <v>51</v>
      </c>
      <c r="J16" s="2" t="s">
        <v>187</v>
      </c>
      <c r="K16" s="2" t="s">
        <v>184</v>
      </c>
      <c r="L16" s="2" t="s">
        <v>51</v>
      </c>
      <c r="M16" s="2" t="s">
        <v>170</v>
      </c>
      <c r="N16" s="2" t="s">
        <v>188</v>
      </c>
      <c r="O16" s="2"/>
      <c r="P16" s="2" t="s">
        <v>79</v>
      </c>
      <c r="Q16" s="4" t="n">
        <v>6794</v>
      </c>
      <c r="R16" s="2" t="s">
        <v>136</v>
      </c>
      <c r="S16" s="2" t="s">
        <v>39</v>
      </c>
      <c r="T16" s="2" t="s">
        <v>40</v>
      </c>
      <c r="U16" s="2" t="s">
        <v>189</v>
      </c>
      <c r="V16" s="2"/>
      <c r="W16" s="2" t="s">
        <v>190</v>
      </c>
      <c r="X16" s="2" t="s">
        <v>43</v>
      </c>
      <c r="Y16" s="2" t="s">
        <v>37</v>
      </c>
      <c r="Z16" s="2" t="s">
        <v>44</v>
      </c>
      <c r="AA16" s="2"/>
      <c r="AB16" s="2"/>
      <c r="AC16" s="2" t="s">
        <v>191</v>
      </c>
      <c r="AD16" s="2" t="s">
        <v>46</v>
      </c>
    </row>
    <row r="17" customFormat="false" ht="15.7" hidden="false" customHeight="true" outlineLevel="0" collapsed="false">
      <c r="A17" s="2"/>
      <c r="B17" s="3" t="n">
        <f aca="false">DATE(2006,1,9)</f>
        <v>0</v>
      </c>
      <c r="C17" s="3" t="n">
        <v>38726</v>
      </c>
      <c r="D17" s="2" t="s">
        <v>192</v>
      </c>
      <c r="F17" s="2" t="s">
        <v>193</v>
      </c>
      <c r="G17" s="2" t="s">
        <v>194</v>
      </c>
      <c r="H17" s="2" t="s">
        <v>63</v>
      </c>
      <c r="I17" s="2" t="s">
        <v>51</v>
      </c>
      <c r="J17" s="2" t="s">
        <v>195</v>
      </c>
      <c r="K17" s="2" t="s">
        <v>192</v>
      </c>
      <c r="L17" s="2" t="s">
        <v>51</v>
      </c>
      <c r="M17" s="2" t="s">
        <v>63</v>
      </c>
      <c r="N17" s="2" t="s">
        <v>196</v>
      </c>
      <c r="O17" s="2"/>
      <c r="P17" s="2" t="s">
        <v>37</v>
      </c>
      <c r="Q17" s="4" t="n">
        <v>8731</v>
      </c>
      <c r="R17" s="2" t="s">
        <v>56</v>
      </c>
      <c r="S17" s="2" t="s">
        <v>80</v>
      </c>
      <c r="T17" s="2" t="s">
        <v>40</v>
      </c>
      <c r="U17" s="2" t="s">
        <v>197</v>
      </c>
      <c r="V17" s="2"/>
      <c r="W17" s="2" t="s">
        <v>138</v>
      </c>
      <c r="X17" s="2" t="s">
        <v>43</v>
      </c>
      <c r="Y17" s="2" t="s">
        <v>37</v>
      </c>
      <c r="Z17" s="2" t="s">
        <v>44</v>
      </c>
      <c r="AA17" s="2"/>
      <c r="AB17" s="2"/>
      <c r="AC17" s="2" t="s">
        <v>198</v>
      </c>
      <c r="AD17" s="2" t="s">
        <v>46</v>
      </c>
    </row>
    <row r="18" customFormat="false" ht="15.7" hidden="false" customHeight="true" outlineLevel="0" collapsed="false">
      <c r="A18" s="2"/>
      <c r="B18" s="3" t="n">
        <f aca="false">DATE(2006,1,9)</f>
        <v>0</v>
      </c>
      <c r="C18" s="3" t="n">
        <v>38726</v>
      </c>
      <c r="D18" s="2" t="s">
        <v>199</v>
      </c>
      <c r="F18" s="2" t="s">
        <v>200</v>
      </c>
      <c r="G18" s="2" t="s">
        <v>201</v>
      </c>
      <c r="H18" s="2" t="s">
        <v>170</v>
      </c>
      <c r="I18" s="2" t="s">
        <v>202</v>
      </c>
      <c r="J18" s="2" t="s">
        <v>203</v>
      </c>
      <c r="K18" s="2" t="s">
        <v>199</v>
      </c>
      <c r="L18" s="2" t="s">
        <v>202</v>
      </c>
      <c r="M18" s="2" t="s">
        <v>170</v>
      </c>
      <c r="N18" s="2" t="s">
        <v>204</v>
      </c>
      <c r="O18" s="2"/>
      <c r="P18" s="2" t="s">
        <v>79</v>
      </c>
      <c r="Q18" s="4" t="n">
        <v>6794</v>
      </c>
      <c r="R18" s="2" t="s">
        <v>136</v>
      </c>
      <c r="S18" s="2" t="s">
        <v>39</v>
      </c>
      <c r="T18" s="2" t="s">
        <v>40</v>
      </c>
      <c r="U18" s="2" t="s">
        <v>205</v>
      </c>
      <c r="V18" s="2"/>
      <c r="W18" s="2" t="s">
        <v>206</v>
      </c>
      <c r="X18" s="2" t="s">
        <v>43</v>
      </c>
      <c r="Y18" s="2" t="s">
        <v>37</v>
      </c>
      <c r="Z18" s="2" t="s">
        <v>44</v>
      </c>
      <c r="AA18" s="2"/>
      <c r="AB18" s="2"/>
      <c r="AC18" s="2" t="s">
        <v>207</v>
      </c>
      <c r="AD18" s="2" t="s">
        <v>46</v>
      </c>
    </row>
    <row r="19" customFormat="false" ht="15.7" hidden="false" customHeight="true" outlineLevel="0" collapsed="false">
      <c r="A19" s="2"/>
      <c r="B19" s="3" t="n">
        <f aca="false">DATE(2006,1,9)</f>
        <v>0</v>
      </c>
      <c r="C19" s="3" t="n">
        <v>38726</v>
      </c>
      <c r="D19" s="2" t="s">
        <v>208</v>
      </c>
      <c r="F19" s="2" t="s">
        <v>209</v>
      </c>
      <c r="G19" s="2" t="s">
        <v>210</v>
      </c>
      <c r="H19" s="2" t="s">
        <v>211</v>
      </c>
      <c r="I19" s="2" t="s">
        <v>131</v>
      </c>
      <c r="J19" s="2" t="s">
        <v>132</v>
      </c>
      <c r="K19" s="2" t="s">
        <v>208</v>
      </c>
      <c r="L19" s="2" t="s">
        <v>131</v>
      </c>
      <c r="M19" s="2" t="s">
        <v>211</v>
      </c>
      <c r="N19" s="2" t="s">
        <v>212</v>
      </c>
      <c r="O19" s="2"/>
      <c r="P19" s="2" t="s">
        <v>79</v>
      </c>
      <c r="Q19" s="4" t="n">
        <v>6794</v>
      </c>
      <c r="R19" s="2" t="s">
        <v>136</v>
      </c>
      <c r="S19" s="2" t="s">
        <v>39</v>
      </c>
      <c r="T19" s="2" t="s">
        <v>40</v>
      </c>
      <c r="U19" s="2" t="s">
        <v>213</v>
      </c>
      <c r="V19" s="2"/>
      <c r="W19" s="2" t="s">
        <v>214</v>
      </c>
      <c r="X19" s="2" t="s">
        <v>43</v>
      </c>
      <c r="Y19" s="2" t="s">
        <v>37</v>
      </c>
      <c r="Z19" s="2" t="s">
        <v>44</v>
      </c>
      <c r="AA19" s="2"/>
      <c r="AB19" s="2"/>
      <c r="AC19" s="2" t="s">
        <v>215</v>
      </c>
      <c r="AD19" s="2" t="s">
        <v>46</v>
      </c>
    </row>
    <row r="20" customFormat="false" ht="15.7" hidden="false" customHeight="true" outlineLevel="0" collapsed="false">
      <c r="A20" s="2"/>
      <c r="B20" s="3" t="n">
        <f aca="false">DATE(2006,1,10)</f>
        <v>0</v>
      </c>
      <c r="C20" s="3" t="n">
        <v>38727</v>
      </c>
      <c r="D20" s="2" t="s">
        <v>216</v>
      </c>
      <c r="F20" s="2" t="s">
        <v>217</v>
      </c>
      <c r="G20" s="2" t="s">
        <v>218</v>
      </c>
      <c r="H20" s="2" t="s">
        <v>130</v>
      </c>
      <c r="I20" s="2" t="s">
        <v>219</v>
      </c>
      <c r="J20" s="2" t="s">
        <v>220</v>
      </c>
      <c r="K20" s="2" t="s">
        <v>216</v>
      </c>
      <c r="L20" s="2" t="s">
        <v>219</v>
      </c>
      <c r="M20" s="2" t="s">
        <v>130</v>
      </c>
      <c r="N20" s="2" t="s">
        <v>221</v>
      </c>
      <c r="O20" s="2"/>
      <c r="P20" s="2" t="s">
        <v>37</v>
      </c>
      <c r="Q20" s="4" t="n">
        <v>8731</v>
      </c>
      <c r="R20" s="2" t="s">
        <v>136</v>
      </c>
      <c r="S20" s="2" t="s">
        <v>39</v>
      </c>
      <c r="T20" s="2" t="s">
        <v>40</v>
      </c>
      <c r="U20" s="2" t="s">
        <v>222</v>
      </c>
      <c r="V20" s="2"/>
      <c r="W20" s="2" t="s">
        <v>138</v>
      </c>
      <c r="X20" s="2" t="s">
        <v>43</v>
      </c>
      <c r="Y20" s="2" t="s">
        <v>37</v>
      </c>
      <c r="Z20" s="2" t="s">
        <v>44</v>
      </c>
      <c r="AA20" s="2"/>
      <c r="AB20" s="2"/>
      <c r="AC20" s="2" t="s">
        <v>223</v>
      </c>
      <c r="AD20" s="2" t="s">
        <v>46</v>
      </c>
    </row>
    <row r="21" customFormat="false" ht="15.7" hidden="false" customHeight="true" outlineLevel="0" collapsed="false">
      <c r="A21" s="2"/>
      <c r="B21" s="3" t="n">
        <f aca="false">DATE(2006,1,10)</f>
        <v>0</v>
      </c>
      <c r="C21" s="3" t="n">
        <v>38727</v>
      </c>
      <c r="D21" s="2" t="s">
        <v>224</v>
      </c>
      <c r="F21" s="2" t="s">
        <v>225</v>
      </c>
      <c r="G21" s="2" t="s">
        <v>226</v>
      </c>
      <c r="H21" s="2" t="s">
        <v>63</v>
      </c>
      <c r="I21" s="2" t="s">
        <v>227</v>
      </c>
      <c r="J21" s="2" t="s">
        <v>228</v>
      </c>
      <c r="K21" s="2" t="s">
        <v>229</v>
      </c>
      <c r="L21" s="2" t="s">
        <v>227</v>
      </c>
      <c r="M21" s="2" t="s">
        <v>230</v>
      </c>
      <c r="N21" s="2" t="s">
        <v>231</v>
      </c>
      <c r="O21" s="2"/>
      <c r="P21" s="2" t="s">
        <v>79</v>
      </c>
      <c r="Q21" s="4" t="n">
        <v>6794</v>
      </c>
      <c r="R21" s="2" t="s">
        <v>136</v>
      </c>
      <c r="S21" s="2" t="s">
        <v>39</v>
      </c>
      <c r="T21" s="2" t="s">
        <v>40</v>
      </c>
      <c r="U21" s="2" t="s">
        <v>232</v>
      </c>
      <c r="V21" s="2"/>
      <c r="W21" s="2" t="s">
        <v>233</v>
      </c>
      <c r="X21" s="2" t="s">
        <v>43</v>
      </c>
      <c r="Y21" s="2" t="s">
        <v>37</v>
      </c>
      <c r="Z21" s="2" t="s">
        <v>44</v>
      </c>
      <c r="AA21" s="2"/>
      <c r="AB21" s="2"/>
      <c r="AC21" s="2" t="s">
        <v>234</v>
      </c>
      <c r="AD21" s="2" t="s">
        <v>46</v>
      </c>
    </row>
    <row r="22" customFormat="false" ht="15.7" hidden="false" customHeight="true" outlineLevel="0" collapsed="false">
      <c r="A22" s="2"/>
      <c r="B22" s="3" t="n">
        <f aca="false">DATE(2006,1,10)</f>
        <v>0</v>
      </c>
      <c r="C22" s="3" t="n">
        <v>38727</v>
      </c>
      <c r="D22" s="2" t="s">
        <v>235</v>
      </c>
      <c r="F22" s="2" t="s">
        <v>236</v>
      </c>
      <c r="G22" s="2" t="s">
        <v>237</v>
      </c>
      <c r="H22" s="2" t="s">
        <v>238</v>
      </c>
      <c r="I22" s="2" t="s">
        <v>100</v>
      </c>
      <c r="J22" s="2" t="s">
        <v>203</v>
      </c>
      <c r="K22" s="2" t="s">
        <v>239</v>
      </c>
      <c r="L22" s="2" t="s">
        <v>100</v>
      </c>
      <c r="M22" s="2" t="s">
        <v>240</v>
      </c>
      <c r="N22" s="2" t="s">
        <v>241</v>
      </c>
      <c r="O22" s="2"/>
      <c r="P22" s="2" t="s">
        <v>79</v>
      </c>
      <c r="Q22" s="4" t="n">
        <v>6794</v>
      </c>
      <c r="R22" s="2" t="s">
        <v>136</v>
      </c>
      <c r="S22" s="2" t="s">
        <v>39</v>
      </c>
      <c r="T22" s="2" t="s">
        <v>40</v>
      </c>
      <c r="U22" s="2" t="s">
        <v>242</v>
      </c>
      <c r="V22" s="2"/>
      <c r="W22" s="2" t="s">
        <v>82</v>
      </c>
      <c r="X22" s="2" t="s">
        <v>43</v>
      </c>
      <c r="Y22" s="2" t="s">
        <v>37</v>
      </c>
      <c r="Z22" s="2" t="s">
        <v>44</v>
      </c>
      <c r="AA22" s="2"/>
      <c r="AB22" s="2"/>
      <c r="AC22" s="2" t="s">
        <v>243</v>
      </c>
      <c r="AD22" s="2" t="s">
        <v>46</v>
      </c>
    </row>
    <row r="23" customFormat="false" ht="15.7" hidden="false" customHeight="true" outlineLevel="0" collapsed="false">
      <c r="A23" s="2"/>
      <c r="B23" s="3" t="n">
        <f aca="false">DATE(2006,1,11)</f>
        <v>0</v>
      </c>
      <c r="C23" s="3" t="n">
        <v>38728</v>
      </c>
      <c r="D23" s="2" t="s">
        <v>244</v>
      </c>
      <c r="F23" s="2" t="s">
        <v>245</v>
      </c>
      <c r="G23" s="2" t="s">
        <v>246</v>
      </c>
      <c r="H23" s="2" t="s">
        <v>247</v>
      </c>
      <c r="I23" s="2" t="s">
        <v>51</v>
      </c>
      <c r="J23" s="2" t="s">
        <v>248</v>
      </c>
      <c r="K23" s="2" t="s">
        <v>249</v>
      </c>
      <c r="L23" s="2" t="s">
        <v>51</v>
      </c>
      <c r="M23" s="2" t="s">
        <v>130</v>
      </c>
      <c r="N23" s="2" t="s">
        <v>250</v>
      </c>
      <c r="O23" s="2"/>
      <c r="P23" s="2" t="s">
        <v>79</v>
      </c>
      <c r="Q23" s="4" t="n">
        <v>6794</v>
      </c>
      <c r="R23" s="2" t="s">
        <v>56</v>
      </c>
      <c r="S23" s="2" t="s">
        <v>251</v>
      </c>
      <c r="T23" s="2" t="s">
        <v>40</v>
      </c>
      <c r="U23" s="2" t="s">
        <v>252</v>
      </c>
      <c r="V23" s="2"/>
      <c r="W23" s="2" t="s">
        <v>253</v>
      </c>
      <c r="X23" s="2" t="s">
        <v>43</v>
      </c>
      <c r="Y23" s="2" t="s">
        <v>37</v>
      </c>
      <c r="Z23" s="2" t="s">
        <v>44</v>
      </c>
      <c r="AA23" s="2"/>
      <c r="AB23" s="2"/>
      <c r="AC23" s="2" t="s">
        <v>254</v>
      </c>
      <c r="AD23" s="2" t="s">
        <v>46</v>
      </c>
    </row>
    <row r="24" customFormat="false" ht="15.7" hidden="false" customHeight="true" outlineLevel="0" collapsed="false">
      <c r="A24" s="2"/>
      <c r="B24" s="3" t="n">
        <f aca="false">DATE(2006,1,11)</f>
        <v>0</v>
      </c>
      <c r="C24" s="3" t="n">
        <v>38728</v>
      </c>
      <c r="D24" s="2" t="s">
        <v>255</v>
      </c>
      <c r="F24" s="2" t="s">
        <v>256</v>
      </c>
      <c r="G24" s="2" t="s">
        <v>256</v>
      </c>
      <c r="H24" s="2" t="s">
        <v>170</v>
      </c>
      <c r="I24" s="2" t="s">
        <v>257</v>
      </c>
      <c r="J24" s="2" t="s">
        <v>258</v>
      </c>
      <c r="K24" s="2" t="s">
        <v>255</v>
      </c>
      <c r="L24" s="2" t="s">
        <v>257</v>
      </c>
      <c r="M24" s="2" t="s">
        <v>170</v>
      </c>
      <c r="N24" s="2" t="s">
        <v>259</v>
      </c>
      <c r="O24" s="2"/>
      <c r="P24" s="2" t="s">
        <v>37</v>
      </c>
      <c r="Q24" s="4" t="n">
        <v>8731</v>
      </c>
      <c r="R24" s="2" t="s">
        <v>136</v>
      </c>
      <c r="S24" s="2" t="s">
        <v>39</v>
      </c>
      <c r="T24" s="2" t="s">
        <v>40</v>
      </c>
      <c r="U24" s="2" t="s">
        <v>260</v>
      </c>
      <c r="V24" s="2"/>
      <c r="W24" s="2" t="s">
        <v>42</v>
      </c>
      <c r="X24" s="2" t="s">
        <v>43</v>
      </c>
      <c r="Y24" s="2" t="s">
        <v>37</v>
      </c>
      <c r="Z24" s="2" t="s">
        <v>44</v>
      </c>
      <c r="AA24" s="2"/>
      <c r="AB24" s="2"/>
      <c r="AC24" s="2" t="s">
        <v>261</v>
      </c>
      <c r="AD24" s="2" t="s">
        <v>46</v>
      </c>
    </row>
    <row r="25" customFormat="false" ht="15.7" hidden="false" customHeight="true" outlineLevel="0" collapsed="false">
      <c r="A25" s="2"/>
      <c r="B25" s="3" t="n">
        <f aca="false">DATE(2006,1,11)</f>
        <v>0</v>
      </c>
      <c r="C25" s="3" t="n">
        <v>38728</v>
      </c>
      <c r="D25" s="2" t="s">
        <v>262</v>
      </c>
      <c r="F25" s="2" t="s">
        <v>263</v>
      </c>
      <c r="G25" s="2" t="s">
        <v>264</v>
      </c>
      <c r="H25" s="2" t="s">
        <v>265</v>
      </c>
      <c r="I25" s="2" t="s">
        <v>51</v>
      </c>
      <c r="J25" s="2" t="s">
        <v>266</v>
      </c>
      <c r="K25" s="2" t="s">
        <v>267</v>
      </c>
      <c r="L25" s="2" t="s">
        <v>51</v>
      </c>
      <c r="M25" s="2" t="s">
        <v>268</v>
      </c>
      <c r="N25" s="2" t="s">
        <v>269</v>
      </c>
      <c r="O25" s="2"/>
      <c r="P25" s="2" t="s">
        <v>79</v>
      </c>
      <c r="Q25" s="4" t="n">
        <v>6794</v>
      </c>
      <c r="R25" s="2" t="s">
        <v>136</v>
      </c>
      <c r="S25" s="2" t="s">
        <v>39</v>
      </c>
      <c r="T25" s="2" t="s">
        <v>40</v>
      </c>
      <c r="U25" s="2" t="s">
        <v>270</v>
      </c>
      <c r="V25" s="2"/>
      <c r="W25" s="2" t="s">
        <v>82</v>
      </c>
      <c r="X25" s="2" t="s">
        <v>43</v>
      </c>
      <c r="Y25" s="2" t="s">
        <v>37</v>
      </c>
      <c r="Z25" s="2" t="s">
        <v>44</v>
      </c>
      <c r="AA25" s="2"/>
      <c r="AB25" s="2"/>
      <c r="AC25" s="2" t="s">
        <v>271</v>
      </c>
      <c r="AD25" s="2" t="s">
        <v>46</v>
      </c>
    </row>
    <row r="26" customFormat="false" ht="15.7" hidden="false" customHeight="true" outlineLevel="0" collapsed="false">
      <c r="A26" s="2"/>
      <c r="B26" s="3" t="n">
        <f aca="false">DATE(2006,1,11)</f>
        <v>0</v>
      </c>
      <c r="C26" s="3" t="n">
        <v>38728</v>
      </c>
      <c r="D26" s="2" t="s">
        <v>272</v>
      </c>
      <c r="F26" s="2" t="s">
        <v>273</v>
      </c>
      <c r="G26" s="2" t="s">
        <v>274</v>
      </c>
      <c r="H26" s="2" t="s">
        <v>63</v>
      </c>
      <c r="I26" s="2" t="s">
        <v>51</v>
      </c>
      <c r="J26" s="2" t="s">
        <v>275</v>
      </c>
      <c r="K26" s="2" t="s">
        <v>272</v>
      </c>
      <c r="L26" s="2" t="s">
        <v>51</v>
      </c>
      <c r="M26" s="2" t="s">
        <v>63</v>
      </c>
      <c r="N26" s="2" t="s">
        <v>276</v>
      </c>
      <c r="O26" s="2"/>
      <c r="P26" s="2" t="s">
        <v>79</v>
      </c>
      <c r="Q26" s="4" t="n">
        <v>6794</v>
      </c>
      <c r="R26" s="2" t="s">
        <v>56</v>
      </c>
      <c r="S26" s="2" t="s">
        <v>277</v>
      </c>
      <c r="T26" s="2" t="s">
        <v>40</v>
      </c>
      <c r="U26" s="2" t="s">
        <v>278</v>
      </c>
      <c r="V26" s="2"/>
      <c r="W26" s="2" t="s">
        <v>82</v>
      </c>
      <c r="X26" s="2" t="s">
        <v>43</v>
      </c>
      <c r="Y26" s="2" t="s">
        <v>37</v>
      </c>
      <c r="Z26" s="2" t="s">
        <v>44</v>
      </c>
      <c r="AA26" s="2"/>
      <c r="AB26" s="2"/>
      <c r="AC26" s="2" t="s">
        <v>279</v>
      </c>
      <c r="AD26" s="2" t="s">
        <v>46</v>
      </c>
    </row>
    <row r="27" customFormat="false" ht="15.7" hidden="false" customHeight="true" outlineLevel="0" collapsed="false">
      <c r="A27" s="2"/>
      <c r="B27" s="3" t="n">
        <f aca="false">DATE(2006,1,11)</f>
        <v>0</v>
      </c>
      <c r="C27" s="3" t="n">
        <v>38728</v>
      </c>
      <c r="D27" s="2" t="s">
        <v>280</v>
      </c>
      <c r="F27" s="2" t="s">
        <v>281</v>
      </c>
      <c r="G27" s="2" t="s">
        <v>282</v>
      </c>
      <c r="H27" s="2" t="s">
        <v>283</v>
      </c>
      <c r="I27" s="2" t="s">
        <v>284</v>
      </c>
      <c r="J27" s="2" t="s">
        <v>35</v>
      </c>
      <c r="K27" s="2" t="s">
        <v>285</v>
      </c>
      <c r="L27" s="2" t="s">
        <v>286</v>
      </c>
      <c r="M27" s="2" t="s">
        <v>283</v>
      </c>
      <c r="N27" s="2" t="s">
        <v>287</v>
      </c>
      <c r="O27" s="2"/>
      <c r="P27" s="2" t="s">
        <v>79</v>
      </c>
      <c r="Q27" s="4" t="n">
        <v>6794</v>
      </c>
      <c r="R27" s="2" t="s">
        <v>38</v>
      </c>
      <c r="S27" s="2" t="s">
        <v>39</v>
      </c>
      <c r="T27" s="2" t="s">
        <v>40</v>
      </c>
      <c r="U27" s="2" t="s">
        <v>288</v>
      </c>
      <c r="V27" s="2"/>
      <c r="W27" s="2" t="s">
        <v>82</v>
      </c>
      <c r="X27" s="2" t="s">
        <v>43</v>
      </c>
      <c r="Y27" s="2" t="s">
        <v>37</v>
      </c>
      <c r="Z27" s="2" t="s">
        <v>44</v>
      </c>
      <c r="AA27" s="2"/>
      <c r="AB27" s="2"/>
      <c r="AC27" s="2" t="s">
        <v>289</v>
      </c>
      <c r="AD27" s="2" t="s">
        <v>46</v>
      </c>
    </row>
    <row r="28" customFormat="false" ht="15.7" hidden="false" customHeight="true" outlineLevel="0" collapsed="false">
      <c r="A28" s="2"/>
      <c r="B28" s="3" t="n">
        <f aca="false">DATE(2006,1,11)</f>
        <v>0</v>
      </c>
      <c r="C28" s="3" t="n">
        <v>38728</v>
      </c>
      <c r="D28" s="2" t="s">
        <v>290</v>
      </c>
      <c r="F28" s="2" t="s">
        <v>291</v>
      </c>
      <c r="G28" s="2" t="s">
        <v>292</v>
      </c>
      <c r="H28" s="2" t="s">
        <v>130</v>
      </c>
      <c r="I28" s="2" t="s">
        <v>51</v>
      </c>
      <c r="J28" s="2" t="s">
        <v>293</v>
      </c>
      <c r="K28" s="2" t="s">
        <v>294</v>
      </c>
      <c r="L28" s="2" t="s">
        <v>51</v>
      </c>
      <c r="M28" s="2" t="s">
        <v>130</v>
      </c>
      <c r="N28" s="2" t="s">
        <v>295</v>
      </c>
      <c r="O28" s="2"/>
      <c r="P28" s="2" t="s">
        <v>79</v>
      </c>
      <c r="Q28" s="4" t="n">
        <v>6794</v>
      </c>
      <c r="R28" s="2" t="s">
        <v>296</v>
      </c>
      <c r="S28" s="2" t="s">
        <v>297</v>
      </c>
      <c r="T28" s="2" t="s">
        <v>40</v>
      </c>
      <c r="U28" s="2" t="s">
        <v>298</v>
      </c>
      <c r="V28" s="2"/>
      <c r="W28" s="2" t="s">
        <v>299</v>
      </c>
      <c r="X28" s="2" t="s">
        <v>43</v>
      </c>
      <c r="Y28" s="2" t="s">
        <v>79</v>
      </c>
      <c r="Z28" s="2" t="s">
        <v>44</v>
      </c>
      <c r="AA28" s="2" t="s">
        <v>300</v>
      </c>
      <c r="AB28" s="2"/>
      <c r="AC28" s="2" t="s">
        <v>301</v>
      </c>
      <c r="AD28" s="2" t="s">
        <v>46</v>
      </c>
    </row>
    <row r="29" customFormat="false" ht="15.7" hidden="false" customHeight="true" outlineLevel="0" collapsed="false">
      <c r="A29" s="2"/>
      <c r="B29" s="3" t="n">
        <f aca="false">DATE(2006,1,12)</f>
        <v>0</v>
      </c>
      <c r="C29" s="3" t="n">
        <v>38729</v>
      </c>
      <c r="D29" s="2" t="s">
        <v>302</v>
      </c>
      <c r="F29" s="2" t="s">
        <v>303</v>
      </c>
      <c r="G29" s="2" t="s">
        <v>304</v>
      </c>
      <c r="H29" s="2" t="s">
        <v>305</v>
      </c>
      <c r="I29" s="2" t="s">
        <v>51</v>
      </c>
      <c r="J29" s="2" t="s">
        <v>306</v>
      </c>
      <c r="K29" s="2" t="s">
        <v>302</v>
      </c>
      <c r="L29" s="2" t="s">
        <v>51</v>
      </c>
      <c r="M29" s="2" t="s">
        <v>305</v>
      </c>
      <c r="N29" s="2" t="s">
        <v>307</v>
      </c>
      <c r="O29" s="2"/>
      <c r="P29" s="2" t="s">
        <v>37</v>
      </c>
      <c r="Q29" s="4" t="n">
        <v>8731</v>
      </c>
      <c r="R29" s="2" t="s">
        <v>56</v>
      </c>
      <c r="S29" s="2" t="s">
        <v>57</v>
      </c>
      <c r="T29" s="2" t="s">
        <v>40</v>
      </c>
      <c r="U29" s="2" t="s">
        <v>308</v>
      </c>
      <c r="V29" s="2"/>
      <c r="W29" s="2" t="s">
        <v>138</v>
      </c>
      <c r="X29" s="2" t="s">
        <v>43</v>
      </c>
      <c r="Y29" s="2" t="s">
        <v>37</v>
      </c>
      <c r="Z29" s="2" t="s">
        <v>44</v>
      </c>
      <c r="AA29" s="2"/>
      <c r="AB29" s="2"/>
      <c r="AC29" s="2" t="s">
        <v>309</v>
      </c>
      <c r="AD29" s="2" t="s">
        <v>46</v>
      </c>
    </row>
    <row r="30" customFormat="false" ht="15.7" hidden="false" customHeight="true" outlineLevel="0" collapsed="false">
      <c r="A30" s="2"/>
      <c r="B30" s="3" t="n">
        <f aca="false">DATE(2006,1,12)</f>
        <v>0</v>
      </c>
      <c r="C30" s="3" t="n">
        <v>38729</v>
      </c>
      <c r="D30" s="2" t="s">
        <v>310</v>
      </c>
      <c r="F30" s="2" t="s">
        <v>311</v>
      </c>
      <c r="G30" s="2" t="s">
        <v>312</v>
      </c>
      <c r="H30" s="2" t="s">
        <v>130</v>
      </c>
      <c r="I30" s="2" t="s">
        <v>88</v>
      </c>
      <c r="J30" s="2" t="s">
        <v>313</v>
      </c>
      <c r="K30" s="2" t="s">
        <v>310</v>
      </c>
      <c r="L30" s="2" t="s">
        <v>88</v>
      </c>
      <c r="M30" s="2" t="s">
        <v>130</v>
      </c>
      <c r="N30" s="2" t="s">
        <v>314</v>
      </c>
      <c r="O30" s="2"/>
      <c r="P30" s="2" t="s">
        <v>79</v>
      </c>
      <c r="Q30" s="4" t="n">
        <v>6794</v>
      </c>
      <c r="R30" s="2" t="s">
        <v>56</v>
      </c>
      <c r="S30" s="2" t="s">
        <v>315</v>
      </c>
      <c r="T30" s="2" t="s">
        <v>40</v>
      </c>
      <c r="U30" s="2" t="s">
        <v>316</v>
      </c>
      <c r="V30" s="2"/>
      <c r="W30" s="2" t="s">
        <v>253</v>
      </c>
      <c r="X30" s="2" t="s">
        <v>43</v>
      </c>
      <c r="Y30" s="2" t="s">
        <v>37</v>
      </c>
      <c r="Z30" s="2" t="s">
        <v>44</v>
      </c>
      <c r="AA30" s="2"/>
      <c r="AB30" s="2"/>
      <c r="AC30" s="2" t="s">
        <v>317</v>
      </c>
      <c r="AD30" s="2" t="s">
        <v>46</v>
      </c>
    </row>
    <row r="31" customFormat="false" ht="15.7" hidden="false" customHeight="true" outlineLevel="0" collapsed="false">
      <c r="A31" s="2"/>
      <c r="B31" s="3" t="n">
        <f aca="false">DATE(2006,1,17)</f>
        <v>0</v>
      </c>
      <c r="C31" s="3" t="n">
        <v>38734</v>
      </c>
      <c r="D31" s="2" t="s">
        <v>318</v>
      </c>
      <c r="F31" s="2" t="s">
        <v>319</v>
      </c>
      <c r="G31" s="2" t="s">
        <v>320</v>
      </c>
      <c r="H31" s="2" t="s">
        <v>305</v>
      </c>
      <c r="I31" s="2" t="s">
        <v>321</v>
      </c>
      <c r="J31" s="2" t="s">
        <v>35</v>
      </c>
      <c r="K31" s="2" t="s">
        <v>322</v>
      </c>
      <c r="L31" s="2" t="s">
        <v>321</v>
      </c>
      <c r="M31" s="2" t="s">
        <v>323</v>
      </c>
      <c r="N31" s="2" t="s">
        <v>324</v>
      </c>
      <c r="O31" s="2"/>
      <c r="P31" s="2" t="s">
        <v>37</v>
      </c>
      <c r="Q31" s="4" t="n">
        <v>8731</v>
      </c>
      <c r="R31" s="2" t="s">
        <v>136</v>
      </c>
      <c r="S31" s="2" t="s">
        <v>39</v>
      </c>
      <c r="T31" s="2" t="s">
        <v>40</v>
      </c>
      <c r="U31" s="2" t="s">
        <v>325</v>
      </c>
      <c r="V31" s="2"/>
      <c r="W31" s="2" t="s">
        <v>42</v>
      </c>
      <c r="X31" s="2" t="s">
        <v>43</v>
      </c>
      <c r="Y31" s="2" t="s">
        <v>37</v>
      </c>
      <c r="Z31" s="2" t="s">
        <v>44</v>
      </c>
      <c r="AA31" s="2"/>
      <c r="AB31" s="2"/>
      <c r="AC31" s="2" t="s">
        <v>326</v>
      </c>
      <c r="AD31" s="2" t="s">
        <v>46</v>
      </c>
    </row>
    <row r="32" customFormat="false" ht="15.7" hidden="false" customHeight="true" outlineLevel="0" collapsed="false">
      <c r="A32" s="2"/>
      <c r="B32" s="3" t="n">
        <f aca="false">DATE(2006,1,17)</f>
        <v>0</v>
      </c>
      <c r="C32" s="3" t="n">
        <v>38734</v>
      </c>
      <c r="D32" s="2" t="s">
        <v>327</v>
      </c>
      <c r="F32" s="2" t="s">
        <v>328</v>
      </c>
      <c r="G32" s="2" t="s">
        <v>329</v>
      </c>
      <c r="H32" s="2" t="s">
        <v>305</v>
      </c>
      <c r="I32" s="2" t="s">
        <v>330</v>
      </c>
      <c r="J32" s="2" t="s">
        <v>331</v>
      </c>
      <c r="K32" s="2" t="s">
        <v>327</v>
      </c>
      <c r="L32" s="2" t="s">
        <v>330</v>
      </c>
      <c r="M32" s="2" t="s">
        <v>305</v>
      </c>
      <c r="N32" s="2" t="s">
        <v>332</v>
      </c>
      <c r="O32" s="2"/>
      <c r="P32" s="2" t="s">
        <v>37</v>
      </c>
      <c r="Q32" s="4" t="n">
        <v>8731</v>
      </c>
      <c r="R32" s="2" t="s">
        <v>136</v>
      </c>
      <c r="S32" s="2" t="s">
        <v>39</v>
      </c>
      <c r="T32" s="2" t="s">
        <v>40</v>
      </c>
      <c r="U32" s="2" t="s">
        <v>333</v>
      </c>
      <c r="V32" s="2"/>
      <c r="W32" s="2" t="s">
        <v>42</v>
      </c>
      <c r="X32" s="2" t="s">
        <v>43</v>
      </c>
      <c r="Y32" s="2" t="s">
        <v>37</v>
      </c>
      <c r="Z32" s="2" t="s">
        <v>44</v>
      </c>
      <c r="AA32" s="2"/>
      <c r="AB32" s="2"/>
      <c r="AC32" s="2" t="s">
        <v>334</v>
      </c>
      <c r="AD32" s="2" t="s">
        <v>46</v>
      </c>
    </row>
    <row r="33" customFormat="false" ht="15.7" hidden="false" customHeight="true" outlineLevel="0" collapsed="false">
      <c r="A33" s="2"/>
      <c r="B33" s="3" t="n">
        <f aca="false">DATE(2006,1,18)</f>
        <v>0</v>
      </c>
      <c r="C33" s="3" t="n">
        <v>38735</v>
      </c>
      <c r="D33" s="2" t="s">
        <v>335</v>
      </c>
      <c r="F33" s="2" t="s">
        <v>336</v>
      </c>
      <c r="G33" s="2" t="s">
        <v>337</v>
      </c>
      <c r="H33" s="2" t="s">
        <v>338</v>
      </c>
      <c r="I33" s="2" t="s">
        <v>339</v>
      </c>
      <c r="J33" s="2" t="s">
        <v>35</v>
      </c>
      <c r="K33" s="2" t="s">
        <v>340</v>
      </c>
      <c r="L33" s="2" t="s">
        <v>339</v>
      </c>
      <c r="M33" s="2" t="s">
        <v>341</v>
      </c>
      <c r="N33" s="2" t="s">
        <v>342</v>
      </c>
      <c r="O33" s="2"/>
      <c r="P33" s="2" t="s">
        <v>37</v>
      </c>
      <c r="Q33" s="4" t="n">
        <v>8731</v>
      </c>
      <c r="R33" s="2" t="s">
        <v>136</v>
      </c>
      <c r="S33" s="2" t="s">
        <v>39</v>
      </c>
      <c r="T33" s="2" t="s">
        <v>40</v>
      </c>
      <c r="U33" s="2" t="s">
        <v>343</v>
      </c>
      <c r="V33" s="2"/>
      <c r="W33" s="2" t="s">
        <v>344</v>
      </c>
      <c r="X33" s="2" t="s">
        <v>43</v>
      </c>
      <c r="Y33" s="2" t="s">
        <v>37</v>
      </c>
      <c r="Z33" s="2" t="s">
        <v>44</v>
      </c>
      <c r="AA33" s="2"/>
      <c r="AB33" s="2"/>
      <c r="AC33" s="2" t="s">
        <v>345</v>
      </c>
      <c r="AD33" s="2" t="s">
        <v>46</v>
      </c>
    </row>
    <row r="34" customFormat="false" ht="15.7" hidden="false" customHeight="true" outlineLevel="0" collapsed="false">
      <c r="A34" s="2"/>
      <c r="B34" s="3" t="n">
        <f aca="false">DATE(2006,1,18)</f>
        <v>0</v>
      </c>
      <c r="C34" s="3" t="n">
        <v>38735</v>
      </c>
      <c r="D34" s="2" t="s">
        <v>346</v>
      </c>
      <c r="F34" s="2" t="s">
        <v>347</v>
      </c>
      <c r="G34" s="2" t="s">
        <v>348</v>
      </c>
      <c r="H34" s="2" t="s">
        <v>63</v>
      </c>
      <c r="I34" s="2" t="s">
        <v>349</v>
      </c>
      <c r="J34" s="2" t="s">
        <v>35</v>
      </c>
      <c r="K34" s="2" t="s">
        <v>346</v>
      </c>
      <c r="L34" s="2" t="s">
        <v>349</v>
      </c>
      <c r="M34" s="2" t="s">
        <v>63</v>
      </c>
      <c r="N34" s="2" t="s">
        <v>350</v>
      </c>
      <c r="O34" s="2"/>
      <c r="P34" s="2" t="s">
        <v>37</v>
      </c>
      <c r="Q34" s="4" t="n">
        <v>8731</v>
      </c>
      <c r="R34" s="2" t="s">
        <v>136</v>
      </c>
      <c r="S34" s="2" t="s">
        <v>39</v>
      </c>
      <c r="T34" s="2" t="s">
        <v>40</v>
      </c>
      <c r="U34" s="2" t="s">
        <v>351</v>
      </c>
      <c r="V34" s="2"/>
      <c r="W34" s="2" t="s">
        <v>42</v>
      </c>
      <c r="X34" s="2" t="s">
        <v>43</v>
      </c>
      <c r="Y34" s="2" t="s">
        <v>37</v>
      </c>
      <c r="Z34" s="2" t="s">
        <v>44</v>
      </c>
      <c r="AA34" s="2"/>
      <c r="AB34" s="2"/>
      <c r="AC34" s="2" t="s">
        <v>352</v>
      </c>
      <c r="AD34" s="2" t="s">
        <v>46</v>
      </c>
    </row>
    <row r="35" customFormat="false" ht="15.7" hidden="false" customHeight="true" outlineLevel="0" collapsed="false">
      <c r="A35" s="2"/>
      <c r="B35" s="3" t="n">
        <f aca="false">DATE(2006,1,19)</f>
        <v>0</v>
      </c>
      <c r="C35" s="3" t="n">
        <v>38736</v>
      </c>
      <c r="D35" s="2" t="s">
        <v>353</v>
      </c>
      <c r="F35" s="2" t="s">
        <v>354</v>
      </c>
      <c r="G35" s="2" t="s">
        <v>355</v>
      </c>
      <c r="H35" s="2" t="s">
        <v>356</v>
      </c>
      <c r="I35" s="2" t="s">
        <v>51</v>
      </c>
      <c r="J35" s="2" t="s">
        <v>357</v>
      </c>
      <c r="K35" s="2" t="s">
        <v>353</v>
      </c>
      <c r="L35" s="2" t="s">
        <v>51</v>
      </c>
      <c r="M35" s="2" t="s">
        <v>356</v>
      </c>
      <c r="N35" s="2" t="s">
        <v>358</v>
      </c>
      <c r="O35" s="2" t="s">
        <v>359</v>
      </c>
      <c r="P35" s="2" t="s">
        <v>37</v>
      </c>
      <c r="Q35" s="4" t="n">
        <v>2869</v>
      </c>
      <c r="R35" s="2" t="s">
        <v>56</v>
      </c>
      <c r="S35" s="2" t="s">
        <v>360</v>
      </c>
      <c r="T35" s="2" t="s">
        <v>40</v>
      </c>
      <c r="U35" s="2" t="s">
        <v>361</v>
      </c>
      <c r="V35" s="2"/>
      <c r="W35" s="2" t="s">
        <v>42</v>
      </c>
      <c r="X35" s="2" t="s">
        <v>46</v>
      </c>
      <c r="Y35" s="2" t="s">
        <v>37</v>
      </c>
      <c r="Z35" s="2" t="s">
        <v>362</v>
      </c>
      <c r="AA35" s="2"/>
      <c r="AB35" s="2" t="s">
        <v>363</v>
      </c>
      <c r="AC35" s="2" t="s">
        <v>364</v>
      </c>
      <c r="AD35" s="2" t="s">
        <v>46</v>
      </c>
    </row>
    <row r="36" customFormat="false" ht="15.7" hidden="false" customHeight="true" outlineLevel="0" collapsed="false">
      <c r="A36" s="2"/>
      <c r="B36" s="3" t="n">
        <f aca="false">DATE(2006,1,19)</f>
        <v>0</v>
      </c>
      <c r="C36" s="3" t="n">
        <v>38736</v>
      </c>
      <c r="D36" s="2" t="s">
        <v>365</v>
      </c>
      <c r="F36" s="2" t="s">
        <v>366</v>
      </c>
      <c r="G36" s="2" t="s">
        <v>367</v>
      </c>
      <c r="H36" s="2" t="s">
        <v>368</v>
      </c>
      <c r="I36" s="2" t="s">
        <v>369</v>
      </c>
      <c r="J36" s="2" t="s">
        <v>35</v>
      </c>
      <c r="K36" s="2" t="s">
        <v>365</v>
      </c>
      <c r="L36" s="2" t="s">
        <v>369</v>
      </c>
      <c r="M36" s="2" t="s">
        <v>368</v>
      </c>
      <c r="N36" s="2" t="s">
        <v>370</v>
      </c>
      <c r="O36" s="2"/>
      <c r="P36" s="2" t="s">
        <v>37</v>
      </c>
      <c r="Q36" s="4" t="n">
        <v>8731</v>
      </c>
      <c r="R36" s="2" t="s">
        <v>105</v>
      </c>
      <c r="S36" s="2" t="s">
        <v>39</v>
      </c>
      <c r="T36" s="2" t="s">
        <v>40</v>
      </c>
      <c r="U36" s="2" t="s">
        <v>371</v>
      </c>
      <c r="V36" s="2"/>
      <c r="W36" s="2" t="s">
        <v>42</v>
      </c>
      <c r="X36" s="2" t="s">
        <v>46</v>
      </c>
      <c r="Y36" s="2" t="s">
        <v>37</v>
      </c>
      <c r="Z36" s="2" t="s">
        <v>362</v>
      </c>
      <c r="AA36" s="2" t="s">
        <v>372</v>
      </c>
      <c r="AB36" s="2"/>
      <c r="AC36" s="2" t="s">
        <v>373</v>
      </c>
      <c r="AD36" s="2" t="s">
        <v>46</v>
      </c>
    </row>
    <row r="37" customFormat="false" ht="15.7" hidden="false" customHeight="true" outlineLevel="0" collapsed="false">
      <c r="A37" s="2"/>
      <c r="B37" s="3" t="n">
        <f aca="false">DATE(2006,1,20)</f>
        <v>0</v>
      </c>
      <c r="C37" s="3" t="n">
        <v>38737</v>
      </c>
      <c r="D37" s="2" t="s">
        <v>374</v>
      </c>
      <c r="F37" s="2" t="s">
        <v>375</v>
      </c>
      <c r="G37" s="2" t="s">
        <v>376</v>
      </c>
      <c r="H37" s="2" t="s">
        <v>377</v>
      </c>
      <c r="I37" s="2" t="s">
        <v>51</v>
      </c>
      <c r="J37" s="2" t="s">
        <v>378</v>
      </c>
      <c r="K37" s="2" t="s">
        <v>374</v>
      </c>
      <c r="L37" s="2" t="s">
        <v>51</v>
      </c>
      <c r="M37" s="2" t="s">
        <v>377</v>
      </c>
      <c r="N37" s="2" t="s">
        <v>379</v>
      </c>
      <c r="O37" s="2"/>
      <c r="P37" s="2" t="s">
        <v>37</v>
      </c>
      <c r="Q37" s="4" t="n">
        <v>8731</v>
      </c>
      <c r="R37" s="2" t="s">
        <v>56</v>
      </c>
      <c r="S37" s="2" t="s">
        <v>380</v>
      </c>
      <c r="T37" s="2" t="s">
        <v>40</v>
      </c>
      <c r="U37" s="2" t="s">
        <v>381</v>
      </c>
      <c r="V37" s="2"/>
      <c r="W37" s="2" t="s">
        <v>382</v>
      </c>
      <c r="X37" s="2" t="s">
        <v>43</v>
      </c>
      <c r="Y37" s="2" t="s">
        <v>37</v>
      </c>
      <c r="Z37" s="2" t="s">
        <v>44</v>
      </c>
      <c r="AA37" s="2"/>
      <c r="AB37" s="2"/>
      <c r="AC37" s="2" t="s">
        <v>383</v>
      </c>
      <c r="AD37" s="2" t="s">
        <v>46</v>
      </c>
    </row>
    <row r="38" customFormat="false" ht="15.7" hidden="false" customHeight="true" outlineLevel="0" collapsed="false">
      <c r="A38" s="2"/>
      <c r="B38" s="3" t="n">
        <f aca="false">DATE(2006,1,20)</f>
        <v>0</v>
      </c>
      <c r="C38" s="3" t="n">
        <v>38737</v>
      </c>
      <c r="D38" s="2" t="s">
        <v>384</v>
      </c>
      <c r="F38" s="2" t="s">
        <v>385</v>
      </c>
      <c r="G38" s="2" t="s">
        <v>386</v>
      </c>
      <c r="H38" s="2" t="s">
        <v>387</v>
      </c>
      <c r="I38" s="2" t="s">
        <v>388</v>
      </c>
      <c r="J38" s="2" t="s">
        <v>389</v>
      </c>
      <c r="K38" s="2" t="s">
        <v>384</v>
      </c>
      <c r="L38" s="2" t="s">
        <v>388</v>
      </c>
      <c r="M38" s="2" t="s">
        <v>387</v>
      </c>
      <c r="N38" s="2" t="s">
        <v>390</v>
      </c>
      <c r="O38" s="2"/>
      <c r="P38" s="2" t="s">
        <v>37</v>
      </c>
      <c r="Q38" s="4" t="n">
        <v>8731</v>
      </c>
      <c r="R38" s="2" t="s">
        <v>136</v>
      </c>
      <c r="S38" s="2" t="s">
        <v>39</v>
      </c>
      <c r="T38" s="2" t="s">
        <v>40</v>
      </c>
      <c r="U38" s="2" t="s">
        <v>391</v>
      </c>
      <c r="V38" s="2"/>
      <c r="W38" s="2" t="s">
        <v>42</v>
      </c>
      <c r="X38" s="2" t="s">
        <v>43</v>
      </c>
      <c r="Y38" s="2" t="s">
        <v>37</v>
      </c>
      <c r="Z38" s="2" t="s">
        <v>44</v>
      </c>
      <c r="AA38" s="2"/>
      <c r="AB38" s="2"/>
      <c r="AC38" s="2" t="s">
        <v>392</v>
      </c>
      <c r="AD38" s="2" t="s">
        <v>46</v>
      </c>
    </row>
    <row r="39" customFormat="false" ht="15.7" hidden="false" customHeight="true" outlineLevel="0" collapsed="false">
      <c r="A39" s="2"/>
      <c r="B39" s="3" t="n">
        <f aca="false">DATE(2006,1,22)</f>
        <v>0</v>
      </c>
      <c r="C39" s="3" t="n">
        <v>38739</v>
      </c>
      <c r="D39" s="2" t="s">
        <v>393</v>
      </c>
      <c r="F39" s="2" t="s">
        <v>394</v>
      </c>
      <c r="G39" s="2" t="s">
        <v>395</v>
      </c>
      <c r="H39" s="2" t="s">
        <v>396</v>
      </c>
      <c r="I39" s="2" t="s">
        <v>397</v>
      </c>
      <c r="J39" s="2" t="s">
        <v>398</v>
      </c>
      <c r="K39" s="2" t="s">
        <v>399</v>
      </c>
      <c r="L39" s="2" t="s">
        <v>397</v>
      </c>
      <c r="M39" s="2" t="s">
        <v>400</v>
      </c>
      <c r="N39" s="2" t="s">
        <v>401</v>
      </c>
      <c r="O39" s="2"/>
      <c r="P39" s="2" t="s">
        <v>37</v>
      </c>
      <c r="Q39" s="4" t="n">
        <v>8731</v>
      </c>
      <c r="R39" s="2" t="s">
        <v>402</v>
      </c>
      <c r="S39" s="2" t="s">
        <v>39</v>
      </c>
      <c r="T39" s="2" t="s">
        <v>403</v>
      </c>
      <c r="U39" s="2" t="s">
        <v>404</v>
      </c>
      <c r="V39" s="2"/>
      <c r="W39" s="2" t="s">
        <v>42</v>
      </c>
      <c r="X39" s="2" t="s">
        <v>46</v>
      </c>
      <c r="Y39" s="2" t="s">
        <v>37</v>
      </c>
      <c r="Z39" s="2" t="s">
        <v>405</v>
      </c>
      <c r="AA39" s="2"/>
      <c r="AB39" s="2"/>
      <c r="AC39" s="2" t="s">
        <v>406</v>
      </c>
      <c r="AD39" s="2" t="s">
        <v>46</v>
      </c>
    </row>
    <row r="40" customFormat="false" ht="15.7" hidden="false" customHeight="true" outlineLevel="0" collapsed="false">
      <c r="A40" s="2"/>
      <c r="B40" s="3" t="n">
        <f aca="false">DATE(2006,1,23)</f>
        <v>0</v>
      </c>
      <c r="C40" s="3" t="n">
        <v>38740</v>
      </c>
      <c r="D40" s="2" t="s">
        <v>407</v>
      </c>
      <c r="F40" s="2" t="s">
        <v>408</v>
      </c>
      <c r="G40" s="2" t="s">
        <v>409</v>
      </c>
      <c r="H40" s="2" t="s">
        <v>170</v>
      </c>
      <c r="I40" s="2" t="s">
        <v>410</v>
      </c>
      <c r="J40" s="2" t="s">
        <v>331</v>
      </c>
      <c r="K40" s="2" t="s">
        <v>407</v>
      </c>
      <c r="L40" s="2" t="s">
        <v>410</v>
      </c>
      <c r="M40" s="2" t="s">
        <v>170</v>
      </c>
      <c r="N40" s="2" t="s">
        <v>411</v>
      </c>
      <c r="O40" s="2"/>
      <c r="P40" s="2" t="s">
        <v>37</v>
      </c>
      <c r="Q40" s="4" t="n">
        <v>8731</v>
      </c>
      <c r="R40" s="2" t="s">
        <v>136</v>
      </c>
      <c r="S40" s="2" t="s">
        <v>39</v>
      </c>
      <c r="T40" s="2" t="s">
        <v>40</v>
      </c>
      <c r="U40" s="2" t="s">
        <v>412</v>
      </c>
      <c r="V40" s="2"/>
      <c r="W40" s="2" t="s">
        <v>138</v>
      </c>
      <c r="X40" s="2" t="s">
        <v>43</v>
      </c>
      <c r="Y40" s="2" t="s">
        <v>37</v>
      </c>
      <c r="Z40" s="2" t="s">
        <v>44</v>
      </c>
      <c r="AA40" s="2"/>
      <c r="AB40" s="2"/>
      <c r="AC40" s="2" t="s">
        <v>413</v>
      </c>
      <c r="AD40" s="2" t="s">
        <v>46</v>
      </c>
    </row>
    <row r="41" customFormat="false" ht="15.7" hidden="false" customHeight="true" outlineLevel="0" collapsed="false">
      <c r="A41" s="2"/>
      <c r="B41" s="3" t="n">
        <f aca="false">DATE(2006,1,24)</f>
        <v>0</v>
      </c>
      <c r="C41" s="3" t="n">
        <v>38741</v>
      </c>
      <c r="D41" s="2" t="s">
        <v>414</v>
      </c>
      <c r="F41" s="2" t="s">
        <v>415</v>
      </c>
      <c r="G41" s="2" t="s">
        <v>416</v>
      </c>
      <c r="H41" s="2" t="s">
        <v>153</v>
      </c>
      <c r="I41" s="2" t="s">
        <v>34</v>
      </c>
      <c r="J41" s="2" t="s">
        <v>35</v>
      </c>
      <c r="K41" s="2" t="s">
        <v>414</v>
      </c>
      <c r="L41" s="2" t="s">
        <v>34</v>
      </c>
      <c r="M41" s="2" t="s">
        <v>153</v>
      </c>
      <c r="N41" s="2" t="s">
        <v>417</v>
      </c>
      <c r="O41" s="2"/>
      <c r="P41" s="2" t="s">
        <v>37</v>
      </c>
      <c r="Q41" s="4" t="n">
        <v>8731</v>
      </c>
      <c r="R41" s="2" t="s">
        <v>38</v>
      </c>
      <c r="S41" s="2" t="s">
        <v>39</v>
      </c>
      <c r="T41" s="2" t="s">
        <v>40</v>
      </c>
      <c r="U41" s="2" t="s">
        <v>418</v>
      </c>
      <c r="V41" s="2"/>
      <c r="W41" s="2" t="s">
        <v>42</v>
      </c>
      <c r="X41" s="2" t="s">
        <v>43</v>
      </c>
      <c r="Y41" s="2" t="s">
        <v>37</v>
      </c>
      <c r="Z41" s="2" t="s">
        <v>44</v>
      </c>
      <c r="AA41" s="2"/>
      <c r="AB41" s="2"/>
      <c r="AC41" s="2" t="s">
        <v>419</v>
      </c>
      <c r="AD41" s="2" t="s">
        <v>46</v>
      </c>
    </row>
    <row r="42" customFormat="false" ht="15.7" hidden="false" customHeight="true" outlineLevel="0" collapsed="false">
      <c r="A42" s="2"/>
      <c r="B42" s="3" t="n">
        <f aca="false">DATE(2006,1,24)</f>
        <v>0</v>
      </c>
      <c r="C42" s="3" t="n">
        <v>38741</v>
      </c>
      <c r="D42" s="2" t="s">
        <v>420</v>
      </c>
      <c r="F42" s="2" t="s">
        <v>421</v>
      </c>
      <c r="G42" s="2" t="s">
        <v>422</v>
      </c>
      <c r="H42" s="2" t="s">
        <v>130</v>
      </c>
      <c r="I42" s="2" t="s">
        <v>51</v>
      </c>
      <c r="J42" s="2" t="s">
        <v>171</v>
      </c>
      <c r="K42" s="2" t="s">
        <v>420</v>
      </c>
      <c r="L42" s="2" t="s">
        <v>51</v>
      </c>
      <c r="M42" s="2" t="s">
        <v>130</v>
      </c>
      <c r="N42" s="2" t="s">
        <v>423</v>
      </c>
      <c r="O42" s="2"/>
      <c r="P42" s="2" t="s">
        <v>79</v>
      </c>
      <c r="Q42" s="4" t="n">
        <v>6794</v>
      </c>
      <c r="R42" s="2" t="s">
        <v>136</v>
      </c>
      <c r="S42" s="2" t="s">
        <v>39</v>
      </c>
      <c r="T42" s="2" t="s">
        <v>40</v>
      </c>
      <c r="U42" s="2" t="s">
        <v>424</v>
      </c>
      <c r="V42" s="2"/>
      <c r="W42" s="2" t="s">
        <v>82</v>
      </c>
      <c r="X42" s="2" t="s">
        <v>43</v>
      </c>
      <c r="Y42" s="2" t="s">
        <v>37</v>
      </c>
      <c r="Z42" s="2" t="s">
        <v>44</v>
      </c>
      <c r="AA42" s="2"/>
      <c r="AB42" s="2"/>
      <c r="AC42" s="2" t="s">
        <v>425</v>
      </c>
      <c r="AD42" s="2" t="s">
        <v>46</v>
      </c>
    </row>
    <row r="43" customFormat="false" ht="15.7" hidden="false" customHeight="true" outlineLevel="0" collapsed="false">
      <c r="A43" s="2"/>
      <c r="B43" s="3" t="n">
        <f aca="false">DATE(2006,1,26)</f>
        <v>0</v>
      </c>
      <c r="C43" s="3" t="n">
        <v>38743</v>
      </c>
      <c r="D43" s="2" t="s">
        <v>426</v>
      </c>
      <c r="F43" s="2" t="s">
        <v>427</v>
      </c>
      <c r="G43" s="2" t="s">
        <v>428</v>
      </c>
      <c r="H43" s="2" t="s">
        <v>130</v>
      </c>
      <c r="I43" s="2" t="s">
        <v>34</v>
      </c>
      <c r="J43" s="2" t="s">
        <v>35</v>
      </c>
      <c r="K43" s="2" t="s">
        <v>426</v>
      </c>
      <c r="L43" s="2" t="s">
        <v>34</v>
      </c>
      <c r="M43" s="2" t="s">
        <v>130</v>
      </c>
      <c r="N43" s="2" t="s">
        <v>429</v>
      </c>
      <c r="O43" s="2"/>
      <c r="P43" s="2" t="s">
        <v>79</v>
      </c>
      <c r="Q43" s="4" t="n">
        <v>6794</v>
      </c>
      <c r="R43" s="2" t="s">
        <v>38</v>
      </c>
      <c r="S43" s="2" t="s">
        <v>39</v>
      </c>
      <c r="T43" s="2" t="s">
        <v>40</v>
      </c>
      <c r="U43" s="2" t="s">
        <v>430</v>
      </c>
      <c r="V43" s="2"/>
      <c r="W43" s="2" t="s">
        <v>94</v>
      </c>
      <c r="X43" s="2" t="s">
        <v>43</v>
      </c>
      <c r="Y43" s="2" t="s">
        <v>37</v>
      </c>
      <c r="Z43" s="2" t="s">
        <v>44</v>
      </c>
      <c r="AA43" s="2"/>
      <c r="AB43" s="2"/>
      <c r="AC43" s="2" t="s">
        <v>431</v>
      </c>
      <c r="AD43" s="2" t="s">
        <v>46</v>
      </c>
    </row>
    <row r="44" customFormat="false" ht="15.7" hidden="false" customHeight="true" outlineLevel="0" collapsed="false">
      <c r="A44" s="2"/>
      <c r="B44" s="3" t="n">
        <f aca="false">DATE(2006,1,26)</f>
        <v>0</v>
      </c>
      <c r="C44" s="3" t="n">
        <v>38743</v>
      </c>
      <c r="D44" s="2" t="s">
        <v>432</v>
      </c>
      <c r="F44" s="2" t="s">
        <v>433</v>
      </c>
      <c r="G44" s="2" t="s">
        <v>434</v>
      </c>
      <c r="H44" s="2" t="s">
        <v>170</v>
      </c>
      <c r="I44" s="2" t="s">
        <v>435</v>
      </c>
      <c r="J44" s="2" t="s">
        <v>331</v>
      </c>
      <c r="K44" s="2" t="s">
        <v>436</v>
      </c>
      <c r="L44" s="2" t="s">
        <v>435</v>
      </c>
      <c r="M44" s="2" t="s">
        <v>305</v>
      </c>
      <c r="N44" s="2" t="s">
        <v>437</v>
      </c>
      <c r="O44" s="2"/>
      <c r="P44" s="2" t="s">
        <v>37</v>
      </c>
      <c r="Q44" s="4" t="n">
        <v>8731</v>
      </c>
      <c r="R44" s="2" t="s">
        <v>136</v>
      </c>
      <c r="S44" s="2" t="s">
        <v>39</v>
      </c>
      <c r="T44" s="2" t="s">
        <v>40</v>
      </c>
      <c r="U44" s="2" t="s">
        <v>438</v>
      </c>
      <c r="V44" s="2"/>
      <c r="W44" s="2" t="s">
        <v>42</v>
      </c>
      <c r="X44" s="2" t="s">
        <v>43</v>
      </c>
      <c r="Y44" s="2" t="s">
        <v>37</v>
      </c>
      <c r="Z44" s="2" t="s">
        <v>44</v>
      </c>
      <c r="AA44" s="2"/>
      <c r="AB44" s="2"/>
      <c r="AC44" s="2" t="s">
        <v>439</v>
      </c>
      <c r="AD44" s="2" t="s">
        <v>46</v>
      </c>
    </row>
    <row r="45" customFormat="false" ht="15.7" hidden="false" customHeight="true" outlineLevel="0" collapsed="false">
      <c r="A45" s="2"/>
      <c r="B45" s="3" t="n">
        <f aca="false">DATE(2006,1,30)</f>
        <v>0</v>
      </c>
      <c r="C45" s="3" t="n">
        <v>38747</v>
      </c>
      <c r="D45" s="2" t="s">
        <v>440</v>
      </c>
      <c r="F45" s="2" t="s">
        <v>441</v>
      </c>
      <c r="G45" s="2" t="s">
        <v>442</v>
      </c>
      <c r="H45" s="2" t="s">
        <v>443</v>
      </c>
      <c r="I45" s="2" t="s">
        <v>444</v>
      </c>
      <c r="J45" s="2" t="s">
        <v>445</v>
      </c>
      <c r="K45" s="2" t="s">
        <v>446</v>
      </c>
      <c r="L45" s="2" t="s">
        <v>444</v>
      </c>
      <c r="M45" s="2" t="s">
        <v>447</v>
      </c>
      <c r="N45" s="2" t="s">
        <v>448</v>
      </c>
      <c r="O45" s="2" t="s">
        <v>449</v>
      </c>
      <c r="P45" s="2" t="s">
        <v>37</v>
      </c>
      <c r="Q45" s="4" t="n">
        <v>3711</v>
      </c>
      <c r="R45" s="2" t="s">
        <v>450</v>
      </c>
      <c r="S45" s="2" t="s">
        <v>39</v>
      </c>
      <c r="T45" s="2" t="s">
        <v>40</v>
      </c>
      <c r="U45" s="2" t="s">
        <v>451</v>
      </c>
      <c r="V45" s="2"/>
      <c r="W45" s="2" t="s">
        <v>107</v>
      </c>
      <c r="X45" s="2" t="s">
        <v>46</v>
      </c>
      <c r="Y45" s="2" t="s">
        <v>37</v>
      </c>
      <c r="Z45" s="2" t="s">
        <v>452</v>
      </c>
      <c r="AA45" s="2"/>
      <c r="AB45" s="2" t="s">
        <v>453</v>
      </c>
      <c r="AC45" s="2" t="s">
        <v>454</v>
      </c>
      <c r="AD45" s="2" t="s">
        <v>46</v>
      </c>
    </row>
    <row r="46" customFormat="false" ht="15.7" hidden="false" customHeight="true" outlineLevel="0" collapsed="false">
      <c r="A46" s="2"/>
      <c r="B46" s="3" t="n">
        <f aca="false">DATE(2006,1,30)</f>
        <v>0</v>
      </c>
      <c r="C46" s="3" t="n">
        <v>38747</v>
      </c>
      <c r="D46" s="2" t="s">
        <v>455</v>
      </c>
      <c r="F46" s="2" t="s">
        <v>456</v>
      </c>
      <c r="G46" s="2" t="s">
        <v>457</v>
      </c>
      <c r="H46" s="2" t="s">
        <v>458</v>
      </c>
      <c r="I46" s="2" t="s">
        <v>459</v>
      </c>
      <c r="J46" s="2" t="s">
        <v>35</v>
      </c>
      <c r="K46" s="2" t="s">
        <v>455</v>
      </c>
      <c r="L46" s="2" t="s">
        <v>459</v>
      </c>
      <c r="M46" s="2" t="s">
        <v>458</v>
      </c>
      <c r="N46" s="2" t="s">
        <v>460</v>
      </c>
      <c r="O46" s="2"/>
      <c r="P46" s="2" t="s">
        <v>37</v>
      </c>
      <c r="Q46" s="4" t="n">
        <v>8731</v>
      </c>
      <c r="R46" s="2" t="s">
        <v>461</v>
      </c>
      <c r="S46" s="2" t="s">
        <v>39</v>
      </c>
      <c r="T46" s="2" t="s">
        <v>40</v>
      </c>
      <c r="U46" s="2" t="s">
        <v>462</v>
      </c>
      <c r="V46" s="2"/>
      <c r="W46" s="2" t="s">
        <v>42</v>
      </c>
      <c r="X46" s="2" t="s">
        <v>43</v>
      </c>
      <c r="Y46" s="2" t="s">
        <v>37</v>
      </c>
      <c r="Z46" s="2" t="s">
        <v>44</v>
      </c>
      <c r="AA46" s="2"/>
      <c r="AB46" s="2"/>
      <c r="AC46" s="2" t="s">
        <v>463</v>
      </c>
      <c r="AD46" s="2" t="s">
        <v>46</v>
      </c>
    </row>
    <row r="47" customFormat="false" ht="15.7" hidden="false" customHeight="true" outlineLevel="0" collapsed="false">
      <c r="A47" s="2"/>
      <c r="B47" s="3" t="n">
        <f aca="false">DATE(2006,1,30)</f>
        <v>0</v>
      </c>
      <c r="C47" s="3" t="n">
        <v>38747</v>
      </c>
      <c r="D47" s="2" t="s">
        <v>464</v>
      </c>
      <c r="F47" s="2" t="s">
        <v>465</v>
      </c>
      <c r="G47" s="2" t="s">
        <v>466</v>
      </c>
      <c r="H47" s="2" t="s">
        <v>467</v>
      </c>
      <c r="I47" s="2" t="s">
        <v>51</v>
      </c>
      <c r="J47" s="2" t="s">
        <v>468</v>
      </c>
      <c r="K47" s="2" t="s">
        <v>469</v>
      </c>
      <c r="L47" s="2" t="s">
        <v>51</v>
      </c>
      <c r="M47" s="2" t="s">
        <v>470</v>
      </c>
      <c r="N47" s="2" t="s">
        <v>471</v>
      </c>
      <c r="O47" s="2"/>
      <c r="P47" s="2" t="s">
        <v>37</v>
      </c>
      <c r="Q47" s="4" t="n">
        <v>8731</v>
      </c>
      <c r="R47" s="2" t="s">
        <v>56</v>
      </c>
      <c r="S47" s="2" t="s">
        <v>472</v>
      </c>
      <c r="T47" s="2" t="s">
        <v>40</v>
      </c>
      <c r="U47" s="2" t="s">
        <v>473</v>
      </c>
      <c r="V47" s="2"/>
      <c r="W47" s="2" t="s">
        <v>42</v>
      </c>
      <c r="X47" s="2" t="s">
        <v>43</v>
      </c>
      <c r="Y47" s="2" t="s">
        <v>37</v>
      </c>
      <c r="Z47" s="2" t="s">
        <v>44</v>
      </c>
      <c r="AA47" s="2"/>
      <c r="AB47" s="2"/>
      <c r="AC47" s="2" t="s">
        <v>474</v>
      </c>
      <c r="AD47" s="2" t="s">
        <v>46</v>
      </c>
    </row>
    <row r="48" customFormat="false" ht="15.7" hidden="false" customHeight="true" outlineLevel="0" collapsed="false">
      <c r="A48" s="2"/>
      <c r="B48" s="3" t="n">
        <f aca="false">DATE(2006,1,31)</f>
        <v>0</v>
      </c>
      <c r="C48" s="3" t="n">
        <v>38748</v>
      </c>
      <c r="D48" s="2" t="s">
        <v>475</v>
      </c>
      <c r="F48" s="2" t="s">
        <v>476</v>
      </c>
      <c r="G48" s="2" t="s">
        <v>477</v>
      </c>
      <c r="H48" s="2" t="s">
        <v>478</v>
      </c>
      <c r="I48" s="2" t="s">
        <v>51</v>
      </c>
      <c r="J48" s="2" t="s">
        <v>479</v>
      </c>
      <c r="K48" s="2" t="s">
        <v>475</v>
      </c>
      <c r="L48" s="2" t="s">
        <v>51</v>
      </c>
      <c r="M48" s="2" t="s">
        <v>478</v>
      </c>
      <c r="N48" s="2" t="s">
        <v>480</v>
      </c>
      <c r="O48" s="2"/>
      <c r="P48" s="2" t="s">
        <v>37</v>
      </c>
      <c r="Q48" s="4" t="n">
        <v>8731</v>
      </c>
      <c r="R48" s="2" t="s">
        <v>56</v>
      </c>
      <c r="S48" s="2" t="s">
        <v>481</v>
      </c>
      <c r="T48" s="2" t="s">
        <v>40</v>
      </c>
      <c r="U48" s="2" t="s">
        <v>482</v>
      </c>
      <c r="V48" s="2"/>
      <c r="W48" s="2" t="s">
        <v>42</v>
      </c>
      <c r="X48" s="2" t="s">
        <v>43</v>
      </c>
      <c r="Y48" s="2" t="s">
        <v>37</v>
      </c>
      <c r="Z48" s="2" t="s">
        <v>44</v>
      </c>
      <c r="AA48" s="2"/>
      <c r="AB48" s="2"/>
      <c r="AC48" s="2" t="s">
        <v>483</v>
      </c>
      <c r="AD48" s="2" t="s">
        <v>46</v>
      </c>
    </row>
    <row r="49" customFormat="false" ht="15.7" hidden="false" customHeight="true" outlineLevel="0" collapsed="false">
      <c r="A49" s="2"/>
      <c r="B49" s="3" t="n">
        <f aca="false">DATE(2006,1,31)</f>
        <v>0</v>
      </c>
      <c r="C49" s="3" t="n">
        <v>38748</v>
      </c>
      <c r="D49" s="2" t="s">
        <v>484</v>
      </c>
      <c r="F49" s="2" t="s">
        <v>485</v>
      </c>
      <c r="G49" s="2" t="s">
        <v>486</v>
      </c>
      <c r="H49" s="2" t="s">
        <v>63</v>
      </c>
      <c r="I49" s="2" t="s">
        <v>487</v>
      </c>
      <c r="J49" s="2" t="s">
        <v>488</v>
      </c>
      <c r="K49" s="2" t="s">
        <v>484</v>
      </c>
      <c r="L49" s="2" t="s">
        <v>487</v>
      </c>
      <c r="M49" s="2" t="s">
        <v>63</v>
      </c>
      <c r="N49" s="2" t="s">
        <v>489</v>
      </c>
      <c r="O49" s="2"/>
      <c r="P49" s="2" t="s">
        <v>37</v>
      </c>
      <c r="Q49" s="4" t="n">
        <v>8731</v>
      </c>
      <c r="R49" s="2" t="s">
        <v>136</v>
      </c>
      <c r="S49" s="2" t="s">
        <v>39</v>
      </c>
      <c r="T49" s="2" t="s">
        <v>40</v>
      </c>
      <c r="U49" s="2" t="s">
        <v>490</v>
      </c>
      <c r="V49" s="2"/>
      <c r="W49" s="2" t="s">
        <v>42</v>
      </c>
      <c r="X49" s="2" t="s">
        <v>43</v>
      </c>
      <c r="Y49" s="2" t="s">
        <v>37</v>
      </c>
      <c r="Z49" s="2" t="s">
        <v>44</v>
      </c>
      <c r="AA49" s="2"/>
      <c r="AB49" s="2"/>
      <c r="AC49" s="2" t="s">
        <v>491</v>
      </c>
      <c r="AD49" s="2" t="s">
        <v>46</v>
      </c>
    </row>
    <row r="50" customFormat="false" ht="15.7" hidden="false" customHeight="true" outlineLevel="0" collapsed="false">
      <c r="A50" s="2"/>
      <c r="B50" s="3" t="n">
        <f aca="false">DATE(2006,1,31)</f>
        <v>0</v>
      </c>
      <c r="C50" s="3" t="n">
        <v>38748</v>
      </c>
      <c r="D50" s="2" t="s">
        <v>492</v>
      </c>
      <c r="F50" s="2" t="s">
        <v>493</v>
      </c>
      <c r="G50" s="2" t="s">
        <v>494</v>
      </c>
      <c r="H50" s="2" t="s">
        <v>495</v>
      </c>
      <c r="I50" s="2" t="s">
        <v>51</v>
      </c>
      <c r="J50" s="2" t="s">
        <v>496</v>
      </c>
      <c r="K50" s="2" t="s">
        <v>492</v>
      </c>
      <c r="L50" s="2" t="s">
        <v>51</v>
      </c>
      <c r="M50" s="2" t="s">
        <v>495</v>
      </c>
      <c r="N50" s="2" t="s">
        <v>497</v>
      </c>
      <c r="O50" s="2"/>
      <c r="P50" s="2" t="s">
        <v>37</v>
      </c>
      <c r="Q50" s="4" t="n">
        <v>8731</v>
      </c>
      <c r="R50" s="2" t="s">
        <v>56</v>
      </c>
      <c r="S50" s="2" t="s">
        <v>92</v>
      </c>
      <c r="T50" s="2" t="s">
        <v>40</v>
      </c>
      <c r="U50" s="2" t="s">
        <v>498</v>
      </c>
      <c r="V50" s="2"/>
      <c r="W50" s="2" t="s">
        <v>42</v>
      </c>
      <c r="X50" s="2" t="s">
        <v>43</v>
      </c>
      <c r="Y50" s="2" t="s">
        <v>37</v>
      </c>
      <c r="Z50" s="2" t="s">
        <v>44</v>
      </c>
      <c r="AA50" s="2"/>
      <c r="AB50" s="2"/>
      <c r="AC50" s="2" t="s">
        <v>499</v>
      </c>
      <c r="AD50" s="2" t="s">
        <v>46</v>
      </c>
    </row>
    <row r="51" customFormat="false" ht="15.7" hidden="false" customHeight="true" outlineLevel="0" collapsed="false">
      <c r="A51" s="2"/>
      <c r="B51" s="3" t="n">
        <f aca="false">DATE(2006,2,1)</f>
        <v>0</v>
      </c>
      <c r="C51" s="3" t="n">
        <v>38749</v>
      </c>
      <c r="D51" s="2" t="s">
        <v>500</v>
      </c>
      <c r="F51" s="2" t="s">
        <v>501</v>
      </c>
      <c r="G51" s="2" t="s">
        <v>502</v>
      </c>
      <c r="H51" s="2" t="s">
        <v>503</v>
      </c>
      <c r="I51" s="2" t="s">
        <v>51</v>
      </c>
      <c r="J51" s="2" t="s">
        <v>504</v>
      </c>
      <c r="K51" s="2" t="s">
        <v>500</v>
      </c>
      <c r="L51" s="2" t="s">
        <v>51</v>
      </c>
      <c r="M51" s="2" t="s">
        <v>503</v>
      </c>
      <c r="N51" s="2" t="s">
        <v>505</v>
      </c>
      <c r="O51" s="2" t="s">
        <v>506</v>
      </c>
      <c r="P51" s="2" t="s">
        <v>37</v>
      </c>
      <c r="Q51" s="4" t="n">
        <v>8731</v>
      </c>
      <c r="R51" s="2" t="s">
        <v>56</v>
      </c>
      <c r="S51" s="2" t="s">
        <v>507</v>
      </c>
      <c r="T51" s="2" t="s">
        <v>40</v>
      </c>
      <c r="U51" s="2" t="s">
        <v>508</v>
      </c>
      <c r="V51" s="2"/>
      <c r="W51" s="2" t="s">
        <v>42</v>
      </c>
      <c r="X51" s="2" t="s">
        <v>46</v>
      </c>
      <c r="Y51" s="2" t="s">
        <v>37</v>
      </c>
      <c r="Z51" s="2" t="s">
        <v>362</v>
      </c>
      <c r="AA51" s="2"/>
      <c r="AB51" s="2" t="s">
        <v>509</v>
      </c>
      <c r="AC51" s="2" t="s">
        <v>510</v>
      </c>
      <c r="AD51" s="2" t="s">
        <v>46</v>
      </c>
    </row>
    <row r="52" customFormat="false" ht="15.7" hidden="false" customHeight="true" outlineLevel="0" collapsed="false">
      <c r="A52" s="2"/>
      <c r="B52" s="3" t="n">
        <f aca="false">DATE(2006,2,1)</f>
        <v>0</v>
      </c>
      <c r="C52" s="3" t="n">
        <v>38749</v>
      </c>
      <c r="D52" s="2" t="s">
        <v>511</v>
      </c>
      <c r="F52" s="2" t="s">
        <v>512</v>
      </c>
      <c r="G52" s="2" t="s">
        <v>513</v>
      </c>
      <c r="H52" s="2" t="s">
        <v>63</v>
      </c>
      <c r="I52" s="2" t="s">
        <v>154</v>
      </c>
      <c r="J52" s="2" t="s">
        <v>514</v>
      </c>
      <c r="K52" s="2" t="s">
        <v>515</v>
      </c>
      <c r="L52" s="2" t="s">
        <v>154</v>
      </c>
      <c r="M52" s="2" t="s">
        <v>516</v>
      </c>
      <c r="N52" s="2" t="s">
        <v>517</v>
      </c>
      <c r="O52" s="2"/>
      <c r="P52" s="2" t="s">
        <v>37</v>
      </c>
      <c r="Q52" s="4" t="n">
        <v>8731</v>
      </c>
      <c r="R52" s="2" t="s">
        <v>136</v>
      </c>
      <c r="S52" s="2" t="s">
        <v>39</v>
      </c>
      <c r="T52" s="2" t="s">
        <v>40</v>
      </c>
      <c r="U52" s="2" t="s">
        <v>518</v>
      </c>
      <c r="V52" s="2"/>
      <c r="W52" s="2" t="s">
        <v>42</v>
      </c>
      <c r="X52" s="2" t="s">
        <v>43</v>
      </c>
      <c r="Y52" s="2" t="s">
        <v>37</v>
      </c>
      <c r="Z52" s="2" t="s">
        <v>44</v>
      </c>
      <c r="AA52" s="2"/>
      <c r="AB52" s="2"/>
      <c r="AC52" s="2" t="s">
        <v>519</v>
      </c>
      <c r="AD52" s="2" t="s">
        <v>46</v>
      </c>
    </row>
    <row r="53" customFormat="false" ht="15.7" hidden="false" customHeight="true" outlineLevel="0" collapsed="false">
      <c r="A53" s="2"/>
      <c r="B53" s="3" t="n">
        <f aca="false">DATE(2006,2,1)</f>
        <v>0</v>
      </c>
      <c r="C53" s="3" t="n">
        <v>38749</v>
      </c>
      <c r="D53" s="2" t="s">
        <v>520</v>
      </c>
      <c r="F53" s="2" t="s">
        <v>521</v>
      </c>
      <c r="G53" s="2" t="s">
        <v>522</v>
      </c>
      <c r="H53" s="2" t="s">
        <v>523</v>
      </c>
      <c r="I53" s="2" t="s">
        <v>51</v>
      </c>
      <c r="J53" s="2" t="s">
        <v>52</v>
      </c>
      <c r="K53" s="2" t="s">
        <v>520</v>
      </c>
      <c r="L53" s="2" t="s">
        <v>51</v>
      </c>
      <c r="M53" s="2" t="s">
        <v>523</v>
      </c>
      <c r="N53" s="2" t="s">
        <v>524</v>
      </c>
      <c r="O53" s="2"/>
      <c r="P53" s="2" t="s">
        <v>79</v>
      </c>
      <c r="Q53" s="4" t="n">
        <v>6794</v>
      </c>
      <c r="R53" s="2" t="s">
        <v>136</v>
      </c>
      <c r="S53" s="2" t="s">
        <v>39</v>
      </c>
      <c r="T53" s="2" t="s">
        <v>40</v>
      </c>
      <c r="U53" s="2" t="s">
        <v>525</v>
      </c>
      <c r="V53" s="2"/>
      <c r="W53" s="2" t="s">
        <v>82</v>
      </c>
      <c r="X53" s="2" t="s">
        <v>43</v>
      </c>
      <c r="Y53" s="2" t="s">
        <v>37</v>
      </c>
      <c r="Z53" s="2" t="s">
        <v>44</v>
      </c>
      <c r="AA53" s="2"/>
      <c r="AB53" s="2"/>
      <c r="AC53" s="2" t="s">
        <v>526</v>
      </c>
      <c r="AD53" s="2" t="s">
        <v>46</v>
      </c>
    </row>
    <row r="54" customFormat="false" ht="15.7" hidden="false" customHeight="true" outlineLevel="0" collapsed="false">
      <c r="A54" s="2"/>
      <c r="B54" s="3" t="n">
        <f aca="false">DATE(2006,2,3)</f>
        <v>0</v>
      </c>
      <c r="C54" s="3" t="n">
        <v>38751</v>
      </c>
      <c r="D54" s="2" t="s">
        <v>527</v>
      </c>
      <c r="F54" s="2" t="s">
        <v>528</v>
      </c>
      <c r="G54" s="2" t="s">
        <v>529</v>
      </c>
      <c r="H54" s="2" t="s">
        <v>305</v>
      </c>
      <c r="I54" s="2" t="s">
        <v>530</v>
      </c>
      <c r="J54" s="2" t="s">
        <v>35</v>
      </c>
      <c r="K54" s="2" t="s">
        <v>527</v>
      </c>
      <c r="L54" s="2" t="s">
        <v>530</v>
      </c>
      <c r="M54" s="2" t="s">
        <v>305</v>
      </c>
      <c r="N54" s="2" t="s">
        <v>531</v>
      </c>
      <c r="O54" s="2"/>
      <c r="P54" s="2" t="s">
        <v>37</v>
      </c>
      <c r="Q54" s="4" t="n">
        <v>8731</v>
      </c>
      <c r="R54" s="2" t="s">
        <v>136</v>
      </c>
      <c r="S54" s="2" t="s">
        <v>39</v>
      </c>
      <c r="T54" s="2" t="s">
        <v>40</v>
      </c>
      <c r="U54" s="2" t="s">
        <v>532</v>
      </c>
      <c r="V54" s="2"/>
      <c r="W54" s="2" t="s">
        <v>42</v>
      </c>
      <c r="X54" s="2" t="s">
        <v>43</v>
      </c>
      <c r="Y54" s="2" t="s">
        <v>37</v>
      </c>
      <c r="Z54" s="2" t="s">
        <v>44</v>
      </c>
      <c r="AA54" s="2"/>
      <c r="AB54" s="2"/>
      <c r="AC54" s="2" t="s">
        <v>533</v>
      </c>
      <c r="AD54" s="2" t="s">
        <v>46</v>
      </c>
    </row>
    <row r="55" customFormat="false" ht="15.7" hidden="false" customHeight="true" outlineLevel="0" collapsed="false">
      <c r="A55" s="2"/>
      <c r="B55" s="3" t="n">
        <f aca="false">DATE(2006,2,3)</f>
        <v>0</v>
      </c>
      <c r="C55" s="3" t="n">
        <v>38751</v>
      </c>
      <c r="D55" s="2" t="s">
        <v>534</v>
      </c>
      <c r="F55" s="2" t="s">
        <v>535</v>
      </c>
      <c r="G55" s="2" t="s">
        <v>536</v>
      </c>
      <c r="H55" s="2" t="s">
        <v>537</v>
      </c>
      <c r="I55" s="2" t="s">
        <v>538</v>
      </c>
      <c r="J55" s="2" t="s">
        <v>35</v>
      </c>
      <c r="K55" s="2" t="s">
        <v>539</v>
      </c>
      <c r="L55" s="2" t="s">
        <v>540</v>
      </c>
      <c r="M55" s="2" t="s">
        <v>541</v>
      </c>
      <c r="N55" s="2" t="s">
        <v>542</v>
      </c>
      <c r="O55" s="2"/>
      <c r="P55" s="2" t="s">
        <v>37</v>
      </c>
      <c r="Q55" s="4" t="n">
        <v>8731</v>
      </c>
      <c r="R55" s="2" t="s">
        <v>136</v>
      </c>
      <c r="S55" s="2" t="s">
        <v>39</v>
      </c>
      <c r="T55" s="2" t="s">
        <v>40</v>
      </c>
      <c r="U55" s="2" t="s">
        <v>543</v>
      </c>
      <c r="V55" s="2"/>
      <c r="W55" s="2" t="s">
        <v>42</v>
      </c>
      <c r="X55" s="2" t="s">
        <v>43</v>
      </c>
      <c r="Y55" s="2" t="s">
        <v>37</v>
      </c>
      <c r="Z55" s="2" t="s">
        <v>44</v>
      </c>
      <c r="AA55" s="2"/>
      <c r="AB55" s="2"/>
      <c r="AC55" s="2" t="s">
        <v>544</v>
      </c>
      <c r="AD55" s="2" t="s">
        <v>46</v>
      </c>
    </row>
    <row r="56" customFormat="false" ht="15.7" hidden="false" customHeight="true" outlineLevel="0" collapsed="false">
      <c r="A56" s="2"/>
      <c r="B56" s="3" t="n">
        <f aca="false">DATE(2006,2,3)</f>
        <v>0</v>
      </c>
      <c r="C56" s="3" t="n">
        <v>38751</v>
      </c>
      <c r="D56" s="2" t="s">
        <v>545</v>
      </c>
      <c r="F56" s="2" t="s">
        <v>546</v>
      </c>
      <c r="G56" s="2" t="s">
        <v>547</v>
      </c>
      <c r="H56" s="2" t="s">
        <v>548</v>
      </c>
      <c r="I56" s="2" t="s">
        <v>549</v>
      </c>
      <c r="J56" s="2" t="s">
        <v>132</v>
      </c>
      <c r="K56" s="2" t="s">
        <v>550</v>
      </c>
      <c r="L56" s="2" t="s">
        <v>549</v>
      </c>
      <c r="M56" s="2" t="s">
        <v>551</v>
      </c>
      <c r="N56" s="2" t="s">
        <v>552</v>
      </c>
      <c r="O56" s="2"/>
      <c r="P56" s="2" t="s">
        <v>37</v>
      </c>
      <c r="Q56" s="4" t="n">
        <v>8731</v>
      </c>
      <c r="R56" s="2" t="s">
        <v>136</v>
      </c>
      <c r="S56" s="2" t="s">
        <v>39</v>
      </c>
      <c r="T56" s="2" t="s">
        <v>40</v>
      </c>
      <c r="U56" s="2" t="s">
        <v>553</v>
      </c>
      <c r="V56" s="2"/>
      <c r="W56" s="2" t="s">
        <v>42</v>
      </c>
      <c r="X56" s="2" t="s">
        <v>43</v>
      </c>
      <c r="Y56" s="2" t="s">
        <v>37</v>
      </c>
      <c r="Z56" s="2" t="s">
        <v>44</v>
      </c>
      <c r="AA56" s="2" t="s">
        <v>554</v>
      </c>
      <c r="AB56" s="2"/>
      <c r="AC56" s="2" t="s">
        <v>555</v>
      </c>
      <c r="AD56" s="2" t="s">
        <v>46</v>
      </c>
    </row>
    <row r="57" customFormat="false" ht="15.7" hidden="false" customHeight="true" outlineLevel="0" collapsed="false">
      <c r="A57" s="2"/>
      <c r="B57" s="3" t="n">
        <f aca="false">DATE(2006,2,3)</f>
        <v>0</v>
      </c>
      <c r="C57" s="3" t="n">
        <v>38751</v>
      </c>
      <c r="D57" s="2" t="s">
        <v>556</v>
      </c>
      <c r="F57" s="2" t="s">
        <v>557</v>
      </c>
      <c r="G57" s="2" t="s">
        <v>558</v>
      </c>
      <c r="H57" s="2" t="s">
        <v>559</v>
      </c>
      <c r="I57" s="2" t="s">
        <v>51</v>
      </c>
      <c r="J57" s="2" t="s">
        <v>560</v>
      </c>
      <c r="K57" s="2" t="s">
        <v>556</v>
      </c>
      <c r="L57" s="2" t="s">
        <v>51</v>
      </c>
      <c r="M57" s="2" t="s">
        <v>559</v>
      </c>
      <c r="N57" s="2" t="s">
        <v>561</v>
      </c>
      <c r="O57" s="2"/>
      <c r="P57" s="2" t="s">
        <v>37</v>
      </c>
      <c r="Q57" s="4" t="n">
        <v>7375</v>
      </c>
      <c r="R57" s="2" t="s">
        <v>136</v>
      </c>
      <c r="S57" s="2" t="s">
        <v>39</v>
      </c>
      <c r="T57" s="2" t="s">
        <v>40</v>
      </c>
      <c r="U57" s="2" t="s">
        <v>562</v>
      </c>
      <c r="V57" s="2"/>
      <c r="W57" s="2" t="s">
        <v>563</v>
      </c>
      <c r="X57" s="2" t="s">
        <v>43</v>
      </c>
      <c r="Y57" s="2" t="s">
        <v>37</v>
      </c>
      <c r="Z57" s="2" t="s">
        <v>44</v>
      </c>
      <c r="AA57" s="2"/>
      <c r="AB57" s="2"/>
      <c r="AC57" s="2" t="s">
        <v>564</v>
      </c>
      <c r="AD57" s="2" t="s">
        <v>46</v>
      </c>
    </row>
    <row r="58" customFormat="false" ht="15.7" hidden="false" customHeight="true" outlineLevel="0" collapsed="false">
      <c r="A58" s="2"/>
      <c r="B58" s="3" t="n">
        <f aca="false">DATE(2006,2,7)</f>
        <v>0</v>
      </c>
      <c r="C58" s="3" t="n">
        <v>38755</v>
      </c>
      <c r="D58" s="2" t="s">
        <v>565</v>
      </c>
      <c r="F58" s="2" t="s">
        <v>566</v>
      </c>
      <c r="G58" s="2" t="s">
        <v>567</v>
      </c>
      <c r="H58" s="2" t="s">
        <v>63</v>
      </c>
      <c r="I58" s="2" t="s">
        <v>568</v>
      </c>
      <c r="J58" s="2" t="s">
        <v>65</v>
      </c>
      <c r="K58" s="2" t="s">
        <v>565</v>
      </c>
      <c r="L58" s="2" t="s">
        <v>568</v>
      </c>
      <c r="M58" s="2" t="s">
        <v>63</v>
      </c>
      <c r="N58" s="2" t="s">
        <v>569</v>
      </c>
      <c r="O58" s="2"/>
      <c r="P58" s="2" t="s">
        <v>37</v>
      </c>
      <c r="Q58" s="4" t="n">
        <v>8731</v>
      </c>
      <c r="R58" s="2" t="s">
        <v>136</v>
      </c>
      <c r="S58" s="2" t="s">
        <v>39</v>
      </c>
      <c r="T58" s="2" t="s">
        <v>40</v>
      </c>
      <c r="U58" s="2" t="s">
        <v>570</v>
      </c>
      <c r="V58" s="2"/>
      <c r="W58" s="2" t="s">
        <v>42</v>
      </c>
      <c r="X58" s="2" t="s">
        <v>43</v>
      </c>
      <c r="Y58" s="2" t="s">
        <v>37</v>
      </c>
      <c r="Z58" s="2" t="s">
        <v>44</v>
      </c>
      <c r="AA58" s="2"/>
      <c r="AB58" s="2"/>
      <c r="AC58" s="2" t="s">
        <v>571</v>
      </c>
      <c r="AD58" s="2" t="s">
        <v>46</v>
      </c>
    </row>
    <row r="59" customFormat="false" ht="15.7" hidden="false" customHeight="true" outlineLevel="0" collapsed="false">
      <c r="A59" s="2"/>
      <c r="B59" s="3" t="n">
        <f aca="false">DATE(2006,2,7)</f>
        <v>0</v>
      </c>
      <c r="C59" s="3" t="n">
        <v>38755</v>
      </c>
      <c r="D59" s="2" t="s">
        <v>572</v>
      </c>
      <c r="F59" s="2" t="s">
        <v>573</v>
      </c>
      <c r="G59" s="2" t="s">
        <v>574</v>
      </c>
      <c r="H59" s="2" t="s">
        <v>130</v>
      </c>
      <c r="I59" s="2" t="s">
        <v>219</v>
      </c>
      <c r="J59" s="2" t="s">
        <v>575</v>
      </c>
      <c r="K59" s="2" t="s">
        <v>572</v>
      </c>
      <c r="L59" s="2" t="s">
        <v>219</v>
      </c>
      <c r="M59" s="2" t="s">
        <v>130</v>
      </c>
      <c r="N59" s="2" t="s">
        <v>576</v>
      </c>
      <c r="O59" s="2"/>
      <c r="P59" s="2" t="s">
        <v>37</v>
      </c>
      <c r="Q59" s="4" t="n">
        <v>2834</v>
      </c>
      <c r="R59" s="2" t="s">
        <v>136</v>
      </c>
      <c r="S59" s="2" t="s">
        <v>39</v>
      </c>
      <c r="T59" s="2" t="s">
        <v>40</v>
      </c>
      <c r="U59" s="2" t="s">
        <v>577</v>
      </c>
      <c r="V59" s="2"/>
      <c r="W59" s="2" t="s">
        <v>107</v>
      </c>
      <c r="X59" s="2" t="s">
        <v>43</v>
      </c>
      <c r="Y59" s="2" t="s">
        <v>37</v>
      </c>
      <c r="Z59" s="2" t="s">
        <v>44</v>
      </c>
      <c r="AA59" s="2"/>
      <c r="AB59" s="2"/>
      <c r="AC59" s="2" t="s">
        <v>578</v>
      </c>
      <c r="AD59" s="2" t="s">
        <v>46</v>
      </c>
    </row>
    <row r="60" customFormat="false" ht="15.7" hidden="false" customHeight="true" outlineLevel="0" collapsed="false">
      <c r="A60" s="2"/>
      <c r="B60" s="3" t="n">
        <f aca="false">DATE(2006,2,8)</f>
        <v>0</v>
      </c>
      <c r="C60" s="3" t="n">
        <v>38756</v>
      </c>
      <c r="D60" s="2" t="s">
        <v>579</v>
      </c>
      <c r="F60" s="2" t="s">
        <v>580</v>
      </c>
      <c r="G60" s="2" t="s">
        <v>581</v>
      </c>
      <c r="H60" s="2" t="s">
        <v>582</v>
      </c>
      <c r="I60" s="2" t="s">
        <v>583</v>
      </c>
      <c r="J60" s="2" t="s">
        <v>35</v>
      </c>
      <c r="K60" s="2" t="s">
        <v>584</v>
      </c>
      <c r="L60" s="2" t="s">
        <v>583</v>
      </c>
      <c r="M60" s="2" t="s">
        <v>585</v>
      </c>
      <c r="N60" s="2" t="s">
        <v>586</v>
      </c>
      <c r="O60" s="2"/>
      <c r="P60" s="2" t="s">
        <v>79</v>
      </c>
      <c r="Q60" s="4" t="n">
        <v>6794</v>
      </c>
      <c r="R60" s="2" t="s">
        <v>136</v>
      </c>
      <c r="S60" s="2" t="s">
        <v>39</v>
      </c>
      <c r="T60" s="2" t="s">
        <v>40</v>
      </c>
      <c r="U60" s="2" t="s">
        <v>587</v>
      </c>
      <c r="V60" s="2"/>
      <c r="W60" s="2" t="s">
        <v>588</v>
      </c>
      <c r="X60" s="2" t="s">
        <v>43</v>
      </c>
      <c r="Y60" s="2" t="s">
        <v>37</v>
      </c>
      <c r="Z60" s="2" t="s">
        <v>44</v>
      </c>
      <c r="AA60" s="2" t="s">
        <v>589</v>
      </c>
      <c r="AB60" s="2"/>
      <c r="AC60" s="2" t="s">
        <v>590</v>
      </c>
      <c r="AD60" s="2" t="s">
        <v>46</v>
      </c>
    </row>
    <row r="61" customFormat="false" ht="15.7" hidden="false" customHeight="true" outlineLevel="0" collapsed="false">
      <c r="A61" s="2"/>
      <c r="B61" s="3" t="n">
        <f aca="false">DATE(2006,2,9)</f>
        <v>0</v>
      </c>
      <c r="C61" s="3" t="n">
        <v>38757</v>
      </c>
      <c r="D61" s="2" t="s">
        <v>591</v>
      </c>
      <c r="F61" s="2" t="s">
        <v>592</v>
      </c>
      <c r="G61" s="2" t="s">
        <v>593</v>
      </c>
      <c r="H61" s="2" t="s">
        <v>594</v>
      </c>
      <c r="I61" s="2" t="s">
        <v>51</v>
      </c>
      <c r="J61" s="2" t="s">
        <v>595</v>
      </c>
      <c r="K61" s="2" t="s">
        <v>596</v>
      </c>
      <c r="L61" s="2" t="s">
        <v>51</v>
      </c>
      <c r="M61" s="2" t="s">
        <v>597</v>
      </c>
      <c r="N61" s="2" t="s">
        <v>598</v>
      </c>
      <c r="O61" s="2"/>
      <c r="P61" s="2" t="s">
        <v>37</v>
      </c>
      <c r="Q61" s="4" t="n">
        <v>8731</v>
      </c>
      <c r="R61" s="2" t="s">
        <v>56</v>
      </c>
      <c r="S61" s="2" t="s">
        <v>57</v>
      </c>
      <c r="T61" s="2" t="s">
        <v>40</v>
      </c>
      <c r="U61" s="2" t="s">
        <v>599</v>
      </c>
      <c r="V61" s="2"/>
      <c r="W61" s="2" t="s">
        <v>42</v>
      </c>
      <c r="X61" s="2" t="s">
        <v>43</v>
      </c>
      <c r="Y61" s="2" t="s">
        <v>37</v>
      </c>
      <c r="Z61" s="2" t="s">
        <v>44</v>
      </c>
      <c r="AA61" s="2"/>
      <c r="AB61" s="2"/>
      <c r="AC61" s="2" t="s">
        <v>600</v>
      </c>
      <c r="AD61" s="2" t="s">
        <v>46</v>
      </c>
    </row>
    <row r="62" customFormat="false" ht="15.7" hidden="false" customHeight="true" outlineLevel="0" collapsed="false">
      <c r="A62" s="2"/>
      <c r="B62" s="3" t="n">
        <f aca="false">DATE(2006,2,9)</f>
        <v>0</v>
      </c>
      <c r="C62" s="3" t="n">
        <v>38757</v>
      </c>
      <c r="D62" s="2" t="s">
        <v>601</v>
      </c>
      <c r="F62" s="2" t="s">
        <v>602</v>
      </c>
      <c r="G62" s="2" t="s">
        <v>603</v>
      </c>
      <c r="H62" s="2" t="s">
        <v>604</v>
      </c>
      <c r="I62" s="2" t="s">
        <v>51</v>
      </c>
      <c r="J62" s="2" t="s">
        <v>178</v>
      </c>
      <c r="K62" s="2" t="s">
        <v>601</v>
      </c>
      <c r="L62" s="2" t="s">
        <v>51</v>
      </c>
      <c r="M62" s="2" t="s">
        <v>604</v>
      </c>
      <c r="N62" s="2" t="s">
        <v>605</v>
      </c>
      <c r="O62" s="2"/>
      <c r="P62" s="2" t="s">
        <v>79</v>
      </c>
      <c r="Q62" s="4" t="n">
        <v>6794</v>
      </c>
      <c r="R62" s="2" t="s">
        <v>56</v>
      </c>
      <c r="S62" s="2" t="s">
        <v>57</v>
      </c>
      <c r="T62" s="2" t="s">
        <v>40</v>
      </c>
      <c r="U62" s="2" t="s">
        <v>606</v>
      </c>
      <c r="V62" s="2"/>
      <c r="W62" s="2" t="s">
        <v>94</v>
      </c>
      <c r="X62" s="2" t="s">
        <v>43</v>
      </c>
      <c r="Y62" s="2" t="s">
        <v>37</v>
      </c>
      <c r="Z62" s="2" t="s">
        <v>44</v>
      </c>
      <c r="AA62" s="2"/>
      <c r="AB62" s="2"/>
      <c r="AC62" s="2" t="s">
        <v>607</v>
      </c>
      <c r="AD62" s="2" t="s">
        <v>46</v>
      </c>
    </row>
    <row r="63" customFormat="false" ht="15.7" hidden="false" customHeight="true" outlineLevel="0" collapsed="false">
      <c r="A63" s="2"/>
      <c r="B63" s="3" t="n">
        <f aca="false">DATE(2006,2,9)</f>
        <v>0</v>
      </c>
      <c r="C63" s="3" t="n">
        <v>38757</v>
      </c>
      <c r="D63" s="2" t="s">
        <v>608</v>
      </c>
      <c r="F63" s="2" t="s">
        <v>609</v>
      </c>
      <c r="G63" s="2" t="s">
        <v>610</v>
      </c>
      <c r="H63" s="2" t="s">
        <v>611</v>
      </c>
      <c r="I63" s="2" t="s">
        <v>612</v>
      </c>
      <c r="J63" s="2" t="s">
        <v>35</v>
      </c>
      <c r="K63" s="2" t="s">
        <v>608</v>
      </c>
      <c r="L63" s="2" t="s">
        <v>612</v>
      </c>
      <c r="M63" s="2" t="s">
        <v>611</v>
      </c>
      <c r="N63" s="2" t="s">
        <v>613</v>
      </c>
      <c r="O63" s="2"/>
      <c r="P63" s="2" t="s">
        <v>37</v>
      </c>
      <c r="Q63" s="4" t="n">
        <v>6794</v>
      </c>
      <c r="R63" s="2" t="s">
        <v>136</v>
      </c>
      <c r="S63" s="2" t="s">
        <v>39</v>
      </c>
      <c r="T63" s="2" t="s">
        <v>40</v>
      </c>
      <c r="U63" s="2" t="s">
        <v>614</v>
      </c>
      <c r="V63" s="2"/>
      <c r="W63" s="2" t="s">
        <v>82</v>
      </c>
      <c r="X63" s="2" t="s">
        <v>43</v>
      </c>
      <c r="Y63" s="2" t="s">
        <v>37</v>
      </c>
      <c r="Z63" s="2" t="s">
        <v>44</v>
      </c>
      <c r="AA63" s="2"/>
      <c r="AB63" s="2"/>
      <c r="AC63" s="2" t="s">
        <v>615</v>
      </c>
      <c r="AD63" s="2" t="s">
        <v>46</v>
      </c>
    </row>
    <row r="64" customFormat="false" ht="15.7" hidden="false" customHeight="true" outlineLevel="0" collapsed="false">
      <c r="A64" s="2"/>
      <c r="B64" s="3" t="n">
        <f aca="false">DATE(2006,2,10)</f>
        <v>0</v>
      </c>
      <c r="C64" s="3" t="n">
        <v>38758</v>
      </c>
      <c r="D64" s="2" t="s">
        <v>616</v>
      </c>
      <c r="F64" s="2" t="s">
        <v>617</v>
      </c>
      <c r="G64" s="2" t="s">
        <v>618</v>
      </c>
      <c r="H64" s="2" t="s">
        <v>63</v>
      </c>
      <c r="I64" s="2" t="s">
        <v>100</v>
      </c>
      <c r="J64" s="2" t="s">
        <v>575</v>
      </c>
      <c r="K64" s="2" t="s">
        <v>616</v>
      </c>
      <c r="L64" s="2" t="s">
        <v>100</v>
      </c>
      <c r="M64" s="2" t="s">
        <v>63</v>
      </c>
      <c r="N64" s="2" t="s">
        <v>619</v>
      </c>
      <c r="O64" s="2"/>
      <c r="P64" s="2" t="s">
        <v>37</v>
      </c>
      <c r="Q64" s="4" t="n">
        <v>8731</v>
      </c>
      <c r="R64" s="2" t="s">
        <v>136</v>
      </c>
      <c r="S64" s="2" t="s">
        <v>39</v>
      </c>
      <c r="T64" s="2" t="s">
        <v>40</v>
      </c>
      <c r="U64" s="2" t="s">
        <v>620</v>
      </c>
      <c r="V64" s="2"/>
      <c r="W64" s="2" t="s">
        <v>42</v>
      </c>
      <c r="X64" s="2" t="s">
        <v>43</v>
      </c>
      <c r="Y64" s="2" t="s">
        <v>37</v>
      </c>
      <c r="Z64" s="2" t="s">
        <v>44</v>
      </c>
      <c r="AA64" s="2"/>
      <c r="AB64" s="2"/>
      <c r="AC64" s="2" t="s">
        <v>621</v>
      </c>
      <c r="AD64" s="2" t="s">
        <v>46</v>
      </c>
    </row>
    <row r="65" customFormat="false" ht="15.7" hidden="false" customHeight="true" outlineLevel="0" collapsed="false">
      <c r="A65" s="2"/>
      <c r="B65" s="3" t="n">
        <f aca="false">DATE(2006,2,12)</f>
        <v>0</v>
      </c>
      <c r="C65" s="3" t="n">
        <v>38760</v>
      </c>
      <c r="D65" s="2" t="s">
        <v>622</v>
      </c>
      <c r="F65" s="2" t="s">
        <v>623</v>
      </c>
      <c r="G65" s="2" t="s">
        <v>624</v>
      </c>
      <c r="H65" s="2" t="s">
        <v>170</v>
      </c>
      <c r="I65" s="2" t="s">
        <v>100</v>
      </c>
      <c r="J65" s="2" t="s">
        <v>625</v>
      </c>
      <c r="K65" s="2" t="s">
        <v>622</v>
      </c>
      <c r="L65" s="2" t="s">
        <v>100</v>
      </c>
      <c r="M65" s="2" t="s">
        <v>170</v>
      </c>
      <c r="N65" s="2" t="s">
        <v>626</v>
      </c>
      <c r="O65" s="2"/>
      <c r="P65" s="2" t="s">
        <v>37</v>
      </c>
      <c r="Q65" s="4" t="n">
        <v>8731</v>
      </c>
      <c r="R65" s="2" t="s">
        <v>136</v>
      </c>
      <c r="S65" s="2" t="s">
        <v>39</v>
      </c>
      <c r="T65" s="2" t="s">
        <v>40</v>
      </c>
      <c r="U65" s="2" t="s">
        <v>627</v>
      </c>
      <c r="V65" s="2"/>
      <c r="W65" s="2" t="s">
        <v>42</v>
      </c>
      <c r="X65" s="2" t="s">
        <v>43</v>
      </c>
      <c r="Y65" s="2" t="s">
        <v>37</v>
      </c>
      <c r="Z65" s="2" t="s">
        <v>44</v>
      </c>
      <c r="AA65" s="2"/>
      <c r="AB65" s="2"/>
      <c r="AC65" s="2" t="s">
        <v>628</v>
      </c>
      <c r="AD65" s="2" t="s">
        <v>46</v>
      </c>
    </row>
    <row r="66" customFormat="false" ht="15.7" hidden="false" customHeight="true" outlineLevel="0" collapsed="false">
      <c r="A66" s="2"/>
      <c r="B66" s="3" t="n">
        <f aca="false">DATE(2006,2,13)</f>
        <v>0</v>
      </c>
      <c r="C66" s="3" t="n">
        <v>38761</v>
      </c>
      <c r="D66" s="2" t="s">
        <v>629</v>
      </c>
      <c r="F66" s="2" t="s">
        <v>630</v>
      </c>
      <c r="G66" s="2" t="s">
        <v>631</v>
      </c>
      <c r="H66" s="2" t="s">
        <v>632</v>
      </c>
      <c r="I66" s="2" t="s">
        <v>51</v>
      </c>
      <c r="J66" s="2" t="s">
        <v>633</v>
      </c>
      <c r="K66" s="2" t="s">
        <v>629</v>
      </c>
      <c r="L66" s="2" t="s">
        <v>51</v>
      </c>
      <c r="M66" s="2" t="s">
        <v>632</v>
      </c>
      <c r="N66" s="2" t="s">
        <v>634</v>
      </c>
      <c r="O66" s="2"/>
      <c r="P66" s="2" t="s">
        <v>37</v>
      </c>
      <c r="Q66" s="4" t="n">
        <v>3711</v>
      </c>
      <c r="R66" s="2" t="s">
        <v>56</v>
      </c>
      <c r="S66" s="2" t="s">
        <v>92</v>
      </c>
      <c r="T66" s="2" t="s">
        <v>40</v>
      </c>
      <c r="U66" s="2" t="s">
        <v>635</v>
      </c>
      <c r="V66" s="2"/>
      <c r="W66" s="2" t="s">
        <v>107</v>
      </c>
      <c r="X66" s="2" t="s">
        <v>43</v>
      </c>
      <c r="Y66" s="2" t="s">
        <v>37</v>
      </c>
      <c r="Z66" s="2" t="s">
        <v>44</v>
      </c>
      <c r="AA66" s="2"/>
      <c r="AB66" s="2"/>
      <c r="AC66" s="2" t="s">
        <v>636</v>
      </c>
      <c r="AD66" s="2" t="s">
        <v>46</v>
      </c>
    </row>
    <row r="67" customFormat="false" ht="15.7" hidden="false" customHeight="true" outlineLevel="0" collapsed="false">
      <c r="A67" s="2"/>
      <c r="B67" s="3" t="n">
        <f aca="false">DATE(2006,2,13)</f>
        <v>0</v>
      </c>
      <c r="C67" s="3" t="n">
        <v>38761</v>
      </c>
      <c r="D67" s="2" t="s">
        <v>637</v>
      </c>
      <c r="F67" s="2" t="s">
        <v>638</v>
      </c>
      <c r="G67" s="2" t="s">
        <v>639</v>
      </c>
      <c r="H67" s="2" t="s">
        <v>130</v>
      </c>
      <c r="I67" s="2" t="s">
        <v>227</v>
      </c>
      <c r="J67" s="2" t="s">
        <v>258</v>
      </c>
      <c r="K67" s="2" t="s">
        <v>640</v>
      </c>
      <c r="L67" s="2" t="s">
        <v>227</v>
      </c>
      <c r="M67" s="2" t="s">
        <v>130</v>
      </c>
      <c r="N67" s="2" t="s">
        <v>641</v>
      </c>
      <c r="O67" s="2"/>
      <c r="P67" s="2" t="s">
        <v>37</v>
      </c>
      <c r="Q67" s="4" t="n">
        <v>8731</v>
      </c>
      <c r="R67" s="2" t="s">
        <v>136</v>
      </c>
      <c r="S67" s="2" t="s">
        <v>39</v>
      </c>
      <c r="T67" s="2" t="s">
        <v>40</v>
      </c>
      <c r="U67" s="2" t="s">
        <v>642</v>
      </c>
      <c r="V67" s="2"/>
      <c r="W67" s="2" t="s">
        <v>42</v>
      </c>
      <c r="X67" s="2" t="s">
        <v>43</v>
      </c>
      <c r="Y67" s="2" t="s">
        <v>37</v>
      </c>
      <c r="Z67" s="2" t="s">
        <v>44</v>
      </c>
      <c r="AA67" s="2"/>
      <c r="AB67" s="2"/>
      <c r="AC67" s="2" t="s">
        <v>643</v>
      </c>
      <c r="AD67" s="2" t="s">
        <v>46</v>
      </c>
    </row>
    <row r="68" customFormat="false" ht="15.7" hidden="false" customHeight="true" outlineLevel="0" collapsed="false">
      <c r="A68" s="2"/>
      <c r="B68" s="3" t="n">
        <f aca="false">DATE(2006,2,14)</f>
        <v>0</v>
      </c>
      <c r="C68" s="3" t="n">
        <v>38762</v>
      </c>
      <c r="D68" s="2" t="s">
        <v>644</v>
      </c>
      <c r="F68" s="2" t="s">
        <v>645</v>
      </c>
      <c r="G68" s="2" t="s">
        <v>646</v>
      </c>
      <c r="H68" s="2" t="s">
        <v>647</v>
      </c>
      <c r="I68" s="2" t="s">
        <v>648</v>
      </c>
      <c r="J68" s="2" t="s">
        <v>35</v>
      </c>
      <c r="K68" s="2" t="s">
        <v>644</v>
      </c>
      <c r="L68" s="2" t="s">
        <v>648</v>
      </c>
      <c r="M68" s="2" t="s">
        <v>647</v>
      </c>
      <c r="N68" s="2" t="s">
        <v>649</v>
      </c>
      <c r="O68" s="2"/>
      <c r="P68" s="2" t="s">
        <v>37</v>
      </c>
      <c r="Q68" s="4" t="n">
        <v>8731</v>
      </c>
      <c r="R68" s="2" t="s">
        <v>38</v>
      </c>
      <c r="S68" s="2" t="s">
        <v>39</v>
      </c>
      <c r="T68" s="2" t="s">
        <v>403</v>
      </c>
      <c r="U68" s="2" t="s">
        <v>650</v>
      </c>
      <c r="V68" s="2"/>
      <c r="W68" s="2" t="s">
        <v>42</v>
      </c>
      <c r="X68" s="2" t="s">
        <v>46</v>
      </c>
      <c r="Y68" s="2" t="s">
        <v>37</v>
      </c>
      <c r="Z68" s="2" t="s">
        <v>362</v>
      </c>
      <c r="AA68" s="2" t="s">
        <v>651</v>
      </c>
      <c r="AB68" s="2"/>
      <c r="AC68" s="2" t="s">
        <v>652</v>
      </c>
      <c r="AD68" s="2" t="s">
        <v>46</v>
      </c>
    </row>
    <row r="69" customFormat="false" ht="15.7" hidden="false" customHeight="true" outlineLevel="0" collapsed="false">
      <c r="A69" s="2"/>
      <c r="B69" s="3" t="n">
        <f aca="false">DATE(2006,2,14)</f>
        <v>0</v>
      </c>
      <c r="C69" s="3" t="n">
        <v>38762</v>
      </c>
      <c r="D69" s="2" t="s">
        <v>653</v>
      </c>
      <c r="F69" s="2" t="s">
        <v>408</v>
      </c>
      <c r="G69" s="2" t="s">
        <v>654</v>
      </c>
      <c r="H69" s="2" t="s">
        <v>170</v>
      </c>
      <c r="I69" s="2" t="s">
        <v>655</v>
      </c>
      <c r="J69" s="2" t="s">
        <v>35</v>
      </c>
      <c r="K69" s="2" t="s">
        <v>653</v>
      </c>
      <c r="L69" s="2" t="s">
        <v>655</v>
      </c>
      <c r="M69" s="2" t="s">
        <v>170</v>
      </c>
      <c r="N69" s="2" t="s">
        <v>656</v>
      </c>
      <c r="O69" s="2"/>
      <c r="P69" s="2" t="s">
        <v>37</v>
      </c>
      <c r="Q69" s="4" t="n">
        <v>8731</v>
      </c>
      <c r="R69" s="2" t="s">
        <v>105</v>
      </c>
      <c r="S69" s="2" t="s">
        <v>39</v>
      </c>
      <c r="T69" s="2" t="s">
        <v>40</v>
      </c>
      <c r="U69" s="2" t="s">
        <v>657</v>
      </c>
      <c r="V69" s="2"/>
      <c r="W69" s="2" t="s">
        <v>42</v>
      </c>
      <c r="X69" s="2" t="s">
        <v>43</v>
      </c>
      <c r="Y69" s="2" t="s">
        <v>37</v>
      </c>
      <c r="Z69" s="2" t="s">
        <v>44</v>
      </c>
      <c r="AA69" s="2"/>
      <c r="AB69" s="2"/>
      <c r="AC69" s="2" t="s">
        <v>658</v>
      </c>
      <c r="AD69" s="2" t="s">
        <v>46</v>
      </c>
    </row>
    <row r="70" customFormat="false" ht="15.7" hidden="false" customHeight="true" outlineLevel="0" collapsed="false">
      <c r="A70" s="2"/>
      <c r="B70" s="3" t="n">
        <f aca="false">DATE(2006,2,14)</f>
        <v>0</v>
      </c>
      <c r="C70" s="3" t="n">
        <v>38762</v>
      </c>
      <c r="D70" s="2" t="s">
        <v>659</v>
      </c>
      <c r="F70" s="2" t="s">
        <v>660</v>
      </c>
      <c r="G70" s="2" t="s">
        <v>661</v>
      </c>
      <c r="H70" s="2" t="s">
        <v>170</v>
      </c>
      <c r="I70" s="2" t="s">
        <v>662</v>
      </c>
      <c r="J70" s="2" t="s">
        <v>65</v>
      </c>
      <c r="K70" s="2" t="s">
        <v>663</v>
      </c>
      <c r="L70" s="2" t="s">
        <v>664</v>
      </c>
      <c r="M70" s="2" t="s">
        <v>305</v>
      </c>
      <c r="N70" s="2" t="s">
        <v>665</v>
      </c>
      <c r="O70" s="2"/>
      <c r="P70" s="2" t="s">
        <v>37</v>
      </c>
      <c r="Q70" s="4" t="n">
        <v>6794</v>
      </c>
      <c r="R70" s="2" t="s">
        <v>136</v>
      </c>
      <c r="S70" s="2" t="s">
        <v>39</v>
      </c>
      <c r="T70" s="2" t="s">
        <v>40</v>
      </c>
      <c r="U70" s="2" t="s">
        <v>666</v>
      </c>
      <c r="V70" s="2"/>
      <c r="W70" s="2" t="s">
        <v>82</v>
      </c>
      <c r="X70" s="2" t="s">
        <v>43</v>
      </c>
      <c r="Y70" s="2" t="s">
        <v>37</v>
      </c>
      <c r="Z70" s="2" t="s">
        <v>44</v>
      </c>
      <c r="AA70" s="2"/>
      <c r="AB70" s="2"/>
      <c r="AC70" s="2" t="s">
        <v>667</v>
      </c>
      <c r="AD70" s="2" t="s">
        <v>46</v>
      </c>
    </row>
    <row r="71" customFormat="false" ht="15.7" hidden="false" customHeight="true" outlineLevel="0" collapsed="false">
      <c r="A71" s="2"/>
      <c r="B71" s="3" t="n">
        <f aca="false">DATE(2006,2,14)</f>
        <v>0</v>
      </c>
      <c r="C71" s="3" t="n">
        <v>38762</v>
      </c>
      <c r="D71" s="2" t="s">
        <v>668</v>
      </c>
      <c r="F71" s="2" t="s">
        <v>256</v>
      </c>
      <c r="G71" s="2" t="s">
        <v>669</v>
      </c>
      <c r="H71" s="2" t="s">
        <v>170</v>
      </c>
      <c r="I71" s="2" t="s">
        <v>670</v>
      </c>
      <c r="J71" s="2" t="s">
        <v>671</v>
      </c>
      <c r="K71" s="2" t="s">
        <v>668</v>
      </c>
      <c r="L71" s="2" t="s">
        <v>670</v>
      </c>
      <c r="M71" s="2" t="s">
        <v>170</v>
      </c>
      <c r="N71" s="2" t="s">
        <v>672</v>
      </c>
      <c r="O71" s="2"/>
      <c r="P71" s="2" t="s">
        <v>37</v>
      </c>
      <c r="Q71" s="4" t="n">
        <v>8731</v>
      </c>
      <c r="R71" s="2" t="s">
        <v>402</v>
      </c>
      <c r="S71" s="2" t="s">
        <v>39</v>
      </c>
      <c r="T71" s="2" t="s">
        <v>673</v>
      </c>
      <c r="U71" s="2" t="s">
        <v>674</v>
      </c>
      <c r="V71" s="2"/>
      <c r="W71" s="2" t="s">
        <v>42</v>
      </c>
      <c r="X71" s="2" t="s">
        <v>43</v>
      </c>
      <c r="Y71" s="2" t="s">
        <v>37</v>
      </c>
      <c r="Z71" s="2" t="s">
        <v>44</v>
      </c>
      <c r="AA71" s="2"/>
      <c r="AB71" s="2"/>
      <c r="AC71" s="2" t="s">
        <v>675</v>
      </c>
      <c r="AD71" s="2" t="s">
        <v>46</v>
      </c>
    </row>
    <row r="72" customFormat="false" ht="15.7" hidden="false" customHeight="true" outlineLevel="0" collapsed="false">
      <c r="A72" s="2"/>
      <c r="B72" s="3" t="n">
        <f aca="false">DATE(2006,2,14)</f>
        <v>0</v>
      </c>
      <c r="C72" s="3" t="n">
        <v>38762</v>
      </c>
      <c r="D72" s="2" t="s">
        <v>676</v>
      </c>
      <c r="F72" s="2" t="s">
        <v>256</v>
      </c>
      <c r="G72" s="2" t="s">
        <v>677</v>
      </c>
      <c r="H72" s="2" t="s">
        <v>170</v>
      </c>
      <c r="I72" s="2" t="s">
        <v>51</v>
      </c>
      <c r="J72" s="2" t="s">
        <v>171</v>
      </c>
      <c r="K72" s="2" t="s">
        <v>676</v>
      </c>
      <c r="L72" s="2" t="s">
        <v>51</v>
      </c>
      <c r="M72" s="2" t="s">
        <v>170</v>
      </c>
      <c r="N72" s="2" t="s">
        <v>678</v>
      </c>
      <c r="O72" s="2"/>
      <c r="P72" s="2" t="s">
        <v>37</v>
      </c>
      <c r="Q72" s="4" t="n">
        <v>8731</v>
      </c>
      <c r="R72" s="2" t="s">
        <v>56</v>
      </c>
      <c r="S72" s="2" t="s">
        <v>92</v>
      </c>
      <c r="T72" s="2" t="s">
        <v>40</v>
      </c>
      <c r="U72" s="2" t="s">
        <v>679</v>
      </c>
      <c r="V72" s="2"/>
      <c r="W72" s="2" t="s">
        <v>42</v>
      </c>
      <c r="X72" s="2" t="s">
        <v>43</v>
      </c>
      <c r="Y72" s="2" t="s">
        <v>37</v>
      </c>
      <c r="Z72" s="2" t="s">
        <v>44</v>
      </c>
      <c r="AA72" s="2"/>
      <c r="AB72" s="2"/>
      <c r="AC72" s="2" t="s">
        <v>680</v>
      </c>
      <c r="AD72" s="2" t="s">
        <v>46</v>
      </c>
    </row>
    <row r="73" customFormat="false" ht="15.7" hidden="false" customHeight="true" outlineLevel="0" collapsed="false">
      <c r="A73" s="2"/>
      <c r="B73" s="3" t="n">
        <f aca="false">DATE(2006,2,14)</f>
        <v>0</v>
      </c>
      <c r="C73" s="3" t="n">
        <v>38762</v>
      </c>
      <c r="D73" s="2" t="s">
        <v>681</v>
      </c>
      <c r="F73" s="2" t="s">
        <v>682</v>
      </c>
      <c r="G73" s="2" t="s">
        <v>683</v>
      </c>
      <c r="H73" s="2" t="s">
        <v>684</v>
      </c>
      <c r="I73" s="2" t="s">
        <v>685</v>
      </c>
      <c r="J73" s="2" t="s">
        <v>35</v>
      </c>
      <c r="K73" s="2" t="s">
        <v>686</v>
      </c>
      <c r="L73" s="2" t="s">
        <v>685</v>
      </c>
      <c r="M73" s="2" t="s">
        <v>684</v>
      </c>
      <c r="N73" s="2" t="s">
        <v>687</v>
      </c>
      <c r="O73" s="2"/>
      <c r="P73" s="2" t="s">
        <v>37</v>
      </c>
      <c r="Q73" s="4" t="n">
        <v>8731</v>
      </c>
      <c r="R73" s="2" t="s">
        <v>688</v>
      </c>
      <c r="S73" s="2" t="s">
        <v>39</v>
      </c>
      <c r="T73" s="2" t="s">
        <v>403</v>
      </c>
      <c r="U73" s="2" t="s">
        <v>689</v>
      </c>
      <c r="V73" s="2"/>
      <c r="W73" s="2" t="s">
        <v>42</v>
      </c>
      <c r="X73" s="2" t="s">
        <v>46</v>
      </c>
      <c r="Y73" s="2" t="s">
        <v>37</v>
      </c>
      <c r="Z73" s="2" t="s">
        <v>362</v>
      </c>
      <c r="AA73" s="2"/>
      <c r="AB73" s="2"/>
      <c r="AC73" s="2" t="s">
        <v>690</v>
      </c>
      <c r="AD73" s="2" t="s">
        <v>46</v>
      </c>
    </row>
    <row r="74" customFormat="false" ht="15.7" hidden="false" customHeight="true" outlineLevel="0" collapsed="false">
      <c r="A74" s="2"/>
      <c r="B74" s="3" t="n">
        <f aca="false">DATE(2006,2,15)</f>
        <v>0</v>
      </c>
      <c r="C74" s="3" t="n">
        <v>38763</v>
      </c>
      <c r="D74" s="2" t="s">
        <v>691</v>
      </c>
      <c r="F74" s="2" t="s">
        <v>692</v>
      </c>
      <c r="G74" s="2" t="s">
        <v>693</v>
      </c>
      <c r="H74" s="2" t="s">
        <v>694</v>
      </c>
      <c r="I74" s="2" t="s">
        <v>51</v>
      </c>
      <c r="J74" s="2" t="s">
        <v>306</v>
      </c>
      <c r="K74" s="2" t="s">
        <v>691</v>
      </c>
      <c r="L74" s="2" t="s">
        <v>51</v>
      </c>
      <c r="M74" s="2" t="s">
        <v>694</v>
      </c>
      <c r="N74" s="2" t="s">
        <v>695</v>
      </c>
      <c r="O74" s="2"/>
      <c r="P74" s="2" t="s">
        <v>37</v>
      </c>
      <c r="Q74" s="4" t="n">
        <v>8731</v>
      </c>
      <c r="R74" s="2" t="s">
        <v>56</v>
      </c>
      <c r="S74" s="2" t="s">
        <v>57</v>
      </c>
      <c r="T74" s="2" t="s">
        <v>40</v>
      </c>
      <c r="U74" s="2" t="s">
        <v>696</v>
      </c>
      <c r="V74" s="2"/>
      <c r="W74" s="2" t="s">
        <v>697</v>
      </c>
      <c r="X74" s="2" t="s">
        <v>43</v>
      </c>
      <c r="Y74" s="2" t="s">
        <v>37</v>
      </c>
      <c r="Z74" s="2" t="s">
        <v>44</v>
      </c>
      <c r="AA74" s="2"/>
      <c r="AB74" s="2"/>
      <c r="AC74" s="2" t="s">
        <v>698</v>
      </c>
      <c r="AD74" s="2" t="s">
        <v>46</v>
      </c>
    </row>
    <row r="75" customFormat="false" ht="15.7" hidden="false" customHeight="true" outlineLevel="0" collapsed="false">
      <c r="A75" s="2"/>
      <c r="B75" s="3" t="n">
        <f aca="false">DATE(2006,2,16)</f>
        <v>0</v>
      </c>
      <c r="C75" s="3" t="n">
        <v>38764</v>
      </c>
      <c r="D75" s="2" t="s">
        <v>699</v>
      </c>
      <c r="F75" s="2" t="s">
        <v>700</v>
      </c>
      <c r="G75" s="2" t="s">
        <v>701</v>
      </c>
      <c r="H75" s="2" t="s">
        <v>702</v>
      </c>
      <c r="I75" s="2" t="s">
        <v>100</v>
      </c>
      <c r="J75" s="2" t="s">
        <v>65</v>
      </c>
      <c r="K75" s="2" t="s">
        <v>703</v>
      </c>
      <c r="L75" s="2" t="s">
        <v>163</v>
      </c>
      <c r="M75" s="2" t="s">
        <v>704</v>
      </c>
      <c r="N75" s="2" t="s">
        <v>705</v>
      </c>
      <c r="O75" s="2"/>
      <c r="P75" s="2" t="s">
        <v>37</v>
      </c>
      <c r="Q75" s="4" t="n">
        <v>8731</v>
      </c>
      <c r="R75" s="2" t="s">
        <v>136</v>
      </c>
      <c r="S75" s="2" t="s">
        <v>39</v>
      </c>
      <c r="T75" s="2" t="s">
        <v>40</v>
      </c>
      <c r="U75" s="2" t="s">
        <v>706</v>
      </c>
      <c r="V75" s="2"/>
      <c r="W75" s="2" t="s">
        <v>42</v>
      </c>
      <c r="X75" s="2" t="s">
        <v>43</v>
      </c>
      <c r="Y75" s="2" t="s">
        <v>37</v>
      </c>
      <c r="Z75" s="2" t="s">
        <v>44</v>
      </c>
      <c r="AA75" s="2"/>
      <c r="AB75" s="2"/>
      <c r="AC75" s="2" t="s">
        <v>707</v>
      </c>
      <c r="AD75" s="2" t="s">
        <v>46</v>
      </c>
    </row>
    <row r="76" customFormat="false" ht="15.7" hidden="false" customHeight="true" outlineLevel="0" collapsed="false">
      <c r="A76" s="2"/>
      <c r="B76" s="3" t="n">
        <f aca="false">DATE(2006,2,16)</f>
        <v>0</v>
      </c>
      <c r="C76" s="3" t="n">
        <v>38764</v>
      </c>
      <c r="D76" s="2" t="s">
        <v>708</v>
      </c>
      <c r="F76" s="2" t="s">
        <v>709</v>
      </c>
      <c r="G76" s="2" t="s">
        <v>710</v>
      </c>
      <c r="H76" s="2" t="s">
        <v>130</v>
      </c>
      <c r="I76" s="2" t="s">
        <v>64</v>
      </c>
      <c r="J76" s="2" t="s">
        <v>203</v>
      </c>
      <c r="K76" s="2" t="s">
        <v>708</v>
      </c>
      <c r="L76" s="2" t="s">
        <v>64</v>
      </c>
      <c r="M76" s="2" t="s">
        <v>130</v>
      </c>
      <c r="N76" s="2" t="s">
        <v>711</v>
      </c>
      <c r="O76" s="2"/>
      <c r="P76" s="2" t="s">
        <v>37</v>
      </c>
      <c r="Q76" s="4" t="n">
        <v>8731</v>
      </c>
      <c r="R76" s="2" t="s">
        <v>136</v>
      </c>
      <c r="S76" s="2" t="s">
        <v>39</v>
      </c>
      <c r="T76" s="2" t="s">
        <v>40</v>
      </c>
      <c r="U76" s="2" t="s">
        <v>712</v>
      </c>
      <c r="V76" s="2"/>
      <c r="W76" s="2" t="s">
        <v>42</v>
      </c>
      <c r="X76" s="2" t="s">
        <v>43</v>
      </c>
      <c r="Y76" s="2" t="s">
        <v>37</v>
      </c>
      <c r="Z76" s="2" t="s">
        <v>44</v>
      </c>
      <c r="AA76" s="2"/>
      <c r="AB76" s="2"/>
      <c r="AC76" s="2" t="s">
        <v>713</v>
      </c>
      <c r="AD76" s="2" t="s">
        <v>46</v>
      </c>
    </row>
    <row r="77" customFormat="false" ht="15.7" hidden="false" customHeight="true" outlineLevel="0" collapsed="false">
      <c r="A77" s="2"/>
      <c r="B77" s="3" t="n">
        <f aca="false">DATE(2006,2,21)</f>
        <v>0</v>
      </c>
      <c r="C77" s="3" t="n">
        <v>38769</v>
      </c>
      <c r="D77" s="2" t="s">
        <v>714</v>
      </c>
      <c r="F77" s="2" t="s">
        <v>715</v>
      </c>
      <c r="G77" s="2" t="s">
        <v>716</v>
      </c>
      <c r="H77" s="2" t="s">
        <v>717</v>
      </c>
      <c r="I77" s="2" t="s">
        <v>51</v>
      </c>
      <c r="J77" s="2" t="s">
        <v>171</v>
      </c>
      <c r="K77" s="2" t="s">
        <v>714</v>
      </c>
      <c r="L77" s="2" t="s">
        <v>51</v>
      </c>
      <c r="M77" s="2" t="s">
        <v>717</v>
      </c>
      <c r="N77" s="2" t="s">
        <v>718</v>
      </c>
      <c r="O77" s="2"/>
      <c r="P77" s="2" t="s">
        <v>37</v>
      </c>
      <c r="Q77" s="4" t="n">
        <v>8731</v>
      </c>
      <c r="R77" s="2" t="s">
        <v>56</v>
      </c>
      <c r="S77" s="2" t="s">
        <v>92</v>
      </c>
      <c r="T77" s="2" t="s">
        <v>40</v>
      </c>
      <c r="U77" s="2" t="s">
        <v>719</v>
      </c>
      <c r="V77" s="2"/>
      <c r="W77" s="2" t="s">
        <v>42</v>
      </c>
      <c r="X77" s="2" t="s">
        <v>43</v>
      </c>
      <c r="Y77" s="2" t="s">
        <v>37</v>
      </c>
      <c r="Z77" s="2" t="s">
        <v>44</v>
      </c>
      <c r="AA77" s="2"/>
      <c r="AB77" s="2"/>
      <c r="AC77" s="2" t="s">
        <v>720</v>
      </c>
      <c r="AD77" s="2" t="s">
        <v>46</v>
      </c>
    </row>
    <row r="78" customFormat="false" ht="15.7" hidden="false" customHeight="true" outlineLevel="0" collapsed="false">
      <c r="A78" s="2"/>
      <c r="B78" s="3" t="n">
        <f aca="false">DATE(2006,2,22)</f>
        <v>0</v>
      </c>
      <c r="C78" s="3" t="n">
        <v>38770</v>
      </c>
      <c r="D78" s="2" t="s">
        <v>721</v>
      </c>
      <c r="F78" s="2" t="s">
        <v>722</v>
      </c>
      <c r="G78" s="2" t="s">
        <v>723</v>
      </c>
      <c r="H78" s="2" t="s">
        <v>305</v>
      </c>
      <c r="I78" s="2" t="s">
        <v>724</v>
      </c>
      <c r="J78" s="2" t="s">
        <v>65</v>
      </c>
      <c r="K78" s="2" t="s">
        <v>721</v>
      </c>
      <c r="L78" s="2" t="s">
        <v>724</v>
      </c>
      <c r="M78" s="2" t="s">
        <v>305</v>
      </c>
      <c r="N78" s="2" t="s">
        <v>725</v>
      </c>
      <c r="O78" s="2"/>
      <c r="P78" s="2" t="s">
        <v>37</v>
      </c>
      <c r="Q78" s="4" t="n">
        <v>8731</v>
      </c>
      <c r="R78" s="2" t="s">
        <v>136</v>
      </c>
      <c r="S78" s="2" t="s">
        <v>39</v>
      </c>
      <c r="T78" s="2" t="s">
        <v>40</v>
      </c>
      <c r="U78" s="2" t="s">
        <v>726</v>
      </c>
      <c r="V78" s="2"/>
      <c r="W78" s="2" t="s">
        <v>42</v>
      </c>
      <c r="X78" s="2" t="s">
        <v>43</v>
      </c>
      <c r="Y78" s="2" t="s">
        <v>37</v>
      </c>
      <c r="Z78" s="2" t="s">
        <v>44</v>
      </c>
      <c r="AA78" s="2"/>
      <c r="AB78" s="2"/>
      <c r="AC78" s="2" t="s">
        <v>727</v>
      </c>
      <c r="AD78" s="2" t="s">
        <v>46</v>
      </c>
    </row>
    <row r="79" customFormat="false" ht="15.7" hidden="false" customHeight="true" outlineLevel="0" collapsed="false">
      <c r="A79" s="2"/>
      <c r="B79" s="3" t="n">
        <f aca="false">DATE(2006,2,23)</f>
        <v>0</v>
      </c>
      <c r="C79" s="3" t="n">
        <v>38771</v>
      </c>
      <c r="D79" s="2" t="s">
        <v>728</v>
      </c>
      <c r="F79" s="2" t="s">
        <v>729</v>
      </c>
      <c r="G79" s="2" t="s">
        <v>730</v>
      </c>
      <c r="H79" s="2" t="s">
        <v>731</v>
      </c>
      <c r="I79" s="2" t="s">
        <v>180</v>
      </c>
      <c r="J79" s="2" t="s">
        <v>732</v>
      </c>
      <c r="K79" s="2" t="s">
        <v>733</v>
      </c>
      <c r="L79" s="2" t="s">
        <v>180</v>
      </c>
      <c r="M79" s="2" t="s">
        <v>734</v>
      </c>
      <c r="N79" s="2" t="s">
        <v>735</v>
      </c>
      <c r="O79" s="2"/>
      <c r="P79" s="2" t="s">
        <v>79</v>
      </c>
      <c r="Q79" s="4" t="n">
        <v>6794</v>
      </c>
      <c r="R79" s="2" t="s">
        <v>136</v>
      </c>
      <c r="S79" s="2" t="s">
        <v>39</v>
      </c>
      <c r="T79" s="2" t="s">
        <v>40</v>
      </c>
      <c r="U79" s="2" t="s">
        <v>736</v>
      </c>
      <c r="V79" s="2"/>
      <c r="W79" s="2" t="s">
        <v>72</v>
      </c>
      <c r="X79" s="2" t="s">
        <v>43</v>
      </c>
      <c r="Y79" s="2" t="s">
        <v>37</v>
      </c>
      <c r="Z79" s="2" t="s">
        <v>44</v>
      </c>
      <c r="AA79" s="2"/>
      <c r="AB79" s="2"/>
      <c r="AC79" s="2" t="s">
        <v>737</v>
      </c>
      <c r="AD79" s="2" t="s">
        <v>46</v>
      </c>
    </row>
    <row r="80" customFormat="false" ht="15.7" hidden="false" customHeight="true" outlineLevel="0" collapsed="false">
      <c r="A80" s="2"/>
      <c r="B80" s="3" t="n">
        <f aca="false">DATE(2006,2,27)</f>
        <v>0</v>
      </c>
      <c r="C80" s="3" t="n">
        <v>38775</v>
      </c>
      <c r="D80" s="2" t="s">
        <v>738</v>
      </c>
      <c r="F80" s="2" t="s">
        <v>739</v>
      </c>
      <c r="G80" s="2" t="s">
        <v>740</v>
      </c>
      <c r="H80" s="2" t="s">
        <v>130</v>
      </c>
      <c r="I80" s="2" t="s">
        <v>741</v>
      </c>
      <c r="J80" s="2" t="s">
        <v>35</v>
      </c>
      <c r="K80" s="2" t="s">
        <v>738</v>
      </c>
      <c r="L80" s="2" t="s">
        <v>741</v>
      </c>
      <c r="M80" s="2" t="s">
        <v>130</v>
      </c>
      <c r="N80" s="2" t="s">
        <v>742</v>
      </c>
      <c r="O80" s="2"/>
      <c r="P80" s="2" t="s">
        <v>37</v>
      </c>
      <c r="Q80" s="4" t="n">
        <v>8731</v>
      </c>
      <c r="R80" s="2" t="s">
        <v>450</v>
      </c>
      <c r="S80" s="2" t="s">
        <v>39</v>
      </c>
      <c r="T80" s="2" t="s">
        <v>122</v>
      </c>
      <c r="U80" s="2" t="s">
        <v>743</v>
      </c>
      <c r="V80" s="2"/>
      <c r="W80" s="2" t="s">
        <v>744</v>
      </c>
      <c r="X80" s="2" t="s">
        <v>46</v>
      </c>
      <c r="Y80" s="2" t="s">
        <v>37</v>
      </c>
      <c r="Z80" s="2" t="s">
        <v>362</v>
      </c>
      <c r="AA80" s="2"/>
      <c r="AB80" s="2"/>
      <c r="AC80" s="2" t="s">
        <v>745</v>
      </c>
      <c r="AD80" s="2" t="s">
        <v>46</v>
      </c>
    </row>
    <row r="81" customFormat="false" ht="15.7" hidden="false" customHeight="true" outlineLevel="0" collapsed="false">
      <c r="A81" s="2"/>
      <c r="B81" s="3" t="n">
        <f aca="false">DATE(2006,2,27)</f>
        <v>0</v>
      </c>
      <c r="C81" s="3" t="n">
        <v>38775</v>
      </c>
      <c r="D81" s="2" t="s">
        <v>746</v>
      </c>
      <c r="F81" s="2" t="s">
        <v>747</v>
      </c>
      <c r="G81" s="2" t="s">
        <v>748</v>
      </c>
      <c r="H81" s="2" t="s">
        <v>749</v>
      </c>
      <c r="I81" s="2" t="s">
        <v>51</v>
      </c>
      <c r="J81" s="2" t="s">
        <v>750</v>
      </c>
      <c r="K81" s="2" t="s">
        <v>746</v>
      </c>
      <c r="L81" s="2" t="s">
        <v>51</v>
      </c>
      <c r="M81" s="2" t="s">
        <v>749</v>
      </c>
      <c r="N81" s="2" t="s">
        <v>751</v>
      </c>
      <c r="O81" s="2" t="s">
        <v>752</v>
      </c>
      <c r="P81" s="2" t="s">
        <v>37</v>
      </c>
      <c r="Q81" s="4" t="n">
        <v>3841</v>
      </c>
      <c r="R81" s="2" t="s">
        <v>56</v>
      </c>
      <c r="S81" s="2" t="s">
        <v>753</v>
      </c>
      <c r="T81" s="2" t="s">
        <v>40</v>
      </c>
      <c r="U81" s="2" t="s">
        <v>754</v>
      </c>
      <c r="V81" s="2"/>
      <c r="W81" s="2" t="s">
        <v>755</v>
      </c>
      <c r="X81" s="2" t="s">
        <v>46</v>
      </c>
      <c r="Y81" s="2" t="s">
        <v>37</v>
      </c>
      <c r="Z81" s="2" t="s">
        <v>756</v>
      </c>
      <c r="AA81" s="2"/>
      <c r="AB81" s="2" t="s">
        <v>757</v>
      </c>
      <c r="AC81" s="2" t="s">
        <v>758</v>
      </c>
      <c r="AD81" s="2" t="s">
        <v>46</v>
      </c>
    </row>
    <row r="82" customFormat="false" ht="15.7" hidden="false" customHeight="true" outlineLevel="0" collapsed="false">
      <c r="A82" s="2"/>
      <c r="B82" s="3" t="n">
        <f aca="false">DATE(2006,2,27)</f>
        <v>0</v>
      </c>
      <c r="C82" s="3" t="n">
        <v>38775</v>
      </c>
      <c r="D82" s="2" t="s">
        <v>759</v>
      </c>
      <c r="F82" s="2" t="s">
        <v>760</v>
      </c>
      <c r="G82" s="2" t="s">
        <v>761</v>
      </c>
      <c r="H82" s="2" t="s">
        <v>762</v>
      </c>
      <c r="I82" s="2" t="s">
        <v>435</v>
      </c>
      <c r="J82" s="2" t="s">
        <v>228</v>
      </c>
      <c r="K82" s="2" t="s">
        <v>759</v>
      </c>
      <c r="L82" s="2" t="s">
        <v>435</v>
      </c>
      <c r="M82" s="2" t="s">
        <v>762</v>
      </c>
      <c r="N82" s="2" t="s">
        <v>763</v>
      </c>
      <c r="O82" s="2"/>
      <c r="P82" s="2" t="s">
        <v>37</v>
      </c>
      <c r="Q82" s="4" t="n">
        <v>8731</v>
      </c>
      <c r="R82" s="2" t="s">
        <v>136</v>
      </c>
      <c r="S82" s="2" t="s">
        <v>39</v>
      </c>
      <c r="T82" s="2" t="s">
        <v>40</v>
      </c>
      <c r="U82" s="2" t="s">
        <v>764</v>
      </c>
      <c r="V82" s="2"/>
      <c r="W82" s="2" t="s">
        <v>138</v>
      </c>
      <c r="X82" s="2" t="s">
        <v>43</v>
      </c>
      <c r="Y82" s="2" t="s">
        <v>37</v>
      </c>
      <c r="Z82" s="2" t="s">
        <v>44</v>
      </c>
      <c r="AA82" s="2"/>
      <c r="AB82" s="2"/>
      <c r="AC82" s="2" t="s">
        <v>765</v>
      </c>
      <c r="AD82" s="2" t="s">
        <v>46</v>
      </c>
    </row>
    <row r="83" customFormat="false" ht="15.7" hidden="false" customHeight="true" outlineLevel="0" collapsed="false">
      <c r="A83" s="2"/>
      <c r="B83" s="3" t="n">
        <f aca="false">DATE(2006,2,28)</f>
        <v>0</v>
      </c>
      <c r="C83" s="3" t="n">
        <v>38776</v>
      </c>
      <c r="D83" s="2" t="s">
        <v>766</v>
      </c>
      <c r="F83" s="2" t="s">
        <v>767</v>
      </c>
      <c r="G83" s="2" t="s">
        <v>768</v>
      </c>
      <c r="H83" s="2" t="s">
        <v>762</v>
      </c>
      <c r="I83" s="2" t="s">
        <v>51</v>
      </c>
      <c r="J83" s="2" t="s">
        <v>769</v>
      </c>
      <c r="K83" s="2" t="s">
        <v>766</v>
      </c>
      <c r="L83" s="2" t="s">
        <v>51</v>
      </c>
      <c r="M83" s="2" t="s">
        <v>762</v>
      </c>
      <c r="N83" s="2" t="s">
        <v>770</v>
      </c>
      <c r="O83" s="2"/>
      <c r="P83" s="2" t="s">
        <v>37</v>
      </c>
      <c r="Q83" s="4" t="n">
        <v>8731</v>
      </c>
      <c r="R83" s="2" t="s">
        <v>56</v>
      </c>
      <c r="S83" s="2" t="s">
        <v>771</v>
      </c>
      <c r="T83" s="2" t="s">
        <v>40</v>
      </c>
      <c r="U83" s="2" t="s">
        <v>772</v>
      </c>
      <c r="V83" s="2"/>
      <c r="W83" s="2" t="s">
        <v>773</v>
      </c>
      <c r="X83" s="2" t="s">
        <v>43</v>
      </c>
      <c r="Y83" s="2" t="s">
        <v>37</v>
      </c>
      <c r="Z83" s="2" t="s">
        <v>44</v>
      </c>
      <c r="AA83" s="2" t="s">
        <v>774</v>
      </c>
      <c r="AB83" s="2"/>
      <c r="AC83" s="2" t="s">
        <v>775</v>
      </c>
      <c r="AD83" s="2" t="s">
        <v>46</v>
      </c>
    </row>
    <row r="84" customFormat="false" ht="15.7" hidden="false" customHeight="true" outlineLevel="0" collapsed="false">
      <c r="A84" s="2"/>
      <c r="B84" s="3" t="n">
        <f aca="false">DATE(2006,2,28)</f>
        <v>0</v>
      </c>
      <c r="C84" s="3" t="n">
        <v>38776</v>
      </c>
      <c r="D84" s="2" t="s">
        <v>776</v>
      </c>
      <c r="F84" s="2" t="s">
        <v>777</v>
      </c>
      <c r="G84" s="2" t="s">
        <v>778</v>
      </c>
      <c r="H84" s="2" t="s">
        <v>170</v>
      </c>
      <c r="I84" s="2" t="s">
        <v>51</v>
      </c>
      <c r="J84" s="2" t="s">
        <v>187</v>
      </c>
      <c r="K84" s="2" t="s">
        <v>776</v>
      </c>
      <c r="L84" s="2" t="s">
        <v>51</v>
      </c>
      <c r="M84" s="2" t="s">
        <v>170</v>
      </c>
      <c r="N84" s="2" t="s">
        <v>779</v>
      </c>
      <c r="O84" s="2"/>
      <c r="P84" s="2" t="s">
        <v>37</v>
      </c>
      <c r="Q84" s="4" t="n">
        <v>8731</v>
      </c>
      <c r="R84" s="2" t="s">
        <v>56</v>
      </c>
      <c r="S84" s="2" t="s">
        <v>251</v>
      </c>
      <c r="T84" s="2" t="s">
        <v>40</v>
      </c>
      <c r="U84" s="2" t="s">
        <v>780</v>
      </c>
      <c r="V84" s="2"/>
      <c r="W84" s="2" t="s">
        <v>42</v>
      </c>
      <c r="X84" s="2" t="s">
        <v>43</v>
      </c>
      <c r="Y84" s="2" t="s">
        <v>37</v>
      </c>
      <c r="Z84" s="2" t="s">
        <v>44</v>
      </c>
      <c r="AA84" s="2"/>
      <c r="AB84" s="2"/>
      <c r="AC84" s="2" t="s">
        <v>781</v>
      </c>
      <c r="AD84" s="2" t="s">
        <v>46</v>
      </c>
    </row>
    <row r="85" customFormat="false" ht="15.7" hidden="false" customHeight="true" outlineLevel="0" collapsed="false">
      <c r="A85" s="2"/>
      <c r="B85" s="3" t="n">
        <f aca="false">DATE(2006,2,28)</f>
        <v>0</v>
      </c>
      <c r="C85" s="3" t="n">
        <v>38776</v>
      </c>
      <c r="D85" s="2" t="s">
        <v>782</v>
      </c>
      <c r="F85" s="2" t="s">
        <v>783</v>
      </c>
      <c r="G85" s="2" t="s">
        <v>784</v>
      </c>
      <c r="H85" s="2" t="s">
        <v>785</v>
      </c>
      <c r="I85" s="2" t="s">
        <v>51</v>
      </c>
      <c r="J85" s="2" t="s">
        <v>786</v>
      </c>
      <c r="K85" s="2" t="s">
        <v>782</v>
      </c>
      <c r="L85" s="2" t="s">
        <v>51</v>
      </c>
      <c r="M85" s="2" t="s">
        <v>785</v>
      </c>
      <c r="N85" s="2" t="s">
        <v>787</v>
      </c>
      <c r="O85" s="2"/>
      <c r="P85" s="2" t="s">
        <v>79</v>
      </c>
      <c r="Q85" s="4" t="n">
        <v>6794</v>
      </c>
      <c r="R85" s="2" t="s">
        <v>56</v>
      </c>
      <c r="S85" s="2" t="s">
        <v>788</v>
      </c>
      <c r="T85" s="2" t="s">
        <v>40</v>
      </c>
      <c r="U85" s="2" t="s">
        <v>789</v>
      </c>
      <c r="V85" s="2"/>
      <c r="W85" s="2" t="s">
        <v>253</v>
      </c>
      <c r="X85" s="2" t="s">
        <v>43</v>
      </c>
      <c r="Y85" s="2" t="s">
        <v>37</v>
      </c>
      <c r="Z85" s="2" t="s">
        <v>44</v>
      </c>
      <c r="AA85" s="2"/>
      <c r="AB85" s="2"/>
      <c r="AC85" s="2" t="s">
        <v>790</v>
      </c>
      <c r="AD85" s="2" t="s">
        <v>46</v>
      </c>
    </row>
    <row r="86" customFormat="false" ht="15.7" hidden="false" customHeight="true" outlineLevel="0" collapsed="false">
      <c r="A86" s="2"/>
      <c r="B86" s="3" t="n">
        <f aca="false">DATE(2006,2,28)</f>
        <v>0</v>
      </c>
      <c r="C86" s="3" t="n">
        <v>38776</v>
      </c>
      <c r="D86" s="2" t="s">
        <v>791</v>
      </c>
      <c r="F86" s="2" t="s">
        <v>792</v>
      </c>
      <c r="G86" s="2" t="s">
        <v>793</v>
      </c>
      <c r="H86" s="2" t="s">
        <v>794</v>
      </c>
      <c r="I86" s="2" t="s">
        <v>131</v>
      </c>
      <c r="J86" s="2" t="s">
        <v>795</v>
      </c>
      <c r="K86" s="2" t="s">
        <v>796</v>
      </c>
      <c r="L86" s="2" t="s">
        <v>51</v>
      </c>
      <c r="M86" s="2" t="s">
        <v>63</v>
      </c>
      <c r="N86" s="2" t="s">
        <v>797</v>
      </c>
      <c r="O86" s="2"/>
      <c r="P86" s="2" t="s">
        <v>37</v>
      </c>
      <c r="Q86" s="4" t="n">
        <v>8731</v>
      </c>
      <c r="R86" s="2" t="s">
        <v>136</v>
      </c>
      <c r="S86" s="2" t="s">
        <v>39</v>
      </c>
      <c r="T86" s="2" t="s">
        <v>40</v>
      </c>
      <c r="U86" s="2" t="s">
        <v>798</v>
      </c>
      <c r="V86" s="2"/>
      <c r="W86" s="2" t="s">
        <v>42</v>
      </c>
      <c r="X86" s="2" t="s">
        <v>43</v>
      </c>
      <c r="Y86" s="2" t="s">
        <v>37</v>
      </c>
      <c r="Z86" s="2" t="s">
        <v>44</v>
      </c>
      <c r="AA86" s="2"/>
      <c r="AB86" s="2"/>
      <c r="AC86" s="2" t="s">
        <v>799</v>
      </c>
      <c r="AD86" s="2" t="s">
        <v>46</v>
      </c>
    </row>
    <row r="87" customFormat="false" ht="15.7" hidden="false" customHeight="true" outlineLevel="0" collapsed="false">
      <c r="A87" s="2"/>
      <c r="B87" s="3" t="n">
        <f aca="false">DATE(2006,3,1)</f>
        <v>0</v>
      </c>
      <c r="C87" s="3" t="n">
        <v>38777</v>
      </c>
      <c r="D87" s="2" t="s">
        <v>800</v>
      </c>
      <c r="F87" s="2" t="s">
        <v>801</v>
      </c>
      <c r="G87" s="2" t="s">
        <v>802</v>
      </c>
      <c r="H87" s="2" t="s">
        <v>803</v>
      </c>
      <c r="I87" s="2" t="s">
        <v>51</v>
      </c>
      <c r="J87" s="2" t="s">
        <v>306</v>
      </c>
      <c r="K87" s="2" t="s">
        <v>804</v>
      </c>
      <c r="L87" s="2" t="s">
        <v>51</v>
      </c>
      <c r="M87" s="2" t="s">
        <v>805</v>
      </c>
      <c r="N87" s="2" t="s">
        <v>806</v>
      </c>
      <c r="O87" s="2"/>
      <c r="P87" s="2" t="s">
        <v>37</v>
      </c>
      <c r="Q87" s="4" t="n">
        <v>8731</v>
      </c>
      <c r="R87" s="2" t="s">
        <v>56</v>
      </c>
      <c r="S87" s="2" t="s">
        <v>57</v>
      </c>
      <c r="T87" s="2" t="s">
        <v>40</v>
      </c>
      <c r="U87" s="2" t="s">
        <v>807</v>
      </c>
      <c r="V87" s="2"/>
      <c r="W87" s="2" t="s">
        <v>42</v>
      </c>
      <c r="X87" s="2" t="s">
        <v>43</v>
      </c>
      <c r="Y87" s="2" t="s">
        <v>37</v>
      </c>
      <c r="Z87" s="2" t="s">
        <v>44</v>
      </c>
      <c r="AA87" s="2" t="s">
        <v>808</v>
      </c>
      <c r="AB87" s="2"/>
      <c r="AC87" s="2" t="s">
        <v>809</v>
      </c>
      <c r="AD87" s="2" t="s">
        <v>46</v>
      </c>
    </row>
    <row r="88" customFormat="false" ht="15.7" hidden="false" customHeight="true" outlineLevel="0" collapsed="false">
      <c r="A88" s="2"/>
      <c r="B88" s="3" t="n">
        <f aca="false">DATE(2006,3,2)</f>
        <v>0</v>
      </c>
      <c r="C88" s="3" t="n">
        <v>38778</v>
      </c>
      <c r="D88" s="2" t="s">
        <v>810</v>
      </c>
      <c r="F88" s="2" t="s">
        <v>811</v>
      </c>
      <c r="G88" s="2" t="s">
        <v>812</v>
      </c>
      <c r="H88" s="2" t="s">
        <v>305</v>
      </c>
      <c r="I88" s="2" t="s">
        <v>296</v>
      </c>
      <c r="J88" s="2" t="s">
        <v>514</v>
      </c>
      <c r="K88" s="2" t="s">
        <v>813</v>
      </c>
      <c r="L88" s="2" t="s">
        <v>296</v>
      </c>
      <c r="M88" s="2" t="s">
        <v>814</v>
      </c>
      <c r="N88" s="2" t="s">
        <v>815</v>
      </c>
      <c r="O88" s="2"/>
      <c r="P88" s="2" t="s">
        <v>37</v>
      </c>
      <c r="Q88" s="4" t="n">
        <v>8731</v>
      </c>
      <c r="R88" s="2" t="s">
        <v>136</v>
      </c>
      <c r="S88" s="2" t="s">
        <v>39</v>
      </c>
      <c r="T88" s="2" t="s">
        <v>40</v>
      </c>
      <c r="U88" s="2" t="s">
        <v>816</v>
      </c>
      <c r="V88" s="2"/>
      <c r="W88" s="2" t="s">
        <v>697</v>
      </c>
      <c r="X88" s="2" t="s">
        <v>43</v>
      </c>
      <c r="Y88" s="2" t="s">
        <v>37</v>
      </c>
      <c r="Z88" s="2" t="s">
        <v>44</v>
      </c>
      <c r="AA88" s="2"/>
      <c r="AB88" s="2"/>
      <c r="AC88" s="2" t="s">
        <v>817</v>
      </c>
      <c r="AD88" s="2" t="s">
        <v>46</v>
      </c>
    </row>
    <row r="89" customFormat="false" ht="15.7" hidden="false" customHeight="true" outlineLevel="0" collapsed="false">
      <c r="A89" s="2"/>
      <c r="B89" s="3" t="n">
        <f aca="false">DATE(2006,3,6)</f>
        <v>0</v>
      </c>
      <c r="C89" s="3" t="n">
        <v>38782</v>
      </c>
      <c r="D89" s="2" t="s">
        <v>818</v>
      </c>
      <c r="F89" s="2" t="s">
        <v>819</v>
      </c>
      <c r="G89" s="2" t="s">
        <v>820</v>
      </c>
      <c r="H89" s="2" t="s">
        <v>170</v>
      </c>
      <c r="I89" s="2" t="s">
        <v>821</v>
      </c>
      <c r="J89" s="2" t="s">
        <v>203</v>
      </c>
      <c r="K89" s="2" t="s">
        <v>818</v>
      </c>
      <c r="L89" s="2" t="s">
        <v>821</v>
      </c>
      <c r="M89" s="2" t="s">
        <v>170</v>
      </c>
      <c r="N89" s="2" t="s">
        <v>822</v>
      </c>
      <c r="O89" s="2"/>
      <c r="P89" s="2" t="s">
        <v>37</v>
      </c>
      <c r="Q89" s="4" t="n">
        <v>8731</v>
      </c>
      <c r="R89" s="2" t="s">
        <v>450</v>
      </c>
      <c r="S89" s="2" t="s">
        <v>39</v>
      </c>
      <c r="T89" s="2" t="s">
        <v>40</v>
      </c>
      <c r="U89" s="2" t="s">
        <v>823</v>
      </c>
      <c r="V89" s="2"/>
      <c r="W89" s="2" t="s">
        <v>42</v>
      </c>
      <c r="X89" s="2" t="s">
        <v>43</v>
      </c>
      <c r="Y89" s="2" t="s">
        <v>37</v>
      </c>
      <c r="Z89" s="2" t="s">
        <v>44</v>
      </c>
      <c r="AA89" s="2"/>
      <c r="AB89" s="2"/>
      <c r="AC89" s="2" t="s">
        <v>824</v>
      </c>
      <c r="AD89" s="2" t="s">
        <v>46</v>
      </c>
    </row>
    <row r="90" customFormat="false" ht="15.7" hidden="false" customHeight="true" outlineLevel="0" collapsed="false">
      <c r="A90" s="2"/>
      <c r="B90" s="3" t="n">
        <f aca="false">DATE(2006,3,6)</f>
        <v>0</v>
      </c>
      <c r="C90" s="3" t="n">
        <v>38782</v>
      </c>
      <c r="D90" s="2" t="s">
        <v>825</v>
      </c>
      <c r="F90" s="2" t="s">
        <v>826</v>
      </c>
      <c r="G90" s="2" t="s">
        <v>827</v>
      </c>
      <c r="H90" s="2" t="s">
        <v>523</v>
      </c>
      <c r="I90" s="2" t="s">
        <v>51</v>
      </c>
      <c r="J90" s="2" t="s">
        <v>828</v>
      </c>
      <c r="K90" s="2" t="s">
        <v>829</v>
      </c>
      <c r="L90" s="2" t="s">
        <v>51</v>
      </c>
      <c r="M90" s="2" t="s">
        <v>130</v>
      </c>
      <c r="N90" s="2" t="s">
        <v>830</v>
      </c>
      <c r="O90" s="2"/>
      <c r="P90" s="2" t="s">
        <v>37</v>
      </c>
      <c r="Q90" s="4" t="n">
        <v>8731</v>
      </c>
      <c r="R90" s="2" t="s">
        <v>56</v>
      </c>
      <c r="S90" s="2" t="s">
        <v>80</v>
      </c>
      <c r="T90" s="2" t="s">
        <v>40</v>
      </c>
      <c r="U90" s="2" t="s">
        <v>831</v>
      </c>
      <c r="V90" s="2"/>
      <c r="W90" s="2" t="s">
        <v>42</v>
      </c>
      <c r="X90" s="2" t="s">
        <v>43</v>
      </c>
      <c r="Y90" s="2" t="s">
        <v>37</v>
      </c>
      <c r="Z90" s="2" t="s">
        <v>44</v>
      </c>
      <c r="AA90" s="2"/>
      <c r="AB90" s="2"/>
      <c r="AC90" s="2" t="s">
        <v>832</v>
      </c>
      <c r="AD90" s="2" t="s">
        <v>46</v>
      </c>
    </row>
    <row r="91" customFormat="false" ht="15.7" hidden="false" customHeight="true" outlineLevel="0" collapsed="false">
      <c r="A91" s="2"/>
      <c r="B91" s="3" t="n">
        <f aca="false">DATE(2006,3,7)</f>
        <v>0</v>
      </c>
      <c r="C91" s="3" t="n">
        <v>38783</v>
      </c>
      <c r="D91" s="2" t="s">
        <v>833</v>
      </c>
      <c r="F91" s="2" t="s">
        <v>834</v>
      </c>
      <c r="G91" s="2" t="s">
        <v>835</v>
      </c>
      <c r="H91" s="2" t="s">
        <v>836</v>
      </c>
      <c r="I91" s="2" t="s">
        <v>837</v>
      </c>
      <c r="J91" s="2" t="s">
        <v>116</v>
      </c>
      <c r="K91" s="2" t="s">
        <v>838</v>
      </c>
      <c r="L91" s="2" t="s">
        <v>837</v>
      </c>
      <c r="M91" s="2" t="s">
        <v>839</v>
      </c>
      <c r="N91" s="2" t="s">
        <v>840</v>
      </c>
      <c r="O91" s="2" t="s">
        <v>841</v>
      </c>
      <c r="P91" s="2" t="s">
        <v>37</v>
      </c>
      <c r="Q91" s="4" t="n">
        <v>3674</v>
      </c>
      <c r="R91" s="2" t="s">
        <v>402</v>
      </c>
      <c r="S91" s="2" t="s">
        <v>39</v>
      </c>
      <c r="T91" s="2" t="s">
        <v>40</v>
      </c>
      <c r="U91" s="2" t="s">
        <v>842</v>
      </c>
      <c r="V91" s="2"/>
      <c r="W91" s="2" t="s">
        <v>755</v>
      </c>
      <c r="X91" s="2" t="s">
        <v>46</v>
      </c>
      <c r="Y91" s="2" t="s">
        <v>37</v>
      </c>
      <c r="Z91" s="2" t="s">
        <v>843</v>
      </c>
      <c r="AA91" s="2" t="s">
        <v>844</v>
      </c>
      <c r="AB91" s="2" t="s">
        <v>845</v>
      </c>
      <c r="AC91" s="2" t="s">
        <v>846</v>
      </c>
      <c r="AD91" s="2" t="s">
        <v>46</v>
      </c>
    </row>
    <row r="92" customFormat="false" ht="15.7" hidden="false" customHeight="true" outlineLevel="0" collapsed="false">
      <c r="A92" s="2"/>
      <c r="B92" s="3" t="n">
        <f aca="false">DATE(2006,3,7)</f>
        <v>0</v>
      </c>
      <c r="C92" s="3" t="n">
        <v>38783</v>
      </c>
      <c r="D92" s="2" t="s">
        <v>847</v>
      </c>
      <c r="F92" s="2" t="s">
        <v>848</v>
      </c>
      <c r="G92" s="2" t="s">
        <v>849</v>
      </c>
      <c r="H92" s="2" t="s">
        <v>850</v>
      </c>
      <c r="I92" s="2" t="s">
        <v>369</v>
      </c>
      <c r="J92" s="2" t="s">
        <v>35</v>
      </c>
      <c r="K92" s="2" t="s">
        <v>847</v>
      </c>
      <c r="L92" s="2" t="s">
        <v>369</v>
      </c>
      <c r="M92" s="2" t="s">
        <v>850</v>
      </c>
      <c r="N92" s="2" t="s">
        <v>851</v>
      </c>
      <c r="O92" s="2"/>
      <c r="P92" s="2" t="s">
        <v>37</v>
      </c>
      <c r="Q92" s="4" t="n">
        <v>8731</v>
      </c>
      <c r="R92" s="2" t="s">
        <v>105</v>
      </c>
      <c r="S92" s="2" t="s">
        <v>39</v>
      </c>
      <c r="T92" s="2" t="s">
        <v>40</v>
      </c>
      <c r="U92" s="2" t="s">
        <v>852</v>
      </c>
      <c r="V92" s="2"/>
      <c r="W92" s="2" t="s">
        <v>42</v>
      </c>
      <c r="X92" s="2" t="s">
        <v>43</v>
      </c>
      <c r="Y92" s="2" t="s">
        <v>37</v>
      </c>
      <c r="Z92" s="2" t="s">
        <v>44</v>
      </c>
      <c r="AA92" s="2"/>
      <c r="AB92" s="2"/>
      <c r="AC92" s="2" t="s">
        <v>853</v>
      </c>
      <c r="AD92" s="2" t="s">
        <v>46</v>
      </c>
    </row>
    <row r="93" customFormat="false" ht="15.7" hidden="false" customHeight="true" outlineLevel="0" collapsed="false">
      <c r="A93" s="2"/>
      <c r="B93" s="3" t="n">
        <f aca="false">DATE(2006,3,8)</f>
        <v>0</v>
      </c>
      <c r="C93" s="3" t="n">
        <v>38784</v>
      </c>
      <c r="D93" s="2" t="s">
        <v>854</v>
      </c>
      <c r="F93" s="2" t="s">
        <v>855</v>
      </c>
      <c r="G93" s="2" t="s">
        <v>856</v>
      </c>
      <c r="H93" s="2" t="s">
        <v>857</v>
      </c>
      <c r="I93" s="2" t="s">
        <v>858</v>
      </c>
      <c r="J93" s="2" t="s">
        <v>35</v>
      </c>
      <c r="K93" s="2" t="s">
        <v>854</v>
      </c>
      <c r="L93" s="2" t="s">
        <v>858</v>
      </c>
      <c r="M93" s="2" t="s">
        <v>857</v>
      </c>
      <c r="N93" s="2" t="s">
        <v>859</v>
      </c>
      <c r="O93" s="2" t="s">
        <v>860</v>
      </c>
      <c r="P93" s="2" t="s">
        <v>37</v>
      </c>
      <c r="Q93" s="4" t="n">
        <v>3674</v>
      </c>
      <c r="R93" s="2" t="s">
        <v>105</v>
      </c>
      <c r="S93" s="2" t="s">
        <v>39</v>
      </c>
      <c r="T93" s="2" t="s">
        <v>40</v>
      </c>
      <c r="U93" s="2" t="s">
        <v>861</v>
      </c>
      <c r="V93" s="2"/>
      <c r="W93" s="2" t="s">
        <v>755</v>
      </c>
      <c r="X93" s="2" t="s">
        <v>46</v>
      </c>
      <c r="Y93" s="2" t="s">
        <v>37</v>
      </c>
      <c r="Z93" s="2" t="s">
        <v>362</v>
      </c>
      <c r="AA93" s="2"/>
      <c r="AB93" s="2" t="s">
        <v>862</v>
      </c>
      <c r="AC93" s="2" t="s">
        <v>863</v>
      </c>
      <c r="AD93" s="2" t="s">
        <v>46</v>
      </c>
    </row>
    <row r="94" customFormat="false" ht="15.7" hidden="false" customHeight="true" outlineLevel="0" collapsed="false">
      <c r="A94" s="2"/>
      <c r="B94" s="3" t="n">
        <f aca="false">DATE(2006,3,8)</f>
        <v>0</v>
      </c>
      <c r="C94" s="3" t="n">
        <v>38784</v>
      </c>
      <c r="D94" s="2" t="s">
        <v>864</v>
      </c>
      <c r="F94" s="2" t="s">
        <v>865</v>
      </c>
      <c r="G94" s="2" t="s">
        <v>866</v>
      </c>
      <c r="H94" s="2" t="s">
        <v>170</v>
      </c>
      <c r="I94" s="2" t="s">
        <v>867</v>
      </c>
      <c r="J94" s="2" t="s">
        <v>35</v>
      </c>
      <c r="K94" s="2" t="s">
        <v>864</v>
      </c>
      <c r="L94" s="2" t="s">
        <v>867</v>
      </c>
      <c r="M94" s="2" t="s">
        <v>170</v>
      </c>
      <c r="N94" s="2" t="s">
        <v>868</v>
      </c>
      <c r="O94" s="2"/>
      <c r="P94" s="2" t="s">
        <v>37</v>
      </c>
      <c r="Q94" s="4" t="n">
        <v>8731</v>
      </c>
      <c r="R94" s="2" t="s">
        <v>869</v>
      </c>
      <c r="S94" s="2" t="s">
        <v>39</v>
      </c>
      <c r="T94" s="2" t="s">
        <v>40</v>
      </c>
      <c r="U94" s="2" t="s">
        <v>870</v>
      </c>
      <c r="V94" s="2"/>
      <c r="W94" s="2" t="s">
        <v>42</v>
      </c>
      <c r="X94" s="2" t="s">
        <v>43</v>
      </c>
      <c r="Y94" s="2" t="s">
        <v>37</v>
      </c>
      <c r="Z94" s="2" t="s">
        <v>44</v>
      </c>
      <c r="AA94" s="2"/>
      <c r="AB94" s="2"/>
      <c r="AC94" s="2" t="s">
        <v>871</v>
      </c>
      <c r="AD94" s="2" t="s">
        <v>46</v>
      </c>
    </row>
    <row r="95" customFormat="false" ht="15.7" hidden="false" customHeight="true" outlineLevel="0" collapsed="false">
      <c r="A95" s="2"/>
      <c r="B95" s="3" t="n">
        <f aca="false">DATE(2006,3,9)</f>
        <v>0</v>
      </c>
      <c r="C95" s="3" t="n">
        <v>38785</v>
      </c>
      <c r="D95" s="2" t="s">
        <v>872</v>
      </c>
      <c r="F95" s="2" t="s">
        <v>873</v>
      </c>
      <c r="G95" s="2" t="s">
        <v>874</v>
      </c>
      <c r="H95" s="2" t="s">
        <v>875</v>
      </c>
      <c r="I95" s="2" t="s">
        <v>51</v>
      </c>
      <c r="J95" s="2" t="s">
        <v>633</v>
      </c>
      <c r="K95" s="2" t="s">
        <v>872</v>
      </c>
      <c r="L95" s="2" t="s">
        <v>51</v>
      </c>
      <c r="M95" s="2" t="s">
        <v>875</v>
      </c>
      <c r="N95" s="2" t="s">
        <v>876</v>
      </c>
      <c r="O95" s="2"/>
      <c r="P95" s="2" t="s">
        <v>37</v>
      </c>
      <c r="Q95" s="4" t="n">
        <v>8731</v>
      </c>
      <c r="R95" s="2" t="s">
        <v>56</v>
      </c>
      <c r="S95" s="2" t="s">
        <v>92</v>
      </c>
      <c r="T95" s="2" t="s">
        <v>40</v>
      </c>
      <c r="U95" s="2" t="s">
        <v>877</v>
      </c>
      <c r="V95" s="2"/>
      <c r="W95" s="2" t="s">
        <v>878</v>
      </c>
      <c r="X95" s="2" t="s">
        <v>43</v>
      </c>
      <c r="Y95" s="2" t="s">
        <v>37</v>
      </c>
      <c r="Z95" s="2" t="s">
        <v>44</v>
      </c>
      <c r="AA95" s="2"/>
      <c r="AB95" s="2"/>
      <c r="AC95" s="2" t="s">
        <v>879</v>
      </c>
      <c r="AD95" s="2" t="s">
        <v>46</v>
      </c>
    </row>
    <row r="96" customFormat="false" ht="15.7" hidden="false" customHeight="true" outlineLevel="0" collapsed="false">
      <c r="A96" s="2"/>
      <c r="B96" s="3" t="n">
        <f aca="false">DATE(2006,3,10)</f>
        <v>0</v>
      </c>
      <c r="C96" s="3" t="n">
        <v>38786</v>
      </c>
      <c r="D96" s="2" t="s">
        <v>880</v>
      </c>
      <c r="F96" s="2" t="s">
        <v>881</v>
      </c>
      <c r="G96" s="2" t="s">
        <v>882</v>
      </c>
      <c r="H96" s="2" t="s">
        <v>523</v>
      </c>
      <c r="I96" s="2" t="s">
        <v>51</v>
      </c>
      <c r="J96" s="2" t="s">
        <v>178</v>
      </c>
      <c r="K96" s="2" t="s">
        <v>883</v>
      </c>
      <c r="L96" s="2" t="s">
        <v>131</v>
      </c>
      <c r="M96" s="2" t="s">
        <v>523</v>
      </c>
      <c r="N96" s="2" t="s">
        <v>884</v>
      </c>
      <c r="O96" s="2"/>
      <c r="P96" s="2" t="s">
        <v>37</v>
      </c>
      <c r="Q96" s="4" t="n">
        <v>8731</v>
      </c>
      <c r="R96" s="2" t="s">
        <v>56</v>
      </c>
      <c r="S96" s="2" t="s">
        <v>92</v>
      </c>
      <c r="T96" s="2" t="s">
        <v>40</v>
      </c>
      <c r="U96" s="2" t="s">
        <v>885</v>
      </c>
      <c r="V96" s="2"/>
      <c r="W96" s="2" t="s">
        <v>42</v>
      </c>
      <c r="X96" s="2" t="s">
        <v>43</v>
      </c>
      <c r="Y96" s="2" t="s">
        <v>37</v>
      </c>
      <c r="Z96" s="2" t="s">
        <v>44</v>
      </c>
      <c r="AA96" s="2"/>
      <c r="AB96" s="2"/>
      <c r="AC96" s="2" t="s">
        <v>886</v>
      </c>
      <c r="AD96" s="2" t="s">
        <v>46</v>
      </c>
    </row>
    <row r="97" customFormat="false" ht="15.7" hidden="false" customHeight="true" outlineLevel="0" collapsed="false">
      <c r="A97" s="2"/>
      <c r="B97" s="3" t="n">
        <f aca="false">DATE(2006,3,13)</f>
        <v>0</v>
      </c>
      <c r="C97" s="3" t="n">
        <v>38789</v>
      </c>
      <c r="D97" s="2" t="s">
        <v>887</v>
      </c>
      <c r="F97" s="2" t="s">
        <v>888</v>
      </c>
      <c r="G97" s="2" t="s">
        <v>889</v>
      </c>
      <c r="H97" s="2" t="s">
        <v>890</v>
      </c>
      <c r="I97" s="2" t="s">
        <v>891</v>
      </c>
      <c r="J97" s="2" t="s">
        <v>35</v>
      </c>
      <c r="K97" s="2" t="s">
        <v>887</v>
      </c>
      <c r="L97" s="2" t="s">
        <v>891</v>
      </c>
      <c r="M97" s="2" t="s">
        <v>890</v>
      </c>
      <c r="N97" s="2" t="s">
        <v>892</v>
      </c>
      <c r="O97" s="2"/>
      <c r="P97" s="2" t="s">
        <v>37</v>
      </c>
      <c r="Q97" s="4" t="n">
        <v>8731</v>
      </c>
      <c r="R97" s="2" t="s">
        <v>136</v>
      </c>
      <c r="S97" s="2" t="s">
        <v>39</v>
      </c>
      <c r="T97" s="2" t="s">
        <v>40</v>
      </c>
      <c r="U97" s="2" t="s">
        <v>893</v>
      </c>
      <c r="V97" s="2"/>
      <c r="W97" s="2" t="s">
        <v>42</v>
      </c>
      <c r="X97" s="2" t="s">
        <v>43</v>
      </c>
      <c r="Y97" s="2" t="s">
        <v>37</v>
      </c>
      <c r="Z97" s="2" t="s">
        <v>44</v>
      </c>
      <c r="AA97" s="2"/>
      <c r="AB97" s="2"/>
      <c r="AC97" s="2" t="s">
        <v>894</v>
      </c>
      <c r="AD97" s="2" t="s">
        <v>46</v>
      </c>
    </row>
    <row r="98" customFormat="false" ht="15.7" hidden="false" customHeight="true" outlineLevel="0" collapsed="false">
      <c r="A98" s="2"/>
      <c r="B98" s="3" t="n">
        <f aca="false">DATE(2006,3,14)</f>
        <v>0</v>
      </c>
      <c r="C98" s="3" t="n">
        <v>38790</v>
      </c>
      <c r="D98" s="2" t="s">
        <v>895</v>
      </c>
      <c r="F98" s="2" t="s">
        <v>896</v>
      </c>
      <c r="G98" s="2" t="s">
        <v>897</v>
      </c>
      <c r="H98" s="2" t="s">
        <v>898</v>
      </c>
      <c r="I98" s="2" t="s">
        <v>899</v>
      </c>
      <c r="J98" s="2" t="s">
        <v>900</v>
      </c>
      <c r="K98" s="2" t="s">
        <v>901</v>
      </c>
      <c r="L98" s="2" t="s">
        <v>899</v>
      </c>
      <c r="M98" s="2" t="s">
        <v>902</v>
      </c>
      <c r="N98" s="2" t="s">
        <v>903</v>
      </c>
      <c r="O98" s="2"/>
      <c r="P98" s="2" t="s">
        <v>79</v>
      </c>
      <c r="Q98" s="4" t="n">
        <v>6794</v>
      </c>
      <c r="R98" s="2" t="s">
        <v>136</v>
      </c>
      <c r="S98" s="2" t="s">
        <v>39</v>
      </c>
      <c r="T98" s="2" t="s">
        <v>40</v>
      </c>
      <c r="U98" s="2" t="s">
        <v>904</v>
      </c>
      <c r="V98" s="2"/>
      <c r="W98" s="2" t="s">
        <v>82</v>
      </c>
      <c r="X98" s="2" t="s">
        <v>43</v>
      </c>
      <c r="Y98" s="2" t="s">
        <v>37</v>
      </c>
      <c r="Z98" s="2" t="s">
        <v>44</v>
      </c>
      <c r="AA98" s="2" t="s">
        <v>905</v>
      </c>
      <c r="AB98" s="2"/>
      <c r="AC98" s="2" t="s">
        <v>906</v>
      </c>
      <c r="AD98" s="2" t="s">
        <v>46</v>
      </c>
    </row>
    <row r="99" customFormat="false" ht="15.7" hidden="false" customHeight="true" outlineLevel="0" collapsed="false">
      <c r="A99" s="2"/>
      <c r="B99" s="3" t="n">
        <f aca="false">DATE(2006,3,16)</f>
        <v>0</v>
      </c>
      <c r="C99" s="3" t="n">
        <v>38792</v>
      </c>
      <c r="D99" s="2" t="s">
        <v>907</v>
      </c>
      <c r="F99" s="2" t="s">
        <v>908</v>
      </c>
      <c r="G99" s="2" t="s">
        <v>909</v>
      </c>
      <c r="H99" s="2" t="s">
        <v>910</v>
      </c>
      <c r="I99" s="2" t="s">
        <v>911</v>
      </c>
      <c r="J99" s="2" t="s">
        <v>912</v>
      </c>
      <c r="K99" s="2" t="s">
        <v>913</v>
      </c>
      <c r="L99" s="2" t="s">
        <v>911</v>
      </c>
      <c r="M99" s="2" t="s">
        <v>910</v>
      </c>
      <c r="N99" s="2" t="s">
        <v>914</v>
      </c>
      <c r="O99" s="2"/>
      <c r="P99" s="2" t="s">
        <v>37</v>
      </c>
      <c r="Q99" s="4" t="n">
        <v>8731</v>
      </c>
      <c r="R99" s="2" t="s">
        <v>136</v>
      </c>
      <c r="S99" s="2" t="s">
        <v>39</v>
      </c>
      <c r="T99" s="2" t="s">
        <v>40</v>
      </c>
      <c r="U99" s="2" t="s">
        <v>915</v>
      </c>
      <c r="V99" s="2"/>
      <c r="W99" s="2" t="s">
        <v>42</v>
      </c>
      <c r="X99" s="2" t="s">
        <v>43</v>
      </c>
      <c r="Y99" s="2" t="s">
        <v>37</v>
      </c>
      <c r="Z99" s="2" t="s">
        <v>916</v>
      </c>
      <c r="AA99" s="2"/>
      <c r="AB99" s="2"/>
      <c r="AC99" s="2" t="s">
        <v>917</v>
      </c>
      <c r="AD99" s="2" t="s">
        <v>46</v>
      </c>
    </row>
    <row r="100" customFormat="false" ht="15.7" hidden="false" customHeight="true" outlineLevel="0" collapsed="false">
      <c r="A100" s="2"/>
      <c r="B100" s="3" t="n">
        <f aca="false">DATE(2006,3,16)</f>
        <v>0</v>
      </c>
      <c r="C100" s="3" t="n">
        <v>38792</v>
      </c>
      <c r="D100" s="2" t="s">
        <v>918</v>
      </c>
      <c r="F100" s="2" t="s">
        <v>919</v>
      </c>
      <c r="G100" s="2" t="s">
        <v>920</v>
      </c>
      <c r="H100" s="2" t="s">
        <v>130</v>
      </c>
      <c r="I100" s="2" t="s">
        <v>921</v>
      </c>
      <c r="J100" s="2" t="s">
        <v>35</v>
      </c>
      <c r="K100" s="2" t="s">
        <v>918</v>
      </c>
      <c r="L100" s="2" t="s">
        <v>921</v>
      </c>
      <c r="M100" s="2" t="s">
        <v>130</v>
      </c>
      <c r="N100" s="2" t="s">
        <v>922</v>
      </c>
      <c r="O100" s="2"/>
      <c r="P100" s="2" t="s">
        <v>79</v>
      </c>
      <c r="Q100" s="4" t="n">
        <v>6794</v>
      </c>
      <c r="R100" s="2" t="s">
        <v>136</v>
      </c>
      <c r="S100" s="2" t="s">
        <v>39</v>
      </c>
      <c r="T100" s="2" t="s">
        <v>40</v>
      </c>
      <c r="U100" s="2" t="s">
        <v>923</v>
      </c>
      <c r="V100" s="2"/>
      <c r="W100" s="2" t="s">
        <v>94</v>
      </c>
      <c r="X100" s="2" t="s">
        <v>43</v>
      </c>
      <c r="Y100" s="2" t="s">
        <v>37</v>
      </c>
      <c r="Z100" s="2" t="s">
        <v>44</v>
      </c>
      <c r="AA100" s="2"/>
      <c r="AB100" s="2"/>
      <c r="AC100" s="2" t="s">
        <v>924</v>
      </c>
      <c r="AD100" s="2" t="s">
        <v>46</v>
      </c>
    </row>
    <row r="101" customFormat="false" ht="15.7" hidden="false" customHeight="true" outlineLevel="0" collapsed="false">
      <c r="A101" s="2"/>
      <c r="B101" s="3" t="n">
        <f aca="false">DATE(2006,3,20)</f>
        <v>0</v>
      </c>
      <c r="C101" s="3" t="n">
        <v>38796</v>
      </c>
      <c r="D101" s="2" t="s">
        <v>925</v>
      </c>
      <c r="F101" s="2" t="s">
        <v>926</v>
      </c>
      <c r="G101" s="2" t="s">
        <v>927</v>
      </c>
      <c r="H101" s="2" t="s">
        <v>928</v>
      </c>
      <c r="I101" s="2" t="s">
        <v>51</v>
      </c>
      <c r="J101" s="2" t="s">
        <v>929</v>
      </c>
      <c r="K101" s="2" t="s">
        <v>925</v>
      </c>
      <c r="L101" s="2" t="s">
        <v>51</v>
      </c>
      <c r="M101" s="2" t="s">
        <v>928</v>
      </c>
      <c r="N101" s="2" t="s">
        <v>930</v>
      </c>
      <c r="O101" s="2"/>
      <c r="P101" s="2" t="s">
        <v>37</v>
      </c>
      <c r="Q101" s="4" t="n">
        <v>8731</v>
      </c>
      <c r="R101" s="2" t="s">
        <v>56</v>
      </c>
      <c r="S101" s="2" t="s">
        <v>931</v>
      </c>
      <c r="T101" s="2" t="s">
        <v>40</v>
      </c>
      <c r="U101" s="2" t="s">
        <v>932</v>
      </c>
      <c r="V101" s="2"/>
      <c r="W101" s="2" t="s">
        <v>42</v>
      </c>
      <c r="X101" s="2" t="s">
        <v>43</v>
      </c>
      <c r="Y101" s="2" t="s">
        <v>37</v>
      </c>
      <c r="Z101" s="2" t="s">
        <v>44</v>
      </c>
      <c r="AA101" s="2"/>
      <c r="AB101" s="2"/>
      <c r="AC101" s="2" t="s">
        <v>933</v>
      </c>
      <c r="AD101" s="2" t="s">
        <v>46</v>
      </c>
    </row>
    <row r="102" customFormat="false" ht="15.7" hidden="false" customHeight="true" outlineLevel="0" collapsed="false">
      <c r="A102" s="2"/>
      <c r="B102" s="3" t="n">
        <f aca="false">DATE(2006,3,20)</f>
        <v>0</v>
      </c>
      <c r="C102" s="3" t="n">
        <v>38796</v>
      </c>
      <c r="D102" s="2" t="s">
        <v>934</v>
      </c>
      <c r="F102" s="2" t="s">
        <v>935</v>
      </c>
      <c r="G102" s="2" t="s">
        <v>936</v>
      </c>
      <c r="H102" s="2" t="s">
        <v>130</v>
      </c>
      <c r="I102" s="2" t="s">
        <v>296</v>
      </c>
      <c r="J102" s="2" t="s">
        <v>514</v>
      </c>
      <c r="K102" s="2" t="s">
        <v>934</v>
      </c>
      <c r="L102" s="2" t="s">
        <v>296</v>
      </c>
      <c r="M102" s="2" t="s">
        <v>130</v>
      </c>
      <c r="N102" s="2" t="s">
        <v>937</v>
      </c>
      <c r="O102" s="2"/>
      <c r="P102" s="2" t="s">
        <v>79</v>
      </c>
      <c r="Q102" s="4" t="n">
        <v>6794</v>
      </c>
      <c r="R102" s="2" t="s">
        <v>136</v>
      </c>
      <c r="S102" s="2" t="s">
        <v>39</v>
      </c>
      <c r="T102" s="2" t="s">
        <v>122</v>
      </c>
      <c r="U102" s="2" t="s">
        <v>938</v>
      </c>
      <c r="V102" s="2"/>
      <c r="W102" s="2" t="s">
        <v>253</v>
      </c>
      <c r="X102" s="2" t="s">
        <v>43</v>
      </c>
      <c r="Y102" s="2" t="s">
        <v>37</v>
      </c>
      <c r="Z102" s="2" t="s">
        <v>44</v>
      </c>
      <c r="AA102" s="2" t="s">
        <v>939</v>
      </c>
      <c r="AB102" s="2"/>
      <c r="AC102" s="2" t="s">
        <v>940</v>
      </c>
      <c r="AD102" s="2" t="s">
        <v>46</v>
      </c>
    </row>
    <row r="103" customFormat="false" ht="15.7" hidden="false" customHeight="true" outlineLevel="0" collapsed="false">
      <c r="A103" s="2"/>
      <c r="B103" s="3" t="n">
        <f aca="false">DATE(2006,3,20)</f>
        <v>0</v>
      </c>
      <c r="C103" s="3" t="n">
        <v>38796</v>
      </c>
      <c r="D103" s="2" t="s">
        <v>941</v>
      </c>
      <c r="F103" s="2" t="s">
        <v>942</v>
      </c>
      <c r="G103" s="2" t="s">
        <v>943</v>
      </c>
      <c r="H103" s="2" t="s">
        <v>63</v>
      </c>
      <c r="I103" s="2" t="s">
        <v>219</v>
      </c>
      <c r="J103" s="2" t="s">
        <v>65</v>
      </c>
      <c r="K103" s="2" t="s">
        <v>941</v>
      </c>
      <c r="L103" s="2" t="s">
        <v>219</v>
      </c>
      <c r="M103" s="2" t="s">
        <v>63</v>
      </c>
      <c r="N103" s="2" t="s">
        <v>944</v>
      </c>
      <c r="O103" s="2"/>
      <c r="P103" s="2" t="s">
        <v>37</v>
      </c>
      <c r="Q103" s="4" t="n">
        <v>8731</v>
      </c>
      <c r="R103" s="2" t="s">
        <v>136</v>
      </c>
      <c r="S103" s="2" t="s">
        <v>39</v>
      </c>
      <c r="T103" s="2" t="s">
        <v>40</v>
      </c>
      <c r="U103" s="2" t="s">
        <v>945</v>
      </c>
      <c r="V103" s="2"/>
      <c r="W103" s="2" t="s">
        <v>773</v>
      </c>
      <c r="X103" s="2" t="s">
        <v>43</v>
      </c>
      <c r="Y103" s="2" t="s">
        <v>37</v>
      </c>
      <c r="Z103" s="2" t="s">
        <v>44</v>
      </c>
      <c r="AA103" s="2" t="s">
        <v>946</v>
      </c>
      <c r="AB103" s="2"/>
      <c r="AC103" s="2" t="s">
        <v>947</v>
      </c>
      <c r="AD103" s="2" t="s">
        <v>46</v>
      </c>
    </row>
    <row r="104" customFormat="false" ht="15.7" hidden="false" customHeight="true" outlineLevel="0" collapsed="false">
      <c r="A104" s="2"/>
      <c r="B104" s="3" t="n">
        <f aca="false">DATE(2006,3,20)</f>
        <v>0</v>
      </c>
      <c r="C104" s="3" t="n">
        <v>38796</v>
      </c>
      <c r="D104" s="2" t="s">
        <v>948</v>
      </c>
      <c r="F104" s="2" t="s">
        <v>256</v>
      </c>
      <c r="G104" s="2" t="s">
        <v>949</v>
      </c>
      <c r="H104" s="2" t="s">
        <v>170</v>
      </c>
      <c r="I104" s="2" t="s">
        <v>487</v>
      </c>
      <c r="J104" s="2" t="s">
        <v>950</v>
      </c>
      <c r="K104" s="2" t="s">
        <v>951</v>
      </c>
      <c r="L104" s="2" t="s">
        <v>487</v>
      </c>
      <c r="M104" s="2" t="s">
        <v>814</v>
      </c>
      <c r="N104" s="2" t="s">
        <v>952</v>
      </c>
      <c r="O104" s="2"/>
      <c r="P104" s="2" t="s">
        <v>79</v>
      </c>
      <c r="Q104" s="4" t="n">
        <v>6794</v>
      </c>
      <c r="R104" s="2" t="s">
        <v>136</v>
      </c>
      <c r="S104" s="2" t="s">
        <v>39</v>
      </c>
      <c r="T104" s="2" t="s">
        <v>40</v>
      </c>
      <c r="U104" s="2" t="s">
        <v>953</v>
      </c>
      <c r="V104" s="2"/>
      <c r="W104" s="2" t="s">
        <v>82</v>
      </c>
      <c r="X104" s="2" t="s">
        <v>43</v>
      </c>
      <c r="Y104" s="2" t="s">
        <v>37</v>
      </c>
      <c r="Z104" s="2" t="s">
        <v>44</v>
      </c>
      <c r="AA104" s="2"/>
      <c r="AB104" s="2"/>
      <c r="AC104" s="2" t="s">
        <v>954</v>
      </c>
      <c r="AD104" s="2" t="s">
        <v>46</v>
      </c>
    </row>
    <row r="105" customFormat="false" ht="15.7" hidden="false" customHeight="true" outlineLevel="0" collapsed="false">
      <c r="A105" s="2"/>
      <c r="B105" s="3" t="n">
        <f aca="false">DATE(2006,3,20)</f>
        <v>0</v>
      </c>
      <c r="C105" s="3" t="n">
        <v>38796</v>
      </c>
      <c r="D105" s="2" t="s">
        <v>955</v>
      </c>
      <c r="F105" s="2" t="s">
        <v>956</v>
      </c>
      <c r="G105" s="2" t="s">
        <v>957</v>
      </c>
      <c r="H105" s="2" t="s">
        <v>130</v>
      </c>
      <c r="I105" s="2" t="s">
        <v>51</v>
      </c>
      <c r="J105" s="2" t="s">
        <v>306</v>
      </c>
      <c r="K105" s="2" t="s">
        <v>955</v>
      </c>
      <c r="L105" s="2" t="s">
        <v>51</v>
      </c>
      <c r="M105" s="2" t="s">
        <v>130</v>
      </c>
      <c r="N105" s="2" t="s">
        <v>958</v>
      </c>
      <c r="O105" s="2"/>
      <c r="P105" s="2" t="s">
        <v>37</v>
      </c>
      <c r="Q105" s="4" t="n">
        <v>6794</v>
      </c>
      <c r="R105" s="2" t="s">
        <v>56</v>
      </c>
      <c r="S105" s="2" t="s">
        <v>80</v>
      </c>
      <c r="T105" s="2" t="s">
        <v>40</v>
      </c>
      <c r="U105" s="2" t="s">
        <v>959</v>
      </c>
      <c r="V105" s="2"/>
      <c r="W105" s="2" t="s">
        <v>82</v>
      </c>
      <c r="X105" s="2" t="s">
        <v>43</v>
      </c>
      <c r="Y105" s="2" t="s">
        <v>37</v>
      </c>
      <c r="Z105" s="2" t="s">
        <v>44</v>
      </c>
      <c r="AA105" s="2" t="s">
        <v>960</v>
      </c>
      <c r="AB105" s="2"/>
      <c r="AC105" s="2" t="s">
        <v>961</v>
      </c>
      <c r="AD105" s="2" t="s">
        <v>46</v>
      </c>
    </row>
    <row r="106" customFormat="false" ht="15.7" hidden="false" customHeight="true" outlineLevel="0" collapsed="false">
      <c r="A106" s="2"/>
      <c r="B106" s="3" t="n">
        <f aca="false">DATE(2006,3,21)</f>
        <v>0</v>
      </c>
      <c r="C106" s="3" t="n">
        <v>38797</v>
      </c>
      <c r="D106" s="2" t="s">
        <v>962</v>
      </c>
      <c r="F106" s="2" t="s">
        <v>963</v>
      </c>
      <c r="G106" s="2" t="s">
        <v>964</v>
      </c>
      <c r="H106" s="2" t="s">
        <v>63</v>
      </c>
      <c r="I106" s="2" t="s">
        <v>965</v>
      </c>
      <c r="J106" s="2" t="s">
        <v>966</v>
      </c>
      <c r="K106" s="2" t="s">
        <v>962</v>
      </c>
      <c r="L106" s="2" t="s">
        <v>965</v>
      </c>
      <c r="M106" s="2" t="s">
        <v>63</v>
      </c>
      <c r="N106" s="2" t="s">
        <v>967</v>
      </c>
      <c r="O106" s="2"/>
      <c r="P106" s="2" t="s">
        <v>79</v>
      </c>
      <c r="Q106" s="4" t="n">
        <v>6794</v>
      </c>
      <c r="R106" s="2" t="s">
        <v>136</v>
      </c>
      <c r="S106" s="2" t="s">
        <v>39</v>
      </c>
      <c r="T106" s="2" t="s">
        <v>40</v>
      </c>
      <c r="U106" s="2" t="s">
        <v>968</v>
      </c>
      <c r="V106" s="2"/>
      <c r="W106" s="2" t="s">
        <v>82</v>
      </c>
      <c r="X106" s="2" t="s">
        <v>43</v>
      </c>
      <c r="Y106" s="2" t="s">
        <v>37</v>
      </c>
      <c r="Z106" s="2" t="s">
        <v>44</v>
      </c>
      <c r="AA106" s="2" t="s">
        <v>969</v>
      </c>
      <c r="AB106" s="2"/>
      <c r="AC106" s="2" t="s">
        <v>970</v>
      </c>
      <c r="AD106" s="2" t="s">
        <v>46</v>
      </c>
    </row>
    <row r="107" customFormat="false" ht="15.7" hidden="false" customHeight="true" outlineLevel="0" collapsed="false">
      <c r="A107" s="2"/>
      <c r="B107" s="3" t="n">
        <f aca="false">DATE(2006,3,21)</f>
        <v>0</v>
      </c>
      <c r="C107" s="3" t="n">
        <v>38797</v>
      </c>
      <c r="D107" s="2" t="s">
        <v>971</v>
      </c>
      <c r="F107" s="2" t="s">
        <v>972</v>
      </c>
      <c r="G107" s="2" t="s">
        <v>973</v>
      </c>
      <c r="H107" s="2" t="s">
        <v>974</v>
      </c>
      <c r="I107" s="2" t="s">
        <v>51</v>
      </c>
      <c r="J107" s="2" t="s">
        <v>975</v>
      </c>
      <c r="K107" s="2" t="s">
        <v>971</v>
      </c>
      <c r="L107" s="2" t="s">
        <v>51</v>
      </c>
      <c r="M107" s="2" t="s">
        <v>974</v>
      </c>
      <c r="N107" s="2" t="s">
        <v>976</v>
      </c>
      <c r="O107" s="2"/>
      <c r="P107" s="2" t="s">
        <v>37</v>
      </c>
      <c r="Q107" s="4" t="n">
        <v>8731</v>
      </c>
      <c r="R107" s="2" t="s">
        <v>56</v>
      </c>
      <c r="S107" s="2" t="s">
        <v>977</v>
      </c>
      <c r="T107" s="2" t="s">
        <v>40</v>
      </c>
      <c r="U107" s="2" t="s">
        <v>978</v>
      </c>
      <c r="V107" s="2"/>
      <c r="W107" s="2" t="s">
        <v>42</v>
      </c>
      <c r="X107" s="2" t="s">
        <v>43</v>
      </c>
      <c r="Y107" s="2" t="s">
        <v>37</v>
      </c>
      <c r="Z107" s="2" t="s">
        <v>44</v>
      </c>
      <c r="AA107" s="2"/>
      <c r="AB107" s="2"/>
      <c r="AC107" s="2" t="s">
        <v>979</v>
      </c>
      <c r="AD107" s="2" t="s">
        <v>46</v>
      </c>
    </row>
    <row r="108" customFormat="false" ht="15.7" hidden="false" customHeight="true" outlineLevel="0" collapsed="false">
      <c r="A108" s="2"/>
      <c r="B108" s="3" t="n">
        <f aca="false">DATE(2006,3,22)</f>
        <v>0</v>
      </c>
      <c r="C108" s="3" t="n">
        <v>38798</v>
      </c>
      <c r="D108" s="2" t="s">
        <v>980</v>
      </c>
      <c r="F108" s="2" t="s">
        <v>981</v>
      </c>
      <c r="G108" s="2" t="s">
        <v>982</v>
      </c>
      <c r="H108" s="2" t="s">
        <v>983</v>
      </c>
      <c r="I108" s="2" t="s">
        <v>34</v>
      </c>
      <c r="J108" s="2" t="s">
        <v>35</v>
      </c>
      <c r="K108" s="2" t="s">
        <v>980</v>
      </c>
      <c r="L108" s="2" t="s">
        <v>34</v>
      </c>
      <c r="M108" s="2" t="s">
        <v>983</v>
      </c>
      <c r="N108" s="2" t="s">
        <v>984</v>
      </c>
      <c r="O108" s="2" t="s">
        <v>985</v>
      </c>
      <c r="P108" s="2" t="s">
        <v>37</v>
      </c>
      <c r="Q108" s="4" t="n">
        <v>2037</v>
      </c>
      <c r="R108" s="2" t="s">
        <v>38</v>
      </c>
      <c r="S108" s="2" t="s">
        <v>39</v>
      </c>
      <c r="T108" s="2" t="s">
        <v>40</v>
      </c>
      <c r="U108" s="2" t="s">
        <v>986</v>
      </c>
      <c r="V108" s="2"/>
      <c r="W108" s="2" t="s">
        <v>107</v>
      </c>
      <c r="X108" s="2" t="s">
        <v>46</v>
      </c>
      <c r="Y108" s="2" t="s">
        <v>37</v>
      </c>
      <c r="Z108" s="2" t="s">
        <v>987</v>
      </c>
      <c r="AA108" s="2"/>
      <c r="AB108" s="2" t="s">
        <v>988</v>
      </c>
      <c r="AC108" s="2" t="s">
        <v>989</v>
      </c>
      <c r="AD108" s="2" t="s">
        <v>46</v>
      </c>
    </row>
    <row r="109" customFormat="false" ht="15.7" hidden="false" customHeight="true" outlineLevel="0" collapsed="false">
      <c r="A109" s="2"/>
      <c r="B109" s="3" t="n">
        <f aca="false">DATE(2006,3,23)</f>
        <v>0</v>
      </c>
      <c r="C109" s="3" t="n">
        <v>38799</v>
      </c>
      <c r="D109" s="2" t="s">
        <v>990</v>
      </c>
      <c r="F109" s="2" t="s">
        <v>991</v>
      </c>
      <c r="G109" s="2" t="s">
        <v>992</v>
      </c>
      <c r="H109" s="2" t="s">
        <v>993</v>
      </c>
      <c r="I109" s="2" t="s">
        <v>51</v>
      </c>
      <c r="J109" s="2" t="s">
        <v>994</v>
      </c>
      <c r="K109" s="2" t="s">
        <v>990</v>
      </c>
      <c r="L109" s="2" t="s">
        <v>51</v>
      </c>
      <c r="M109" s="2" t="s">
        <v>993</v>
      </c>
      <c r="N109" s="2" t="s">
        <v>995</v>
      </c>
      <c r="O109" s="2"/>
      <c r="P109" s="2" t="s">
        <v>37</v>
      </c>
      <c r="Q109" s="4" t="n">
        <v>8731</v>
      </c>
      <c r="R109" s="2" t="s">
        <v>136</v>
      </c>
      <c r="S109" s="2" t="s">
        <v>39</v>
      </c>
      <c r="T109" s="2" t="s">
        <v>40</v>
      </c>
      <c r="U109" s="2" t="s">
        <v>996</v>
      </c>
      <c r="V109" s="2"/>
      <c r="W109" s="2" t="s">
        <v>42</v>
      </c>
      <c r="X109" s="2" t="s">
        <v>43</v>
      </c>
      <c r="Y109" s="2" t="s">
        <v>37</v>
      </c>
      <c r="Z109" s="2" t="s">
        <v>44</v>
      </c>
      <c r="AA109" s="2"/>
      <c r="AB109" s="2"/>
      <c r="AC109" s="2" t="s">
        <v>997</v>
      </c>
      <c r="AD109" s="2" t="s">
        <v>46</v>
      </c>
    </row>
    <row r="110" customFormat="false" ht="15.7" hidden="false" customHeight="true" outlineLevel="0" collapsed="false">
      <c r="A110" s="2"/>
      <c r="B110" s="3" t="n">
        <f aca="false">DATE(2006,3,23)</f>
        <v>0</v>
      </c>
      <c r="C110" s="3" t="n">
        <v>38799</v>
      </c>
      <c r="D110" s="2" t="s">
        <v>998</v>
      </c>
      <c r="F110" s="2" t="s">
        <v>999</v>
      </c>
      <c r="G110" s="2" t="s">
        <v>1000</v>
      </c>
      <c r="H110" s="2" t="s">
        <v>523</v>
      </c>
      <c r="I110" s="2" t="s">
        <v>51</v>
      </c>
      <c r="J110" s="2" t="s">
        <v>1001</v>
      </c>
      <c r="K110" s="2" t="s">
        <v>998</v>
      </c>
      <c r="L110" s="2" t="s">
        <v>51</v>
      </c>
      <c r="M110" s="2" t="s">
        <v>523</v>
      </c>
      <c r="N110" s="2" t="s">
        <v>1002</v>
      </c>
      <c r="O110" s="2"/>
      <c r="P110" s="2" t="s">
        <v>37</v>
      </c>
      <c r="Q110" s="4" t="n">
        <v>8731</v>
      </c>
      <c r="R110" s="2" t="s">
        <v>56</v>
      </c>
      <c r="S110" s="2" t="s">
        <v>80</v>
      </c>
      <c r="T110" s="2" t="s">
        <v>40</v>
      </c>
      <c r="U110" s="2" t="s">
        <v>1003</v>
      </c>
      <c r="V110" s="2"/>
      <c r="W110" s="2" t="s">
        <v>42</v>
      </c>
      <c r="X110" s="2" t="s">
        <v>43</v>
      </c>
      <c r="Y110" s="2" t="s">
        <v>37</v>
      </c>
      <c r="Z110" s="2" t="s">
        <v>44</v>
      </c>
      <c r="AA110" s="2" t="s">
        <v>1004</v>
      </c>
      <c r="AB110" s="2"/>
      <c r="AC110" s="2" t="s">
        <v>1005</v>
      </c>
      <c r="AD110" s="2" t="s">
        <v>46</v>
      </c>
    </row>
    <row r="111" customFormat="false" ht="15.7" hidden="false" customHeight="true" outlineLevel="0" collapsed="false">
      <c r="A111" s="2"/>
      <c r="B111" s="3" t="n">
        <f aca="false">DATE(2006,3,23)</f>
        <v>0</v>
      </c>
      <c r="C111" s="3" t="n">
        <v>38799</v>
      </c>
      <c r="D111" s="2" t="s">
        <v>1006</v>
      </c>
      <c r="F111" s="2" t="s">
        <v>1007</v>
      </c>
      <c r="G111" s="2" t="s">
        <v>1008</v>
      </c>
      <c r="H111" s="2" t="s">
        <v>1009</v>
      </c>
      <c r="I111" s="2" t="s">
        <v>1010</v>
      </c>
      <c r="J111" s="2" t="s">
        <v>35</v>
      </c>
      <c r="K111" s="2" t="s">
        <v>1006</v>
      </c>
      <c r="L111" s="2" t="s">
        <v>1010</v>
      </c>
      <c r="M111" s="2" t="s">
        <v>1009</v>
      </c>
      <c r="N111" s="2" t="s">
        <v>1011</v>
      </c>
      <c r="O111" s="2" t="s">
        <v>1012</v>
      </c>
      <c r="P111" s="2" t="s">
        <v>37</v>
      </c>
      <c r="Q111" s="4" t="n">
        <v>2834</v>
      </c>
      <c r="R111" s="2" t="s">
        <v>105</v>
      </c>
      <c r="S111" s="2" t="s">
        <v>39</v>
      </c>
      <c r="T111" s="2" t="s">
        <v>40</v>
      </c>
      <c r="U111" s="2" t="s">
        <v>1013</v>
      </c>
      <c r="V111" s="2"/>
      <c r="W111" s="2" t="s">
        <v>107</v>
      </c>
      <c r="X111" s="2" t="s">
        <v>46</v>
      </c>
      <c r="Y111" s="2" t="s">
        <v>37</v>
      </c>
      <c r="Z111" s="2" t="s">
        <v>362</v>
      </c>
      <c r="AA111" s="2" t="s">
        <v>1014</v>
      </c>
      <c r="AB111" s="2" t="s">
        <v>1015</v>
      </c>
      <c r="AC111" s="2" t="s">
        <v>1016</v>
      </c>
      <c r="AD111" s="2" t="s">
        <v>46</v>
      </c>
    </row>
    <row r="112" customFormat="false" ht="15.7" hidden="false" customHeight="true" outlineLevel="0" collapsed="false">
      <c r="A112" s="2"/>
      <c r="B112" s="3" t="n">
        <f aca="false">DATE(2006,3,23)</f>
        <v>0</v>
      </c>
      <c r="C112" s="3" t="n">
        <v>38799</v>
      </c>
      <c r="D112" s="2" t="s">
        <v>1017</v>
      </c>
      <c r="F112" s="2" t="s">
        <v>1018</v>
      </c>
      <c r="G112" s="2" t="s">
        <v>1019</v>
      </c>
      <c r="H112" s="2" t="s">
        <v>1020</v>
      </c>
      <c r="I112" s="2" t="s">
        <v>662</v>
      </c>
      <c r="J112" s="2" t="s">
        <v>313</v>
      </c>
      <c r="K112" s="2" t="s">
        <v>1017</v>
      </c>
      <c r="L112" s="2" t="s">
        <v>662</v>
      </c>
      <c r="M112" s="2" t="s">
        <v>1020</v>
      </c>
      <c r="N112" s="2" t="s">
        <v>1021</v>
      </c>
      <c r="O112" s="2"/>
      <c r="P112" s="2" t="s">
        <v>37</v>
      </c>
      <c r="Q112" s="4" t="n">
        <v>8731</v>
      </c>
      <c r="R112" s="2" t="s">
        <v>136</v>
      </c>
      <c r="S112" s="2" t="s">
        <v>39</v>
      </c>
      <c r="T112" s="2" t="s">
        <v>40</v>
      </c>
      <c r="U112" s="2" t="s">
        <v>1022</v>
      </c>
      <c r="V112" s="2"/>
      <c r="W112" s="2" t="s">
        <v>42</v>
      </c>
      <c r="X112" s="2" t="s">
        <v>43</v>
      </c>
      <c r="Y112" s="2" t="s">
        <v>37</v>
      </c>
      <c r="Z112" s="2" t="s">
        <v>44</v>
      </c>
      <c r="AA112" s="2"/>
      <c r="AB112" s="2"/>
      <c r="AC112" s="2" t="s">
        <v>1023</v>
      </c>
      <c r="AD112" s="2" t="s">
        <v>46</v>
      </c>
    </row>
    <row r="113" customFormat="false" ht="15.7" hidden="false" customHeight="true" outlineLevel="0" collapsed="false">
      <c r="A113" s="2"/>
      <c r="B113" s="3" t="n">
        <f aca="false">DATE(2006,3,23)</f>
        <v>0</v>
      </c>
      <c r="C113" s="3" t="n">
        <v>38799</v>
      </c>
      <c r="D113" s="2" t="s">
        <v>1024</v>
      </c>
      <c r="F113" s="2" t="s">
        <v>1025</v>
      </c>
      <c r="G113" s="2" t="s">
        <v>1026</v>
      </c>
      <c r="H113" s="2" t="s">
        <v>1027</v>
      </c>
      <c r="I113" s="2" t="s">
        <v>131</v>
      </c>
      <c r="J113" s="2" t="s">
        <v>795</v>
      </c>
      <c r="K113" s="2" t="s">
        <v>1024</v>
      </c>
      <c r="L113" s="2" t="s">
        <v>131</v>
      </c>
      <c r="M113" s="2" t="s">
        <v>1027</v>
      </c>
      <c r="N113" s="2" t="s">
        <v>1028</v>
      </c>
      <c r="O113" s="2"/>
      <c r="P113" s="2" t="s">
        <v>79</v>
      </c>
      <c r="Q113" s="4" t="n">
        <v>6794</v>
      </c>
      <c r="R113" s="2" t="s">
        <v>136</v>
      </c>
      <c r="S113" s="2" t="s">
        <v>39</v>
      </c>
      <c r="T113" s="2" t="s">
        <v>40</v>
      </c>
      <c r="U113" s="2" t="s">
        <v>1029</v>
      </c>
      <c r="V113" s="2"/>
      <c r="W113" s="2" t="s">
        <v>214</v>
      </c>
      <c r="X113" s="2" t="s">
        <v>43</v>
      </c>
      <c r="Y113" s="2" t="s">
        <v>37</v>
      </c>
      <c r="Z113" s="2" t="s">
        <v>44</v>
      </c>
      <c r="AA113" s="2"/>
      <c r="AB113" s="2"/>
      <c r="AC113" s="2" t="s">
        <v>1030</v>
      </c>
      <c r="AD113" s="2" t="s">
        <v>46</v>
      </c>
    </row>
    <row r="114" customFormat="false" ht="15.7" hidden="false" customHeight="true" outlineLevel="0" collapsed="false">
      <c r="A114" s="2"/>
      <c r="B114" s="3" t="n">
        <f aca="false">DATE(2006,3,24)</f>
        <v>0</v>
      </c>
      <c r="C114" s="3" t="n">
        <v>38800</v>
      </c>
      <c r="D114" s="2" t="s">
        <v>1031</v>
      </c>
      <c r="F114" s="2" t="s">
        <v>1032</v>
      </c>
      <c r="G114" s="2" t="s">
        <v>1033</v>
      </c>
      <c r="H114" s="2" t="s">
        <v>1034</v>
      </c>
      <c r="I114" s="2" t="s">
        <v>219</v>
      </c>
      <c r="J114" s="2" t="s">
        <v>65</v>
      </c>
      <c r="K114" s="2" t="s">
        <v>1031</v>
      </c>
      <c r="L114" s="2" t="s">
        <v>219</v>
      </c>
      <c r="M114" s="2" t="s">
        <v>1034</v>
      </c>
      <c r="N114" s="2" t="s">
        <v>1035</v>
      </c>
      <c r="O114" s="2"/>
      <c r="P114" s="2" t="s">
        <v>79</v>
      </c>
      <c r="Q114" s="4" t="n">
        <v>6794</v>
      </c>
      <c r="R114" s="2" t="s">
        <v>136</v>
      </c>
      <c r="S114" s="2" t="s">
        <v>39</v>
      </c>
      <c r="T114" s="2" t="s">
        <v>1036</v>
      </c>
      <c r="U114" s="2" t="s">
        <v>1037</v>
      </c>
      <c r="V114" s="2"/>
      <c r="W114" s="2" t="s">
        <v>253</v>
      </c>
      <c r="X114" s="2" t="s">
        <v>43</v>
      </c>
      <c r="Y114" s="2" t="s">
        <v>37</v>
      </c>
      <c r="Z114" s="2" t="s">
        <v>44</v>
      </c>
      <c r="AA114" s="2"/>
      <c r="AB114" s="2"/>
      <c r="AC114" s="2" t="s">
        <v>1038</v>
      </c>
      <c r="AD114" s="2" t="s">
        <v>46</v>
      </c>
    </row>
    <row r="115" customFormat="false" ht="15.7" hidden="false" customHeight="true" outlineLevel="0" collapsed="false">
      <c r="A115" s="2"/>
      <c r="B115" s="3" t="n">
        <f aca="false">DATE(2006,3,24)</f>
        <v>0</v>
      </c>
      <c r="C115" s="3" t="n">
        <v>38800</v>
      </c>
      <c r="D115" s="2" t="s">
        <v>1039</v>
      </c>
      <c r="F115" s="2" t="s">
        <v>1040</v>
      </c>
      <c r="G115" s="2" t="s">
        <v>1041</v>
      </c>
      <c r="H115" s="2" t="s">
        <v>1042</v>
      </c>
      <c r="I115" s="2" t="s">
        <v>51</v>
      </c>
      <c r="J115" s="2" t="s">
        <v>1043</v>
      </c>
      <c r="K115" s="2" t="s">
        <v>1039</v>
      </c>
      <c r="L115" s="2" t="s">
        <v>51</v>
      </c>
      <c r="M115" s="2" t="s">
        <v>1042</v>
      </c>
      <c r="N115" s="2" t="s">
        <v>1044</v>
      </c>
      <c r="O115" s="2"/>
      <c r="P115" s="2" t="s">
        <v>37</v>
      </c>
      <c r="Q115" s="4" t="n">
        <v>8731</v>
      </c>
      <c r="R115" s="2" t="s">
        <v>56</v>
      </c>
      <c r="S115" s="2" t="s">
        <v>1045</v>
      </c>
      <c r="T115" s="2" t="s">
        <v>40</v>
      </c>
      <c r="U115" s="2" t="s">
        <v>1046</v>
      </c>
      <c r="V115" s="2"/>
      <c r="W115" s="2" t="s">
        <v>42</v>
      </c>
      <c r="X115" s="2" t="s">
        <v>43</v>
      </c>
      <c r="Y115" s="2" t="s">
        <v>37</v>
      </c>
      <c r="Z115" s="2" t="s">
        <v>44</v>
      </c>
      <c r="AA115" s="2"/>
      <c r="AB115" s="2"/>
      <c r="AC115" s="2" t="s">
        <v>1047</v>
      </c>
      <c r="AD115" s="2" t="s">
        <v>46</v>
      </c>
    </row>
    <row r="116" customFormat="false" ht="15.7" hidden="false" customHeight="true" outlineLevel="0" collapsed="false">
      <c r="A116" s="2"/>
      <c r="B116" s="3" t="n">
        <f aca="false">DATE(2006,3,24)</f>
        <v>0</v>
      </c>
      <c r="C116" s="3" t="n">
        <v>38800</v>
      </c>
      <c r="D116" s="2" t="s">
        <v>1031</v>
      </c>
      <c r="F116" s="2" t="s">
        <v>1032</v>
      </c>
      <c r="G116" s="2" t="s">
        <v>1033</v>
      </c>
      <c r="H116" s="2" t="s">
        <v>1034</v>
      </c>
      <c r="I116" s="2" t="s">
        <v>219</v>
      </c>
      <c r="J116" s="2" t="s">
        <v>65</v>
      </c>
      <c r="K116" s="2" t="s">
        <v>1031</v>
      </c>
      <c r="L116" s="2" t="s">
        <v>219</v>
      </c>
      <c r="M116" s="2" t="s">
        <v>1034</v>
      </c>
      <c r="N116" s="2" t="s">
        <v>1048</v>
      </c>
      <c r="O116" s="2"/>
      <c r="P116" s="2" t="s">
        <v>79</v>
      </c>
      <c r="Q116" s="4" t="n">
        <v>8731</v>
      </c>
      <c r="R116" s="2" t="s">
        <v>136</v>
      </c>
      <c r="S116" s="2" t="s">
        <v>39</v>
      </c>
      <c r="T116" s="2" t="s">
        <v>40</v>
      </c>
      <c r="U116" s="2" t="s">
        <v>1049</v>
      </c>
      <c r="V116" s="2"/>
      <c r="W116" s="2" t="s">
        <v>1050</v>
      </c>
      <c r="X116" s="2" t="s">
        <v>43</v>
      </c>
      <c r="Y116" s="2" t="s">
        <v>37</v>
      </c>
      <c r="Z116" s="2" t="s">
        <v>44</v>
      </c>
      <c r="AA116" s="2"/>
      <c r="AB116" s="2"/>
      <c r="AC116" s="2" t="s">
        <v>1038</v>
      </c>
      <c r="AD116" s="2" t="s">
        <v>46</v>
      </c>
    </row>
    <row r="117" customFormat="false" ht="15.7" hidden="false" customHeight="true" outlineLevel="0" collapsed="false">
      <c r="A117" s="2"/>
      <c r="B117" s="3" t="n">
        <f aca="false">DATE(2006,3,27)</f>
        <v>0</v>
      </c>
      <c r="C117" s="3" t="n">
        <v>38803</v>
      </c>
      <c r="D117" s="2" t="s">
        <v>1051</v>
      </c>
      <c r="F117" s="2" t="s">
        <v>1052</v>
      </c>
      <c r="G117" s="2" t="s">
        <v>1053</v>
      </c>
      <c r="H117" s="2" t="s">
        <v>63</v>
      </c>
      <c r="I117" s="2" t="s">
        <v>88</v>
      </c>
      <c r="J117" s="2" t="s">
        <v>65</v>
      </c>
      <c r="K117" s="2" t="s">
        <v>1051</v>
      </c>
      <c r="L117" s="2" t="s">
        <v>88</v>
      </c>
      <c r="M117" s="2" t="s">
        <v>63</v>
      </c>
      <c r="N117" s="2" t="s">
        <v>1054</v>
      </c>
      <c r="O117" s="2"/>
      <c r="P117" s="2" t="s">
        <v>79</v>
      </c>
      <c r="Q117" s="4" t="n">
        <v>6794</v>
      </c>
      <c r="R117" s="2" t="s">
        <v>136</v>
      </c>
      <c r="S117" s="2" t="s">
        <v>39</v>
      </c>
      <c r="T117" s="2" t="s">
        <v>40</v>
      </c>
      <c r="U117" s="2" t="s">
        <v>1055</v>
      </c>
      <c r="V117" s="2"/>
      <c r="W117" s="2" t="s">
        <v>94</v>
      </c>
      <c r="X117" s="2" t="s">
        <v>43</v>
      </c>
      <c r="Y117" s="2" t="s">
        <v>37</v>
      </c>
      <c r="Z117" s="2" t="s">
        <v>44</v>
      </c>
      <c r="AA117" s="2" t="s">
        <v>1056</v>
      </c>
      <c r="AB117" s="2"/>
      <c r="AC117" s="2" t="s">
        <v>1057</v>
      </c>
      <c r="AD117" s="2" t="s">
        <v>46</v>
      </c>
    </row>
    <row r="118" customFormat="false" ht="15.7" hidden="false" customHeight="true" outlineLevel="0" collapsed="false">
      <c r="A118" s="2"/>
      <c r="B118" s="3" t="n">
        <f aca="false">DATE(2006,3,28)</f>
        <v>0</v>
      </c>
      <c r="C118" s="3" t="n">
        <v>38804</v>
      </c>
      <c r="D118" s="2" t="s">
        <v>1058</v>
      </c>
      <c r="F118" s="2" t="s">
        <v>1059</v>
      </c>
      <c r="G118" s="2" t="s">
        <v>1060</v>
      </c>
      <c r="H118" s="2" t="s">
        <v>305</v>
      </c>
      <c r="I118" s="2" t="s">
        <v>664</v>
      </c>
      <c r="J118" s="2" t="s">
        <v>966</v>
      </c>
      <c r="K118" s="2" t="s">
        <v>1058</v>
      </c>
      <c r="L118" s="2" t="s">
        <v>664</v>
      </c>
      <c r="M118" s="2" t="s">
        <v>305</v>
      </c>
      <c r="N118" s="2" t="s">
        <v>1061</v>
      </c>
      <c r="O118" s="2"/>
      <c r="P118" s="2" t="s">
        <v>37</v>
      </c>
      <c r="Q118" s="4" t="n">
        <v>8731</v>
      </c>
      <c r="R118" s="2" t="s">
        <v>136</v>
      </c>
      <c r="S118" s="2" t="s">
        <v>39</v>
      </c>
      <c r="T118" s="2" t="s">
        <v>40</v>
      </c>
      <c r="U118" s="2" t="s">
        <v>1062</v>
      </c>
      <c r="V118" s="2"/>
      <c r="W118" s="2" t="s">
        <v>138</v>
      </c>
      <c r="X118" s="2" t="s">
        <v>43</v>
      </c>
      <c r="Y118" s="2" t="s">
        <v>37</v>
      </c>
      <c r="Z118" s="2" t="s">
        <v>44</v>
      </c>
      <c r="AA118" s="2"/>
      <c r="AB118" s="2"/>
      <c r="AC118" s="2" t="s">
        <v>1063</v>
      </c>
      <c r="AD118" s="2" t="s">
        <v>46</v>
      </c>
    </row>
    <row r="119" customFormat="false" ht="15.7" hidden="false" customHeight="true" outlineLevel="0" collapsed="false">
      <c r="A119" s="2"/>
      <c r="B119" s="3" t="n">
        <f aca="false">DATE(2006,3,28)</f>
        <v>0</v>
      </c>
      <c r="C119" s="3" t="n">
        <v>38804</v>
      </c>
      <c r="D119" s="2" t="s">
        <v>1064</v>
      </c>
      <c r="F119" s="2" t="s">
        <v>1065</v>
      </c>
      <c r="G119" s="2" t="s">
        <v>1066</v>
      </c>
      <c r="H119" s="2" t="s">
        <v>1067</v>
      </c>
      <c r="I119" s="2" t="s">
        <v>219</v>
      </c>
      <c r="J119" s="2" t="s">
        <v>625</v>
      </c>
      <c r="K119" s="2" t="s">
        <v>1064</v>
      </c>
      <c r="L119" s="2" t="s">
        <v>219</v>
      </c>
      <c r="M119" s="2" t="s">
        <v>1067</v>
      </c>
      <c r="N119" s="2" t="s">
        <v>1068</v>
      </c>
      <c r="O119" s="2"/>
      <c r="P119" s="2" t="s">
        <v>37</v>
      </c>
      <c r="Q119" s="4" t="n">
        <v>8731</v>
      </c>
      <c r="R119" s="2" t="s">
        <v>136</v>
      </c>
      <c r="S119" s="2" t="s">
        <v>39</v>
      </c>
      <c r="T119" s="2" t="s">
        <v>40</v>
      </c>
      <c r="U119" s="2" t="s">
        <v>1069</v>
      </c>
      <c r="V119" s="2"/>
      <c r="W119" s="2" t="s">
        <v>42</v>
      </c>
      <c r="X119" s="2" t="s">
        <v>43</v>
      </c>
      <c r="Y119" s="2" t="s">
        <v>37</v>
      </c>
      <c r="Z119" s="2" t="s">
        <v>44</v>
      </c>
      <c r="AA119" s="2"/>
      <c r="AB119" s="2"/>
      <c r="AC119" s="2" t="s">
        <v>1070</v>
      </c>
      <c r="AD119" s="2" t="s">
        <v>46</v>
      </c>
    </row>
    <row r="120" customFormat="false" ht="15.7" hidden="false" customHeight="true" outlineLevel="0" collapsed="false">
      <c r="A120" s="2"/>
      <c r="B120" s="3" t="n">
        <f aca="false">DATE(2006,3,28)</f>
        <v>0</v>
      </c>
      <c r="C120" s="3" t="n">
        <v>38804</v>
      </c>
      <c r="D120" s="2" t="s">
        <v>1071</v>
      </c>
      <c r="F120" s="2" t="s">
        <v>1072</v>
      </c>
      <c r="G120" s="2" t="s">
        <v>1073</v>
      </c>
      <c r="H120" s="2" t="s">
        <v>1074</v>
      </c>
      <c r="I120" s="2" t="s">
        <v>34</v>
      </c>
      <c r="J120" s="2" t="s">
        <v>35</v>
      </c>
      <c r="K120" s="2" t="s">
        <v>1071</v>
      </c>
      <c r="L120" s="2" t="s">
        <v>34</v>
      </c>
      <c r="M120" s="2" t="s">
        <v>1074</v>
      </c>
      <c r="N120" s="2" t="s">
        <v>1075</v>
      </c>
      <c r="O120" s="2"/>
      <c r="P120" s="2" t="s">
        <v>37</v>
      </c>
      <c r="Q120" s="4" t="n">
        <v>8731</v>
      </c>
      <c r="R120" s="2" t="s">
        <v>38</v>
      </c>
      <c r="S120" s="2" t="s">
        <v>39</v>
      </c>
      <c r="T120" s="2" t="s">
        <v>40</v>
      </c>
      <c r="U120" s="2" t="s">
        <v>1076</v>
      </c>
      <c r="V120" s="2"/>
      <c r="W120" s="2" t="s">
        <v>42</v>
      </c>
      <c r="X120" s="2" t="s">
        <v>43</v>
      </c>
      <c r="Y120" s="2" t="s">
        <v>37</v>
      </c>
      <c r="Z120" s="2" t="s">
        <v>44</v>
      </c>
      <c r="AA120" s="2"/>
      <c r="AB120" s="2"/>
      <c r="AC120" s="2" t="s">
        <v>1077</v>
      </c>
      <c r="AD120" s="2" t="s">
        <v>46</v>
      </c>
    </row>
    <row r="121" customFormat="false" ht="15.7" hidden="false" customHeight="true" outlineLevel="0" collapsed="false">
      <c r="A121" s="2"/>
      <c r="B121" s="3" t="n">
        <f aca="false">DATE(2006,3,29)</f>
        <v>0</v>
      </c>
      <c r="C121" s="3" t="n">
        <v>38805</v>
      </c>
      <c r="D121" s="2" t="s">
        <v>1078</v>
      </c>
      <c r="F121" s="2" t="s">
        <v>408</v>
      </c>
      <c r="G121" s="2" t="s">
        <v>1079</v>
      </c>
      <c r="H121" s="2" t="s">
        <v>170</v>
      </c>
      <c r="I121" s="2" t="s">
        <v>1080</v>
      </c>
      <c r="J121" s="2" t="s">
        <v>35</v>
      </c>
      <c r="K121" s="2" t="s">
        <v>1078</v>
      </c>
      <c r="L121" s="2" t="s">
        <v>1080</v>
      </c>
      <c r="M121" s="2" t="s">
        <v>170</v>
      </c>
      <c r="N121" s="2" t="s">
        <v>1081</v>
      </c>
      <c r="O121" s="2"/>
      <c r="P121" s="2" t="s">
        <v>37</v>
      </c>
      <c r="Q121" s="4" t="n">
        <v>8731</v>
      </c>
      <c r="R121" s="2" t="s">
        <v>136</v>
      </c>
      <c r="S121" s="2" t="s">
        <v>39</v>
      </c>
      <c r="T121" s="2" t="s">
        <v>40</v>
      </c>
      <c r="U121" s="2" t="s">
        <v>1082</v>
      </c>
      <c r="V121" s="2"/>
      <c r="W121" s="2" t="s">
        <v>138</v>
      </c>
      <c r="X121" s="2" t="s">
        <v>43</v>
      </c>
      <c r="Y121" s="2" t="s">
        <v>37</v>
      </c>
      <c r="Z121" s="2" t="s">
        <v>44</v>
      </c>
      <c r="AA121" s="2" t="s">
        <v>1083</v>
      </c>
      <c r="AB121" s="2"/>
      <c r="AC121" s="2" t="s">
        <v>1084</v>
      </c>
      <c r="AD121" s="2" t="s">
        <v>46</v>
      </c>
    </row>
    <row r="122" customFormat="false" ht="15.7" hidden="false" customHeight="true" outlineLevel="0" collapsed="false">
      <c r="A122" s="2"/>
      <c r="B122" s="3" t="n">
        <f aca="false">DATE(2006,3,30)</f>
        <v>0</v>
      </c>
      <c r="C122" s="3" t="n">
        <v>38806</v>
      </c>
      <c r="D122" s="2" t="s">
        <v>1085</v>
      </c>
      <c r="F122" s="2" t="s">
        <v>1086</v>
      </c>
      <c r="G122" s="2" t="s">
        <v>1087</v>
      </c>
      <c r="H122" s="2" t="s">
        <v>1088</v>
      </c>
      <c r="I122" s="2" t="s">
        <v>388</v>
      </c>
      <c r="J122" s="2" t="s">
        <v>65</v>
      </c>
      <c r="K122" s="2" t="s">
        <v>1085</v>
      </c>
      <c r="L122" s="2" t="s">
        <v>388</v>
      </c>
      <c r="M122" s="2" t="s">
        <v>1088</v>
      </c>
      <c r="N122" s="2" t="s">
        <v>1089</v>
      </c>
      <c r="O122" s="2"/>
      <c r="P122" s="2" t="s">
        <v>37</v>
      </c>
      <c r="Q122" s="4" t="n">
        <v>8731</v>
      </c>
      <c r="R122" s="2" t="s">
        <v>136</v>
      </c>
      <c r="S122" s="2" t="s">
        <v>39</v>
      </c>
      <c r="T122" s="2" t="s">
        <v>40</v>
      </c>
      <c r="U122" s="2" t="s">
        <v>1090</v>
      </c>
      <c r="V122" s="2"/>
      <c r="W122" s="2" t="s">
        <v>42</v>
      </c>
      <c r="X122" s="2" t="s">
        <v>43</v>
      </c>
      <c r="Y122" s="2" t="s">
        <v>37</v>
      </c>
      <c r="Z122" s="2" t="s">
        <v>44</v>
      </c>
      <c r="AA122" s="2"/>
      <c r="AB122" s="2"/>
      <c r="AC122" s="2" t="s">
        <v>1091</v>
      </c>
      <c r="AD122" s="2" t="s">
        <v>46</v>
      </c>
    </row>
    <row r="123" customFormat="false" ht="15.7" hidden="false" customHeight="true" outlineLevel="0" collapsed="false">
      <c r="A123" s="2"/>
      <c r="B123" s="3" t="n">
        <f aca="false">DATE(2006,3,30)</f>
        <v>0</v>
      </c>
      <c r="C123" s="3" t="n">
        <v>38806</v>
      </c>
      <c r="D123" s="2" t="s">
        <v>1092</v>
      </c>
      <c r="F123" s="2" t="s">
        <v>347</v>
      </c>
      <c r="G123" s="2" t="s">
        <v>1093</v>
      </c>
      <c r="H123" s="2" t="s">
        <v>63</v>
      </c>
      <c r="I123" s="2" t="s">
        <v>388</v>
      </c>
      <c r="J123" s="2" t="s">
        <v>514</v>
      </c>
      <c r="K123" s="2" t="s">
        <v>1092</v>
      </c>
      <c r="L123" s="2" t="s">
        <v>388</v>
      </c>
      <c r="M123" s="2" t="s">
        <v>63</v>
      </c>
      <c r="N123" s="2" t="s">
        <v>1094</v>
      </c>
      <c r="O123" s="2"/>
      <c r="P123" s="2" t="s">
        <v>37</v>
      </c>
      <c r="Q123" s="4" t="n">
        <v>8731</v>
      </c>
      <c r="R123" s="2" t="s">
        <v>136</v>
      </c>
      <c r="S123" s="2" t="s">
        <v>39</v>
      </c>
      <c r="T123" s="2" t="s">
        <v>40</v>
      </c>
      <c r="U123" s="2" t="s">
        <v>1095</v>
      </c>
      <c r="V123" s="2"/>
      <c r="W123" s="2" t="s">
        <v>42</v>
      </c>
      <c r="X123" s="2" t="s">
        <v>43</v>
      </c>
      <c r="Y123" s="2" t="s">
        <v>37</v>
      </c>
      <c r="Z123" s="2" t="s">
        <v>44</v>
      </c>
      <c r="AA123" s="2" t="s">
        <v>1096</v>
      </c>
      <c r="AB123" s="2"/>
      <c r="AC123" s="2" t="s">
        <v>1097</v>
      </c>
      <c r="AD123" s="2" t="s">
        <v>46</v>
      </c>
    </row>
    <row r="124" customFormat="false" ht="15.7" hidden="false" customHeight="true" outlineLevel="0" collapsed="false">
      <c r="A124" s="2"/>
      <c r="B124" s="3" t="n">
        <f aca="false">DATE(2006,3,30)</f>
        <v>0</v>
      </c>
      <c r="C124" s="3" t="n">
        <v>38806</v>
      </c>
      <c r="D124" s="2" t="s">
        <v>1098</v>
      </c>
      <c r="F124" s="2" t="s">
        <v>1099</v>
      </c>
      <c r="G124" s="2" t="s">
        <v>1100</v>
      </c>
      <c r="H124" s="2" t="s">
        <v>1101</v>
      </c>
      <c r="I124" s="2" t="s">
        <v>219</v>
      </c>
      <c r="J124" s="2" t="s">
        <v>65</v>
      </c>
      <c r="K124" s="2" t="s">
        <v>1098</v>
      </c>
      <c r="L124" s="2" t="s">
        <v>219</v>
      </c>
      <c r="M124" s="2" t="s">
        <v>1101</v>
      </c>
      <c r="N124" s="2" t="s">
        <v>1102</v>
      </c>
      <c r="O124" s="2"/>
      <c r="P124" s="2" t="s">
        <v>37</v>
      </c>
      <c r="Q124" s="4" t="n">
        <v>8731</v>
      </c>
      <c r="R124" s="2" t="s">
        <v>136</v>
      </c>
      <c r="S124" s="2" t="s">
        <v>39</v>
      </c>
      <c r="T124" s="2" t="s">
        <v>40</v>
      </c>
      <c r="U124" s="2" t="s">
        <v>1103</v>
      </c>
      <c r="V124" s="2"/>
      <c r="W124" s="2" t="s">
        <v>138</v>
      </c>
      <c r="X124" s="2" t="s">
        <v>43</v>
      </c>
      <c r="Y124" s="2" t="s">
        <v>37</v>
      </c>
      <c r="Z124" s="2" t="s">
        <v>44</v>
      </c>
      <c r="AA124" s="2"/>
      <c r="AB124" s="2"/>
      <c r="AC124" s="2" t="s">
        <v>1104</v>
      </c>
      <c r="AD124" s="2" t="s">
        <v>46</v>
      </c>
    </row>
    <row r="125" customFormat="false" ht="15.7" hidden="false" customHeight="true" outlineLevel="0" collapsed="false">
      <c r="A125" s="2"/>
      <c r="B125" s="3" t="n">
        <f aca="false">DATE(2006,3,30)</f>
        <v>0</v>
      </c>
      <c r="C125" s="3" t="n">
        <v>38806</v>
      </c>
      <c r="D125" s="2" t="s">
        <v>1105</v>
      </c>
      <c r="F125" s="2" t="s">
        <v>1106</v>
      </c>
      <c r="G125" s="2" t="s">
        <v>1107</v>
      </c>
      <c r="H125" s="2" t="s">
        <v>762</v>
      </c>
      <c r="I125" s="2" t="s">
        <v>1108</v>
      </c>
      <c r="J125" s="2" t="s">
        <v>35</v>
      </c>
      <c r="K125" s="2" t="s">
        <v>1109</v>
      </c>
      <c r="L125" s="2" t="s">
        <v>1110</v>
      </c>
      <c r="M125" s="2" t="s">
        <v>1111</v>
      </c>
      <c r="N125" s="2" t="s">
        <v>1112</v>
      </c>
      <c r="O125" s="2"/>
      <c r="P125" s="2" t="s">
        <v>37</v>
      </c>
      <c r="Q125" s="4" t="n">
        <v>8731</v>
      </c>
      <c r="R125" s="2" t="s">
        <v>136</v>
      </c>
      <c r="S125" s="2" t="s">
        <v>39</v>
      </c>
      <c r="T125" s="2" t="s">
        <v>40</v>
      </c>
      <c r="U125" s="2" t="s">
        <v>1113</v>
      </c>
      <c r="V125" s="2"/>
      <c r="W125" s="2" t="s">
        <v>42</v>
      </c>
      <c r="X125" s="2" t="s">
        <v>43</v>
      </c>
      <c r="Y125" s="2" t="s">
        <v>37</v>
      </c>
      <c r="Z125" s="2" t="s">
        <v>44</v>
      </c>
      <c r="AA125" s="2"/>
      <c r="AB125" s="2"/>
      <c r="AC125" s="2" t="s">
        <v>1114</v>
      </c>
      <c r="AD125" s="2" t="s">
        <v>46</v>
      </c>
    </row>
    <row r="126" customFormat="false" ht="15.7" hidden="false" customHeight="true" outlineLevel="0" collapsed="false">
      <c r="A126" s="2"/>
      <c r="B126" s="3" t="n">
        <f aca="false">DATE(2006,3,30)</f>
        <v>0</v>
      </c>
      <c r="C126" s="3" t="n">
        <v>38806</v>
      </c>
      <c r="D126" s="2" t="s">
        <v>1115</v>
      </c>
      <c r="F126" s="2" t="s">
        <v>291</v>
      </c>
      <c r="G126" s="2" t="s">
        <v>1116</v>
      </c>
      <c r="H126" s="2" t="s">
        <v>130</v>
      </c>
      <c r="I126" s="2" t="s">
        <v>88</v>
      </c>
      <c r="J126" s="2" t="s">
        <v>155</v>
      </c>
      <c r="K126" s="2" t="s">
        <v>1117</v>
      </c>
      <c r="L126" s="2" t="s">
        <v>1118</v>
      </c>
      <c r="M126" s="2" t="s">
        <v>230</v>
      </c>
      <c r="N126" s="2" t="s">
        <v>1119</v>
      </c>
      <c r="O126" s="2"/>
      <c r="P126" s="2" t="s">
        <v>37</v>
      </c>
      <c r="Q126" s="4" t="n">
        <v>8731</v>
      </c>
      <c r="R126" s="2" t="s">
        <v>136</v>
      </c>
      <c r="S126" s="2" t="s">
        <v>39</v>
      </c>
      <c r="T126" s="2" t="s">
        <v>40</v>
      </c>
      <c r="U126" s="2" t="s">
        <v>1120</v>
      </c>
      <c r="V126" s="2"/>
      <c r="W126" s="2" t="s">
        <v>42</v>
      </c>
      <c r="X126" s="2" t="s">
        <v>43</v>
      </c>
      <c r="Y126" s="2" t="s">
        <v>37</v>
      </c>
      <c r="Z126" s="2" t="s">
        <v>44</v>
      </c>
      <c r="AA126" s="2"/>
      <c r="AB126" s="2"/>
      <c r="AC126" s="2" t="s">
        <v>1121</v>
      </c>
      <c r="AD126" s="2" t="s">
        <v>46</v>
      </c>
    </row>
    <row r="127" customFormat="false" ht="15.7" hidden="false" customHeight="true" outlineLevel="0" collapsed="false">
      <c r="A127" s="2"/>
      <c r="B127" s="3" t="n">
        <f aca="false">DATE(2006,3,31)</f>
        <v>0</v>
      </c>
      <c r="C127" s="3" t="n">
        <v>38807</v>
      </c>
      <c r="D127" s="2" t="s">
        <v>1122</v>
      </c>
      <c r="F127" s="2" t="s">
        <v>1123</v>
      </c>
      <c r="G127" s="2" t="s">
        <v>1124</v>
      </c>
      <c r="H127" s="2" t="s">
        <v>1125</v>
      </c>
      <c r="I127" s="2" t="s">
        <v>51</v>
      </c>
      <c r="J127" s="2" t="s">
        <v>171</v>
      </c>
      <c r="K127" s="2" t="s">
        <v>1122</v>
      </c>
      <c r="L127" s="2" t="s">
        <v>51</v>
      </c>
      <c r="M127" s="2" t="s">
        <v>1125</v>
      </c>
      <c r="N127" s="2" t="s">
        <v>1126</v>
      </c>
      <c r="O127" s="2"/>
      <c r="P127" s="2" t="s">
        <v>37</v>
      </c>
      <c r="Q127" s="4" t="n">
        <v>8732</v>
      </c>
      <c r="R127" s="2" t="s">
        <v>56</v>
      </c>
      <c r="S127" s="2" t="s">
        <v>92</v>
      </c>
      <c r="T127" s="2" t="s">
        <v>40</v>
      </c>
      <c r="U127" s="2" t="s">
        <v>1127</v>
      </c>
      <c r="V127" s="2"/>
      <c r="W127" s="2" t="s">
        <v>42</v>
      </c>
      <c r="X127" s="2" t="s">
        <v>43</v>
      </c>
      <c r="Y127" s="2" t="s">
        <v>37</v>
      </c>
      <c r="Z127" s="2" t="s">
        <v>44</v>
      </c>
      <c r="AA127" s="2"/>
      <c r="AB127" s="2"/>
      <c r="AC127" s="2" t="s">
        <v>1128</v>
      </c>
      <c r="AD127" s="2" t="s">
        <v>46</v>
      </c>
    </row>
    <row r="128" customFormat="false" ht="15.7" hidden="false" customHeight="true" outlineLevel="0" collapsed="false">
      <c r="A128" s="2"/>
      <c r="B128" s="3" t="n">
        <f aca="false">DATE(2006,4,3)</f>
        <v>0</v>
      </c>
      <c r="C128" s="3" t="n">
        <v>38810</v>
      </c>
      <c r="D128" s="2" t="s">
        <v>1129</v>
      </c>
      <c r="F128" s="2" t="s">
        <v>1130</v>
      </c>
      <c r="G128" s="2" t="s">
        <v>1131</v>
      </c>
      <c r="H128" s="2" t="s">
        <v>1132</v>
      </c>
      <c r="I128" s="2" t="s">
        <v>1133</v>
      </c>
      <c r="J128" s="2" t="s">
        <v>35</v>
      </c>
      <c r="K128" s="2" t="s">
        <v>1129</v>
      </c>
      <c r="L128" s="2" t="s">
        <v>1133</v>
      </c>
      <c r="M128" s="2" t="s">
        <v>1132</v>
      </c>
      <c r="N128" s="2" t="s">
        <v>1134</v>
      </c>
      <c r="O128" s="2"/>
      <c r="P128" s="2" t="s">
        <v>79</v>
      </c>
      <c r="Q128" s="4" t="n">
        <v>6794</v>
      </c>
      <c r="R128" s="2" t="s">
        <v>136</v>
      </c>
      <c r="S128" s="2" t="s">
        <v>39</v>
      </c>
      <c r="T128" s="2" t="s">
        <v>40</v>
      </c>
      <c r="U128" s="2" t="s">
        <v>1135</v>
      </c>
      <c r="V128" s="2"/>
      <c r="W128" s="2" t="s">
        <v>82</v>
      </c>
      <c r="X128" s="2" t="s">
        <v>43</v>
      </c>
      <c r="Y128" s="2" t="s">
        <v>37</v>
      </c>
      <c r="Z128" s="2" t="s">
        <v>44</v>
      </c>
      <c r="AA128" s="2"/>
      <c r="AB128" s="2"/>
      <c r="AC128" s="2" t="s">
        <v>1136</v>
      </c>
      <c r="AD128" s="2" t="s">
        <v>46</v>
      </c>
    </row>
    <row r="129" customFormat="false" ht="15.7" hidden="false" customHeight="true" outlineLevel="0" collapsed="false">
      <c r="A129" s="2"/>
      <c r="B129" s="3" t="n">
        <f aca="false">DATE(2006,4,3)</f>
        <v>0</v>
      </c>
      <c r="C129" s="3" t="n">
        <v>38810</v>
      </c>
      <c r="D129" s="2" t="s">
        <v>1137</v>
      </c>
      <c r="F129" s="2" t="s">
        <v>1138</v>
      </c>
      <c r="G129" s="2" t="s">
        <v>1139</v>
      </c>
      <c r="H129" s="2" t="s">
        <v>130</v>
      </c>
      <c r="I129" s="2" t="s">
        <v>330</v>
      </c>
      <c r="J129" s="2" t="s">
        <v>488</v>
      </c>
      <c r="K129" s="2" t="s">
        <v>1137</v>
      </c>
      <c r="L129" s="2" t="s">
        <v>330</v>
      </c>
      <c r="M129" s="2" t="s">
        <v>130</v>
      </c>
      <c r="N129" s="2" t="s">
        <v>1140</v>
      </c>
      <c r="O129" s="2"/>
      <c r="P129" s="2" t="s">
        <v>37</v>
      </c>
      <c r="Q129" s="4" t="n">
        <v>8731</v>
      </c>
      <c r="R129" s="2" t="s">
        <v>136</v>
      </c>
      <c r="S129" s="2" t="s">
        <v>39</v>
      </c>
      <c r="T129" s="2" t="s">
        <v>40</v>
      </c>
      <c r="U129" s="2" t="s">
        <v>1141</v>
      </c>
      <c r="V129" s="2"/>
      <c r="W129" s="2" t="s">
        <v>138</v>
      </c>
      <c r="X129" s="2" t="s">
        <v>43</v>
      </c>
      <c r="Y129" s="2" t="s">
        <v>37</v>
      </c>
      <c r="Z129" s="2" t="s">
        <v>44</v>
      </c>
      <c r="AA129" s="2" t="s">
        <v>1142</v>
      </c>
      <c r="AB129" s="2"/>
      <c r="AC129" s="2" t="s">
        <v>1143</v>
      </c>
      <c r="AD129" s="2" t="s">
        <v>46</v>
      </c>
    </row>
    <row r="130" customFormat="false" ht="15.7" hidden="false" customHeight="true" outlineLevel="0" collapsed="false">
      <c r="A130" s="2"/>
      <c r="B130" s="3" t="n">
        <f aca="false">DATE(2006,4,3)</f>
        <v>0</v>
      </c>
      <c r="C130" s="3" t="n">
        <v>38810</v>
      </c>
      <c r="D130" s="2" t="s">
        <v>1144</v>
      </c>
      <c r="F130" s="2" t="s">
        <v>200</v>
      </c>
      <c r="G130" s="2" t="s">
        <v>1145</v>
      </c>
      <c r="H130" s="2" t="s">
        <v>170</v>
      </c>
      <c r="I130" s="2" t="s">
        <v>410</v>
      </c>
      <c r="J130" s="2" t="s">
        <v>132</v>
      </c>
      <c r="K130" s="2" t="s">
        <v>1146</v>
      </c>
      <c r="L130" s="2" t="s">
        <v>1147</v>
      </c>
      <c r="M130" s="2" t="s">
        <v>1148</v>
      </c>
      <c r="N130" s="2" t="s">
        <v>1149</v>
      </c>
      <c r="O130" s="2"/>
      <c r="P130" s="2" t="s">
        <v>37</v>
      </c>
      <c r="Q130" s="4" t="n">
        <v>8731</v>
      </c>
      <c r="R130" s="2" t="s">
        <v>136</v>
      </c>
      <c r="S130" s="2" t="s">
        <v>39</v>
      </c>
      <c r="T130" s="2" t="s">
        <v>40</v>
      </c>
      <c r="U130" s="2" t="s">
        <v>1150</v>
      </c>
      <c r="V130" s="2"/>
      <c r="W130" s="2" t="s">
        <v>42</v>
      </c>
      <c r="X130" s="2" t="s">
        <v>43</v>
      </c>
      <c r="Y130" s="2" t="s">
        <v>37</v>
      </c>
      <c r="Z130" s="2" t="s">
        <v>44</v>
      </c>
      <c r="AA130" s="2"/>
      <c r="AB130" s="2"/>
      <c r="AC130" s="2" t="s">
        <v>1151</v>
      </c>
      <c r="AD130" s="2" t="s">
        <v>46</v>
      </c>
    </row>
    <row r="131" customFormat="false" ht="15.7" hidden="false" customHeight="true" outlineLevel="0" collapsed="false">
      <c r="A131" s="2"/>
      <c r="B131" s="3" t="n">
        <f aca="false">DATE(2006,4,4)</f>
        <v>0</v>
      </c>
      <c r="C131" s="3" t="n">
        <v>38811</v>
      </c>
      <c r="D131" s="2" t="s">
        <v>1152</v>
      </c>
      <c r="F131" s="2" t="s">
        <v>1153</v>
      </c>
      <c r="G131" s="2" t="s">
        <v>1154</v>
      </c>
      <c r="H131" s="2" t="s">
        <v>1101</v>
      </c>
      <c r="I131" s="2" t="s">
        <v>51</v>
      </c>
      <c r="J131" s="2" t="s">
        <v>1155</v>
      </c>
      <c r="K131" s="2" t="s">
        <v>1156</v>
      </c>
      <c r="L131" s="2" t="s">
        <v>296</v>
      </c>
      <c r="M131" s="2" t="s">
        <v>1101</v>
      </c>
      <c r="N131" s="2" t="s">
        <v>1157</v>
      </c>
      <c r="O131" s="2"/>
      <c r="P131" s="2" t="s">
        <v>79</v>
      </c>
      <c r="Q131" s="4" t="n">
        <v>6794</v>
      </c>
      <c r="R131" s="2" t="s">
        <v>56</v>
      </c>
      <c r="S131" s="2" t="s">
        <v>92</v>
      </c>
      <c r="T131" s="2" t="s">
        <v>40</v>
      </c>
      <c r="U131" s="2" t="s">
        <v>1158</v>
      </c>
      <c r="V131" s="2"/>
      <c r="W131" s="2" t="s">
        <v>82</v>
      </c>
      <c r="X131" s="2" t="s">
        <v>43</v>
      </c>
      <c r="Y131" s="2" t="s">
        <v>37</v>
      </c>
      <c r="Z131" s="2" t="s">
        <v>44</v>
      </c>
      <c r="AA131" s="2"/>
      <c r="AB131" s="2"/>
      <c r="AC131" s="2" t="s">
        <v>1159</v>
      </c>
      <c r="AD131" s="2" t="s">
        <v>46</v>
      </c>
    </row>
    <row r="132" customFormat="false" ht="15.7" hidden="false" customHeight="true" outlineLevel="0" collapsed="false">
      <c r="A132" s="2"/>
      <c r="B132" s="3" t="n">
        <f aca="false">DATE(2006,4,5)</f>
        <v>0</v>
      </c>
      <c r="C132" s="3" t="n">
        <v>38812</v>
      </c>
      <c r="D132" s="2" t="s">
        <v>1160</v>
      </c>
      <c r="F132" s="2" t="s">
        <v>1161</v>
      </c>
      <c r="G132" s="2" t="s">
        <v>1162</v>
      </c>
      <c r="H132" s="2" t="s">
        <v>1163</v>
      </c>
      <c r="I132" s="2" t="s">
        <v>1164</v>
      </c>
      <c r="J132" s="2" t="s">
        <v>35</v>
      </c>
      <c r="K132" s="2" t="s">
        <v>1165</v>
      </c>
      <c r="L132" s="2" t="s">
        <v>1164</v>
      </c>
      <c r="M132" s="2" t="s">
        <v>1166</v>
      </c>
      <c r="N132" s="2" t="s">
        <v>1167</v>
      </c>
      <c r="O132" s="2"/>
      <c r="P132" s="2" t="s">
        <v>37</v>
      </c>
      <c r="Q132" s="4" t="n">
        <v>8731</v>
      </c>
      <c r="R132" s="2" t="s">
        <v>136</v>
      </c>
      <c r="S132" s="2" t="s">
        <v>39</v>
      </c>
      <c r="T132" s="2" t="s">
        <v>40</v>
      </c>
      <c r="U132" s="2" t="s">
        <v>1168</v>
      </c>
      <c r="V132" s="2"/>
      <c r="W132" s="2" t="s">
        <v>42</v>
      </c>
      <c r="X132" s="2" t="s">
        <v>43</v>
      </c>
      <c r="Y132" s="2" t="s">
        <v>37</v>
      </c>
      <c r="Z132" s="2" t="s">
        <v>44</v>
      </c>
      <c r="AA132" s="2" t="s">
        <v>1169</v>
      </c>
      <c r="AB132" s="2"/>
      <c r="AC132" s="2" t="s">
        <v>1170</v>
      </c>
      <c r="AD132" s="2" t="s">
        <v>46</v>
      </c>
    </row>
    <row r="133" customFormat="false" ht="15.7" hidden="false" customHeight="true" outlineLevel="0" collapsed="false">
      <c r="A133" s="2"/>
      <c r="B133" s="3" t="n">
        <f aca="false">DATE(2006,4,5)</f>
        <v>0</v>
      </c>
      <c r="C133" s="3" t="n">
        <v>38812</v>
      </c>
      <c r="D133" s="2" t="s">
        <v>1171</v>
      </c>
      <c r="F133" s="2" t="s">
        <v>1172</v>
      </c>
      <c r="G133" s="2" t="s">
        <v>1173</v>
      </c>
      <c r="H133" s="2" t="s">
        <v>63</v>
      </c>
      <c r="I133" s="2" t="s">
        <v>286</v>
      </c>
      <c r="J133" s="2" t="s">
        <v>35</v>
      </c>
      <c r="K133" s="2" t="s">
        <v>1171</v>
      </c>
      <c r="L133" s="2" t="s">
        <v>286</v>
      </c>
      <c r="M133" s="2" t="s">
        <v>63</v>
      </c>
      <c r="N133" s="2" t="s">
        <v>1174</v>
      </c>
      <c r="O133" s="2"/>
      <c r="P133" s="2" t="s">
        <v>79</v>
      </c>
      <c r="Q133" s="4" t="n">
        <v>6794</v>
      </c>
      <c r="R133" s="2" t="s">
        <v>136</v>
      </c>
      <c r="S133" s="2" t="s">
        <v>39</v>
      </c>
      <c r="T133" s="2" t="s">
        <v>40</v>
      </c>
      <c r="U133" s="2" t="s">
        <v>1175</v>
      </c>
      <c r="V133" s="2"/>
      <c r="W133" s="2" t="s">
        <v>82</v>
      </c>
      <c r="X133" s="2" t="s">
        <v>43</v>
      </c>
      <c r="Y133" s="2" t="s">
        <v>37</v>
      </c>
      <c r="Z133" s="2" t="s">
        <v>44</v>
      </c>
      <c r="AA133" s="2" t="s">
        <v>1176</v>
      </c>
      <c r="AB133" s="2"/>
      <c r="AC133" s="2" t="s">
        <v>1177</v>
      </c>
      <c r="AD133" s="2" t="s">
        <v>46</v>
      </c>
    </row>
    <row r="134" customFormat="false" ht="15.7" hidden="false" customHeight="true" outlineLevel="0" collapsed="false">
      <c r="A134" s="2"/>
      <c r="B134" s="3" t="n">
        <f aca="false">DATE(2006,4,5)</f>
        <v>0</v>
      </c>
      <c r="C134" s="3" t="n">
        <v>38812</v>
      </c>
      <c r="D134" s="2" t="s">
        <v>1178</v>
      </c>
      <c r="F134" s="2" t="s">
        <v>1179</v>
      </c>
      <c r="G134" s="2" t="s">
        <v>1180</v>
      </c>
      <c r="H134" s="2" t="s">
        <v>1181</v>
      </c>
      <c r="I134" s="2" t="s">
        <v>219</v>
      </c>
      <c r="J134" s="2" t="s">
        <v>1182</v>
      </c>
      <c r="K134" s="2" t="s">
        <v>1178</v>
      </c>
      <c r="L134" s="2" t="s">
        <v>219</v>
      </c>
      <c r="M134" s="2" t="s">
        <v>1181</v>
      </c>
      <c r="N134" s="2" t="s">
        <v>1183</v>
      </c>
      <c r="O134" s="2"/>
      <c r="P134" s="2" t="s">
        <v>37</v>
      </c>
      <c r="Q134" s="4" t="n">
        <v>8731</v>
      </c>
      <c r="R134" s="2" t="s">
        <v>38</v>
      </c>
      <c r="S134" s="2" t="s">
        <v>39</v>
      </c>
      <c r="T134" s="2" t="s">
        <v>403</v>
      </c>
      <c r="U134" s="2" t="s">
        <v>1184</v>
      </c>
      <c r="V134" s="2"/>
      <c r="W134" s="2" t="s">
        <v>773</v>
      </c>
      <c r="X134" s="2" t="s">
        <v>46</v>
      </c>
      <c r="Y134" s="2" t="s">
        <v>37</v>
      </c>
      <c r="Z134" s="2" t="s">
        <v>1185</v>
      </c>
      <c r="AA134" s="2"/>
      <c r="AB134" s="2"/>
      <c r="AC134" s="2" t="s">
        <v>1186</v>
      </c>
      <c r="AD134" s="2" t="s">
        <v>46</v>
      </c>
    </row>
    <row r="135" customFormat="false" ht="15.7" hidden="false" customHeight="true" outlineLevel="0" collapsed="false">
      <c r="A135" s="2"/>
      <c r="B135" s="3" t="n">
        <f aca="false">DATE(2006,4,5)</f>
        <v>0</v>
      </c>
      <c r="C135" s="3" t="n">
        <v>38812</v>
      </c>
      <c r="D135" s="2" t="s">
        <v>1187</v>
      </c>
      <c r="F135" s="2" t="s">
        <v>1188</v>
      </c>
      <c r="G135" s="2" t="s">
        <v>1189</v>
      </c>
      <c r="H135" s="2" t="s">
        <v>1190</v>
      </c>
      <c r="I135" s="2" t="s">
        <v>1191</v>
      </c>
      <c r="J135" s="2" t="s">
        <v>35</v>
      </c>
      <c r="K135" s="2" t="s">
        <v>1192</v>
      </c>
      <c r="L135" s="2" t="s">
        <v>1191</v>
      </c>
      <c r="M135" s="2" t="s">
        <v>1193</v>
      </c>
      <c r="N135" s="2" t="s">
        <v>1194</v>
      </c>
      <c r="O135" s="2"/>
      <c r="P135" s="2" t="s">
        <v>37</v>
      </c>
      <c r="Q135" s="4" t="n">
        <v>8731</v>
      </c>
      <c r="R135" s="2" t="s">
        <v>1195</v>
      </c>
      <c r="S135" s="2" t="s">
        <v>39</v>
      </c>
      <c r="T135" s="2" t="s">
        <v>40</v>
      </c>
      <c r="U135" s="2" t="s">
        <v>1196</v>
      </c>
      <c r="V135" s="2"/>
      <c r="W135" s="2" t="s">
        <v>1197</v>
      </c>
      <c r="X135" s="2" t="s">
        <v>43</v>
      </c>
      <c r="Y135" s="2" t="s">
        <v>37</v>
      </c>
      <c r="Z135" s="2" t="s">
        <v>44</v>
      </c>
      <c r="AA135" s="2"/>
      <c r="AB135" s="2"/>
      <c r="AC135" s="2" t="s">
        <v>1198</v>
      </c>
      <c r="AD135" s="2" t="s">
        <v>46</v>
      </c>
    </row>
    <row r="136" customFormat="false" ht="15.7" hidden="false" customHeight="true" outlineLevel="0" collapsed="false">
      <c r="A136" s="2"/>
      <c r="B136" s="3" t="n">
        <f aca="false">DATE(2006,4,6)</f>
        <v>0</v>
      </c>
      <c r="C136" s="3" t="n">
        <v>38813</v>
      </c>
      <c r="D136" s="2" t="s">
        <v>1199</v>
      </c>
      <c r="F136" s="2" t="s">
        <v>1200</v>
      </c>
      <c r="G136" s="2" t="s">
        <v>1201</v>
      </c>
      <c r="H136" s="2" t="s">
        <v>1202</v>
      </c>
      <c r="I136" s="2" t="s">
        <v>1203</v>
      </c>
      <c r="J136" s="2" t="s">
        <v>35</v>
      </c>
      <c r="K136" s="2" t="s">
        <v>1204</v>
      </c>
      <c r="L136" s="2" t="s">
        <v>1203</v>
      </c>
      <c r="M136" s="2" t="s">
        <v>1205</v>
      </c>
      <c r="N136" s="2" t="s">
        <v>1206</v>
      </c>
      <c r="O136" s="2" t="s">
        <v>1207</v>
      </c>
      <c r="P136" s="2" t="s">
        <v>79</v>
      </c>
      <c r="Q136" s="4" t="n">
        <v>8731</v>
      </c>
      <c r="R136" s="2" t="s">
        <v>1208</v>
      </c>
      <c r="S136" s="2" t="s">
        <v>39</v>
      </c>
      <c r="T136" s="2" t="s">
        <v>40</v>
      </c>
      <c r="U136" s="2" t="s">
        <v>1209</v>
      </c>
      <c r="V136" s="2"/>
      <c r="W136" s="2" t="s">
        <v>1210</v>
      </c>
      <c r="X136" s="2" t="s">
        <v>46</v>
      </c>
      <c r="Y136" s="2" t="s">
        <v>37</v>
      </c>
      <c r="Z136" s="2" t="s">
        <v>1211</v>
      </c>
      <c r="AA136" s="2" t="s">
        <v>1212</v>
      </c>
      <c r="AB136" s="2" t="s">
        <v>1213</v>
      </c>
      <c r="AC136" s="2" t="s">
        <v>1214</v>
      </c>
      <c r="AD136" s="2" t="s">
        <v>46</v>
      </c>
    </row>
    <row r="137" customFormat="false" ht="15.7" hidden="false" customHeight="true" outlineLevel="0" collapsed="false">
      <c r="A137" s="2"/>
      <c r="B137" s="3" t="n">
        <f aca="false">DATE(2006,4,6)</f>
        <v>0</v>
      </c>
      <c r="C137" s="3" t="n">
        <v>38813</v>
      </c>
      <c r="D137" s="2" t="s">
        <v>1215</v>
      </c>
      <c r="F137" s="2" t="s">
        <v>1216</v>
      </c>
      <c r="G137" s="2" t="s">
        <v>1217</v>
      </c>
      <c r="H137" s="2" t="s">
        <v>611</v>
      </c>
      <c r="I137" s="2" t="s">
        <v>1218</v>
      </c>
      <c r="J137" s="2" t="s">
        <v>35</v>
      </c>
      <c r="K137" s="2" t="s">
        <v>1215</v>
      </c>
      <c r="L137" s="2" t="s">
        <v>1218</v>
      </c>
      <c r="M137" s="2" t="s">
        <v>611</v>
      </c>
      <c r="N137" s="2" t="s">
        <v>1219</v>
      </c>
      <c r="O137" s="2"/>
      <c r="P137" s="2" t="s">
        <v>37</v>
      </c>
      <c r="Q137" s="4" t="n">
        <v>8731</v>
      </c>
      <c r="R137" s="2" t="s">
        <v>136</v>
      </c>
      <c r="S137" s="2" t="s">
        <v>39</v>
      </c>
      <c r="T137" s="2" t="s">
        <v>40</v>
      </c>
      <c r="U137" s="2" t="s">
        <v>1220</v>
      </c>
      <c r="V137" s="2"/>
      <c r="W137" s="2" t="s">
        <v>42</v>
      </c>
      <c r="X137" s="2" t="s">
        <v>43</v>
      </c>
      <c r="Y137" s="2" t="s">
        <v>37</v>
      </c>
      <c r="Z137" s="2" t="s">
        <v>44</v>
      </c>
      <c r="AA137" s="2"/>
      <c r="AB137" s="2"/>
      <c r="AC137" s="2" t="s">
        <v>1221</v>
      </c>
      <c r="AD137" s="2" t="s">
        <v>46</v>
      </c>
    </row>
    <row r="138" customFormat="false" ht="15.7" hidden="false" customHeight="true" outlineLevel="0" collapsed="false">
      <c r="A138" s="2"/>
      <c r="B138" s="3" t="n">
        <f aca="false">DATE(2006,4,6)</f>
        <v>0</v>
      </c>
      <c r="C138" s="3" t="n">
        <v>38813</v>
      </c>
      <c r="D138" s="2" t="s">
        <v>1215</v>
      </c>
      <c r="F138" s="2" t="s">
        <v>1216</v>
      </c>
      <c r="G138" s="2" t="s">
        <v>1217</v>
      </c>
      <c r="H138" s="2" t="s">
        <v>611</v>
      </c>
      <c r="I138" s="2" t="s">
        <v>1218</v>
      </c>
      <c r="J138" s="2" t="s">
        <v>35</v>
      </c>
      <c r="K138" s="2" t="s">
        <v>1215</v>
      </c>
      <c r="L138" s="2" t="s">
        <v>1218</v>
      </c>
      <c r="M138" s="2" t="s">
        <v>611</v>
      </c>
      <c r="N138" s="2" t="s">
        <v>1219</v>
      </c>
      <c r="O138" s="2"/>
      <c r="P138" s="2" t="s">
        <v>37</v>
      </c>
      <c r="Q138" s="4" t="n">
        <v>8731</v>
      </c>
      <c r="R138" s="2" t="s">
        <v>136</v>
      </c>
      <c r="S138" s="2" t="s">
        <v>39</v>
      </c>
      <c r="T138" s="2" t="s">
        <v>40</v>
      </c>
      <c r="U138" s="2" t="s">
        <v>1220</v>
      </c>
      <c r="V138" s="2"/>
      <c r="W138" s="2" t="s">
        <v>42</v>
      </c>
      <c r="X138" s="2" t="s">
        <v>43</v>
      </c>
      <c r="Y138" s="2" t="s">
        <v>37</v>
      </c>
      <c r="Z138" s="2" t="s">
        <v>44</v>
      </c>
      <c r="AA138" s="2"/>
      <c r="AB138" s="2"/>
      <c r="AC138" s="2" t="s">
        <v>1221</v>
      </c>
      <c r="AD138" s="2" t="s">
        <v>46</v>
      </c>
    </row>
    <row r="139" customFormat="false" ht="15.7" hidden="false" customHeight="true" outlineLevel="0" collapsed="false">
      <c r="A139" s="2"/>
      <c r="B139" s="3" t="n">
        <f aca="false">DATE(2006,4,6)</f>
        <v>0</v>
      </c>
      <c r="C139" s="3" t="n">
        <v>38813</v>
      </c>
      <c r="D139" s="2" t="s">
        <v>1222</v>
      </c>
      <c r="F139" s="2" t="s">
        <v>256</v>
      </c>
      <c r="G139" s="2" t="s">
        <v>1223</v>
      </c>
      <c r="H139" s="2" t="s">
        <v>170</v>
      </c>
      <c r="I139" s="2" t="s">
        <v>51</v>
      </c>
      <c r="J139" s="2" t="s">
        <v>1224</v>
      </c>
      <c r="K139" s="2" t="s">
        <v>1222</v>
      </c>
      <c r="L139" s="2" t="s">
        <v>51</v>
      </c>
      <c r="M139" s="2" t="s">
        <v>170</v>
      </c>
      <c r="N139" s="2" t="s">
        <v>1225</v>
      </c>
      <c r="O139" s="2"/>
      <c r="P139" s="2" t="s">
        <v>37</v>
      </c>
      <c r="Q139" s="4" t="n">
        <v>8731</v>
      </c>
      <c r="R139" s="2" t="s">
        <v>56</v>
      </c>
      <c r="S139" s="2" t="s">
        <v>1226</v>
      </c>
      <c r="T139" s="2" t="s">
        <v>40</v>
      </c>
      <c r="U139" s="2" t="s">
        <v>1227</v>
      </c>
      <c r="V139" s="2"/>
      <c r="W139" s="2" t="s">
        <v>42</v>
      </c>
      <c r="X139" s="2" t="s">
        <v>43</v>
      </c>
      <c r="Y139" s="2" t="s">
        <v>37</v>
      </c>
      <c r="Z139" s="2" t="s">
        <v>44</v>
      </c>
      <c r="AA139" s="2"/>
      <c r="AB139" s="2"/>
      <c r="AC139" s="2" t="s">
        <v>1228</v>
      </c>
      <c r="AD139" s="2" t="s">
        <v>46</v>
      </c>
    </row>
    <row r="140" customFormat="false" ht="15.7" hidden="false" customHeight="true" outlineLevel="0" collapsed="false">
      <c r="A140" s="2"/>
      <c r="B140" s="3" t="n">
        <f aca="false">DATE(2006,4,10)</f>
        <v>0</v>
      </c>
      <c r="C140" s="3" t="n">
        <v>38817</v>
      </c>
      <c r="D140" s="2" t="s">
        <v>1229</v>
      </c>
      <c r="F140" s="2" t="s">
        <v>1230</v>
      </c>
      <c r="G140" s="2" t="s">
        <v>1231</v>
      </c>
      <c r="H140" s="2" t="s">
        <v>130</v>
      </c>
      <c r="I140" s="2" t="s">
        <v>88</v>
      </c>
      <c r="J140" s="2" t="s">
        <v>625</v>
      </c>
      <c r="K140" s="2" t="s">
        <v>1229</v>
      </c>
      <c r="L140" s="2" t="s">
        <v>88</v>
      </c>
      <c r="M140" s="2" t="s">
        <v>130</v>
      </c>
      <c r="N140" s="2" t="s">
        <v>892</v>
      </c>
      <c r="O140" s="2"/>
      <c r="P140" s="2" t="s">
        <v>37</v>
      </c>
      <c r="Q140" s="4" t="n">
        <v>8731</v>
      </c>
      <c r="R140" s="2" t="s">
        <v>136</v>
      </c>
      <c r="S140" s="2" t="s">
        <v>39</v>
      </c>
      <c r="T140" s="2" t="s">
        <v>40</v>
      </c>
      <c r="U140" s="2" t="s">
        <v>1232</v>
      </c>
      <c r="V140" s="2"/>
      <c r="W140" s="2" t="s">
        <v>42</v>
      </c>
      <c r="X140" s="2" t="s">
        <v>43</v>
      </c>
      <c r="Y140" s="2" t="s">
        <v>37</v>
      </c>
      <c r="Z140" s="2" t="s">
        <v>44</v>
      </c>
      <c r="AA140" s="2"/>
      <c r="AB140" s="2"/>
      <c r="AC140" s="2" t="s">
        <v>1233</v>
      </c>
      <c r="AD140" s="2" t="s">
        <v>46</v>
      </c>
    </row>
    <row r="141" customFormat="false" ht="15.7" hidden="false" customHeight="true" outlineLevel="0" collapsed="false">
      <c r="A141" s="2"/>
      <c r="B141" s="3" t="n">
        <f aca="false">DATE(2006,4,10)</f>
        <v>0</v>
      </c>
      <c r="C141" s="3" t="n">
        <v>38817</v>
      </c>
      <c r="D141" s="2" t="s">
        <v>1234</v>
      </c>
      <c r="F141" s="2" t="s">
        <v>256</v>
      </c>
      <c r="G141" s="2" t="s">
        <v>1235</v>
      </c>
      <c r="H141" s="2" t="s">
        <v>170</v>
      </c>
      <c r="I141" s="2" t="s">
        <v>1236</v>
      </c>
      <c r="J141" s="2" t="s">
        <v>35</v>
      </c>
      <c r="K141" s="2" t="s">
        <v>1234</v>
      </c>
      <c r="L141" s="2" t="s">
        <v>1236</v>
      </c>
      <c r="M141" s="2" t="s">
        <v>170</v>
      </c>
      <c r="N141" s="2" t="s">
        <v>1237</v>
      </c>
      <c r="O141" s="2"/>
      <c r="P141" s="2" t="s">
        <v>37</v>
      </c>
      <c r="Q141" s="4" t="n">
        <v>8731</v>
      </c>
      <c r="R141" s="2" t="s">
        <v>136</v>
      </c>
      <c r="S141" s="2" t="s">
        <v>39</v>
      </c>
      <c r="T141" s="2" t="s">
        <v>40</v>
      </c>
      <c r="U141" s="2" t="s">
        <v>1238</v>
      </c>
      <c r="V141" s="2"/>
      <c r="W141" s="2" t="s">
        <v>42</v>
      </c>
      <c r="X141" s="2" t="s">
        <v>43</v>
      </c>
      <c r="Y141" s="2" t="s">
        <v>37</v>
      </c>
      <c r="Z141" s="2" t="s">
        <v>44</v>
      </c>
      <c r="AA141" s="2"/>
      <c r="AB141" s="2"/>
      <c r="AC141" s="2" t="s">
        <v>1239</v>
      </c>
      <c r="AD141" s="2" t="s">
        <v>46</v>
      </c>
    </row>
    <row r="142" customFormat="false" ht="15.7" hidden="false" customHeight="true" outlineLevel="0" collapsed="false">
      <c r="A142" s="2"/>
      <c r="B142" s="3" t="n">
        <f aca="false">DATE(2006,4,10)</f>
        <v>0</v>
      </c>
      <c r="C142" s="3" t="n">
        <v>38817</v>
      </c>
      <c r="D142" s="2" t="s">
        <v>1240</v>
      </c>
      <c r="F142" s="2" t="s">
        <v>1241</v>
      </c>
      <c r="G142" s="2" t="s">
        <v>1242</v>
      </c>
      <c r="H142" s="2" t="s">
        <v>1243</v>
      </c>
      <c r="I142" s="2" t="s">
        <v>51</v>
      </c>
      <c r="J142" s="2" t="s">
        <v>1244</v>
      </c>
      <c r="K142" s="2" t="s">
        <v>1245</v>
      </c>
      <c r="L142" s="2" t="s">
        <v>88</v>
      </c>
      <c r="M142" s="2" t="s">
        <v>1246</v>
      </c>
      <c r="N142" s="2" t="s">
        <v>1247</v>
      </c>
      <c r="O142" s="2" t="s">
        <v>1248</v>
      </c>
      <c r="P142" s="2" t="s">
        <v>37</v>
      </c>
      <c r="Q142" s="4" t="n">
        <v>8731</v>
      </c>
      <c r="R142" s="2" t="s">
        <v>56</v>
      </c>
      <c r="S142" s="2" t="s">
        <v>1249</v>
      </c>
      <c r="T142" s="2" t="s">
        <v>40</v>
      </c>
      <c r="U142" s="2" t="s">
        <v>1250</v>
      </c>
      <c r="V142" s="2"/>
      <c r="W142" s="2" t="s">
        <v>1050</v>
      </c>
      <c r="X142" s="2" t="s">
        <v>46</v>
      </c>
      <c r="Y142" s="2" t="s">
        <v>37</v>
      </c>
      <c r="Z142" s="2" t="s">
        <v>362</v>
      </c>
      <c r="AA142" s="2"/>
      <c r="AB142" s="2" t="s">
        <v>1251</v>
      </c>
      <c r="AC142" s="2" t="s">
        <v>1252</v>
      </c>
      <c r="AD142" s="2" t="s">
        <v>46</v>
      </c>
    </row>
    <row r="143" customFormat="false" ht="15.7" hidden="false" customHeight="true" outlineLevel="0" collapsed="false">
      <c r="A143" s="2"/>
      <c r="B143" s="3" t="n">
        <f aca="false">DATE(2006,4,10)</f>
        <v>0</v>
      </c>
      <c r="C143" s="3" t="n">
        <v>38817</v>
      </c>
      <c r="D143" s="2" t="s">
        <v>1253</v>
      </c>
      <c r="F143" s="2" t="s">
        <v>1254</v>
      </c>
      <c r="G143" s="2" t="s">
        <v>1255</v>
      </c>
      <c r="H143" s="2" t="s">
        <v>170</v>
      </c>
      <c r="I143" s="2" t="s">
        <v>664</v>
      </c>
      <c r="J143" s="2" t="s">
        <v>795</v>
      </c>
      <c r="K143" s="2" t="s">
        <v>1253</v>
      </c>
      <c r="L143" s="2" t="s">
        <v>664</v>
      </c>
      <c r="M143" s="2" t="s">
        <v>170</v>
      </c>
      <c r="N143" s="2" t="s">
        <v>1256</v>
      </c>
      <c r="O143" s="2"/>
      <c r="P143" s="2" t="s">
        <v>37</v>
      </c>
      <c r="Q143" s="4" t="n">
        <v>8731</v>
      </c>
      <c r="R143" s="2" t="s">
        <v>136</v>
      </c>
      <c r="S143" s="2" t="s">
        <v>39</v>
      </c>
      <c r="T143" s="2" t="s">
        <v>40</v>
      </c>
      <c r="U143" s="2" t="s">
        <v>1257</v>
      </c>
      <c r="V143" s="2"/>
      <c r="W143" s="2" t="s">
        <v>42</v>
      </c>
      <c r="X143" s="2" t="s">
        <v>43</v>
      </c>
      <c r="Y143" s="2" t="s">
        <v>37</v>
      </c>
      <c r="Z143" s="2" t="s">
        <v>44</v>
      </c>
      <c r="AA143" s="2"/>
      <c r="AB143" s="2"/>
      <c r="AC143" s="2" t="s">
        <v>1258</v>
      </c>
      <c r="AD143" s="2" t="s">
        <v>46</v>
      </c>
    </row>
    <row r="144" customFormat="false" ht="15.7" hidden="false" customHeight="true" outlineLevel="0" collapsed="false">
      <c r="A144" s="2"/>
      <c r="B144" s="3" t="n">
        <f aca="false">DATE(2006,4,10)</f>
        <v>0</v>
      </c>
      <c r="C144" s="3" t="n">
        <v>38817</v>
      </c>
      <c r="D144" s="2" t="s">
        <v>1259</v>
      </c>
      <c r="F144" s="2" t="s">
        <v>1260</v>
      </c>
      <c r="G144" s="2" t="s">
        <v>1261</v>
      </c>
      <c r="H144" s="2" t="s">
        <v>130</v>
      </c>
      <c r="I144" s="2" t="s">
        <v>1262</v>
      </c>
      <c r="J144" s="2" t="s">
        <v>575</v>
      </c>
      <c r="K144" s="2" t="s">
        <v>1263</v>
      </c>
      <c r="L144" s="2" t="s">
        <v>1262</v>
      </c>
      <c r="M144" s="2" t="s">
        <v>130</v>
      </c>
      <c r="N144" s="2" t="s">
        <v>1264</v>
      </c>
      <c r="O144" s="2"/>
      <c r="P144" s="2" t="s">
        <v>79</v>
      </c>
      <c r="Q144" s="4" t="n">
        <v>6794</v>
      </c>
      <c r="R144" s="2" t="s">
        <v>136</v>
      </c>
      <c r="S144" s="2" t="s">
        <v>39</v>
      </c>
      <c r="T144" s="2" t="s">
        <v>40</v>
      </c>
      <c r="U144" s="2" t="s">
        <v>1265</v>
      </c>
      <c r="V144" s="2"/>
      <c r="W144" s="2" t="s">
        <v>253</v>
      </c>
      <c r="X144" s="2" t="s">
        <v>43</v>
      </c>
      <c r="Y144" s="2" t="s">
        <v>37</v>
      </c>
      <c r="Z144" s="2" t="s">
        <v>44</v>
      </c>
      <c r="AA144" s="2" t="s">
        <v>1266</v>
      </c>
      <c r="AB144" s="2"/>
      <c r="AC144" s="2" t="s">
        <v>1267</v>
      </c>
      <c r="AD144" s="2" t="s">
        <v>46</v>
      </c>
    </row>
    <row r="145" customFormat="false" ht="15.7" hidden="false" customHeight="true" outlineLevel="0" collapsed="false">
      <c r="A145" s="2"/>
      <c r="B145" s="3" t="n">
        <f aca="false">DATE(2006,4,11)</f>
        <v>0</v>
      </c>
      <c r="C145" s="3" t="n">
        <v>38818</v>
      </c>
      <c r="D145" s="2" t="s">
        <v>1268</v>
      </c>
      <c r="F145" s="2" t="s">
        <v>1269</v>
      </c>
      <c r="G145" s="2" t="s">
        <v>1270</v>
      </c>
      <c r="H145" s="2" t="s">
        <v>1271</v>
      </c>
      <c r="I145" s="2" t="s">
        <v>296</v>
      </c>
      <c r="J145" s="2" t="s">
        <v>65</v>
      </c>
      <c r="K145" s="2" t="s">
        <v>1268</v>
      </c>
      <c r="L145" s="2" t="s">
        <v>296</v>
      </c>
      <c r="M145" s="2" t="s">
        <v>1271</v>
      </c>
      <c r="N145" s="2" t="s">
        <v>1272</v>
      </c>
      <c r="O145" s="2"/>
      <c r="P145" s="2" t="s">
        <v>37</v>
      </c>
      <c r="Q145" s="4" t="n">
        <v>8731</v>
      </c>
      <c r="R145" s="2" t="s">
        <v>136</v>
      </c>
      <c r="S145" s="2" t="s">
        <v>39</v>
      </c>
      <c r="T145" s="2" t="s">
        <v>40</v>
      </c>
      <c r="U145" s="2" t="s">
        <v>1273</v>
      </c>
      <c r="V145" s="2"/>
      <c r="W145" s="2" t="s">
        <v>42</v>
      </c>
      <c r="X145" s="2" t="s">
        <v>43</v>
      </c>
      <c r="Y145" s="2" t="s">
        <v>37</v>
      </c>
      <c r="Z145" s="2" t="s">
        <v>44</v>
      </c>
      <c r="AA145" s="2"/>
      <c r="AB145" s="2"/>
      <c r="AC145" s="2" t="s">
        <v>1274</v>
      </c>
      <c r="AD145" s="2" t="s">
        <v>46</v>
      </c>
    </row>
    <row r="146" customFormat="false" ht="15.7" hidden="false" customHeight="true" outlineLevel="0" collapsed="false">
      <c r="A146" s="2"/>
      <c r="B146" s="3" t="n">
        <f aca="false">DATE(2006,4,11)</f>
        <v>0</v>
      </c>
      <c r="C146" s="3" t="n">
        <v>38818</v>
      </c>
      <c r="D146" s="2" t="s">
        <v>1275</v>
      </c>
      <c r="F146" s="2" t="s">
        <v>1276</v>
      </c>
      <c r="G146" s="2" t="s">
        <v>1277</v>
      </c>
      <c r="H146" s="2" t="s">
        <v>170</v>
      </c>
      <c r="I146" s="2" t="s">
        <v>568</v>
      </c>
      <c r="J146" s="2" t="s">
        <v>1278</v>
      </c>
      <c r="K146" s="2" t="s">
        <v>1279</v>
      </c>
      <c r="L146" s="2" t="s">
        <v>568</v>
      </c>
      <c r="M146" s="2" t="s">
        <v>684</v>
      </c>
      <c r="N146" s="2" t="s">
        <v>1280</v>
      </c>
      <c r="O146" s="2"/>
      <c r="P146" s="2" t="s">
        <v>37</v>
      </c>
      <c r="Q146" s="4" t="n">
        <v>8731</v>
      </c>
      <c r="R146" s="2" t="s">
        <v>136</v>
      </c>
      <c r="S146" s="2" t="s">
        <v>39</v>
      </c>
      <c r="T146" s="2" t="s">
        <v>40</v>
      </c>
      <c r="U146" s="2" t="s">
        <v>1281</v>
      </c>
      <c r="V146" s="2"/>
      <c r="W146" s="2" t="s">
        <v>42</v>
      </c>
      <c r="X146" s="2" t="s">
        <v>43</v>
      </c>
      <c r="Y146" s="2" t="s">
        <v>37</v>
      </c>
      <c r="Z146" s="2" t="s">
        <v>44</v>
      </c>
      <c r="AA146" s="2"/>
      <c r="AB146" s="2"/>
      <c r="AC146" s="2" t="s">
        <v>1282</v>
      </c>
      <c r="AD146" s="2" t="s">
        <v>46</v>
      </c>
    </row>
    <row r="147" customFormat="false" ht="15.7" hidden="false" customHeight="true" outlineLevel="0" collapsed="false">
      <c r="A147" s="2"/>
      <c r="B147" s="3" t="n">
        <f aca="false">DATE(2006,4,12)</f>
        <v>0</v>
      </c>
      <c r="C147" s="3" t="n">
        <v>38819</v>
      </c>
      <c r="D147" s="2" t="s">
        <v>1283</v>
      </c>
      <c r="F147" s="2" t="s">
        <v>1284</v>
      </c>
      <c r="G147" s="2" t="s">
        <v>1285</v>
      </c>
      <c r="H147" s="2" t="s">
        <v>1286</v>
      </c>
      <c r="I147" s="2" t="s">
        <v>1287</v>
      </c>
      <c r="J147" s="2" t="s">
        <v>35</v>
      </c>
      <c r="K147" s="2" t="s">
        <v>1283</v>
      </c>
      <c r="L147" s="2" t="s">
        <v>1287</v>
      </c>
      <c r="M147" s="2" t="s">
        <v>1286</v>
      </c>
      <c r="N147" s="2" t="s">
        <v>1288</v>
      </c>
      <c r="O147" s="2"/>
      <c r="P147" s="2" t="s">
        <v>37</v>
      </c>
      <c r="Q147" s="4" t="n">
        <v>8731</v>
      </c>
      <c r="R147" s="2" t="s">
        <v>136</v>
      </c>
      <c r="S147" s="2" t="s">
        <v>39</v>
      </c>
      <c r="T147" s="2" t="s">
        <v>40</v>
      </c>
      <c r="U147" s="2" t="s">
        <v>1289</v>
      </c>
      <c r="V147" s="2"/>
      <c r="W147" s="2" t="s">
        <v>42</v>
      </c>
      <c r="X147" s="2" t="s">
        <v>43</v>
      </c>
      <c r="Y147" s="2" t="s">
        <v>37</v>
      </c>
      <c r="Z147" s="2" t="s">
        <v>44</v>
      </c>
      <c r="AA147" s="2"/>
      <c r="AB147" s="2"/>
      <c r="AC147" s="2" t="s">
        <v>1290</v>
      </c>
      <c r="AD147" s="2" t="s">
        <v>46</v>
      </c>
    </row>
    <row r="148" customFormat="false" ht="15.7" hidden="false" customHeight="true" outlineLevel="0" collapsed="false">
      <c r="A148" s="2"/>
      <c r="B148" s="3" t="n">
        <f aca="false">DATE(2006,4,18)</f>
        <v>0</v>
      </c>
      <c r="C148" s="3" t="n">
        <v>38825</v>
      </c>
      <c r="D148" s="2" t="s">
        <v>1291</v>
      </c>
      <c r="F148" s="2" t="s">
        <v>1292</v>
      </c>
      <c r="G148" s="2" t="s">
        <v>1293</v>
      </c>
      <c r="H148" s="2" t="s">
        <v>1294</v>
      </c>
      <c r="I148" s="2" t="s">
        <v>51</v>
      </c>
      <c r="J148" s="2" t="s">
        <v>178</v>
      </c>
      <c r="K148" s="2" t="s">
        <v>1295</v>
      </c>
      <c r="L148" s="2" t="s">
        <v>51</v>
      </c>
      <c r="M148" s="2" t="s">
        <v>1296</v>
      </c>
      <c r="N148" s="2" t="s">
        <v>1297</v>
      </c>
      <c r="O148" s="2"/>
      <c r="P148" s="2" t="s">
        <v>37</v>
      </c>
      <c r="Q148" s="4" t="n">
        <v>8731</v>
      </c>
      <c r="R148" s="2" t="s">
        <v>56</v>
      </c>
      <c r="S148" s="2" t="s">
        <v>57</v>
      </c>
      <c r="T148" s="2" t="s">
        <v>40</v>
      </c>
      <c r="U148" s="2" t="s">
        <v>1298</v>
      </c>
      <c r="V148" s="2"/>
      <c r="W148" s="2" t="s">
        <v>42</v>
      </c>
      <c r="X148" s="2" t="s">
        <v>43</v>
      </c>
      <c r="Y148" s="2" t="s">
        <v>37</v>
      </c>
      <c r="Z148" s="2" t="s">
        <v>44</v>
      </c>
      <c r="AA148" s="2"/>
      <c r="AB148" s="2"/>
      <c r="AC148" s="2" t="s">
        <v>1299</v>
      </c>
      <c r="AD148" s="2" t="s">
        <v>46</v>
      </c>
    </row>
    <row r="149" customFormat="false" ht="15.7" hidden="false" customHeight="true" outlineLevel="0" collapsed="false">
      <c r="A149" s="2"/>
      <c r="B149" s="3" t="n">
        <f aca="false">DATE(2006,4,19)</f>
        <v>0</v>
      </c>
      <c r="C149" s="3" t="n">
        <v>38826</v>
      </c>
      <c r="D149" s="2" t="s">
        <v>1300</v>
      </c>
      <c r="F149" s="2" t="s">
        <v>1301</v>
      </c>
      <c r="G149" s="2" t="s">
        <v>1302</v>
      </c>
      <c r="H149" s="2" t="s">
        <v>1303</v>
      </c>
      <c r="I149" s="2" t="s">
        <v>1304</v>
      </c>
      <c r="J149" s="2" t="s">
        <v>1305</v>
      </c>
      <c r="K149" s="2" t="s">
        <v>1306</v>
      </c>
      <c r="L149" s="2" t="s">
        <v>1304</v>
      </c>
      <c r="M149" s="2" t="s">
        <v>1307</v>
      </c>
      <c r="N149" s="2" t="s">
        <v>1308</v>
      </c>
      <c r="O149" s="2" t="s">
        <v>1309</v>
      </c>
      <c r="P149" s="2" t="s">
        <v>37</v>
      </c>
      <c r="Q149" s="4" t="n">
        <v>8731</v>
      </c>
      <c r="R149" s="2" t="s">
        <v>105</v>
      </c>
      <c r="S149" s="2" t="s">
        <v>39</v>
      </c>
      <c r="T149" s="2" t="s">
        <v>40</v>
      </c>
      <c r="U149" s="2" t="s">
        <v>1310</v>
      </c>
      <c r="V149" s="2"/>
      <c r="W149" s="2" t="s">
        <v>1311</v>
      </c>
      <c r="X149" s="2" t="s">
        <v>46</v>
      </c>
      <c r="Y149" s="2" t="s">
        <v>37</v>
      </c>
      <c r="Z149" s="2" t="s">
        <v>1312</v>
      </c>
      <c r="AA149" s="2"/>
      <c r="AB149" s="2" t="s">
        <v>1313</v>
      </c>
      <c r="AC149" s="2" t="s">
        <v>1314</v>
      </c>
      <c r="AD149" s="2" t="s">
        <v>46</v>
      </c>
    </row>
    <row r="150" customFormat="false" ht="15.7" hidden="false" customHeight="true" outlineLevel="0" collapsed="false">
      <c r="A150" s="2"/>
      <c r="B150" s="3" t="n">
        <f aca="false">DATE(2006,4,20)</f>
        <v>0</v>
      </c>
      <c r="C150" s="3" t="n">
        <v>38827</v>
      </c>
      <c r="D150" s="2" t="s">
        <v>1098</v>
      </c>
      <c r="F150" s="2" t="s">
        <v>1099</v>
      </c>
      <c r="G150" s="2" t="s">
        <v>1100</v>
      </c>
      <c r="H150" s="2" t="s">
        <v>1101</v>
      </c>
      <c r="I150" s="2" t="s">
        <v>219</v>
      </c>
      <c r="J150" s="2" t="s">
        <v>65</v>
      </c>
      <c r="K150" s="2" t="s">
        <v>1098</v>
      </c>
      <c r="L150" s="2" t="s">
        <v>219</v>
      </c>
      <c r="M150" s="2" t="s">
        <v>1101</v>
      </c>
      <c r="N150" s="2" t="s">
        <v>1102</v>
      </c>
      <c r="O150" s="2"/>
      <c r="P150" s="2" t="s">
        <v>37</v>
      </c>
      <c r="Q150" s="4" t="n">
        <v>8731</v>
      </c>
      <c r="R150" s="2" t="s">
        <v>136</v>
      </c>
      <c r="S150" s="2" t="s">
        <v>39</v>
      </c>
      <c r="T150" s="2" t="s">
        <v>40</v>
      </c>
      <c r="U150" s="2" t="s">
        <v>1315</v>
      </c>
      <c r="V150" s="2"/>
      <c r="W150" s="2" t="s">
        <v>138</v>
      </c>
      <c r="X150" s="2" t="s">
        <v>43</v>
      </c>
      <c r="Y150" s="2" t="s">
        <v>37</v>
      </c>
      <c r="Z150" s="2" t="s">
        <v>44</v>
      </c>
      <c r="AA150" s="2"/>
      <c r="AB150" s="2"/>
      <c r="AC150" s="2" t="s">
        <v>1104</v>
      </c>
      <c r="AD150" s="2" t="s">
        <v>46</v>
      </c>
    </row>
    <row r="151" customFormat="false" ht="15.7" hidden="false" customHeight="true" outlineLevel="0" collapsed="false">
      <c r="A151" s="2"/>
      <c r="B151" s="3" t="n">
        <f aca="false">DATE(2006,4,20)</f>
        <v>0</v>
      </c>
      <c r="C151" s="3" t="n">
        <v>38827</v>
      </c>
      <c r="D151" s="2" t="s">
        <v>1316</v>
      </c>
      <c r="F151" s="2" t="s">
        <v>1317</v>
      </c>
      <c r="G151" s="2" t="s">
        <v>1318</v>
      </c>
      <c r="H151" s="2" t="s">
        <v>170</v>
      </c>
      <c r="I151" s="2" t="s">
        <v>51</v>
      </c>
      <c r="J151" s="2" t="s">
        <v>1319</v>
      </c>
      <c r="K151" s="2" t="s">
        <v>1316</v>
      </c>
      <c r="L151" s="2" t="s">
        <v>51</v>
      </c>
      <c r="M151" s="2" t="s">
        <v>170</v>
      </c>
      <c r="N151" s="2" t="s">
        <v>1320</v>
      </c>
      <c r="O151" s="2"/>
      <c r="P151" s="2" t="s">
        <v>79</v>
      </c>
      <c r="Q151" s="4" t="n">
        <v>6794</v>
      </c>
      <c r="R151" s="2" t="s">
        <v>56</v>
      </c>
      <c r="S151" s="2" t="s">
        <v>57</v>
      </c>
      <c r="T151" s="2" t="s">
        <v>40</v>
      </c>
      <c r="U151" s="2" t="s">
        <v>1321</v>
      </c>
      <c r="V151" s="2"/>
      <c r="W151" s="2" t="s">
        <v>82</v>
      </c>
      <c r="X151" s="2" t="s">
        <v>43</v>
      </c>
      <c r="Y151" s="2" t="s">
        <v>37</v>
      </c>
      <c r="Z151" s="2" t="s">
        <v>44</v>
      </c>
      <c r="AA151" s="2"/>
      <c r="AB151" s="2"/>
      <c r="AC151" s="2" t="s">
        <v>1322</v>
      </c>
      <c r="AD151" s="2" t="s">
        <v>46</v>
      </c>
    </row>
    <row r="152" customFormat="false" ht="15.7" hidden="false" customHeight="true" outlineLevel="0" collapsed="false">
      <c r="A152" s="2"/>
      <c r="B152" s="3" t="n">
        <f aca="false">DATE(2006,4,21)</f>
        <v>0</v>
      </c>
      <c r="C152" s="3" t="n">
        <v>38828</v>
      </c>
      <c r="D152" s="2" t="s">
        <v>1323</v>
      </c>
      <c r="F152" s="2" t="s">
        <v>1324</v>
      </c>
      <c r="G152" s="2" t="s">
        <v>1325</v>
      </c>
      <c r="H152" s="2" t="s">
        <v>63</v>
      </c>
      <c r="I152" s="2" t="s">
        <v>34</v>
      </c>
      <c r="J152" s="2" t="s">
        <v>35</v>
      </c>
      <c r="K152" s="2" t="s">
        <v>1323</v>
      </c>
      <c r="L152" s="2" t="s">
        <v>34</v>
      </c>
      <c r="M152" s="2" t="s">
        <v>63</v>
      </c>
      <c r="N152" s="2" t="s">
        <v>1326</v>
      </c>
      <c r="O152" s="2"/>
      <c r="P152" s="2" t="s">
        <v>37</v>
      </c>
      <c r="Q152" s="4" t="n">
        <v>8731</v>
      </c>
      <c r="R152" s="2" t="s">
        <v>38</v>
      </c>
      <c r="S152" s="2" t="s">
        <v>39</v>
      </c>
      <c r="T152" s="2" t="s">
        <v>40</v>
      </c>
      <c r="U152" s="2" t="s">
        <v>1327</v>
      </c>
      <c r="V152" s="2"/>
      <c r="W152" s="2" t="s">
        <v>42</v>
      </c>
      <c r="X152" s="2" t="s">
        <v>43</v>
      </c>
      <c r="Y152" s="2" t="s">
        <v>37</v>
      </c>
      <c r="Z152" s="2" t="s">
        <v>44</v>
      </c>
      <c r="AA152" s="2"/>
      <c r="AB152" s="2"/>
      <c r="AC152" s="2" t="s">
        <v>1328</v>
      </c>
      <c r="AD152" s="2" t="s">
        <v>46</v>
      </c>
    </row>
    <row r="153" customFormat="false" ht="15.7" hidden="false" customHeight="true" outlineLevel="0" collapsed="false">
      <c r="A153" s="2"/>
      <c r="B153" s="3" t="n">
        <f aca="false">DATE(2006,4,24)</f>
        <v>0</v>
      </c>
      <c r="C153" s="3" t="n">
        <v>38831</v>
      </c>
      <c r="D153" s="2" t="s">
        <v>1329</v>
      </c>
      <c r="F153" s="2" t="s">
        <v>1330</v>
      </c>
      <c r="G153" s="2" t="s">
        <v>1331</v>
      </c>
      <c r="H153" s="2" t="s">
        <v>1332</v>
      </c>
      <c r="I153" s="2" t="s">
        <v>51</v>
      </c>
      <c r="J153" s="2" t="s">
        <v>1333</v>
      </c>
      <c r="K153" s="2" t="s">
        <v>1329</v>
      </c>
      <c r="L153" s="2" t="s">
        <v>51</v>
      </c>
      <c r="M153" s="2" t="s">
        <v>1332</v>
      </c>
      <c r="N153" s="2" t="s">
        <v>1334</v>
      </c>
      <c r="O153" s="2"/>
      <c r="P153" s="2" t="s">
        <v>37</v>
      </c>
      <c r="Q153" s="4" t="n">
        <v>8731</v>
      </c>
      <c r="R153" s="2" t="s">
        <v>56</v>
      </c>
      <c r="S153" s="2" t="s">
        <v>1226</v>
      </c>
      <c r="T153" s="2" t="s">
        <v>40</v>
      </c>
      <c r="U153" s="2" t="s">
        <v>1335</v>
      </c>
      <c r="V153" s="2"/>
      <c r="W153" s="2" t="s">
        <v>42</v>
      </c>
      <c r="X153" s="2" t="s">
        <v>43</v>
      </c>
      <c r="Y153" s="2" t="s">
        <v>37</v>
      </c>
      <c r="Z153" s="2" t="s">
        <v>44</v>
      </c>
      <c r="AA153" s="2"/>
      <c r="AB153" s="2"/>
      <c r="AC153" s="2" t="s">
        <v>1336</v>
      </c>
      <c r="AD153" s="2" t="s">
        <v>46</v>
      </c>
    </row>
    <row r="154" customFormat="false" ht="15.7" hidden="false" customHeight="true" outlineLevel="0" collapsed="false">
      <c r="A154" s="2"/>
      <c r="B154" s="3" t="n">
        <f aca="false">DATE(2006,4,24)</f>
        <v>0</v>
      </c>
      <c r="C154" s="3" t="n">
        <v>38831</v>
      </c>
      <c r="D154" s="2" t="s">
        <v>1337</v>
      </c>
      <c r="F154" s="2" t="s">
        <v>1338</v>
      </c>
      <c r="G154" s="2" t="s">
        <v>1339</v>
      </c>
      <c r="H154" s="2" t="s">
        <v>1340</v>
      </c>
      <c r="I154" s="2" t="s">
        <v>131</v>
      </c>
      <c r="J154" s="2" t="s">
        <v>1341</v>
      </c>
      <c r="K154" s="2" t="s">
        <v>1342</v>
      </c>
      <c r="L154" s="2" t="s">
        <v>131</v>
      </c>
      <c r="M154" s="2" t="s">
        <v>1343</v>
      </c>
      <c r="N154" s="2" t="s">
        <v>1344</v>
      </c>
      <c r="O154" s="2"/>
      <c r="P154" s="2" t="s">
        <v>37</v>
      </c>
      <c r="Q154" s="4" t="n">
        <v>8731</v>
      </c>
      <c r="R154" s="2" t="s">
        <v>136</v>
      </c>
      <c r="S154" s="2" t="s">
        <v>39</v>
      </c>
      <c r="T154" s="2" t="s">
        <v>40</v>
      </c>
      <c r="U154" s="2" t="s">
        <v>1345</v>
      </c>
      <c r="V154" s="2"/>
      <c r="W154" s="2" t="s">
        <v>42</v>
      </c>
      <c r="X154" s="2" t="s">
        <v>43</v>
      </c>
      <c r="Y154" s="2" t="s">
        <v>37</v>
      </c>
      <c r="Z154" s="2" t="s">
        <v>44</v>
      </c>
      <c r="AA154" s="2"/>
      <c r="AB154" s="2"/>
      <c r="AC154" s="2" t="s">
        <v>1346</v>
      </c>
      <c r="AD154" s="2" t="s">
        <v>46</v>
      </c>
    </row>
    <row r="155" customFormat="false" ht="15.7" hidden="false" customHeight="true" outlineLevel="0" collapsed="false">
      <c r="A155" s="2"/>
      <c r="B155" s="3" t="n">
        <f aca="false">DATE(2006,4,24)</f>
        <v>0</v>
      </c>
      <c r="C155" s="3" t="n">
        <v>38831</v>
      </c>
      <c r="D155" s="2" t="s">
        <v>1347</v>
      </c>
      <c r="F155" s="2" t="s">
        <v>1348</v>
      </c>
      <c r="G155" s="2" t="s">
        <v>1349</v>
      </c>
      <c r="H155" s="2" t="s">
        <v>1350</v>
      </c>
      <c r="I155" s="2" t="s">
        <v>180</v>
      </c>
      <c r="J155" s="2" t="s">
        <v>132</v>
      </c>
      <c r="K155" s="2" t="s">
        <v>1351</v>
      </c>
      <c r="L155" s="2" t="s">
        <v>180</v>
      </c>
      <c r="M155" s="2" t="s">
        <v>1352</v>
      </c>
      <c r="N155" s="2" t="s">
        <v>1353</v>
      </c>
      <c r="O155" s="2"/>
      <c r="P155" s="2" t="s">
        <v>37</v>
      </c>
      <c r="Q155" s="4" t="n">
        <v>8731</v>
      </c>
      <c r="R155" s="2" t="s">
        <v>56</v>
      </c>
      <c r="S155" s="2" t="s">
        <v>788</v>
      </c>
      <c r="T155" s="2" t="s">
        <v>40</v>
      </c>
      <c r="U155" s="2" t="s">
        <v>1354</v>
      </c>
      <c r="V155" s="2"/>
      <c r="W155" s="2" t="s">
        <v>138</v>
      </c>
      <c r="X155" s="2" t="s">
        <v>43</v>
      </c>
      <c r="Y155" s="2" t="s">
        <v>37</v>
      </c>
      <c r="Z155" s="2" t="s">
        <v>44</v>
      </c>
      <c r="AA155" s="2"/>
      <c r="AB155" s="2"/>
      <c r="AC155" s="2" t="s">
        <v>1355</v>
      </c>
      <c r="AD155" s="2" t="s">
        <v>46</v>
      </c>
    </row>
    <row r="156" customFormat="false" ht="15.7" hidden="false" customHeight="true" outlineLevel="0" collapsed="false">
      <c r="A156" s="2"/>
      <c r="B156" s="3" t="n">
        <f aca="false">DATE(2006,4,25)</f>
        <v>0</v>
      </c>
      <c r="C156" s="3" t="n">
        <v>38832</v>
      </c>
      <c r="D156" s="2" t="s">
        <v>1356</v>
      </c>
      <c r="F156" s="2" t="s">
        <v>1357</v>
      </c>
      <c r="G156" s="2" t="s">
        <v>1358</v>
      </c>
      <c r="H156" s="2" t="s">
        <v>1359</v>
      </c>
      <c r="I156" s="2" t="s">
        <v>685</v>
      </c>
      <c r="J156" s="2" t="s">
        <v>35</v>
      </c>
      <c r="K156" s="2" t="s">
        <v>1356</v>
      </c>
      <c r="L156" s="2" t="s">
        <v>685</v>
      </c>
      <c r="M156" s="2" t="s">
        <v>1359</v>
      </c>
      <c r="N156" s="2" t="s">
        <v>1360</v>
      </c>
      <c r="O156" s="2"/>
      <c r="P156" s="2" t="s">
        <v>37</v>
      </c>
      <c r="Q156" s="4" t="n">
        <v>8731</v>
      </c>
      <c r="R156" s="2" t="s">
        <v>688</v>
      </c>
      <c r="S156" s="2" t="s">
        <v>39</v>
      </c>
      <c r="T156" s="2" t="s">
        <v>40</v>
      </c>
      <c r="U156" s="2" t="s">
        <v>1361</v>
      </c>
      <c r="V156" s="2"/>
      <c r="W156" s="2" t="s">
        <v>42</v>
      </c>
      <c r="X156" s="2" t="s">
        <v>43</v>
      </c>
      <c r="Y156" s="2" t="s">
        <v>37</v>
      </c>
      <c r="Z156" s="2" t="s">
        <v>44</v>
      </c>
      <c r="AA156" s="2"/>
      <c r="AB156" s="2"/>
      <c r="AC156" s="2" t="s">
        <v>1362</v>
      </c>
      <c r="AD156" s="2" t="s">
        <v>46</v>
      </c>
    </row>
    <row r="157" customFormat="false" ht="15.7" hidden="false" customHeight="true" outlineLevel="0" collapsed="false">
      <c r="A157" s="2"/>
      <c r="B157" s="3" t="n">
        <f aca="false">DATE(2006,4,26)</f>
        <v>0</v>
      </c>
      <c r="C157" s="3" t="n">
        <v>38833</v>
      </c>
      <c r="D157" s="2" t="s">
        <v>1363</v>
      </c>
      <c r="F157" s="2" t="s">
        <v>1364</v>
      </c>
      <c r="G157" s="2" t="s">
        <v>1365</v>
      </c>
      <c r="H157" s="2" t="s">
        <v>130</v>
      </c>
      <c r="I157" s="2" t="s">
        <v>286</v>
      </c>
      <c r="J157" s="2" t="s">
        <v>35</v>
      </c>
      <c r="K157" s="2" t="s">
        <v>1366</v>
      </c>
      <c r="L157" s="2" t="s">
        <v>1367</v>
      </c>
      <c r="M157" s="2" t="s">
        <v>130</v>
      </c>
      <c r="N157" s="2" t="s">
        <v>1368</v>
      </c>
      <c r="O157" s="2"/>
      <c r="P157" s="2" t="s">
        <v>79</v>
      </c>
      <c r="Q157" s="4" t="n">
        <v>6794</v>
      </c>
      <c r="R157" s="2" t="s">
        <v>38</v>
      </c>
      <c r="S157" s="2" t="s">
        <v>39</v>
      </c>
      <c r="T157" s="2" t="s">
        <v>40</v>
      </c>
      <c r="U157" s="2" t="s">
        <v>1369</v>
      </c>
      <c r="V157" s="2"/>
      <c r="W157" s="2" t="s">
        <v>82</v>
      </c>
      <c r="X157" s="2" t="s">
        <v>43</v>
      </c>
      <c r="Y157" s="2" t="s">
        <v>37</v>
      </c>
      <c r="Z157" s="2" t="s">
        <v>44</v>
      </c>
      <c r="AA157" s="2"/>
      <c r="AB157" s="2"/>
      <c r="AC157" s="2" t="s">
        <v>1370</v>
      </c>
      <c r="AD157" s="2" t="s">
        <v>46</v>
      </c>
    </row>
    <row r="158" customFormat="false" ht="15.7" hidden="false" customHeight="true" outlineLevel="0" collapsed="false">
      <c r="A158" s="2"/>
      <c r="B158" s="3" t="n">
        <f aca="false">DATE(2006,4,27)</f>
        <v>0</v>
      </c>
      <c r="C158" s="3" t="n">
        <v>38834</v>
      </c>
      <c r="D158" s="2" t="s">
        <v>1371</v>
      </c>
      <c r="F158" s="2" t="s">
        <v>1372</v>
      </c>
      <c r="G158" s="2" t="s">
        <v>1373</v>
      </c>
      <c r="H158" s="2" t="s">
        <v>63</v>
      </c>
      <c r="I158" s="2" t="s">
        <v>921</v>
      </c>
      <c r="J158" s="2" t="s">
        <v>35</v>
      </c>
      <c r="K158" s="2" t="s">
        <v>1371</v>
      </c>
      <c r="L158" s="2" t="s">
        <v>921</v>
      </c>
      <c r="M158" s="2" t="s">
        <v>63</v>
      </c>
      <c r="N158" s="2" t="s">
        <v>1374</v>
      </c>
      <c r="O158" s="2"/>
      <c r="P158" s="2" t="s">
        <v>37</v>
      </c>
      <c r="Q158" s="4" t="n">
        <v>8731</v>
      </c>
      <c r="R158" s="2" t="s">
        <v>136</v>
      </c>
      <c r="S158" s="2" t="s">
        <v>39</v>
      </c>
      <c r="T158" s="2" t="s">
        <v>40</v>
      </c>
      <c r="U158" s="2" t="s">
        <v>1375</v>
      </c>
      <c r="V158" s="2"/>
      <c r="W158" s="2" t="s">
        <v>42</v>
      </c>
      <c r="X158" s="2" t="s">
        <v>43</v>
      </c>
      <c r="Y158" s="2" t="s">
        <v>37</v>
      </c>
      <c r="Z158" s="2" t="s">
        <v>44</v>
      </c>
      <c r="AA158" s="2"/>
      <c r="AB158" s="2"/>
      <c r="AC158" s="2" t="s">
        <v>1376</v>
      </c>
      <c r="AD158" s="2" t="s">
        <v>46</v>
      </c>
    </row>
    <row r="159" customFormat="false" ht="15.7" hidden="false" customHeight="true" outlineLevel="0" collapsed="false">
      <c r="A159" s="2"/>
      <c r="B159" s="3" t="n">
        <f aca="false">DATE(2006,4,27)</f>
        <v>0</v>
      </c>
      <c r="C159" s="3" t="n">
        <v>38834</v>
      </c>
      <c r="D159" s="2" t="s">
        <v>1377</v>
      </c>
      <c r="F159" s="2" t="s">
        <v>1378</v>
      </c>
      <c r="G159" s="2" t="s">
        <v>1379</v>
      </c>
      <c r="H159" s="2" t="s">
        <v>63</v>
      </c>
      <c r="I159" s="2" t="s">
        <v>219</v>
      </c>
      <c r="J159" s="2" t="s">
        <v>65</v>
      </c>
      <c r="K159" s="2" t="s">
        <v>1377</v>
      </c>
      <c r="L159" s="2" t="s">
        <v>219</v>
      </c>
      <c r="M159" s="2" t="s">
        <v>63</v>
      </c>
      <c r="N159" s="2" t="s">
        <v>1380</v>
      </c>
      <c r="O159" s="2"/>
      <c r="P159" s="2" t="s">
        <v>79</v>
      </c>
      <c r="Q159" s="4" t="n">
        <v>6794</v>
      </c>
      <c r="R159" s="2" t="s">
        <v>38</v>
      </c>
      <c r="S159" s="2" t="s">
        <v>39</v>
      </c>
      <c r="T159" s="2" t="s">
        <v>40</v>
      </c>
      <c r="U159" s="2" t="s">
        <v>1381</v>
      </c>
      <c r="V159" s="2"/>
      <c r="W159" s="2" t="s">
        <v>1382</v>
      </c>
      <c r="X159" s="2" t="s">
        <v>43</v>
      </c>
      <c r="Y159" s="2" t="s">
        <v>37</v>
      </c>
      <c r="Z159" s="2" t="s">
        <v>44</v>
      </c>
      <c r="AA159" s="2"/>
      <c r="AB159" s="2"/>
      <c r="AC159" s="2" t="s">
        <v>1383</v>
      </c>
      <c r="AD159" s="2" t="s">
        <v>46</v>
      </c>
    </row>
    <row r="160" customFormat="false" ht="15.7" hidden="false" customHeight="true" outlineLevel="0" collapsed="false">
      <c r="A160" s="2"/>
      <c r="B160" s="3" t="n">
        <f aca="false">DATE(2006,4,28)</f>
        <v>0</v>
      </c>
      <c r="C160" s="3" t="n">
        <v>38835</v>
      </c>
      <c r="D160" s="2" t="s">
        <v>1384</v>
      </c>
      <c r="F160" s="2" t="s">
        <v>1385</v>
      </c>
      <c r="G160" s="2" t="s">
        <v>1386</v>
      </c>
      <c r="H160" s="2" t="s">
        <v>1387</v>
      </c>
      <c r="I160" s="2" t="s">
        <v>1388</v>
      </c>
      <c r="J160" s="2" t="s">
        <v>35</v>
      </c>
      <c r="K160" s="2" t="s">
        <v>1384</v>
      </c>
      <c r="L160" s="2" t="s">
        <v>1388</v>
      </c>
      <c r="M160" s="2" t="s">
        <v>1387</v>
      </c>
      <c r="N160" s="2" t="s">
        <v>1389</v>
      </c>
      <c r="O160" s="2"/>
      <c r="P160" s="2" t="s">
        <v>37</v>
      </c>
      <c r="Q160" s="4" t="n">
        <v>8731</v>
      </c>
      <c r="R160" s="2" t="s">
        <v>136</v>
      </c>
      <c r="S160" s="2" t="s">
        <v>39</v>
      </c>
      <c r="T160" s="2" t="s">
        <v>40</v>
      </c>
      <c r="U160" s="2" t="s">
        <v>1390</v>
      </c>
      <c r="V160" s="2"/>
      <c r="W160" s="2" t="s">
        <v>42</v>
      </c>
      <c r="X160" s="2" t="s">
        <v>43</v>
      </c>
      <c r="Y160" s="2" t="s">
        <v>37</v>
      </c>
      <c r="Z160" s="2" t="s">
        <v>44</v>
      </c>
      <c r="AA160" s="2"/>
      <c r="AB160" s="2"/>
      <c r="AC160" s="2" t="s">
        <v>1391</v>
      </c>
      <c r="AD160" s="2" t="s">
        <v>46</v>
      </c>
    </row>
    <row r="161" customFormat="false" ht="15.7" hidden="false" customHeight="true" outlineLevel="0" collapsed="false">
      <c r="A161" s="2"/>
      <c r="B161" s="3" t="n">
        <f aca="false">DATE(2006,5,1)</f>
        <v>0</v>
      </c>
      <c r="C161" s="3" t="n">
        <v>38838</v>
      </c>
      <c r="D161" s="2" t="s">
        <v>1392</v>
      </c>
      <c r="F161" s="2" t="s">
        <v>1393</v>
      </c>
      <c r="G161" s="2" t="s">
        <v>1394</v>
      </c>
      <c r="H161" s="2" t="s">
        <v>1395</v>
      </c>
      <c r="I161" s="2" t="s">
        <v>1396</v>
      </c>
      <c r="J161" s="2" t="s">
        <v>1397</v>
      </c>
      <c r="K161" s="2" t="s">
        <v>1398</v>
      </c>
      <c r="L161" s="2" t="s">
        <v>1396</v>
      </c>
      <c r="M161" s="2" t="s">
        <v>1399</v>
      </c>
      <c r="N161" s="2" t="s">
        <v>1400</v>
      </c>
      <c r="O161" s="2" t="s">
        <v>1401</v>
      </c>
      <c r="P161" s="2" t="s">
        <v>37</v>
      </c>
      <c r="Q161" s="4" t="n">
        <v>8731</v>
      </c>
      <c r="R161" s="2" t="s">
        <v>1402</v>
      </c>
      <c r="S161" s="2" t="s">
        <v>39</v>
      </c>
      <c r="T161" s="2" t="s">
        <v>40</v>
      </c>
      <c r="U161" s="2" t="s">
        <v>1403</v>
      </c>
      <c r="V161" s="2"/>
      <c r="W161" s="2" t="s">
        <v>42</v>
      </c>
      <c r="X161" s="2" t="s">
        <v>46</v>
      </c>
      <c r="Y161" s="2" t="s">
        <v>37</v>
      </c>
      <c r="Z161" s="2" t="s">
        <v>1404</v>
      </c>
      <c r="AA161" s="2" t="s">
        <v>1405</v>
      </c>
      <c r="AB161" s="2" t="s">
        <v>1406</v>
      </c>
      <c r="AC161" s="2" t="s">
        <v>1407</v>
      </c>
      <c r="AD161" s="2" t="s">
        <v>46</v>
      </c>
    </row>
    <row r="162" customFormat="false" ht="15.7" hidden="false" customHeight="true" outlineLevel="0" collapsed="false">
      <c r="A162" s="2"/>
      <c r="B162" s="3" t="n">
        <f aca="false">DATE(2006,5,2)</f>
        <v>0</v>
      </c>
      <c r="C162" s="3" t="n">
        <v>38839</v>
      </c>
      <c r="D162" s="2" t="s">
        <v>1408</v>
      </c>
      <c r="F162" s="2" t="s">
        <v>1409</v>
      </c>
      <c r="G162" s="2" t="s">
        <v>1410</v>
      </c>
      <c r="H162" s="2" t="s">
        <v>1411</v>
      </c>
      <c r="I162" s="2" t="s">
        <v>1412</v>
      </c>
      <c r="J162" s="2" t="s">
        <v>1413</v>
      </c>
      <c r="K162" s="2" t="s">
        <v>1414</v>
      </c>
      <c r="L162" s="2" t="s">
        <v>1415</v>
      </c>
      <c r="M162" s="2" t="s">
        <v>1416</v>
      </c>
      <c r="N162" s="2" t="s">
        <v>1417</v>
      </c>
      <c r="O162" s="2"/>
      <c r="P162" s="2" t="s">
        <v>37</v>
      </c>
      <c r="Q162" s="4" t="n">
        <v>8731</v>
      </c>
      <c r="R162" s="2" t="s">
        <v>136</v>
      </c>
      <c r="S162" s="2" t="s">
        <v>39</v>
      </c>
      <c r="T162" s="2" t="s">
        <v>40</v>
      </c>
      <c r="U162" s="2" t="s">
        <v>1418</v>
      </c>
      <c r="V162" s="2"/>
      <c r="W162" s="2" t="s">
        <v>138</v>
      </c>
      <c r="X162" s="2" t="s">
        <v>43</v>
      </c>
      <c r="Y162" s="2" t="s">
        <v>37</v>
      </c>
      <c r="Z162" s="2" t="s">
        <v>44</v>
      </c>
      <c r="AA162" s="2"/>
      <c r="AB162" s="2"/>
      <c r="AC162" s="2" t="s">
        <v>1419</v>
      </c>
      <c r="AD162" s="2" t="s">
        <v>46</v>
      </c>
    </row>
    <row r="163" customFormat="false" ht="15.7" hidden="false" customHeight="true" outlineLevel="0" collapsed="false">
      <c r="A163" s="2"/>
      <c r="B163" s="3" t="n">
        <f aca="false">DATE(2006,5,2)</f>
        <v>0</v>
      </c>
      <c r="C163" s="3" t="n">
        <v>38839</v>
      </c>
      <c r="D163" s="2" t="s">
        <v>1420</v>
      </c>
      <c r="F163" s="2" t="s">
        <v>1421</v>
      </c>
      <c r="G163" s="2" t="s">
        <v>1422</v>
      </c>
      <c r="H163" s="2" t="s">
        <v>130</v>
      </c>
      <c r="I163" s="2" t="s">
        <v>51</v>
      </c>
      <c r="J163" s="2" t="s">
        <v>1423</v>
      </c>
      <c r="K163" s="2" t="s">
        <v>1424</v>
      </c>
      <c r="L163" s="2" t="s">
        <v>51</v>
      </c>
      <c r="M163" s="2" t="s">
        <v>762</v>
      </c>
      <c r="N163" s="2" t="s">
        <v>1425</v>
      </c>
      <c r="O163" s="2"/>
      <c r="P163" s="2" t="s">
        <v>37</v>
      </c>
      <c r="Q163" s="4" t="n">
        <v>8731</v>
      </c>
      <c r="R163" s="2" t="s">
        <v>56</v>
      </c>
      <c r="S163" s="2" t="s">
        <v>80</v>
      </c>
      <c r="T163" s="2" t="s">
        <v>403</v>
      </c>
      <c r="U163" s="2" t="s">
        <v>1426</v>
      </c>
      <c r="V163" s="2"/>
      <c r="W163" s="2" t="s">
        <v>42</v>
      </c>
      <c r="X163" s="2" t="s">
        <v>43</v>
      </c>
      <c r="Y163" s="2" t="s">
        <v>37</v>
      </c>
      <c r="Z163" s="2" t="s">
        <v>44</v>
      </c>
      <c r="AA163" s="2"/>
      <c r="AB163" s="2"/>
      <c r="AC163" s="2" t="s">
        <v>1427</v>
      </c>
      <c r="AD163" s="2" t="s">
        <v>46</v>
      </c>
    </row>
    <row r="164" customFormat="false" ht="15.7" hidden="false" customHeight="true" outlineLevel="0" collapsed="false">
      <c r="A164" s="2"/>
      <c r="B164" s="3" t="n">
        <f aca="false">DATE(2006,5,3)</f>
        <v>0</v>
      </c>
      <c r="C164" s="3" t="n">
        <v>38840</v>
      </c>
      <c r="D164" s="2" t="s">
        <v>1428</v>
      </c>
      <c r="F164" s="2" t="s">
        <v>1429</v>
      </c>
      <c r="G164" s="2" t="s">
        <v>1430</v>
      </c>
      <c r="H164" s="2" t="s">
        <v>305</v>
      </c>
      <c r="I164" s="2" t="s">
        <v>1431</v>
      </c>
      <c r="J164" s="2" t="s">
        <v>514</v>
      </c>
      <c r="K164" s="2" t="s">
        <v>1428</v>
      </c>
      <c r="L164" s="2" t="s">
        <v>1431</v>
      </c>
      <c r="M164" s="2" t="s">
        <v>305</v>
      </c>
      <c r="N164" s="2" t="s">
        <v>1432</v>
      </c>
      <c r="O164" s="2"/>
      <c r="P164" s="2" t="s">
        <v>37</v>
      </c>
      <c r="Q164" s="4" t="n">
        <v>8731</v>
      </c>
      <c r="R164" s="2" t="s">
        <v>1195</v>
      </c>
      <c r="S164" s="2" t="s">
        <v>39</v>
      </c>
      <c r="T164" s="2" t="s">
        <v>403</v>
      </c>
      <c r="U164" s="2" t="s">
        <v>1433</v>
      </c>
      <c r="V164" s="2"/>
      <c r="W164" s="2" t="s">
        <v>42</v>
      </c>
      <c r="X164" s="2" t="s">
        <v>46</v>
      </c>
      <c r="Y164" s="2" t="s">
        <v>37</v>
      </c>
      <c r="Z164" s="2" t="s">
        <v>362</v>
      </c>
      <c r="AA164" s="2"/>
      <c r="AB164" s="2"/>
      <c r="AC164" s="2" t="s">
        <v>1434</v>
      </c>
      <c r="AD164" s="2" t="s">
        <v>46</v>
      </c>
    </row>
    <row r="165" customFormat="false" ht="15.7" hidden="false" customHeight="true" outlineLevel="0" collapsed="false">
      <c r="A165" s="2"/>
      <c r="B165" s="3" t="n">
        <f aca="false">DATE(2006,5,3)</f>
        <v>0</v>
      </c>
      <c r="C165" s="3" t="n">
        <v>38840</v>
      </c>
      <c r="D165" s="2" t="s">
        <v>1435</v>
      </c>
      <c r="F165" s="2" t="s">
        <v>566</v>
      </c>
      <c r="G165" s="2" t="s">
        <v>1436</v>
      </c>
      <c r="H165" s="2" t="s">
        <v>63</v>
      </c>
      <c r="I165" s="2" t="s">
        <v>1437</v>
      </c>
      <c r="J165" s="2" t="s">
        <v>35</v>
      </c>
      <c r="K165" s="2" t="s">
        <v>1438</v>
      </c>
      <c r="L165" s="2" t="s">
        <v>1439</v>
      </c>
      <c r="M165" s="2" t="s">
        <v>63</v>
      </c>
      <c r="N165" s="2" t="s">
        <v>1440</v>
      </c>
      <c r="O165" s="2"/>
      <c r="P165" s="2" t="s">
        <v>37</v>
      </c>
      <c r="Q165" s="4" t="n">
        <v>8731</v>
      </c>
      <c r="R165" s="2" t="s">
        <v>1441</v>
      </c>
      <c r="S165" s="2" t="s">
        <v>39</v>
      </c>
      <c r="T165" s="2" t="s">
        <v>403</v>
      </c>
      <c r="U165" s="2" t="s">
        <v>1442</v>
      </c>
      <c r="V165" s="2"/>
      <c r="W165" s="2" t="s">
        <v>42</v>
      </c>
      <c r="X165" s="2" t="s">
        <v>43</v>
      </c>
      <c r="Y165" s="2" t="s">
        <v>37</v>
      </c>
      <c r="Z165" s="2" t="s">
        <v>44</v>
      </c>
      <c r="AA165" s="2"/>
      <c r="AB165" s="2"/>
      <c r="AC165" s="2" t="s">
        <v>1443</v>
      </c>
      <c r="AD165" s="2" t="s">
        <v>46</v>
      </c>
    </row>
    <row r="166" customFormat="false" ht="15.7" hidden="false" customHeight="true" outlineLevel="0" collapsed="false">
      <c r="A166" s="2"/>
      <c r="B166" s="3" t="n">
        <f aca="false">DATE(2006,5,3)</f>
        <v>0</v>
      </c>
      <c r="C166" s="3" t="n">
        <v>38840</v>
      </c>
      <c r="D166" s="2" t="s">
        <v>1444</v>
      </c>
      <c r="F166" s="2" t="s">
        <v>1445</v>
      </c>
      <c r="G166" s="2" t="s">
        <v>1446</v>
      </c>
      <c r="H166" s="2" t="s">
        <v>387</v>
      </c>
      <c r="I166" s="2" t="s">
        <v>540</v>
      </c>
      <c r="J166" s="2" t="s">
        <v>35</v>
      </c>
      <c r="K166" s="2" t="s">
        <v>1444</v>
      </c>
      <c r="L166" s="2" t="s">
        <v>540</v>
      </c>
      <c r="M166" s="2" t="s">
        <v>387</v>
      </c>
      <c r="N166" s="2" t="s">
        <v>1447</v>
      </c>
      <c r="O166" s="2"/>
      <c r="P166" s="2" t="s">
        <v>37</v>
      </c>
      <c r="Q166" s="4" t="n">
        <v>8731</v>
      </c>
      <c r="R166" s="2" t="s">
        <v>1448</v>
      </c>
      <c r="S166" s="2" t="s">
        <v>39</v>
      </c>
      <c r="T166" s="2" t="s">
        <v>403</v>
      </c>
      <c r="U166" s="2" t="s">
        <v>1449</v>
      </c>
      <c r="V166" s="2"/>
      <c r="W166" s="2" t="s">
        <v>42</v>
      </c>
      <c r="X166" s="2" t="s">
        <v>43</v>
      </c>
      <c r="Y166" s="2" t="s">
        <v>37</v>
      </c>
      <c r="Z166" s="2" t="s">
        <v>44</v>
      </c>
      <c r="AA166" s="2" t="s">
        <v>1450</v>
      </c>
      <c r="AB166" s="2"/>
      <c r="AC166" s="2" t="s">
        <v>1451</v>
      </c>
      <c r="AD166" s="2" t="s">
        <v>46</v>
      </c>
    </row>
    <row r="167" customFormat="false" ht="15.7" hidden="false" customHeight="true" outlineLevel="0" collapsed="false">
      <c r="A167" s="2"/>
      <c r="B167" s="3" t="n">
        <f aca="false">DATE(2006,5,4)</f>
        <v>0</v>
      </c>
      <c r="C167" s="3" t="n">
        <v>38841</v>
      </c>
      <c r="D167" s="2" t="s">
        <v>1452</v>
      </c>
      <c r="F167" s="2" t="s">
        <v>1453</v>
      </c>
      <c r="G167" s="2" t="s">
        <v>1454</v>
      </c>
      <c r="H167" s="2" t="s">
        <v>1455</v>
      </c>
      <c r="I167" s="2" t="s">
        <v>388</v>
      </c>
      <c r="J167" s="2" t="s">
        <v>1456</v>
      </c>
      <c r="K167" s="2" t="s">
        <v>1457</v>
      </c>
      <c r="L167" s="2" t="s">
        <v>388</v>
      </c>
      <c r="M167" s="2" t="s">
        <v>1458</v>
      </c>
      <c r="N167" s="2" t="s">
        <v>1459</v>
      </c>
      <c r="O167" s="2"/>
      <c r="P167" s="2" t="s">
        <v>37</v>
      </c>
      <c r="Q167" s="4" t="n">
        <v>8731</v>
      </c>
      <c r="R167" s="2" t="s">
        <v>136</v>
      </c>
      <c r="S167" s="2" t="s">
        <v>39</v>
      </c>
      <c r="T167" s="2" t="s">
        <v>40</v>
      </c>
      <c r="U167" s="2" t="s">
        <v>1460</v>
      </c>
      <c r="V167" s="2"/>
      <c r="W167" s="2" t="s">
        <v>42</v>
      </c>
      <c r="X167" s="2" t="s">
        <v>43</v>
      </c>
      <c r="Y167" s="2" t="s">
        <v>37</v>
      </c>
      <c r="Z167" s="2" t="s">
        <v>44</v>
      </c>
      <c r="AA167" s="2"/>
      <c r="AB167" s="2"/>
      <c r="AC167" s="2" t="s">
        <v>1461</v>
      </c>
      <c r="AD167" s="2" t="s">
        <v>46</v>
      </c>
    </row>
    <row r="168" customFormat="false" ht="15.7" hidden="false" customHeight="true" outlineLevel="0" collapsed="false">
      <c r="A168" s="2"/>
      <c r="B168" s="3" t="n">
        <f aca="false">DATE(2006,5,8)</f>
        <v>0</v>
      </c>
      <c r="C168" s="3" t="n">
        <v>38845</v>
      </c>
      <c r="D168" s="2" t="s">
        <v>1462</v>
      </c>
      <c r="F168" s="2" t="s">
        <v>1463</v>
      </c>
      <c r="G168" s="2" t="s">
        <v>1464</v>
      </c>
      <c r="H168" s="2" t="s">
        <v>1465</v>
      </c>
      <c r="I168" s="2" t="s">
        <v>51</v>
      </c>
      <c r="J168" s="2" t="s">
        <v>1466</v>
      </c>
      <c r="K168" s="2" t="s">
        <v>1462</v>
      </c>
      <c r="L168" s="2" t="s">
        <v>51</v>
      </c>
      <c r="M168" s="2" t="s">
        <v>1465</v>
      </c>
      <c r="N168" s="2" t="s">
        <v>1467</v>
      </c>
      <c r="O168" s="2"/>
      <c r="P168" s="2" t="s">
        <v>37</v>
      </c>
      <c r="Q168" s="4" t="n">
        <v>8732</v>
      </c>
      <c r="R168" s="2" t="s">
        <v>56</v>
      </c>
      <c r="S168" s="2" t="s">
        <v>1226</v>
      </c>
      <c r="T168" s="2" t="s">
        <v>40</v>
      </c>
      <c r="U168" s="2" t="s">
        <v>1468</v>
      </c>
      <c r="V168" s="2"/>
      <c r="W168" s="2" t="s">
        <v>42</v>
      </c>
      <c r="X168" s="2" t="s">
        <v>43</v>
      </c>
      <c r="Y168" s="2" t="s">
        <v>37</v>
      </c>
      <c r="Z168" s="2" t="s">
        <v>44</v>
      </c>
      <c r="AA168" s="2"/>
      <c r="AB168" s="2"/>
      <c r="AC168" s="2" t="s">
        <v>1469</v>
      </c>
      <c r="AD168" s="2" t="s">
        <v>46</v>
      </c>
    </row>
    <row r="169" customFormat="false" ht="15.7" hidden="false" customHeight="true" outlineLevel="0" collapsed="false">
      <c r="A169" s="2"/>
      <c r="B169" s="3" t="n">
        <f aca="false">DATE(2006,5,8)</f>
        <v>0</v>
      </c>
      <c r="C169" s="3" t="n">
        <v>38845</v>
      </c>
      <c r="D169" s="2" t="s">
        <v>1470</v>
      </c>
      <c r="F169" s="2" t="s">
        <v>1471</v>
      </c>
      <c r="G169" s="2" t="s">
        <v>1472</v>
      </c>
      <c r="H169" s="2" t="s">
        <v>1473</v>
      </c>
      <c r="I169" s="2" t="s">
        <v>51</v>
      </c>
      <c r="J169" s="2" t="s">
        <v>1474</v>
      </c>
      <c r="K169" s="2" t="s">
        <v>1475</v>
      </c>
      <c r="L169" s="2" t="s">
        <v>51</v>
      </c>
      <c r="M169" s="2" t="s">
        <v>1476</v>
      </c>
      <c r="N169" s="2" t="s">
        <v>1477</v>
      </c>
      <c r="O169" s="2"/>
      <c r="P169" s="2" t="s">
        <v>37</v>
      </c>
      <c r="Q169" s="4" t="n">
        <v>8731</v>
      </c>
      <c r="R169" s="2" t="s">
        <v>56</v>
      </c>
      <c r="S169" s="2" t="s">
        <v>1226</v>
      </c>
      <c r="T169" s="2" t="s">
        <v>40</v>
      </c>
      <c r="U169" s="2" t="s">
        <v>1478</v>
      </c>
      <c r="V169" s="2"/>
      <c r="W169" s="2" t="s">
        <v>42</v>
      </c>
      <c r="X169" s="2" t="s">
        <v>43</v>
      </c>
      <c r="Y169" s="2" t="s">
        <v>37</v>
      </c>
      <c r="Z169" s="2" t="s">
        <v>44</v>
      </c>
      <c r="AA169" s="2"/>
      <c r="AB169" s="2"/>
      <c r="AC169" s="2" t="s">
        <v>1479</v>
      </c>
      <c r="AD169" s="2" t="s">
        <v>46</v>
      </c>
    </row>
    <row r="170" customFormat="false" ht="15.7" hidden="false" customHeight="true" outlineLevel="0" collapsed="false">
      <c r="A170" s="2"/>
      <c r="B170" s="3" t="n">
        <f aca="false">DATE(2006,5,9)</f>
        <v>0</v>
      </c>
      <c r="C170" s="3" t="n">
        <v>38846</v>
      </c>
      <c r="D170" s="2" t="s">
        <v>1480</v>
      </c>
      <c r="F170" s="2" t="s">
        <v>999</v>
      </c>
      <c r="G170" s="2" t="s">
        <v>1481</v>
      </c>
      <c r="H170" s="2" t="s">
        <v>762</v>
      </c>
      <c r="I170" s="2" t="s">
        <v>51</v>
      </c>
      <c r="J170" s="2" t="s">
        <v>1482</v>
      </c>
      <c r="K170" s="2" t="s">
        <v>1480</v>
      </c>
      <c r="L170" s="2" t="s">
        <v>51</v>
      </c>
      <c r="M170" s="2" t="s">
        <v>762</v>
      </c>
      <c r="N170" s="2" t="s">
        <v>1483</v>
      </c>
      <c r="O170" s="2"/>
      <c r="P170" s="2" t="s">
        <v>37</v>
      </c>
      <c r="Q170" s="4" t="n">
        <v>8731</v>
      </c>
      <c r="R170" s="2" t="s">
        <v>56</v>
      </c>
      <c r="S170" s="2" t="s">
        <v>1484</v>
      </c>
      <c r="T170" s="2" t="s">
        <v>40</v>
      </c>
      <c r="U170" s="2" t="s">
        <v>1485</v>
      </c>
      <c r="V170" s="2"/>
      <c r="W170" s="2" t="s">
        <v>42</v>
      </c>
      <c r="X170" s="2" t="s">
        <v>43</v>
      </c>
      <c r="Y170" s="2" t="s">
        <v>37</v>
      </c>
      <c r="Z170" s="2" t="s">
        <v>44</v>
      </c>
      <c r="AA170" s="2"/>
      <c r="AB170" s="2"/>
      <c r="AC170" s="2" t="s">
        <v>1486</v>
      </c>
      <c r="AD170" s="2" t="s">
        <v>46</v>
      </c>
    </row>
    <row r="171" customFormat="false" ht="15.7" hidden="false" customHeight="true" outlineLevel="0" collapsed="false">
      <c r="A171" s="2"/>
      <c r="B171" s="3" t="n">
        <f aca="false">DATE(2006,5,9)</f>
        <v>0</v>
      </c>
      <c r="C171" s="3" t="n">
        <v>38846</v>
      </c>
      <c r="D171" s="2" t="s">
        <v>1487</v>
      </c>
      <c r="F171" s="2" t="s">
        <v>256</v>
      </c>
      <c r="G171" s="2" t="s">
        <v>1488</v>
      </c>
      <c r="H171" s="2" t="s">
        <v>170</v>
      </c>
      <c r="I171" s="2" t="s">
        <v>487</v>
      </c>
      <c r="J171" s="2" t="s">
        <v>331</v>
      </c>
      <c r="K171" s="2" t="s">
        <v>1487</v>
      </c>
      <c r="L171" s="2" t="s">
        <v>487</v>
      </c>
      <c r="M171" s="2" t="s">
        <v>170</v>
      </c>
      <c r="N171" s="2" t="s">
        <v>1489</v>
      </c>
      <c r="O171" s="2"/>
      <c r="P171" s="2" t="s">
        <v>37</v>
      </c>
      <c r="Q171" s="4" t="n">
        <v>8731</v>
      </c>
      <c r="R171" s="2" t="s">
        <v>136</v>
      </c>
      <c r="S171" s="2" t="s">
        <v>39</v>
      </c>
      <c r="T171" s="2" t="s">
        <v>40</v>
      </c>
      <c r="U171" s="2" t="s">
        <v>1490</v>
      </c>
      <c r="V171" s="2"/>
      <c r="W171" s="2" t="s">
        <v>42</v>
      </c>
      <c r="X171" s="2" t="s">
        <v>43</v>
      </c>
      <c r="Y171" s="2" t="s">
        <v>37</v>
      </c>
      <c r="Z171" s="2" t="s">
        <v>44</v>
      </c>
      <c r="AA171" s="2"/>
      <c r="AB171" s="2"/>
      <c r="AC171" s="2" t="s">
        <v>1491</v>
      </c>
      <c r="AD171" s="2" t="s">
        <v>46</v>
      </c>
    </row>
    <row r="172" customFormat="false" ht="15.7" hidden="false" customHeight="true" outlineLevel="0" collapsed="false">
      <c r="A172" s="2"/>
      <c r="B172" s="3" t="n">
        <f aca="false">DATE(2006,5,10)</f>
        <v>0</v>
      </c>
      <c r="C172" s="3" t="n">
        <v>38847</v>
      </c>
      <c r="D172" s="2" t="s">
        <v>1492</v>
      </c>
      <c r="F172" s="2" t="s">
        <v>1493</v>
      </c>
      <c r="G172" s="2" t="s">
        <v>1494</v>
      </c>
      <c r="H172" s="2" t="s">
        <v>1495</v>
      </c>
      <c r="I172" s="2" t="s">
        <v>51</v>
      </c>
      <c r="J172" s="2" t="s">
        <v>1496</v>
      </c>
      <c r="K172" s="2" t="s">
        <v>1492</v>
      </c>
      <c r="L172" s="2" t="s">
        <v>51</v>
      </c>
      <c r="M172" s="2" t="s">
        <v>1495</v>
      </c>
      <c r="N172" s="2" t="s">
        <v>1497</v>
      </c>
      <c r="O172" s="2"/>
      <c r="P172" s="2" t="s">
        <v>37</v>
      </c>
      <c r="Q172" s="4" t="n">
        <v>8731</v>
      </c>
      <c r="R172" s="2" t="s">
        <v>56</v>
      </c>
      <c r="S172" s="2" t="s">
        <v>251</v>
      </c>
      <c r="T172" s="2" t="s">
        <v>40</v>
      </c>
      <c r="U172" s="2" t="s">
        <v>1498</v>
      </c>
      <c r="V172" s="2"/>
      <c r="W172" s="2" t="s">
        <v>42</v>
      </c>
      <c r="X172" s="2" t="s">
        <v>43</v>
      </c>
      <c r="Y172" s="2" t="s">
        <v>37</v>
      </c>
      <c r="Z172" s="2" t="s">
        <v>44</v>
      </c>
      <c r="AA172" s="2"/>
      <c r="AB172" s="2"/>
      <c r="AC172" s="2" t="s">
        <v>1499</v>
      </c>
      <c r="AD172" s="2" t="s">
        <v>46</v>
      </c>
    </row>
    <row r="173" customFormat="false" ht="15.7" hidden="false" customHeight="true" outlineLevel="0" collapsed="false">
      <c r="A173" s="2"/>
      <c r="B173" s="3" t="n">
        <f aca="false">DATE(2006,5,10)</f>
        <v>0</v>
      </c>
      <c r="C173" s="3" t="n">
        <v>38847</v>
      </c>
      <c r="D173" s="2" t="s">
        <v>1500</v>
      </c>
      <c r="F173" s="2" t="s">
        <v>1501</v>
      </c>
      <c r="G173" s="2" t="s">
        <v>1502</v>
      </c>
      <c r="H173" s="2" t="s">
        <v>170</v>
      </c>
      <c r="I173" s="2" t="s">
        <v>388</v>
      </c>
      <c r="J173" s="2" t="s">
        <v>514</v>
      </c>
      <c r="K173" s="2" t="s">
        <v>1500</v>
      </c>
      <c r="L173" s="2" t="s">
        <v>388</v>
      </c>
      <c r="M173" s="2" t="s">
        <v>170</v>
      </c>
      <c r="N173" s="2" t="s">
        <v>1503</v>
      </c>
      <c r="O173" s="2"/>
      <c r="P173" s="2" t="s">
        <v>37</v>
      </c>
      <c r="Q173" s="4" t="n">
        <v>8731</v>
      </c>
      <c r="R173" s="2" t="s">
        <v>136</v>
      </c>
      <c r="S173" s="2" t="s">
        <v>39</v>
      </c>
      <c r="T173" s="2" t="s">
        <v>40</v>
      </c>
      <c r="U173" s="2" t="s">
        <v>1504</v>
      </c>
      <c r="V173" s="2"/>
      <c r="W173" s="2" t="s">
        <v>42</v>
      </c>
      <c r="X173" s="2" t="s">
        <v>43</v>
      </c>
      <c r="Y173" s="2" t="s">
        <v>37</v>
      </c>
      <c r="Z173" s="2" t="s">
        <v>44</v>
      </c>
      <c r="AA173" s="2"/>
      <c r="AB173" s="2"/>
      <c r="AC173" s="2" t="s">
        <v>1505</v>
      </c>
      <c r="AD173" s="2" t="s">
        <v>46</v>
      </c>
    </row>
    <row r="174" customFormat="false" ht="15.7" hidden="false" customHeight="true" outlineLevel="0" collapsed="false">
      <c r="A174" s="2"/>
      <c r="B174" s="3" t="n">
        <f aca="false">DATE(2006,5,11)</f>
        <v>0</v>
      </c>
      <c r="C174" s="3" t="n">
        <v>38848</v>
      </c>
      <c r="D174" s="2" t="s">
        <v>1506</v>
      </c>
      <c r="F174" s="2" t="s">
        <v>1172</v>
      </c>
      <c r="G174" s="2" t="s">
        <v>1507</v>
      </c>
      <c r="H174" s="2" t="s">
        <v>63</v>
      </c>
      <c r="I174" s="2" t="s">
        <v>1508</v>
      </c>
      <c r="J174" s="2" t="s">
        <v>966</v>
      </c>
      <c r="K174" s="2" t="s">
        <v>1506</v>
      </c>
      <c r="L174" s="2" t="s">
        <v>1508</v>
      </c>
      <c r="M174" s="2" t="s">
        <v>63</v>
      </c>
      <c r="N174" s="2" t="s">
        <v>1509</v>
      </c>
      <c r="O174" s="2"/>
      <c r="P174" s="2" t="s">
        <v>37</v>
      </c>
      <c r="Q174" s="4" t="n">
        <v>8731</v>
      </c>
      <c r="R174" s="2" t="s">
        <v>136</v>
      </c>
      <c r="S174" s="2" t="s">
        <v>39</v>
      </c>
      <c r="T174" s="2" t="s">
        <v>40</v>
      </c>
      <c r="U174" s="2" t="s">
        <v>1510</v>
      </c>
      <c r="V174" s="2"/>
      <c r="W174" s="2" t="s">
        <v>42</v>
      </c>
      <c r="X174" s="2" t="s">
        <v>43</v>
      </c>
      <c r="Y174" s="2" t="s">
        <v>37</v>
      </c>
      <c r="Z174" s="2" t="s">
        <v>44</v>
      </c>
      <c r="AA174" s="2"/>
      <c r="AB174" s="2"/>
      <c r="AC174" s="2" t="s">
        <v>1511</v>
      </c>
      <c r="AD174" s="2" t="s">
        <v>46</v>
      </c>
    </row>
    <row r="175" customFormat="false" ht="15.7" hidden="false" customHeight="true" outlineLevel="0" collapsed="false">
      <c r="A175" s="2"/>
      <c r="B175" s="3" t="n">
        <f aca="false">DATE(2006,5,13)</f>
        <v>0</v>
      </c>
      <c r="C175" s="3" t="n">
        <v>38850</v>
      </c>
      <c r="D175" s="2" t="s">
        <v>1512</v>
      </c>
      <c r="F175" s="2" t="s">
        <v>1513</v>
      </c>
      <c r="G175" s="2" t="s">
        <v>1514</v>
      </c>
      <c r="H175" s="2" t="s">
        <v>1515</v>
      </c>
      <c r="I175" s="2" t="s">
        <v>664</v>
      </c>
      <c r="J175" s="2" t="s">
        <v>132</v>
      </c>
      <c r="K175" s="2" t="s">
        <v>1512</v>
      </c>
      <c r="L175" s="2" t="s">
        <v>664</v>
      </c>
      <c r="M175" s="2" t="s">
        <v>1515</v>
      </c>
      <c r="N175" s="2" t="s">
        <v>1516</v>
      </c>
      <c r="O175" s="2"/>
      <c r="P175" s="2" t="s">
        <v>37</v>
      </c>
      <c r="Q175" s="4" t="n">
        <v>8732</v>
      </c>
      <c r="R175" s="2" t="s">
        <v>38</v>
      </c>
      <c r="S175" s="2" t="s">
        <v>39</v>
      </c>
      <c r="T175" s="2" t="s">
        <v>403</v>
      </c>
      <c r="U175" s="2" t="s">
        <v>1517</v>
      </c>
      <c r="V175" s="2"/>
      <c r="W175" s="2" t="s">
        <v>697</v>
      </c>
      <c r="X175" s="2" t="s">
        <v>43</v>
      </c>
      <c r="Y175" s="2" t="s">
        <v>37</v>
      </c>
      <c r="Z175" s="2" t="s">
        <v>44</v>
      </c>
      <c r="AA175" s="2"/>
      <c r="AB175" s="2"/>
      <c r="AC175" s="2" t="s">
        <v>1518</v>
      </c>
      <c r="AD175" s="2" t="s">
        <v>46</v>
      </c>
    </row>
    <row r="176" customFormat="false" ht="15.7" hidden="false" customHeight="true" outlineLevel="0" collapsed="false">
      <c r="A176" s="2"/>
      <c r="B176" s="3" t="n">
        <f aca="false">DATE(2006,5,15)</f>
        <v>0</v>
      </c>
      <c r="C176" s="3" t="n">
        <v>38852</v>
      </c>
      <c r="D176" s="2" t="s">
        <v>1519</v>
      </c>
      <c r="F176" s="2" t="s">
        <v>200</v>
      </c>
      <c r="G176" s="2" t="s">
        <v>256</v>
      </c>
      <c r="H176" s="2" t="s">
        <v>170</v>
      </c>
      <c r="I176" s="2" t="s">
        <v>296</v>
      </c>
      <c r="J176" s="2" t="s">
        <v>1520</v>
      </c>
      <c r="K176" s="2" t="s">
        <v>1521</v>
      </c>
      <c r="L176" s="2" t="s">
        <v>296</v>
      </c>
      <c r="M176" s="2" t="s">
        <v>814</v>
      </c>
      <c r="N176" s="2" t="s">
        <v>1522</v>
      </c>
      <c r="O176" s="2"/>
      <c r="P176" s="2" t="s">
        <v>37</v>
      </c>
      <c r="Q176" s="4" t="n">
        <v>8731</v>
      </c>
      <c r="R176" s="2" t="s">
        <v>136</v>
      </c>
      <c r="S176" s="2" t="s">
        <v>39</v>
      </c>
      <c r="T176" s="2" t="s">
        <v>40</v>
      </c>
      <c r="U176" s="2" t="s">
        <v>1523</v>
      </c>
      <c r="V176" s="2"/>
      <c r="W176" s="2" t="s">
        <v>42</v>
      </c>
      <c r="X176" s="2" t="s">
        <v>43</v>
      </c>
      <c r="Y176" s="2" t="s">
        <v>37</v>
      </c>
      <c r="Z176" s="2" t="s">
        <v>44</v>
      </c>
      <c r="AA176" s="2"/>
      <c r="AB176" s="2"/>
      <c r="AC176" s="2" t="s">
        <v>1524</v>
      </c>
      <c r="AD176" s="2" t="s">
        <v>46</v>
      </c>
    </row>
    <row r="177" customFormat="false" ht="15.7" hidden="false" customHeight="true" outlineLevel="0" collapsed="false">
      <c r="A177" s="2"/>
      <c r="B177" s="3" t="n">
        <f aca="false">DATE(2006,5,15)</f>
        <v>0</v>
      </c>
      <c r="C177" s="3" t="n">
        <v>38852</v>
      </c>
      <c r="D177" s="2" t="s">
        <v>1525</v>
      </c>
      <c r="F177" s="2" t="s">
        <v>1526</v>
      </c>
      <c r="G177" s="2" t="s">
        <v>1527</v>
      </c>
      <c r="H177" s="2" t="s">
        <v>1528</v>
      </c>
      <c r="I177" s="2" t="s">
        <v>1529</v>
      </c>
      <c r="J177" s="2" t="s">
        <v>132</v>
      </c>
      <c r="K177" s="2" t="s">
        <v>1525</v>
      </c>
      <c r="L177" s="2" t="s">
        <v>1529</v>
      </c>
      <c r="M177" s="2" t="s">
        <v>1528</v>
      </c>
      <c r="N177" s="2" t="s">
        <v>1530</v>
      </c>
      <c r="O177" s="2"/>
      <c r="P177" s="2" t="s">
        <v>37</v>
      </c>
      <c r="Q177" s="4" t="n">
        <v>8731</v>
      </c>
      <c r="R177" s="2" t="s">
        <v>136</v>
      </c>
      <c r="S177" s="2" t="s">
        <v>39</v>
      </c>
      <c r="T177" s="2" t="s">
        <v>40</v>
      </c>
      <c r="U177" s="2" t="s">
        <v>1531</v>
      </c>
      <c r="V177" s="2"/>
      <c r="W177" s="2" t="s">
        <v>42</v>
      </c>
      <c r="X177" s="2" t="s">
        <v>43</v>
      </c>
      <c r="Y177" s="2" t="s">
        <v>37</v>
      </c>
      <c r="Z177" s="2" t="s">
        <v>44</v>
      </c>
      <c r="AA177" s="2"/>
      <c r="AB177" s="2"/>
      <c r="AC177" s="2" t="s">
        <v>1532</v>
      </c>
      <c r="AD177" s="2" t="s">
        <v>46</v>
      </c>
    </row>
    <row r="178" customFormat="false" ht="15.7" hidden="false" customHeight="true" outlineLevel="0" collapsed="false">
      <c r="A178" s="2"/>
      <c r="B178" s="3" t="n">
        <f aca="false">DATE(2006,5,17)</f>
        <v>0</v>
      </c>
      <c r="C178" s="3" t="n">
        <v>38854</v>
      </c>
      <c r="D178" s="2" t="s">
        <v>1533</v>
      </c>
      <c r="F178" s="2" t="s">
        <v>1534</v>
      </c>
      <c r="G178" s="2" t="s">
        <v>1535</v>
      </c>
      <c r="H178" s="2" t="s">
        <v>170</v>
      </c>
      <c r="I178" s="2" t="s">
        <v>1536</v>
      </c>
      <c r="J178" s="2" t="s">
        <v>35</v>
      </c>
      <c r="K178" s="2" t="s">
        <v>1533</v>
      </c>
      <c r="L178" s="2" t="s">
        <v>1536</v>
      </c>
      <c r="M178" s="2" t="s">
        <v>170</v>
      </c>
      <c r="N178" s="2" t="s">
        <v>1537</v>
      </c>
      <c r="O178" s="2"/>
      <c r="P178" s="2" t="s">
        <v>37</v>
      </c>
      <c r="Q178" s="4" t="n">
        <v>8731</v>
      </c>
      <c r="R178" s="2" t="s">
        <v>136</v>
      </c>
      <c r="S178" s="2" t="s">
        <v>39</v>
      </c>
      <c r="T178" s="2" t="s">
        <v>40</v>
      </c>
      <c r="U178" s="2" t="s">
        <v>1538</v>
      </c>
      <c r="V178" s="2"/>
      <c r="W178" s="2" t="s">
        <v>42</v>
      </c>
      <c r="X178" s="2" t="s">
        <v>43</v>
      </c>
      <c r="Y178" s="2" t="s">
        <v>37</v>
      </c>
      <c r="Z178" s="2" t="s">
        <v>44</v>
      </c>
      <c r="AA178" s="2"/>
      <c r="AB178" s="2"/>
      <c r="AC178" s="2" t="s">
        <v>1539</v>
      </c>
      <c r="AD178" s="2" t="s">
        <v>46</v>
      </c>
    </row>
    <row r="179" customFormat="false" ht="15.7" hidden="false" customHeight="true" outlineLevel="0" collapsed="false">
      <c r="A179" s="2"/>
      <c r="B179" s="3" t="n">
        <f aca="false">DATE(2006,5,18)</f>
        <v>0</v>
      </c>
      <c r="C179" s="3" t="n">
        <v>38855</v>
      </c>
      <c r="D179" s="2" t="s">
        <v>1540</v>
      </c>
      <c r="F179" s="2" t="s">
        <v>1541</v>
      </c>
      <c r="G179" s="2" t="s">
        <v>1542</v>
      </c>
      <c r="H179" s="2" t="s">
        <v>1543</v>
      </c>
      <c r="I179" s="2" t="s">
        <v>1544</v>
      </c>
      <c r="J179" s="2" t="s">
        <v>795</v>
      </c>
      <c r="K179" s="2" t="s">
        <v>1545</v>
      </c>
      <c r="L179" s="2" t="s">
        <v>1544</v>
      </c>
      <c r="M179" s="2" t="s">
        <v>1546</v>
      </c>
      <c r="N179" s="2" t="s">
        <v>1547</v>
      </c>
      <c r="O179" s="2"/>
      <c r="P179" s="2" t="s">
        <v>37</v>
      </c>
      <c r="Q179" s="4" t="n">
        <v>8731</v>
      </c>
      <c r="R179" s="2" t="s">
        <v>136</v>
      </c>
      <c r="S179" s="2" t="s">
        <v>39</v>
      </c>
      <c r="T179" s="2" t="s">
        <v>403</v>
      </c>
      <c r="U179" s="2" t="s">
        <v>1548</v>
      </c>
      <c r="V179" s="2"/>
      <c r="W179" s="2" t="s">
        <v>42</v>
      </c>
      <c r="X179" s="2" t="s">
        <v>43</v>
      </c>
      <c r="Y179" s="2" t="s">
        <v>37</v>
      </c>
      <c r="Z179" s="2" t="s">
        <v>44</v>
      </c>
      <c r="AA179" s="2"/>
      <c r="AB179" s="2"/>
      <c r="AC179" s="2" t="s">
        <v>1549</v>
      </c>
      <c r="AD179" s="2" t="s">
        <v>46</v>
      </c>
    </row>
    <row r="180" customFormat="false" ht="15.7" hidden="false" customHeight="true" outlineLevel="0" collapsed="false">
      <c r="A180" s="2"/>
      <c r="B180" s="3" t="n">
        <f aca="false">DATE(2006,5,18)</f>
        <v>0</v>
      </c>
      <c r="C180" s="3" t="n">
        <v>38855</v>
      </c>
      <c r="D180" s="2" t="s">
        <v>1550</v>
      </c>
      <c r="F180" s="2" t="s">
        <v>1551</v>
      </c>
      <c r="G180" s="2" t="s">
        <v>1552</v>
      </c>
      <c r="H180" s="2" t="s">
        <v>1553</v>
      </c>
      <c r="I180" s="2" t="s">
        <v>219</v>
      </c>
      <c r="J180" s="2" t="s">
        <v>313</v>
      </c>
      <c r="K180" s="2" t="s">
        <v>1554</v>
      </c>
      <c r="L180" s="2" t="s">
        <v>219</v>
      </c>
      <c r="M180" s="2" t="s">
        <v>1555</v>
      </c>
      <c r="N180" s="2" t="s">
        <v>1556</v>
      </c>
      <c r="O180" s="2"/>
      <c r="P180" s="2" t="s">
        <v>37</v>
      </c>
      <c r="Q180" s="4" t="n">
        <v>8731</v>
      </c>
      <c r="R180" s="2" t="s">
        <v>136</v>
      </c>
      <c r="S180" s="2" t="s">
        <v>39</v>
      </c>
      <c r="T180" s="2" t="s">
        <v>403</v>
      </c>
      <c r="U180" s="2" t="s">
        <v>1557</v>
      </c>
      <c r="V180" s="2"/>
      <c r="W180" s="2" t="s">
        <v>42</v>
      </c>
      <c r="X180" s="2" t="s">
        <v>43</v>
      </c>
      <c r="Y180" s="2" t="s">
        <v>37</v>
      </c>
      <c r="Z180" s="2" t="s">
        <v>44</v>
      </c>
      <c r="AA180" s="2"/>
      <c r="AB180" s="2"/>
      <c r="AC180" s="2" t="s">
        <v>1558</v>
      </c>
      <c r="AD180" s="2" t="s">
        <v>46</v>
      </c>
    </row>
    <row r="181" customFormat="false" ht="15.7" hidden="false" customHeight="true" outlineLevel="0" collapsed="false">
      <c r="A181" s="2"/>
      <c r="B181" s="3" t="n">
        <f aca="false">DATE(2006,5,18)</f>
        <v>0</v>
      </c>
      <c r="C181" s="3" t="n">
        <v>38855</v>
      </c>
      <c r="D181" s="2" t="s">
        <v>1559</v>
      </c>
      <c r="F181" s="2" t="s">
        <v>1560</v>
      </c>
      <c r="G181" s="2" t="s">
        <v>1561</v>
      </c>
      <c r="H181" s="2" t="s">
        <v>762</v>
      </c>
      <c r="I181" s="2" t="s">
        <v>257</v>
      </c>
      <c r="J181" s="2" t="s">
        <v>1562</v>
      </c>
      <c r="K181" s="2" t="s">
        <v>1563</v>
      </c>
      <c r="L181" s="2" t="s">
        <v>257</v>
      </c>
      <c r="M181" s="2" t="s">
        <v>1564</v>
      </c>
      <c r="N181" s="2" t="s">
        <v>1565</v>
      </c>
      <c r="O181" s="2"/>
      <c r="P181" s="2" t="s">
        <v>37</v>
      </c>
      <c r="Q181" s="4" t="n">
        <v>8731</v>
      </c>
      <c r="R181" s="2" t="s">
        <v>136</v>
      </c>
      <c r="S181" s="2" t="s">
        <v>39</v>
      </c>
      <c r="T181" s="2" t="s">
        <v>40</v>
      </c>
      <c r="U181" s="2" t="s">
        <v>1566</v>
      </c>
      <c r="V181" s="2"/>
      <c r="W181" s="2" t="s">
        <v>42</v>
      </c>
      <c r="X181" s="2" t="s">
        <v>43</v>
      </c>
      <c r="Y181" s="2" t="s">
        <v>37</v>
      </c>
      <c r="Z181" s="2" t="s">
        <v>44</v>
      </c>
      <c r="AA181" s="2"/>
      <c r="AB181" s="2"/>
      <c r="AC181" s="2" t="s">
        <v>1567</v>
      </c>
      <c r="AD181" s="2" t="s">
        <v>46</v>
      </c>
    </row>
    <row r="182" customFormat="false" ht="15.7" hidden="false" customHeight="true" outlineLevel="0" collapsed="false">
      <c r="A182" s="2"/>
      <c r="B182" s="3" t="n">
        <f aca="false">DATE(2006,5,19)</f>
        <v>0</v>
      </c>
      <c r="C182" s="3" t="n">
        <v>38856</v>
      </c>
      <c r="D182" s="2" t="s">
        <v>1568</v>
      </c>
      <c r="F182" s="2" t="s">
        <v>1569</v>
      </c>
      <c r="G182" s="2" t="s">
        <v>1570</v>
      </c>
      <c r="H182" s="2" t="s">
        <v>1571</v>
      </c>
      <c r="I182" s="2" t="s">
        <v>51</v>
      </c>
      <c r="J182" s="2" t="s">
        <v>1572</v>
      </c>
      <c r="K182" s="2" t="s">
        <v>1573</v>
      </c>
      <c r="L182" s="2" t="s">
        <v>51</v>
      </c>
      <c r="M182" s="2" t="s">
        <v>1574</v>
      </c>
      <c r="N182" s="2" t="s">
        <v>1575</v>
      </c>
      <c r="O182" s="2"/>
      <c r="P182" s="2" t="s">
        <v>37</v>
      </c>
      <c r="Q182" s="4" t="n">
        <v>8731</v>
      </c>
      <c r="R182" s="2" t="s">
        <v>56</v>
      </c>
      <c r="S182" s="2" t="s">
        <v>1576</v>
      </c>
      <c r="T182" s="2" t="s">
        <v>40</v>
      </c>
      <c r="U182" s="2" t="s">
        <v>1577</v>
      </c>
      <c r="V182" s="2"/>
      <c r="W182" s="2" t="s">
        <v>42</v>
      </c>
      <c r="X182" s="2" t="s">
        <v>43</v>
      </c>
      <c r="Y182" s="2" t="s">
        <v>37</v>
      </c>
      <c r="Z182" s="2" t="s">
        <v>44</v>
      </c>
      <c r="AA182" s="2"/>
      <c r="AB182" s="2"/>
      <c r="AC182" s="2" t="s">
        <v>1578</v>
      </c>
      <c r="AD182" s="2" t="s">
        <v>46</v>
      </c>
    </row>
    <row r="183" customFormat="false" ht="15.7" hidden="false" customHeight="true" outlineLevel="0" collapsed="false">
      <c r="A183" s="2"/>
      <c r="B183" s="3" t="n">
        <f aca="false">DATE(2006,5,22)</f>
        <v>0</v>
      </c>
      <c r="C183" s="3" t="n">
        <v>38859</v>
      </c>
      <c r="D183" s="2" t="s">
        <v>1579</v>
      </c>
      <c r="F183" s="2" t="s">
        <v>256</v>
      </c>
      <c r="G183" s="2" t="s">
        <v>1580</v>
      </c>
      <c r="H183" s="2" t="s">
        <v>170</v>
      </c>
      <c r="I183" s="2" t="s">
        <v>51</v>
      </c>
      <c r="J183" s="2" t="s">
        <v>1224</v>
      </c>
      <c r="K183" s="2" t="s">
        <v>1579</v>
      </c>
      <c r="L183" s="2" t="s">
        <v>51</v>
      </c>
      <c r="M183" s="2" t="s">
        <v>170</v>
      </c>
      <c r="N183" s="2" t="s">
        <v>1581</v>
      </c>
      <c r="O183" s="2"/>
      <c r="P183" s="2" t="s">
        <v>79</v>
      </c>
      <c r="Q183" s="4" t="n">
        <v>6794</v>
      </c>
      <c r="R183" s="2" t="s">
        <v>56</v>
      </c>
      <c r="S183" s="2" t="s">
        <v>80</v>
      </c>
      <c r="T183" s="2" t="s">
        <v>40</v>
      </c>
      <c r="U183" s="2" t="s">
        <v>1582</v>
      </c>
      <c r="V183" s="2"/>
      <c r="W183" s="2" t="s">
        <v>82</v>
      </c>
      <c r="X183" s="2" t="s">
        <v>43</v>
      </c>
      <c r="Y183" s="2" t="s">
        <v>37</v>
      </c>
      <c r="Z183" s="2" t="s">
        <v>44</v>
      </c>
      <c r="AA183" s="2"/>
      <c r="AB183" s="2"/>
      <c r="AC183" s="2" t="s">
        <v>1583</v>
      </c>
      <c r="AD183" s="2" t="s">
        <v>46</v>
      </c>
    </row>
    <row r="184" customFormat="false" ht="15.7" hidden="false" customHeight="true" outlineLevel="0" collapsed="false">
      <c r="A184" s="2"/>
      <c r="B184" s="3" t="n">
        <f aca="false">DATE(2006,5,22)</f>
        <v>0</v>
      </c>
      <c r="C184" s="3" t="n">
        <v>38859</v>
      </c>
      <c r="D184" s="2" t="s">
        <v>1584</v>
      </c>
      <c r="F184" s="2" t="s">
        <v>1585</v>
      </c>
      <c r="G184" s="2" t="s">
        <v>1586</v>
      </c>
      <c r="H184" s="2" t="s">
        <v>1587</v>
      </c>
      <c r="I184" s="2" t="s">
        <v>34</v>
      </c>
      <c r="J184" s="2" t="s">
        <v>35</v>
      </c>
      <c r="K184" s="2" t="s">
        <v>1584</v>
      </c>
      <c r="L184" s="2" t="s">
        <v>34</v>
      </c>
      <c r="M184" s="2" t="s">
        <v>1587</v>
      </c>
      <c r="N184" s="2" t="s">
        <v>1588</v>
      </c>
      <c r="O184" s="2"/>
      <c r="P184" s="2" t="s">
        <v>37</v>
      </c>
      <c r="Q184" s="4" t="n">
        <v>8731</v>
      </c>
      <c r="R184" s="2" t="s">
        <v>38</v>
      </c>
      <c r="S184" s="2" t="s">
        <v>39</v>
      </c>
      <c r="T184" s="2" t="s">
        <v>403</v>
      </c>
      <c r="U184" s="2" t="s">
        <v>1589</v>
      </c>
      <c r="V184" s="2"/>
      <c r="W184" s="2" t="s">
        <v>697</v>
      </c>
      <c r="X184" s="2" t="s">
        <v>43</v>
      </c>
      <c r="Y184" s="2" t="s">
        <v>37</v>
      </c>
      <c r="Z184" s="2" t="s">
        <v>44</v>
      </c>
      <c r="AA184" s="2"/>
      <c r="AB184" s="2"/>
      <c r="AC184" s="2" t="s">
        <v>1590</v>
      </c>
      <c r="AD184" s="2" t="s">
        <v>46</v>
      </c>
    </row>
    <row r="185" customFormat="false" ht="15.7" hidden="false" customHeight="true" outlineLevel="0" collapsed="false">
      <c r="A185" s="2"/>
      <c r="B185" s="3" t="n">
        <f aca="false">DATE(2006,5,23)</f>
        <v>0</v>
      </c>
      <c r="C185" s="3" t="n">
        <v>38860</v>
      </c>
      <c r="D185" s="2" t="s">
        <v>1591</v>
      </c>
      <c r="F185" s="2" t="s">
        <v>1324</v>
      </c>
      <c r="G185" s="2" t="s">
        <v>1592</v>
      </c>
      <c r="H185" s="2" t="s">
        <v>63</v>
      </c>
      <c r="I185" s="2" t="s">
        <v>51</v>
      </c>
      <c r="J185" s="2" t="s">
        <v>1593</v>
      </c>
      <c r="K185" s="2" t="s">
        <v>1591</v>
      </c>
      <c r="L185" s="2" t="s">
        <v>51</v>
      </c>
      <c r="M185" s="2" t="s">
        <v>63</v>
      </c>
      <c r="N185" s="2" t="s">
        <v>1594</v>
      </c>
      <c r="O185" s="2"/>
      <c r="P185" s="2" t="s">
        <v>37</v>
      </c>
      <c r="Q185" s="4" t="n">
        <v>2834</v>
      </c>
      <c r="R185" s="2" t="s">
        <v>56</v>
      </c>
      <c r="S185" s="2" t="s">
        <v>57</v>
      </c>
      <c r="T185" s="2" t="s">
        <v>40</v>
      </c>
      <c r="U185" s="2" t="s">
        <v>1595</v>
      </c>
      <c r="V185" s="2"/>
      <c r="W185" s="2" t="s">
        <v>107</v>
      </c>
      <c r="X185" s="2" t="s">
        <v>43</v>
      </c>
      <c r="Y185" s="2" t="s">
        <v>37</v>
      </c>
      <c r="Z185" s="2" t="s">
        <v>44</v>
      </c>
      <c r="AA185" s="2" t="s">
        <v>1596</v>
      </c>
      <c r="AB185" s="2"/>
      <c r="AC185" s="2" t="s">
        <v>1597</v>
      </c>
      <c r="AD185" s="2" t="s">
        <v>46</v>
      </c>
    </row>
    <row r="186" customFormat="false" ht="15.7" hidden="false" customHeight="true" outlineLevel="0" collapsed="false">
      <c r="A186" s="2"/>
      <c r="B186" s="3" t="n">
        <f aca="false">DATE(2006,5,23)</f>
        <v>0</v>
      </c>
      <c r="C186" s="3" t="n">
        <v>38860</v>
      </c>
      <c r="D186" s="2" t="s">
        <v>1598</v>
      </c>
      <c r="F186" s="2" t="s">
        <v>1599</v>
      </c>
      <c r="G186" s="2" t="s">
        <v>1600</v>
      </c>
      <c r="H186" s="2" t="s">
        <v>1101</v>
      </c>
      <c r="I186" s="2" t="s">
        <v>51</v>
      </c>
      <c r="J186" s="2" t="s">
        <v>1601</v>
      </c>
      <c r="K186" s="2" t="s">
        <v>1598</v>
      </c>
      <c r="L186" s="2" t="s">
        <v>51</v>
      </c>
      <c r="M186" s="2" t="s">
        <v>1101</v>
      </c>
      <c r="N186" s="2" t="s">
        <v>1602</v>
      </c>
      <c r="O186" s="2"/>
      <c r="P186" s="2" t="s">
        <v>37</v>
      </c>
      <c r="Q186" s="4" t="n">
        <v>8731</v>
      </c>
      <c r="R186" s="2" t="s">
        <v>56</v>
      </c>
      <c r="S186" s="2" t="s">
        <v>1226</v>
      </c>
      <c r="T186" s="2" t="s">
        <v>40</v>
      </c>
      <c r="U186" s="2" t="s">
        <v>1603</v>
      </c>
      <c r="V186" s="2"/>
      <c r="W186" s="2" t="s">
        <v>42</v>
      </c>
      <c r="X186" s="2" t="s">
        <v>43</v>
      </c>
      <c r="Y186" s="2" t="s">
        <v>37</v>
      </c>
      <c r="Z186" s="2" t="s">
        <v>44</v>
      </c>
      <c r="AA186" s="2"/>
      <c r="AB186" s="2"/>
      <c r="AC186" s="2" t="s">
        <v>1604</v>
      </c>
      <c r="AD186" s="2" t="s">
        <v>46</v>
      </c>
    </row>
    <row r="187" customFormat="false" ht="15.7" hidden="false" customHeight="true" outlineLevel="0" collapsed="false">
      <c r="A187" s="2"/>
      <c r="B187" s="3" t="n">
        <f aca="false">DATE(2006,5,24)</f>
        <v>0</v>
      </c>
      <c r="C187" s="3" t="n">
        <v>38861</v>
      </c>
      <c r="D187" s="2" t="s">
        <v>1605</v>
      </c>
      <c r="F187" s="2" t="s">
        <v>1606</v>
      </c>
      <c r="G187" s="2" t="s">
        <v>1607</v>
      </c>
      <c r="H187" s="2" t="s">
        <v>1608</v>
      </c>
      <c r="I187" s="2" t="s">
        <v>51</v>
      </c>
      <c r="J187" s="2" t="s">
        <v>1609</v>
      </c>
      <c r="K187" s="2" t="s">
        <v>1605</v>
      </c>
      <c r="L187" s="2" t="s">
        <v>51</v>
      </c>
      <c r="M187" s="2" t="s">
        <v>1608</v>
      </c>
      <c r="N187" s="2" t="s">
        <v>1610</v>
      </c>
      <c r="O187" s="2"/>
      <c r="P187" s="2" t="s">
        <v>37</v>
      </c>
      <c r="Q187" s="4" t="n">
        <v>8731</v>
      </c>
      <c r="R187" s="2" t="s">
        <v>56</v>
      </c>
      <c r="S187" s="2" t="s">
        <v>472</v>
      </c>
      <c r="T187" s="2" t="s">
        <v>40</v>
      </c>
      <c r="U187" s="2" t="s">
        <v>1611</v>
      </c>
      <c r="V187" s="2"/>
      <c r="W187" s="2" t="s">
        <v>42</v>
      </c>
      <c r="X187" s="2" t="s">
        <v>43</v>
      </c>
      <c r="Y187" s="2" t="s">
        <v>37</v>
      </c>
      <c r="Z187" s="2" t="s">
        <v>44</v>
      </c>
      <c r="AA187" s="2"/>
      <c r="AB187" s="2"/>
      <c r="AC187" s="2" t="s">
        <v>1612</v>
      </c>
      <c r="AD187" s="2" t="s">
        <v>46</v>
      </c>
    </row>
    <row r="188" customFormat="false" ht="15.7" hidden="false" customHeight="true" outlineLevel="0" collapsed="false">
      <c r="A188" s="2"/>
      <c r="B188" s="3" t="n">
        <f aca="false">DATE(2006,5,24)</f>
        <v>0</v>
      </c>
      <c r="C188" s="3" t="n">
        <v>38861</v>
      </c>
      <c r="D188" s="2" t="s">
        <v>1613</v>
      </c>
      <c r="F188" s="2" t="s">
        <v>1614</v>
      </c>
      <c r="G188" s="2" t="s">
        <v>1615</v>
      </c>
      <c r="H188" s="2" t="s">
        <v>1616</v>
      </c>
      <c r="I188" s="2" t="s">
        <v>1617</v>
      </c>
      <c r="J188" s="2" t="s">
        <v>1618</v>
      </c>
      <c r="K188" s="2" t="s">
        <v>1619</v>
      </c>
      <c r="L188" s="2" t="s">
        <v>1617</v>
      </c>
      <c r="M188" s="2" t="s">
        <v>1620</v>
      </c>
      <c r="N188" s="2" t="s">
        <v>1621</v>
      </c>
      <c r="O188" s="2"/>
      <c r="P188" s="2" t="s">
        <v>37</v>
      </c>
      <c r="Q188" s="4" t="n">
        <v>8731</v>
      </c>
      <c r="R188" s="2" t="s">
        <v>56</v>
      </c>
      <c r="S188" s="2" t="s">
        <v>1622</v>
      </c>
      <c r="T188" s="2" t="s">
        <v>40</v>
      </c>
      <c r="U188" s="2" t="s">
        <v>1623</v>
      </c>
      <c r="V188" s="2"/>
      <c r="W188" s="2" t="s">
        <v>42</v>
      </c>
      <c r="X188" s="2" t="s">
        <v>43</v>
      </c>
      <c r="Y188" s="2" t="s">
        <v>37</v>
      </c>
      <c r="Z188" s="2" t="s">
        <v>916</v>
      </c>
      <c r="AA188" s="2" t="s">
        <v>1624</v>
      </c>
      <c r="AB188" s="2"/>
      <c r="AC188" s="2" t="s">
        <v>1625</v>
      </c>
      <c r="AD188" s="2" t="s">
        <v>46</v>
      </c>
    </row>
    <row r="189" customFormat="false" ht="15.7" hidden="false" customHeight="true" outlineLevel="0" collapsed="false">
      <c r="A189" s="2"/>
      <c r="B189" s="3" t="n">
        <f aca="false">DATE(2006,5,24)</f>
        <v>0</v>
      </c>
      <c r="C189" s="3" t="n">
        <v>38861</v>
      </c>
      <c r="D189" s="2" t="s">
        <v>1626</v>
      </c>
      <c r="F189" s="2" t="s">
        <v>1627</v>
      </c>
      <c r="G189" s="2" t="s">
        <v>1628</v>
      </c>
      <c r="H189" s="2" t="s">
        <v>1629</v>
      </c>
      <c r="I189" s="2" t="s">
        <v>219</v>
      </c>
      <c r="J189" s="2" t="s">
        <v>65</v>
      </c>
      <c r="K189" s="2" t="s">
        <v>1626</v>
      </c>
      <c r="L189" s="2" t="s">
        <v>219</v>
      </c>
      <c r="M189" s="2" t="s">
        <v>1629</v>
      </c>
      <c r="N189" s="2" t="s">
        <v>1630</v>
      </c>
      <c r="O189" s="2"/>
      <c r="P189" s="2" t="s">
        <v>37</v>
      </c>
      <c r="Q189" s="4" t="n">
        <v>8731</v>
      </c>
      <c r="R189" s="2" t="s">
        <v>136</v>
      </c>
      <c r="S189" s="2" t="s">
        <v>39</v>
      </c>
      <c r="T189" s="2" t="s">
        <v>40</v>
      </c>
      <c r="U189" s="2" t="s">
        <v>1631</v>
      </c>
      <c r="V189" s="2"/>
      <c r="W189" s="2" t="s">
        <v>42</v>
      </c>
      <c r="X189" s="2" t="s">
        <v>43</v>
      </c>
      <c r="Y189" s="2" t="s">
        <v>37</v>
      </c>
      <c r="Z189" s="2" t="s">
        <v>44</v>
      </c>
      <c r="AA189" s="2"/>
      <c r="AB189" s="2"/>
      <c r="AC189" s="2" t="s">
        <v>1632</v>
      </c>
      <c r="AD189" s="2" t="s">
        <v>46</v>
      </c>
    </row>
    <row r="190" customFormat="false" ht="15.7" hidden="false" customHeight="true" outlineLevel="0" collapsed="false">
      <c r="A190" s="2"/>
      <c r="B190" s="3" t="n">
        <f aca="false">DATE(2006,5,29)</f>
        <v>0</v>
      </c>
      <c r="C190" s="3" t="n">
        <v>38866</v>
      </c>
      <c r="D190" s="2" t="s">
        <v>1633</v>
      </c>
      <c r="F190" s="2" t="s">
        <v>1634</v>
      </c>
      <c r="G190" s="2" t="s">
        <v>1635</v>
      </c>
      <c r="H190" s="2" t="s">
        <v>1636</v>
      </c>
      <c r="I190" s="2" t="s">
        <v>34</v>
      </c>
      <c r="J190" s="2" t="s">
        <v>35</v>
      </c>
      <c r="K190" s="2" t="s">
        <v>1633</v>
      </c>
      <c r="L190" s="2" t="s">
        <v>34</v>
      </c>
      <c r="M190" s="2" t="s">
        <v>1636</v>
      </c>
      <c r="N190" s="2" t="s">
        <v>1637</v>
      </c>
      <c r="O190" s="2"/>
      <c r="P190" s="2" t="s">
        <v>37</v>
      </c>
      <c r="Q190" s="4" t="n">
        <v>8731</v>
      </c>
      <c r="R190" s="2" t="s">
        <v>38</v>
      </c>
      <c r="S190" s="2" t="s">
        <v>39</v>
      </c>
      <c r="T190" s="2" t="s">
        <v>403</v>
      </c>
      <c r="U190" s="2" t="s">
        <v>1638</v>
      </c>
      <c r="V190" s="2"/>
      <c r="W190" s="2" t="s">
        <v>42</v>
      </c>
      <c r="X190" s="2" t="s">
        <v>46</v>
      </c>
      <c r="Y190" s="2" t="s">
        <v>37</v>
      </c>
      <c r="Z190" s="2" t="s">
        <v>1639</v>
      </c>
      <c r="AA190" s="2" t="s">
        <v>1640</v>
      </c>
      <c r="AB190" s="2"/>
      <c r="AC190" s="2" t="s">
        <v>1641</v>
      </c>
      <c r="AD190" s="2" t="s">
        <v>46</v>
      </c>
    </row>
    <row r="191" customFormat="false" ht="15.7" hidden="false" customHeight="true" outlineLevel="0" collapsed="false">
      <c r="A191" s="2"/>
      <c r="B191" s="3" t="n">
        <f aca="false">DATE(2006,6,1)</f>
        <v>0</v>
      </c>
      <c r="C191" s="3" t="n">
        <v>38869</v>
      </c>
      <c r="D191" s="2" t="s">
        <v>1642</v>
      </c>
      <c r="F191" s="2" t="s">
        <v>1643</v>
      </c>
      <c r="G191" s="2" t="s">
        <v>1644</v>
      </c>
      <c r="H191" s="2" t="s">
        <v>63</v>
      </c>
      <c r="I191" s="2" t="s">
        <v>1645</v>
      </c>
      <c r="J191" s="2" t="s">
        <v>35</v>
      </c>
      <c r="K191" s="2" t="s">
        <v>1642</v>
      </c>
      <c r="L191" s="2" t="s">
        <v>1645</v>
      </c>
      <c r="M191" s="2" t="s">
        <v>63</v>
      </c>
      <c r="N191" s="2" t="s">
        <v>1646</v>
      </c>
      <c r="O191" s="2"/>
      <c r="P191" s="2" t="s">
        <v>37</v>
      </c>
      <c r="Q191" s="4" t="n">
        <v>8731</v>
      </c>
      <c r="R191" s="2" t="s">
        <v>1402</v>
      </c>
      <c r="S191" s="2" t="s">
        <v>39</v>
      </c>
      <c r="T191" s="2" t="s">
        <v>40</v>
      </c>
      <c r="U191" s="2" t="s">
        <v>1647</v>
      </c>
      <c r="V191" s="2"/>
      <c r="W191" s="2" t="s">
        <v>42</v>
      </c>
      <c r="X191" s="2" t="s">
        <v>43</v>
      </c>
      <c r="Y191" s="2" t="s">
        <v>37</v>
      </c>
      <c r="Z191" s="2" t="s">
        <v>44</v>
      </c>
      <c r="AA191" s="2"/>
      <c r="AB191" s="2"/>
      <c r="AC191" s="2" t="s">
        <v>1648</v>
      </c>
      <c r="AD191" s="2" t="s">
        <v>46</v>
      </c>
    </row>
    <row r="192" customFormat="false" ht="15.7" hidden="false" customHeight="true" outlineLevel="0" collapsed="false">
      <c r="A192" s="2"/>
      <c r="B192" s="3" t="n">
        <f aca="false">DATE(2006,6,1)</f>
        <v>0</v>
      </c>
      <c r="C192" s="3" t="n">
        <v>38869</v>
      </c>
      <c r="D192" s="2" t="s">
        <v>1649</v>
      </c>
      <c r="F192" s="2" t="s">
        <v>1650</v>
      </c>
      <c r="G192" s="2" t="s">
        <v>1651</v>
      </c>
      <c r="H192" s="2" t="s">
        <v>63</v>
      </c>
      <c r="I192" s="2" t="s">
        <v>51</v>
      </c>
      <c r="J192" s="2" t="s">
        <v>1652</v>
      </c>
      <c r="K192" s="2" t="s">
        <v>1649</v>
      </c>
      <c r="L192" s="2" t="s">
        <v>51</v>
      </c>
      <c r="M192" s="2" t="s">
        <v>63</v>
      </c>
      <c r="N192" s="2" t="s">
        <v>1653</v>
      </c>
      <c r="O192" s="2"/>
      <c r="P192" s="2" t="s">
        <v>37</v>
      </c>
      <c r="Q192" s="4" t="n">
        <v>8731</v>
      </c>
      <c r="R192" s="2" t="s">
        <v>56</v>
      </c>
      <c r="S192" s="2" t="s">
        <v>507</v>
      </c>
      <c r="T192" s="2" t="s">
        <v>40</v>
      </c>
      <c r="U192" s="2" t="s">
        <v>1654</v>
      </c>
      <c r="V192" s="2"/>
      <c r="W192" s="2" t="s">
        <v>42</v>
      </c>
      <c r="X192" s="2" t="s">
        <v>43</v>
      </c>
      <c r="Y192" s="2" t="s">
        <v>37</v>
      </c>
      <c r="Z192" s="2" t="s">
        <v>44</v>
      </c>
      <c r="AA192" s="2"/>
      <c r="AB192" s="2"/>
      <c r="AC192" s="2" t="s">
        <v>1655</v>
      </c>
      <c r="AD192" s="2" t="s">
        <v>46</v>
      </c>
    </row>
    <row r="193" customFormat="false" ht="15.7" hidden="false" customHeight="true" outlineLevel="0" collapsed="false">
      <c r="A193" s="2"/>
      <c r="B193" s="3" t="n">
        <f aca="false">DATE(2006,6,5)</f>
        <v>0</v>
      </c>
      <c r="C193" s="3" t="n">
        <v>38873</v>
      </c>
      <c r="D193" s="2" t="s">
        <v>1656</v>
      </c>
      <c r="F193" s="2" t="s">
        <v>1657</v>
      </c>
      <c r="G193" s="2" t="s">
        <v>1658</v>
      </c>
      <c r="H193" s="2" t="s">
        <v>305</v>
      </c>
      <c r="I193" s="2" t="s">
        <v>568</v>
      </c>
      <c r="J193" s="2" t="s">
        <v>203</v>
      </c>
      <c r="K193" s="2" t="s">
        <v>1659</v>
      </c>
      <c r="L193" s="2" t="s">
        <v>568</v>
      </c>
      <c r="M193" s="2" t="s">
        <v>130</v>
      </c>
      <c r="N193" s="2" t="s">
        <v>1660</v>
      </c>
      <c r="O193" s="2"/>
      <c r="P193" s="2" t="s">
        <v>37</v>
      </c>
      <c r="Q193" s="4" t="n">
        <v>8731</v>
      </c>
      <c r="R193" s="2" t="s">
        <v>136</v>
      </c>
      <c r="S193" s="2" t="s">
        <v>39</v>
      </c>
      <c r="T193" s="2" t="s">
        <v>40</v>
      </c>
      <c r="U193" s="2" t="s">
        <v>1661</v>
      </c>
      <c r="V193" s="2"/>
      <c r="W193" s="2" t="s">
        <v>697</v>
      </c>
      <c r="X193" s="2" t="s">
        <v>43</v>
      </c>
      <c r="Y193" s="2" t="s">
        <v>37</v>
      </c>
      <c r="Z193" s="2" t="s">
        <v>44</v>
      </c>
      <c r="AA193" s="2"/>
      <c r="AB193" s="2"/>
      <c r="AC193" s="2" t="s">
        <v>1662</v>
      </c>
      <c r="AD193" s="2" t="s">
        <v>46</v>
      </c>
    </row>
    <row r="194" customFormat="false" ht="15.7" hidden="false" customHeight="true" outlineLevel="0" collapsed="false">
      <c r="A194" s="2"/>
      <c r="B194" s="3" t="n">
        <f aca="false">DATE(2006,6,6)</f>
        <v>0</v>
      </c>
      <c r="C194" s="3" t="n">
        <v>38874</v>
      </c>
      <c r="D194" s="2" t="s">
        <v>1663</v>
      </c>
      <c r="F194" s="2" t="s">
        <v>1664</v>
      </c>
      <c r="G194" s="2" t="s">
        <v>1665</v>
      </c>
      <c r="H194" s="2" t="s">
        <v>63</v>
      </c>
      <c r="I194" s="2" t="s">
        <v>88</v>
      </c>
      <c r="J194" s="2" t="s">
        <v>203</v>
      </c>
      <c r="K194" s="2" t="s">
        <v>1663</v>
      </c>
      <c r="L194" s="2" t="s">
        <v>88</v>
      </c>
      <c r="M194" s="2" t="s">
        <v>63</v>
      </c>
      <c r="N194" s="2" t="s">
        <v>1666</v>
      </c>
      <c r="O194" s="2"/>
      <c r="P194" s="2" t="s">
        <v>79</v>
      </c>
      <c r="Q194" s="4" t="n">
        <v>6794</v>
      </c>
      <c r="R194" s="2" t="s">
        <v>136</v>
      </c>
      <c r="S194" s="2" t="s">
        <v>39</v>
      </c>
      <c r="T194" s="2" t="s">
        <v>403</v>
      </c>
      <c r="U194" s="2" t="s">
        <v>1667</v>
      </c>
      <c r="V194" s="2"/>
      <c r="W194" s="2" t="s">
        <v>82</v>
      </c>
      <c r="X194" s="2" t="s">
        <v>43</v>
      </c>
      <c r="Y194" s="2" t="s">
        <v>37</v>
      </c>
      <c r="Z194" s="2" t="s">
        <v>44</v>
      </c>
      <c r="AA194" s="2" t="s">
        <v>1668</v>
      </c>
      <c r="AB194" s="2"/>
      <c r="AC194" s="2" t="s">
        <v>1669</v>
      </c>
      <c r="AD194" s="2" t="s">
        <v>46</v>
      </c>
    </row>
    <row r="195" customFormat="false" ht="15.7" hidden="false" customHeight="true" outlineLevel="0" collapsed="false">
      <c r="A195" s="2"/>
      <c r="B195" s="3" t="n">
        <f aca="false">DATE(2006,6,7)</f>
        <v>0</v>
      </c>
      <c r="C195" s="3" t="n">
        <v>38875</v>
      </c>
      <c r="D195" s="2" t="s">
        <v>1670</v>
      </c>
      <c r="F195" s="2" t="s">
        <v>1671</v>
      </c>
      <c r="G195" s="2" t="s">
        <v>1672</v>
      </c>
      <c r="H195" s="2" t="s">
        <v>305</v>
      </c>
      <c r="I195" s="2" t="s">
        <v>1673</v>
      </c>
      <c r="J195" s="2" t="s">
        <v>35</v>
      </c>
      <c r="K195" s="2" t="s">
        <v>1670</v>
      </c>
      <c r="L195" s="2" t="s">
        <v>1673</v>
      </c>
      <c r="M195" s="2" t="s">
        <v>305</v>
      </c>
      <c r="N195" s="2" t="s">
        <v>1674</v>
      </c>
      <c r="O195" s="2"/>
      <c r="P195" s="2" t="s">
        <v>37</v>
      </c>
      <c r="Q195" s="4" t="n">
        <v>8731</v>
      </c>
      <c r="R195" s="2" t="s">
        <v>136</v>
      </c>
      <c r="S195" s="2" t="s">
        <v>39</v>
      </c>
      <c r="T195" s="2" t="s">
        <v>403</v>
      </c>
      <c r="U195" s="2" t="s">
        <v>1675</v>
      </c>
      <c r="V195" s="2"/>
      <c r="W195" s="2" t="s">
        <v>42</v>
      </c>
      <c r="X195" s="2" t="s">
        <v>43</v>
      </c>
      <c r="Y195" s="2" t="s">
        <v>37</v>
      </c>
      <c r="Z195" s="2" t="s">
        <v>44</v>
      </c>
      <c r="AA195" s="2" t="s">
        <v>1676</v>
      </c>
      <c r="AB195" s="2"/>
      <c r="AC195" s="2" t="s">
        <v>1677</v>
      </c>
      <c r="AD195" s="2" t="s">
        <v>46</v>
      </c>
    </row>
    <row r="196" customFormat="false" ht="15.7" hidden="false" customHeight="true" outlineLevel="0" collapsed="false">
      <c r="A196" s="2"/>
      <c r="B196" s="3" t="n">
        <f aca="false">DATE(2006,6,12)</f>
        <v>0</v>
      </c>
      <c r="C196" s="3" t="n">
        <v>38880</v>
      </c>
      <c r="D196" s="2" t="s">
        <v>1678</v>
      </c>
      <c r="F196" s="2" t="s">
        <v>1679</v>
      </c>
      <c r="G196" s="2" t="s">
        <v>1680</v>
      </c>
      <c r="H196" s="2" t="s">
        <v>305</v>
      </c>
      <c r="I196" s="2" t="s">
        <v>51</v>
      </c>
      <c r="J196" s="2" t="s">
        <v>178</v>
      </c>
      <c r="K196" s="2" t="s">
        <v>1678</v>
      </c>
      <c r="L196" s="2" t="s">
        <v>51</v>
      </c>
      <c r="M196" s="2" t="s">
        <v>305</v>
      </c>
      <c r="N196" s="2" t="s">
        <v>1681</v>
      </c>
      <c r="O196" s="2"/>
      <c r="P196" s="2" t="s">
        <v>79</v>
      </c>
      <c r="Q196" s="4" t="n">
        <v>6794</v>
      </c>
      <c r="R196" s="2" t="s">
        <v>56</v>
      </c>
      <c r="S196" s="2" t="s">
        <v>92</v>
      </c>
      <c r="T196" s="2" t="s">
        <v>40</v>
      </c>
      <c r="U196" s="2" t="s">
        <v>1682</v>
      </c>
      <c r="V196" s="2"/>
      <c r="W196" s="2" t="s">
        <v>82</v>
      </c>
      <c r="X196" s="2" t="s">
        <v>43</v>
      </c>
      <c r="Y196" s="2" t="s">
        <v>37</v>
      </c>
      <c r="Z196" s="2" t="s">
        <v>44</v>
      </c>
      <c r="AA196" s="2" t="s">
        <v>1683</v>
      </c>
      <c r="AB196" s="2"/>
      <c r="AC196" s="2" t="s">
        <v>1684</v>
      </c>
      <c r="AD196" s="2" t="s">
        <v>46</v>
      </c>
    </row>
    <row r="197" customFormat="false" ht="15.7" hidden="false" customHeight="true" outlineLevel="0" collapsed="false">
      <c r="A197" s="2"/>
      <c r="B197" s="3" t="n">
        <f aca="false">DATE(2006,6,13)</f>
        <v>0</v>
      </c>
      <c r="C197" s="3" t="n">
        <v>38881</v>
      </c>
      <c r="D197" s="2" t="s">
        <v>1685</v>
      </c>
      <c r="F197" s="2" t="s">
        <v>1686</v>
      </c>
      <c r="G197" s="2" t="s">
        <v>1687</v>
      </c>
      <c r="H197" s="2" t="s">
        <v>1688</v>
      </c>
      <c r="I197" s="2" t="s">
        <v>1689</v>
      </c>
      <c r="J197" s="2" t="s">
        <v>35</v>
      </c>
      <c r="K197" s="2" t="s">
        <v>1685</v>
      </c>
      <c r="L197" s="2" t="s">
        <v>1689</v>
      </c>
      <c r="M197" s="2" t="s">
        <v>1688</v>
      </c>
      <c r="N197" s="2" t="s">
        <v>1690</v>
      </c>
      <c r="O197" s="2"/>
      <c r="P197" s="2" t="s">
        <v>37</v>
      </c>
      <c r="Q197" s="4" t="n">
        <v>8731</v>
      </c>
      <c r="R197" s="2" t="s">
        <v>1691</v>
      </c>
      <c r="S197" s="2" t="s">
        <v>39</v>
      </c>
      <c r="T197" s="2" t="s">
        <v>403</v>
      </c>
      <c r="U197" s="2" t="s">
        <v>1692</v>
      </c>
      <c r="V197" s="2"/>
      <c r="W197" s="2" t="s">
        <v>1693</v>
      </c>
      <c r="X197" s="2" t="s">
        <v>43</v>
      </c>
      <c r="Y197" s="2" t="s">
        <v>37</v>
      </c>
      <c r="Z197" s="2" t="s">
        <v>44</v>
      </c>
      <c r="AA197" s="2"/>
      <c r="AB197" s="2"/>
      <c r="AC197" s="2" t="s">
        <v>1694</v>
      </c>
      <c r="AD197" s="2" t="s">
        <v>46</v>
      </c>
    </row>
    <row r="198" customFormat="false" ht="15.7" hidden="false" customHeight="true" outlineLevel="0" collapsed="false">
      <c r="A198" s="2"/>
      <c r="B198" s="3" t="n">
        <f aca="false">DATE(2006,6,13)</f>
        <v>0</v>
      </c>
      <c r="C198" s="3" t="n">
        <v>38881</v>
      </c>
      <c r="D198" s="2" t="s">
        <v>1695</v>
      </c>
      <c r="F198" s="2" t="s">
        <v>200</v>
      </c>
      <c r="G198" s="2" t="s">
        <v>1696</v>
      </c>
      <c r="H198" s="2" t="s">
        <v>1101</v>
      </c>
      <c r="I198" s="2" t="s">
        <v>51</v>
      </c>
      <c r="J198" s="2" t="s">
        <v>1697</v>
      </c>
      <c r="K198" s="2" t="s">
        <v>1695</v>
      </c>
      <c r="L198" s="2" t="s">
        <v>51</v>
      </c>
      <c r="M198" s="2" t="s">
        <v>1101</v>
      </c>
      <c r="N198" s="2" t="s">
        <v>1698</v>
      </c>
      <c r="O198" s="2"/>
      <c r="P198" s="2" t="s">
        <v>37</v>
      </c>
      <c r="Q198" s="4" t="n">
        <v>8731</v>
      </c>
      <c r="R198" s="2" t="s">
        <v>56</v>
      </c>
      <c r="S198" s="2" t="s">
        <v>80</v>
      </c>
      <c r="T198" s="2" t="s">
        <v>40</v>
      </c>
      <c r="U198" s="2" t="s">
        <v>1699</v>
      </c>
      <c r="V198" s="2"/>
      <c r="W198" s="2" t="s">
        <v>42</v>
      </c>
      <c r="X198" s="2" t="s">
        <v>43</v>
      </c>
      <c r="Y198" s="2" t="s">
        <v>37</v>
      </c>
      <c r="Z198" s="2" t="s">
        <v>44</v>
      </c>
      <c r="AA198" s="2"/>
      <c r="AB198" s="2"/>
      <c r="AC198" s="2" t="s">
        <v>1700</v>
      </c>
      <c r="AD198" s="2" t="s">
        <v>46</v>
      </c>
    </row>
    <row r="199" customFormat="false" ht="15.7" hidden="false" customHeight="true" outlineLevel="0" collapsed="false">
      <c r="A199" s="2"/>
      <c r="B199" s="3" t="n">
        <f aca="false">DATE(2006,6,13)</f>
        <v>0</v>
      </c>
      <c r="C199" s="3" t="n">
        <v>38881</v>
      </c>
      <c r="D199" s="2" t="s">
        <v>1701</v>
      </c>
      <c r="F199" s="2" t="s">
        <v>1702</v>
      </c>
      <c r="G199" s="2" t="s">
        <v>1703</v>
      </c>
      <c r="H199" s="2" t="s">
        <v>1704</v>
      </c>
      <c r="I199" s="2" t="s">
        <v>568</v>
      </c>
      <c r="J199" s="2" t="s">
        <v>1705</v>
      </c>
      <c r="K199" s="2" t="s">
        <v>1701</v>
      </c>
      <c r="L199" s="2" t="s">
        <v>568</v>
      </c>
      <c r="M199" s="2" t="s">
        <v>1704</v>
      </c>
      <c r="N199" s="2" t="s">
        <v>1706</v>
      </c>
      <c r="O199" s="2"/>
      <c r="P199" s="2" t="s">
        <v>37</v>
      </c>
      <c r="Q199" s="4" t="n">
        <v>8731</v>
      </c>
      <c r="R199" s="2" t="s">
        <v>136</v>
      </c>
      <c r="S199" s="2" t="s">
        <v>39</v>
      </c>
      <c r="T199" s="2" t="s">
        <v>403</v>
      </c>
      <c r="U199" s="2" t="s">
        <v>1707</v>
      </c>
      <c r="V199" s="2"/>
      <c r="W199" s="2" t="s">
        <v>42</v>
      </c>
      <c r="X199" s="2" t="s">
        <v>43</v>
      </c>
      <c r="Y199" s="2" t="s">
        <v>37</v>
      </c>
      <c r="Z199" s="2" t="s">
        <v>44</v>
      </c>
      <c r="AA199" s="2"/>
      <c r="AB199" s="2"/>
      <c r="AC199" s="2" t="s">
        <v>1708</v>
      </c>
      <c r="AD199" s="2" t="s">
        <v>46</v>
      </c>
    </row>
    <row r="200" customFormat="false" ht="15.7" hidden="false" customHeight="true" outlineLevel="0" collapsed="false">
      <c r="A200" s="2"/>
      <c r="B200" s="3" t="n">
        <f aca="false">DATE(2006,6,13)</f>
        <v>0</v>
      </c>
      <c r="C200" s="3" t="n">
        <v>38881</v>
      </c>
      <c r="D200" s="2" t="s">
        <v>1709</v>
      </c>
      <c r="F200" s="2" t="s">
        <v>1710</v>
      </c>
      <c r="G200" s="2" t="s">
        <v>1711</v>
      </c>
      <c r="H200" s="2" t="s">
        <v>1712</v>
      </c>
      <c r="I200" s="2" t="s">
        <v>1713</v>
      </c>
      <c r="J200" s="2" t="s">
        <v>35</v>
      </c>
      <c r="K200" s="2" t="s">
        <v>1714</v>
      </c>
      <c r="L200" s="2" t="s">
        <v>1713</v>
      </c>
      <c r="M200" s="2" t="s">
        <v>1715</v>
      </c>
      <c r="N200" s="2" t="s">
        <v>1716</v>
      </c>
      <c r="O200" s="2"/>
      <c r="P200" s="2" t="s">
        <v>37</v>
      </c>
      <c r="Q200" s="4" t="n">
        <v>8731</v>
      </c>
      <c r="R200" s="2" t="s">
        <v>1717</v>
      </c>
      <c r="S200" s="2" t="s">
        <v>39</v>
      </c>
      <c r="T200" s="2" t="s">
        <v>403</v>
      </c>
      <c r="U200" s="2" t="s">
        <v>1718</v>
      </c>
      <c r="V200" s="2"/>
      <c r="W200" s="2" t="s">
        <v>1719</v>
      </c>
      <c r="X200" s="2" t="s">
        <v>46</v>
      </c>
      <c r="Y200" s="2" t="s">
        <v>37</v>
      </c>
      <c r="Z200" s="2" t="s">
        <v>362</v>
      </c>
      <c r="AA200" s="2"/>
      <c r="AB200" s="2"/>
      <c r="AC200" s="2" t="s">
        <v>1720</v>
      </c>
      <c r="AD200" s="2" t="s">
        <v>46</v>
      </c>
    </row>
    <row r="201" customFormat="false" ht="15.7" hidden="false" customHeight="true" outlineLevel="0" collapsed="false">
      <c r="A201" s="2"/>
      <c r="B201" s="3" t="n">
        <f aca="false">DATE(2006,6,14)</f>
        <v>0</v>
      </c>
      <c r="C201" s="3" t="n">
        <v>38882</v>
      </c>
      <c r="D201" s="2" t="s">
        <v>1721</v>
      </c>
      <c r="F201" s="2" t="s">
        <v>1722</v>
      </c>
      <c r="G201" s="2" t="s">
        <v>1723</v>
      </c>
      <c r="H201" s="2" t="s">
        <v>63</v>
      </c>
      <c r="I201" s="2" t="s">
        <v>64</v>
      </c>
      <c r="J201" s="2" t="s">
        <v>313</v>
      </c>
      <c r="K201" s="2" t="s">
        <v>1721</v>
      </c>
      <c r="L201" s="2" t="s">
        <v>64</v>
      </c>
      <c r="M201" s="2" t="s">
        <v>63</v>
      </c>
      <c r="N201" s="2" t="s">
        <v>1724</v>
      </c>
      <c r="O201" s="2"/>
      <c r="P201" s="2" t="s">
        <v>37</v>
      </c>
      <c r="Q201" s="4" t="n">
        <v>8731</v>
      </c>
      <c r="R201" s="2" t="s">
        <v>70</v>
      </c>
      <c r="S201" s="2" t="s">
        <v>39</v>
      </c>
      <c r="T201" s="2" t="s">
        <v>403</v>
      </c>
      <c r="U201" s="2" t="s">
        <v>1725</v>
      </c>
      <c r="V201" s="2"/>
      <c r="W201" s="2" t="s">
        <v>138</v>
      </c>
      <c r="X201" s="2" t="s">
        <v>43</v>
      </c>
      <c r="Y201" s="2" t="s">
        <v>37</v>
      </c>
      <c r="Z201" s="2" t="s">
        <v>44</v>
      </c>
      <c r="AA201" s="2"/>
      <c r="AB201" s="2"/>
      <c r="AC201" s="2" t="s">
        <v>1726</v>
      </c>
      <c r="AD201" s="2" t="s">
        <v>46</v>
      </c>
    </row>
    <row r="202" customFormat="false" ht="15.7" hidden="false" customHeight="true" outlineLevel="0" collapsed="false">
      <c r="A202" s="2"/>
      <c r="B202" s="3" t="n">
        <f aca="false">DATE(2006,6,14)</f>
        <v>0</v>
      </c>
      <c r="C202" s="3" t="n">
        <v>38882</v>
      </c>
      <c r="D202" s="2" t="s">
        <v>1727</v>
      </c>
      <c r="F202" s="2" t="s">
        <v>1728</v>
      </c>
      <c r="G202" s="2" t="s">
        <v>1729</v>
      </c>
      <c r="H202" s="2" t="s">
        <v>130</v>
      </c>
      <c r="I202" s="2" t="s">
        <v>51</v>
      </c>
      <c r="J202" s="2" t="s">
        <v>1730</v>
      </c>
      <c r="K202" s="2" t="s">
        <v>1731</v>
      </c>
      <c r="L202" s="2" t="s">
        <v>100</v>
      </c>
      <c r="M202" s="2" t="s">
        <v>1732</v>
      </c>
      <c r="N202" s="2" t="s">
        <v>1733</v>
      </c>
      <c r="O202" s="2"/>
      <c r="P202" s="2" t="s">
        <v>79</v>
      </c>
      <c r="Q202" s="4" t="n">
        <v>6794</v>
      </c>
      <c r="R202" s="2" t="s">
        <v>136</v>
      </c>
      <c r="S202" s="2" t="s">
        <v>39</v>
      </c>
      <c r="T202" s="2" t="s">
        <v>40</v>
      </c>
      <c r="U202" s="2" t="s">
        <v>1734</v>
      </c>
      <c r="V202" s="2"/>
      <c r="W202" s="2" t="s">
        <v>206</v>
      </c>
      <c r="X202" s="2" t="s">
        <v>43</v>
      </c>
      <c r="Y202" s="2" t="s">
        <v>37</v>
      </c>
      <c r="Z202" s="2" t="s">
        <v>44</v>
      </c>
      <c r="AA202" s="2"/>
      <c r="AB202" s="2"/>
      <c r="AC202" s="2" t="s">
        <v>1735</v>
      </c>
      <c r="AD202" s="2" t="s">
        <v>46</v>
      </c>
    </row>
    <row r="203" customFormat="false" ht="15.7" hidden="false" customHeight="true" outlineLevel="0" collapsed="false">
      <c r="A203" s="2"/>
      <c r="B203" s="3" t="n">
        <f aca="false">DATE(2006,6,15)</f>
        <v>0</v>
      </c>
      <c r="C203" s="3" t="n">
        <v>38883</v>
      </c>
      <c r="D203" s="2" t="s">
        <v>1736</v>
      </c>
      <c r="F203" s="2" t="s">
        <v>1737</v>
      </c>
      <c r="G203" s="2" t="s">
        <v>1738</v>
      </c>
      <c r="H203" s="2" t="s">
        <v>1739</v>
      </c>
      <c r="I203" s="2" t="s">
        <v>1740</v>
      </c>
      <c r="J203" s="2" t="s">
        <v>35</v>
      </c>
      <c r="K203" s="2" t="s">
        <v>1741</v>
      </c>
      <c r="L203" s="2" t="s">
        <v>1740</v>
      </c>
      <c r="M203" s="2" t="s">
        <v>1742</v>
      </c>
      <c r="N203" s="2" t="s">
        <v>1743</v>
      </c>
      <c r="O203" s="2"/>
      <c r="P203" s="2" t="s">
        <v>37</v>
      </c>
      <c r="Q203" s="4" t="n">
        <v>8732</v>
      </c>
      <c r="R203" s="2" t="s">
        <v>136</v>
      </c>
      <c r="S203" s="2" t="s">
        <v>39</v>
      </c>
      <c r="T203" s="2" t="s">
        <v>40</v>
      </c>
      <c r="U203" s="2" t="s">
        <v>1744</v>
      </c>
      <c r="V203" s="2"/>
      <c r="W203" s="2" t="s">
        <v>42</v>
      </c>
      <c r="X203" s="2" t="s">
        <v>43</v>
      </c>
      <c r="Y203" s="2" t="s">
        <v>37</v>
      </c>
      <c r="Z203" s="2" t="s">
        <v>44</v>
      </c>
      <c r="AA203" s="2"/>
      <c r="AB203" s="2"/>
      <c r="AC203" s="2" t="s">
        <v>1745</v>
      </c>
      <c r="AD203" s="2" t="s">
        <v>46</v>
      </c>
    </row>
    <row r="204" customFormat="false" ht="15.7" hidden="false" customHeight="true" outlineLevel="0" collapsed="false">
      <c r="A204" s="2"/>
      <c r="B204" s="3" t="n">
        <f aca="false">DATE(2006,6,15)</f>
        <v>0</v>
      </c>
      <c r="C204" s="3" t="n">
        <v>38883</v>
      </c>
      <c r="D204" s="2" t="s">
        <v>1746</v>
      </c>
      <c r="F204" s="2" t="s">
        <v>1747</v>
      </c>
      <c r="G204" s="2" t="s">
        <v>1748</v>
      </c>
      <c r="H204" s="2" t="s">
        <v>1749</v>
      </c>
      <c r="I204" s="2" t="s">
        <v>51</v>
      </c>
      <c r="J204" s="2" t="s">
        <v>1750</v>
      </c>
      <c r="K204" s="2" t="s">
        <v>1751</v>
      </c>
      <c r="L204" s="2" t="s">
        <v>51</v>
      </c>
      <c r="M204" s="2" t="s">
        <v>1752</v>
      </c>
      <c r="N204" s="2" t="s">
        <v>1753</v>
      </c>
      <c r="O204" s="2"/>
      <c r="P204" s="2" t="s">
        <v>37</v>
      </c>
      <c r="Q204" s="4" t="n">
        <v>8731</v>
      </c>
      <c r="R204" s="2" t="s">
        <v>56</v>
      </c>
      <c r="S204" s="2" t="s">
        <v>92</v>
      </c>
      <c r="T204" s="2" t="s">
        <v>40</v>
      </c>
      <c r="U204" s="2" t="s">
        <v>1754</v>
      </c>
      <c r="V204" s="2"/>
      <c r="W204" s="2" t="s">
        <v>42</v>
      </c>
      <c r="X204" s="2" t="s">
        <v>43</v>
      </c>
      <c r="Y204" s="2" t="s">
        <v>37</v>
      </c>
      <c r="Z204" s="2" t="s">
        <v>44</v>
      </c>
      <c r="AA204" s="2" t="s">
        <v>1755</v>
      </c>
      <c r="AB204" s="2"/>
      <c r="AC204" s="2" t="s">
        <v>1756</v>
      </c>
      <c r="AD204" s="2" t="s">
        <v>46</v>
      </c>
    </row>
    <row r="205" customFormat="false" ht="15.7" hidden="false" customHeight="true" outlineLevel="0" collapsed="false">
      <c r="A205" s="2"/>
      <c r="B205" s="3" t="n">
        <f aca="false">DATE(2006,6,19)</f>
        <v>0</v>
      </c>
      <c r="C205" s="3" t="n">
        <v>38887</v>
      </c>
      <c r="D205" s="2" t="s">
        <v>1757</v>
      </c>
      <c r="F205" s="2" t="s">
        <v>1758</v>
      </c>
      <c r="G205" s="2" t="s">
        <v>1759</v>
      </c>
      <c r="H205" s="2" t="s">
        <v>1760</v>
      </c>
      <c r="I205" s="2" t="s">
        <v>51</v>
      </c>
      <c r="J205" s="2" t="s">
        <v>1761</v>
      </c>
      <c r="K205" s="2" t="s">
        <v>1762</v>
      </c>
      <c r="L205" s="2" t="s">
        <v>219</v>
      </c>
      <c r="M205" s="2" t="s">
        <v>1763</v>
      </c>
      <c r="N205" s="2" t="s">
        <v>1764</v>
      </c>
      <c r="O205" s="2"/>
      <c r="P205" s="2" t="s">
        <v>37</v>
      </c>
      <c r="Q205" s="4" t="n">
        <v>8731</v>
      </c>
      <c r="R205" s="2" t="s">
        <v>56</v>
      </c>
      <c r="S205" s="2" t="s">
        <v>92</v>
      </c>
      <c r="T205" s="2" t="s">
        <v>40</v>
      </c>
      <c r="U205" s="2" t="s">
        <v>1765</v>
      </c>
      <c r="V205" s="2"/>
      <c r="W205" s="2" t="s">
        <v>42</v>
      </c>
      <c r="X205" s="2" t="s">
        <v>43</v>
      </c>
      <c r="Y205" s="2" t="s">
        <v>37</v>
      </c>
      <c r="Z205" s="2" t="s">
        <v>44</v>
      </c>
      <c r="AA205" s="2"/>
      <c r="AB205" s="2"/>
      <c r="AC205" s="2" t="s">
        <v>1766</v>
      </c>
      <c r="AD205" s="2" t="s">
        <v>46</v>
      </c>
    </row>
    <row r="206" customFormat="false" ht="15.7" hidden="false" customHeight="true" outlineLevel="0" collapsed="false">
      <c r="A206" s="2"/>
      <c r="B206" s="3" t="n">
        <f aca="false">DATE(2006,6,19)</f>
        <v>0</v>
      </c>
      <c r="C206" s="3" t="n">
        <v>38887</v>
      </c>
      <c r="D206" s="2" t="s">
        <v>1767</v>
      </c>
      <c r="F206" s="2" t="s">
        <v>1768</v>
      </c>
      <c r="G206" s="2" t="s">
        <v>1769</v>
      </c>
      <c r="H206" s="2" t="s">
        <v>1770</v>
      </c>
      <c r="I206" s="2" t="s">
        <v>1645</v>
      </c>
      <c r="J206" s="2" t="s">
        <v>35</v>
      </c>
      <c r="K206" s="2" t="s">
        <v>1771</v>
      </c>
      <c r="L206" s="2" t="s">
        <v>1645</v>
      </c>
      <c r="M206" s="2" t="s">
        <v>551</v>
      </c>
      <c r="N206" s="2" t="s">
        <v>1772</v>
      </c>
      <c r="O206" s="2"/>
      <c r="P206" s="2" t="s">
        <v>37</v>
      </c>
      <c r="Q206" s="4" t="n">
        <v>8731</v>
      </c>
      <c r="R206" s="2" t="s">
        <v>1402</v>
      </c>
      <c r="S206" s="2" t="s">
        <v>39</v>
      </c>
      <c r="T206" s="2" t="s">
        <v>40</v>
      </c>
      <c r="U206" s="2" t="s">
        <v>1773</v>
      </c>
      <c r="V206" s="2"/>
      <c r="W206" s="2" t="s">
        <v>42</v>
      </c>
      <c r="X206" s="2" t="s">
        <v>43</v>
      </c>
      <c r="Y206" s="2" t="s">
        <v>37</v>
      </c>
      <c r="Z206" s="2" t="s">
        <v>44</v>
      </c>
      <c r="AA206" s="2"/>
      <c r="AB206" s="2"/>
      <c r="AC206" s="2" t="s">
        <v>1774</v>
      </c>
      <c r="AD206" s="2" t="s">
        <v>46</v>
      </c>
    </row>
    <row r="207" customFormat="false" ht="15.7" hidden="false" customHeight="true" outlineLevel="0" collapsed="false">
      <c r="A207" s="2"/>
      <c r="B207" s="3" t="n">
        <f aca="false">DATE(2006,6,19)</f>
        <v>0</v>
      </c>
      <c r="C207" s="3" t="n">
        <v>38887</v>
      </c>
      <c r="D207" s="2" t="s">
        <v>1775</v>
      </c>
      <c r="F207" s="2" t="s">
        <v>1776</v>
      </c>
      <c r="G207" s="2" t="s">
        <v>1777</v>
      </c>
      <c r="H207" s="2" t="s">
        <v>1778</v>
      </c>
      <c r="I207" s="2" t="s">
        <v>1779</v>
      </c>
      <c r="J207" s="2" t="s">
        <v>35</v>
      </c>
      <c r="K207" s="2" t="s">
        <v>1780</v>
      </c>
      <c r="L207" s="2" t="s">
        <v>1779</v>
      </c>
      <c r="M207" s="2" t="s">
        <v>1781</v>
      </c>
      <c r="N207" s="2" t="s">
        <v>1782</v>
      </c>
      <c r="O207" s="2"/>
      <c r="P207" s="2" t="s">
        <v>37</v>
      </c>
      <c r="Q207" s="4" t="n">
        <v>8731</v>
      </c>
      <c r="R207" s="2" t="s">
        <v>136</v>
      </c>
      <c r="S207" s="2" t="s">
        <v>39</v>
      </c>
      <c r="T207" s="2" t="s">
        <v>40</v>
      </c>
      <c r="U207" s="2" t="s">
        <v>1783</v>
      </c>
      <c r="V207" s="2"/>
      <c r="W207" s="2" t="s">
        <v>42</v>
      </c>
      <c r="X207" s="2" t="s">
        <v>43</v>
      </c>
      <c r="Y207" s="2" t="s">
        <v>37</v>
      </c>
      <c r="Z207" s="2" t="s">
        <v>44</v>
      </c>
      <c r="AA207" s="2"/>
      <c r="AB207" s="2"/>
      <c r="AC207" s="2" t="s">
        <v>1784</v>
      </c>
      <c r="AD207" s="2" t="s">
        <v>46</v>
      </c>
    </row>
    <row r="208" customFormat="false" ht="15.7" hidden="false" customHeight="true" outlineLevel="0" collapsed="false">
      <c r="A208" s="2"/>
      <c r="B208" s="3" t="n">
        <f aca="false">DATE(2006,6,20)</f>
        <v>0</v>
      </c>
      <c r="C208" s="3" t="n">
        <v>38888</v>
      </c>
      <c r="D208" s="2" t="s">
        <v>1785</v>
      </c>
      <c r="F208" s="2" t="s">
        <v>1786</v>
      </c>
      <c r="G208" s="2" t="s">
        <v>1787</v>
      </c>
      <c r="H208" s="2" t="s">
        <v>1788</v>
      </c>
      <c r="I208" s="2" t="s">
        <v>487</v>
      </c>
      <c r="J208" s="2" t="s">
        <v>132</v>
      </c>
      <c r="K208" s="2" t="s">
        <v>1789</v>
      </c>
      <c r="L208" s="2" t="s">
        <v>286</v>
      </c>
      <c r="M208" s="2" t="s">
        <v>247</v>
      </c>
      <c r="N208" s="2" t="s">
        <v>1790</v>
      </c>
      <c r="O208" s="2"/>
      <c r="P208" s="2" t="s">
        <v>79</v>
      </c>
      <c r="Q208" s="4" t="n">
        <v>6794</v>
      </c>
      <c r="R208" s="2" t="s">
        <v>136</v>
      </c>
      <c r="S208" s="2" t="s">
        <v>39</v>
      </c>
      <c r="T208" s="2" t="s">
        <v>40</v>
      </c>
      <c r="U208" s="2" t="s">
        <v>1791</v>
      </c>
      <c r="V208" s="2"/>
      <c r="W208" s="2" t="s">
        <v>1792</v>
      </c>
      <c r="X208" s="2" t="s">
        <v>43</v>
      </c>
      <c r="Y208" s="2" t="s">
        <v>37</v>
      </c>
      <c r="Z208" s="2" t="s">
        <v>44</v>
      </c>
      <c r="AA208" s="2" t="s">
        <v>1793</v>
      </c>
      <c r="AB208" s="2"/>
      <c r="AC208" s="2" t="s">
        <v>1794</v>
      </c>
      <c r="AD208" s="2" t="s">
        <v>46</v>
      </c>
    </row>
    <row r="209" customFormat="false" ht="15.7" hidden="false" customHeight="true" outlineLevel="0" collapsed="false">
      <c r="A209" s="2"/>
      <c r="B209" s="3" t="n">
        <f aca="false">DATE(2006,6,20)</f>
        <v>0</v>
      </c>
      <c r="C209" s="3" t="n">
        <v>38888</v>
      </c>
      <c r="D209" s="2" t="s">
        <v>1795</v>
      </c>
      <c r="F209" s="2" t="s">
        <v>1796</v>
      </c>
      <c r="G209" s="2" t="s">
        <v>1797</v>
      </c>
      <c r="H209" s="2" t="s">
        <v>1798</v>
      </c>
      <c r="I209" s="2" t="s">
        <v>388</v>
      </c>
      <c r="J209" s="2" t="s">
        <v>1413</v>
      </c>
      <c r="K209" s="2" t="s">
        <v>1795</v>
      </c>
      <c r="L209" s="2" t="s">
        <v>388</v>
      </c>
      <c r="M209" s="2" t="s">
        <v>1798</v>
      </c>
      <c r="N209" s="2" t="s">
        <v>1799</v>
      </c>
      <c r="O209" s="2"/>
      <c r="P209" s="2" t="s">
        <v>37</v>
      </c>
      <c r="Q209" s="4" t="n">
        <v>2869</v>
      </c>
      <c r="R209" s="2" t="s">
        <v>136</v>
      </c>
      <c r="S209" s="2" t="s">
        <v>39</v>
      </c>
      <c r="T209" s="2" t="s">
        <v>40</v>
      </c>
      <c r="U209" s="2" t="s">
        <v>1800</v>
      </c>
      <c r="V209" s="2"/>
      <c r="W209" s="2" t="s">
        <v>1801</v>
      </c>
      <c r="X209" s="2" t="s">
        <v>43</v>
      </c>
      <c r="Y209" s="2" t="s">
        <v>37</v>
      </c>
      <c r="Z209" s="2" t="s">
        <v>44</v>
      </c>
      <c r="AA209" s="2"/>
      <c r="AB209" s="2"/>
      <c r="AC209" s="2" t="s">
        <v>1802</v>
      </c>
      <c r="AD209" s="2" t="s">
        <v>46</v>
      </c>
    </row>
    <row r="210" customFormat="false" ht="15.7" hidden="false" customHeight="true" outlineLevel="0" collapsed="false">
      <c r="A210" s="2"/>
      <c r="B210" s="3" t="n">
        <f aca="false">DATE(2006,6,21)</f>
        <v>0</v>
      </c>
      <c r="C210" s="3" t="n">
        <v>38889</v>
      </c>
      <c r="D210" s="2" t="s">
        <v>1803</v>
      </c>
      <c r="F210" s="2" t="s">
        <v>1804</v>
      </c>
      <c r="G210" s="2" t="s">
        <v>1805</v>
      </c>
      <c r="H210" s="2" t="s">
        <v>1806</v>
      </c>
      <c r="I210" s="2" t="s">
        <v>219</v>
      </c>
      <c r="J210" s="2" t="s">
        <v>1807</v>
      </c>
      <c r="K210" s="2" t="s">
        <v>1803</v>
      </c>
      <c r="L210" s="2" t="s">
        <v>219</v>
      </c>
      <c r="M210" s="2" t="s">
        <v>1806</v>
      </c>
      <c r="N210" s="2" t="s">
        <v>1808</v>
      </c>
      <c r="O210" s="2"/>
      <c r="P210" s="2" t="s">
        <v>37</v>
      </c>
      <c r="Q210" s="4" t="n">
        <v>8731</v>
      </c>
      <c r="R210" s="2" t="s">
        <v>136</v>
      </c>
      <c r="S210" s="2" t="s">
        <v>39</v>
      </c>
      <c r="T210" s="2" t="s">
        <v>40</v>
      </c>
      <c r="U210" s="2" t="s">
        <v>1809</v>
      </c>
      <c r="V210" s="2"/>
      <c r="W210" s="2" t="s">
        <v>42</v>
      </c>
      <c r="X210" s="2" t="s">
        <v>43</v>
      </c>
      <c r="Y210" s="2" t="s">
        <v>37</v>
      </c>
      <c r="Z210" s="2" t="s">
        <v>44</v>
      </c>
      <c r="AA210" s="2"/>
      <c r="AB210" s="2"/>
      <c r="AC210" s="2" t="s">
        <v>1810</v>
      </c>
      <c r="AD210" s="2" t="s">
        <v>46</v>
      </c>
    </row>
    <row r="211" customFormat="false" ht="15.7" hidden="false" customHeight="true" outlineLevel="0" collapsed="false">
      <c r="A211" s="2"/>
      <c r="B211" s="3" t="n">
        <f aca="false">DATE(2006,6,21)</f>
        <v>0</v>
      </c>
      <c r="C211" s="3" t="n">
        <v>38889</v>
      </c>
      <c r="D211" s="2" t="s">
        <v>1811</v>
      </c>
      <c r="F211" s="2" t="s">
        <v>1812</v>
      </c>
      <c r="G211" s="2" t="s">
        <v>1813</v>
      </c>
      <c r="H211" s="2" t="s">
        <v>63</v>
      </c>
      <c r="I211" s="2" t="s">
        <v>1287</v>
      </c>
      <c r="J211" s="2" t="s">
        <v>35</v>
      </c>
      <c r="K211" s="2" t="s">
        <v>1811</v>
      </c>
      <c r="L211" s="2" t="s">
        <v>1287</v>
      </c>
      <c r="M211" s="2" t="s">
        <v>63</v>
      </c>
      <c r="N211" s="2" t="s">
        <v>1814</v>
      </c>
      <c r="O211" s="2"/>
      <c r="P211" s="2" t="s">
        <v>37</v>
      </c>
      <c r="Q211" s="4" t="n">
        <v>8731</v>
      </c>
      <c r="R211" s="2" t="s">
        <v>136</v>
      </c>
      <c r="S211" s="2" t="s">
        <v>39</v>
      </c>
      <c r="T211" s="2" t="s">
        <v>40</v>
      </c>
      <c r="U211" s="2" t="s">
        <v>1815</v>
      </c>
      <c r="V211" s="2"/>
      <c r="W211" s="2" t="s">
        <v>42</v>
      </c>
      <c r="X211" s="2" t="s">
        <v>43</v>
      </c>
      <c r="Y211" s="2" t="s">
        <v>37</v>
      </c>
      <c r="Z211" s="2" t="s">
        <v>44</v>
      </c>
      <c r="AA211" s="2"/>
      <c r="AB211" s="2"/>
      <c r="AC211" s="2" t="s">
        <v>1816</v>
      </c>
      <c r="AD211" s="2" t="s">
        <v>46</v>
      </c>
    </row>
    <row r="212" customFormat="false" ht="15.7" hidden="false" customHeight="true" outlineLevel="0" collapsed="false">
      <c r="A212" s="2"/>
      <c r="B212" s="3" t="n">
        <f aca="false">DATE(2006,6,21)</f>
        <v>0</v>
      </c>
      <c r="C212" s="3" t="n">
        <v>38889</v>
      </c>
      <c r="D212" s="2" t="s">
        <v>1817</v>
      </c>
      <c r="F212" s="2" t="s">
        <v>1818</v>
      </c>
      <c r="G212" s="2" t="s">
        <v>1819</v>
      </c>
      <c r="H212" s="2" t="s">
        <v>762</v>
      </c>
      <c r="I212" s="2" t="s">
        <v>965</v>
      </c>
      <c r="J212" s="2" t="s">
        <v>228</v>
      </c>
      <c r="K212" s="2" t="s">
        <v>1820</v>
      </c>
      <c r="L212" s="2" t="s">
        <v>965</v>
      </c>
      <c r="M212" s="2" t="s">
        <v>523</v>
      </c>
      <c r="N212" s="2" t="s">
        <v>1821</v>
      </c>
      <c r="O212" s="2"/>
      <c r="P212" s="2" t="s">
        <v>37</v>
      </c>
      <c r="Q212" s="4" t="n">
        <v>8731</v>
      </c>
      <c r="R212" s="2" t="s">
        <v>136</v>
      </c>
      <c r="S212" s="2" t="s">
        <v>39</v>
      </c>
      <c r="T212" s="2" t="s">
        <v>673</v>
      </c>
      <c r="U212" s="2" t="s">
        <v>1822</v>
      </c>
      <c r="V212" s="2"/>
      <c r="W212" s="2" t="s">
        <v>697</v>
      </c>
      <c r="X212" s="2" t="s">
        <v>43</v>
      </c>
      <c r="Y212" s="2" t="s">
        <v>37</v>
      </c>
      <c r="Z212" s="2" t="s">
        <v>44</v>
      </c>
      <c r="AA212" s="2"/>
      <c r="AB212" s="2"/>
      <c r="AC212" s="2" t="s">
        <v>1823</v>
      </c>
      <c r="AD212" s="2" t="s">
        <v>46</v>
      </c>
    </row>
    <row r="213" customFormat="false" ht="15.7" hidden="false" customHeight="true" outlineLevel="0" collapsed="false">
      <c r="A213" s="2"/>
      <c r="B213" s="3" t="n">
        <f aca="false">DATE(2006,6,22)</f>
        <v>0</v>
      </c>
      <c r="C213" s="3" t="n">
        <v>38890</v>
      </c>
      <c r="D213" s="2" t="s">
        <v>1824</v>
      </c>
      <c r="F213" s="2" t="s">
        <v>1825</v>
      </c>
      <c r="G213" s="2" t="s">
        <v>1826</v>
      </c>
      <c r="H213" s="2" t="s">
        <v>1101</v>
      </c>
      <c r="I213" s="2" t="s">
        <v>51</v>
      </c>
      <c r="J213" s="2" t="s">
        <v>595</v>
      </c>
      <c r="K213" s="2" t="s">
        <v>1827</v>
      </c>
      <c r="L213" s="2" t="s">
        <v>51</v>
      </c>
      <c r="M213" s="2" t="s">
        <v>153</v>
      </c>
      <c r="N213" s="2" t="s">
        <v>1828</v>
      </c>
      <c r="O213" s="2"/>
      <c r="P213" s="2" t="s">
        <v>37</v>
      </c>
      <c r="Q213" s="4" t="n">
        <v>8731</v>
      </c>
      <c r="R213" s="2" t="s">
        <v>56</v>
      </c>
      <c r="S213" s="2" t="s">
        <v>977</v>
      </c>
      <c r="T213" s="2" t="s">
        <v>40</v>
      </c>
      <c r="U213" s="2" t="s">
        <v>1829</v>
      </c>
      <c r="V213" s="2"/>
      <c r="W213" s="2" t="s">
        <v>42</v>
      </c>
      <c r="X213" s="2" t="s">
        <v>43</v>
      </c>
      <c r="Y213" s="2" t="s">
        <v>37</v>
      </c>
      <c r="Z213" s="2" t="s">
        <v>44</v>
      </c>
      <c r="AA213" s="2"/>
      <c r="AB213" s="2"/>
      <c r="AC213" s="2" t="s">
        <v>1830</v>
      </c>
      <c r="AD213" s="2" t="s">
        <v>46</v>
      </c>
    </row>
    <row r="214" customFormat="false" ht="15.7" hidden="false" customHeight="true" outlineLevel="0" collapsed="false">
      <c r="A214" s="2"/>
      <c r="B214" s="3" t="n">
        <f aca="false">DATE(2006,6,26)</f>
        <v>0</v>
      </c>
      <c r="C214" s="3" t="n">
        <v>38894</v>
      </c>
      <c r="D214" s="2" t="s">
        <v>1831</v>
      </c>
      <c r="F214" s="2" t="s">
        <v>1832</v>
      </c>
      <c r="G214" s="2" t="s">
        <v>1833</v>
      </c>
      <c r="H214" s="2" t="s">
        <v>170</v>
      </c>
      <c r="I214" s="2" t="s">
        <v>51</v>
      </c>
      <c r="J214" s="2" t="s">
        <v>1834</v>
      </c>
      <c r="K214" s="2" t="s">
        <v>1835</v>
      </c>
      <c r="L214" s="2" t="s">
        <v>51</v>
      </c>
      <c r="M214" s="2" t="s">
        <v>63</v>
      </c>
      <c r="N214" s="2" t="s">
        <v>1836</v>
      </c>
      <c r="O214" s="2"/>
      <c r="P214" s="2" t="s">
        <v>79</v>
      </c>
      <c r="Q214" s="4" t="n">
        <v>6794</v>
      </c>
      <c r="R214" s="2" t="s">
        <v>136</v>
      </c>
      <c r="S214" s="2" t="s">
        <v>39</v>
      </c>
      <c r="T214" s="2" t="s">
        <v>40</v>
      </c>
      <c r="U214" s="2" t="s">
        <v>1837</v>
      </c>
      <c r="V214" s="2"/>
      <c r="W214" s="2" t="s">
        <v>94</v>
      </c>
      <c r="X214" s="2" t="s">
        <v>43</v>
      </c>
      <c r="Y214" s="2" t="s">
        <v>37</v>
      </c>
      <c r="Z214" s="2" t="s">
        <v>44</v>
      </c>
      <c r="AA214" s="2" t="s">
        <v>1838</v>
      </c>
      <c r="AB214" s="2"/>
      <c r="AC214" s="2" t="s">
        <v>1839</v>
      </c>
      <c r="AD214" s="2" t="s">
        <v>46</v>
      </c>
    </row>
    <row r="215" customFormat="false" ht="15.7" hidden="false" customHeight="true" outlineLevel="0" collapsed="false">
      <c r="A215" s="2"/>
      <c r="B215" s="3" t="n">
        <f aca="false">DATE(2006,6,26)</f>
        <v>0</v>
      </c>
      <c r="C215" s="3" t="n">
        <v>38894</v>
      </c>
      <c r="D215" s="2" t="s">
        <v>1840</v>
      </c>
      <c r="F215" s="2" t="s">
        <v>1841</v>
      </c>
      <c r="G215" s="2" t="s">
        <v>1842</v>
      </c>
      <c r="H215" s="2" t="s">
        <v>1843</v>
      </c>
      <c r="I215" s="2" t="s">
        <v>51</v>
      </c>
      <c r="J215" s="2" t="s">
        <v>1844</v>
      </c>
      <c r="K215" s="2" t="s">
        <v>1840</v>
      </c>
      <c r="L215" s="2" t="s">
        <v>51</v>
      </c>
      <c r="M215" s="2" t="s">
        <v>1843</v>
      </c>
      <c r="N215" s="2" t="s">
        <v>1845</v>
      </c>
      <c r="O215" s="2"/>
      <c r="P215" s="2" t="s">
        <v>79</v>
      </c>
      <c r="Q215" s="4" t="n">
        <v>6794</v>
      </c>
      <c r="R215" s="2" t="s">
        <v>136</v>
      </c>
      <c r="S215" s="2" t="s">
        <v>39</v>
      </c>
      <c r="T215" s="2" t="s">
        <v>40</v>
      </c>
      <c r="U215" s="2" t="s">
        <v>1846</v>
      </c>
      <c r="V215" s="2"/>
      <c r="W215" s="2" t="s">
        <v>253</v>
      </c>
      <c r="X215" s="2" t="s">
        <v>43</v>
      </c>
      <c r="Y215" s="2" t="s">
        <v>37</v>
      </c>
      <c r="Z215" s="2" t="s">
        <v>44</v>
      </c>
      <c r="AA215" s="2"/>
      <c r="AB215" s="2"/>
      <c r="AC215" s="2" t="s">
        <v>1847</v>
      </c>
      <c r="AD215" s="2" t="s">
        <v>46</v>
      </c>
    </row>
    <row r="216" customFormat="false" ht="15.7" hidden="false" customHeight="true" outlineLevel="0" collapsed="false">
      <c r="A216" s="2"/>
      <c r="B216" s="3" t="n">
        <f aca="false">DATE(2006,6,26)</f>
        <v>0</v>
      </c>
      <c r="C216" s="3" t="n">
        <v>38894</v>
      </c>
      <c r="D216" s="2" t="s">
        <v>1848</v>
      </c>
      <c r="F216" s="2" t="s">
        <v>1849</v>
      </c>
      <c r="G216" s="2" t="s">
        <v>1850</v>
      </c>
      <c r="H216" s="2" t="s">
        <v>1851</v>
      </c>
      <c r="I216" s="2" t="s">
        <v>685</v>
      </c>
      <c r="J216" s="2" t="s">
        <v>35</v>
      </c>
      <c r="K216" s="2" t="s">
        <v>1852</v>
      </c>
      <c r="L216" s="2" t="s">
        <v>685</v>
      </c>
      <c r="M216" s="2" t="s">
        <v>1853</v>
      </c>
      <c r="N216" s="2" t="s">
        <v>1854</v>
      </c>
      <c r="O216" s="2"/>
      <c r="P216" s="2" t="s">
        <v>37</v>
      </c>
      <c r="Q216" s="4" t="n">
        <v>8731</v>
      </c>
      <c r="R216" s="2" t="s">
        <v>688</v>
      </c>
      <c r="S216" s="2" t="s">
        <v>39</v>
      </c>
      <c r="T216" s="2" t="s">
        <v>40</v>
      </c>
      <c r="U216" s="2" t="s">
        <v>1855</v>
      </c>
      <c r="V216" s="2"/>
      <c r="W216" s="2" t="s">
        <v>697</v>
      </c>
      <c r="X216" s="2" t="s">
        <v>43</v>
      </c>
      <c r="Y216" s="2" t="s">
        <v>37</v>
      </c>
      <c r="Z216" s="2" t="s">
        <v>44</v>
      </c>
      <c r="AA216" s="2"/>
      <c r="AB216" s="2"/>
      <c r="AC216" s="2" t="s">
        <v>1856</v>
      </c>
      <c r="AD216" s="2" t="s">
        <v>46</v>
      </c>
    </row>
    <row r="217" customFormat="false" ht="15.7" hidden="false" customHeight="true" outlineLevel="0" collapsed="false">
      <c r="A217" s="2"/>
      <c r="B217" s="3" t="n">
        <f aca="false">DATE(2006,6,26)</f>
        <v>0</v>
      </c>
      <c r="C217" s="3" t="n">
        <v>38894</v>
      </c>
      <c r="D217" s="2" t="s">
        <v>1857</v>
      </c>
      <c r="F217" s="2" t="s">
        <v>1858</v>
      </c>
      <c r="G217" s="2" t="s">
        <v>1859</v>
      </c>
      <c r="H217" s="2" t="s">
        <v>130</v>
      </c>
      <c r="I217" s="2" t="s">
        <v>51</v>
      </c>
      <c r="J217" s="2" t="s">
        <v>560</v>
      </c>
      <c r="K217" s="2" t="s">
        <v>1857</v>
      </c>
      <c r="L217" s="2" t="s">
        <v>51</v>
      </c>
      <c r="M217" s="2" t="s">
        <v>130</v>
      </c>
      <c r="N217" s="2" t="s">
        <v>1860</v>
      </c>
      <c r="O217" s="2"/>
      <c r="P217" s="2" t="s">
        <v>79</v>
      </c>
      <c r="Q217" s="4" t="n">
        <v>6794</v>
      </c>
      <c r="R217" s="2" t="s">
        <v>56</v>
      </c>
      <c r="S217" s="2" t="s">
        <v>1226</v>
      </c>
      <c r="T217" s="2" t="s">
        <v>40</v>
      </c>
      <c r="U217" s="2" t="s">
        <v>1861</v>
      </c>
      <c r="V217" s="2"/>
      <c r="W217" s="2" t="s">
        <v>82</v>
      </c>
      <c r="X217" s="2" t="s">
        <v>43</v>
      </c>
      <c r="Y217" s="2" t="s">
        <v>37</v>
      </c>
      <c r="Z217" s="2" t="s">
        <v>44</v>
      </c>
      <c r="AA217" s="2" t="s">
        <v>1862</v>
      </c>
      <c r="AB217" s="2"/>
      <c r="AC217" s="2" t="s">
        <v>1863</v>
      </c>
      <c r="AD217" s="2" t="s">
        <v>46</v>
      </c>
    </row>
    <row r="218" customFormat="false" ht="15.7" hidden="false" customHeight="true" outlineLevel="0" collapsed="false">
      <c r="A218" s="2"/>
      <c r="B218" s="3" t="n">
        <f aca="false">DATE(2006,6,27)</f>
        <v>0</v>
      </c>
      <c r="C218" s="3" t="n">
        <v>38895</v>
      </c>
      <c r="D218" s="2" t="s">
        <v>1864</v>
      </c>
      <c r="F218" s="2" t="s">
        <v>1865</v>
      </c>
      <c r="G218" s="2" t="s">
        <v>1866</v>
      </c>
      <c r="H218" s="2" t="s">
        <v>63</v>
      </c>
      <c r="I218" s="2" t="s">
        <v>1867</v>
      </c>
      <c r="J218" s="2" t="s">
        <v>35</v>
      </c>
      <c r="K218" s="2" t="s">
        <v>1864</v>
      </c>
      <c r="L218" s="2" t="s">
        <v>1867</v>
      </c>
      <c r="M218" s="2" t="s">
        <v>63</v>
      </c>
      <c r="N218" s="2" t="s">
        <v>1868</v>
      </c>
      <c r="O218" s="2"/>
      <c r="P218" s="2" t="s">
        <v>37</v>
      </c>
      <c r="Q218" s="4" t="n">
        <v>8731</v>
      </c>
      <c r="R218" s="2" t="s">
        <v>136</v>
      </c>
      <c r="S218" s="2" t="s">
        <v>39</v>
      </c>
      <c r="T218" s="2" t="s">
        <v>40</v>
      </c>
      <c r="U218" s="2" t="s">
        <v>1869</v>
      </c>
      <c r="V218" s="2"/>
      <c r="W218" s="2" t="s">
        <v>138</v>
      </c>
      <c r="X218" s="2" t="s">
        <v>43</v>
      </c>
      <c r="Y218" s="2" t="s">
        <v>37</v>
      </c>
      <c r="Z218" s="2" t="s">
        <v>44</v>
      </c>
      <c r="AA218" s="2" t="s">
        <v>1870</v>
      </c>
      <c r="AB218" s="2"/>
      <c r="AC218" s="2" t="s">
        <v>1871</v>
      </c>
      <c r="AD218" s="2" t="s">
        <v>46</v>
      </c>
    </row>
    <row r="219" customFormat="false" ht="15.7" hidden="false" customHeight="true" outlineLevel="0" collapsed="false">
      <c r="A219" s="2"/>
      <c r="B219" s="3" t="n">
        <f aca="false">DATE(2006,6,27)</f>
        <v>0</v>
      </c>
      <c r="C219" s="3" t="n">
        <v>38895</v>
      </c>
      <c r="D219" s="2" t="s">
        <v>1872</v>
      </c>
      <c r="F219" s="2" t="s">
        <v>1873</v>
      </c>
      <c r="G219" s="2" t="s">
        <v>1874</v>
      </c>
      <c r="H219" s="2" t="s">
        <v>1875</v>
      </c>
      <c r="I219" s="2" t="s">
        <v>131</v>
      </c>
      <c r="J219" s="2" t="s">
        <v>132</v>
      </c>
      <c r="K219" s="2" t="s">
        <v>1872</v>
      </c>
      <c r="L219" s="2" t="s">
        <v>131</v>
      </c>
      <c r="M219" s="2" t="s">
        <v>1875</v>
      </c>
      <c r="N219" s="2" t="s">
        <v>1876</v>
      </c>
      <c r="O219" s="2"/>
      <c r="P219" s="2" t="s">
        <v>79</v>
      </c>
      <c r="Q219" s="4" t="n">
        <v>6794</v>
      </c>
      <c r="R219" s="2" t="s">
        <v>136</v>
      </c>
      <c r="S219" s="2" t="s">
        <v>39</v>
      </c>
      <c r="T219" s="2" t="s">
        <v>40</v>
      </c>
      <c r="U219" s="2" t="s">
        <v>1877</v>
      </c>
      <c r="V219" s="2"/>
      <c r="W219" s="2" t="s">
        <v>253</v>
      </c>
      <c r="X219" s="2" t="s">
        <v>43</v>
      </c>
      <c r="Y219" s="2" t="s">
        <v>37</v>
      </c>
      <c r="Z219" s="2" t="s">
        <v>44</v>
      </c>
      <c r="AA219" s="2"/>
      <c r="AB219" s="2"/>
      <c r="AC219" s="2" t="s">
        <v>1878</v>
      </c>
      <c r="AD219" s="2" t="s">
        <v>46</v>
      </c>
    </row>
    <row r="220" customFormat="false" ht="15.7" hidden="false" customHeight="true" outlineLevel="0" collapsed="false">
      <c r="A220" s="2"/>
      <c r="B220" s="3" t="n">
        <f aca="false">DATE(2006,6,27)</f>
        <v>0</v>
      </c>
      <c r="C220" s="3" t="n">
        <v>38895</v>
      </c>
      <c r="D220" s="2" t="s">
        <v>1879</v>
      </c>
      <c r="F220" s="2" t="s">
        <v>1880</v>
      </c>
      <c r="G220" s="2" t="s">
        <v>1881</v>
      </c>
      <c r="H220" s="2" t="s">
        <v>1027</v>
      </c>
      <c r="I220" s="2" t="s">
        <v>1882</v>
      </c>
      <c r="J220" s="2" t="s">
        <v>35</v>
      </c>
      <c r="K220" s="2" t="s">
        <v>1883</v>
      </c>
      <c r="L220" s="2" t="s">
        <v>1882</v>
      </c>
      <c r="M220" s="2" t="s">
        <v>130</v>
      </c>
      <c r="N220" s="2" t="s">
        <v>1884</v>
      </c>
      <c r="O220" s="2"/>
      <c r="P220" s="2" t="s">
        <v>37</v>
      </c>
      <c r="Q220" s="4" t="n">
        <v>8731</v>
      </c>
      <c r="R220" s="2" t="s">
        <v>136</v>
      </c>
      <c r="S220" s="2" t="s">
        <v>39</v>
      </c>
      <c r="T220" s="2" t="s">
        <v>40</v>
      </c>
      <c r="U220" s="2" t="s">
        <v>1885</v>
      </c>
      <c r="V220" s="2"/>
      <c r="W220" s="2" t="s">
        <v>42</v>
      </c>
      <c r="X220" s="2" t="s">
        <v>43</v>
      </c>
      <c r="Y220" s="2" t="s">
        <v>37</v>
      </c>
      <c r="Z220" s="2" t="s">
        <v>44</v>
      </c>
      <c r="AA220" s="2"/>
      <c r="AB220" s="2"/>
      <c r="AC220" s="2" t="s">
        <v>1886</v>
      </c>
      <c r="AD220" s="2" t="s">
        <v>46</v>
      </c>
    </row>
    <row r="221" customFormat="false" ht="15.7" hidden="false" customHeight="true" outlineLevel="0" collapsed="false">
      <c r="A221" s="2"/>
      <c r="B221" s="3" t="n">
        <f aca="false">DATE(2006,6,27)</f>
        <v>0</v>
      </c>
      <c r="C221" s="3" t="n">
        <v>38895</v>
      </c>
      <c r="D221" s="2" t="s">
        <v>1887</v>
      </c>
      <c r="F221" s="2" t="s">
        <v>1888</v>
      </c>
      <c r="G221" s="2" t="s">
        <v>1889</v>
      </c>
      <c r="H221" s="2" t="s">
        <v>1890</v>
      </c>
      <c r="I221" s="2" t="s">
        <v>965</v>
      </c>
      <c r="J221" s="2" t="s">
        <v>1891</v>
      </c>
      <c r="K221" s="2" t="s">
        <v>1887</v>
      </c>
      <c r="L221" s="2" t="s">
        <v>965</v>
      </c>
      <c r="M221" s="2" t="s">
        <v>1890</v>
      </c>
      <c r="N221" s="2" t="s">
        <v>1892</v>
      </c>
      <c r="O221" s="2"/>
      <c r="P221" s="2" t="s">
        <v>37</v>
      </c>
      <c r="Q221" s="4" t="n">
        <v>4813</v>
      </c>
      <c r="R221" s="2" t="s">
        <v>136</v>
      </c>
      <c r="S221" s="2" t="s">
        <v>39</v>
      </c>
      <c r="T221" s="2" t="s">
        <v>40</v>
      </c>
      <c r="U221" s="2" t="s">
        <v>1893</v>
      </c>
      <c r="V221" s="2"/>
      <c r="W221" s="2" t="s">
        <v>1801</v>
      </c>
      <c r="X221" s="2" t="s">
        <v>43</v>
      </c>
      <c r="Y221" s="2" t="s">
        <v>37</v>
      </c>
      <c r="Z221" s="2" t="s">
        <v>44</v>
      </c>
      <c r="AA221" s="2"/>
      <c r="AB221" s="2"/>
      <c r="AC221" s="2" t="s">
        <v>1894</v>
      </c>
      <c r="AD221" s="2" t="s">
        <v>46</v>
      </c>
    </row>
    <row r="222" customFormat="false" ht="15.7" hidden="false" customHeight="true" outlineLevel="0" collapsed="false">
      <c r="A222" s="2"/>
      <c r="B222" s="3" t="n">
        <f aca="false">DATE(2006,6,27)</f>
        <v>0</v>
      </c>
      <c r="C222" s="3" t="n">
        <v>38895</v>
      </c>
      <c r="D222" s="2" t="s">
        <v>1895</v>
      </c>
      <c r="F222" s="2" t="s">
        <v>408</v>
      </c>
      <c r="G222" s="2" t="s">
        <v>1896</v>
      </c>
      <c r="H222" s="2" t="s">
        <v>170</v>
      </c>
      <c r="I222" s="2" t="s">
        <v>330</v>
      </c>
      <c r="J222" s="2" t="s">
        <v>1897</v>
      </c>
      <c r="K222" s="2" t="s">
        <v>1895</v>
      </c>
      <c r="L222" s="2" t="s">
        <v>330</v>
      </c>
      <c r="M222" s="2" t="s">
        <v>170</v>
      </c>
      <c r="N222" s="2" t="s">
        <v>1898</v>
      </c>
      <c r="O222" s="2"/>
      <c r="P222" s="2" t="s">
        <v>37</v>
      </c>
      <c r="Q222" s="4" t="n">
        <v>8731</v>
      </c>
      <c r="R222" s="2" t="s">
        <v>136</v>
      </c>
      <c r="S222" s="2" t="s">
        <v>39</v>
      </c>
      <c r="T222" s="2" t="s">
        <v>40</v>
      </c>
      <c r="U222" s="2" t="s">
        <v>1899</v>
      </c>
      <c r="V222" s="2"/>
      <c r="W222" s="2" t="s">
        <v>42</v>
      </c>
      <c r="X222" s="2" t="s">
        <v>43</v>
      </c>
      <c r="Y222" s="2" t="s">
        <v>37</v>
      </c>
      <c r="Z222" s="2" t="s">
        <v>44</v>
      </c>
      <c r="AA222" s="2"/>
      <c r="AB222" s="2"/>
      <c r="AC222" s="2" t="s">
        <v>1900</v>
      </c>
      <c r="AD222" s="2" t="s">
        <v>46</v>
      </c>
    </row>
    <row r="223" customFormat="false" ht="15.7" hidden="false" customHeight="true" outlineLevel="0" collapsed="false">
      <c r="A223" s="2"/>
      <c r="B223" s="3" t="n">
        <f aca="false">DATE(2006,6,28)</f>
        <v>0</v>
      </c>
      <c r="C223" s="3" t="n">
        <v>38896</v>
      </c>
      <c r="D223" s="2" t="s">
        <v>1901</v>
      </c>
      <c r="F223" s="2" t="s">
        <v>1902</v>
      </c>
      <c r="G223" s="2" t="s">
        <v>1903</v>
      </c>
      <c r="H223" s="2" t="s">
        <v>305</v>
      </c>
      <c r="I223" s="2" t="s">
        <v>1904</v>
      </c>
      <c r="J223" s="2" t="s">
        <v>331</v>
      </c>
      <c r="K223" s="2" t="s">
        <v>1901</v>
      </c>
      <c r="L223" s="2" t="s">
        <v>1904</v>
      </c>
      <c r="M223" s="2" t="s">
        <v>305</v>
      </c>
      <c r="N223" s="2" t="s">
        <v>1905</v>
      </c>
      <c r="O223" s="2"/>
      <c r="P223" s="2" t="s">
        <v>37</v>
      </c>
      <c r="Q223" s="4" t="n">
        <v>8731</v>
      </c>
      <c r="R223" s="2" t="s">
        <v>56</v>
      </c>
      <c r="S223" s="2" t="s">
        <v>92</v>
      </c>
      <c r="T223" s="2" t="s">
        <v>403</v>
      </c>
      <c r="U223" s="2" t="s">
        <v>1906</v>
      </c>
      <c r="V223" s="2"/>
      <c r="W223" s="2" t="s">
        <v>42</v>
      </c>
      <c r="X223" s="2" t="s">
        <v>43</v>
      </c>
      <c r="Y223" s="2" t="s">
        <v>37</v>
      </c>
      <c r="Z223" s="2" t="s">
        <v>44</v>
      </c>
      <c r="AA223" s="2"/>
      <c r="AB223" s="2"/>
      <c r="AC223" s="2" t="s">
        <v>1907</v>
      </c>
      <c r="AD223" s="2" t="s">
        <v>46</v>
      </c>
    </row>
    <row r="224" customFormat="false" ht="15.7" hidden="false" customHeight="true" outlineLevel="0" collapsed="false">
      <c r="A224" s="2"/>
      <c r="B224" s="3" t="n">
        <f aca="false">DATE(2006,6,28)</f>
        <v>0</v>
      </c>
      <c r="C224" s="3" t="n">
        <v>38896</v>
      </c>
      <c r="D224" s="2" t="s">
        <v>1908</v>
      </c>
      <c r="F224" s="2" t="s">
        <v>1909</v>
      </c>
      <c r="G224" s="2" t="s">
        <v>1910</v>
      </c>
      <c r="H224" s="2" t="s">
        <v>1911</v>
      </c>
      <c r="I224" s="2" t="s">
        <v>1912</v>
      </c>
      <c r="J224" s="2" t="s">
        <v>35</v>
      </c>
      <c r="K224" s="2" t="s">
        <v>1913</v>
      </c>
      <c r="L224" s="2" t="s">
        <v>1367</v>
      </c>
      <c r="M224" s="2" t="s">
        <v>1911</v>
      </c>
      <c r="N224" s="2" t="s">
        <v>1914</v>
      </c>
      <c r="O224" s="2"/>
      <c r="P224" s="2" t="s">
        <v>37</v>
      </c>
      <c r="Q224" s="4" t="n">
        <v>8732</v>
      </c>
      <c r="R224" s="2" t="s">
        <v>136</v>
      </c>
      <c r="S224" s="2" t="s">
        <v>39</v>
      </c>
      <c r="T224" s="2" t="s">
        <v>40</v>
      </c>
      <c r="U224" s="2" t="s">
        <v>1915</v>
      </c>
      <c r="V224" s="2"/>
      <c r="W224" s="2" t="s">
        <v>42</v>
      </c>
      <c r="X224" s="2" t="s">
        <v>43</v>
      </c>
      <c r="Y224" s="2" t="s">
        <v>37</v>
      </c>
      <c r="Z224" s="2" t="s">
        <v>44</v>
      </c>
      <c r="AA224" s="2"/>
      <c r="AB224" s="2"/>
      <c r="AC224" s="2" t="s">
        <v>1916</v>
      </c>
      <c r="AD224" s="2" t="s">
        <v>46</v>
      </c>
    </row>
    <row r="225" customFormat="false" ht="15.7" hidden="false" customHeight="true" outlineLevel="0" collapsed="false">
      <c r="A225" s="2"/>
      <c r="B225" s="3" t="n">
        <f aca="false">DATE(2006,6,28)</f>
        <v>0</v>
      </c>
      <c r="C225" s="3" t="n">
        <v>38896</v>
      </c>
      <c r="D225" s="2" t="s">
        <v>1917</v>
      </c>
      <c r="F225" s="2" t="s">
        <v>1865</v>
      </c>
      <c r="G225" s="2" t="s">
        <v>1918</v>
      </c>
      <c r="H225" s="2" t="s">
        <v>63</v>
      </c>
      <c r="I225" s="2" t="s">
        <v>1867</v>
      </c>
      <c r="J225" s="2" t="s">
        <v>35</v>
      </c>
      <c r="K225" s="2" t="s">
        <v>1917</v>
      </c>
      <c r="L225" s="2" t="s">
        <v>1867</v>
      </c>
      <c r="M225" s="2" t="s">
        <v>63</v>
      </c>
      <c r="N225" s="2" t="s">
        <v>1919</v>
      </c>
      <c r="O225" s="2"/>
      <c r="P225" s="2" t="s">
        <v>37</v>
      </c>
      <c r="Q225" s="4" t="n">
        <v>8731</v>
      </c>
      <c r="R225" s="2" t="s">
        <v>136</v>
      </c>
      <c r="S225" s="2" t="s">
        <v>39</v>
      </c>
      <c r="T225" s="2" t="s">
        <v>40</v>
      </c>
      <c r="U225" s="2" t="s">
        <v>1920</v>
      </c>
      <c r="V225" s="2"/>
      <c r="W225" s="2" t="s">
        <v>42</v>
      </c>
      <c r="X225" s="2" t="s">
        <v>43</v>
      </c>
      <c r="Y225" s="2" t="s">
        <v>37</v>
      </c>
      <c r="Z225" s="2" t="s">
        <v>44</v>
      </c>
      <c r="AA225" s="2"/>
      <c r="AB225" s="2"/>
      <c r="AC225" s="2" t="s">
        <v>1921</v>
      </c>
      <c r="AD225" s="2" t="s">
        <v>46</v>
      </c>
    </row>
    <row r="226" customFormat="false" ht="15.7" hidden="false" customHeight="true" outlineLevel="0" collapsed="false">
      <c r="A226" s="2"/>
      <c r="B226" s="3" t="n">
        <f aca="false">DATE(2006,6,28)</f>
        <v>0</v>
      </c>
      <c r="C226" s="3" t="n">
        <v>38896</v>
      </c>
      <c r="D226" s="2" t="s">
        <v>1922</v>
      </c>
      <c r="F226" s="2" t="s">
        <v>1923</v>
      </c>
      <c r="G226" s="2" t="s">
        <v>1924</v>
      </c>
      <c r="H226" s="2" t="s">
        <v>1925</v>
      </c>
      <c r="I226" s="2" t="s">
        <v>51</v>
      </c>
      <c r="J226" s="2" t="s">
        <v>1926</v>
      </c>
      <c r="K226" s="2" t="s">
        <v>1922</v>
      </c>
      <c r="L226" s="2" t="s">
        <v>51</v>
      </c>
      <c r="M226" s="2" t="s">
        <v>1925</v>
      </c>
      <c r="N226" s="2" t="s">
        <v>1927</v>
      </c>
      <c r="O226" s="2"/>
      <c r="P226" s="2" t="s">
        <v>37</v>
      </c>
      <c r="Q226" s="4" t="n">
        <v>8731</v>
      </c>
      <c r="R226" s="2" t="s">
        <v>56</v>
      </c>
      <c r="S226" s="2" t="s">
        <v>1622</v>
      </c>
      <c r="T226" s="2" t="s">
        <v>40</v>
      </c>
      <c r="U226" s="2" t="s">
        <v>1928</v>
      </c>
      <c r="V226" s="2"/>
      <c r="W226" s="2" t="s">
        <v>42</v>
      </c>
      <c r="X226" s="2" t="s">
        <v>43</v>
      </c>
      <c r="Y226" s="2" t="s">
        <v>37</v>
      </c>
      <c r="Z226" s="2" t="s">
        <v>44</v>
      </c>
      <c r="AA226" s="2"/>
      <c r="AB226" s="2"/>
      <c r="AC226" s="2" t="s">
        <v>1929</v>
      </c>
      <c r="AD226" s="2" t="s">
        <v>46</v>
      </c>
    </row>
    <row r="227" customFormat="false" ht="15.7" hidden="false" customHeight="true" outlineLevel="0" collapsed="false">
      <c r="A227" s="2"/>
      <c r="B227" s="3" t="n">
        <f aca="false">DATE(2006,6,28)</f>
        <v>0</v>
      </c>
      <c r="C227" s="3" t="n">
        <v>38896</v>
      </c>
      <c r="D227" s="2" t="s">
        <v>1930</v>
      </c>
      <c r="F227" s="2" t="s">
        <v>1931</v>
      </c>
      <c r="G227" s="2" t="s">
        <v>1932</v>
      </c>
      <c r="H227" s="2" t="s">
        <v>1933</v>
      </c>
      <c r="I227" s="2" t="s">
        <v>51</v>
      </c>
      <c r="J227" s="2" t="s">
        <v>1834</v>
      </c>
      <c r="K227" s="2" t="s">
        <v>1934</v>
      </c>
      <c r="L227" s="2" t="s">
        <v>388</v>
      </c>
      <c r="M227" s="2" t="s">
        <v>1935</v>
      </c>
      <c r="N227" s="2" t="s">
        <v>1936</v>
      </c>
      <c r="O227" s="2"/>
      <c r="P227" s="2" t="s">
        <v>37</v>
      </c>
      <c r="Q227" s="4" t="n">
        <v>8731</v>
      </c>
      <c r="R227" s="2" t="s">
        <v>56</v>
      </c>
      <c r="S227" s="2" t="s">
        <v>92</v>
      </c>
      <c r="T227" s="2" t="s">
        <v>40</v>
      </c>
      <c r="U227" s="2" t="s">
        <v>1937</v>
      </c>
      <c r="V227" s="2"/>
      <c r="W227" s="2" t="s">
        <v>42</v>
      </c>
      <c r="X227" s="2" t="s">
        <v>43</v>
      </c>
      <c r="Y227" s="2" t="s">
        <v>37</v>
      </c>
      <c r="Z227" s="2" t="s">
        <v>44</v>
      </c>
      <c r="AA227" s="2" t="s">
        <v>1938</v>
      </c>
      <c r="AB227" s="2"/>
      <c r="AC227" s="2" t="s">
        <v>1939</v>
      </c>
      <c r="AD227" s="2" t="s">
        <v>46</v>
      </c>
    </row>
    <row r="228" customFormat="false" ht="15.7" hidden="false" customHeight="true" outlineLevel="0" collapsed="false">
      <c r="A228" s="2"/>
      <c r="B228" s="3" t="n">
        <f aca="false">DATE(2006,6,29)</f>
        <v>0</v>
      </c>
      <c r="C228" s="3" t="n">
        <v>38897</v>
      </c>
      <c r="D228" s="2" t="s">
        <v>1940</v>
      </c>
      <c r="F228" s="2" t="s">
        <v>1941</v>
      </c>
      <c r="G228" s="2" t="s">
        <v>1942</v>
      </c>
      <c r="H228" s="2" t="s">
        <v>1943</v>
      </c>
      <c r="I228" s="2" t="s">
        <v>51</v>
      </c>
      <c r="J228" s="2" t="s">
        <v>1834</v>
      </c>
      <c r="K228" s="2" t="s">
        <v>1944</v>
      </c>
      <c r="L228" s="2" t="s">
        <v>154</v>
      </c>
      <c r="M228" s="2" t="s">
        <v>1945</v>
      </c>
      <c r="N228" s="2" t="s">
        <v>1946</v>
      </c>
      <c r="O228" s="2"/>
      <c r="P228" s="2" t="s">
        <v>37</v>
      </c>
      <c r="Q228" s="4" t="n">
        <v>8731</v>
      </c>
      <c r="R228" s="2" t="s">
        <v>56</v>
      </c>
      <c r="S228" s="2" t="s">
        <v>92</v>
      </c>
      <c r="T228" s="2" t="s">
        <v>40</v>
      </c>
      <c r="U228" s="2" t="s">
        <v>1947</v>
      </c>
      <c r="V228" s="2"/>
      <c r="W228" s="2" t="s">
        <v>42</v>
      </c>
      <c r="X228" s="2" t="s">
        <v>43</v>
      </c>
      <c r="Y228" s="2" t="s">
        <v>37</v>
      </c>
      <c r="Z228" s="2" t="s">
        <v>44</v>
      </c>
      <c r="AA228" s="2"/>
      <c r="AB228" s="2"/>
      <c r="AC228" s="2" t="s">
        <v>1948</v>
      </c>
      <c r="AD228" s="2" t="s">
        <v>46</v>
      </c>
    </row>
    <row r="229" customFormat="false" ht="15.7" hidden="false" customHeight="true" outlineLevel="0" collapsed="false">
      <c r="A229" s="2"/>
      <c r="B229" s="3" t="n">
        <f aca="false">DATE(2006,6,29)</f>
        <v>0</v>
      </c>
      <c r="C229" s="3" t="n">
        <v>38897</v>
      </c>
      <c r="D229" s="2" t="s">
        <v>1949</v>
      </c>
      <c r="F229" s="2" t="s">
        <v>1950</v>
      </c>
      <c r="G229" s="2" t="s">
        <v>1951</v>
      </c>
      <c r="H229" s="2" t="s">
        <v>1952</v>
      </c>
      <c r="I229" s="2" t="s">
        <v>1953</v>
      </c>
      <c r="J229" s="2" t="s">
        <v>35</v>
      </c>
      <c r="K229" s="2" t="s">
        <v>1949</v>
      </c>
      <c r="L229" s="2" t="s">
        <v>1953</v>
      </c>
      <c r="M229" s="2" t="s">
        <v>1952</v>
      </c>
      <c r="N229" s="2" t="s">
        <v>1954</v>
      </c>
      <c r="O229" s="2"/>
      <c r="P229" s="2" t="s">
        <v>37</v>
      </c>
      <c r="Q229" s="4" t="n">
        <v>8731</v>
      </c>
      <c r="R229" s="2" t="s">
        <v>136</v>
      </c>
      <c r="S229" s="2" t="s">
        <v>39</v>
      </c>
      <c r="T229" s="2" t="s">
        <v>40</v>
      </c>
      <c r="U229" s="2" t="s">
        <v>1955</v>
      </c>
      <c r="V229" s="2"/>
      <c r="W229" s="2" t="s">
        <v>42</v>
      </c>
      <c r="X229" s="2" t="s">
        <v>43</v>
      </c>
      <c r="Y229" s="2" t="s">
        <v>37</v>
      </c>
      <c r="Z229" s="2" t="s">
        <v>44</v>
      </c>
      <c r="AA229" s="2"/>
      <c r="AB229" s="2"/>
      <c r="AC229" s="2" t="s">
        <v>1956</v>
      </c>
      <c r="AD229" s="2" t="s">
        <v>46</v>
      </c>
    </row>
    <row r="230" customFormat="false" ht="15.7" hidden="false" customHeight="true" outlineLevel="0" collapsed="false">
      <c r="A230" s="2"/>
      <c r="B230" s="3" t="n">
        <f aca="false">DATE(2006,6,30)</f>
        <v>0</v>
      </c>
      <c r="C230" s="3" t="n">
        <v>38898</v>
      </c>
      <c r="D230" s="2" t="s">
        <v>1957</v>
      </c>
      <c r="F230" s="2" t="s">
        <v>408</v>
      </c>
      <c r="G230" s="2" t="s">
        <v>1958</v>
      </c>
      <c r="H230" s="2" t="s">
        <v>305</v>
      </c>
      <c r="I230" s="2" t="s">
        <v>1412</v>
      </c>
      <c r="J230" s="2" t="s">
        <v>625</v>
      </c>
      <c r="K230" s="2" t="s">
        <v>1959</v>
      </c>
      <c r="L230" s="2" t="s">
        <v>51</v>
      </c>
      <c r="M230" s="2" t="s">
        <v>130</v>
      </c>
      <c r="N230" s="2" t="s">
        <v>1960</v>
      </c>
      <c r="O230" s="2"/>
      <c r="P230" s="2" t="s">
        <v>37</v>
      </c>
      <c r="Q230" s="4" t="n">
        <v>8731</v>
      </c>
      <c r="R230" s="2" t="s">
        <v>136</v>
      </c>
      <c r="S230" s="2" t="s">
        <v>39</v>
      </c>
      <c r="T230" s="2" t="s">
        <v>403</v>
      </c>
      <c r="U230" s="2" t="s">
        <v>1961</v>
      </c>
      <c r="V230" s="2"/>
      <c r="W230" s="2" t="s">
        <v>42</v>
      </c>
      <c r="X230" s="2" t="s">
        <v>43</v>
      </c>
      <c r="Y230" s="2" t="s">
        <v>37</v>
      </c>
      <c r="Z230" s="2" t="s">
        <v>44</v>
      </c>
      <c r="AA230" s="2"/>
      <c r="AB230" s="2"/>
      <c r="AC230" s="2" t="s">
        <v>1962</v>
      </c>
      <c r="AD230" s="2" t="s">
        <v>46</v>
      </c>
    </row>
    <row r="231" customFormat="false" ht="15.7" hidden="false" customHeight="true" outlineLevel="0" collapsed="false">
      <c r="A231" s="2"/>
      <c r="B231" s="3" t="n">
        <f aca="false">DATE(2006,6,30)</f>
        <v>0</v>
      </c>
      <c r="C231" s="3" t="n">
        <v>38898</v>
      </c>
      <c r="D231" s="2" t="s">
        <v>1963</v>
      </c>
      <c r="F231" s="2" t="s">
        <v>566</v>
      </c>
      <c r="G231" s="2" t="s">
        <v>1964</v>
      </c>
      <c r="H231" s="2" t="s">
        <v>130</v>
      </c>
      <c r="I231" s="2" t="s">
        <v>1412</v>
      </c>
      <c r="J231" s="2" t="s">
        <v>625</v>
      </c>
      <c r="K231" s="2" t="s">
        <v>1959</v>
      </c>
      <c r="L231" s="2" t="s">
        <v>51</v>
      </c>
      <c r="M231" s="2" t="s">
        <v>130</v>
      </c>
      <c r="N231" s="2" t="s">
        <v>1965</v>
      </c>
      <c r="O231" s="2"/>
      <c r="P231" s="2" t="s">
        <v>37</v>
      </c>
      <c r="Q231" s="4" t="n">
        <v>8731</v>
      </c>
      <c r="R231" s="2" t="s">
        <v>136</v>
      </c>
      <c r="S231" s="2" t="s">
        <v>39</v>
      </c>
      <c r="T231" s="2" t="s">
        <v>403</v>
      </c>
      <c r="U231" s="2" t="s">
        <v>1966</v>
      </c>
      <c r="V231" s="2"/>
      <c r="W231" s="2" t="s">
        <v>42</v>
      </c>
      <c r="X231" s="2" t="s">
        <v>43</v>
      </c>
      <c r="Y231" s="2" t="s">
        <v>37</v>
      </c>
      <c r="Z231" s="2" t="s">
        <v>44</v>
      </c>
      <c r="AA231" s="2" t="s">
        <v>1967</v>
      </c>
      <c r="AB231" s="2"/>
      <c r="AC231" s="2" t="s">
        <v>1968</v>
      </c>
      <c r="AD231" s="2" t="s">
        <v>46</v>
      </c>
    </row>
    <row r="232" customFormat="false" ht="15.7" hidden="false" customHeight="true" outlineLevel="0" collapsed="false">
      <c r="A232" s="2"/>
      <c r="B232" s="3" t="n">
        <f aca="false">DATE(2006,7,4)</f>
        <v>0</v>
      </c>
      <c r="C232" s="3" t="n">
        <v>38902</v>
      </c>
      <c r="D232" s="2" t="s">
        <v>1969</v>
      </c>
      <c r="F232" s="2" t="s">
        <v>1970</v>
      </c>
      <c r="G232" s="2" t="s">
        <v>1971</v>
      </c>
      <c r="H232" s="2" t="s">
        <v>1972</v>
      </c>
      <c r="I232" s="2" t="s">
        <v>1973</v>
      </c>
      <c r="J232" s="2" t="s">
        <v>35</v>
      </c>
      <c r="K232" s="2" t="s">
        <v>1974</v>
      </c>
      <c r="L232" s="2" t="s">
        <v>1975</v>
      </c>
      <c r="M232" s="2" t="s">
        <v>1976</v>
      </c>
      <c r="N232" s="2" t="s">
        <v>1977</v>
      </c>
      <c r="O232" s="2"/>
      <c r="P232" s="2" t="s">
        <v>37</v>
      </c>
      <c r="Q232" s="4" t="n">
        <v>3714</v>
      </c>
      <c r="R232" s="2" t="s">
        <v>136</v>
      </c>
      <c r="S232" s="2" t="s">
        <v>39</v>
      </c>
      <c r="T232" s="2" t="s">
        <v>40</v>
      </c>
      <c r="U232" s="2" t="s">
        <v>1978</v>
      </c>
      <c r="V232" s="2"/>
      <c r="W232" s="2" t="s">
        <v>107</v>
      </c>
      <c r="X232" s="2" t="s">
        <v>43</v>
      </c>
      <c r="Y232" s="2" t="s">
        <v>37</v>
      </c>
      <c r="Z232" s="2" t="s">
        <v>44</v>
      </c>
      <c r="AA232" s="2"/>
      <c r="AB232" s="2"/>
      <c r="AC232" s="2" t="s">
        <v>1979</v>
      </c>
      <c r="AD232" s="2" t="s">
        <v>46</v>
      </c>
    </row>
    <row r="233" customFormat="false" ht="15.7" hidden="false" customHeight="true" outlineLevel="0" collapsed="false">
      <c r="A233" s="2"/>
      <c r="B233" s="3" t="n">
        <f aca="false">DATE(2006,7,5)</f>
        <v>0</v>
      </c>
      <c r="C233" s="3" t="n">
        <v>38903</v>
      </c>
      <c r="D233" s="2" t="s">
        <v>1980</v>
      </c>
      <c r="F233" s="2" t="s">
        <v>1981</v>
      </c>
      <c r="G233" s="2" t="s">
        <v>1982</v>
      </c>
      <c r="H233" s="2" t="s">
        <v>130</v>
      </c>
      <c r="I233" s="2" t="s">
        <v>388</v>
      </c>
      <c r="J233" s="2" t="s">
        <v>1983</v>
      </c>
      <c r="K233" s="2" t="s">
        <v>1980</v>
      </c>
      <c r="L233" s="2" t="s">
        <v>388</v>
      </c>
      <c r="M233" s="2" t="s">
        <v>130</v>
      </c>
      <c r="N233" s="2" t="s">
        <v>1984</v>
      </c>
      <c r="O233" s="2"/>
      <c r="P233" s="2" t="s">
        <v>37</v>
      </c>
      <c r="Q233" s="4" t="n">
        <v>8731</v>
      </c>
      <c r="R233" s="2" t="s">
        <v>136</v>
      </c>
      <c r="S233" s="2" t="s">
        <v>39</v>
      </c>
      <c r="T233" s="2" t="s">
        <v>403</v>
      </c>
      <c r="U233" s="2" t="s">
        <v>1985</v>
      </c>
      <c r="V233" s="2"/>
      <c r="W233" s="2" t="s">
        <v>138</v>
      </c>
      <c r="X233" s="2" t="s">
        <v>43</v>
      </c>
      <c r="Y233" s="2" t="s">
        <v>37</v>
      </c>
      <c r="Z233" s="2" t="s">
        <v>44</v>
      </c>
      <c r="AA233" s="2"/>
      <c r="AB233" s="2"/>
      <c r="AC233" s="2" t="s">
        <v>1986</v>
      </c>
      <c r="AD233" s="2" t="s">
        <v>46</v>
      </c>
    </row>
    <row r="234" customFormat="false" ht="15.7" hidden="false" customHeight="true" outlineLevel="0" collapsed="false">
      <c r="A234" s="2"/>
      <c r="B234" s="3" t="n">
        <f aca="false">DATE(2006,7,5)</f>
        <v>0</v>
      </c>
      <c r="C234" s="3" t="n">
        <v>38903</v>
      </c>
      <c r="D234" s="2" t="s">
        <v>1987</v>
      </c>
      <c r="F234" s="2" t="s">
        <v>1988</v>
      </c>
      <c r="G234" s="2" t="s">
        <v>1989</v>
      </c>
      <c r="H234" s="2" t="s">
        <v>247</v>
      </c>
      <c r="I234" s="2" t="s">
        <v>88</v>
      </c>
      <c r="J234" s="2" t="s">
        <v>625</v>
      </c>
      <c r="K234" s="2" t="s">
        <v>1990</v>
      </c>
      <c r="L234" s="2" t="s">
        <v>88</v>
      </c>
      <c r="M234" s="2" t="s">
        <v>1991</v>
      </c>
      <c r="N234" s="2" t="s">
        <v>1992</v>
      </c>
      <c r="O234" s="2"/>
      <c r="P234" s="2" t="s">
        <v>37</v>
      </c>
      <c r="Q234" s="4" t="n">
        <v>8731</v>
      </c>
      <c r="R234" s="2" t="s">
        <v>136</v>
      </c>
      <c r="S234" s="2" t="s">
        <v>39</v>
      </c>
      <c r="T234" s="2" t="s">
        <v>122</v>
      </c>
      <c r="U234" s="2" t="s">
        <v>1993</v>
      </c>
      <c r="V234" s="2"/>
      <c r="W234" s="2" t="s">
        <v>773</v>
      </c>
      <c r="X234" s="2" t="s">
        <v>43</v>
      </c>
      <c r="Y234" s="2" t="s">
        <v>37</v>
      </c>
      <c r="Z234" s="2" t="s">
        <v>44</v>
      </c>
      <c r="AA234" s="2" t="s">
        <v>1994</v>
      </c>
      <c r="AB234" s="2"/>
      <c r="AC234" s="2" t="s">
        <v>1995</v>
      </c>
      <c r="AD234" s="2" t="s">
        <v>46</v>
      </c>
    </row>
    <row r="235" customFormat="false" ht="15.7" hidden="false" customHeight="true" outlineLevel="0" collapsed="false">
      <c r="A235" s="2"/>
      <c r="B235" s="3" t="n">
        <f aca="false">DATE(2006,7,6)</f>
        <v>0</v>
      </c>
      <c r="C235" s="3" t="n">
        <v>38904</v>
      </c>
      <c r="D235" s="2" t="s">
        <v>1996</v>
      </c>
      <c r="F235" s="2" t="s">
        <v>1997</v>
      </c>
      <c r="G235" s="2" t="s">
        <v>1998</v>
      </c>
      <c r="H235" s="2" t="s">
        <v>1999</v>
      </c>
      <c r="I235" s="2" t="s">
        <v>2000</v>
      </c>
      <c r="J235" s="2" t="s">
        <v>116</v>
      </c>
      <c r="K235" s="2" t="s">
        <v>1996</v>
      </c>
      <c r="L235" s="2" t="s">
        <v>2000</v>
      </c>
      <c r="M235" s="2" t="s">
        <v>1999</v>
      </c>
      <c r="N235" s="2" t="s">
        <v>2001</v>
      </c>
      <c r="O235" s="2"/>
      <c r="P235" s="2" t="s">
        <v>37</v>
      </c>
      <c r="Q235" s="4" t="n">
        <v>8731</v>
      </c>
      <c r="R235" s="2" t="s">
        <v>38</v>
      </c>
      <c r="S235" s="2" t="s">
        <v>39</v>
      </c>
      <c r="T235" s="2" t="s">
        <v>40</v>
      </c>
      <c r="U235" s="2" t="s">
        <v>2002</v>
      </c>
      <c r="V235" s="2"/>
      <c r="W235" s="2" t="s">
        <v>42</v>
      </c>
      <c r="X235" s="2" t="s">
        <v>43</v>
      </c>
      <c r="Y235" s="2" t="s">
        <v>37</v>
      </c>
      <c r="Z235" s="2" t="s">
        <v>916</v>
      </c>
      <c r="AA235" s="2"/>
      <c r="AB235" s="2"/>
      <c r="AC235" s="2" t="s">
        <v>2003</v>
      </c>
      <c r="AD235" s="2" t="s">
        <v>46</v>
      </c>
    </row>
    <row r="236" customFormat="false" ht="15.7" hidden="false" customHeight="true" outlineLevel="0" collapsed="false">
      <c r="A236" s="2"/>
      <c r="B236" s="3" t="n">
        <f aca="false">DATE(2006,7,6)</f>
        <v>0</v>
      </c>
      <c r="C236" s="3" t="n">
        <v>38904</v>
      </c>
      <c r="D236" s="2" t="s">
        <v>2004</v>
      </c>
      <c r="F236" s="2" t="s">
        <v>2005</v>
      </c>
      <c r="G236" s="2" t="s">
        <v>2006</v>
      </c>
      <c r="H236" s="2" t="s">
        <v>1088</v>
      </c>
      <c r="I236" s="2" t="s">
        <v>388</v>
      </c>
      <c r="J236" s="2" t="s">
        <v>65</v>
      </c>
      <c r="K236" s="2" t="s">
        <v>2004</v>
      </c>
      <c r="L236" s="2" t="s">
        <v>388</v>
      </c>
      <c r="M236" s="2" t="s">
        <v>1088</v>
      </c>
      <c r="N236" s="2" t="s">
        <v>2007</v>
      </c>
      <c r="O236" s="2"/>
      <c r="P236" s="2" t="s">
        <v>37</v>
      </c>
      <c r="Q236" s="4" t="n">
        <v>8731</v>
      </c>
      <c r="R236" s="2" t="s">
        <v>136</v>
      </c>
      <c r="S236" s="2" t="s">
        <v>39</v>
      </c>
      <c r="T236" s="2" t="s">
        <v>40</v>
      </c>
      <c r="U236" s="2" t="s">
        <v>2008</v>
      </c>
      <c r="V236" s="2"/>
      <c r="W236" s="2" t="s">
        <v>42</v>
      </c>
      <c r="X236" s="2" t="s">
        <v>43</v>
      </c>
      <c r="Y236" s="2" t="s">
        <v>37</v>
      </c>
      <c r="Z236" s="2" t="s">
        <v>44</v>
      </c>
      <c r="AA236" s="2"/>
      <c r="AB236" s="2"/>
      <c r="AC236" s="2" t="s">
        <v>2009</v>
      </c>
      <c r="AD236" s="2" t="s">
        <v>46</v>
      </c>
    </row>
    <row r="237" customFormat="false" ht="15.7" hidden="false" customHeight="true" outlineLevel="0" collapsed="false">
      <c r="A237" s="2"/>
      <c r="B237" s="3" t="n">
        <f aca="false">DATE(2006,7,6)</f>
        <v>0</v>
      </c>
      <c r="C237" s="3" t="n">
        <v>38904</v>
      </c>
      <c r="D237" s="2" t="s">
        <v>2010</v>
      </c>
      <c r="F237" s="2" t="s">
        <v>2011</v>
      </c>
      <c r="G237" s="2" t="s">
        <v>2012</v>
      </c>
      <c r="H237" s="2" t="s">
        <v>523</v>
      </c>
      <c r="I237" s="2" t="s">
        <v>51</v>
      </c>
      <c r="J237" s="2" t="s">
        <v>2013</v>
      </c>
      <c r="K237" s="2" t="s">
        <v>2014</v>
      </c>
      <c r="L237" s="2" t="s">
        <v>51</v>
      </c>
      <c r="M237" s="2" t="s">
        <v>478</v>
      </c>
      <c r="N237" s="2" t="s">
        <v>2015</v>
      </c>
      <c r="O237" s="2"/>
      <c r="P237" s="2" t="s">
        <v>37</v>
      </c>
      <c r="Q237" s="4" t="n">
        <v>8731</v>
      </c>
      <c r="R237" s="2" t="s">
        <v>56</v>
      </c>
      <c r="S237" s="2" t="s">
        <v>360</v>
      </c>
      <c r="T237" s="2" t="s">
        <v>403</v>
      </c>
      <c r="U237" s="2" t="s">
        <v>2016</v>
      </c>
      <c r="V237" s="2"/>
      <c r="W237" s="2" t="s">
        <v>42</v>
      </c>
      <c r="X237" s="2" t="s">
        <v>43</v>
      </c>
      <c r="Y237" s="2" t="s">
        <v>37</v>
      </c>
      <c r="Z237" s="2" t="s">
        <v>44</v>
      </c>
      <c r="AA237" s="2"/>
      <c r="AB237" s="2"/>
      <c r="AC237" s="2" t="s">
        <v>2017</v>
      </c>
      <c r="AD237" s="2" t="s">
        <v>46</v>
      </c>
    </row>
    <row r="238" customFormat="false" ht="15.7" hidden="false" customHeight="true" outlineLevel="0" collapsed="false">
      <c r="A238" s="2"/>
      <c r="B238" s="3" t="n">
        <f aca="false">DATE(2006,7,11)</f>
        <v>0</v>
      </c>
      <c r="C238" s="3" t="n">
        <v>38909</v>
      </c>
      <c r="D238" s="2" t="s">
        <v>2018</v>
      </c>
      <c r="F238" s="2" t="s">
        <v>2019</v>
      </c>
      <c r="G238" s="2" t="s">
        <v>2020</v>
      </c>
      <c r="H238" s="2" t="s">
        <v>2021</v>
      </c>
      <c r="I238" s="2" t="s">
        <v>296</v>
      </c>
      <c r="J238" s="2" t="s">
        <v>65</v>
      </c>
      <c r="K238" s="2" t="s">
        <v>2018</v>
      </c>
      <c r="L238" s="2" t="s">
        <v>296</v>
      </c>
      <c r="M238" s="2" t="s">
        <v>2021</v>
      </c>
      <c r="N238" s="2" t="s">
        <v>2022</v>
      </c>
      <c r="O238" s="2"/>
      <c r="P238" s="2" t="s">
        <v>37</v>
      </c>
      <c r="Q238" s="4" t="n">
        <v>8733</v>
      </c>
      <c r="R238" s="2" t="s">
        <v>136</v>
      </c>
      <c r="S238" s="2" t="s">
        <v>39</v>
      </c>
      <c r="T238" s="2" t="s">
        <v>40</v>
      </c>
      <c r="U238" s="2" t="s">
        <v>2023</v>
      </c>
      <c r="V238" s="2"/>
      <c r="W238" s="2" t="s">
        <v>42</v>
      </c>
      <c r="X238" s="2" t="s">
        <v>43</v>
      </c>
      <c r="Y238" s="2" t="s">
        <v>37</v>
      </c>
      <c r="Z238" s="2" t="s">
        <v>44</v>
      </c>
      <c r="AA238" s="2"/>
      <c r="AB238" s="2"/>
      <c r="AC238" s="2" t="s">
        <v>2024</v>
      </c>
      <c r="AD238" s="2" t="s">
        <v>46</v>
      </c>
    </row>
    <row r="239" customFormat="false" ht="15.7" hidden="false" customHeight="true" outlineLevel="0" collapsed="false">
      <c r="A239" s="2"/>
      <c r="B239" s="3" t="n">
        <f aca="false">DATE(2006,7,11)</f>
        <v>0</v>
      </c>
      <c r="C239" s="3" t="n">
        <v>38909</v>
      </c>
      <c r="D239" s="2" t="s">
        <v>2025</v>
      </c>
      <c r="F239" s="2" t="s">
        <v>2026</v>
      </c>
      <c r="G239" s="2" t="s">
        <v>2027</v>
      </c>
      <c r="H239" s="2" t="s">
        <v>762</v>
      </c>
      <c r="I239" s="2" t="s">
        <v>100</v>
      </c>
      <c r="J239" s="2" t="s">
        <v>514</v>
      </c>
      <c r="K239" s="2" t="s">
        <v>2028</v>
      </c>
      <c r="L239" s="2" t="s">
        <v>100</v>
      </c>
      <c r="M239" s="2" t="s">
        <v>387</v>
      </c>
      <c r="N239" s="2" t="s">
        <v>2029</v>
      </c>
      <c r="O239" s="2"/>
      <c r="P239" s="2" t="s">
        <v>37</v>
      </c>
      <c r="Q239" s="4" t="n">
        <v>8731</v>
      </c>
      <c r="R239" s="2" t="s">
        <v>136</v>
      </c>
      <c r="S239" s="2" t="s">
        <v>39</v>
      </c>
      <c r="T239" s="2" t="s">
        <v>403</v>
      </c>
      <c r="U239" s="2" t="s">
        <v>2030</v>
      </c>
      <c r="V239" s="2"/>
      <c r="W239" s="2" t="s">
        <v>42</v>
      </c>
      <c r="X239" s="2" t="s">
        <v>43</v>
      </c>
      <c r="Y239" s="2" t="s">
        <v>37</v>
      </c>
      <c r="Z239" s="2" t="s">
        <v>44</v>
      </c>
      <c r="AA239" s="2"/>
      <c r="AB239" s="2"/>
      <c r="AC239" s="2" t="s">
        <v>2031</v>
      </c>
      <c r="AD239" s="2" t="s">
        <v>46</v>
      </c>
    </row>
    <row r="240" customFormat="false" ht="15.7" hidden="false" customHeight="true" outlineLevel="0" collapsed="false">
      <c r="A240" s="2"/>
      <c r="B240" s="3" t="n">
        <f aca="false">DATE(2006,7,11)</f>
        <v>0</v>
      </c>
      <c r="C240" s="3" t="n">
        <v>38909</v>
      </c>
      <c r="D240" s="2" t="s">
        <v>2032</v>
      </c>
      <c r="F240" s="2" t="s">
        <v>2033</v>
      </c>
      <c r="G240" s="2" t="s">
        <v>2034</v>
      </c>
      <c r="H240" s="2" t="s">
        <v>2035</v>
      </c>
      <c r="I240" s="2" t="s">
        <v>51</v>
      </c>
      <c r="J240" s="2" t="s">
        <v>2036</v>
      </c>
      <c r="K240" s="2" t="s">
        <v>2032</v>
      </c>
      <c r="L240" s="2" t="s">
        <v>51</v>
      </c>
      <c r="M240" s="2" t="s">
        <v>2035</v>
      </c>
      <c r="N240" s="2" t="s">
        <v>2037</v>
      </c>
      <c r="O240" s="2"/>
      <c r="P240" s="2" t="s">
        <v>37</v>
      </c>
      <c r="Q240" s="4" t="n">
        <v>8731</v>
      </c>
      <c r="R240" s="2" t="s">
        <v>56</v>
      </c>
      <c r="S240" s="2" t="s">
        <v>1576</v>
      </c>
      <c r="T240" s="2" t="s">
        <v>40</v>
      </c>
      <c r="U240" s="2" t="s">
        <v>2038</v>
      </c>
      <c r="V240" s="2"/>
      <c r="W240" s="2" t="s">
        <v>42</v>
      </c>
      <c r="X240" s="2" t="s">
        <v>43</v>
      </c>
      <c r="Y240" s="2" t="s">
        <v>37</v>
      </c>
      <c r="Z240" s="2" t="s">
        <v>44</v>
      </c>
      <c r="AA240" s="2"/>
      <c r="AB240" s="2"/>
      <c r="AC240" s="2" t="s">
        <v>2039</v>
      </c>
      <c r="AD240" s="2" t="s">
        <v>46</v>
      </c>
    </row>
    <row r="241" customFormat="false" ht="15.7" hidden="false" customHeight="true" outlineLevel="0" collapsed="false">
      <c r="A241" s="2"/>
      <c r="B241" s="3" t="n">
        <f aca="false">DATE(2006,7,11)</f>
        <v>0</v>
      </c>
      <c r="C241" s="3" t="n">
        <v>38909</v>
      </c>
      <c r="D241" s="2" t="s">
        <v>2040</v>
      </c>
      <c r="F241" s="2" t="s">
        <v>2041</v>
      </c>
      <c r="G241" s="2" t="s">
        <v>2042</v>
      </c>
      <c r="H241" s="2" t="s">
        <v>2043</v>
      </c>
      <c r="I241" s="2" t="s">
        <v>296</v>
      </c>
      <c r="J241" s="2" t="s">
        <v>1520</v>
      </c>
      <c r="K241" s="2" t="s">
        <v>2044</v>
      </c>
      <c r="L241" s="2" t="s">
        <v>296</v>
      </c>
      <c r="M241" s="2" t="s">
        <v>2045</v>
      </c>
      <c r="N241" s="2" t="s">
        <v>2046</v>
      </c>
      <c r="O241" s="2"/>
      <c r="P241" s="2" t="s">
        <v>37</v>
      </c>
      <c r="Q241" s="4" t="n">
        <v>8731</v>
      </c>
      <c r="R241" s="2" t="s">
        <v>136</v>
      </c>
      <c r="S241" s="2" t="s">
        <v>39</v>
      </c>
      <c r="T241" s="2" t="s">
        <v>403</v>
      </c>
      <c r="U241" s="2" t="s">
        <v>2047</v>
      </c>
      <c r="V241" s="2"/>
      <c r="W241" s="2" t="s">
        <v>138</v>
      </c>
      <c r="X241" s="2" t="s">
        <v>43</v>
      </c>
      <c r="Y241" s="2" t="s">
        <v>37</v>
      </c>
      <c r="Z241" s="2" t="s">
        <v>44</v>
      </c>
      <c r="AA241" s="2" t="s">
        <v>2048</v>
      </c>
      <c r="AB241" s="2"/>
      <c r="AC241" s="2" t="s">
        <v>2049</v>
      </c>
      <c r="AD241" s="2" t="s">
        <v>46</v>
      </c>
    </row>
    <row r="242" customFormat="false" ht="15.7" hidden="false" customHeight="true" outlineLevel="0" collapsed="false">
      <c r="A242" s="2"/>
      <c r="B242" s="3" t="n">
        <f aca="false">DATE(2006,7,13)</f>
        <v>0</v>
      </c>
      <c r="C242" s="3" t="n">
        <v>38911</v>
      </c>
      <c r="D242" s="2" t="s">
        <v>2050</v>
      </c>
      <c r="F242" s="2" t="s">
        <v>623</v>
      </c>
      <c r="G242" s="2" t="s">
        <v>2051</v>
      </c>
      <c r="H242" s="2" t="s">
        <v>170</v>
      </c>
      <c r="I242" s="2" t="s">
        <v>2052</v>
      </c>
      <c r="J242" s="2" t="s">
        <v>625</v>
      </c>
      <c r="K242" s="2" t="s">
        <v>2053</v>
      </c>
      <c r="L242" s="2" t="s">
        <v>2052</v>
      </c>
      <c r="M242" s="2" t="s">
        <v>1770</v>
      </c>
      <c r="N242" s="2" t="s">
        <v>2054</v>
      </c>
      <c r="O242" s="2"/>
      <c r="P242" s="2" t="s">
        <v>37</v>
      </c>
      <c r="Q242" s="4" t="n">
        <v>8731</v>
      </c>
      <c r="R242" s="2" t="s">
        <v>136</v>
      </c>
      <c r="S242" s="2" t="s">
        <v>39</v>
      </c>
      <c r="T242" s="2" t="s">
        <v>40</v>
      </c>
      <c r="U242" s="2" t="s">
        <v>2055</v>
      </c>
      <c r="V242" s="2"/>
      <c r="W242" s="2" t="s">
        <v>2056</v>
      </c>
      <c r="X242" s="2" t="s">
        <v>43</v>
      </c>
      <c r="Y242" s="2" t="s">
        <v>37</v>
      </c>
      <c r="Z242" s="2" t="s">
        <v>44</v>
      </c>
      <c r="AA242" s="2" t="s">
        <v>2057</v>
      </c>
      <c r="AB242" s="2"/>
      <c r="AC242" s="2" t="s">
        <v>2058</v>
      </c>
      <c r="AD242" s="2" t="s">
        <v>46</v>
      </c>
    </row>
    <row r="243" customFormat="false" ht="15.7" hidden="false" customHeight="true" outlineLevel="0" collapsed="false">
      <c r="A243" s="2"/>
      <c r="B243" s="3" t="n">
        <f aca="false">DATE(2006,7,14)</f>
        <v>0</v>
      </c>
      <c r="C243" s="3" t="n">
        <v>38912</v>
      </c>
      <c r="D243" s="2" t="s">
        <v>2059</v>
      </c>
      <c r="F243" s="2" t="s">
        <v>2060</v>
      </c>
      <c r="G243" s="2" t="s">
        <v>2061</v>
      </c>
      <c r="H243" s="2" t="s">
        <v>130</v>
      </c>
      <c r="I243" s="2" t="s">
        <v>131</v>
      </c>
      <c r="J243" s="2" t="s">
        <v>258</v>
      </c>
      <c r="K243" s="2" t="s">
        <v>2062</v>
      </c>
      <c r="L243" s="2" t="s">
        <v>131</v>
      </c>
      <c r="M243" s="2" t="s">
        <v>134</v>
      </c>
      <c r="N243" s="2" t="s">
        <v>2063</v>
      </c>
      <c r="O243" s="2"/>
      <c r="P243" s="2" t="s">
        <v>37</v>
      </c>
      <c r="Q243" s="4" t="n">
        <v>8731</v>
      </c>
      <c r="R243" s="2" t="s">
        <v>136</v>
      </c>
      <c r="S243" s="2" t="s">
        <v>39</v>
      </c>
      <c r="T243" s="2" t="s">
        <v>403</v>
      </c>
      <c r="U243" s="2" t="s">
        <v>2064</v>
      </c>
      <c r="V243" s="2"/>
      <c r="W243" s="2" t="s">
        <v>42</v>
      </c>
      <c r="X243" s="2" t="s">
        <v>43</v>
      </c>
      <c r="Y243" s="2" t="s">
        <v>37</v>
      </c>
      <c r="Z243" s="2" t="s">
        <v>44</v>
      </c>
      <c r="AA243" s="2"/>
      <c r="AB243" s="2"/>
      <c r="AC243" s="2" t="s">
        <v>2065</v>
      </c>
      <c r="AD243" s="2" t="s">
        <v>46</v>
      </c>
    </row>
    <row r="244" customFormat="false" ht="15.7" hidden="false" customHeight="true" outlineLevel="0" collapsed="false">
      <c r="A244" s="2"/>
      <c r="B244" s="3" t="n">
        <f aca="false">DATE(2006,7,14)</f>
        <v>0</v>
      </c>
      <c r="C244" s="3" t="n">
        <v>38912</v>
      </c>
      <c r="D244" s="2" t="s">
        <v>2066</v>
      </c>
      <c r="F244" s="2" t="s">
        <v>999</v>
      </c>
      <c r="G244" s="2" t="s">
        <v>2067</v>
      </c>
      <c r="H244" s="2" t="s">
        <v>1411</v>
      </c>
      <c r="I244" s="2" t="s">
        <v>487</v>
      </c>
      <c r="J244" s="2" t="s">
        <v>132</v>
      </c>
      <c r="K244" s="2" t="s">
        <v>2066</v>
      </c>
      <c r="L244" s="2" t="s">
        <v>487</v>
      </c>
      <c r="M244" s="2" t="s">
        <v>1411</v>
      </c>
      <c r="N244" s="2" t="s">
        <v>2068</v>
      </c>
      <c r="O244" s="2"/>
      <c r="P244" s="2" t="s">
        <v>37</v>
      </c>
      <c r="Q244" s="4" t="n">
        <v>8731</v>
      </c>
      <c r="R244" s="2" t="s">
        <v>136</v>
      </c>
      <c r="S244" s="2" t="s">
        <v>39</v>
      </c>
      <c r="T244" s="2" t="s">
        <v>40</v>
      </c>
      <c r="U244" s="2" t="s">
        <v>2069</v>
      </c>
      <c r="V244" s="2"/>
      <c r="W244" s="2" t="s">
        <v>42</v>
      </c>
      <c r="X244" s="2" t="s">
        <v>43</v>
      </c>
      <c r="Y244" s="2" t="s">
        <v>37</v>
      </c>
      <c r="Z244" s="2" t="s">
        <v>44</v>
      </c>
      <c r="AA244" s="2"/>
      <c r="AB244" s="2"/>
      <c r="AC244" s="2" t="s">
        <v>2070</v>
      </c>
      <c r="AD244" s="2" t="s">
        <v>46</v>
      </c>
    </row>
    <row r="245" customFormat="false" ht="15.7" hidden="false" customHeight="true" outlineLevel="0" collapsed="false">
      <c r="A245" s="2"/>
      <c r="B245" s="3" t="n">
        <f aca="false">DATE(2006,7,14)</f>
        <v>0</v>
      </c>
      <c r="C245" s="3" t="n">
        <v>38912</v>
      </c>
      <c r="D245" s="2" t="s">
        <v>2071</v>
      </c>
      <c r="F245" s="2" t="s">
        <v>2072</v>
      </c>
      <c r="G245" s="2" t="s">
        <v>2073</v>
      </c>
      <c r="H245" s="2" t="s">
        <v>2074</v>
      </c>
      <c r="I245" s="2" t="s">
        <v>670</v>
      </c>
      <c r="J245" s="2" t="s">
        <v>65</v>
      </c>
      <c r="K245" s="2" t="s">
        <v>2075</v>
      </c>
      <c r="L245" s="2" t="s">
        <v>670</v>
      </c>
      <c r="M245" s="2" t="s">
        <v>2076</v>
      </c>
      <c r="N245" s="2" t="s">
        <v>2077</v>
      </c>
      <c r="O245" s="2" t="s">
        <v>2078</v>
      </c>
      <c r="P245" s="2" t="s">
        <v>37</v>
      </c>
      <c r="Q245" s="4" t="n">
        <v>2048</v>
      </c>
      <c r="R245" s="2" t="s">
        <v>402</v>
      </c>
      <c r="S245" s="2" t="s">
        <v>39</v>
      </c>
      <c r="T245" s="2" t="s">
        <v>40</v>
      </c>
      <c r="U245" s="2" t="s">
        <v>2079</v>
      </c>
      <c r="V245" s="2"/>
      <c r="W245" s="2" t="s">
        <v>1801</v>
      </c>
      <c r="X245" s="2" t="s">
        <v>46</v>
      </c>
      <c r="Y245" s="2" t="s">
        <v>37</v>
      </c>
      <c r="Z245" s="2" t="s">
        <v>2080</v>
      </c>
      <c r="AA245" s="2" t="s">
        <v>2081</v>
      </c>
      <c r="AB245" s="2" t="s">
        <v>2082</v>
      </c>
      <c r="AC245" s="2" t="s">
        <v>2083</v>
      </c>
      <c r="AD245" s="2" t="s">
        <v>46</v>
      </c>
    </row>
    <row r="246" customFormat="false" ht="15.7" hidden="false" customHeight="true" outlineLevel="0" collapsed="false">
      <c r="A246" s="2"/>
      <c r="B246" s="3" t="n">
        <f aca="false">DATE(2006,7,16)</f>
        <v>0</v>
      </c>
      <c r="C246" s="3" t="n">
        <v>38914</v>
      </c>
      <c r="D246" s="2" t="s">
        <v>2084</v>
      </c>
      <c r="F246" s="2" t="s">
        <v>2085</v>
      </c>
      <c r="G246" s="2" t="s">
        <v>2086</v>
      </c>
      <c r="H246" s="2" t="s">
        <v>2087</v>
      </c>
      <c r="I246" s="2" t="s">
        <v>296</v>
      </c>
      <c r="J246" s="2" t="s">
        <v>2088</v>
      </c>
      <c r="K246" s="2" t="s">
        <v>2089</v>
      </c>
      <c r="L246" s="2" t="s">
        <v>662</v>
      </c>
      <c r="M246" s="2" t="s">
        <v>2087</v>
      </c>
      <c r="N246" s="2" t="s">
        <v>2090</v>
      </c>
      <c r="O246" s="2"/>
      <c r="P246" s="2" t="s">
        <v>37</v>
      </c>
      <c r="Q246" s="4" t="n">
        <v>8731</v>
      </c>
      <c r="R246" s="2" t="s">
        <v>136</v>
      </c>
      <c r="S246" s="2" t="s">
        <v>39</v>
      </c>
      <c r="T246" s="2" t="s">
        <v>40</v>
      </c>
      <c r="U246" s="2" t="s">
        <v>2091</v>
      </c>
      <c r="V246" s="2"/>
      <c r="W246" s="2" t="s">
        <v>42</v>
      </c>
      <c r="X246" s="2" t="s">
        <v>43</v>
      </c>
      <c r="Y246" s="2" t="s">
        <v>37</v>
      </c>
      <c r="Z246" s="2" t="s">
        <v>44</v>
      </c>
      <c r="AA246" s="2"/>
      <c r="AB246" s="2"/>
      <c r="AC246" s="2" t="s">
        <v>2092</v>
      </c>
      <c r="AD246" s="2" t="s">
        <v>46</v>
      </c>
    </row>
    <row r="247" customFormat="false" ht="15.7" hidden="false" customHeight="true" outlineLevel="0" collapsed="false">
      <c r="A247" s="2"/>
      <c r="B247" s="3" t="n">
        <f aca="false">DATE(2006,7,17)</f>
        <v>0</v>
      </c>
      <c r="C247" s="3" t="n">
        <v>38915</v>
      </c>
      <c r="D247" s="2" t="s">
        <v>2093</v>
      </c>
      <c r="F247" s="2" t="s">
        <v>2094</v>
      </c>
      <c r="G247" s="2" t="s">
        <v>2095</v>
      </c>
      <c r="H247" s="2" t="s">
        <v>2096</v>
      </c>
      <c r="I247" s="2" t="s">
        <v>1973</v>
      </c>
      <c r="J247" s="2" t="s">
        <v>35</v>
      </c>
      <c r="K247" s="2" t="s">
        <v>2093</v>
      </c>
      <c r="L247" s="2" t="s">
        <v>1973</v>
      </c>
      <c r="M247" s="2" t="s">
        <v>2096</v>
      </c>
      <c r="N247" s="2" t="s">
        <v>2097</v>
      </c>
      <c r="O247" s="2"/>
      <c r="P247" s="2" t="s">
        <v>37</v>
      </c>
      <c r="Q247" s="4" t="n">
        <v>8731</v>
      </c>
      <c r="R247" s="2" t="s">
        <v>402</v>
      </c>
      <c r="S247" s="2" t="s">
        <v>39</v>
      </c>
      <c r="T247" s="2" t="s">
        <v>40</v>
      </c>
      <c r="U247" s="2" t="s">
        <v>2098</v>
      </c>
      <c r="V247" s="2"/>
      <c r="W247" s="2" t="s">
        <v>42</v>
      </c>
      <c r="X247" s="2" t="s">
        <v>43</v>
      </c>
      <c r="Y247" s="2" t="s">
        <v>37</v>
      </c>
      <c r="Z247" s="2" t="s">
        <v>44</v>
      </c>
      <c r="AA247" s="2"/>
      <c r="AB247" s="2"/>
      <c r="AC247" s="2" t="s">
        <v>2099</v>
      </c>
      <c r="AD247" s="2" t="s">
        <v>46</v>
      </c>
    </row>
    <row r="248" customFormat="false" ht="15.7" hidden="false" customHeight="true" outlineLevel="0" collapsed="false">
      <c r="A248" s="2"/>
      <c r="B248" s="3" t="n">
        <f aca="false">DATE(2006,7,17)</f>
        <v>0</v>
      </c>
      <c r="C248" s="3" t="n">
        <v>38915</v>
      </c>
      <c r="D248" s="2" t="s">
        <v>2100</v>
      </c>
      <c r="F248" s="2" t="s">
        <v>2101</v>
      </c>
      <c r="G248" s="2" t="s">
        <v>2102</v>
      </c>
      <c r="H248" s="2" t="s">
        <v>130</v>
      </c>
      <c r="I248" s="2" t="s">
        <v>2103</v>
      </c>
      <c r="J248" s="2" t="s">
        <v>35</v>
      </c>
      <c r="K248" s="2" t="s">
        <v>2100</v>
      </c>
      <c r="L248" s="2" t="s">
        <v>2103</v>
      </c>
      <c r="M248" s="2" t="s">
        <v>130</v>
      </c>
      <c r="N248" s="2" t="s">
        <v>2104</v>
      </c>
      <c r="O248" s="2"/>
      <c r="P248" s="2" t="s">
        <v>37</v>
      </c>
      <c r="Q248" s="4" t="n">
        <v>8731</v>
      </c>
      <c r="R248" s="2" t="s">
        <v>2105</v>
      </c>
      <c r="S248" s="2" t="s">
        <v>39</v>
      </c>
      <c r="T248" s="2" t="s">
        <v>403</v>
      </c>
      <c r="U248" s="2" t="s">
        <v>2106</v>
      </c>
      <c r="V248" s="2"/>
      <c r="W248" s="2" t="s">
        <v>138</v>
      </c>
      <c r="X248" s="2" t="s">
        <v>43</v>
      </c>
      <c r="Y248" s="2" t="s">
        <v>37</v>
      </c>
      <c r="Z248" s="2" t="s">
        <v>44</v>
      </c>
      <c r="AA248" s="2"/>
      <c r="AB248" s="2"/>
      <c r="AC248" s="2" t="s">
        <v>2107</v>
      </c>
      <c r="AD248" s="2" t="s">
        <v>46</v>
      </c>
    </row>
    <row r="249" customFormat="false" ht="15.7" hidden="false" customHeight="true" outlineLevel="0" collapsed="false">
      <c r="A249" s="2"/>
      <c r="B249" s="3" t="n">
        <f aca="false">DATE(2006,7,17)</f>
        <v>0</v>
      </c>
      <c r="C249" s="3" t="n">
        <v>38915</v>
      </c>
      <c r="D249" s="2" t="s">
        <v>2108</v>
      </c>
      <c r="F249" s="2" t="s">
        <v>2109</v>
      </c>
      <c r="G249" s="2" t="s">
        <v>2110</v>
      </c>
      <c r="H249" s="2" t="s">
        <v>2111</v>
      </c>
      <c r="I249" s="2" t="s">
        <v>2112</v>
      </c>
      <c r="J249" s="2" t="s">
        <v>116</v>
      </c>
      <c r="K249" s="2" t="s">
        <v>2113</v>
      </c>
      <c r="L249" s="2" t="s">
        <v>2114</v>
      </c>
      <c r="M249" s="2" t="s">
        <v>2115</v>
      </c>
      <c r="N249" s="2" t="s">
        <v>2116</v>
      </c>
      <c r="O249" s="2" t="s">
        <v>2117</v>
      </c>
      <c r="P249" s="2" t="s">
        <v>37</v>
      </c>
      <c r="Q249" s="4" t="n">
        <v>3841</v>
      </c>
      <c r="R249" s="2" t="s">
        <v>2118</v>
      </c>
      <c r="S249" s="2" t="s">
        <v>39</v>
      </c>
      <c r="T249" s="2" t="s">
        <v>403</v>
      </c>
      <c r="U249" s="2" t="s">
        <v>2119</v>
      </c>
      <c r="V249" s="2"/>
      <c r="W249" s="2" t="s">
        <v>107</v>
      </c>
      <c r="X249" s="2" t="s">
        <v>46</v>
      </c>
      <c r="Y249" s="2" t="s">
        <v>37</v>
      </c>
      <c r="Z249" s="2" t="s">
        <v>2120</v>
      </c>
      <c r="AA249" s="2"/>
      <c r="AB249" s="2" t="s">
        <v>2121</v>
      </c>
      <c r="AC249" s="2" t="s">
        <v>2122</v>
      </c>
      <c r="AD249" s="2" t="s">
        <v>46</v>
      </c>
    </row>
    <row r="250" customFormat="false" ht="15.7" hidden="false" customHeight="true" outlineLevel="0" collapsed="false">
      <c r="A250" s="2"/>
      <c r="B250" s="3" t="n">
        <f aca="false">DATE(2006,7,17)</f>
        <v>0</v>
      </c>
      <c r="C250" s="3" t="n">
        <v>38915</v>
      </c>
      <c r="D250" s="2" t="s">
        <v>2123</v>
      </c>
      <c r="F250" s="2" t="s">
        <v>2124</v>
      </c>
      <c r="G250" s="2" t="s">
        <v>2125</v>
      </c>
      <c r="H250" s="2" t="s">
        <v>2126</v>
      </c>
      <c r="I250" s="2" t="s">
        <v>2127</v>
      </c>
      <c r="J250" s="2" t="s">
        <v>35</v>
      </c>
      <c r="K250" s="2" t="s">
        <v>2123</v>
      </c>
      <c r="L250" s="2" t="s">
        <v>2127</v>
      </c>
      <c r="M250" s="2" t="s">
        <v>2126</v>
      </c>
      <c r="N250" s="2" t="s">
        <v>2128</v>
      </c>
      <c r="O250" s="2"/>
      <c r="P250" s="2" t="s">
        <v>37</v>
      </c>
      <c r="Q250" s="4" t="n">
        <v>8731</v>
      </c>
      <c r="R250" s="2" t="s">
        <v>2129</v>
      </c>
      <c r="S250" s="2" t="s">
        <v>39</v>
      </c>
      <c r="T250" s="2" t="s">
        <v>40</v>
      </c>
      <c r="U250" s="2" t="s">
        <v>2130</v>
      </c>
      <c r="V250" s="2"/>
      <c r="W250" s="2" t="s">
        <v>42</v>
      </c>
      <c r="X250" s="2" t="s">
        <v>43</v>
      </c>
      <c r="Y250" s="2" t="s">
        <v>37</v>
      </c>
      <c r="Z250" s="2" t="s">
        <v>44</v>
      </c>
      <c r="AA250" s="2"/>
      <c r="AB250" s="2"/>
      <c r="AC250" s="2" t="s">
        <v>2131</v>
      </c>
      <c r="AD250" s="2" t="s">
        <v>46</v>
      </c>
    </row>
    <row r="251" customFormat="false" ht="15.7" hidden="false" customHeight="true" outlineLevel="0" collapsed="false">
      <c r="A251" s="2"/>
      <c r="B251" s="3" t="n">
        <f aca="false">DATE(2006,7,17)</f>
        <v>0</v>
      </c>
      <c r="C251" s="3" t="n">
        <v>38915</v>
      </c>
      <c r="D251" s="2" t="s">
        <v>2132</v>
      </c>
      <c r="F251" s="2" t="s">
        <v>2133</v>
      </c>
      <c r="G251" s="2" t="s">
        <v>2134</v>
      </c>
      <c r="H251" s="2" t="s">
        <v>731</v>
      </c>
      <c r="I251" s="2" t="s">
        <v>1191</v>
      </c>
      <c r="J251" s="2" t="s">
        <v>35</v>
      </c>
      <c r="K251" s="2" t="s">
        <v>2135</v>
      </c>
      <c r="L251" s="2" t="s">
        <v>1191</v>
      </c>
      <c r="M251" s="2" t="s">
        <v>2136</v>
      </c>
      <c r="N251" s="2" t="s">
        <v>2137</v>
      </c>
      <c r="O251" s="2"/>
      <c r="P251" s="2" t="s">
        <v>37</v>
      </c>
      <c r="Q251" s="4" t="n">
        <v>2879</v>
      </c>
      <c r="R251" s="2" t="s">
        <v>1195</v>
      </c>
      <c r="S251" s="2" t="s">
        <v>39</v>
      </c>
      <c r="T251" s="2" t="s">
        <v>403</v>
      </c>
      <c r="U251" s="2" t="s">
        <v>2138</v>
      </c>
      <c r="V251" s="2"/>
      <c r="W251" s="2" t="s">
        <v>755</v>
      </c>
      <c r="X251" s="2" t="s">
        <v>46</v>
      </c>
      <c r="Y251" s="2" t="s">
        <v>37</v>
      </c>
      <c r="Z251" s="2" t="s">
        <v>362</v>
      </c>
      <c r="AA251" s="2"/>
      <c r="AB251" s="2"/>
      <c r="AC251" s="2" t="s">
        <v>2139</v>
      </c>
      <c r="AD251" s="2" t="s">
        <v>46</v>
      </c>
    </row>
    <row r="252" customFormat="false" ht="15.7" hidden="false" customHeight="true" outlineLevel="0" collapsed="false">
      <c r="A252" s="2"/>
      <c r="B252" s="3" t="n">
        <f aca="false">DATE(2006,7,18)</f>
        <v>0</v>
      </c>
      <c r="C252" s="3" t="n">
        <v>38916</v>
      </c>
      <c r="D252" s="2" t="s">
        <v>2140</v>
      </c>
      <c r="F252" s="2" t="s">
        <v>2141</v>
      </c>
      <c r="G252" s="2" t="s">
        <v>2142</v>
      </c>
      <c r="H252" s="2" t="s">
        <v>1943</v>
      </c>
      <c r="I252" s="2" t="s">
        <v>88</v>
      </c>
      <c r="J252" s="2" t="s">
        <v>575</v>
      </c>
      <c r="K252" s="2" t="s">
        <v>2140</v>
      </c>
      <c r="L252" s="2" t="s">
        <v>88</v>
      </c>
      <c r="M252" s="2" t="s">
        <v>1943</v>
      </c>
      <c r="N252" s="2" t="s">
        <v>2143</v>
      </c>
      <c r="O252" s="2"/>
      <c r="P252" s="2" t="s">
        <v>37</v>
      </c>
      <c r="Q252" s="4" t="n">
        <v>8731</v>
      </c>
      <c r="R252" s="2" t="s">
        <v>136</v>
      </c>
      <c r="S252" s="2" t="s">
        <v>39</v>
      </c>
      <c r="T252" s="2" t="s">
        <v>40</v>
      </c>
      <c r="U252" s="2" t="s">
        <v>2144</v>
      </c>
      <c r="V252" s="2"/>
      <c r="W252" s="2" t="s">
        <v>42</v>
      </c>
      <c r="X252" s="2" t="s">
        <v>43</v>
      </c>
      <c r="Y252" s="2" t="s">
        <v>37</v>
      </c>
      <c r="Z252" s="2" t="s">
        <v>44</v>
      </c>
      <c r="AA252" s="2"/>
      <c r="AB252" s="2"/>
      <c r="AC252" s="2" t="s">
        <v>2145</v>
      </c>
      <c r="AD252" s="2" t="s">
        <v>46</v>
      </c>
    </row>
    <row r="253" customFormat="false" ht="15.7" hidden="false" customHeight="true" outlineLevel="0" collapsed="false">
      <c r="A253" s="2"/>
      <c r="B253" s="3" t="n">
        <f aca="false">DATE(2006,7,18)</f>
        <v>0</v>
      </c>
      <c r="C253" s="3" t="n">
        <v>38916</v>
      </c>
      <c r="D253" s="2" t="s">
        <v>2146</v>
      </c>
      <c r="F253" s="2" t="s">
        <v>2147</v>
      </c>
      <c r="G253" s="2" t="s">
        <v>2148</v>
      </c>
      <c r="H253" s="2" t="s">
        <v>2149</v>
      </c>
      <c r="I253" s="2" t="s">
        <v>2150</v>
      </c>
      <c r="J253" s="2" t="s">
        <v>35</v>
      </c>
      <c r="K253" s="2" t="s">
        <v>2146</v>
      </c>
      <c r="L253" s="2" t="s">
        <v>2150</v>
      </c>
      <c r="M253" s="2" t="s">
        <v>2149</v>
      </c>
      <c r="N253" s="2" t="s">
        <v>2151</v>
      </c>
      <c r="O253" s="2"/>
      <c r="P253" s="2" t="s">
        <v>37</v>
      </c>
      <c r="Q253" s="4" t="n">
        <v>3632</v>
      </c>
      <c r="R253" s="2" t="s">
        <v>2129</v>
      </c>
      <c r="S253" s="2" t="s">
        <v>39</v>
      </c>
      <c r="T253" s="2" t="s">
        <v>403</v>
      </c>
      <c r="U253" s="2" t="s">
        <v>2152</v>
      </c>
      <c r="V253" s="2"/>
      <c r="W253" s="2" t="s">
        <v>1801</v>
      </c>
      <c r="X253" s="2" t="s">
        <v>43</v>
      </c>
      <c r="Y253" s="2" t="s">
        <v>37</v>
      </c>
      <c r="Z253" s="2" t="s">
        <v>44</v>
      </c>
      <c r="AA253" s="2" t="s">
        <v>2153</v>
      </c>
      <c r="AB253" s="2"/>
      <c r="AC253" s="2" t="s">
        <v>2154</v>
      </c>
      <c r="AD253" s="2" t="s">
        <v>46</v>
      </c>
    </row>
    <row r="254" customFormat="false" ht="15.7" hidden="false" customHeight="true" outlineLevel="0" collapsed="false">
      <c r="A254" s="2"/>
      <c r="B254" s="3" t="n">
        <f aca="false">DATE(2006,7,19)</f>
        <v>0</v>
      </c>
      <c r="C254" s="3" t="n">
        <v>38917</v>
      </c>
      <c r="D254" s="2" t="s">
        <v>2155</v>
      </c>
      <c r="F254" s="2" t="s">
        <v>2156</v>
      </c>
      <c r="G254" s="2" t="s">
        <v>2157</v>
      </c>
      <c r="H254" s="2" t="s">
        <v>2158</v>
      </c>
      <c r="I254" s="2" t="s">
        <v>2159</v>
      </c>
      <c r="J254" s="2" t="s">
        <v>2160</v>
      </c>
      <c r="K254" s="2" t="s">
        <v>2161</v>
      </c>
      <c r="L254" s="2" t="s">
        <v>2162</v>
      </c>
      <c r="M254" s="2" t="s">
        <v>2163</v>
      </c>
      <c r="N254" s="2" t="s">
        <v>2164</v>
      </c>
      <c r="O254" s="2"/>
      <c r="P254" s="2" t="s">
        <v>37</v>
      </c>
      <c r="Q254" s="4" t="n">
        <v>3647</v>
      </c>
      <c r="R254" s="2" t="s">
        <v>2165</v>
      </c>
      <c r="S254" s="2" t="s">
        <v>39</v>
      </c>
      <c r="T254" s="2" t="s">
        <v>40</v>
      </c>
      <c r="U254" s="2" t="s">
        <v>2166</v>
      </c>
      <c r="V254" s="2"/>
      <c r="W254" s="2" t="s">
        <v>107</v>
      </c>
      <c r="X254" s="2" t="s">
        <v>43</v>
      </c>
      <c r="Y254" s="2" t="s">
        <v>37</v>
      </c>
      <c r="Z254" s="2" t="s">
        <v>2167</v>
      </c>
      <c r="AA254" s="2"/>
      <c r="AB254" s="2"/>
      <c r="AC254" s="2" t="s">
        <v>2168</v>
      </c>
      <c r="AD254" s="2" t="s">
        <v>46</v>
      </c>
    </row>
    <row r="255" customFormat="false" ht="15.7" hidden="false" customHeight="true" outlineLevel="0" collapsed="false">
      <c r="A255" s="2"/>
      <c r="B255" s="3" t="n">
        <f aca="false">DATE(2006,7,20)</f>
        <v>0</v>
      </c>
      <c r="C255" s="3" t="n">
        <v>38918</v>
      </c>
      <c r="D255" s="2" t="s">
        <v>2169</v>
      </c>
      <c r="F255" s="2" t="s">
        <v>2170</v>
      </c>
      <c r="G255" s="2" t="s">
        <v>2171</v>
      </c>
      <c r="H255" s="2" t="s">
        <v>63</v>
      </c>
      <c r="I255" s="2" t="s">
        <v>51</v>
      </c>
      <c r="J255" s="2" t="s">
        <v>2172</v>
      </c>
      <c r="K255" s="2" t="s">
        <v>2173</v>
      </c>
      <c r="L255" s="2" t="s">
        <v>51</v>
      </c>
      <c r="M255" s="2" t="s">
        <v>762</v>
      </c>
      <c r="N255" s="2" t="s">
        <v>2174</v>
      </c>
      <c r="O255" s="2"/>
      <c r="P255" s="2" t="s">
        <v>37</v>
      </c>
      <c r="Q255" s="4" t="n">
        <v>8731</v>
      </c>
      <c r="R255" s="2" t="s">
        <v>56</v>
      </c>
      <c r="S255" s="2" t="s">
        <v>788</v>
      </c>
      <c r="T255" s="2" t="s">
        <v>40</v>
      </c>
      <c r="U255" s="2" t="s">
        <v>2175</v>
      </c>
      <c r="V255" s="2"/>
      <c r="W255" s="2" t="s">
        <v>42</v>
      </c>
      <c r="X255" s="2" t="s">
        <v>43</v>
      </c>
      <c r="Y255" s="2" t="s">
        <v>37</v>
      </c>
      <c r="Z255" s="2" t="s">
        <v>44</v>
      </c>
      <c r="AA255" s="2"/>
      <c r="AB255" s="2"/>
      <c r="AC255" s="2" t="s">
        <v>2176</v>
      </c>
      <c r="AD255" s="2" t="s">
        <v>46</v>
      </c>
    </row>
    <row r="256" customFormat="false" ht="15.7" hidden="false" customHeight="true" outlineLevel="0" collapsed="false">
      <c r="A256" s="2"/>
      <c r="B256" s="3" t="n">
        <f aca="false">DATE(2006,7,24)</f>
        <v>0</v>
      </c>
      <c r="C256" s="3" t="n">
        <v>38922</v>
      </c>
      <c r="D256" s="2" t="s">
        <v>2177</v>
      </c>
      <c r="F256" s="2" t="s">
        <v>2178</v>
      </c>
      <c r="G256" s="2" t="s">
        <v>2179</v>
      </c>
      <c r="H256" s="2" t="s">
        <v>2180</v>
      </c>
      <c r="I256" s="2" t="s">
        <v>2181</v>
      </c>
      <c r="J256" s="2" t="s">
        <v>35</v>
      </c>
      <c r="K256" s="2" t="s">
        <v>2177</v>
      </c>
      <c r="L256" s="2" t="s">
        <v>2181</v>
      </c>
      <c r="M256" s="2" t="s">
        <v>2182</v>
      </c>
      <c r="N256" s="2" t="s">
        <v>2183</v>
      </c>
      <c r="O256" s="2" t="s">
        <v>2184</v>
      </c>
      <c r="P256" s="2" t="s">
        <v>37</v>
      </c>
      <c r="Q256" s="4" t="n">
        <v>2836</v>
      </c>
      <c r="R256" s="2" t="s">
        <v>461</v>
      </c>
      <c r="S256" s="2" t="s">
        <v>39</v>
      </c>
      <c r="T256" s="2" t="s">
        <v>40</v>
      </c>
      <c r="U256" s="2" t="s">
        <v>2185</v>
      </c>
      <c r="V256" s="2"/>
      <c r="W256" s="2" t="s">
        <v>42</v>
      </c>
      <c r="X256" s="2" t="s">
        <v>46</v>
      </c>
      <c r="Y256" s="2" t="s">
        <v>37</v>
      </c>
      <c r="Z256" s="2" t="s">
        <v>362</v>
      </c>
      <c r="AA256" s="2"/>
      <c r="AB256" s="2" t="s">
        <v>2186</v>
      </c>
      <c r="AC256" s="2" t="s">
        <v>2187</v>
      </c>
      <c r="AD256" s="2" t="s">
        <v>46</v>
      </c>
    </row>
    <row r="257" customFormat="false" ht="15.7" hidden="false" customHeight="true" outlineLevel="0" collapsed="false">
      <c r="A257" s="2"/>
      <c r="B257" s="3" t="n">
        <f aca="false">DATE(2006,7,25)</f>
        <v>0</v>
      </c>
      <c r="C257" s="3" t="n">
        <v>38923</v>
      </c>
      <c r="D257" s="2" t="s">
        <v>2188</v>
      </c>
      <c r="F257" s="2" t="s">
        <v>200</v>
      </c>
      <c r="G257" s="2" t="s">
        <v>2189</v>
      </c>
      <c r="H257" s="2" t="s">
        <v>63</v>
      </c>
      <c r="I257" s="2" t="s">
        <v>51</v>
      </c>
      <c r="J257" s="2" t="s">
        <v>2190</v>
      </c>
      <c r="K257" s="2" t="s">
        <v>2191</v>
      </c>
      <c r="L257" s="2" t="s">
        <v>180</v>
      </c>
      <c r="M257" s="2" t="s">
        <v>130</v>
      </c>
      <c r="N257" s="2" t="s">
        <v>2192</v>
      </c>
      <c r="O257" s="2"/>
      <c r="P257" s="2" t="s">
        <v>37</v>
      </c>
      <c r="Q257" s="4" t="n">
        <v>8731</v>
      </c>
      <c r="R257" s="2" t="s">
        <v>56</v>
      </c>
      <c r="S257" s="2" t="s">
        <v>92</v>
      </c>
      <c r="T257" s="2" t="s">
        <v>40</v>
      </c>
      <c r="U257" s="2" t="s">
        <v>2193</v>
      </c>
      <c r="V257" s="2"/>
      <c r="W257" s="2" t="s">
        <v>2194</v>
      </c>
      <c r="X257" s="2" t="s">
        <v>43</v>
      </c>
      <c r="Y257" s="2" t="s">
        <v>37</v>
      </c>
      <c r="Z257" s="2" t="s">
        <v>44</v>
      </c>
      <c r="AA257" s="2" t="s">
        <v>2195</v>
      </c>
      <c r="AB257" s="2"/>
      <c r="AC257" s="2" t="s">
        <v>2196</v>
      </c>
      <c r="AD257" s="2" t="s">
        <v>46</v>
      </c>
    </row>
    <row r="258" customFormat="false" ht="15.7" hidden="false" customHeight="true" outlineLevel="0" collapsed="false">
      <c r="A258" s="2"/>
      <c r="B258" s="3" t="n">
        <f aca="false">DATE(2006,7,25)</f>
        <v>0</v>
      </c>
      <c r="C258" s="3" t="n">
        <v>38923</v>
      </c>
      <c r="D258" s="2" t="s">
        <v>2197</v>
      </c>
      <c r="F258" s="2" t="s">
        <v>2198</v>
      </c>
      <c r="G258" s="2" t="s">
        <v>2199</v>
      </c>
      <c r="H258" s="2" t="s">
        <v>63</v>
      </c>
      <c r="I258" s="2" t="s">
        <v>1080</v>
      </c>
      <c r="J258" s="2" t="s">
        <v>35</v>
      </c>
      <c r="K258" s="2" t="s">
        <v>2197</v>
      </c>
      <c r="L258" s="2" t="s">
        <v>1080</v>
      </c>
      <c r="M258" s="2" t="s">
        <v>63</v>
      </c>
      <c r="N258" s="2" t="s">
        <v>2200</v>
      </c>
      <c r="O258" s="2"/>
      <c r="P258" s="2" t="s">
        <v>37</v>
      </c>
      <c r="Q258" s="4" t="n">
        <v>8731</v>
      </c>
      <c r="R258" s="2" t="s">
        <v>2201</v>
      </c>
      <c r="S258" s="2" t="s">
        <v>39</v>
      </c>
      <c r="T258" s="2" t="s">
        <v>40</v>
      </c>
      <c r="U258" s="2" t="s">
        <v>2202</v>
      </c>
      <c r="V258" s="2"/>
      <c r="W258" s="2" t="s">
        <v>42</v>
      </c>
      <c r="X258" s="2" t="s">
        <v>43</v>
      </c>
      <c r="Y258" s="2" t="s">
        <v>37</v>
      </c>
      <c r="Z258" s="2" t="s">
        <v>44</v>
      </c>
      <c r="AA258" s="2"/>
      <c r="AB258" s="2"/>
      <c r="AC258" s="2" t="s">
        <v>2203</v>
      </c>
      <c r="AD258" s="2" t="s">
        <v>46</v>
      </c>
    </row>
    <row r="259" customFormat="false" ht="15.7" hidden="false" customHeight="true" outlineLevel="0" collapsed="false">
      <c r="A259" s="2"/>
      <c r="B259" s="3" t="n">
        <f aca="false">DATE(2006,7,25)</f>
        <v>0</v>
      </c>
      <c r="C259" s="3" t="n">
        <v>38923</v>
      </c>
      <c r="D259" s="2" t="s">
        <v>2204</v>
      </c>
      <c r="F259" s="2" t="s">
        <v>2205</v>
      </c>
      <c r="G259" s="2" t="s">
        <v>2206</v>
      </c>
      <c r="H259" s="2" t="s">
        <v>63</v>
      </c>
      <c r="I259" s="2" t="s">
        <v>88</v>
      </c>
      <c r="J259" s="2" t="s">
        <v>625</v>
      </c>
      <c r="K259" s="2" t="s">
        <v>2204</v>
      </c>
      <c r="L259" s="2" t="s">
        <v>88</v>
      </c>
      <c r="M259" s="2" t="s">
        <v>63</v>
      </c>
      <c r="N259" s="2" t="s">
        <v>2207</v>
      </c>
      <c r="O259" s="2"/>
      <c r="P259" s="2" t="s">
        <v>37</v>
      </c>
      <c r="Q259" s="4" t="n">
        <v>8731</v>
      </c>
      <c r="R259" s="2" t="s">
        <v>136</v>
      </c>
      <c r="S259" s="2" t="s">
        <v>39</v>
      </c>
      <c r="T259" s="2" t="s">
        <v>403</v>
      </c>
      <c r="U259" s="2" t="s">
        <v>2208</v>
      </c>
      <c r="V259" s="2"/>
      <c r="W259" s="2" t="s">
        <v>2209</v>
      </c>
      <c r="X259" s="2" t="s">
        <v>43</v>
      </c>
      <c r="Y259" s="2" t="s">
        <v>37</v>
      </c>
      <c r="Z259" s="2" t="s">
        <v>44</v>
      </c>
      <c r="AA259" s="2" t="s">
        <v>2210</v>
      </c>
      <c r="AB259" s="2"/>
      <c r="AC259" s="2" t="s">
        <v>2211</v>
      </c>
      <c r="AD259" s="2" t="s">
        <v>46</v>
      </c>
    </row>
    <row r="260" customFormat="false" ht="15.7" hidden="false" customHeight="true" outlineLevel="0" collapsed="false">
      <c r="A260" s="2"/>
      <c r="B260" s="3" t="n">
        <f aca="false">DATE(2006,7,26)</f>
        <v>0</v>
      </c>
      <c r="C260" s="3" t="n">
        <v>38924</v>
      </c>
      <c r="D260" s="2" t="s">
        <v>2212</v>
      </c>
      <c r="F260" s="2" t="s">
        <v>2213</v>
      </c>
      <c r="G260" s="2" t="s">
        <v>2214</v>
      </c>
      <c r="H260" s="2" t="s">
        <v>2215</v>
      </c>
      <c r="I260" s="2" t="s">
        <v>51</v>
      </c>
      <c r="J260" s="2" t="s">
        <v>171</v>
      </c>
      <c r="K260" s="2" t="s">
        <v>2212</v>
      </c>
      <c r="L260" s="2" t="s">
        <v>51</v>
      </c>
      <c r="M260" s="2" t="s">
        <v>2215</v>
      </c>
      <c r="N260" s="2" t="s">
        <v>2216</v>
      </c>
      <c r="O260" s="2"/>
      <c r="P260" s="2" t="s">
        <v>37</v>
      </c>
      <c r="Q260" s="4" t="n">
        <v>8731</v>
      </c>
      <c r="R260" s="2" t="s">
        <v>136</v>
      </c>
      <c r="S260" s="2" t="s">
        <v>39</v>
      </c>
      <c r="T260" s="2" t="s">
        <v>40</v>
      </c>
      <c r="U260" s="2" t="s">
        <v>2217</v>
      </c>
      <c r="V260" s="2"/>
      <c r="W260" s="2" t="s">
        <v>42</v>
      </c>
      <c r="X260" s="2" t="s">
        <v>43</v>
      </c>
      <c r="Y260" s="2" t="s">
        <v>37</v>
      </c>
      <c r="Z260" s="2" t="s">
        <v>44</v>
      </c>
      <c r="AA260" s="2"/>
      <c r="AB260" s="2"/>
      <c r="AC260" s="2" t="s">
        <v>2218</v>
      </c>
      <c r="AD260" s="2" t="s">
        <v>46</v>
      </c>
    </row>
    <row r="261" customFormat="false" ht="15.7" hidden="false" customHeight="true" outlineLevel="0" collapsed="false">
      <c r="A261" s="2"/>
      <c r="B261" s="3" t="n">
        <f aca="false">DATE(2006,7,26)</f>
        <v>0</v>
      </c>
      <c r="C261" s="3" t="n">
        <v>38924</v>
      </c>
      <c r="D261" s="2" t="s">
        <v>2219</v>
      </c>
      <c r="F261" s="2" t="s">
        <v>2220</v>
      </c>
      <c r="G261" s="2" t="s">
        <v>2221</v>
      </c>
      <c r="H261" s="2" t="s">
        <v>2222</v>
      </c>
      <c r="I261" s="2" t="s">
        <v>2223</v>
      </c>
      <c r="J261" s="2" t="s">
        <v>35</v>
      </c>
      <c r="K261" s="2" t="s">
        <v>2219</v>
      </c>
      <c r="L261" s="2" t="s">
        <v>2223</v>
      </c>
      <c r="M261" s="2" t="s">
        <v>2222</v>
      </c>
      <c r="N261" s="2" t="s">
        <v>2224</v>
      </c>
      <c r="O261" s="2"/>
      <c r="P261" s="2" t="s">
        <v>37</v>
      </c>
      <c r="Q261" s="4" t="n">
        <v>8731</v>
      </c>
      <c r="R261" s="2" t="s">
        <v>2225</v>
      </c>
      <c r="S261" s="2" t="s">
        <v>39</v>
      </c>
      <c r="T261" s="2" t="s">
        <v>40</v>
      </c>
      <c r="U261" s="2" t="s">
        <v>2226</v>
      </c>
      <c r="V261" s="2"/>
      <c r="W261" s="2" t="s">
        <v>697</v>
      </c>
      <c r="X261" s="2" t="s">
        <v>43</v>
      </c>
      <c r="Y261" s="2" t="s">
        <v>37</v>
      </c>
      <c r="Z261" s="2" t="s">
        <v>44</v>
      </c>
      <c r="AA261" s="2" t="s">
        <v>2227</v>
      </c>
      <c r="AB261" s="2"/>
      <c r="AC261" s="2" t="s">
        <v>2228</v>
      </c>
      <c r="AD261" s="2" t="s">
        <v>46</v>
      </c>
    </row>
    <row r="262" customFormat="false" ht="15.7" hidden="false" customHeight="true" outlineLevel="0" collapsed="false">
      <c r="A262" s="2"/>
      <c r="B262" s="3" t="n">
        <f aca="false">DATE(2006,7,31)</f>
        <v>0</v>
      </c>
      <c r="C262" s="3" t="n">
        <v>38929</v>
      </c>
      <c r="D262" s="2" t="s">
        <v>2229</v>
      </c>
      <c r="F262" s="2" t="s">
        <v>2230</v>
      </c>
      <c r="G262" s="2" t="s">
        <v>2231</v>
      </c>
      <c r="H262" s="2" t="s">
        <v>2232</v>
      </c>
      <c r="I262" s="2" t="s">
        <v>2233</v>
      </c>
      <c r="J262" s="2" t="s">
        <v>35</v>
      </c>
      <c r="K262" s="2" t="s">
        <v>2234</v>
      </c>
      <c r="L262" s="2" t="s">
        <v>2233</v>
      </c>
      <c r="M262" s="2" t="s">
        <v>2235</v>
      </c>
      <c r="N262" s="2" t="s">
        <v>2236</v>
      </c>
      <c r="O262" s="2"/>
      <c r="P262" s="2" t="s">
        <v>37</v>
      </c>
      <c r="Q262" s="4" t="n">
        <v>8731</v>
      </c>
      <c r="R262" s="2" t="s">
        <v>2237</v>
      </c>
      <c r="S262" s="2" t="s">
        <v>39</v>
      </c>
      <c r="T262" s="2" t="s">
        <v>403</v>
      </c>
      <c r="U262" s="2" t="s">
        <v>2238</v>
      </c>
      <c r="V262" s="2"/>
      <c r="W262" s="2" t="s">
        <v>42</v>
      </c>
      <c r="X262" s="2" t="s">
        <v>43</v>
      </c>
      <c r="Y262" s="2" t="s">
        <v>37</v>
      </c>
      <c r="Z262" s="2" t="s">
        <v>44</v>
      </c>
      <c r="AA262" s="2"/>
      <c r="AB262" s="2"/>
      <c r="AC262" s="2" t="s">
        <v>2239</v>
      </c>
      <c r="AD262" s="2" t="s">
        <v>46</v>
      </c>
    </row>
    <row r="263" customFormat="false" ht="15.7" hidden="false" customHeight="true" outlineLevel="0" collapsed="false">
      <c r="A263" s="2"/>
      <c r="B263" s="3" t="n">
        <f aca="false">DATE(2006,8,1)</f>
        <v>0</v>
      </c>
      <c r="C263" s="3" t="n">
        <v>38930</v>
      </c>
      <c r="D263" s="2" t="s">
        <v>2240</v>
      </c>
      <c r="F263" s="2" t="s">
        <v>1768</v>
      </c>
      <c r="G263" s="2" t="s">
        <v>2241</v>
      </c>
      <c r="H263" s="2" t="s">
        <v>1770</v>
      </c>
      <c r="I263" s="2" t="s">
        <v>51</v>
      </c>
      <c r="J263" s="2" t="s">
        <v>171</v>
      </c>
      <c r="K263" s="2" t="s">
        <v>2240</v>
      </c>
      <c r="L263" s="2" t="s">
        <v>51</v>
      </c>
      <c r="M263" s="2" t="s">
        <v>1770</v>
      </c>
      <c r="N263" s="2" t="s">
        <v>2242</v>
      </c>
      <c r="O263" s="2"/>
      <c r="P263" s="2" t="s">
        <v>37</v>
      </c>
      <c r="Q263" s="4" t="n">
        <v>8731</v>
      </c>
      <c r="R263" s="2" t="s">
        <v>56</v>
      </c>
      <c r="S263" s="2" t="s">
        <v>92</v>
      </c>
      <c r="T263" s="2" t="s">
        <v>40</v>
      </c>
      <c r="U263" s="2" t="s">
        <v>2243</v>
      </c>
      <c r="V263" s="2"/>
      <c r="W263" s="2" t="s">
        <v>42</v>
      </c>
      <c r="X263" s="2" t="s">
        <v>43</v>
      </c>
      <c r="Y263" s="2" t="s">
        <v>37</v>
      </c>
      <c r="Z263" s="2" t="s">
        <v>44</v>
      </c>
      <c r="AA263" s="2"/>
      <c r="AB263" s="2"/>
      <c r="AC263" s="2" t="s">
        <v>2244</v>
      </c>
      <c r="AD263" s="2" t="s">
        <v>46</v>
      </c>
    </row>
    <row r="264" customFormat="false" ht="15.7" hidden="false" customHeight="true" outlineLevel="0" collapsed="false">
      <c r="A264" s="2"/>
      <c r="B264" s="3" t="n">
        <f aca="false">DATE(2006,8,1)</f>
        <v>0</v>
      </c>
      <c r="C264" s="3" t="n">
        <v>38930</v>
      </c>
      <c r="D264" s="2" t="s">
        <v>2245</v>
      </c>
      <c r="F264" s="2" t="s">
        <v>2246</v>
      </c>
      <c r="G264" s="2" t="s">
        <v>2247</v>
      </c>
      <c r="H264" s="2" t="s">
        <v>1101</v>
      </c>
      <c r="I264" s="2" t="s">
        <v>51</v>
      </c>
      <c r="J264" s="2" t="s">
        <v>171</v>
      </c>
      <c r="K264" s="2" t="s">
        <v>2245</v>
      </c>
      <c r="L264" s="2" t="s">
        <v>51</v>
      </c>
      <c r="M264" s="2" t="s">
        <v>1101</v>
      </c>
      <c r="N264" s="2" t="s">
        <v>2248</v>
      </c>
      <c r="O264" s="2"/>
      <c r="P264" s="2" t="s">
        <v>37</v>
      </c>
      <c r="Q264" s="4" t="n">
        <v>8732</v>
      </c>
      <c r="R264" s="2" t="s">
        <v>56</v>
      </c>
      <c r="S264" s="2" t="s">
        <v>92</v>
      </c>
      <c r="T264" s="2" t="s">
        <v>40</v>
      </c>
      <c r="U264" s="2" t="s">
        <v>2249</v>
      </c>
      <c r="V264" s="2"/>
      <c r="W264" s="2" t="s">
        <v>42</v>
      </c>
      <c r="X264" s="2" t="s">
        <v>43</v>
      </c>
      <c r="Y264" s="2" t="s">
        <v>37</v>
      </c>
      <c r="Z264" s="2" t="s">
        <v>44</v>
      </c>
      <c r="AA264" s="2"/>
      <c r="AB264" s="2"/>
      <c r="AC264" s="2" t="s">
        <v>2250</v>
      </c>
      <c r="AD264" s="2" t="s">
        <v>46</v>
      </c>
    </row>
    <row r="265" customFormat="false" ht="15.7" hidden="false" customHeight="true" outlineLevel="0" collapsed="false">
      <c r="A265" s="2"/>
      <c r="B265" s="3" t="n">
        <f aca="false">DATE(2006,8,2)</f>
        <v>0</v>
      </c>
      <c r="C265" s="3" t="n">
        <v>38931</v>
      </c>
      <c r="D265" s="2" t="s">
        <v>2251</v>
      </c>
      <c r="F265" s="2" t="s">
        <v>2252</v>
      </c>
      <c r="G265" s="2" t="s">
        <v>2253</v>
      </c>
      <c r="H265" s="2" t="s">
        <v>2254</v>
      </c>
      <c r="I265" s="2" t="s">
        <v>51</v>
      </c>
      <c r="J265" s="2" t="s">
        <v>2255</v>
      </c>
      <c r="K265" s="2" t="s">
        <v>2251</v>
      </c>
      <c r="L265" s="2" t="s">
        <v>51</v>
      </c>
      <c r="M265" s="2" t="s">
        <v>2254</v>
      </c>
      <c r="N265" s="2" t="s">
        <v>2256</v>
      </c>
      <c r="O265" s="2"/>
      <c r="P265" s="2" t="s">
        <v>37</v>
      </c>
      <c r="Q265" s="4" t="n">
        <v>8731</v>
      </c>
      <c r="R265" s="2" t="s">
        <v>56</v>
      </c>
      <c r="S265" s="2" t="s">
        <v>1622</v>
      </c>
      <c r="T265" s="2" t="s">
        <v>40</v>
      </c>
      <c r="U265" s="2" t="s">
        <v>2257</v>
      </c>
      <c r="V265" s="2"/>
      <c r="W265" s="2" t="s">
        <v>42</v>
      </c>
      <c r="X265" s="2" t="s">
        <v>43</v>
      </c>
      <c r="Y265" s="2" t="s">
        <v>37</v>
      </c>
      <c r="Z265" s="2" t="s">
        <v>44</v>
      </c>
      <c r="AA265" s="2"/>
      <c r="AB265" s="2"/>
      <c r="AC265" s="2" t="s">
        <v>2258</v>
      </c>
      <c r="AD265" s="2" t="s">
        <v>46</v>
      </c>
    </row>
    <row r="266" customFormat="false" ht="15.7" hidden="false" customHeight="true" outlineLevel="0" collapsed="false">
      <c r="A266" s="2"/>
      <c r="B266" s="3" t="n">
        <f aca="false">DATE(2006,8,3)</f>
        <v>0</v>
      </c>
      <c r="C266" s="3" t="n">
        <v>38932</v>
      </c>
      <c r="D266" s="2" t="s">
        <v>2259</v>
      </c>
      <c r="F266" s="2" t="s">
        <v>2260</v>
      </c>
      <c r="G266" s="2" t="s">
        <v>2261</v>
      </c>
      <c r="H266" s="2" t="s">
        <v>2262</v>
      </c>
      <c r="I266" s="2" t="s">
        <v>51</v>
      </c>
      <c r="J266" s="2" t="s">
        <v>2263</v>
      </c>
      <c r="K266" s="2" t="s">
        <v>2259</v>
      </c>
      <c r="L266" s="2" t="s">
        <v>51</v>
      </c>
      <c r="M266" s="2" t="s">
        <v>2262</v>
      </c>
      <c r="N266" s="2" t="s">
        <v>2264</v>
      </c>
      <c r="O266" s="2"/>
      <c r="P266" s="2" t="s">
        <v>37</v>
      </c>
      <c r="Q266" s="4" t="n">
        <v>8731</v>
      </c>
      <c r="R266" s="2" t="s">
        <v>56</v>
      </c>
      <c r="S266" s="2" t="s">
        <v>2265</v>
      </c>
      <c r="T266" s="2" t="s">
        <v>40</v>
      </c>
      <c r="U266" s="2" t="s">
        <v>2266</v>
      </c>
      <c r="V266" s="2"/>
      <c r="W266" s="2" t="s">
        <v>42</v>
      </c>
      <c r="X266" s="2" t="s">
        <v>43</v>
      </c>
      <c r="Y266" s="2" t="s">
        <v>37</v>
      </c>
      <c r="Z266" s="2" t="s">
        <v>44</v>
      </c>
      <c r="AA266" s="2"/>
      <c r="AB266" s="2"/>
      <c r="AC266" s="2" t="s">
        <v>2267</v>
      </c>
      <c r="AD266" s="2" t="s">
        <v>46</v>
      </c>
    </row>
    <row r="267" customFormat="false" ht="15.7" hidden="false" customHeight="true" outlineLevel="0" collapsed="false">
      <c r="A267" s="2"/>
      <c r="B267" s="3" t="n">
        <f aca="false">DATE(2006,8,4)</f>
        <v>0</v>
      </c>
      <c r="C267" s="3" t="n">
        <v>38933</v>
      </c>
      <c r="D267" s="2" t="s">
        <v>2268</v>
      </c>
      <c r="F267" s="2" t="s">
        <v>2269</v>
      </c>
      <c r="G267" s="2" t="s">
        <v>2270</v>
      </c>
      <c r="H267" s="2" t="s">
        <v>2271</v>
      </c>
      <c r="I267" s="2" t="s">
        <v>51</v>
      </c>
      <c r="J267" s="2" t="s">
        <v>2272</v>
      </c>
      <c r="K267" s="2" t="s">
        <v>2273</v>
      </c>
      <c r="L267" s="2" t="s">
        <v>51</v>
      </c>
      <c r="M267" s="2" t="s">
        <v>2274</v>
      </c>
      <c r="N267" s="2" t="s">
        <v>2275</v>
      </c>
      <c r="O267" s="2" t="s">
        <v>2276</v>
      </c>
      <c r="P267" s="2" t="s">
        <v>37</v>
      </c>
      <c r="Q267" s="4" t="n">
        <v>8731</v>
      </c>
      <c r="R267" s="2" t="s">
        <v>56</v>
      </c>
      <c r="S267" s="2" t="s">
        <v>788</v>
      </c>
      <c r="T267" s="2" t="s">
        <v>40</v>
      </c>
      <c r="U267" s="2" t="s">
        <v>2277</v>
      </c>
      <c r="V267" s="2"/>
      <c r="W267" s="2" t="s">
        <v>42</v>
      </c>
      <c r="X267" s="2" t="s">
        <v>46</v>
      </c>
      <c r="Y267" s="2" t="s">
        <v>37</v>
      </c>
      <c r="Z267" s="2" t="s">
        <v>362</v>
      </c>
      <c r="AA267" s="2"/>
      <c r="AB267" s="2" t="s">
        <v>2278</v>
      </c>
      <c r="AC267" s="2" t="s">
        <v>2279</v>
      </c>
      <c r="AD267" s="2" t="s">
        <v>46</v>
      </c>
    </row>
    <row r="268" customFormat="false" ht="15.7" hidden="false" customHeight="true" outlineLevel="0" collapsed="false">
      <c r="A268" s="2"/>
      <c r="B268" s="3" t="n">
        <f aca="false">DATE(2006,8,7)</f>
        <v>0</v>
      </c>
      <c r="C268" s="3" t="n">
        <v>38936</v>
      </c>
      <c r="D268" s="2" t="s">
        <v>2280</v>
      </c>
      <c r="F268" s="2" t="s">
        <v>2281</v>
      </c>
      <c r="G268" s="2" t="s">
        <v>2282</v>
      </c>
      <c r="H268" s="2" t="s">
        <v>2283</v>
      </c>
      <c r="I268" s="2" t="s">
        <v>1191</v>
      </c>
      <c r="J268" s="2" t="s">
        <v>35</v>
      </c>
      <c r="K268" s="2" t="s">
        <v>2284</v>
      </c>
      <c r="L268" s="2" t="s">
        <v>2285</v>
      </c>
      <c r="M268" s="2" t="s">
        <v>2286</v>
      </c>
      <c r="N268" s="2" t="s">
        <v>2287</v>
      </c>
      <c r="O268" s="2"/>
      <c r="P268" s="2" t="s">
        <v>37</v>
      </c>
      <c r="Q268" s="4" t="n">
        <v>8731</v>
      </c>
      <c r="R268" s="2" t="s">
        <v>1195</v>
      </c>
      <c r="S268" s="2" t="s">
        <v>39</v>
      </c>
      <c r="T268" s="2" t="s">
        <v>40</v>
      </c>
      <c r="U268" s="2" t="s">
        <v>2288</v>
      </c>
      <c r="V268" s="2"/>
      <c r="W268" s="2" t="s">
        <v>2289</v>
      </c>
      <c r="X268" s="2" t="s">
        <v>43</v>
      </c>
      <c r="Y268" s="2" t="s">
        <v>37</v>
      </c>
      <c r="Z268" s="2" t="s">
        <v>44</v>
      </c>
      <c r="AA268" s="2"/>
      <c r="AB268" s="2"/>
      <c r="AC268" s="2" t="s">
        <v>2290</v>
      </c>
      <c r="AD268" s="2" t="s">
        <v>46</v>
      </c>
    </row>
    <row r="269" customFormat="false" ht="15.7" hidden="false" customHeight="true" outlineLevel="0" collapsed="false">
      <c r="A269" s="2"/>
      <c r="B269" s="3" t="n">
        <f aca="false">DATE(2006,8,8)</f>
        <v>0</v>
      </c>
      <c r="C269" s="3" t="n">
        <v>38937</v>
      </c>
      <c r="D269" s="2" t="s">
        <v>2291</v>
      </c>
      <c r="F269" s="2" t="s">
        <v>2292</v>
      </c>
      <c r="G269" s="2" t="s">
        <v>2293</v>
      </c>
      <c r="H269" s="2" t="s">
        <v>1574</v>
      </c>
      <c r="I269" s="2" t="s">
        <v>2294</v>
      </c>
      <c r="J269" s="2" t="s">
        <v>35</v>
      </c>
      <c r="K269" s="2" t="s">
        <v>2291</v>
      </c>
      <c r="L269" s="2" t="s">
        <v>2294</v>
      </c>
      <c r="M269" s="2" t="s">
        <v>1574</v>
      </c>
      <c r="N269" s="2" t="s">
        <v>2295</v>
      </c>
      <c r="O269" s="2" t="s">
        <v>2296</v>
      </c>
      <c r="P269" s="2" t="s">
        <v>37</v>
      </c>
      <c r="Q269" s="4" t="n">
        <v>2836</v>
      </c>
      <c r="R269" s="2" t="s">
        <v>450</v>
      </c>
      <c r="S269" s="2" t="s">
        <v>39</v>
      </c>
      <c r="T269" s="2" t="s">
        <v>40</v>
      </c>
      <c r="U269" s="2" t="s">
        <v>2297</v>
      </c>
      <c r="V269" s="2"/>
      <c r="W269" s="2" t="s">
        <v>42</v>
      </c>
      <c r="X269" s="2" t="s">
        <v>46</v>
      </c>
      <c r="Y269" s="2" t="s">
        <v>37</v>
      </c>
      <c r="Z269" s="2" t="s">
        <v>362</v>
      </c>
      <c r="AA269" s="2"/>
      <c r="AB269" s="2" t="s">
        <v>2298</v>
      </c>
      <c r="AC269" s="2" t="s">
        <v>2299</v>
      </c>
      <c r="AD269" s="2" t="s">
        <v>46</v>
      </c>
    </row>
    <row r="270" customFormat="false" ht="15.7" hidden="false" customHeight="true" outlineLevel="0" collapsed="false">
      <c r="A270" s="2"/>
      <c r="B270" s="3" t="n">
        <f aca="false">DATE(2006,8,8)</f>
        <v>0</v>
      </c>
      <c r="C270" s="3" t="n">
        <v>38937</v>
      </c>
      <c r="D270" s="2" t="s">
        <v>2300</v>
      </c>
      <c r="F270" s="2" t="s">
        <v>2301</v>
      </c>
      <c r="G270" s="2" t="s">
        <v>2302</v>
      </c>
      <c r="H270" s="2" t="s">
        <v>63</v>
      </c>
      <c r="I270" s="2" t="s">
        <v>388</v>
      </c>
      <c r="J270" s="2" t="s">
        <v>625</v>
      </c>
      <c r="K270" s="2" t="s">
        <v>2300</v>
      </c>
      <c r="L270" s="2" t="s">
        <v>388</v>
      </c>
      <c r="M270" s="2" t="s">
        <v>63</v>
      </c>
      <c r="N270" s="2" t="s">
        <v>2303</v>
      </c>
      <c r="O270" s="2"/>
      <c r="P270" s="2" t="s">
        <v>37</v>
      </c>
      <c r="Q270" s="4" t="n">
        <v>8731</v>
      </c>
      <c r="R270" s="2" t="s">
        <v>136</v>
      </c>
      <c r="S270" s="2" t="s">
        <v>39</v>
      </c>
      <c r="T270" s="2" t="s">
        <v>40</v>
      </c>
      <c r="U270" s="2" t="s">
        <v>2304</v>
      </c>
      <c r="V270" s="2"/>
      <c r="W270" s="2" t="s">
        <v>42</v>
      </c>
      <c r="X270" s="2" t="s">
        <v>43</v>
      </c>
      <c r="Y270" s="2" t="s">
        <v>37</v>
      </c>
      <c r="Z270" s="2" t="s">
        <v>44</v>
      </c>
      <c r="AA270" s="2"/>
      <c r="AB270" s="2"/>
      <c r="AC270" s="2" t="s">
        <v>2305</v>
      </c>
      <c r="AD270" s="2" t="s">
        <v>46</v>
      </c>
    </row>
    <row r="271" customFormat="false" ht="15.7" hidden="false" customHeight="true" outlineLevel="0" collapsed="false">
      <c r="A271" s="2"/>
      <c r="B271" s="3" t="n">
        <f aca="false">DATE(2006,8,9)</f>
        <v>0</v>
      </c>
      <c r="C271" s="3" t="n">
        <v>38938</v>
      </c>
      <c r="D271" s="2" t="s">
        <v>2306</v>
      </c>
      <c r="F271" s="2" t="s">
        <v>2307</v>
      </c>
      <c r="G271" s="2" t="s">
        <v>2308</v>
      </c>
      <c r="H271" s="2" t="s">
        <v>2309</v>
      </c>
      <c r="I271" s="2" t="s">
        <v>51</v>
      </c>
      <c r="J271" s="2" t="s">
        <v>2310</v>
      </c>
      <c r="K271" s="2" t="s">
        <v>2311</v>
      </c>
      <c r="L271" s="2" t="s">
        <v>180</v>
      </c>
      <c r="M271" s="2" t="s">
        <v>2312</v>
      </c>
      <c r="N271" s="2" t="s">
        <v>2313</v>
      </c>
      <c r="O271" s="2"/>
      <c r="P271" s="2" t="s">
        <v>37</v>
      </c>
      <c r="Q271" s="4" t="n">
        <v>8731</v>
      </c>
      <c r="R271" s="2" t="s">
        <v>136</v>
      </c>
      <c r="S271" s="2" t="s">
        <v>39</v>
      </c>
      <c r="T271" s="2" t="s">
        <v>40</v>
      </c>
      <c r="U271" s="2" t="s">
        <v>2314</v>
      </c>
      <c r="V271" s="2"/>
      <c r="W271" s="2" t="s">
        <v>42</v>
      </c>
      <c r="X271" s="2" t="s">
        <v>43</v>
      </c>
      <c r="Y271" s="2" t="s">
        <v>37</v>
      </c>
      <c r="Z271" s="2" t="s">
        <v>44</v>
      </c>
      <c r="AA271" s="2"/>
      <c r="AB271" s="2"/>
      <c r="AC271" s="2" t="s">
        <v>2315</v>
      </c>
      <c r="AD271" s="2" t="s">
        <v>46</v>
      </c>
    </row>
    <row r="272" customFormat="false" ht="15.7" hidden="false" customHeight="true" outlineLevel="0" collapsed="false">
      <c r="A272" s="2"/>
      <c r="B272" s="3" t="n">
        <f aca="false">DATE(2006,8,9)</f>
        <v>0</v>
      </c>
      <c r="C272" s="3" t="n">
        <v>38938</v>
      </c>
      <c r="D272" s="2" t="s">
        <v>2316</v>
      </c>
      <c r="F272" s="2" t="s">
        <v>2317</v>
      </c>
      <c r="G272" s="2" t="s">
        <v>2318</v>
      </c>
      <c r="H272" s="2" t="s">
        <v>2319</v>
      </c>
      <c r="I272" s="2" t="s">
        <v>51</v>
      </c>
      <c r="J272" s="2" t="s">
        <v>2320</v>
      </c>
      <c r="K272" s="2" t="s">
        <v>2316</v>
      </c>
      <c r="L272" s="2" t="s">
        <v>51</v>
      </c>
      <c r="M272" s="2" t="s">
        <v>2319</v>
      </c>
      <c r="N272" s="2" t="s">
        <v>2321</v>
      </c>
      <c r="O272" s="2"/>
      <c r="P272" s="2" t="s">
        <v>79</v>
      </c>
      <c r="Q272" s="4" t="n">
        <v>6794</v>
      </c>
      <c r="R272" s="2" t="s">
        <v>56</v>
      </c>
      <c r="S272" s="2" t="s">
        <v>315</v>
      </c>
      <c r="T272" s="2" t="s">
        <v>40</v>
      </c>
      <c r="U272" s="2" t="s">
        <v>2322</v>
      </c>
      <c r="V272" s="2"/>
      <c r="W272" s="2" t="s">
        <v>82</v>
      </c>
      <c r="X272" s="2" t="s">
        <v>43</v>
      </c>
      <c r="Y272" s="2" t="s">
        <v>37</v>
      </c>
      <c r="Z272" s="2" t="s">
        <v>44</v>
      </c>
      <c r="AA272" s="2"/>
      <c r="AB272" s="2"/>
      <c r="AC272" s="2" t="s">
        <v>2323</v>
      </c>
      <c r="AD272" s="2" t="s">
        <v>46</v>
      </c>
    </row>
    <row r="273" customFormat="false" ht="15.7" hidden="false" customHeight="true" outlineLevel="0" collapsed="false">
      <c r="A273" s="2"/>
      <c r="B273" s="3" t="n">
        <f aca="false">DATE(2006,8,9)</f>
        <v>0</v>
      </c>
      <c r="C273" s="3" t="n">
        <v>38938</v>
      </c>
      <c r="D273" s="2" t="s">
        <v>2324</v>
      </c>
      <c r="F273" s="2" t="s">
        <v>2325</v>
      </c>
      <c r="G273" s="2" t="s">
        <v>2326</v>
      </c>
      <c r="H273" s="2" t="s">
        <v>2327</v>
      </c>
      <c r="I273" s="2" t="s">
        <v>51</v>
      </c>
      <c r="J273" s="2" t="s">
        <v>2328</v>
      </c>
      <c r="K273" s="2" t="s">
        <v>2329</v>
      </c>
      <c r="L273" s="2" t="s">
        <v>51</v>
      </c>
      <c r="M273" s="2" t="s">
        <v>2330</v>
      </c>
      <c r="N273" s="2" t="s">
        <v>2331</v>
      </c>
      <c r="O273" s="2"/>
      <c r="P273" s="2" t="s">
        <v>37</v>
      </c>
      <c r="Q273" s="4" t="n">
        <v>8731</v>
      </c>
      <c r="R273" s="2" t="s">
        <v>56</v>
      </c>
      <c r="S273" s="2" t="s">
        <v>92</v>
      </c>
      <c r="T273" s="2" t="s">
        <v>40</v>
      </c>
      <c r="U273" s="2" t="s">
        <v>2332</v>
      </c>
      <c r="V273" s="2"/>
      <c r="W273" s="2" t="s">
        <v>42</v>
      </c>
      <c r="X273" s="2" t="s">
        <v>43</v>
      </c>
      <c r="Y273" s="2" t="s">
        <v>37</v>
      </c>
      <c r="Z273" s="2" t="s">
        <v>44</v>
      </c>
      <c r="AA273" s="2"/>
      <c r="AB273" s="2"/>
      <c r="AC273" s="2" t="s">
        <v>2333</v>
      </c>
      <c r="AD273" s="2" t="s">
        <v>46</v>
      </c>
    </row>
    <row r="274" customFormat="false" ht="15.7" hidden="false" customHeight="true" outlineLevel="0" collapsed="false">
      <c r="A274" s="2"/>
      <c r="B274" s="3" t="n">
        <f aca="false">DATE(2006,8,11)</f>
        <v>0</v>
      </c>
      <c r="C274" s="3" t="n">
        <v>38940</v>
      </c>
      <c r="D274" s="2" t="s">
        <v>2334</v>
      </c>
      <c r="F274" s="2" t="s">
        <v>2335</v>
      </c>
      <c r="G274" s="2" t="s">
        <v>2336</v>
      </c>
      <c r="H274" s="2" t="s">
        <v>2337</v>
      </c>
      <c r="I274" s="2" t="s">
        <v>51</v>
      </c>
      <c r="J274" s="2" t="s">
        <v>2338</v>
      </c>
      <c r="K274" s="2" t="s">
        <v>2339</v>
      </c>
      <c r="L274" s="2" t="s">
        <v>51</v>
      </c>
      <c r="M274" s="2" t="s">
        <v>2340</v>
      </c>
      <c r="N274" s="2" t="s">
        <v>2341</v>
      </c>
      <c r="O274" s="2"/>
      <c r="P274" s="2" t="s">
        <v>37</v>
      </c>
      <c r="Q274" s="4" t="n">
        <v>8731</v>
      </c>
      <c r="R274" s="2" t="s">
        <v>2201</v>
      </c>
      <c r="S274" s="2" t="s">
        <v>39</v>
      </c>
      <c r="T274" s="2" t="s">
        <v>40</v>
      </c>
      <c r="U274" s="2" t="s">
        <v>2342</v>
      </c>
      <c r="V274" s="2"/>
      <c r="W274" s="2" t="s">
        <v>138</v>
      </c>
      <c r="X274" s="2" t="s">
        <v>43</v>
      </c>
      <c r="Y274" s="2" t="s">
        <v>37</v>
      </c>
      <c r="Z274" s="2" t="s">
        <v>44</v>
      </c>
      <c r="AA274" s="2"/>
      <c r="AB274" s="2"/>
      <c r="AC274" s="2" t="s">
        <v>2343</v>
      </c>
      <c r="AD274" s="2" t="s">
        <v>46</v>
      </c>
    </row>
    <row r="275" customFormat="false" ht="15.7" hidden="false" customHeight="true" outlineLevel="0" collapsed="false">
      <c r="A275" s="2"/>
      <c r="B275" s="3" t="n">
        <f aca="false">DATE(2006,8,11)</f>
        <v>0</v>
      </c>
      <c r="C275" s="3" t="n">
        <v>38940</v>
      </c>
      <c r="D275" s="2" t="s">
        <v>2344</v>
      </c>
      <c r="F275" s="2" t="s">
        <v>2345</v>
      </c>
      <c r="G275" s="2" t="s">
        <v>2346</v>
      </c>
      <c r="H275" s="2" t="s">
        <v>2347</v>
      </c>
      <c r="I275" s="2" t="s">
        <v>549</v>
      </c>
      <c r="J275" s="2" t="s">
        <v>331</v>
      </c>
      <c r="K275" s="2" t="s">
        <v>2344</v>
      </c>
      <c r="L275" s="2" t="s">
        <v>549</v>
      </c>
      <c r="M275" s="2" t="s">
        <v>2347</v>
      </c>
      <c r="N275" s="2" t="s">
        <v>2348</v>
      </c>
      <c r="O275" s="2"/>
      <c r="P275" s="2" t="s">
        <v>37</v>
      </c>
      <c r="Q275" s="4" t="n">
        <v>8731</v>
      </c>
      <c r="R275" s="2" t="s">
        <v>136</v>
      </c>
      <c r="S275" s="2" t="s">
        <v>39</v>
      </c>
      <c r="T275" s="2" t="s">
        <v>40</v>
      </c>
      <c r="U275" s="2" t="s">
        <v>2349</v>
      </c>
      <c r="V275" s="2"/>
      <c r="W275" s="2" t="s">
        <v>42</v>
      </c>
      <c r="X275" s="2" t="s">
        <v>43</v>
      </c>
      <c r="Y275" s="2" t="s">
        <v>37</v>
      </c>
      <c r="Z275" s="2" t="s">
        <v>44</v>
      </c>
      <c r="AA275" s="2"/>
      <c r="AB275" s="2"/>
      <c r="AC275" s="2" t="s">
        <v>2350</v>
      </c>
      <c r="AD275" s="2" t="s">
        <v>46</v>
      </c>
    </row>
    <row r="276" customFormat="false" ht="15.7" hidden="false" customHeight="true" outlineLevel="0" collapsed="false">
      <c r="A276" s="2"/>
      <c r="B276" s="3" t="n">
        <f aca="false">DATE(2006,8,16)</f>
        <v>0</v>
      </c>
      <c r="C276" s="3" t="n">
        <v>38945</v>
      </c>
      <c r="D276" s="2" t="s">
        <v>2351</v>
      </c>
      <c r="F276" s="2" t="s">
        <v>2352</v>
      </c>
      <c r="G276" s="2" t="s">
        <v>2353</v>
      </c>
      <c r="H276" s="2" t="s">
        <v>305</v>
      </c>
      <c r="I276" s="2" t="s">
        <v>2354</v>
      </c>
      <c r="J276" s="2" t="s">
        <v>35</v>
      </c>
      <c r="K276" s="2" t="s">
        <v>2351</v>
      </c>
      <c r="L276" s="2" t="s">
        <v>2354</v>
      </c>
      <c r="M276" s="2" t="s">
        <v>305</v>
      </c>
      <c r="N276" s="2" t="s">
        <v>2355</v>
      </c>
      <c r="O276" s="2"/>
      <c r="P276" s="2" t="s">
        <v>37</v>
      </c>
      <c r="Q276" s="4" t="n">
        <v>8731</v>
      </c>
      <c r="R276" s="2" t="s">
        <v>136</v>
      </c>
      <c r="S276" s="2" t="s">
        <v>39</v>
      </c>
      <c r="T276" s="2" t="s">
        <v>40</v>
      </c>
      <c r="U276" s="2" t="s">
        <v>2356</v>
      </c>
      <c r="V276" s="2"/>
      <c r="W276" s="2" t="s">
        <v>42</v>
      </c>
      <c r="X276" s="2" t="s">
        <v>43</v>
      </c>
      <c r="Y276" s="2" t="s">
        <v>37</v>
      </c>
      <c r="Z276" s="2" t="s">
        <v>44</v>
      </c>
      <c r="AA276" s="2"/>
      <c r="AB276" s="2"/>
      <c r="AC276" s="2" t="s">
        <v>2357</v>
      </c>
      <c r="AD276" s="2" t="s">
        <v>46</v>
      </c>
    </row>
    <row r="277" customFormat="false" ht="15.7" hidden="false" customHeight="true" outlineLevel="0" collapsed="false">
      <c r="A277" s="2"/>
      <c r="B277" s="3" t="n">
        <f aca="false">DATE(2006,8,22)</f>
        <v>0</v>
      </c>
      <c r="C277" s="3" t="n">
        <v>38951</v>
      </c>
      <c r="D277" s="2" t="s">
        <v>2358</v>
      </c>
      <c r="F277" s="2" t="s">
        <v>2359</v>
      </c>
      <c r="G277" s="2" t="s">
        <v>2360</v>
      </c>
      <c r="H277" s="2" t="s">
        <v>2361</v>
      </c>
      <c r="I277" s="2" t="s">
        <v>51</v>
      </c>
      <c r="J277" s="2" t="s">
        <v>1496</v>
      </c>
      <c r="K277" s="2" t="s">
        <v>2362</v>
      </c>
      <c r="L277" s="2" t="s">
        <v>2363</v>
      </c>
      <c r="M277" s="2" t="s">
        <v>2364</v>
      </c>
      <c r="N277" s="2" t="s">
        <v>2365</v>
      </c>
      <c r="O277" s="2"/>
      <c r="P277" s="2" t="s">
        <v>79</v>
      </c>
      <c r="Q277" s="4" t="n">
        <v>8731</v>
      </c>
      <c r="R277" s="2" t="s">
        <v>56</v>
      </c>
      <c r="S277" s="2" t="s">
        <v>1484</v>
      </c>
      <c r="T277" s="2" t="s">
        <v>40</v>
      </c>
      <c r="U277" s="2" t="s">
        <v>2366</v>
      </c>
      <c r="V277" s="2"/>
      <c r="W277" s="2" t="s">
        <v>2367</v>
      </c>
      <c r="X277" s="2" t="s">
        <v>43</v>
      </c>
      <c r="Y277" s="2" t="s">
        <v>37</v>
      </c>
      <c r="Z277" s="2" t="s">
        <v>44</v>
      </c>
      <c r="AA277" s="2"/>
      <c r="AB277" s="2"/>
      <c r="AC277" s="2" t="s">
        <v>2368</v>
      </c>
      <c r="AD277" s="2" t="s">
        <v>46</v>
      </c>
    </row>
    <row r="278" customFormat="false" ht="15.7" hidden="false" customHeight="true" outlineLevel="0" collapsed="false">
      <c r="A278" s="2"/>
      <c r="B278" s="3" t="n">
        <f aca="false">DATE(2006,8,22)</f>
        <v>0</v>
      </c>
      <c r="C278" s="3" t="n">
        <v>38951</v>
      </c>
      <c r="D278" s="2" t="s">
        <v>2369</v>
      </c>
      <c r="F278" s="2" t="s">
        <v>722</v>
      </c>
      <c r="G278" s="2" t="s">
        <v>2370</v>
      </c>
      <c r="H278" s="2" t="s">
        <v>170</v>
      </c>
      <c r="I278" s="2" t="s">
        <v>100</v>
      </c>
      <c r="J278" s="2" t="s">
        <v>514</v>
      </c>
      <c r="K278" s="2" t="s">
        <v>2369</v>
      </c>
      <c r="L278" s="2" t="s">
        <v>100</v>
      </c>
      <c r="M278" s="2" t="s">
        <v>170</v>
      </c>
      <c r="N278" s="2" t="s">
        <v>2371</v>
      </c>
      <c r="O278" s="2"/>
      <c r="P278" s="2" t="s">
        <v>37</v>
      </c>
      <c r="Q278" s="4" t="n">
        <v>8731</v>
      </c>
      <c r="R278" s="2" t="s">
        <v>136</v>
      </c>
      <c r="S278" s="2" t="s">
        <v>39</v>
      </c>
      <c r="T278" s="2" t="s">
        <v>40</v>
      </c>
      <c r="U278" s="2" t="s">
        <v>2372</v>
      </c>
      <c r="V278" s="2"/>
      <c r="W278" s="2" t="s">
        <v>42</v>
      </c>
      <c r="X278" s="2" t="s">
        <v>43</v>
      </c>
      <c r="Y278" s="2" t="s">
        <v>37</v>
      </c>
      <c r="Z278" s="2" t="s">
        <v>44</v>
      </c>
      <c r="AA278" s="2"/>
      <c r="AB278" s="2"/>
      <c r="AC278" s="2" t="s">
        <v>2373</v>
      </c>
      <c r="AD278" s="2" t="s">
        <v>46</v>
      </c>
    </row>
    <row r="279" customFormat="false" ht="15.7" hidden="false" customHeight="true" outlineLevel="0" collapsed="false">
      <c r="A279" s="2"/>
      <c r="B279" s="3" t="n">
        <f aca="false">DATE(2006,8,22)</f>
        <v>0</v>
      </c>
      <c r="C279" s="3" t="n">
        <v>38951</v>
      </c>
      <c r="D279" s="2" t="s">
        <v>2374</v>
      </c>
      <c r="F279" s="2" t="s">
        <v>2375</v>
      </c>
      <c r="G279" s="2" t="s">
        <v>2376</v>
      </c>
      <c r="H279" s="2" t="s">
        <v>2377</v>
      </c>
      <c r="I279" s="2" t="s">
        <v>51</v>
      </c>
      <c r="J279" s="2" t="s">
        <v>2378</v>
      </c>
      <c r="K279" s="2" t="s">
        <v>2374</v>
      </c>
      <c r="L279" s="2" t="s">
        <v>51</v>
      </c>
      <c r="M279" s="2" t="s">
        <v>2377</v>
      </c>
      <c r="N279" s="2" t="s">
        <v>2379</v>
      </c>
      <c r="O279" s="2"/>
      <c r="P279" s="2" t="s">
        <v>37</v>
      </c>
      <c r="Q279" s="4" t="n">
        <v>8731</v>
      </c>
      <c r="R279" s="2" t="s">
        <v>56</v>
      </c>
      <c r="S279" s="2" t="s">
        <v>931</v>
      </c>
      <c r="T279" s="2" t="s">
        <v>40</v>
      </c>
      <c r="U279" s="2" t="s">
        <v>2380</v>
      </c>
      <c r="V279" s="2"/>
      <c r="W279" s="2" t="s">
        <v>138</v>
      </c>
      <c r="X279" s="2" t="s">
        <v>43</v>
      </c>
      <c r="Y279" s="2" t="s">
        <v>37</v>
      </c>
      <c r="Z279" s="2" t="s">
        <v>44</v>
      </c>
      <c r="AA279" s="2"/>
      <c r="AB279" s="2"/>
      <c r="AC279" s="2" t="s">
        <v>2381</v>
      </c>
      <c r="AD279" s="2" t="s">
        <v>46</v>
      </c>
    </row>
    <row r="280" customFormat="false" ht="15.7" hidden="false" customHeight="true" outlineLevel="0" collapsed="false">
      <c r="A280" s="2"/>
      <c r="B280" s="3" t="n">
        <f aca="false">DATE(2006,8,22)</f>
        <v>0</v>
      </c>
      <c r="C280" s="3" t="n">
        <v>38951</v>
      </c>
      <c r="D280" s="2" t="s">
        <v>2382</v>
      </c>
      <c r="F280" s="2" t="s">
        <v>2383</v>
      </c>
      <c r="G280" s="2" t="s">
        <v>2384</v>
      </c>
      <c r="H280" s="2" t="s">
        <v>2385</v>
      </c>
      <c r="I280" s="2" t="s">
        <v>51</v>
      </c>
      <c r="J280" s="2" t="s">
        <v>2386</v>
      </c>
      <c r="K280" s="2" t="s">
        <v>2382</v>
      </c>
      <c r="L280" s="2" t="s">
        <v>51</v>
      </c>
      <c r="M280" s="2" t="s">
        <v>2385</v>
      </c>
      <c r="N280" s="2" t="s">
        <v>2387</v>
      </c>
      <c r="O280" s="2"/>
      <c r="P280" s="2" t="s">
        <v>37</v>
      </c>
      <c r="Q280" s="4" t="n">
        <v>8731</v>
      </c>
      <c r="R280" s="2" t="s">
        <v>56</v>
      </c>
      <c r="S280" s="2" t="s">
        <v>80</v>
      </c>
      <c r="T280" s="2" t="s">
        <v>40</v>
      </c>
      <c r="U280" s="2" t="s">
        <v>2388</v>
      </c>
      <c r="V280" s="2"/>
      <c r="W280" s="2" t="s">
        <v>42</v>
      </c>
      <c r="X280" s="2" t="s">
        <v>43</v>
      </c>
      <c r="Y280" s="2" t="s">
        <v>37</v>
      </c>
      <c r="Z280" s="2" t="s">
        <v>44</v>
      </c>
      <c r="AA280" s="2"/>
      <c r="AB280" s="2"/>
      <c r="AC280" s="2" t="s">
        <v>2389</v>
      </c>
      <c r="AD280" s="2" t="s">
        <v>46</v>
      </c>
    </row>
    <row r="281" customFormat="false" ht="15.7" hidden="false" customHeight="true" outlineLevel="0" collapsed="false">
      <c r="A281" s="2"/>
      <c r="B281" s="3" t="n">
        <f aca="false">DATE(2006,8,23)</f>
        <v>0</v>
      </c>
      <c r="C281" s="3" t="n">
        <v>38952</v>
      </c>
      <c r="D281" s="2" t="s">
        <v>2339</v>
      </c>
      <c r="F281" s="2" t="s">
        <v>2390</v>
      </c>
      <c r="G281" s="2" t="s">
        <v>2391</v>
      </c>
      <c r="H281" s="2" t="s">
        <v>2340</v>
      </c>
      <c r="I281" s="2" t="s">
        <v>51</v>
      </c>
      <c r="J281" s="2" t="s">
        <v>2338</v>
      </c>
      <c r="K281" s="2" t="s">
        <v>2339</v>
      </c>
      <c r="L281" s="2" t="s">
        <v>51</v>
      </c>
      <c r="M281" s="2" t="s">
        <v>2340</v>
      </c>
      <c r="N281" s="2" t="s">
        <v>2392</v>
      </c>
      <c r="O281" s="2"/>
      <c r="P281" s="2" t="s">
        <v>37</v>
      </c>
      <c r="Q281" s="4" t="n">
        <v>8731</v>
      </c>
      <c r="R281" s="2" t="s">
        <v>56</v>
      </c>
      <c r="S281" s="2" t="s">
        <v>1045</v>
      </c>
      <c r="T281" s="2" t="s">
        <v>40</v>
      </c>
      <c r="U281" s="2" t="s">
        <v>2393</v>
      </c>
      <c r="V281" s="2"/>
      <c r="W281" s="2" t="s">
        <v>42</v>
      </c>
      <c r="X281" s="2" t="s">
        <v>43</v>
      </c>
      <c r="Y281" s="2" t="s">
        <v>37</v>
      </c>
      <c r="Z281" s="2" t="s">
        <v>44</v>
      </c>
      <c r="AA281" s="2"/>
      <c r="AB281" s="2"/>
      <c r="AC281" s="2" t="s">
        <v>2394</v>
      </c>
      <c r="AD281" s="2" t="s">
        <v>46</v>
      </c>
    </row>
    <row r="282" customFormat="false" ht="15.7" hidden="false" customHeight="true" outlineLevel="0" collapsed="false">
      <c r="A282" s="2"/>
      <c r="B282" s="3" t="n">
        <f aca="false">DATE(2006,8,23)</f>
        <v>0</v>
      </c>
      <c r="C282" s="3" t="n">
        <v>38952</v>
      </c>
      <c r="D282" s="2" t="s">
        <v>2395</v>
      </c>
      <c r="F282" s="2" t="s">
        <v>2396</v>
      </c>
      <c r="G282" s="2" t="s">
        <v>2397</v>
      </c>
      <c r="H282" s="2" t="s">
        <v>2398</v>
      </c>
      <c r="I282" s="2" t="s">
        <v>100</v>
      </c>
      <c r="J282" s="2" t="s">
        <v>65</v>
      </c>
      <c r="K282" s="2" t="s">
        <v>2399</v>
      </c>
      <c r="L282" s="2" t="s">
        <v>100</v>
      </c>
      <c r="M282" s="2" t="s">
        <v>2400</v>
      </c>
      <c r="N282" s="2" t="s">
        <v>2401</v>
      </c>
      <c r="O282" s="2"/>
      <c r="P282" s="2" t="s">
        <v>37</v>
      </c>
      <c r="Q282" s="4" t="n">
        <v>8731</v>
      </c>
      <c r="R282" s="2" t="s">
        <v>136</v>
      </c>
      <c r="S282" s="2" t="s">
        <v>39</v>
      </c>
      <c r="T282" s="2" t="s">
        <v>40</v>
      </c>
      <c r="U282" s="2" t="s">
        <v>2402</v>
      </c>
      <c r="V282" s="2"/>
      <c r="W282" s="2" t="s">
        <v>42</v>
      </c>
      <c r="X282" s="2" t="s">
        <v>43</v>
      </c>
      <c r="Y282" s="2" t="s">
        <v>37</v>
      </c>
      <c r="Z282" s="2" t="s">
        <v>44</v>
      </c>
      <c r="AA282" s="2"/>
      <c r="AB282" s="2"/>
      <c r="AC282" s="2" t="s">
        <v>2403</v>
      </c>
      <c r="AD282" s="2" t="s">
        <v>46</v>
      </c>
    </row>
    <row r="283" customFormat="false" ht="15.7" hidden="false" customHeight="true" outlineLevel="0" collapsed="false">
      <c r="A283" s="2"/>
      <c r="B283" s="3" t="n">
        <f aca="false">DATE(2006,8,24)</f>
        <v>0</v>
      </c>
      <c r="C283" s="3" t="n">
        <v>38953</v>
      </c>
      <c r="D283" s="2" t="s">
        <v>2404</v>
      </c>
      <c r="F283" s="2" t="s">
        <v>347</v>
      </c>
      <c r="G283" s="2" t="s">
        <v>2405</v>
      </c>
      <c r="H283" s="2" t="s">
        <v>63</v>
      </c>
      <c r="I283" s="2" t="s">
        <v>388</v>
      </c>
      <c r="J283" s="2" t="s">
        <v>65</v>
      </c>
      <c r="K283" s="2" t="s">
        <v>2404</v>
      </c>
      <c r="L283" s="2" t="s">
        <v>388</v>
      </c>
      <c r="M283" s="2" t="s">
        <v>63</v>
      </c>
      <c r="N283" s="2" t="s">
        <v>2406</v>
      </c>
      <c r="O283" s="2"/>
      <c r="P283" s="2" t="s">
        <v>37</v>
      </c>
      <c r="Q283" s="4" t="n">
        <v>8731</v>
      </c>
      <c r="R283" s="2" t="s">
        <v>136</v>
      </c>
      <c r="S283" s="2" t="s">
        <v>39</v>
      </c>
      <c r="T283" s="2" t="s">
        <v>40</v>
      </c>
      <c r="U283" s="2" t="s">
        <v>2407</v>
      </c>
      <c r="V283" s="2"/>
      <c r="W283" s="2" t="s">
        <v>42</v>
      </c>
      <c r="X283" s="2" t="s">
        <v>43</v>
      </c>
      <c r="Y283" s="2" t="s">
        <v>37</v>
      </c>
      <c r="Z283" s="2" t="s">
        <v>44</v>
      </c>
      <c r="AA283" s="2"/>
      <c r="AB283" s="2"/>
      <c r="AC283" s="2" t="s">
        <v>2408</v>
      </c>
      <c r="AD283" s="2" t="s">
        <v>46</v>
      </c>
    </row>
    <row r="284" customFormat="false" ht="15.7" hidden="false" customHeight="true" outlineLevel="0" collapsed="false">
      <c r="A284" s="2"/>
      <c r="B284" s="3" t="n">
        <f aca="false">DATE(2006,8,28)</f>
        <v>0</v>
      </c>
      <c r="C284" s="3" t="n">
        <v>38957</v>
      </c>
      <c r="D284" s="2" t="s">
        <v>2409</v>
      </c>
      <c r="F284" s="2" t="s">
        <v>2410</v>
      </c>
      <c r="G284" s="2" t="s">
        <v>2411</v>
      </c>
      <c r="H284" s="2" t="s">
        <v>63</v>
      </c>
      <c r="I284" s="2" t="s">
        <v>51</v>
      </c>
      <c r="J284" s="2" t="s">
        <v>2412</v>
      </c>
      <c r="K284" s="2" t="s">
        <v>2409</v>
      </c>
      <c r="L284" s="2" t="s">
        <v>51</v>
      </c>
      <c r="M284" s="2" t="s">
        <v>63</v>
      </c>
      <c r="N284" s="2" t="s">
        <v>2413</v>
      </c>
      <c r="O284" s="2"/>
      <c r="P284" s="2" t="s">
        <v>37</v>
      </c>
      <c r="Q284" s="4" t="n">
        <v>8731</v>
      </c>
      <c r="R284" s="2" t="s">
        <v>56</v>
      </c>
      <c r="S284" s="2" t="s">
        <v>977</v>
      </c>
      <c r="T284" s="2" t="s">
        <v>40</v>
      </c>
      <c r="U284" s="2" t="s">
        <v>2414</v>
      </c>
      <c r="V284" s="2"/>
      <c r="W284" s="2" t="s">
        <v>2209</v>
      </c>
      <c r="X284" s="2" t="s">
        <v>43</v>
      </c>
      <c r="Y284" s="2" t="s">
        <v>37</v>
      </c>
      <c r="Z284" s="2" t="s">
        <v>44</v>
      </c>
      <c r="AA284" s="2" t="s">
        <v>2415</v>
      </c>
      <c r="AB284" s="2"/>
      <c r="AC284" s="2" t="s">
        <v>2416</v>
      </c>
      <c r="AD284" s="2" t="s">
        <v>46</v>
      </c>
    </row>
    <row r="285" customFormat="false" ht="15.7" hidden="false" customHeight="true" outlineLevel="0" collapsed="false">
      <c r="A285" s="2"/>
      <c r="B285" s="3" t="n">
        <f aca="false">DATE(2006,8,28)</f>
        <v>0</v>
      </c>
      <c r="C285" s="3" t="n">
        <v>38957</v>
      </c>
      <c r="D285" s="2" t="s">
        <v>2417</v>
      </c>
      <c r="F285" s="2" t="s">
        <v>2418</v>
      </c>
      <c r="G285" s="2" t="s">
        <v>2419</v>
      </c>
      <c r="H285" s="2" t="s">
        <v>2420</v>
      </c>
      <c r="I285" s="2" t="s">
        <v>821</v>
      </c>
      <c r="J285" s="2" t="s">
        <v>2421</v>
      </c>
      <c r="K285" s="2" t="s">
        <v>2422</v>
      </c>
      <c r="L285" s="2" t="s">
        <v>821</v>
      </c>
      <c r="M285" s="2" t="s">
        <v>2423</v>
      </c>
      <c r="N285" s="2" t="s">
        <v>2424</v>
      </c>
      <c r="O285" s="2"/>
      <c r="P285" s="2" t="s">
        <v>37</v>
      </c>
      <c r="Q285" s="4" t="n">
        <v>8731</v>
      </c>
      <c r="R285" s="2" t="s">
        <v>136</v>
      </c>
      <c r="S285" s="2" t="s">
        <v>39</v>
      </c>
      <c r="T285" s="2" t="s">
        <v>40</v>
      </c>
      <c r="U285" s="2" t="s">
        <v>2425</v>
      </c>
      <c r="V285" s="2"/>
      <c r="W285" s="2" t="s">
        <v>42</v>
      </c>
      <c r="X285" s="2" t="s">
        <v>43</v>
      </c>
      <c r="Y285" s="2" t="s">
        <v>37</v>
      </c>
      <c r="Z285" s="2" t="s">
        <v>44</v>
      </c>
      <c r="AA285" s="2"/>
      <c r="AB285" s="2"/>
      <c r="AC285" s="2" t="s">
        <v>2426</v>
      </c>
      <c r="AD285" s="2" t="s">
        <v>46</v>
      </c>
    </row>
    <row r="286" customFormat="false" ht="15.7" hidden="false" customHeight="true" outlineLevel="0" collapsed="false">
      <c r="A286" s="2"/>
      <c r="B286" s="3" t="n">
        <f aca="false">DATE(2006,8,30)</f>
        <v>0</v>
      </c>
      <c r="C286" s="3" t="n">
        <v>38959</v>
      </c>
      <c r="D286" s="2" t="s">
        <v>2427</v>
      </c>
      <c r="F286" s="2" t="s">
        <v>2428</v>
      </c>
      <c r="G286" s="2" t="s">
        <v>2429</v>
      </c>
      <c r="H286" s="2" t="s">
        <v>762</v>
      </c>
      <c r="I286" s="2" t="s">
        <v>51</v>
      </c>
      <c r="J286" s="2" t="s">
        <v>2430</v>
      </c>
      <c r="K286" s="2" t="s">
        <v>2431</v>
      </c>
      <c r="L286" s="2" t="s">
        <v>51</v>
      </c>
      <c r="M286" s="2" t="s">
        <v>1411</v>
      </c>
      <c r="N286" s="2" t="s">
        <v>2432</v>
      </c>
      <c r="O286" s="2"/>
      <c r="P286" s="2" t="s">
        <v>37</v>
      </c>
      <c r="Q286" s="4" t="n">
        <v>8731</v>
      </c>
      <c r="R286" s="2" t="s">
        <v>56</v>
      </c>
      <c r="S286" s="2" t="s">
        <v>977</v>
      </c>
      <c r="T286" s="2" t="s">
        <v>403</v>
      </c>
      <c r="U286" s="2" t="s">
        <v>2433</v>
      </c>
      <c r="V286" s="2"/>
      <c r="W286" s="2" t="s">
        <v>697</v>
      </c>
      <c r="X286" s="2" t="s">
        <v>43</v>
      </c>
      <c r="Y286" s="2" t="s">
        <v>37</v>
      </c>
      <c r="Z286" s="2" t="s">
        <v>44</v>
      </c>
      <c r="AA286" s="2"/>
      <c r="AB286" s="2"/>
      <c r="AC286" s="2" t="s">
        <v>2434</v>
      </c>
      <c r="AD286" s="2" t="s">
        <v>46</v>
      </c>
    </row>
    <row r="287" customFormat="false" ht="15.7" hidden="false" customHeight="true" outlineLevel="0" collapsed="false">
      <c r="A287" s="2"/>
      <c r="B287" s="3" t="n">
        <f aca="false">DATE(2006,8,31)</f>
        <v>0</v>
      </c>
      <c r="C287" s="3" t="n">
        <v>38960</v>
      </c>
      <c r="D287" s="2" t="s">
        <v>2435</v>
      </c>
      <c r="F287" s="2" t="s">
        <v>2436</v>
      </c>
      <c r="G287" s="2" t="s">
        <v>2437</v>
      </c>
      <c r="H287" s="2" t="s">
        <v>2438</v>
      </c>
      <c r="I287" s="2" t="s">
        <v>2439</v>
      </c>
      <c r="J287" s="2" t="s">
        <v>2440</v>
      </c>
      <c r="K287" s="2" t="s">
        <v>2441</v>
      </c>
      <c r="L287" s="2" t="s">
        <v>2439</v>
      </c>
      <c r="M287" s="2" t="s">
        <v>2442</v>
      </c>
      <c r="N287" s="2" t="s">
        <v>2443</v>
      </c>
      <c r="O287" s="2"/>
      <c r="P287" s="2" t="s">
        <v>37</v>
      </c>
      <c r="Q287" s="4" t="n">
        <v>8731</v>
      </c>
      <c r="R287" s="2" t="s">
        <v>136</v>
      </c>
      <c r="S287" s="2" t="s">
        <v>39</v>
      </c>
      <c r="T287" s="2" t="s">
        <v>2444</v>
      </c>
      <c r="U287" s="2" t="s">
        <v>2445</v>
      </c>
      <c r="V287" s="2"/>
      <c r="W287" s="2" t="s">
        <v>42</v>
      </c>
      <c r="X287" s="2" t="s">
        <v>43</v>
      </c>
      <c r="Y287" s="2" t="s">
        <v>37</v>
      </c>
      <c r="Z287" s="2" t="s">
        <v>916</v>
      </c>
      <c r="AA287" s="2"/>
      <c r="AB287" s="2"/>
      <c r="AC287" s="2" t="s">
        <v>2446</v>
      </c>
      <c r="AD287" s="2" t="s">
        <v>46</v>
      </c>
    </row>
    <row r="288" customFormat="false" ht="15.7" hidden="false" customHeight="true" outlineLevel="0" collapsed="false">
      <c r="A288" s="2"/>
      <c r="B288" s="3" t="n">
        <f aca="false">DATE(2006,9,4)</f>
        <v>0</v>
      </c>
      <c r="C288" s="3" t="n">
        <v>38964</v>
      </c>
      <c r="D288" s="2" t="s">
        <v>2447</v>
      </c>
      <c r="F288" s="2" t="s">
        <v>2448</v>
      </c>
      <c r="G288" s="2" t="s">
        <v>2449</v>
      </c>
      <c r="H288" s="2" t="s">
        <v>63</v>
      </c>
      <c r="I288" s="2" t="s">
        <v>330</v>
      </c>
      <c r="J288" s="2" t="s">
        <v>132</v>
      </c>
      <c r="K288" s="2" t="s">
        <v>2447</v>
      </c>
      <c r="L288" s="2" t="s">
        <v>330</v>
      </c>
      <c r="M288" s="2" t="s">
        <v>63</v>
      </c>
      <c r="N288" s="2" t="s">
        <v>2450</v>
      </c>
      <c r="O288" s="2"/>
      <c r="P288" s="2" t="s">
        <v>37</v>
      </c>
      <c r="Q288" s="4" t="n">
        <v>8731</v>
      </c>
      <c r="R288" s="2" t="s">
        <v>136</v>
      </c>
      <c r="S288" s="2" t="s">
        <v>39</v>
      </c>
      <c r="T288" s="2" t="s">
        <v>40</v>
      </c>
      <c r="U288" s="2" t="s">
        <v>2451</v>
      </c>
      <c r="V288" s="2"/>
      <c r="W288" s="2" t="s">
        <v>42</v>
      </c>
      <c r="X288" s="2" t="s">
        <v>43</v>
      </c>
      <c r="Y288" s="2" t="s">
        <v>37</v>
      </c>
      <c r="Z288" s="2" t="s">
        <v>44</v>
      </c>
      <c r="AA288" s="2"/>
      <c r="AB288" s="2"/>
      <c r="AC288" s="2" t="s">
        <v>2452</v>
      </c>
      <c r="AD288" s="2" t="s">
        <v>46</v>
      </c>
    </row>
    <row r="289" customFormat="false" ht="15.7" hidden="false" customHeight="true" outlineLevel="0" collapsed="false">
      <c r="A289" s="2"/>
      <c r="B289" s="3" t="n">
        <f aca="false">DATE(2006,9,4)</f>
        <v>0</v>
      </c>
      <c r="C289" s="3" t="n">
        <v>38964</v>
      </c>
      <c r="D289" s="2" t="s">
        <v>2453</v>
      </c>
      <c r="F289" s="2" t="s">
        <v>2454</v>
      </c>
      <c r="G289" s="2" t="s">
        <v>2455</v>
      </c>
      <c r="H289" s="2" t="s">
        <v>2456</v>
      </c>
      <c r="I289" s="2" t="s">
        <v>2457</v>
      </c>
      <c r="J289" s="2" t="s">
        <v>35</v>
      </c>
      <c r="K289" s="2" t="s">
        <v>2453</v>
      </c>
      <c r="L289" s="2" t="s">
        <v>2457</v>
      </c>
      <c r="M289" s="2" t="s">
        <v>2456</v>
      </c>
      <c r="N289" s="2" t="s">
        <v>2458</v>
      </c>
      <c r="O289" s="2"/>
      <c r="P289" s="2" t="s">
        <v>37</v>
      </c>
      <c r="Q289" s="4" t="n">
        <v>3639</v>
      </c>
      <c r="R289" s="2" t="s">
        <v>136</v>
      </c>
      <c r="S289" s="2" t="s">
        <v>39</v>
      </c>
      <c r="T289" s="2" t="s">
        <v>40</v>
      </c>
      <c r="U289" s="2" t="s">
        <v>2459</v>
      </c>
      <c r="V289" s="2"/>
      <c r="W289" s="2" t="s">
        <v>2460</v>
      </c>
      <c r="X289" s="2" t="s">
        <v>43</v>
      </c>
      <c r="Y289" s="2" t="s">
        <v>37</v>
      </c>
      <c r="Z289" s="2" t="s">
        <v>44</v>
      </c>
      <c r="AA289" s="2"/>
      <c r="AB289" s="2"/>
      <c r="AC289" s="2" t="s">
        <v>2461</v>
      </c>
      <c r="AD289" s="2" t="s">
        <v>46</v>
      </c>
    </row>
    <row r="290" customFormat="false" ht="15.7" hidden="false" customHeight="true" outlineLevel="0" collapsed="false">
      <c r="A290" s="2"/>
      <c r="B290" s="3" t="n">
        <f aca="false">DATE(2006,9,5)</f>
        <v>0</v>
      </c>
      <c r="C290" s="3" t="n">
        <v>38965</v>
      </c>
      <c r="D290" s="2" t="s">
        <v>2462</v>
      </c>
      <c r="F290" s="2" t="s">
        <v>2463</v>
      </c>
      <c r="G290" s="2" t="s">
        <v>2464</v>
      </c>
      <c r="H290" s="2" t="s">
        <v>2465</v>
      </c>
      <c r="I290" s="2" t="s">
        <v>2466</v>
      </c>
      <c r="J290" s="2" t="s">
        <v>331</v>
      </c>
      <c r="K290" s="2" t="s">
        <v>2462</v>
      </c>
      <c r="L290" s="2" t="s">
        <v>2466</v>
      </c>
      <c r="M290" s="2" t="s">
        <v>2465</v>
      </c>
      <c r="N290" s="2" t="s">
        <v>2467</v>
      </c>
      <c r="O290" s="2"/>
      <c r="P290" s="2" t="s">
        <v>79</v>
      </c>
      <c r="Q290" s="4" t="n">
        <v>6794</v>
      </c>
      <c r="R290" s="2" t="s">
        <v>136</v>
      </c>
      <c r="S290" s="2" t="s">
        <v>39</v>
      </c>
      <c r="T290" s="2" t="s">
        <v>403</v>
      </c>
      <c r="U290" s="2" t="s">
        <v>2468</v>
      </c>
      <c r="V290" s="2"/>
      <c r="W290" s="2" t="s">
        <v>94</v>
      </c>
      <c r="X290" s="2" t="s">
        <v>43</v>
      </c>
      <c r="Y290" s="2" t="s">
        <v>37</v>
      </c>
      <c r="Z290" s="2" t="s">
        <v>44</v>
      </c>
      <c r="AA290" s="2"/>
      <c r="AB290" s="2"/>
      <c r="AC290" s="2" t="s">
        <v>2469</v>
      </c>
      <c r="AD290" s="2" t="s">
        <v>46</v>
      </c>
    </row>
    <row r="291" customFormat="false" ht="15.7" hidden="false" customHeight="true" outlineLevel="0" collapsed="false">
      <c r="A291" s="2"/>
      <c r="B291" s="3" t="n">
        <f aca="false">DATE(2006,9,6)</f>
        <v>0</v>
      </c>
      <c r="C291" s="3" t="n">
        <v>38966</v>
      </c>
      <c r="D291" s="2" t="s">
        <v>2470</v>
      </c>
      <c r="F291" s="2" t="s">
        <v>2471</v>
      </c>
      <c r="G291" s="2" t="s">
        <v>2472</v>
      </c>
      <c r="H291" s="2" t="s">
        <v>130</v>
      </c>
      <c r="I291" s="2" t="s">
        <v>1080</v>
      </c>
      <c r="J291" s="2" t="s">
        <v>35</v>
      </c>
      <c r="K291" s="2" t="s">
        <v>2470</v>
      </c>
      <c r="L291" s="2" t="s">
        <v>1080</v>
      </c>
      <c r="M291" s="2" t="s">
        <v>130</v>
      </c>
      <c r="N291" s="2" t="s">
        <v>2473</v>
      </c>
      <c r="O291" s="2"/>
      <c r="P291" s="2" t="s">
        <v>37</v>
      </c>
      <c r="Q291" s="4" t="n">
        <v>8731</v>
      </c>
      <c r="R291" s="2" t="s">
        <v>136</v>
      </c>
      <c r="S291" s="2" t="s">
        <v>39</v>
      </c>
      <c r="T291" s="2" t="s">
        <v>40</v>
      </c>
      <c r="U291" s="2" t="s">
        <v>2474</v>
      </c>
      <c r="V291" s="2"/>
      <c r="W291" s="2" t="s">
        <v>2475</v>
      </c>
      <c r="X291" s="2" t="s">
        <v>43</v>
      </c>
      <c r="Y291" s="2" t="s">
        <v>37</v>
      </c>
      <c r="Z291" s="2" t="s">
        <v>44</v>
      </c>
      <c r="AA291" s="2"/>
      <c r="AB291" s="2"/>
      <c r="AC291" s="2" t="s">
        <v>2476</v>
      </c>
      <c r="AD291" s="2" t="s">
        <v>46</v>
      </c>
    </row>
    <row r="292" customFormat="false" ht="15.7" hidden="false" customHeight="true" outlineLevel="0" collapsed="false">
      <c r="A292" s="2"/>
      <c r="B292" s="3" t="n">
        <f aca="false">DATE(2006,9,6)</f>
        <v>0</v>
      </c>
      <c r="C292" s="3" t="n">
        <v>38966</v>
      </c>
      <c r="D292" s="2" t="s">
        <v>2477</v>
      </c>
      <c r="F292" s="2" t="s">
        <v>2478</v>
      </c>
      <c r="G292" s="2" t="s">
        <v>2479</v>
      </c>
      <c r="H292" s="2" t="s">
        <v>2480</v>
      </c>
      <c r="I292" s="2" t="s">
        <v>64</v>
      </c>
      <c r="J292" s="2" t="s">
        <v>65</v>
      </c>
      <c r="K292" s="2" t="s">
        <v>2477</v>
      </c>
      <c r="L292" s="2" t="s">
        <v>64</v>
      </c>
      <c r="M292" s="2" t="s">
        <v>2480</v>
      </c>
      <c r="N292" s="2" t="s">
        <v>2481</v>
      </c>
      <c r="O292" s="2" t="s">
        <v>2482</v>
      </c>
      <c r="P292" s="2" t="s">
        <v>37</v>
      </c>
      <c r="Q292" s="4" t="n">
        <v>3674</v>
      </c>
      <c r="R292" s="2" t="s">
        <v>70</v>
      </c>
      <c r="S292" s="2" t="s">
        <v>39</v>
      </c>
      <c r="T292" s="2" t="s">
        <v>40</v>
      </c>
      <c r="U292" s="2" t="s">
        <v>2483</v>
      </c>
      <c r="V292" s="2"/>
      <c r="W292" s="2" t="s">
        <v>755</v>
      </c>
      <c r="X292" s="2" t="s">
        <v>46</v>
      </c>
      <c r="Y292" s="2" t="s">
        <v>37</v>
      </c>
      <c r="Z292" s="2" t="s">
        <v>362</v>
      </c>
      <c r="AA292" s="2" t="s">
        <v>2484</v>
      </c>
      <c r="AB292" s="2" t="s">
        <v>2485</v>
      </c>
      <c r="AC292" s="2" t="s">
        <v>2486</v>
      </c>
      <c r="AD292" s="2" t="s">
        <v>46</v>
      </c>
    </row>
    <row r="293" customFormat="false" ht="15.7" hidden="false" customHeight="true" outlineLevel="0" collapsed="false">
      <c r="A293" s="2"/>
      <c r="B293" s="3" t="n">
        <f aca="false">DATE(2006,9,7)</f>
        <v>0</v>
      </c>
      <c r="C293" s="3" t="n">
        <v>38967</v>
      </c>
      <c r="D293" s="2" t="s">
        <v>2487</v>
      </c>
      <c r="F293" s="2" t="s">
        <v>2488</v>
      </c>
      <c r="G293" s="2" t="s">
        <v>2489</v>
      </c>
      <c r="H293" s="2" t="s">
        <v>387</v>
      </c>
      <c r="I293" s="2" t="s">
        <v>51</v>
      </c>
      <c r="J293" s="2" t="s">
        <v>2490</v>
      </c>
      <c r="K293" s="2" t="s">
        <v>2487</v>
      </c>
      <c r="L293" s="2" t="s">
        <v>51</v>
      </c>
      <c r="M293" s="2" t="s">
        <v>387</v>
      </c>
      <c r="N293" s="2" t="s">
        <v>2491</v>
      </c>
      <c r="O293" s="2"/>
      <c r="P293" s="2" t="s">
        <v>37</v>
      </c>
      <c r="Q293" s="4" t="n">
        <v>8731</v>
      </c>
      <c r="R293" s="2" t="s">
        <v>56</v>
      </c>
      <c r="S293" s="2" t="s">
        <v>977</v>
      </c>
      <c r="T293" s="2" t="s">
        <v>40</v>
      </c>
      <c r="U293" s="2" t="s">
        <v>2492</v>
      </c>
      <c r="V293" s="2"/>
      <c r="W293" s="2" t="s">
        <v>42</v>
      </c>
      <c r="X293" s="2" t="s">
        <v>43</v>
      </c>
      <c r="Y293" s="2" t="s">
        <v>37</v>
      </c>
      <c r="Z293" s="2" t="s">
        <v>44</v>
      </c>
      <c r="AA293" s="2"/>
      <c r="AB293" s="2"/>
      <c r="AC293" s="2" t="s">
        <v>2493</v>
      </c>
      <c r="AD293" s="2" t="s">
        <v>46</v>
      </c>
    </row>
    <row r="294" customFormat="false" ht="15.7" hidden="false" customHeight="true" outlineLevel="0" collapsed="false">
      <c r="A294" s="2"/>
      <c r="B294" s="3" t="n">
        <f aca="false">DATE(2006,9,11)</f>
        <v>0</v>
      </c>
      <c r="C294" s="3" t="n">
        <v>38971</v>
      </c>
      <c r="D294" s="2" t="s">
        <v>2494</v>
      </c>
      <c r="F294" s="2" t="s">
        <v>2495</v>
      </c>
      <c r="G294" s="2" t="s">
        <v>2496</v>
      </c>
      <c r="H294" s="2" t="s">
        <v>2497</v>
      </c>
      <c r="I294" s="2" t="s">
        <v>219</v>
      </c>
      <c r="J294" s="2" t="s">
        <v>625</v>
      </c>
      <c r="K294" s="2" t="s">
        <v>2494</v>
      </c>
      <c r="L294" s="2" t="s">
        <v>219</v>
      </c>
      <c r="M294" s="2" t="s">
        <v>2497</v>
      </c>
      <c r="N294" s="2" t="s">
        <v>2498</v>
      </c>
      <c r="O294" s="2"/>
      <c r="P294" s="2" t="s">
        <v>37</v>
      </c>
      <c r="Q294" s="4" t="n">
        <v>8731</v>
      </c>
      <c r="R294" s="2" t="s">
        <v>38</v>
      </c>
      <c r="S294" s="2" t="s">
        <v>39</v>
      </c>
      <c r="T294" s="2" t="s">
        <v>403</v>
      </c>
      <c r="U294" s="2" t="s">
        <v>2499</v>
      </c>
      <c r="V294" s="2"/>
      <c r="W294" s="2" t="s">
        <v>42</v>
      </c>
      <c r="X294" s="2" t="s">
        <v>43</v>
      </c>
      <c r="Y294" s="2" t="s">
        <v>37</v>
      </c>
      <c r="Z294" s="2" t="s">
        <v>44</v>
      </c>
      <c r="AA294" s="2"/>
      <c r="AB294" s="2"/>
      <c r="AC294" s="2" t="s">
        <v>2500</v>
      </c>
      <c r="AD294" s="2" t="s">
        <v>46</v>
      </c>
    </row>
    <row r="295" customFormat="false" ht="15.7" hidden="false" customHeight="true" outlineLevel="0" collapsed="false">
      <c r="A295" s="2"/>
      <c r="B295" s="3" t="n">
        <f aca="false">DATE(2006,9,11)</f>
        <v>0</v>
      </c>
      <c r="C295" s="3" t="n">
        <v>38971</v>
      </c>
      <c r="D295" s="2" t="s">
        <v>2501</v>
      </c>
      <c r="F295" s="2" t="s">
        <v>2502</v>
      </c>
      <c r="G295" s="2" t="s">
        <v>2503</v>
      </c>
      <c r="H295" s="2" t="s">
        <v>2504</v>
      </c>
      <c r="I295" s="2" t="s">
        <v>2505</v>
      </c>
      <c r="J295" s="2" t="s">
        <v>2506</v>
      </c>
      <c r="K295" s="2" t="s">
        <v>2501</v>
      </c>
      <c r="L295" s="2" t="s">
        <v>2505</v>
      </c>
      <c r="M295" s="2" t="s">
        <v>2504</v>
      </c>
      <c r="N295" s="2" t="s">
        <v>2507</v>
      </c>
      <c r="O295" s="2"/>
      <c r="P295" s="2" t="s">
        <v>37</v>
      </c>
      <c r="Q295" s="4" t="n">
        <v>8731</v>
      </c>
      <c r="R295" s="2" t="s">
        <v>2508</v>
      </c>
      <c r="S295" s="2" t="s">
        <v>39</v>
      </c>
      <c r="T295" s="2" t="s">
        <v>40</v>
      </c>
      <c r="U295" s="2" t="s">
        <v>2509</v>
      </c>
      <c r="V295" s="2"/>
      <c r="W295" s="2" t="s">
        <v>42</v>
      </c>
      <c r="X295" s="2" t="s">
        <v>43</v>
      </c>
      <c r="Y295" s="2" t="s">
        <v>37</v>
      </c>
      <c r="Z295" s="2" t="s">
        <v>916</v>
      </c>
      <c r="AA295" s="2"/>
      <c r="AB295" s="2"/>
      <c r="AC295" s="2" t="s">
        <v>2510</v>
      </c>
      <c r="AD295" s="2" t="s">
        <v>46</v>
      </c>
    </row>
    <row r="296" customFormat="false" ht="15.7" hidden="false" customHeight="true" outlineLevel="0" collapsed="false">
      <c r="A296" s="2"/>
      <c r="B296" s="3" t="n">
        <f aca="false">DATE(2006,9,12)</f>
        <v>0</v>
      </c>
      <c r="C296" s="3" t="n">
        <v>38972</v>
      </c>
      <c r="D296" s="2" t="s">
        <v>2511</v>
      </c>
      <c r="F296" s="2" t="s">
        <v>2512</v>
      </c>
      <c r="G296" s="2" t="s">
        <v>2513</v>
      </c>
      <c r="H296" s="2" t="s">
        <v>305</v>
      </c>
      <c r="I296" s="2" t="s">
        <v>1080</v>
      </c>
      <c r="J296" s="2" t="s">
        <v>35</v>
      </c>
      <c r="K296" s="2" t="s">
        <v>2514</v>
      </c>
      <c r="L296" s="2" t="s">
        <v>330</v>
      </c>
      <c r="M296" s="2" t="s">
        <v>50</v>
      </c>
      <c r="N296" s="2" t="s">
        <v>2515</v>
      </c>
      <c r="O296" s="2"/>
      <c r="P296" s="2" t="s">
        <v>37</v>
      </c>
      <c r="Q296" s="4" t="n">
        <v>8731</v>
      </c>
      <c r="R296" s="2" t="s">
        <v>2201</v>
      </c>
      <c r="S296" s="2" t="s">
        <v>39</v>
      </c>
      <c r="T296" s="2" t="s">
        <v>40</v>
      </c>
      <c r="U296" s="2" t="s">
        <v>2516</v>
      </c>
      <c r="V296" s="2"/>
      <c r="W296" s="2" t="s">
        <v>42</v>
      </c>
      <c r="X296" s="2" t="s">
        <v>43</v>
      </c>
      <c r="Y296" s="2" t="s">
        <v>37</v>
      </c>
      <c r="Z296" s="2" t="s">
        <v>44</v>
      </c>
      <c r="AA296" s="2"/>
      <c r="AB296" s="2"/>
      <c r="AC296" s="2" t="s">
        <v>2517</v>
      </c>
      <c r="AD296" s="2" t="s">
        <v>46</v>
      </c>
    </row>
    <row r="297" customFormat="false" ht="15.7" hidden="false" customHeight="true" outlineLevel="0" collapsed="false">
      <c r="A297" s="2"/>
      <c r="B297" s="3" t="n">
        <f aca="false">DATE(2006,9,12)</f>
        <v>0</v>
      </c>
      <c r="C297" s="3" t="n">
        <v>38972</v>
      </c>
      <c r="D297" s="2" t="s">
        <v>2518</v>
      </c>
      <c r="F297" s="2" t="s">
        <v>2519</v>
      </c>
      <c r="G297" s="2" t="s">
        <v>2520</v>
      </c>
      <c r="H297" s="2" t="s">
        <v>2521</v>
      </c>
      <c r="I297" s="2" t="s">
        <v>2522</v>
      </c>
      <c r="J297" s="2" t="s">
        <v>65</v>
      </c>
      <c r="K297" s="2" t="s">
        <v>2518</v>
      </c>
      <c r="L297" s="2" t="s">
        <v>2522</v>
      </c>
      <c r="M297" s="2" t="s">
        <v>2521</v>
      </c>
      <c r="N297" s="2" t="s">
        <v>2523</v>
      </c>
      <c r="O297" s="2"/>
      <c r="P297" s="2" t="s">
        <v>37</v>
      </c>
      <c r="Q297" s="4" t="n">
        <v>8731</v>
      </c>
      <c r="R297" s="2" t="s">
        <v>136</v>
      </c>
      <c r="S297" s="2" t="s">
        <v>39</v>
      </c>
      <c r="T297" s="2" t="s">
        <v>403</v>
      </c>
      <c r="U297" s="2" t="s">
        <v>2524</v>
      </c>
      <c r="V297" s="2"/>
      <c r="W297" s="2" t="s">
        <v>42</v>
      </c>
      <c r="X297" s="2" t="s">
        <v>43</v>
      </c>
      <c r="Y297" s="2" t="s">
        <v>37</v>
      </c>
      <c r="Z297" s="2" t="s">
        <v>44</v>
      </c>
      <c r="AA297" s="2"/>
      <c r="AB297" s="2"/>
      <c r="AC297" s="2" t="s">
        <v>2525</v>
      </c>
      <c r="AD297" s="2" t="s">
        <v>46</v>
      </c>
    </row>
    <row r="298" customFormat="false" ht="15.7" hidden="false" customHeight="true" outlineLevel="0" collapsed="false">
      <c r="A298" s="2"/>
      <c r="B298" s="3" t="n">
        <f aca="false">DATE(2006,9,13)</f>
        <v>0</v>
      </c>
      <c r="C298" s="3" t="n">
        <v>38973</v>
      </c>
      <c r="D298" s="2" t="s">
        <v>2526</v>
      </c>
      <c r="F298" s="2" t="s">
        <v>2527</v>
      </c>
      <c r="G298" s="2" t="s">
        <v>2528</v>
      </c>
      <c r="H298" s="2" t="s">
        <v>2529</v>
      </c>
      <c r="I298" s="2" t="s">
        <v>2530</v>
      </c>
      <c r="J298" s="2" t="s">
        <v>2531</v>
      </c>
      <c r="K298" s="2" t="s">
        <v>2532</v>
      </c>
      <c r="L298" s="2" t="s">
        <v>2530</v>
      </c>
      <c r="M298" s="2" t="s">
        <v>2529</v>
      </c>
      <c r="N298" s="2" t="s">
        <v>2533</v>
      </c>
      <c r="O298" s="2"/>
      <c r="P298" s="2" t="s">
        <v>37</v>
      </c>
      <c r="Q298" s="4" t="n">
        <v>8731</v>
      </c>
      <c r="R298" s="2" t="s">
        <v>56</v>
      </c>
      <c r="S298" s="2" t="s">
        <v>2534</v>
      </c>
      <c r="T298" s="2" t="s">
        <v>403</v>
      </c>
      <c r="U298" s="2" t="s">
        <v>2535</v>
      </c>
      <c r="V298" s="2"/>
      <c r="W298" s="2" t="s">
        <v>2536</v>
      </c>
      <c r="X298" s="2" t="s">
        <v>43</v>
      </c>
      <c r="Y298" s="2" t="s">
        <v>37</v>
      </c>
      <c r="Z298" s="2" t="s">
        <v>916</v>
      </c>
      <c r="AA298" s="2"/>
      <c r="AB298" s="2"/>
      <c r="AC298" s="2" t="s">
        <v>2537</v>
      </c>
      <c r="AD298" s="2" t="s">
        <v>46</v>
      </c>
    </row>
    <row r="299" customFormat="false" ht="15.7" hidden="false" customHeight="true" outlineLevel="0" collapsed="false">
      <c r="A299" s="2"/>
      <c r="B299" s="3" t="n">
        <f aca="false">DATE(2006,9,13)</f>
        <v>0</v>
      </c>
      <c r="C299" s="3" t="n">
        <v>38973</v>
      </c>
      <c r="D299" s="2" t="s">
        <v>2538</v>
      </c>
      <c r="F299" s="2" t="s">
        <v>2539</v>
      </c>
      <c r="G299" s="2" t="s">
        <v>2540</v>
      </c>
      <c r="H299" s="2" t="s">
        <v>2541</v>
      </c>
      <c r="I299" s="2" t="s">
        <v>51</v>
      </c>
      <c r="J299" s="2" t="s">
        <v>2542</v>
      </c>
      <c r="K299" s="2" t="s">
        <v>2543</v>
      </c>
      <c r="L299" s="2" t="s">
        <v>51</v>
      </c>
      <c r="M299" s="2" t="s">
        <v>2544</v>
      </c>
      <c r="N299" s="2" t="s">
        <v>2545</v>
      </c>
      <c r="O299" s="2"/>
      <c r="P299" s="2" t="s">
        <v>37</v>
      </c>
      <c r="Q299" s="4" t="n">
        <v>8731</v>
      </c>
      <c r="R299" s="2" t="s">
        <v>56</v>
      </c>
      <c r="S299" s="2" t="s">
        <v>753</v>
      </c>
      <c r="T299" s="2" t="s">
        <v>40</v>
      </c>
      <c r="U299" s="2" t="s">
        <v>2546</v>
      </c>
      <c r="V299" s="2"/>
      <c r="W299" s="2" t="s">
        <v>42</v>
      </c>
      <c r="X299" s="2" t="s">
        <v>43</v>
      </c>
      <c r="Y299" s="2" t="s">
        <v>37</v>
      </c>
      <c r="Z299" s="2" t="s">
        <v>44</v>
      </c>
      <c r="AA299" s="2"/>
      <c r="AB299" s="2"/>
      <c r="AC299" s="2" t="s">
        <v>2547</v>
      </c>
      <c r="AD299" s="2" t="s">
        <v>46</v>
      </c>
    </row>
    <row r="300" customFormat="false" ht="15.7" hidden="false" customHeight="true" outlineLevel="0" collapsed="false">
      <c r="A300" s="2"/>
      <c r="B300" s="3" t="n">
        <f aca="false">DATE(2006,9,13)</f>
        <v>0</v>
      </c>
      <c r="C300" s="3" t="n">
        <v>38973</v>
      </c>
      <c r="D300" s="2" t="s">
        <v>2548</v>
      </c>
      <c r="F300" s="2" t="s">
        <v>2549</v>
      </c>
      <c r="G300" s="2" t="s">
        <v>2550</v>
      </c>
      <c r="H300" s="2" t="s">
        <v>2551</v>
      </c>
      <c r="I300" s="2" t="s">
        <v>51</v>
      </c>
      <c r="J300" s="2" t="s">
        <v>2263</v>
      </c>
      <c r="K300" s="2" t="s">
        <v>2552</v>
      </c>
      <c r="L300" s="2" t="s">
        <v>100</v>
      </c>
      <c r="M300" s="2" t="s">
        <v>2553</v>
      </c>
      <c r="N300" s="2" t="s">
        <v>2554</v>
      </c>
      <c r="O300" s="2"/>
      <c r="P300" s="2" t="s">
        <v>37</v>
      </c>
      <c r="Q300" s="4" t="n">
        <v>8742</v>
      </c>
      <c r="R300" s="2" t="s">
        <v>56</v>
      </c>
      <c r="S300" s="2" t="s">
        <v>2265</v>
      </c>
      <c r="T300" s="2" t="s">
        <v>403</v>
      </c>
      <c r="U300" s="2" t="s">
        <v>2555</v>
      </c>
      <c r="V300" s="2"/>
      <c r="W300" s="2" t="s">
        <v>42</v>
      </c>
      <c r="X300" s="2" t="s">
        <v>43</v>
      </c>
      <c r="Y300" s="2" t="s">
        <v>37</v>
      </c>
      <c r="Z300" s="2" t="s">
        <v>44</v>
      </c>
      <c r="AA300" s="2"/>
      <c r="AB300" s="2"/>
      <c r="AC300" s="2" t="s">
        <v>2556</v>
      </c>
      <c r="AD300" s="2" t="s">
        <v>46</v>
      </c>
    </row>
    <row r="301" customFormat="false" ht="15.7" hidden="false" customHeight="true" outlineLevel="0" collapsed="false">
      <c r="A301" s="2"/>
      <c r="B301" s="3" t="n">
        <f aca="false">DATE(2006,9,14)</f>
        <v>0</v>
      </c>
      <c r="C301" s="3" t="n">
        <v>38974</v>
      </c>
      <c r="D301" s="2" t="s">
        <v>2557</v>
      </c>
      <c r="F301" s="2" t="s">
        <v>2558</v>
      </c>
      <c r="G301" s="2" t="s">
        <v>2559</v>
      </c>
      <c r="H301" s="2" t="s">
        <v>2560</v>
      </c>
      <c r="I301" s="2" t="s">
        <v>34</v>
      </c>
      <c r="J301" s="2" t="s">
        <v>35</v>
      </c>
      <c r="K301" s="2" t="s">
        <v>2557</v>
      </c>
      <c r="L301" s="2" t="s">
        <v>34</v>
      </c>
      <c r="M301" s="2" t="s">
        <v>2560</v>
      </c>
      <c r="N301" s="2" t="s">
        <v>2561</v>
      </c>
      <c r="O301" s="2" t="s">
        <v>2562</v>
      </c>
      <c r="P301" s="2" t="s">
        <v>37</v>
      </c>
      <c r="Q301" s="4" t="n">
        <v>2026</v>
      </c>
      <c r="R301" s="2" t="s">
        <v>38</v>
      </c>
      <c r="S301" s="2" t="s">
        <v>39</v>
      </c>
      <c r="T301" s="2" t="s">
        <v>40</v>
      </c>
      <c r="U301" s="2" t="s">
        <v>2563</v>
      </c>
      <c r="V301" s="2"/>
      <c r="W301" s="2" t="s">
        <v>2564</v>
      </c>
      <c r="X301" s="2" t="s">
        <v>46</v>
      </c>
      <c r="Y301" s="2" t="s">
        <v>37</v>
      </c>
      <c r="Z301" s="2" t="s">
        <v>2565</v>
      </c>
      <c r="AA301" s="2" t="s">
        <v>2566</v>
      </c>
      <c r="AB301" s="2" t="s">
        <v>2567</v>
      </c>
      <c r="AC301" s="2" t="s">
        <v>2568</v>
      </c>
      <c r="AD301" s="2" t="s">
        <v>46</v>
      </c>
    </row>
    <row r="302" customFormat="false" ht="15.7" hidden="false" customHeight="true" outlineLevel="0" collapsed="false">
      <c r="A302" s="2"/>
      <c r="B302" s="3" t="n">
        <f aca="false">DATE(2006,9,15)</f>
        <v>0</v>
      </c>
      <c r="C302" s="3" t="n">
        <v>38975</v>
      </c>
      <c r="D302" s="2" t="s">
        <v>2569</v>
      </c>
      <c r="F302" s="2" t="s">
        <v>2570</v>
      </c>
      <c r="G302" s="2" t="s">
        <v>2571</v>
      </c>
      <c r="H302" s="2" t="s">
        <v>2572</v>
      </c>
      <c r="I302" s="2" t="s">
        <v>34</v>
      </c>
      <c r="J302" s="2" t="s">
        <v>35</v>
      </c>
      <c r="K302" s="2" t="s">
        <v>2569</v>
      </c>
      <c r="L302" s="2" t="s">
        <v>34</v>
      </c>
      <c r="M302" s="2" t="s">
        <v>2572</v>
      </c>
      <c r="N302" s="2" t="s">
        <v>2573</v>
      </c>
      <c r="O302" s="2" t="s">
        <v>2574</v>
      </c>
      <c r="P302" s="2" t="s">
        <v>37</v>
      </c>
      <c r="Q302" s="4" t="n">
        <v>3674</v>
      </c>
      <c r="R302" s="2" t="s">
        <v>38</v>
      </c>
      <c r="S302" s="2" t="s">
        <v>39</v>
      </c>
      <c r="T302" s="2" t="s">
        <v>40</v>
      </c>
      <c r="U302" s="2" t="s">
        <v>2575</v>
      </c>
      <c r="V302" s="2"/>
      <c r="W302" s="2" t="s">
        <v>107</v>
      </c>
      <c r="X302" s="2" t="s">
        <v>46</v>
      </c>
      <c r="Y302" s="2" t="s">
        <v>37</v>
      </c>
      <c r="Z302" s="2" t="s">
        <v>2565</v>
      </c>
      <c r="AA302" s="2"/>
      <c r="AB302" s="2" t="s">
        <v>2576</v>
      </c>
      <c r="AC302" s="2" t="s">
        <v>2577</v>
      </c>
      <c r="AD302" s="2" t="s">
        <v>46</v>
      </c>
    </row>
    <row r="303" customFormat="false" ht="15.7" hidden="false" customHeight="true" outlineLevel="0" collapsed="false">
      <c r="A303" s="2"/>
      <c r="B303" s="3" t="n">
        <f aca="false">DATE(2006,9,15)</f>
        <v>0</v>
      </c>
      <c r="C303" s="3" t="n">
        <v>38975</v>
      </c>
      <c r="D303" s="2" t="s">
        <v>2578</v>
      </c>
      <c r="F303" s="2" t="s">
        <v>2579</v>
      </c>
      <c r="G303" s="2" t="s">
        <v>2580</v>
      </c>
      <c r="H303" s="2" t="s">
        <v>130</v>
      </c>
      <c r="I303" s="2" t="s">
        <v>2581</v>
      </c>
      <c r="J303" s="2" t="s">
        <v>35</v>
      </c>
      <c r="K303" s="2" t="s">
        <v>2582</v>
      </c>
      <c r="L303" s="2" t="s">
        <v>2581</v>
      </c>
      <c r="M303" s="2" t="s">
        <v>1732</v>
      </c>
      <c r="N303" s="2" t="s">
        <v>2583</v>
      </c>
      <c r="O303" s="2"/>
      <c r="P303" s="2" t="s">
        <v>37</v>
      </c>
      <c r="Q303" s="4" t="n">
        <v>8731</v>
      </c>
      <c r="R303" s="2" t="s">
        <v>136</v>
      </c>
      <c r="S303" s="2" t="s">
        <v>39</v>
      </c>
      <c r="T303" s="2" t="s">
        <v>40</v>
      </c>
      <c r="U303" s="2" t="s">
        <v>2584</v>
      </c>
      <c r="V303" s="2"/>
      <c r="W303" s="2" t="s">
        <v>42</v>
      </c>
      <c r="X303" s="2" t="s">
        <v>43</v>
      </c>
      <c r="Y303" s="2" t="s">
        <v>37</v>
      </c>
      <c r="Z303" s="2" t="s">
        <v>44</v>
      </c>
      <c r="AA303" s="2"/>
      <c r="AB303" s="2"/>
      <c r="AC303" s="2" t="s">
        <v>2585</v>
      </c>
      <c r="AD303" s="2" t="s">
        <v>46</v>
      </c>
    </row>
    <row r="304" customFormat="false" ht="15.7" hidden="false" customHeight="true" outlineLevel="0" collapsed="false">
      <c r="A304" s="2"/>
      <c r="B304" s="3" t="n">
        <f aca="false">DATE(2006,9,15)</f>
        <v>0</v>
      </c>
      <c r="C304" s="3" t="n">
        <v>38975</v>
      </c>
      <c r="D304" s="2" t="s">
        <v>2586</v>
      </c>
      <c r="F304" s="2" t="s">
        <v>2587</v>
      </c>
      <c r="G304" s="2" t="s">
        <v>2588</v>
      </c>
      <c r="H304" s="2" t="s">
        <v>2589</v>
      </c>
      <c r="I304" s="2" t="s">
        <v>2590</v>
      </c>
      <c r="J304" s="2" t="s">
        <v>35</v>
      </c>
      <c r="K304" s="2" t="s">
        <v>2591</v>
      </c>
      <c r="L304" s="2" t="s">
        <v>2590</v>
      </c>
      <c r="M304" s="2" t="s">
        <v>2592</v>
      </c>
      <c r="N304" s="2" t="s">
        <v>2593</v>
      </c>
      <c r="O304" s="2"/>
      <c r="P304" s="2" t="s">
        <v>37</v>
      </c>
      <c r="Q304" s="4" t="n">
        <v>8731</v>
      </c>
      <c r="R304" s="2" t="s">
        <v>136</v>
      </c>
      <c r="S304" s="2" t="s">
        <v>39</v>
      </c>
      <c r="T304" s="2" t="s">
        <v>403</v>
      </c>
      <c r="U304" s="2" t="s">
        <v>2594</v>
      </c>
      <c r="V304" s="2"/>
      <c r="W304" s="2" t="s">
        <v>42</v>
      </c>
      <c r="X304" s="2" t="s">
        <v>43</v>
      </c>
      <c r="Y304" s="2" t="s">
        <v>37</v>
      </c>
      <c r="Z304" s="2" t="s">
        <v>44</v>
      </c>
      <c r="AA304" s="2"/>
      <c r="AB304" s="2"/>
      <c r="AC304" s="2" t="s">
        <v>2595</v>
      </c>
      <c r="AD304" s="2" t="s">
        <v>46</v>
      </c>
    </row>
    <row r="305" customFormat="false" ht="15.7" hidden="false" customHeight="true" outlineLevel="0" collapsed="false">
      <c r="A305" s="2"/>
      <c r="B305" s="3" t="n">
        <f aca="false">DATE(2006,9,18)</f>
        <v>0</v>
      </c>
      <c r="C305" s="3" t="n">
        <v>38978</v>
      </c>
      <c r="D305" s="2" t="s">
        <v>2596</v>
      </c>
      <c r="F305" s="2" t="s">
        <v>2597</v>
      </c>
      <c r="G305" s="2" t="s">
        <v>2598</v>
      </c>
      <c r="H305" s="2" t="s">
        <v>2599</v>
      </c>
      <c r="I305" s="2" t="s">
        <v>202</v>
      </c>
      <c r="J305" s="2" t="s">
        <v>1983</v>
      </c>
      <c r="K305" s="2" t="s">
        <v>2600</v>
      </c>
      <c r="L305" s="2" t="s">
        <v>568</v>
      </c>
      <c r="M305" s="2" t="s">
        <v>2601</v>
      </c>
      <c r="N305" s="2" t="s">
        <v>2602</v>
      </c>
      <c r="O305" s="2"/>
      <c r="P305" s="2" t="s">
        <v>37</v>
      </c>
      <c r="Q305" s="4" t="n">
        <v>8731</v>
      </c>
      <c r="R305" s="2" t="s">
        <v>136</v>
      </c>
      <c r="S305" s="2" t="s">
        <v>39</v>
      </c>
      <c r="T305" s="2" t="s">
        <v>40</v>
      </c>
      <c r="U305" s="2" t="s">
        <v>2603</v>
      </c>
      <c r="V305" s="2"/>
      <c r="W305" s="2" t="s">
        <v>42</v>
      </c>
      <c r="X305" s="2" t="s">
        <v>43</v>
      </c>
      <c r="Y305" s="2" t="s">
        <v>37</v>
      </c>
      <c r="Z305" s="2" t="s">
        <v>44</v>
      </c>
      <c r="AA305" s="2"/>
      <c r="AB305" s="2"/>
      <c r="AC305" s="2" t="s">
        <v>2604</v>
      </c>
      <c r="AD305" s="2" t="s">
        <v>46</v>
      </c>
    </row>
    <row r="306" customFormat="false" ht="15.7" hidden="false" customHeight="true" outlineLevel="0" collapsed="false">
      <c r="A306" s="2"/>
      <c r="B306" s="3" t="n">
        <f aca="false">DATE(2006,9,18)</f>
        <v>0</v>
      </c>
      <c r="C306" s="3" t="n">
        <v>38978</v>
      </c>
      <c r="D306" s="2" t="s">
        <v>2605</v>
      </c>
      <c r="F306" s="2" t="s">
        <v>85</v>
      </c>
      <c r="G306" s="2" t="s">
        <v>86</v>
      </c>
      <c r="H306" s="2" t="s">
        <v>87</v>
      </c>
      <c r="I306" s="2" t="s">
        <v>88</v>
      </c>
      <c r="J306" s="2" t="s">
        <v>65</v>
      </c>
      <c r="K306" s="2" t="s">
        <v>2606</v>
      </c>
      <c r="L306" s="2" t="s">
        <v>88</v>
      </c>
      <c r="M306" s="2" t="s">
        <v>90</v>
      </c>
      <c r="N306" s="2" t="s">
        <v>2607</v>
      </c>
      <c r="O306" s="2"/>
      <c r="P306" s="2" t="s">
        <v>79</v>
      </c>
      <c r="Q306" s="4" t="n">
        <v>6794</v>
      </c>
      <c r="R306" s="2" t="s">
        <v>56</v>
      </c>
      <c r="S306" s="2" t="s">
        <v>92</v>
      </c>
      <c r="T306" s="2" t="s">
        <v>40</v>
      </c>
      <c r="U306" s="2" t="s">
        <v>2608</v>
      </c>
      <c r="V306" s="2"/>
      <c r="W306" s="2" t="s">
        <v>253</v>
      </c>
      <c r="X306" s="2" t="s">
        <v>43</v>
      </c>
      <c r="Y306" s="2" t="s">
        <v>37</v>
      </c>
      <c r="Z306" s="2" t="s">
        <v>44</v>
      </c>
      <c r="AA306" s="2"/>
      <c r="AB306" s="2"/>
      <c r="AC306" s="2" t="s">
        <v>2609</v>
      </c>
      <c r="AD306" s="2" t="s">
        <v>46</v>
      </c>
    </row>
    <row r="307" customFormat="false" ht="15.7" hidden="false" customHeight="true" outlineLevel="0" collapsed="false">
      <c r="A307" s="2"/>
      <c r="B307" s="3" t="n">
        <f aca="false">DATE(2006,9,18)</f>
        <v>0</v>
      </c>
      <c r="C307" s="3" t="n">
        <v>38978</v>
      </c>
      <c r="D307" s="2" t="s">
        <v>2610</v>
      </c>
      <c r="F307" s="2" t="s">
        <v>408</v>
      </c>
      <c r="G307" s="2" t="s">
        <v>2611</v>
      </c>
      <c r="H307" s="2" t="s">
        <v>170</v>
      </c>
      <c r="I307" s="2" t="s">
        <v>180</v>
      </c>
      <c r="J307" s="2" t="s">
        <v>331</v>
      </c>
      <c r="K307" s="2" t="s">
        <v>2610</v>
      </c>
      <c r="L307" s="2" t="s">
        <v>180</v>
      </c>
      <c r="M307" s="2" t="s">
        <v>170</v>
      </c>
      <c r="N307" s="2" t="s">
        <v>2612</v>
      </c>
      <c r="O307" s="2"/>
      <c r="P307" s="2" t="s">
        <v>37</v>
      </c>
      <c r="Q307" s="4" t="n">
        <v>8731</v>
      </c>
      <c r="R307" s="2" t="s">
        <v>136</v>
      </c>
      <c r="S307" s="2" t="s">
        <v>39</v>
      </c>
      <c r="T307" s="2" t="s">
        <v>40</v>
      </c>
      <c r="U307" s="2" t="s">
        <v>2613</v>
      </c>
      <c r="V307" s="2"/>
      <c r="W307" s="2" t="s">
        <v>42</v>
      </c>
      <c r="X307" s="2" t="s">
        <v>43</v>
      </c>
      <c r="Y307" s="2" t="s">
        <v>37</v>
      </c>
      <c r="Z307" s="2" t="s">
        <v>44</v>
      </c>
      <c r="AA307" s="2"/>
      <c r="AB307" s="2"/>
      <c r="AC307" s="2" t="s">
        <v>2614</v>
      </c>
      <c r="AD307" s="2" t="s">
        <v>46</v>
      </c>
    </row>
    <row r="308" customFormat="false" ht="15.7" hidden="false" customHeight="true" outlineLevel="0" collapsed="false">
      <c r="A308" s="2"/>
      <c r="B308" s="3" t="n">
        <f aca="false">DATE(2006,9,19)</f>
        <v>0</v>
      </c>
      <c r="C308" s="3" t="n">
        <v>38979</v>
      </c>
      <c r="D308" s="2" t="s">
        <v>2615</v>
      </c>
      <c r="F308" s="2" t="s">
        <v>2616</v>
      </c>
      <c r="G308" s="2" t="s">
        <v>2617</v>
      </c>
      <c r="H308" s="2" t="s">
        <v>2618</v>
      </c>
      <c r="I308" s="2" t="s">
        <v>670</v>
      </c>
      <c r="J308" s="2" t="s">
        <v>1413</v>
      </c>
      <c r="K308" s="2" t="s">
        <v>2615</v>
      </c>
      <c r="L308" s="2" t="s">
        <v>670</v>
      </c>
      <c r="M308" s="2" t="s">
        <v>2618</v>
      </c>
      <c r="N308" s="2" t="s">
        <v>2619</v>
      </c>
      <c r="O308" s="2"/>
      <c r="P308" s="2" t="s">
        <v>37</v>
      </c>
      <c r="Q308" s="4" t="n">
        <v>8731</v>
      </c>
      <c r="R308" s="2" t="s">
        <v>402</v>
      </c>
      <c r="S308" s="2" t="s">
        <v>39</v>
      </c>
      <c r="T308" s="2" t="s">
        <v>403</v>
      </c>
      <c r="U308" s="2" t="s">
        <v>2620</v>
      </c>
      <c r="V308" s="2"/>
      <c r="W308" s="2" t="s">
        <v>42</v>
      </c>
      <c r="X308" s="2" t="s">
        <v>43</v>
      </c>
      <c r="Y308" s="2" t="s">
        <v>37</v>
      </c>
      <c r="Z308" s="2" t="s">
        <v>44</v>
      </c>
      <c r="AA308" s="2"/>
      <c r="AB308" s="2"/>
      <c r="AC308" s="2" t="s">
        <v>2621</v>
      </c>
      <c r="AD308" s="2" t="s">
        <v>46</v>
      </c>
    </row>
    <row r="309" customFormat="false" ht="15.7" hidden="false" customHeight="true" outlineLevel="0" collapsed="false">
      <c r="A309" s="2"/>
      <c r="B309" s="3" t="n">
        <f aca="false">DATE(2006,9,19)</f>
        <v>0</v>
      </c>
      <c r="C309" s="3" t="n">
        <v>38979</v>
      </c>
      <c r="D309" s="2" t="s">
        <v>2622</v>
      </c>
      <c r="F309" s="2" t="s">
        <v>2623</v>
      </c>
      <c r="G309" s="2" t="s">
        <v>2624</v>
      </c>
      <c r="H309" s="2" t="s">
        <v>1752</v>
      </c>
      <c r="I309" s="2" t="s">
        <v>51</v>
      </c>
      <c r="J309" s="2" t="s">
        <v>171</v>
      </c>
      <c r="K309" s="2" t="s">
        <v>2622</v>
      </c>
      <c r="L309" s="2" t="s">
        <v>51</v>
      </c>
      <c r="M309" s="2" t="s">
        <v>1752</v>
      </c>
      <c r="N309" s="2" t="s">
        <v>2625</v>
      </c>
      <c r="O309" s="2"/>
      <c r="P309" s="2" t="s">
        <v>37</v>
      </c>
      <c r="Q309" s="4" t="n">
        <v>8731</v>
      </c>
      <c r="R309" s="2" t="s">
        <v>56</v>
      </c>
      <c r="S309" s="2" t="s">
        <v>92</v>
      </c>
      <c r="T309" s="2" t="s">
        <v>40</v>
      </c>
      <c r="U309" s="2" t="s">
        <v>2626</v>
      </c>
      <c r="V309" s="2"/>
      <c r="W309" s="2" t="s">
        <v>2209</v>
      </c>
      <c r="X309" s="2" t="s">
        <v>43</v>
      </c>
      <c r="Y309" s="2" t="s">
        <v>37</v>
      </c>
      <c r="Z309" s="2" t="s">
        <v>44</v>
      </c>
      <c r="AA309" s="2" t="s">
        <v>2627</v>
      </c>
      <c r="AB309" s="2"/>
      <c r="AC309" s="2" t="s">
        <v>2628</v>
      </c>
      <c r="AD309" s="2" t="s">
        <v>46</v>
      </c>
    </row>
    <row r="310" customFormat="false" ht="15.7" hidden="false" customHeight="true" outlineLevel="0" collapsed="false">
      <c r="A310" s="2"/>
      <c r="B310" s="3" t="n">
        <f aca="false">DATE(2006,9,20)</f>
        <v>0</v>
      </c>
      <c r="C310" s="3" t="n">
        <v>38980</v>
      </c>
      <c r="D310" s="2" t="s">
        <v>2629</v>
      </c>
      <c r="F310" s="2" t="s">
        <v>2630</v>
      </c>
      <c r="G310" s="2" t="s">
        <v>2631</v>
      </c>
      <c r="H310" s="2" t="s">
        <v>2632</v>
      </c>
      <c r="I310" s="2" t="s">
        <v>51</v>
      </c>
      <c r="J310" s="2" t="s">
        <v>2633</v>
      </c>
      <c r="K310" s="2" t="s">
        <v>2629</v>
      </c>
      <c r="L310" s="2" t="s">
        <v>51</v>
      </c>
      <c r="M310" s="2" t="s">
        <v>2632</v>
      </c>
      <c r="N310" s="2" t="s">
        <v>2634</v>
      </c>
      <c r="O310" s="2"/>
      <c r="P310" s="2" t="s">
        <v>37</v>
      </c>
      <c r="Q310" s="4" t="n">
        <v>8731</v>
      </c>
      <c r="R310" s="2" t="s">
        <v>56</v>
      </c>
      <c r="S310" s="2" t="s">
        <v>1484</v>
      </c>
      <c r="T310" s="2" t="s">
        <v>40</v>
      </c>
      <c r="U310" s="2" t="s">
        <v>2635</v>
      </c>
      <c r="V310" s="2"/>
      <c r="W310" s="2" t="s">
        <v>2636</v>
      </c>
      <c r="X310" s="2" t="s">
        <v>43</v>
      </c>
      <c r="Y310" s="2" t="s">
        <v>37</v>
      </c>
      <c r="Z310" s="2" t="s">
        <v>44</v>
      </c>
      <c r="AA310" s="2"/>
      <c r="AB310" s="2"/>
      <c r="AC310" s="2" t="s">
        <v>2637</v>
      </c>
      <c r="AD310" s="2" t="s">
        <v>46</v>
      </c>
    </row>
    <row r="311" customFormat="false" ht="15.7" hidden="false" customHeight="true" outlineLevel="0" collapsed="false">
      <c r="A311" s="2"/>
      <c r="B311" s="3" t="n">
        <f aca="false">DATE(2006,9,21)</f>
        <v>0</v>
      </c>
      <c r="C311" s="3" t="n">
        <v>38981</v>
      </c>
      <c r="D311" s="2" t="s">
        <v>2638</v>
      </c>
      <c r="F311" s="2" t="s">
        <v>2639</v>
      </c>
      <c r="G311" s="2" t="s">
        <v>2640</v>
      </c>
      <c r="H311" s="2" t="s">
        <v>2641</v>
      </c>
      <c r="I311" s="2" t="s">
        <v>2642</v>
      </c>
      <c r="J311" s="2" t="s">
        <v>2643</v>
      </c>
      <c r="K311" s="2" t="s">
        <v>2638</v>
      </c>
      <c r="L311" s="2" t="s">
        <v>2642</v>
      </c>
      <c r="M311" s="2" t="s">
        <v>2641</v>
      </c>
      <c r="N311" s="2" t="s">
        <v>2644</v>
      </c>
      <c r="O311" s="2"/>
      <c r="P311" s="2" t="s">
        <v>37</v>
      </c>
      <c r="Q311" s="4" t="n">
        <v>8731</v>
      </c>
      <c r="R311" s="2" t="s">
        <v>136</v>
      </c>
      <c r="S311" s="2" t="s">
        <v>39</v>
      </c>
      <c r="T311" s="2" t="s">
        <v>40</v>
      </c>
      <c r="U311" s="2" t="s">
        <v>2645</v>
      </c>
      <c r="V311" s="2"/>
      <c r="W311" s="2" t="s">
        <v>42</v>
      </c>
      <c r="X311" s="2" t="s">
        <v>43</v>
      </c>
      <c r="Y311" s="2" t="s">
        <v>37</v>
      </c>
      <c r="Z311" s="2" t="s">
        <v>916</v>
      </c>
      <c r="AA311" s="2"/>
      <c r="AB311" s="2"/>
      <c r="AC311" s="2" t="s">
        <v>2646</v>
      </c>
      <c r="AD311" s="2" t="s">
        <v>46</v>
      </c>
    </row>
    <row r="312" customFormat="false" ht="15.7" hidden="false" customHeight="true" outlineLevel="0" collapsed="false">
      <c r="A312" s="2"/>
      <c r="B312" s="3" t="n">
        <f aca="false">DATE(2006,9,25)</f>
        <v>0</v>
      </c>
      <c r="C312" s="3" t="n">
        <v>38985</v>
      </c>
      <c r="D312" s="2" t="s">
        <v>2647</v>
      </c>
      <c r="F312" s="2" t="s">
        <v>2648</v>
      </c>
      <c r="G312" s="2" t="s">
        <v>2649</v>
      </c>
      <c r="H312" s="2" t="s">
        <v>2650</v>
      </c>
      <c r="I312" s="2" t="s">
        <v>612</v>
      </c>
      <c r="J312" s="2" t="s">
        <v>35</v>
      </c>
      <c r="K312" s="2" t="s">
        <v>2647</v>
      </c>
      <c r="L312" s="2" t="s">
        <v>612</v>
      </c>
      <c r="M312" s="2" t="s">
        <v>2650</v>
      </c>
      <c r="N312" s="2" t="s">
        <v>2651</v>
      </c>
      <c r="O312" s="2"/>
      <c r="P312" s="2" t="s">
        <v>37</v>
      </c>
      <c r="Q312" s="4" t="n">
        <v>3674</v>
      </c>
      <c r="R312" s="2" t="s">
        <v>136</v>
      </c>
      <c r="S312" s="2" t="s">
        <v>39</v>
      </c>
      <c r="T312" s="2" t="s">
        <v>40</v>
      </c>
      <c r="U312" s="2" t="s">
        <v>2652</v>
      </c>
      <c r="V312" s="2"/>
      <c r="W312" s="2" t="s">
        <v>107</v>
      </c>
      <c r="X312" s="2" t="s">
        <v>43</v>
      </c>
      <c r="Y312" s="2" t="s">
        <v>37</v>
      </c>
      <c r="Z312" s="2" t="s">
        <v>44</v>
      </c>
      <c r="AA312" s="2"/>
      <c r="AB312" s="2"/>
      <c r="AC312" s="2" t="s">
        <v>2653</v>
      </c>
      <c r="AD312" s="2" t="s">
        <v>46</v>
      </c>
    </row>
    <row r="313" customFormat="false" ht="15.7" hidden="false" customHeight="true" outlineLevel="0" collapsed="false">
      <c r="A313" s="2"/>
      <c r="B313" s="3" t="n">
        <f aca="false">DATE(2006,9,25)</f>
        <v>0</v>
      </c>
      <c r="C313" s="3" t="n">
        <v>38985</v>
      </c>
      <c r="D313" s="2" t="s">
        <v>2654</v>
      </c>
      <c r="F313" s="2" t="s">
        <v>2655</v>
      </c>
      <c r="G313" s="2" t="s">
        <v>2656</v>
      </c>
      <c r="H313" s="2" t="s">
        <v>2657</v>
      </c>
      <c r="I313" s="2" t="s">
        <v>2658</v>
      </c>
      <c r="J313" s="2" t="s">
        <v>65</v>
      </c>
      <c r="K313" s="2" t="s">
        <v>2659</v>
      </c>
      <c r="L313" s="2" t="s">
        <v>2658</v>
      </c>
      <c r="M313" s="2" t="s">
        <v>2657</v>
      </c>
      <c r="N313" s="2" t="s">
        <v>2660</v>
      </c>
      <c r="O313" s="2"/>
      <c r="P313" s="2" t="s">
        <v>37</v>
      </c>
      <c r="Q313" s="4" t="n">
        <v>3699</v>
      </c>
      <c r="R313" s="2" t="s">
        <v>2661</v>
      </c>
      <c r="S313" s="2" t="s">
        <v>39</v>
      </c>
      <c r="T313" s="2" t="s">
        <v>673</v>
      </c>
      <c r="U313" s="2" t="s">
        <v>2662</v>
      </c>
      <c r="V313" s="2"/>
      <c r="W313" s="2" t="s">
        <v>107</v>
      </c>
      <c r="X313" s="2" t="s">
        <v>43</v>
      </c>
      <c r="Y313" s="2" t="s">
        <v>37</v>
      </c>
      <c r="Z313" s="2" t="s">
        <v>44</v>
      </c>
      <c r="AA313" s="2"/>
      <c r="AB313" s="2"/>
      <c r="AC313" s="2" t="s">
        <v>2663</v>
      </c>
      <c r="AD313" s="2" t="s">
        <v>46</v>
      </c>
    </row>
    <row r="314" customFormat="false" ht="15.7" hidden="false" customHeight="true" outlineLevel="0" collapsed="false">
      <c r="A314" s="2"/>
      <c r="B314" s="3" t="n">
        <f aca="false">DATE(2006,9,25)</f>
        <v>0</v>
      </c>
      <c r="C314" s="3" t="n">
        <v>38985</v>
      </c>
      <c r="D314" s="2" t="s">
        <v>2664</v>
      </c>
      <c r="F314" s="2" t="s">
        <v>2665</v>
      </c>
      <c r="G314" s="2" t="s">
        <v>2666</v>
      </c>
      <c r="H314" s="2" t="s">
        <v>2667</v>
      </c>
      <c r="I314" s="2" t="s">
        <v>670</v>
      </c>
      <c r="J314" s="2" t="s">
        <v>625</v>
      </c>
      <c r="K314" s="2" t="s">
        <v>2664</v>
      </c>
      <c r="L314" s="2" t="s">
        <v>670</v>
      </c>
      <c r="M314" s="2" t="s">
        <v>2667</v>
      </c>
      <c r="N314" s="2" t="s">
        <v>2668</v>
      </c>
      <c r="O314" s="2"/>
      <c r="P314" s="2" t="s">
        <v>37</v>
      </c>
      <c r="Q314" s="4" t="n">
        <v>8731</v>
      </c>
      <c r="R314" s="2" t="s">
        <v>402</v>
      </c>
      <c r="S314" s="2" t="s">
        <v>39</v>
      </c>
      <c r="T314" s="2" t="s">
        <v>403</v>
      </c>
      <c r="U314" s="2" t="s">
        <v>2669</v>
      </c>
      <c r="V314" s="2"/>
      <c r="W314" s="2" t="s">
        <v>42</v>
      </c>
      <c r="X314" s="2" t="s">
        <v>43</v>
      </c>
      <c r="Y314" s="2" t="s">
        <v>37</v>
      </c>
      <c r="Z314" s="2" t="s">
        <v>44</v>
      </c>
      <c r="AA314" s="2"/>
      <c r="AB314" s="2"/>
      <c r="AC314" s="2" t="s">
        <v>2670</v>
      </c>
      <c r="AD314" s="2" t="s">
        <v>46</v>
      </c>
    </row>
    <row r="315" customFormat="false" ht="15.7" hidden="false" customHeight="true" outlineLevel="0" collapsed="false">
      <c r="A315" s="2"/>
      <c r="B315" s="3" t="n">
        <f aca="false">DATE(2006,9,26)</f>
        <v>0</v>
      </c>
      <c r="C315" s="3" t="n">
        <v>38986</v>
      </c>
      <c r="D315" s="2" t="s">
        <v>2671</v>
      </c>
      <c r="F315" s="2" t="s">
        <v>2672</v>
      </c>
      <c r="G315" s="2" t="s">
        <v>2673</v>
      </c>
      <c r="H315" s="2" t="s">
        <v>2674</v>
      </c>
      <c r="I315" s="2" t="s">
        <v>388</v>
      </c>
      <c r="J315" s="2" t="s">
        <v>625</v>
      </c>
      <c r="K315" s="2" t="s">
        <v>2671</v>
      </c>
      <c r="L315" s="2" t="s">
        <v>388</v>
      </c>
      <c r="M315" s="2" t="s">
        <v>2674</v>
      </c>
      <c r="N315" s="2" t="s">
        <v>2675</v>
      </c>
      <c r="O315" s="2"/>
      <c r="P315" s="2" t="s">
        <v>37</v>
      </c>
      <c r="Q315" s="4" t="n">
        <v>8731</v>
      </c>
      <c r="R315" s="2" t="s">
        <v>136</v>
      </c>
      <c r="S315" s="2" t="s">
        <v>39</v>
      </c>
      <c r="T315" s="2" t="s">
        <v>40</v>
      </c>
      <c r="U315" s="2" t="s">
        <v>2676</v>
      </c>
      <c r="V315" s="2"/>
      <c r="W315" s="2" t="s">
        <v>42</v>
      </c>
      <c r="X315" s="2" t="s">
        <v>43</v>
      </c>
      <c r="Y315" s="2" t="s">
        <v>37</v>
      </c>
      <c r="Z315" s="2" t="s">
        <v>44</v>
      </c>
      <c r="AA315" s="2"/>
      <c r="AB315" s="2"/>
      <c r="AC315" s="2" t="s">
        <v>2677</v>
      </c>
      <c r="AD315" s="2" t="s">
        <v>46</v>
      </c>
    </row>
    <row r="316" customFormat="false" ht="15.7" hidden="false" customHeight="true" outlineLevel="0" collapsed="false">
      <c r="A316" s="2"/>
      <c r="B316" s="3" t="n">
        <f aca="false">DATE(2006,9,26)</f>
        <v>0</v>
      </c>
      <c r="C316" s="3" t="n">
        <v>38986</v>
      </c>
      <c r="D316" s="2" t="s">
        <v>2678</v>
      </c>
      <c r="F316" s="2" t="s">
        <v>2679</v>
      </c>
      <c r="G316" s="2" t="s">
        <v>2680</v>
      </c>
      <c r="H316" s="2" t="s">
        <v>130</v>
      </c>
      <c r="I316" s="2" t="s">
        <v>2681</v>
      </c>
      <c r="J316" s="2" t="s">
        <v>35</v>
      </c>
      <c r="K316" s="2" t="s">
        <v>2678</v>
      </c>
      <c r="L316" s="2" t="s">
        <v>2681</v>
      </c>
      <c r="M316" s="2" t="s">
        <v>130</v>
      </c>
      <c r="N316" s="2" t="s">
        <v>2682</v>
      </c>
      <c r="O316" s="2"/>
      <c r="P316" s="2" t="s">
        <v>79</v>
      </c>
      <c r="Q316" s="4" t="n">
        <v>6794</v>
      </c>
      <c r="R316" s="2" t="s">
        <v>136</v>
      </c>
      <c r="S316" s="2" t="s">
        <v>39</v>
      </c>
      <c r="T316" s="2" t="s">
        <v>40</v>
      </c>
      <c r="U316" s="2" t="s">
        <v>2683</v>
      </c>
      <c r="V316" s="2"/>
      <c r="W316" s="2" t="s">
        <v>206</v>
      </c>
      <c r="X316" s="2" t="s">
        <v>43</v>
      </c>
      <c r="Y316" s="2" t="s">
        <v>37</v>
      </c>
      <c r="Z316" s="2" t="s">
        <v>44</v>
      </c>
      <c r="AA316" s="2" t="s">
        <v>2684</v>
      </c>
      <c r="AB316" s="2"/>
      <c r="AC316" s="2" t="s">
        <v>2685</v>
      </c>
      <c r="AD316" s="2" t="s">
        <v>46</v>
      </c>
    </row>
    <row r="317" customFormat="false" ht="15.7" hidden="false" customHeight="true" outlineLevel="0" collapsed="false">
      <c r="A317" s="2"/>
      <c r="B317" s="3" t="n">
        <f aca="false">DATE(2006,9,27)</f>
        <v>0</v>
      </c>
      <c r="C317" s="3" t="n">
        <v>38987</v>
      </c>
      <c r="D317" s="2" t="s">
        <v>2686</v>
      </c>
      <c r="F317" s="2" t="s">
        <v>2687</v>
      </c>
      <c r="G317" s="2" t="s">
        <v>2688</v>
      </c>
      <c r="H317" s="2" t="s">
        <v>153</v>
      </c>
      <c r="I317" s="2" t="s">
        <v>2689</v>
      </c>
      <c r="J317" s="2" t="s">
        <v>35</v>
      </c>
      <c r="K317" s="2" t="s">
        <v>2686</v>
      </c>
      <c r="L317" s="2" t="s">
        <v>2689</v>
      </c>
      <c r="M317" s="2" t="s">
        <v>153</v>
      </c>
      <c r="N317" s="2" t="s">
        <v>2690</v>
      </c>
      <c r="O317" s="2"/>
      <c r="P317" s="2" t="s">
        <v>37</v>
      </c>
      <c r="Q317" s="4" t="n">
        <v>8731</v>
      </c>
      <c r="R317" s="2" t="s">
        <v>136</v>
      </c>
      <c r="S317" s="2" t="s">
        <v>39</v>
      </c>
      <c r="T317" s="2" t="s">
        <v>40</v>
      </c>
      <c r="U317" s="2" t="s">
        <v>2691</v>
      </c>
      <c r="V317" s="2"/>
      <c r="W317" s="2" t="s">
        <v>42</v>
      </c>
      <c r="X317" s="2" t="s">
        <v>43</v>
      </c>
      <c r="Y317" s="2" t="s">
        <v>37</v>
      </c>
      <c r="Z317" s="2" t="s">
        <v>44</v>
      </c>
      <c r="AA317" s="2"/>
      <c r="AB317" s="2"/>
      <c r="AC317" s="2" t="s">
        <v>2692</v>
      </c>
      <c r="AD317" s="2" t="s">
        <v>46</v>
      </c>
    </row>
    <row r="318" customFormat="false" ht="15.7" hidden="false" customHeight="true" outlineLevel="0" collapsed="false">
      <c r="A318" s="2"/>
      <c r="B318" s="3" t="n">
        <f aca="false">DATE(2006,9,27)</f>
        <v>0</v>
      </c>
      <c r="C318" s="3" t="n">
        <v>38987</v>
      </c>
      <c r="D318" s="2" t="s">
        <v>2693</v>
      </c>
      <c r="F318" s="2" t="s">
        <v>2694</v>
      </c>
      <c r="G318" s="2" t="s">
        <v>2695</v>
      </c>
      <c r="H318" s="2" t="s">
        <v>2696</v>
      </c>
      <c r="I318" s="2" t="s">
        <v>34</v>
      </c>
      <c r="J318" s="2" t="s">
        <v>35</v>
      </c>
      <c r="K318" s="2" t="s">
        <v>2693</v>
      </c>
      <c r="L318" s="2" t="s">
        <v>34</v>
      </c>
      <c r="M318" s="2" t="s">
        <v>2696</v>
      </c>
      <c r="N318" s="2" t="s">
        <v>2697</v>
      </c>
      <c r="O318" s="2"/>
      <c r="P318" s="2" t="s">
        <v>37</v>
      </c>
      <c r="Q318" s="4" t="n">
        <v>8731</v>
      </c>
      <c r="R318" s="2" t="s">
        <v>38</v>
      </c>
      <c r="S318" s="2" t="s">
        <v>39</v>
      </c>
      <c r="T318" s="2" t="s">
        <v>40</v>
      </c>
      <c r="U318" s="2" t="s">
        <v>2698</v>
      </c>
      <c r="V318" s="2"/>
      <c r="W318" s="2" t="s">
        <v>697</v>
      </c>
      <c r="X318" s="2" t="s">
        <v>43</v>
      </c>
      <c r="Y318" s="2" t="s">
        <v>37</v>
      </c>
      <c r="Z318" s="2" t="s">
        <v>44</v>
      </c>
      <c r="AA318" s="2"/>
      <c r="AB318" s="2"/>
      <c r="AC318" s="2" t="s">
        <v>2699</v>
      </c>
      <c r="AD318" s="2" t="s">
        <v>46</v>
      </c>
    </row>
    <row r="319" customFormat="false" ht="15.7" hidden="false" customHeight="true" outlineLevel="0" collapsed="false">
      <c r="A319" s="2"/>
      <c r="B319" s="3" t="n">
        <f aca="false">DATE(2006,9,27)</f>
        <v>0</v>
      </c>
      <c r="C319" s="3" t="n">
        <v>38987</v>
      </c>
      <c r="D319" s="2" t="s">
        <v>2700</v>
      </c>
      <c r="F319" s="2" t="s">
        <v>2701</v>
      </c>
      <c r="G319" s="2" t="s">
        <v>2702</v>
      </c>
      <c r="H319" s="2" t="s">
        <v>305</v>
      </c>
      <c r="I319" s="2" t="s">
        <v>530</v>
      </c>
      <c r="J319" s="2" t="s">
        <v>35</v>
      </c>
      <c r="K319" s="2" t="s">
        <v>2703</v>
      </c>
      <c r="L319" s="2" t="s">
        <v>1882</v>
      </c>
      <c r="M319" s="2" t="s">
        <v>90</v>
      </c>
      <c r="N319" s="2" t="s">
        <v>2704</v>
      </c>
      <c r="O319" s="2"/>
      <c r="P319" s="2" t="s">
        <v>37</v>
      </c>
      <c r="Q319" s="4" t="n">
        <v>8731</v>
      </c>
      <c r="R319" s="2" t="s">
        <v>136</v>
      </c>
      <c r="S319" s="2" t="s">
        <v>39</v>
      </c>
      <c r="T319" s="2" t="s">
        <v>403</v>
      </c>
      <c r="U319" s="2" t="s">
        <v>2705</v>
      </c>
      <c r="V319" s="2"/>
      <c r="W319" s="2" t="s">
        <v>42</v>
      </c>
      <c r="X319" s="2" t="s">
        <v>43</v>
      </c>
      <c r="Y319" s="2" t="s">
        <v>37</v>
      </c>
      <c r="Z319" s="2" t="s">
        <v>44</v>
      </c>
      <c r="AA319" s="2"/>
      <c r="AB319" s="2"/>
      <c r="AC319" s="2" t="s">
        <v>2706</v>
      </c>
      <c r="AD319" s="2" t="s">
        <v>46</v>
      </c>
    </row>
    <row r="320" customFormat="false" ht="15.7" hidden="false" customHeight="true" outlineLevel="0" collapsed="false">
      <c r="A320" s="2"/>
      <c r="B320" s="3" t="n">
        <f aca="false">DATE(2006,9,27)</f>
        <v>0</v>
      </c>
      <c r="C320" s="3" t="n">
        <v>38987</v>
      </c>
      <c r="D320" s="2" t="s">
        <v>2707</v>
      </c>
      <c r="F320" s="2" t="s">
        <v>2708</v>
      </c>
      <c r="G320" s="2" t="s">
        <v>2709</v>
      </c>
      <c r="H320" s="2" t="s">
        <v>2710</v>
      </c>
      <c r="I320" s="2" t="s">
        <v>2530</v>
      </c>
      <c r="J320" s="2" t="s">
        <v>2711</v>
      </c>
      <c r="K320" s="2" t="s">
        <v>2707</v>
      </c>
      <c r="L320" s="2" t="s">
        <v>2530</v>
      </c>
      <c r="M320" s="2" t="s">
        <v>2710</v>
      </c>
      <c r="N320" s="2" t="s">
        <v>2712</v>
      </c>
      <c r="O320" s="2"/>
      <c r="P320" s="2" t="s">
        <v>37</v>
      </c>
      <c r="Q320" s="4" t="n">
        <v>8731</v>
      </c>
      <c r="R320" s="2" t="s">
        <v>56</v>
      </c>
      <c r="S320" s="2" t="s">
        <v>380</v>
      </c>
      <c r="T320" s="2" t="s">
        <v>40</v>
      </c>
      <c r="U320" s="2" t="s">
        <v>2713</v>
      </c>
      <c r="V320" s="2"/>
      <c r="W320" s="2" t="s">
        <v>42</v>
      </c>
      <c r="X320" s="2" t="s">
        <v>43</v>
      </c>
      <c r="Y320" s="2" t="s">
        <v>37</v>
      </c>
      <c r="Z320" s="2" t="s">
        <v>916</v>
      </c>
      <c r="AA320" s="2"/>
      <c r="AB320" s="2"/>
      <c r="AC320" s="2" t="s">
        <v>2714</v>
      </c>
      <c r="AD320" s="2" t="s">
        <v>46</v>
      </c>
    </row>
    <row r="321" customFormat="false" ht="15.7" hidden="false" customHeight="true" outlineLevel="0" collapsed="false">
      <c r="A321" s="2"/>
      <c r="B321" s="3" t="n">
        <f aca="false">DATE(2006,9,27)</f>
        <v>0</v>
      </c>
      <c r="C321" s="3" t="n">
        <v>38987</v>
      </c>
      <c r="D321" s="2" t="s">
        <v>2715</v>
      </c>
      <c r="F321" s="2" t="s">
        <v>2716</v>
      </c>
      <c r="G321" s="2" t="s">
        <v>2717</v>
      </c>
      <c r="H321" s="2" t="s">
        <v>305</v>
      </c>
      <c r="I321" s="2" t="s">
        <v>51</v>
      </c>
      <c r="J321" s="2" t="s">
        <v>1834</v>
      </c>
      <c r="K321" s="2" t="s">
        <v>2718</v>
      </c>
      <c r="L321" s="2" t="s">
        <v>51</v>
      </c>
      <c r="M321" s="2" t="s">
        <v>1027</v>
      </c>
      <c r="N321" s="2" t="s">
        <v>2719</v>
      </c>
      <c r="O321" s="2"/>
      <c r="P321" s="2" t="s">
        <v>37</v>
      </c>
      <c r="Q321" s="4" t="n">
        <v>8731</v>
      </c>
      <c r="R321" s="2" t="s">
        <v>56</v>
      </c>
      <c r="S321" s="2" t="s">
        <v>92</v>
      </c>
      <c r="T321" s="2" t="s">
        <v>40</v>
      </c>
      <c r="U321" s="2" t="s">
        <v>2720</v>
      </c>
      <c r="V321" s="2"/>
      <c r="W321" s="2" t="s">
        <v>42</v>
      </c>
      <c r="X321" s="2" t="s">
        <v>43</v>
      </c>
      <c r="Y321" s="2" t="s">
        <v>37</v>
      </c>
      <c r="Z321" s="2" t="s">
        <v>44</v>
      </c>
      <c r="AA321" s="2" t="s">
        <v>2721</v>
      </c>
      <c r="AB321" s="2"/>
      <c r="AC321" s="2" t="s">
        <v>2722</v>
      </c>
      <c r="AD321" s="2" t="s">
        <v>46</v>
      </c>
    </row>
    <row r="322" customFormat="false" ht="15.7" hidden="false" customHeight="true" outlineLevel="0" collapsed="false">
      <c r="A322" s="2"/>
      <c r="B322" s="3" t="n">
        <f aca="false">DATE(2006,9,29)</f>
        <v>0</v>
      </c>
      <c r="C322" s="3" t="n">
        <v>38989</v>
      </c>
      <c r="D322" s="2" t="s">
        <v>2723</v>
      </c>
      <c r="F322" s="2" t="s">
        <v>2724</v>
      </c>
      <c r="G322" s="2" t="s">
        <v>2725</v>
      </c>
      <c r="H322" s="2" t="s">
        <v>2726</v>
      </c>
      <c r="I322" s="2" t="s">
        <v>2727</v>
      </c>
      <c r="J322" s="2" t="s">
        <v>35</v>
      </c>
      <c r="K322" s="2" t="s">
        <v>2728</v>
      </c>
      <c r="L322" s="2" t="s">
        <v>2727</v>
      </c>
      <c r="M322" s="2" t="s">
        <v>2729</v>
      </c>
      <c r="N322" s="2" t="s">
        <v>2730</v>
      </c>
      <c r="O322" s="2"/>
      <c r="P322" s="2" t="s">
        <v>37</v>
      </c>
      <c r="Q322" s="4" t="n">
        <v>2842</v>
      </c>
      <c r="R322" s="2" t="s">
        <v>402</v>
      </c>
      <c r="S322" s="2" t="s">
        <v>39</v>
      </c>
      <c r="T322" s="2" t="s">
        <v>403</v>
      </c>
      <c r="U322" s="2" t="s">
        <v>2731</v>
      </c>
      <c r="V322" s="2"/>
      <c r="W322" s="2" t="s">
        <v>755</v>
      </c>
      <c r="X322" s="2" t="s">
        <v>46</v>
      </c>
      <c r="Y322" s="2" t="s">
        <v>37</v>
      </c>
      <c r="Z322" s="2" t="s">
        <v>2732</v>
      </c>
      <c r="AA322" s="2"/>
      <c r="AB322" s="2"/>
      <c r="AC322" s="2" t="s">
        <v>2733</v>
      </c>
      <c r="AD322" s="2" t="s">
        <v>46</v>
      </c>
    </row>
    <row r="323" customFormat="false" ht="15.7" hidden="false" customHeight="true" outlineLevel="0" collapsed="false">
      <c r="A323" s="2"/>
      <c r="B323" s="3" t="n">
        <f aca="false">DATE(2006,10,2)</f>
        <v>0</v>
      </c>
      <c r="C323" s="3" t="n">
        <v>38992</v>
      </c>
      <c r="D323" s="2" t="s">
        <v>2734</v>
      </c>
      <c r="F323" s="2" t="s">
        <v>2735</v>
      </c>
      <c r="G323" s="2" t="s">
        <v>2736</v>
      </c>
      <c r="H323" s="2" t="s">
        <v>2737</v>
      </c>
      <c r="I323" s="2" t="s">
        <v>51</v>
      </c>
      <c r="J323" s="2" t="s">
        <v>2738</v>
      </c>
      <c r="K323" s="2" t="s">
        <v>2739</v>
      </c>
      <c r="L323" s="2" t="s">
        <v>51</v>
      </c>
      <c r="M323" s="2" t="s">
        <v>2740</v>
      </c>
      <c r="N323" s="2" t="s">
        <v>2741</v>
      </c>
      <c r="O323" s="2" t="s">
        <v>2742</v>
      </c>
      <c r="P323" s="2" t="s">
        <v>37</v>
      </c>
      <c r="Q323" s="4" t="n">
        <v>3523</v>
      </c>
      <c r="R323" s="2" t="s">
        <v>56</v>
      </c>
      <c r="S323" s="2" t="s">
        <v>2743</v>
      </c>
      <c r="T323" s="2" t="s">
        <v>40</v>
      </c>
      <c r="U323" s="2" t="s">
        <v>2744</v>
      </c>
      <c r="V323" s="2"/>
      <c r="W323" s="2" t="s">
        <v>1801</v>
      </c>
      <c r="X323" s="2" t="s">
        <v>46</v>
      </c>
      <c r="Y323" s="2" t="s">
        <v>37</v>
      </c>
      <c r="Z323" s="2" t="s">
        <v>362</v>
      </c>
      <c r="AA323" s="2"/>
      <c r="AB323" s="2" t="s">
        <v>2745</v>
      </c>
      <c r="AC323" s="2" t="s">
        <v>2746</v>
      </c>
      <c r="AD323" s="2" t="s">
        <v>46</v>
      </c>
    </row>
    <row r="324" customFormat="false" ht="15.7" hidden="false" customHeight="true" outlineLevel="0" collapsed="false">
      <c r="A324" s="2"/>
      <c r="B324" s="3" t="n">
        <f aca="false">DATE(2006,10,2)</f>
        <v>0</v>
      </c>
      <c r="C324" s="3" t="n">
        <v>38992</v>
      </c>
      <c r="D324" s="2" t="s">
        <v>2747</v>
      </c>
      <c r="F324" s="2" t="s">
        <v>2026</v>
      </c>
      <c r="G324" s="2" t="s">
        <v>2748</v>
      </c>
      <c r="H324" s="2" t="s">
        <v>762</v>
      </c>
      <c r="I324" s="2" t="s">
        <v>2749</v>
      </c>
      <c r="J324" s="2" t="s">
        <v>65</v>
      </c>
      <c r="K324" s="2" t="s">
        <v>2750</v>
      </c>
      <c r="L324" s="2" t="s">
        <v>2749</v>
      </c>
      <c r="M324" s="2" t="s">
        <v>387</v>
      </c>
      <c r="N324" s="2" t="s">
        <v>2751</v>
      </c>
      <c r="O324" s="2"/>
      <c r="P324" s="2" t="s">
        <v>37</v>
      </c>
      <c r="Q324" s="4" t="n">
        <v>8731</v>
      </c>
      <c r="R324" s="2" t="s">
        <v>136</v>
      </c>
      <c r="S324" s="2" t="s">
        <v>39</v>
      </c>
      <c r="T324" s="2" t="s">
        <v>40</v>
      </c>
      <c r="U324" s="2" t="s">
        <v>2752</v>
      </c>
      <c r="V324" s="2"/>
      <c r="W324" s="2" t="s">
        <v>42</v>
      </c>
      <c r="X324" s="2" t="s">
        <v>43</v>
      </c>
      <c r="Y324" s="2" t="s">
        <v>37</v>
      </c>
      <c r="Z324" s="2" t="s">
        <v>44</v>
      </c>
      <c r="AA324" s="2"/>
      <c r="AB324" s="2"/>
      <c r="AC324" s="2" t="s">
        <v>2753</v>
      </c>
      <c r="AD324" s="2" t="s">
        <v>46</v>
      </c>
    </row>
    <row r="325" customFormat="false" ht="15.7" hidden="false" customHeight="true" outlineLevel="0" collapsed="false">
      <c r="A325" s="2"/>
      <c r="B325" s="3" t="n">
        <f aca="false">DATE(2006,10,2)</f>
        <v>0</v>
      </c>
      <c r="C325" s="3" t="n">
        <v>38992</v>
      </c>
      <c r="D325" s="2" t="s">
        <v>2754</v>
      </c>
      <c r="F325" s="2" t="s">
        <v>2755</v>
      </c>
      <c r="G325" s="2" t="s">
        <v>2756</v>
      </c>
      <c r="H325" s="2" t="s">
        <v>305</v>
      </c>
      <c r="I325" s="2" t="s">
        <v>100</v>
      </c>
      <c r="J325" s="2" t="s">
        <v>65</v>
      </c>
      <c r="K325" s="2" t="s">
        <v>2754</v>
      </c>
      <c r="L325" s="2" t="s">
        <v>100</v>
      </c>
      <c r="M325" s="2" t="s">
        <v>305</v>
      </c>
      <c r="N325" s="2" t="s">
        <v>2757</v>
      </c>
      <c r="O325" s="2"/>
      <c r="P325" s="2" t="s">
        <v>79</v>
      </c>
      <c r="Q325" s="4" t="n">
        <v>6794</v>
      </c>
      <c r="R325" s="2" t="s">
        <v>136</v>
      </c>
      <c r="S325" s="2" t="s">
        <v>39</v>
      </c>
      <c r="T325" s="2" t="s">
        <v>40</v>
      </c>
      <c r="U325" s="2" t="s">
        <v>2758</v>
      </c>
      <c r="V325" s="2"/>
      <c r="W325" s="2" t="s">
        <v>94</v>
      </c>
      <c r="X325" s="2" t="s">
        <v>43</v>
      </c>
      <c r="Y325" s="2" t="s">
        <v>37</v>
      </c>
      <c r="Z325" s="2" t="s">
        <v>44</v>
      </c>
      <c r="AA325" s="2"/>
      <c r="AB325" s="2"/>
      <c r="AC325" s="2" t="s">
        <v>2759</v>
      </c>
      <c r="AD325" s="2" t="s">
        <v>46</v>
      </c>
    </row>
    <row r="326" customFormat="false" ht="15.7" hidden="false" customHeight="true" outlineLevel="0" collapsed="false">
      <c r="A326" s="2"/>
      <c r="B326" s="3" t="n">
        <f aca="false">DATE(2006,10,2)</f>
        <v>0</v>
      </c>
      <c r="C326" s="3" t="n">
        <v>38992</v>
      </c>
      <c r="D326" s="2" t="s">
        <v>2760</v>
      </c>
      <c r="F326" s="2" t="s">
        <v>2761</v>
      </c>
      <c r="G326" s="2" t="s">
        <v>2762</v>
      </c>
      <c r="H326" s="2" t="s">
        <v>130</v>
      </c>
      <c r="I326" s="2" t="s">
        <v>286</v>
      </c>
      <c r="J326" s="2" t="s">
        <v>35</v>
      </c>
      <c r="K326" s="2" t="s">
        <v>2760</v>
      </c>
      <c r="L326" s="2" t="s">
        <v>286</v>
      </c>
      <c r="M326" s="2" t="s">
        <v>130</v>
      </c>
      <c r="N326" s="2" t="s">
        <v>2763</v>
      </c>
      <c r="O326" s="2"/>
      <c r="P326" s="2" t="s">
        <v>79</v>
      </c>
      <c r="Q326" s="4" t="n">
        <v>6794</v>
      </c>
      <c r="R326" s="2" t="s">
        <v>136</v>
      </c>
      <c r="S326" s="2" t="s">
        <v>39</v>
      </c>
      <c r="T326" s="2" t="s">
        <v>40</v>
      </c>
      <c r="U326" s="2" t="s">
        <v>2764</v>
      </c>
      <c r="V326" s="2"/>
      <c r="W326" s="2" t="s">
        <v>94</v>
      </c>
      <c r="X326" s="2" t="s">
        <v>43</v>
      </c>
      <c r="Y326" s="2" t="s">
        <v>37</v>
      </c>
      <c r="Z326" s="2" t="s">
        <v>44</v>
      </c>
      <c r="AA326" s="2" t="s">
        <v>2765</v>
      </c>
      <c r="AB326" s="2"/>
      <c r="AC326" s="2" t="s">
        <v>2766</v>
      </c>
      <c r="AD326" s="2" t="s">
        <v>46</v>
      </c>
    </row>
    <row r="327" customFormat="false" ht="15.7" hidden="false" customHeight="true" outlineLevel="0" collapsed="false">
      <c r="A327" s="2"/>
      <c r="B327" s="3" t="n">
        <f aca="false">DATE(2006,10,2)</f>
        <v>0</v>
      </c>
      <c r="C327" s="3" t="n">
        <v>38992</v>
      </c>
      <c r="D327" s="2" t="s">
        <v>2767</v>
      </c>
      <c r="F327" s="2" t="s">
        <v>2768</v>
      </c>
      <c r="G327" s="2" t="s">
        <v>2769</v>
      </c>
      <c r="H327" s="2" t="s">
        <v>2770</v>
      </c>
      <c r="I327" s="2" t="s">
        <v>330</v>
      </c>
      <c r="J327" s="2" t="s">
        <v>331</v>
      </c>
      <c r="K327" s="2" t="s">
        <v>2767</v>
      </c>
      <c r="L327" s="2" t="s">
        <v>330</v>
      </c>
      <c r="M327" s="2" t="s">
        <v>2770</v>
      </c>
      <c r="N327" s="2" t="s">
        <v>2771</v>
      </c>
      <c r="O327" s="2"/>
      <c r="P327" s="2" t="s">
        <v>37</v>
      </c>
      <c r="Q327" s="4" t="n">
        <v>8731</v>
      </c>
      <c r="R327" s="2" t="s">
        <v>136</v>
      </c>
      <c r="S327" s="2" t="s">
        <v>39</v>
      </c>
      <c r="T327" s="2" t="s">
        <v>40</v>
      </c>
      <c r="U327" s="2" t="s">
        <v>2772</v>
      </c>
      <c r="V327" s="2"/>
      <c r="W327" s="2" t="s">
        <v>42</v>
      </c>
      <c r="X327" s="2" t="s">
        <v>43</v>
      </c>
      <c r="Y327" s="2" t="s">
        <v>37</v>
      </c>
      <c r="Z327" s="2" t="s">
        <v>44</v>
      </c>
      <c r="AA327" s="2"/>
      <c r="AB327" s="2"/>
      <c r="AC327" s="2" t="s">
        <v>2773</v>
      </c>
      <c r="AD327" s="2" t="s">
        <v>46</v>
      </c>
    </row>
    <row r="328" customFormat="false" ht="15.7" hidden="false" customHeight="true" outlineLevel="0" collapsed="false">
      <c r="A328" s="2"/>
      <c r="B328" s="3" t="n">
        <f aca="false">DATE(2006,10,2)</f>
        <v>0</v>
      </c>
      <c r="C328" s="3" t="n">
        <v>38992</v>
      </c>
      <c r="D328" s="2" t="s">
        <v>2774</v>
      </c>
      <c r="F328" s="2" t="s">
        <v>2775</v>
      </c>
      <c r="G328" s="2" t="s">
        <v>2776</v>
      </c>
      <c r="H328" s="2" t="s">
        <v>2777</v>
      </c>
      <c r="I328" s="2" t="s">
        <v>321</v>
      </c>
      <c r="J328" s="2" t="s">
        <v>35</v>
      </c>
      <c r="K328" s="2" t="s">
        <v>2778</v>
      </c>
      <c r="L328" s="2" t="s">
        <v>321</v>
      </c>
      <c r="M328" s="2" t="s">
        <v>2779</v>
      </c>
      <c r="N328" s="2" t="s">
        <v>2780</v>
      </c>
      <c r="O328" s="2"/>
      <c r="P328" s="2" t="s">
        <v>37</v>
      </c>
      <c r="Q328" s="4" t="n">
        <v>8734</v>
      </c>
      <c r="R328" s="2" t="s">
        <v>2508</v>
      </c>
      <c r="S328" s="2" t="s">
        <v>39</v>
      </c>
      <c r="T328" s="2" t="s">
        <v>40</v>
      </c>
      <c r="U328" s="2" t="s">
        <v>2781</v>
      </c>
      <c r="V328" s="2"/>
      <c r="W328" s="2" t="s">
        <v>42</v>
      </c>
      <c r="X328" s="2" t="s">
        <v>43</v>
      </c>
      <c r="Y328" s="2" t="s">
        <v>37</v>
      </c>
      <c r="Z328" s="2" t="s">
        <v>44</v>
      </c>
      <c r="AA328" s="2"/>
      <c r="AB328" s="2"/>
      <c r="AC328" s="2" t="s">
        <v>2782</v>
      </c>
      <c r="AD328" s="2" t="s">
        <v>46</v>
      </c>
    </row>
    <row r="329" customFormat="false" ht="15.7" hidden="false" customHeight="true" outlineLevel="0" collapsed="false">
      <c r="A329" s="2"/>
      <c r="B329" s="3" t="n">
        <f aca="false">DATE(2006,10,2)</f>
        <v>0</v>
      </c>
      <c r="C329" s="3" t="n">
        <v>38992</v>
      </c>
      <c r="D329" s="2" t="s">
        <v>2783</v>
      </c>
      <c r="F329" s="2" t="s">
        <v>2784</v>
      </c>
      <c r="G329" s="2" t="s">
        <v>2785</v>
      </c>
      <c r="H329" s="2" t="s">
        <v>2786</v>
      </c>
      <c r="I329" s="2" t="s">
        <v>88</v>
      </c>
      <c r="J329" s="2" t="s">
        <v>625</v>
      </c>
      <c r="K329" s="2" t="s">
        <v>2783</v>
      </c>
      <c r="L329" s="2" t="s">
        <v>88</v>
      </c>
      <c r="M329" s="2" t="s">
        <v>2786</v>
      </c>
      <c r="N329" s="2" t="s">
        <v>2787</v>
      </c>
      <c r="O329" s="2"/>
      <c r="P329" s="2" t="s">
        <v>37</v>
      </c>
      <c r="Q329" s="4" t="n">
        <v>8731</v>
      </c>
      <c r="R329" s="2" t="s">
        <v>136</v>
      </c>
      <c r="S329" s="2" t="s">
        <v>39</v>
      </c>
      <c r="T329" s="2" t="s">
        <v>40</v>
      </c>
      <c r="U329" s="2" t="s">
        <v>2788</v>
      </c>
      <c r="V329" s="2"/>
      <c r="W329" s="2" t="s">
        <v>42</v>
      </c>
      <c r="X329" s="2" t="s">
        <v>43</v>
      </c>
      <c r="Y329" s="2" t="s">
        <v>37</v>
      </c>
      <c r="Z329" s="2" t="s">
        <v>44</v>
      </c>
      <c r="AA329" s="2"/>
      <c r="AB329" s="2"/>
      <c r="AC329" s="2" t="s">
        <v>2789</v>
      </c>
      <c r="AD329" s="2" t="s">
        <v>46</v>
      </c>
    </row>
    <row r="330" customFormat="false" ht="15.7" hidden="false" customHeight="true" outlineLevel="0" collapsed="false">
      <c r="A330" s="2"/>
      <c r="B330" s="3" t="n">
        <f aca="false">DATE(2006,10,3)</f>
        <v>0</v>
      </c>
      <c r="C330" s="3" t="n">
        <v>38993</v>
      </c>
      <c r="D330" s="2" t="s">
        <v>2790</v>
      </c>
      <c r="F330" s="2" t="s">
        <v>2791</v>
      </c>
      <c r="G330" s="2" t="s">
        <v>2792</v>
      </c>
      <c r="H330" s="2" t="s">
        <v>63</v>
      </c>
      <c r="I330" s="2" t="s">
        <v>51</v>
      </c>
      <c r="J330" s="2" t="s">
        <v>2793</v>
      </c>
      <c r="K330" s="2" t="s">
        <v>2794</v>
      </c>
      <c r="L330" s="2" t="s">
        <v>180</v>
      </c>
      <c r="M330" s="2" t="s">
        <v>130</v>
      </c>
      <c r="N330" s="2" t="s">
        <v>2795</v>
      </c>
      <c r="O330" s="2"/>
      <c r="P330" s="2" t="s">
        <v>79</v>
      </c>
      <c r="Q330" s="4" t="n">
        <v>6794</v>
      </c>
      <c r="R330" s="2" t="s">
        <v>136</v>
      </c>
      <c r="S330" s="2" t="s">
        <v>39</v>
      </c>
      <c r="T330" s="2" t="s">
        <v>40</v>
      </c>
      <c r="U330" s="2" t="s">
        <v>2796</v>
      </c>
      <c r="V330" s="2"/>
      <c r="W330" s="2" t="s">
        <v>2797</v>
      </c>
      <c r="X330" s="2" t="s">
        <v>43</v>
      </c>
      <c r="Y330" s="2" t="s">
        <v>37</v>
      </c>
      <c r="Z330" s="2" t="s">
        <v>44</v>
      </c>
      <c r="AA330" s="2" t="s">
        <v>2798</v>
      </c>
      <c r="AB330" s="2"/>
      <c r="AC330" s="2" t="s">
        <v>2799</v>
      </c>
      <c r="AD330" s="2" t="s">
        <v>46</v>
      </c>
    </row>
    <row r="331" customFormat="false" ht="15.7" hidden="false" customHeight="true" outlineLevel="0" collapsed="false">
      <c r="A331" s="2"/>
      <c r="B331" s="3" t="n">
        <f aca="false">DATE(2006,10,3)</f>
        <v>0</v>
      </c>
      <c r="C331" s="3" t="n">
        <v>38993</v>
      </c>
      <c r="D331" s="2" t="s">
        <v>2800</v>
      </c>
      <c r="F331" s="2" t="s">
        <v>2801</v>
      </c>
      <c r="G331" s="2" t="s">
        <v>2802</v>
      </c>
      <c r="H331" s="2" t="s">
        <v>130</v>
      </c>
      <c r="I331" s="2" t="s">
        <v>2803</v>
      </c>
      <c r="J331" s="2" t="s">
        <v>35</v>
      </c>
      <c r="K331" s="2" t="s">
        <v>2800</v>
      </c>
      <c r="L331" s="2" t="s">
        <v>2803</v>
      </c>
      <c r="M331" s="2" t="s">
        <v>130</v>
      </c>
      <c r="N331" s="2" t="s">
        <v>2804</v>
      </c>
      <c r="O331" s="2"/>
      <c r="P331" s="2" t="s">
        <v>79</v>
      </c>
      <c r="Q331" s="4" t="n">
        <v>6794</v>
      </c>
      <c r="R331" s="2" t="s">
        <v>56</v>
      </c>
      <c r="S331" s="2" t="s">
        <v>1576</v>
      </c>
      <c r="T331" s="2" t="s">
        <v>40</v>
      </c>
      <c r="U331" s="2" t="s">
        <v>2805</v>
      </c>
      <c r="V331" s="2"/>
      <c r="W331" s="2" t="s">
        <v>82</v>
      </c>
      <c r="X331" s="2" t="s">
        <v>43</v>
      </c>
      <c r="Y331" s="2" t="s">
        <v>37</v>
      </c>
      <c r="Z331" s="2" t="s">
        <v>44</v>
      </c>
      <c r="AA331" s="2"/>
      <c r="AB331" s="2"/>
      <c r="AC331" s="2" t="s">
        <v>2806</v>
      </c>
      <c r="AD331" s="2" t="s">
        <v>46</v>
      </c>
    </row>
    <row r="332" customFormat="false" ht="15.7" hidden="false" customHeight="true" outlineLevel="0" collapsed="false">
      <c r="A332" s="2"/>
      <c r="B332" s="3" t="n">
        <f aca="false">DATE(2006,10,4)</f>
        <v>0</v>
      </c>
      <c r="C332" s="3" t="n">
        <v>38994</v>
      </c>
      <c r="D332" s="2" t="s">
        <v>2807</v>
      </c>
      <c r="F332" s="2" t="s">
        <v>1378</v>
      </c>
      <c r="G332" s="2" t="s">
        <v>2808</v>
      </c>
      <c r="H332" s="2" t="s">
        <v>63</v>
      </c>
      <c r="I332" s="2" t="s">
        <v>2809</v>
      </c>
      <c r="J332" s="2" t="s">
        <v>35</v>
      </c>
      <c r="K332" s="2" t="s">
        <v>2807</v>
      </c>
      <c r="L332" s="2" t="s">
        <v>2809</v>
      </c>
      <c r="M332" s="2" t="s">
        <v>63</v>
      </c>
      <c r="N332" s="2" t="s">
        <v>2810</v>
      </c>
      <c r="O332" s="2"/>
      <c r="P332" s="2" t="s">
        <v>79</v>
      </c>
      <c r="Q332" s="4" t="n">
        <v>6794</v>
      </c>
      <c r="R332" s="2" t="s">
        <v>136</v>
      </c>
      <c r="S332" s="2" t="s">
        <v>39</v>
      </c>
      <c r="T332" s="2" t="s">
        <v>40</v>
      </c>
      <c r="U332" s="2" t="s">
        <v>2811</v>
      </c>
      <c r="V332" s="2"/>
      <c r="W332" s="2" t="s">
        <v>206</v>
      </c>
      <c r="X332" s="2" t="s">
        <v>43</v>
      </c>
      <c r="Y332" s="2" t="s">
        <v>37</v>
      </c>
      <c r="Z332" s="2" t="s">
        <v>44</v>
      </c>
      <c r="AA332" s="2"/>
      <c r="AB332" s="2"/>
      <c r="AC332" s="2" t="s">
        <v>2812</v>
      </c>
      <c r="AD332" s="2" t="s">
        <v>46</v>
      </c>
    </row>
    <row r="333" customFormat="false" ht="15.7" hidden="false" customHeight="true" outlineLevel="0" collapsed="false">
      <c r="A333" s="2"/>
      <c r="B333" s="3" t="n">
        <f aca="false">DATE(2006,10,4)</f>
        <v>0</v>
      </c>
      <c r="C333" s="3" t="n">
        <v>38994</v>
      </c>
      <c r="D333" s="2" t="s">
        <v>2813</v>
      </c>
      <c r="F333" s="2" t="s">
        <v>2814</v>
      </c>
      <c r="G333" s="2" t="s">
        <v>2815</v>
      </c>
      <c r="H333" s="2" t="s">
        <v>1770</v>
      </c>
      <c r="I333" s="2" t="s">
        <v>51</v>
      </c>
      <c r="J333" s="2" t="s">
        <v>2816</v>
      </c>
      <c r="K333" s="2" t="s">
        <v>2813</v>
      </c>
      <c r="L333" s="2" t="s">
        <v>51</v>
      </c>
      <c r="M333" s="2" t="s">
        <v>1770</v>
      </c>
      <c r="N333" s="2" t="s">
        <v>2817</v>
      </c>
      <c r="O333" s="2"/>
      <c r="P333" s="2" t="s">
        <v>79</v>
      </c>
      <c r="Q333" s="4" t="n">
        <v>6794</v>
      </c>
      <c r="R333" s="2" t="s">
        <v>136</v>
      </c>
      <c r="S333" s="2" t="s">
        <v>39</v>
      </c>
      <c r="T333" s="2" t="s">
        <v>40</v>
      </c>
      <c r="U333" s="2" t="s">
        <v>2818</v>
      </c>
      <c r="V333" s="2"/>
      <c r="W333" s="2" t="s">
        <v>206</v>
      </c>
      <c r="X333" s="2" t="s">
        <v>43</v>
      </c>
      <c r="Y333" s="2" t="s">
        <v>37</v>
      </c>
      <c r="Z333" s="2" t="s">
        <v>44</v>
      </c>
      <c r="AA333" s="2"/>
      <c r="AB333" s="2"/>
      <c r="AC333" s="2" t="s">
        <v>2819</v>
      </c>
      <c r="AD333" s="2" t="s">
        <v>46</v>
      </c>
    </row>
    <row r="334" customFormat="false" ht="15.7" hidden="false" customHeight="true" outlineLevel="0" collapsed="false">
      <c r="A334" s="2"/>
      <c r="B334" s="3" t="n">
        <f aca="false">DATE(2006,10,4)</f>
        <v>0</v>
      </c>
      <c r="C334" s="3" t="n">
        <v>38994</v>
      </c>
      <c r="D334" s="2" t="s">
        <v>2820</v>
      </c>
      <c r="F334" s="2" t="s">
        <v>2821</v>
      </c>
      <c r="G334" s="2" t="s">
        <v>2822</v>
      </c>
      <c r="H334" s="2" t="s">
        <v>2823</v>
      </c>
      <c r="I334" s="2" t="s">
        <v>51</v>
      </c>
      <c r="J334" s="2" t="s">
        <v>2824</v>
      </c>
      <c r="K334" s="2" t="s">
        <v>2825</v>
      </c>
      <c r="L334" s="2" t="s">
        <v>180</v>
      </c>
      <c r="M334" s="2" t="s">
        <v>478</v>
      </c>
      <c r="N334" s="2" t="s">
        <v>2826</v>
      </c>
      <c r="O334" s="2"/>
      <c r="P334" s="2" t="s">
        <v>37</v>
      </c>
      <c r="Q334" s="4" t="n">
        <v>8731</v>
      </c>
      <c r="R334" s="2" t="s">
        <v>136</v>
      </c>
      <c r="S334" s="2" t="s">
        <v>39</v>
      </c>
      <c r="T334" s="2" t="s">
        <v>673</v>
      </c>
      <c r="U334" s="2" t="s">
        <v>2827</v>
      </c>
      <c r="V334" s="2"/>
      <c r="W334" s="2" t="s">
        <v>138</v>
      </c>
      <c r="X334" s="2" t="s">
        <v>43</v>
      </c>
      <c r="Y334" s="2" t="s">
        <v>37</v>
      </c>
      <c r="Z334" s="2" t="s">
        <v>44</v>
      </c>
      <c r="AA334" s="2"/>
      <c r="AB334" s="2"/>
      <c r="AC334" s="2" t="s">
        <v>2828</v>
      </c>
      <c r="AD334" s="2" t="s">
        <v>46</v>
      </c>
    </row>
    <row r="335" customFormat="false" ht="15.7" hidden="false" customHeight="true" outlineLevel="0" collapsed="false">
      <c r="A335" s="2"/>
      <c r="B335" s="3" t="n">
        <f aca="false">DATE(2006,10,4)</f>
        <v>0</v>
      </c>
      <c r="C335" s="3" t="n">
        <v>38994</v>
      </c>
      <c r="D335" s="2" t="s">
        <v>2829</v>
      </c>
      <c r="F335" s="2" t="s">
        <v>2830</v>
      </c>
      <c r="G335" s="2" t="s">
        <v>2831</v>
      </c>
      <c r="H335" s="2" t="s">
        <v>2832</v>
      </c>
      <c r="I335" s="2" t="s">
        <v>51</v>
      </c>
      <c r="J335" s="2" t="s">
        <v>2833</v>
      </c>
      <c r="K335" s="2" t="s">
        <v>2834</v>
      </c>
      <c r="L335" s="2" t="s">
        <v>51</v>
      </c>
      <c r="M335" s="2" t="s">
        <v>2835</v>
      </c>
      <c r="N335" s="2" t="s">
        <v>2836</v>
      </c>
      <c r="O335" s="2"/>
      <c r="P335" s="2" t="s">
        <v>37</v>
      </c>
      <c r="Q335" s="4" t="n">
        <v>8731</v>
      </c>
      <c r="R335" s="2" t="s">
        <v>56</v>
      </c>
      <c r="S335" s="2" t="s">
        <v>277</v>
      </c>
      <c r="T335" s="2" t="s">
        <v>40</v>
      </c>
      <c r="U335" s="2" t="s">
        <v>2837</v>
      </c>
      <c r="V335" s="2"/>
      <c r="W335" s="2" t="s">
        <v>42</v>
      </c>
      <c r="X335" s="2" t="s">
        <v>43</v>
      </c>
      <c r="Y335" s="2" t="s">
        <v>37</v>
      </c>
      <c r="Z335" s="2" t="s">
        <v>44</v>
      </c>
      <c r="AA335" s="2"/>
      <c r="AB335" s="2"/>
      <c r="AC335" s="2" t="s">
        <v>2838</v>
      </c>
      <c r="AD335" s="2" t="s">
        <v>46</v>
      </c>
    </row>
    <row r="336" customFormat="false" ht="15.7" hidden="false" customHeight="true" outlineLevel="0" collapsed="false">
      <c r="A336" s="2"/>
      <c r="B336" s="3" t="n">
        <f aca="false">DATE(2006,10,5)</f>
        <v>0</v>
      </c>
      <c r="C336" s="3" t="n">
        <v>38995</v>
      </c>
      <c r="D336" s="2" t="s">
        <v>2839</v>
      </c>
      <c r="F336" s="2" t="s">
        <v>2840</v>
      </c>
      <c r="G336" s="2" t="s">
        <v>2841</v>
      </c>
      <c r="H336" s="2" t="s">
        <v>63</v>
      </c>
      <c r="I336" s="2" t="s">
        <v>330</v>
      </c>
      <c r="J336" s="2" t="s">
        <v>258</v>
      </c>
      <c r="K336" s="2" t="s">
        <v>2842</v>
      </c>
      <c r="L336" s="2" t="s">
        <v>330</v>
      </c>
      <c r="M336" s="2" t="s">
        <v>63</v>
      </c>
      <c r="N336" s="2" t="s">
        <v>2843</v>
      </c>
      <c r="O336" s="2"/>
      <c r="P336" s="2" t="s">
        <v>79</v>
      </c>
      <c r="Q336" s="4" t="n">
        <v>6794</v>
      </c>
      <c r="R336" s="2" t="s">
        <v>136</v>
      </c>
      <c r="S336" s="2" t="s">
        <v>39</v>
      </c>
      <c r="T336" s="2" t="s">
        <v>40</v>
      </c>
      <c r="U336" s="2" t="s">
        <v>2844</v>
      </c>
      <c r="V336" s="2"/>
      <c r="W336" s="2" t="s">
        <v>206</v>
      </c>
      <c r="X336" s="2" t="s">
        <v>43</v>
      </c>
      <c r="Y336" s="2" t="s">
        <v>37</v>
      </c>
      <c r="Z336" s="2" t="s">
        <v>44</v>
      </c>
      <c r="AA336" s="2"/>
      <c r="AB336" s="2"/>
      <c r="AC336" s="2" t="s">
        <v>2845</v>
      </c>
      <c r="AD336" s="2" t="s">
        <v>46</v>
      </c>
    </row>
    <row r="337" customFormat="false" ht="15.7" hidden="false" customHeight="true" outlineLevel="0" collapsed="false">
      <c r="A337" s="2"/>
      <c r="B337" s="3" t="n">
        <f aca="false">DATE(2006,10,11)</f>
        <v>0</v>
      </c>
      <c r="C337" s="3" t="n">
        <v>39001</v>
      </c>
      <c r="D337" s="2" t="s">
        <v>2846</v>
      </c>
      <c r="F337" s="2" t="s">
        <v>709</v>
      </c>
      <c r="G337" s="2" t="s">
        <v>2847</v>
      </c>
      <c r="H337" s="2" t="s">
        <v>130</v>
      </c>
      <c r="I337" s="2" t="s">
        <v>2848</v>
      </c>
      <c r="J337" s="2" t="s">
        <v>35</v>
      </c>
      <c r="K337" s="2" t="s">
        <v>2849</v>
      </c>
      <c r="L337" s="2" t="s">
        <v>2850</v>
      </c>
      <c r="M337" s="2" t="s">
        <v>130</v>
      </c>
      <c r="N337" s="2" t="s">
        <v>2851</v>
      </c>
      <c r="O337" s="2"/>
      <c r="P337" s="2" t="s">
        <v>37</v>
      </c>
      <c r="Q337" s="4" t="n">
        <v>8731</v>
      </c>
      <c r="R337" s="2" t="s">
        <v>136</v>
      </c>
      <c r="S337" s="2" t="s">
        <v>39</v>
      </c>
      <c r="T337" s="2" t="s">
        <v>40</v>
      </c>
      <c r="U337" s="2" t="s">
        <v>2852</v>
      </c>
      <c r="V337" s="2"/>
      <c r="W337" s="2" t="s">
        <v>138</v>
      </c>
      <c r="X337" s="2" t="s">
        <v>43</v>
      </c>
      <c r="Y337" s="2" t="s">
        <v>37</v>
      </c>
      <c r="Z337" s="2" t="s">
        <v>44</v>
      </c>
      <c r="AA337" s="2"/>
      <c r="AB337" s="2"/>
      <c r="AC337" s="2" t="s">
        <v>2853</v>
      </c>
      <c r="AD337" s="2" t="s">
        <v>46</v>
      </c>
    </row>
    <row r="338" customFormat="false" ht="15.7" hidden="false" customHeight="true" outlineLevel="0" collapsed="false">
      <c r="A338" s="2"/>
      <c r="B338" s="3" t="n">
        <f aca="false">DATE(2006,10,11)</f>
        <v>0</v>
      </c>
      <c r="C338" s="3" t="n">
        <v>39001</v>
      </c>
      <c r="D338" s="2" t="s">
        <v>2854</v>
      </c>
      <c r="F338" s="2" t="s">
        <v>2855</v>
      </c>
      <c r="G338" s="2" t="s">
        <v>2856</v>
      </c>
      <c r="H338" s="2" t="s">
        <v>2857</v>
      </c>
      <c r="I338" s="2" t="s">
        <v>51</v>
      </c>
      <c r="J338" s="2" t="s">
        <v>2858</v>
      </c>
      <c r="K338" s="2" t="s">
        <v>2854</v>
      </c>
      <c r="L338" s="2" t="s">
        <v>51</v>
      </c>
      <c r="M338" s="2" t="s">
        <v>2857</v>
      </c>
      <c r="N338" s="2" t="s">
        <v>2859</v>
      </c>
      <c r="O338" s="2"/>
      <c r="P338" s="2" t="s">
        <v>37</v>
      </c>
      <c r="Q338" s="4" t="n">
        <v>8731</v>
      </c>
      <c r="R338" s="2" t="s">
        <v>56</v>
      </c>
      <c r="S338" s="2" t="s">
        <v>92</v>
      </c>
      <c r="T338" s="2" t="s">
        <v>40</v>
      </c>
      <c r="U338" s="2" t="s">
        <v>2860</v>
      </c>
      <c r="V338" s="2"/>
      <c r="W338" s="2" t="s">
        <v>42</v>
      </c>
      <c r="X338" s="2" t="s">
        <v>43</v>
      </c>
      <c r="Y338" s="2" t="s">
        <v>37</v>
      </c>
      <c r="Z338" s="2" t="s">
        <v>44</v>
      </c>
      <c r="AA338" s="2"/>
      <c r="AB338" s="2"/>
      <c r="AC338" s="2" t="s">
        <v>2861</v>
      </c>
      <c r="AD338" s="2" t="s">
        <v>46</v>
      </c>
    </row>
    <row r="339" customFormat="false" ht="15.7" hidden="false" customHeight="true" outlineLevel="0" collapsed="false">
      <c r="A339" s="2"/>
      <c r="B339" s="3" t="n">
        <f aca="false">DATE(2006,10,11)</f>
        <v>0</v>
      </c>
      <c r="C339" s="3" t="n">
        <v>39001</v>
      </c>
      <c r="D339" s="2" t="s">
        <v>2862</v>
      </c>
      <c r="F339" s="2" t="s">
        <v>2863</v>
      </c>
      <c r="G339" s="2" t="s">
        <v>2864</v>
      </c>
      <c r="H339" s="2" t="s">
        <v>130</v>
      </c>
      <c r="I339" s="2" t="s">
        <v>867</v>
      </c>
      <c r="J339" s="2" t="s">
        <v>35</v>
      </c>
      <c r="K339" s="2" t="s">
        <v>2865</v>
      </c>
      <c r="L339" s="2" t="s">
        <v>867</v>
      </c>
      <c r="M339" s="2" t="s">
        <v>130</v>
      </c>
      <c r="N339" s="2" t="s">
        <v>2866</v>
      </c>
      <c r="O339" s="2"/>
      <c r="P339" s="2" t="s">
        <v>79</v>
      </c>
      <c r="Q339" s="4" t="n">
        <v>6794</v>
      </c>
      <c r="R339" s="2" t="s">
        <v>869</v>
      </c>
      <c r="S339" s="2" t="s">
        <v>39</v>
      </c>
      <c r="T339" s="2" t="s">
        <v>40</v>
      </c>
      <c r="U339" s="2" t="s">
        <v>2867</v>
      </c>
      <c r="V339" s="2"/>
      <c r="W339" s="2" t="s">
        <v>82</v>
      </c>
      <c r="X339" s="2" t="s">
        <v>43</v>
      </c>
      <c r="Y339" s="2" t="s">
        <v>37</v>
      </c>
      <c r="Z339" s="2" t="s">
        <v>44</v>
      </c>
      <c r="AA339" s="2"/>
      <c r="AB339" s="2"/>
      <c r="AC339" s="2" t="s">
        <v>2868</v>
      </c>
      <c r="AD339" s="2" t="s">
        <v>46</v>
      </c>
    </row>
    <row r="340" customFormat="false" ht="15.7" hidden="false" customHeight="true" outlineLevel="0" collapsed="false">
      <c r="A340" s="2"/>
      <c r="B340" s="3" t="n">
        <f aca="false">DATE(2006,10,11)</f>
        <v>0</v>
      </c>
      <c r="C340" s="3" t="n">
        <v>39001</v>
      </c>
      <c r="D340" s="2" t="s">
        <v>2869</v>
      </c>
      <c r="F340" s="2" t="s">
        <v>2870</v>
      </c>
      <c r="G340" s="2" t="s">
        <v>2871</v>
      </c>
      <c r="H340" s="2" t="s">
        <v>2872</v>
      </c>
      <c r="I340" s="2" t="s">
        <v>51</v>
      </c>
      <c r="J340" s="2" t="s">
        <v>2873</v>
      </c>
      <c r="K340" s="2" t="s">
        <v>2869</v>
      </c>
      <c r="L340" s="2" t="s">
        <v>51</v>
      </c>
      <c r="M340" s="2" t="s">
        <v>2872</v>
      </c>
      <c r="N340" s="2" t="s">
        <v>2874</v>
      </c>
      <c r="O340" s="2"/>
      <c r="P340" s="2" t="s">
        <v>37</v>
      </c>
      <c r="Q340" s="4" t="n">
        <v>8731</v>
      </c>
      <c r="R340" s="2" t="s">
        <v>56</v>
      </c>
      <c r="S340" s="2" t="s">
        <v>315</v>
      </c>
      <c r="T340" s="2" t="s">
        <v>40</v>
      </c>
      <c r="U340" s="2" t="s">
        <v>2875</v>
      </c>
      <c r="V340" s="2"/>
      <c r="W340" s="2" t="s">
        <v>42</v>
      </c>
      <c r="X340" s="2" t="s">
        <v>43</v>
      </c>
      <c r="Y340" s="2" t="s">
        <v>37</v>
      </c>
      <c r="Z340" s="2" t="s">
        <v>44</v>
      </c>
      <c r="AA340" s="2"/>
      <c r="AB340" s="2"/>
      <c r="AC340" s="2" t="s">
        <v>2876</v>
      </c>
      <c r="AD340" s="2" t="s">
        <v>46</v>
      </c>
    </row>
    <row r="341" customFormat="false" ht="15.7" hidden="false" customHeight="true" outlineLevel="0" collapsed="false">
      <c r="A341" s="2"/>
      <c r="B341" s="3" t="n">
        <f aca="false">DATE(2006,10,11)</f>
        <v>0</v>
      </c>
      <c r="C341" s="3" t="n">
        <v>39001</v>
      </c>
      <c r="D341" s="2" t="s">
        <v>2877</v>
      </c>
      <c r="F341" s="2" t="s">
        <v>2801</v>
      </c>
      <c r="G341" s="2" t="s">
        <v>2878</v>
      </c>
      <c r="H341" s="2" t="s">
        <v>130</v>
      </c>
      <c r="I341" s="2" t="s">
        <v>2879</v>
      </c>
      <c r="J341" s="2" t="s">
        <v>35</v>
      </c>
      <c r="K341" s="2" t="s">
        <v>2877</v>
      </c>
      <c r="L341" s="2" t="s">
        <v>2879</v>
      </c>
      <c r="M341" s="2" t="s">
        <v>130</v>
      </c>
      <c r="N341" s="2" t="s">
        <v>2880</v>
      </c>
      <c r="O341" s="2"/>
      <c r="P341" s="2" t="s">
        <v>37</v>
      </c>
      <c r="Q341" s="4" t="n">
        <v>8731</v>
      </c>
      <c r="R341" s="2" t="s">
        <v>136</v>
      </c>
      <c r="S341" s="2" t="s">
        <v>39</v>
      </c>
      <c r="T341" s="2" t="s">
        <v>40</v>
      </c>
      <c r="U341" s="2" t="s">
        <v>2881</v>
      </c>
      <c r="V341" s="2"/>
      <c r="W341" s="2" t="s">
        <v>138</v>
      </c>
      <c r="X341" s="2" t="s">
        <v>43</v>
      </c>
      <c r="Y341" s="2" t="s">
        <v>37</v>
      </c>
      <c r="Z341" s="2" t="s">
        <v>44</v>
      </c>
      <c r="AA341" s="2"/>
      <c r="AB341" s="2"/>
      <c r="AC341" s="2" t="s">
        <v>2882</v>
      </c>
      <c r="AD341" s="2" t="s">
        <v>46</v>
      </c>
    </row>
    <row r="342" customFormat="false" ht="15.7" hidden="false" customHeight="true" outlineLevel="0" collapsed="false">
      <c r="A342" s="2"/>
      <c r="B342" s="3" t="n">
        <f aca="false">DATE(2006,10,16)</f>
        <v>0</v>
      </c>
      <c r="C342" s="3" t="n">
        <v>39006</v>
      </c>
      <c r="D342" s="2" t="s">
        <v>2883</v>
      </c>
      <c r="F342" s="2" t="s">
        <v>408</v>
      </c>
      <c r="G342" s="2" t="s">
        <v>2884</v>
      </c>
      <c r="H342" s="2" t="s">
        <v>170</v>
      </c>
      <c r="I342" s="2" t="s">
        <v>296</v>
      </c>
      <c r="J342" s="2" t="s">
        <v>65</v>
      </c>
      <c r="K342" s="2" t="s">
        <v>2883</v>
      </c>
      <c r="L342" s="2" t="s">
        <v>296</v>
      </c>
      <c r="M342" s="2" t="s">
        <v>170</v>
      </c>
      <c r="N342" s="2" t="s">
        <v>2885</v>
      </c>
      <c r="O342" s="2"/>
      <c r="P342" s="2" t="s">
        <v>37</v>
      </c>
      <c r="Q342" s="4" t="n">
        <v>8731</v>
      </c>
      <c r="R342" s="2" t="s">
        <v>56</v>
      </c>
      <c r="S342" s="2" t="s">
        <v>92</v>
      </c>
      <c r="T342" s="2" t="s">
        <v>40</v>
      </c>
      <c r="U342" s="2" t="s">
        <v>2886</v>
      </c>
      <c r="V342" s="2"/>
      <c r="W342" s="2" t="s">
        <v>773</v>
      </c>
      <c r="X342" s="2" t="s">
        <v>43</v>
      </c>
      <c r="Y342" s="2" t="s">
        <v>37</v>
      </c>
      <c r="Z342" s="2" t="s">
        <v>44</v>
      </c>
      <c r="AA342" s="2"/>
      <c r="AB342" s="2"/>
      <c r="AC342" s="2" t="s">
        <v>2887</v>
      </c>
      <c r="AD342" s="2" t="s">
        <v>46</v>
      </c>
    </row>
    <row r="343" customFormat="false" ht="15.7" hidden="false" customHeight="true" outlineLevel="0" collapsed="false">
      <c r="A343" s="2"/>
      <c r="B343" s="3" t="n">
        <f aca="false">DATE(2006,10,16)</f>
        <v>0</v>
      </c>
      <c r="C343" s="3" t="n">
        <v>39006</v>
      </c>
      <c r="D343" s="2" t="s">
        <v>2888</v>
      </c>
      <c r="F343" s="2" t="s">
        <v>2889</v>
      </c>
      <c r="G343" s="2" t="s">
        <v>2890</v>
      </c>
      <c r="H343" s="2" t="s">
        <v>170</v>
      </c>
      <c r="I343" s="2" t="s">
        <v>2891</v>
      </c>
      <c r="J343" s="2" t="s">
        <v>35</v>
      </c>
      <c r="K343" s="2" t="s">
        <v>2888</v>
      </c>
      <c r="L343" s="2" t="s">
        <v>2891</v>
      </c>
      <c r="M343" s="2" t="s">
        <v>170</v>
      </c>
      <c r="N343" s="2" t="s">
        <v>2892</v>
      </c>
      <c r="O343" s="2"/>
      <c r="P343" s="2" t="s">
        <v>37</v>
      </c>
      <c r="Q343" s="4" t="n">
        <v>2834</v>
      </c>
      <c r="R343" s="2" t="s">
        <v>136</v>
      </c>
      <c r="S343" s="2" t="s">
        <v>39</v>
      </c>
      <c r="T343" s="2" t="s">
        <v>40</v>
      </c>
      <c r="U343" s="2" t="s">
        <v>2893</v>
      </c>
      <c r="V343" s="2"/>
      <c r="W343" s="2" t="s">
        <v>755</v>
      </c>
      <c r="X343" s="2" t="s">
        <v>43</v>
      </c>
      <c r="Y343" s="2" t="s">
        <v>37</v>
      </c>
      <c r="Z343" s="2" t="s">
        <v>44</v>
      </c>
      <c r="AA343" s="2" t="s">
        <v>2894</v>
      </c>
      <c r="AB343" s="2"/>
      <c r="AC343" s="2" t="s">
        <v>2895</v>
      </c>
      <c r="AD343" s="2" t="s">
        <v>46</v>
      </c>
    </row>
    <row r="344" customFormat="false" ht="15.7" hidden="false" customHeight="true" outlineLevel="0" collapsed="false">
      <c r="A344" s="2"/>
      <c r="B344" s="3" t="n">
        <f aca="false">DATE(2006,10,18)</f>
        <v>0</v>
      </c>
      <c r="C344" s="3" t="n">
        <v>39008</v>
      </c>
      <c r="D344" s="2" t="s">
        <v>2896</v>
      </c>
      <c r="F344" s="2" t="s">
        <v>2897</v>
      </c>
      <c r="G344" s="2" t="s">
        <v>2898</v>
      </c>
      <c r="H344" s="2" t="s">
        <v>130</v>
      </c>
      <c r="I344" s="2" t="s">
        <v>51</v>
      </c>
      <c r="J344" s="2" t="s">
        <v>1834</v>
      </c>
      <c r="K344" s="2" t="s">
        <v>2899</v>
      </c>
      <c r="L344" s="2" t="s">
        <v>51</v>
      </c>
      <c r="M344" s="2" t="s">
        <v>130</v>
      </c>
      <c r="N344" s="2" t="s">
        <v>2900</v>
      </c>
      <c r="O344" s="2"/>
      <c r="P344" s="2" t="s">
        <v>79</v>
      </c>
      <c r="Q344" s="4" t="n">
        <v>6794</v>
      </c>
      <c r="R344" s="2" t="s">
        <v>56</v>
      </c>
      <c r="S344" s="2" t="s">
        <v>57</v>
      </c>
      <c r="T344" s="2" t="s">
        <v>40</v>
      </c>
      <c r="U344" s="2" t="s">
        <v>2901</v>
      </c>
      <c r="V344" s="2"/>
      <c r="W344" s="2" t="s">
        <v>2902</v>
      </c>
      <c r="X344" s="2" t="s">
        <v>43</v>
      </c>
      <c r="Y344" s="2" t="s">
        <v>37</v>
      </c>
      <c r="Z344" s="2" t="s">
        <v>44</v>
      </c>
      <c r="AA344" s="2" t="s">
        <v>2903</v>
      </c>
      <c r="AB344" s="2"/>
      <c r="AC344" s="2" t="s">
        <v>2904</v>
      </c>
      <c r="AD344" s="2" t="s">
        <v>46</v>
      </c>
    </row>
    <row r="345" customFormat="false" ht="15.7" hidden="false" customHeight="true" outlineLevel="0" collapsed="false">
      <c r="A345" s="2"/>
      <c r="B345" s="3" t="n">
        <f aca="false">DATE(2006,10,18)</f>
        <v>0</v>
      </c>
      <c r="C345" s="3" t="n">
        <v>39008</v>
      </c>
      <c r="D345" s="2" t="s">
        <v>2905</v>
      </c>
      <c r="F345" s="2" t="s">
        <v>2906</v>
      </c>
      <c r="G345" s="2" t="s">
        <v>2907</v>
      </c>
      <c r="H345" s="2" t="s">
        <v>134</v>
      </c>
      <c r="I345" s="2" t="s">
        <v>131</v>
      </c>
      <c r="J345" s="2" t="s">
        <v>795</v>
      </c>
      <c r="K345" s="2" t="s">
        <v>2905</v>
      </c>
      <c r="L345" s="2" t="s">
        <v>131</v>
      </c>
      <c r="M345" s="2" t="s">
        <v>134</v>
      </c>
      <c r="N345" s="2" t="s">
        <v>2908</v>
      </c>
      <c r="O345" s="2"/>
      <c r="P345" s="2" t="s">
        <v>37</v>
      </c>
      <c r="Q345" s="4" t="n">
        <v>8731</v>
      </c>
      <c r="R345" s="2" t="s">
        <v>136</v>
      </c>
      <c r="S345" s="2" t="s">
        <v>39</v>
      </c>
      <c r="T345" s="2" t="s">
        <v>40</v>
      </c>
      <c r="U345" s="2" t="s">
        <v>2909</v>
      </c>
      <c r="V345" s="2"/>
      <c r="W345" s="2" t="s">
        <v>773</v>
      </c>
      <c r="X345" s="2" t="s">
        <v>43</v>
      </c>
      <c r="Y345" s="2" t="s">
        <v>37</v>
      </c>
      <c r="Z345" s="2" t="s">
        <v>44</v>
      </c>
      <c r="AA345" s="2" t="s">
        <v>2910</v>
      </c>
      <c r="AB345" s="2"/>
      <c r="AC345" s="2" t="s">
        <v>2911</v>
      </c>
      <c r="AD345" s="2" t="s">
        <v>46</v>
      </c>
    </row>
    <row r="346" customFormat="false" ht="15.7" hidden="false" customHeight="true" outlineLevel="0" collapsed="false">
      <c r="A346" s="2"/>
      <c r="B346" s="3" t="n">
        <f aca="false">DATE(2006,10,19)</f>
        <v>0</v>
      </c>
      <c r="C346" s="3" t="n">
        <v>39009</v>
      </c>
      <c r="D346" s="2" t="s">
        <v>2912</v>
      </c>
      <c r="F346" s="2" t="s">
        <v>2913</v>
      </c>
      <c r="G346" s="2" t="s">
        <v>2914</v>
      </c>
      <c r="H346" s="2" t="s">
        <v>2915</v>
      </c>
      <c r="I346" s="2" t="s">
        <v>2916</v>
      </c>
      <c r="J346" s="2" t="s">
        <v>116</v>
      </c>
      <c r="K346" s="2" t="s">
        <v>2917</v>
      </c>
      <c r="L346" s="2" t="s">
        <v>2916</v>
      </c>
      <c r="M346" s="2" t="s">
        <v>2918</v>
      </c>
      <c r="N346" s="2" t="s">
        <v>2919</v>
      </c>
      <c r="O346" s="2"/>
      <c r="P346" s="2" t="s">
        <v>37</v>
      </c>
      <c r="Q346" s="4" t="n">
        <v>8731</v>
      </c>
      <c r="R346" s="2" t="s">
        <v>38</v>
      </c>
      <c r="S346" s="2" t="s">
        <v>39</v>
      </c>
      <c r="T346" s="2" t="s">
        <v>40</v>
      </c>
      <c r="U346" s="2" t="s">
        <v>2920</v>
      </c>
      <c r="V346" s="2"/>
      <c r="W346" s="2" t="s">
        <v>42</v>
      </c>
      <c r="X346" s="2" t="s">
        <v>43</v>
      </c>
      <c r="Y346" s="2" t="s">
        <v>37</v>
      </c>
      <c r="Z346" s="2" t="s">
        <v>916</v>
      </c>
      <c r="AA346" s="2"/>
      <c r="AB346" s="2"/>
      <c r="AC346" s="2" t="s">
        <v>2921</v>
      </c>
      <c r="AD346" s="2" t="s">
        <v>46</v>
      </c>
    </row>
    <row r="347" customFormat="false" ht="15.7" hidden="false" customHeight="true" outlineLevel="0" collapsed="false">
      <c r="A347" s="2"/>
      <c r="B347" s="3" t="n">
        <f aca="false">DATE(2006,10,19)</f>
        <v>0</v>
      </c>
      <c r="C347" s="3" t="n">
        <v>39009</v>
      </c>
      <c r="D347" s="2" t="s">
        <v>2922</v>
      </c>
      <c r="F347" s="2" t="s">
        <v>2923</v>
      </c>
      <c r="G347" s="2" t="s">
        <v>2924</v>
      </c>
      <c r="H347" s="2" t="s">
        <v>2925</v>
      </c>
      <c r="I347" s="2" t="s">
        <v>51</v>
      </c>
      <c r="J347" s="2" t="s">
        <v>2633</v>
      </c>
      <c r="K347" s="2" t="s">
        <v>2922</v>
      </c>
      <c r="L347" s="2" t="s">
        <v>51</v>
      </c>
      <c r="M347" s="2" t="s">
        <v>2925</v>
      </c>
      <c r="N347" s="2" t="s">
        <v>2926</v>
      </c>
      <c r="O347" s="2"/>
      <c r="P347" s="2" t="s">
        <v>37</v>
      </c>
      <c r="Q347" s="4" t="n">
        <v>8731</v>
      </c>
      <c r="R347" s="2" t="s">
        <v>56</v>
      </c>
      <c r="S347" s="2" t="s">
        <v>80</v>
      </c>
      <c r="T347" s="2" t="s">
        <v>40</v>
      </c>
      <c r="U347" s="2" t="s">
        <v>2927</v>
      </c>
      <c r="V347" s="2"/>
      <c r="W347" s="2" t="s">
        <v>42</v>
      </c>
      <c r="X347" s="2" t="s">
        <v>43</v>
      </c>
      <c r="Y347" s="2" t="s">
        <v>37</v>
      </c>
      <c r="Z347" s="2" t="s">
        <v>44</v>
      </c>
      <c r="AA347" s="2"/>
      <c r="AB347" s="2"/>
      <c r="AC347" s="2" t="s">
        <v>2928</v>
      </c>
      <c r="AD347" s="2" t="s">
        <v>46</v>
      </c>
    </row>
    <row r="348" customFormat="false" ht="15.7" hidden="false" customHeight="true" outlineLevel="0" collapsed="false">
      <c r="A348" s="2"/>
      <c r="B348" s="3" t="n">
        <f aca="false">DATE(2006,10,19)</f>
        <v>0</v>
      </c>
      <c r="C348" s="3" t="n">
        <v>39009</v>
      </c>
      <c r="D348" s="2" t="s">
        <v>2929</v>
      </c>
      <c r="F348" s="2" t="s">
        <v>2930</v>
      </c>
      <c r="G348" s="2" t="s">
        <v>2931</v>
      </c>
      <c r="H348" s="2" t="s">
        <v>2932</v>
      </c>
      <c r="I348" s="2" t="s">
        <v>2933</v>
      </c>
      <c r="J348" s="2" t="s">
        <v>35</v>
      </c>
      <c r="K348" s="2" t="s">
        <v>2929</v>
      </c>
      <c r="L348" s="2" t="s">
        <v>2933</v>
      </c>
      <c r="M348" s="2" t="s">
        <v>2932</v>
      </c>
      <c r="N348" s="2" t="s">
        <v>2934</v>
      </c>
      <c r="O348" s="2"/>
      <c r="P348" s="2" t="s">
        <v>37</v>
      </c>
      <c r="Q348" s="4" t="n">
        <v>8731</v>
      </c>
      <c r="R348" s="2" t="s">
        <v>136</v>
      </c>
      <c r="S348" s="2" t="s">
        <v>39</v>
      </c>
      <c r="T348" s="2" t="s">
        <v>40</v>
      </c>
      <c r="U348" s="2" t="s">
        <v>2935</v>
      </c>
      <c r="V348" s="2"/>
      <c r="W348" s="2" t="s">
        <v>42</v>
      </c>
      <c r="X348" s="2" t="s">
        <v>43</v>
      </c>
      <c r="Y348" s="2" t="s">
        <v>37</v>
      </c>
      <c r="Z348" s="2" t="s">
        <v>44</v>
      </c>
      <c r="AA348" s="2"/>
      <c r="AB348" s="2"/>
      <c r="AC348" s="2" t="s">
        <v>2936</v>
      </c>
      <c r="AD348" s="2" t="s">
        <v>46</v>
      </c>
    </row>
    <row r="349" customFormat="false" ht="15.7" hidden="false" customHeight="true" outlineLevel="0" collapsed="false">
      <c r="A349" s="2"/>
      <c r="B349" s="3" t="n">
        <f aca="false">DATE(2006,10,19)</f>
        <v>0</v>
      </c>
      <c r="C349" s="3" t="n">
        <v>39009</v>
      </c>
      <c r="D349" s="2" t="s">
        <v>2937</v>
      </c>
      <c r="F349" s="2" t="s">
        <v>2938</v>
      </c>
      <c r="G349" s="2" t="s">
        <v>2939</v>
      </c>
      <c r="H349" s="2" t="s">
        <v>2940</v>
      </c>
      <c r="I349" s="2" t="s">
        <v>388</v>
      </c>
      <c r="J349" s="2" t="s">
        <v>2421</v>
      </c>
      <c r="K349" s="2" t="s">
        <v>2937</v>
      </c>
      <c r="L349" s="2" t="s">
        <v>388</v>
      </c>
      <c r="M349" s="2" t="s">
        <v>2940</v>
      </c>
      <c r="N349" s="2" t="s">
        <v>2941</v>
      </c>
      <c r="O349" s="2"/>
      <c r="P349" s="2" t="s">
        <v>37</v>
      </c>
      <c r="Q349" s="4" t="n">
        <v>8731</v>
      </c>
      <c r="R349" s="2" t="s">
        <v>136</v>
      </c>
      <c r="S349" s="2" t="s">
        <v>39</v>
      </c>
      <c r="T349" s="2" t="s">
        <v>673</v>
      </c>
      <c r="U349" s="2" t="s">
        <v>2942</v>
      </c>
      <c r="V349" s="2"/>
      <c r="W349" s="2" t="s">
        <v>2209</v>
      </c>
      <c r="X349" s="2" t="s">
        <v>43</v>
      </c>
      <c r="Y349" s="2" t="s">
        <v>37</v>
      </c>
      <c r="Z349" s="2" t="s">
        <v>44</v>
      </c>
      <c r="AA349" s="2"/>
      <c r="AB349" s="2"/>
      <c r="AC349" s="2" t="s">
        <v>2943</v>
      </c>
      <c r="AD349" s="2" t="s">
        <v>46</v>
      </c>
    </row>
    <row r="350" customFormat="false" ht="15.7" hidden="false" customHeight="true" outlineLevel="0" collapsed="false">
      <c r="A350" s="2"/>
      <c r="B350" s="3" t="n">
        <f aca="false">DATE(2006,10,19)</f>
        <v>0</v>
      </c>
      <c r="C350" s="3" t="n">
        <v>39009</v>
      </c>
      <c r="D350" s="2" t="s">
        <v>2944</v>
      </c>
      <c r="F350" s="2" t="s">
        <v>2945</v>
      </c>
      <c r="G350" s="2" t="s">
        <v>2946</v>
      </c>
      <c r="H350" s="2" t="s">
        <v>2947</v>
      </c>
      <c r="I350" s="2" t="s">
        <v>2948</v>
      </c>
      <c r="J350" s="2" t="s">
        <v>2421</v>
      </c>
      <c r="K350" s="2" t="s">
        <v>2949</v>
      </c>
      <c r="L350" s="2" t="s">
        <v>2948</v>
      </c>
      <c r="M350" s="2" t="s">
        <v>2950</v>
      </c>
      <c r="N350" s="2" t="s">
        <v>2951</v>
      </c>
      <c r="O350" s="2"/>
      <c r="P350" s="2" t="s">
        <v>37</v>
      </c>
      <c r="Q350" s="4" t="n">
        <v>8731</v>
      </c>
      <c r="R350" s="2" t="s">
        <v>2952</v>
      </c>
      <c r="S350" s="2" t="s">
        <v>39</v>
      </c>
      <c r="T350" s="2" t="s">
        <v>403</v>
      </c>
      <c r="U350" s="2" t="s">
        <v>2953</v>
      </c>
      <c r="V350" s="2"/>
      <c r="W350" s="2" t="s">
        <v>42</v>
      </c>
      <c r="X350" s="2" t="s">
        <v>43</v>
      </c>
      <c r="Y350" s="2" t="s">
        <v>37</v>
      </c>
      <c r="Z350" s="2" t="s">
        <v>44</v>
      </c>
      <c r="AA350" s="2" t="s">
        <v>2954</v>
      </c>
      <c r="AB350" s="2"/>
      <c r="AC350" s="2" t="s">
        <v>2955</v>
      </c>
      <c r="AD350" s="2" t="s">
        <v>46</v>
      </c>
    </row>
    <row r="351" customFormat="false" ht="15.7" hidden="false" customHeight="true" outlineLevel="0" collapsed="false">
      <c r="A351" s="2"/>
      <c r="B351" s="3" t="n">
        <f aca="false">DATE(2006,10,19)</f>
        <v>0</v>
      </c>
      <c r="C351" s="3" t="n">
        <v>39009</v>
      </c>
      <c r="D351" s="2" t="s">
        <v>2956</v>
      </c>
      <c r="F351" s="2" t="s">
        <v>2957</v>
      </c>
      <c r="G351" s="2" t="s">
        <v>2958</v>
      </c>
      <c r="H351" s="2" t="s">
        <v>2959</v>
      </c>
      <c r="I351" s="2" t="s">
        <v>219</v>
      </c>
      <c r="J351" s="2" t="s">
        <v>671</v>
      </c>
      <c r="K351" s="2" t="s">
        <v>2956</v>
      </c>
      <c r="L351" s="2" t="s">
        <v>219</v>
      </c>
      <c r="M351" s="2" t="s">
        <v>2959</v>
      </c>
      <c r="N351" s="2" t="s">
        <v>2960</v>
      </c>
      <c r="O351" s="2"/>
      <c r="P351" s="2" t="s">
        <v>37</v>
      </c>
      <c r="Q351" s="4" t="n">
        <v>8734</v>
      </c>
      <c r="R351" s="2" t="s">
        <v>38</v>
      </c>
      <c r="S351" s="2" t="s">
        <v>39</v>
      </c>
      <c r="T351" s="2" t="s">
        <v>40</v>
      </c>
      <c r="U351" s="2" t="s">
        <v>2961</v>
      </c>
      <c r="V351" s="2"/>
      <c r="W351" s="2" t="s">
        <v>42</v>
      </c>
      <c r="X351" s="2" t="s">
        <v>43</v>
      </c>
      <c r="Y351" s="2" t="s">
        <v>37</v>
      </c>
      <c r="Z351" s="2" t="s">
        <v>44</v>
      </c>
      <c r="AA351" s="2"/>
      <c r="AB351" s="2"/>
      <c r="AC351" s="2" t="s">
        <v>2962</v>
      </c>
      <c r="AD351" s="2" t="s">
        <v>46</v>
      </c>
    </row>
    <row r="352" customFormat="false" ht="15.7" hidden="false" customHeight="true" outlineLevel="0" collapsed="false">
      <c r="A352" s="2"/>
      <c r="B352" s="3" t="n">
        <f aca="false">DATE(2006,10,23)</f>
        <v>0</v>
      </c>
      <c r="C352" s="3" t="n">
        <v>39013</v>
      </c>
      <c r="D352" s="2" t="s">
        <v>2963</v>
      </c>
      <c r="F352" s="2" t="s">
        <v>2094</v>
      </c>
      <c r="G352" s="2" t="s">
        <v>2964</v>
      </c>
      <c r="H352" s="2" t="s">
        <v>2965</v>
      </c>
      <c r="I352" s="2" t="s">
        <v>219</v>
      </c>
      <c r="J352" s="2" t="s">
        <v>203</v>
      </c>
      <c r="K352" s="2" t="s">
        <v>2963</v>
      </c>
      <c r="L352" s="2" t="s">
        <v>219</v>
      </c>
      <c r="M352" s="2" t="s">
        <v>2965</v>
      </c>
      <c r="N352" s="2" t="s">
        <v>2966</v>
      </c>
      <c r="O352" s="2"/>
      <c r="P352" s="2" t="s">
        <v>37</v>
      </c>
      <c r="Q352" s="4" t="n">
        <v>8731</v>
      </c>
      <c r="R352" s="2" t="s">
        <v>38</v>
      </c>
      <c r="S352" s="2" t="s">
        <v>39</v>
      </c>
      <c r="T352" s="2" t="s">
        <v>40</v>
      </c>
      <c r="U352" s="2" t="s">
        <v>2967</v>
      </c>
      <c r="V352" s="2"/>
      <c r="W352" s="2" t="s">
        <v>42</v>
      </c>
      <c r="X352" s="2" t="s">
        <v>43</v>
      </c>
      <c r="Y352" s="2" t="s">
        <v>37</v>
      </c>
      <c r="Z352" s="2" t="s">
        <v>44</v>
      </c>
      <c r="AA352" s="2"/>
      <c r="AB352" s="2"/>
      <c r="AC352" s="2" t="s">
        <v>2968</v>
      </c>
      <c r="AD352" s="2" t="s">
        <v>46</v>
      </c>
    </row>
    <row r="353" customFormat="false" ht="15.7" hidden="false" customHeight="true" outlineLevel="0" collapsed="false">
      <c r="A353" s="2"/>
      <c r="B353" s="3" t="n">
        <f aca="false">DATE(2006,10,23)</f>
        <v>0</v>
      </c>
      <c r="C353" s="3" t="n">
        <v>39013</v>
      </c>
      <c r="D353" s="2" t="s">
        <v>2969</v>
      </c>
      <c r="F353" s="2" t="s">
        <v>2970</v>
      </c>
      <c r="G353" s="2" t="s">
        <v>2971</v>
      </c>
      <c r="H353" s="2" t="s">
        <v>63</v>
      </c>
      <c r="I353" s="2" t="s">
        <v>2972</v>
      </c>
      <c r="J353" s="2" t="s">
        <v>35</v>
      </c>
      <c r="K353" s="2" t="s">
        <v>2973</v>
      </c>
      <c r="L353" s="2" t="s">
        <v>965</v>
      </c>
      <c r="M353" s="2" t="s">
        <v>1411</v>
      </c>
      <c r="N353" s="2" t="s">
        <v>2974</v>
      </c>
      <c r="O353" s="2"/>
      <c r="P353" s="2" t="s">
        <v>37</v>
      </c>
      <c r="Q353" s="4" t="n">
        <v>8731</v>
      </c>
      <c r="R353" s="2" t="s">
        <v>136</v>
      </c>
      <c r="S353" s="2" t="s">
        <v>39</v>
      </c>
      <c r="T353" s="2" t="s">
        <v>40</v>
      </c>
      <c r="U353" s="2" t="s">
        <v>2975</v>
      </c>
      <c r="V353" s="2"/>
      <c r="W353" s="2" t="s">
        <v>42</v>
      </c>
      <c r="X353" s="2" t="s">
        <v>43</v>
      </c>
      <c r="Y353" s="2" t="s">
        <v>37</v>
      </c>
      <c r="Z353" s="2" t="s">
        <v>44</v>
      </c>
      <c r="AA353" s="2"/>
      <c r="AB353" s="2"/>
      <c r="AC353" s="2" t="s">
        <v>2976</v>
      </c>
      <c r="AD353" s="2" t="s">
        <v>46</v>
      </c>
    </row>
    <row r="354" customFormat="false" ht="15.7" hidden="false" customHeight="true" outlineLevel="0" collapsed="false">
      <c r="A354" s="2"/>
      <c r="B354" s="3" t="n">
        <f aca="false">DATE(2006,10,24)</f>
        <v>0</v>
      </c>
      <c r="C354" s="3" t="n">
        <v>39014</v>
      </c>
      <c r="D354" s="2" t="s">
        <v>2977</v>
      </c>
      <c r="F354" s="2" t="s">
        <v>2978</v>
      </c>
      <c r="G354" s="2" t="s">
        <v>2979</v>
      </c>
      <c r="H354" s="2" t="s">
        <v>130</v>
      </c>
      <c r="I354" s="2" t="s">
        <v>51</v>
      </c>
      <c r="J354" s="2" t="s">
        <v>2980</v>
      </c>
      <c r="K354" s="2" t="s">
        <v>2981</v>
      </c>
      <c r="L354" s="2" t="s">
        <v>51</v>
      </c>
      <c r="M354" s="2" t="s">
        <v>130</v>
      </c>
      <c r="N354" s="2" t="s">
        <v>2982</v>
      </c>
      <c r="O354" s="2"/>
      <c r="P354" s="2" t="s">
        <v>37</v>
      </c>
      <c r="Q354" s="4" t="n">
        <v>8731</v>
      </c>
      <c r="R354" s="2" t="s">
        <v>56</v>
      </c>
      <c r="S354" s="2" t="s">
        <v>251</v>
      </c>
      <c r="T354" s="2" t="s">
        <v>403</v>
      </c>
      <c r="U354" s="2" t="s">
        <v>2983</v>
      </c>
      <c r="V354" s="2"/>
      <c r="W354" s="2" t="s">
        <v>42</v>
      </c>
      <c r="X354" s="2" t="s">
        <v>43</v>
      </c>
      <c r="Y354" s="2" t="s">
        <v>37</v>
      </c>
      <c r="Z354" s="2" t="s">
        <v>44</v>
      </c>
      <c r="AA354" s="2"/>
      <c r="AB354" s="2"/>
      <c r="AC354" s="2" t="s">
        <v>2984</v>
      </c>
      <c r="AD354" s="2" t="s">
        <v>46</v>
      </c>
    </row>
    <row r="355" customFormat="false" ht="15.7" hidden="false" customHeight="true" outlineLevel="0" collapsed="false">
      <c r="A355" s="2"/>
      <c r="B355" s="3" t="n">
        <f aca="false">DATE(2006,10,24)</f>
        <v>0</v>
      </c>
      <c r="C355" s="3" t="n">
        <v>39014</v>
      </c>
      <c r="D355" s="2" t="s">
        <v>2985</v>
      </c>
      <c r="F355" s="2" t="s">
        <v>2986</v>
      </c>
      <c r="G355" s="2" t="s">
        <v>2987</v>
      </c>
      <c r="H355" s="2" t="s">
        <v>2988</v>
      </c>
      <c r="I355" s="2" t="s">
        <v>51</v>
      </c>
      <c r="J355" s="2" t="s">
        <v>2989</v>
      </c>
      <c r="K355" s="2" t="s">
        <v>2990</v>
      </c>
      <c r="L355" s="2" t="s">
        <v>51</v>
      </c>
      <c r="M355" s="2" t="s">
        <v>2991</v>
      </c>
      <c r="N355" s="2" t="s">
        <v>2992</v>
      </c>
      <c r="O355" s="2"/>
      <c r="P355" s="2" t="s">
        <v>37</v>
      </c>
      <c r="Q355" s="4" t="n">
        <v>8731</v>
      </c>
      <c r="R355" s="2" t="s">
        <v>56</v>
      </c>
      <c r="S355" s="2" t="s">
        <v>1045</v>
      </c>
      <c r="T355" s="2" t="s">
        <v>40</v>
      </c>
      <c r="U355" s="2" t="s">
        <v>2993</v>
      </c>
      <c r="V355" s="2"/>
      <c r="W355" s="2" t="s">
        <v>42</v>
      </c>
      <c r="X355" s="2" t="s">
        <v>43</v>
      </c>
      <c r="Y355" s="2" t="s">
        <v>37</v>
      </c>
      <c r="Z355" s="2" t="s">
        <v>44</v>
      </c>
      <c r="AA355" s="2"/>
      <c r="AB355" s="2"/>
      <c r="AC355" s="2" t="s">
        <v>2994</v>
      </c>
      <c r="AD355" s="2" t="s">
        <v>46</v>
      </c>
    </row>
    <row r="356" customFormat="false" ht="15.7" hidden="false" customHeight="true" outlineLevel="0" collapsed="false">
      <c r="A356" s="2"/>
      <c r="B356" s="3" t="n">
        <f aca="false">DATE(2006,10,24)</f>
        <v>0</v>
      </c>
      <c r="C356" s="3" t="n">
        <v>39014</v>
      </c>
      <c r="D356" s="2" t="s">
        <v>2995</v>
      </c>
      <c r="F356" s="2" t="s">
        <v>2996</v>
      </c>
      <c r="G356" s="2" t="s">
        <v>2997</v>
      </c>
      <c r="H356" s="2" t="s">
        <v>2998</v>
      </c>
      <c r="I356" s="2" t="s">
        <v>296</v>
      </c>
      <c r="J356" s="2" t="s">
        <v>65</v>
      </c>
      <c r="K356" s="2" t="s">
        <v>2995</v>
      </c>
      <c r="L356" s="2" t="s">
        <v>296</v>
      </c>
      <c r="M356" s="2" t="s">
        <v>2998</v>
      </c>
      <c r="N356" s="2" t="s">
        <v>2999</v>
      </c>
      <c r="O356" s="2"/>
      <c r="P356" s="2" t="s">
        <v>37</v>
      </c>
      <c r="Q356" s="4" t="n">
        <v>3674</v>
      </c>
      <c r="R356" s="2" t="s">
        <v>296</v>
      </c>
      <c r="S356" s="2" t="s">
        <v>3000</v>
      </c>
      <c r="T356" s="2" t="s">
        <v>40</v>
      </c>
      <c r="U356" s="2" t="s">
        <v>3001</v>
      </c>
      <c r="V356" s="2"/>
      <c r="W356" s="2" t="s">
        <v>107</v>
      </c>
      <c r="X356" s="2" t="s">
        <v>43</v>
      </c>
      <c r="Y356" s="2" t="s">
        <v>79</v>
      </c>
      <c r="Z356" s="2" t="s">
        <v>44</v>
      </c>
      <c r="AA356" s="2"/>
      <c r="AB356" s="2"/>
      <c r="AC356" s="2" t="s">
        <v>3002</v>
      </c>
      <c r="AD356" s="2" t="s">
        <v>46</v>
      </c>
    </row>
    <row r="357" customFormat="false" ht="15.7" hidden="false" customHeight="true" outlineLevel="0" collapsed="false">
      <c r="A357" s="2"/>
      <c r="B357" s="3" t="n">
        <f aca="false">DATE(2006,10,25)</f>
        <v>0</v>
      </c>
      <c r="C357" s="3" t="n">
        <v>39015</v>
      </c>
      <c r="D357" s="2" t="s">
        <v>3003</v>
      </c>
      <c r="F357" s="2" t="s">
        <v>3004</v>
      </c>
      <c r="G357" s="2" t="s">
        <v>3005</v>
      </c>
      <c r="H357" s="2" t="s">
        <v>3006</v>
      </c>
      <c r="I357" s="2" t="s">
        <v>51</v>
      </c>
      <c r="J357" s="2" t="s">
        <v>496</v>
      </c>
      <c r="K357" s="2" t="s">
        <v>3007</v>
      </c>
      <c r="L357" s="2" t="s">
        <v>51</v>
      </c>
      <c r="M357" s="2" t="s">
        <v>3008</v>
      </c>
      <c r="N357" s="2" t="s">
        <v>3009</v>
      </c>
      <c r="O357" s="2"/>
      <c r="P357" s="2" t="s">
        <v>37</v>
      </c>
      <c r="Q357" s="4" t="n">
        <v>8732</v>
      </c>
      <c r="R357" s="2" t="s">
        <v>56</v>
      </c>
      <c r="S357" s="2" t="s">
        <v>92</v>
      </c>
      <c r="T357" s="2" t="s">
        <v>40</v>
      </c>
      <c r="U357" s="2" t="s">
        <v>3010</v>
      </c>
      <c r="V357" s="2"/>
      <c r="W357" s="2" t="s">
        <v>138</v>
      </c>
      <c r="X357" s="2" t="s">
        <v>43</v>
      </c>
      <c r="Y357" s="2" t="s">
        <v>37</v>
      </c>
      <c r="Z357" s="2" t="s">
        <v>44</v>
      </c>
      <c r="AA357" s="2"/>
      <c r="AB357" s="2"/>
      <c r="AC357" s="2" t="s">
        <v>3011</v>
      </c>
      <c r="AD357" s="2" t="s">
        <v>46</v>
      </c>
    </row>
    <row r="358" customFormat="false" ht="15.7" hidden="false" customHeight="true" outlineLevel="0" collapsed="false">
      <c r="A358" s="2"/>
      <c r="B358" s="3" t="n">
        <f aca="false">DATE(2006,10,26)</f>
        <v>0</v>
      </c>
      <c r="C358" s="3" t="n">
        <v>39016</v>
      </c>
      <c r="D358" s="2" t="s">
        <v>3012</v>
      </c>
      <c r="F358" s="2" t="s">
        <v>3013</v>
      </c>
      <c r="G358" s="2" t="s">
        <v>3014</v>
      </c>
      <c r="H358" s="2" t="s">
        <v>3015</v>
      </c>
      <c r="I358" s="2" t="s">
        <v>3016</v>
      </c>
      <c r="J358" s="2" t="s">
        <v>35</v>
      </c>
      <c r="K358" s="2" t="s">
        <v>3017</v>
      </c>
      <c r="L358" s="2" t="s">
        <v>3016</v>
      </c>
      <c r="M358" s="2" t="s">
        <v>3018</v>
      </c>
      <c r="N358" s="2" t="s">
        <v>3019</v>
      </c>
      <c r="O358" s="2" t="s">
        <v>3020</v>
      </c>
      <c r="P358" s="2" t="s">
        <v>37</v>
      </c>
      <c r="Q358" s="4" t="n">
        <v>8732</v>
      </c>
      <c r="R358" s="2" t="s">
        <v>688</v>
      </c>
      <c r="S358" s="2" t="s">
        <v>39</v>
      </c>
      <c r="T358" s="2" t="s">
        <v>40</v>
      </c>
      <c r="U358" s="2" t="s">
        <v>3021</v>
      </c>
      <c r="V358" s="2"/>
      <c r="W358" s="2" t="s">
        <v>3022</v>
      </c>
      <c r="X358" s="2" t="s">
        <v>46</v>
      </c>
      <c r="Y358" s="2" t="s">
        <v>37</v>
      </c>
      <c r="Z358" s="2" t="s">
        <v>362</v>
      </c>
      <c r="AA358" s="2"/>
      <c r="AB358" s="2" t="s">
        <v>3023</v>
      </c>
      <c r="AC358" s="2" t="s">
        <v>3024</v>
      </c>
      <c r="AD358" s="2" t="s">
        <v>46</v>
      </c>
    </row>
    <row r="359" customFormat="false" ht="15.7" hidden="false" customHeight="true" outlineLevel="0" collapsed="false">
      <c r="A359" s="2"/>
      <c r="B359" s="3" t="n">
        <f aca="false">DATE(2006,10,26)</f>
        <v>0</v>
      </c>
      <c r="C359" s="3" t="n">
        <v>39016</v>
      </c>
      <c r="D359" s="2" t="s">
        <v>3025</v>
      </c>
      <c r="F359" s="2" t="s">
        <v>3026</v>
      </c>
      <c r="G359" s="2" t="s">
        <v>3027</v>
      </c>
      <c r="H359" s="2" t="s">
        <v>3028</v>
      </c>
      <c r="I359" s="2" t="s">
        <v>51</v>
      </c>
      <c r="J359" s="2" t="s">
        <v>3029</v>
      </c>
      <c r="K359" s="2" t="s">
        <v>3025</v>
      </c>
      <c r="L359" s="2" t="s">
        <v>51</v>
      </c>
      <c r="M359" s="2" t="s">
        <v>3028</v>
      </c>
      <c r="N359" s="2" t="s">
        <v>3030</v>
      </c>
      <c r="O359" s="2"/>
      <c r="P359" s="2" t="s">
        <v>37</v>
      </c>
      <c r="Q359" s="4" t="n">
        <v>8731</v>
      </c>
      <c r="R359" s="2" t="s">
        <v>56</v>
      </c>
      <c r="S359" s="2" t="s">
        <v>380</v>
      </c>
      <c r="T359" s="2" t="s">
        <v>40</v>
      </c>
      <c r="U359" s="2" t="s">
        <v>3031</v>
      </c>
      <c r="V359" s="2"/>
      <c r="W359" s="2" t="s">
        <v>138</v>
      </c>
      <c r="X359" s="2" t="s">
        <v>43</v>
      </c>
      <c r="Y359" s="2" t="s">
        <v>37</v>
      </c>
      <c r="Z359" s="2" t="s">
        <v>44</v>
      </c>
      <c r="AA359" s="2"/>
      <c r="AB359" s="2"/>
      <c r="AC359" s="2" t="s">
        <v>3032</v>
      </c>
      <c r="AD359" s="2" t="s">
        <v>46</v>
      </c>
    </row>
    <row r="360" customFormat="false" ht="15.7" hidden="false" customHeight="true" outlineLevel="0" collapsed="false">
      <c r="A360" s="2"/>
      <c r="B360" s="3" t="n">
        <f aca="false">DATE(2006,10,26)</f>
        <v>0</v>
      </c>
      <c r="C360" s="3" t="n">
        <v>39016</v>
      </c>
      <c r="D360" s="2" t="s">
        <v>3033</v>
      </c>
      <c r="F360" s="2" t="s">
        <v>3034</v>
      </c>
      <c r="G360" s="2" t="s">
        <v>3035</v>
      </c>
      <c r="H360" s="2" t="s">
        <v>3036</v>
      </c>
      <c r="I360" s="2" t="s">
        <v>51</v>
      </c>
      <c r="J360" s="2" t="s">
        <v>3037</v>
      </c>
      <c r="K360" s="2" t="s">
        <v>3038</v>
      </c>
      <c r="L360" s="2" t="s">
        <v>51</v>
      </c>
      <c r="M360" s="2" t="s">
        <v>762</v>
      </c>
      <c r="N360" s="2" t="s">
        <v>3039</v>
      </c>
      <c r="O360" s="2"/>
      <c r="P360" s="2" t="s">
        <v>37</v>
      </c>
      <c r="Q360" s="4" t="n">
        <v>8731</v>
      </c>
      <c r="R360" s="2" t="s">
        <v>56</v>
      </c>
      <c r="S360" s="2" t="s">
        <v>1249</v>
      </c>
      <c r="T360" s="2" t="s">
        <v>40</v>
      </c>
      <c r="U360" s="2" t="s">
        <v>3040</v>
      </c>
      <c r="V360" s="2"/>
      <c r="W360" s="2" t="s">
        <v>42</v>
      </c>
      <c r="X360" s="2" t="s">
        <v>43</v>
      </c>
      <c r="Y360" s="2" t="s">
        <v>37</v>
      </c>
      <c r="Z360" s="2" t="s">
        <v>44</v>
      </c>
      <c r="AA360" s="2"/>
      <c r="AB360" s="2"/>
      <c r="AC360" s="2" t="s">
        <v>3041</v>
      </c>
      <c r="AD360" s="2" t="s">
        <v>46</v>
      </c>
    </row>
    <row r="361" customFormat="false" ht="15.7" hidden="false" customHeight="true" outlineLevel="0" collapsed="false">
      <c r="A361" s="2"/>
      <c r="B361" s="3" t="n">
        <f aca="false">DATE(2006,10,26)</f>
        <v>0</v>
      </c>
      <c r="C361" s="3" t="n">
        <v>39016</v>
      </c>
      <c r="D361" s="2" t="s">
        <v>3042</v>
      </c>
      <c r="F361" s="2" t="s">
        <v>3043</v>
      </c>
      <c r="G361" s="2" t="s">
        <v>3044</v>
      </c>
      <c r="H361" s="2" t="s">
        <v>305</v>
      </c>
      <c r="I361" s="2" t="s">
        <v>51</v>
      </c>
      <c r="J361" s="2" t="s">
        <v>3045</v>
      </c>
      <c r="K361" s="2" t="s">
        <v>3042</v>
      </c>
      <c r="L361" s="2" t="s">
        <v>51</v>
      </c>
      <c r="M361" s="2" t="s">
        <v>305</v>
      </c>
      <c r="N361" s="2" t="s">
        <v>3046</v>
      </c>
      <c r="O361" s="2"/>
      <c r="P361" s="2" t="s">
        <v>37</v>
      </c>
      <c r="Q361" s="4" t="n">
        <v>8731</v>
      </c>
      <c r="R361" s="2" t="s">
        <v>56</v>
      </c>
      <c r="S361" s="2" t="s">
        <v>80</v>
      </c>
      <c r="T361" s="2" t="s">
        <v>403</v>
      </c>
      <c r="U361" s="2" t="s">
        <v>3047</v>
      </c>
      <c r="V361" s="2"/>
      <c r="W361" s="2" t="s">
        <v>42</v>
      </c>
      <c r="X361" s="2" t="s">
        <v>43</v>
      </c>
      <c r="Y361" s="2" t="s">
        <v>37</v>
      </c>
      <c r="Z361" s="2" t="s">
        <v>44</v>
      </c>
      <c r="AA361" s="2" t="s">
        <v>3048</v>
      </c>
      <c r="AB361" s="2"/>
      <c r="AC361" s="2" t="s">
        <v>3049</v>
      </c>
      <c r="AD361" s="2" t="s">
        <v>46</v>
      </c>
    </row>
    <row r="362" customFormat="false" ht="15.7" hidden="false" customHeight="true" outlineLevel="0" collapsed="false">
      <c r="A362" s="2"/>
      <c r="B362" s="3" t="n">
        <f aca="false">DATE(2006,10,30)</f>
        <v>0</v>
      </c>
      <c r="C362" s="3" t="n">
        <v>39020</v>
      </c>
      <c r="D362" s="2" t="s">
        <v>3050</v>
      </c>
      <c r="F362" s="2" t="s">
        <v>3051</v>
      </c>
      <c r="G362" s="2" t="s">
        <v>3052</v>
      </c>
      <c r="H362" s="2" t="s">
        <v>3053</v>
      </c>
      <c r="I362" s="2" t="s">
        <v>219</v>
      </c>
      <c r="J362" s="2" t="s">
        <v>3054</v>
      </c>
      <c r="K362" s="2" t="s">
        <v>3050</v>
      </c>
      <c r="L362" s="2" t="s">
        <v>219</v>
      </c>
      <c r="M362" s="2" t="s">
        <v>3053</v>
      </c>
      <c r="N362" s="2" t="s">
        <v>3055</v>
      </c>
      <c r="O362" s="2"/>
      <c r="P362" s="2" t="s">
        <v>79</v>
      </c>
      <c r="Q362" s="4" t="n">
        <v>6794</v>
      </c>
      <c r="R362" s="2" t="s">
        <v>136</v>
      </c>
      <c r="S362" s="2" t="s">
        <v>39</v>
      </c>
      <c r="T362" s="2" t="s">
        <v>40</v>
      </c>
      <c r="U362" s="2" t="s">
        <v>3056</v>
      </c>
      <c r="V362" s="2"/>
      <c r="W362" s="2" t="s">
        <v>94</v>
      </c>
      <c r="X362" s="2" t="s">
        <v>43</v>
      </c>
      <c r="Y362" s="2" t="s">
        <v>37</v>
      </c>
      <c r="Z362" s="2" t="s">
        <v>44</v>
      </c>
      <c r="AA362" s="2"/>
      <c r="AB362" s="2"/>
      <c r="AC362" s="2" t="s">
        <v>3057</v>
      </c>
      <c r="AD362" s="2" t="s">
        <v>46</v>
      </c>
    </row>
    <row r="363" customFormat="false" ht="15.7" hidden="false" customHeight="true" outlineLevel="0" collapsed="false">
      <c r="A363" s="2"/>
      <c r="B363" s="3" t="n">
        <f aca="false">DATE(2006,10,30)</f>
        <v>0</v>
      </c>
      <c r="C363" s="3" t="n">
        <v>39020</v>
      </c>
      <c r="D363" s="2" t="s">
        <v>3058</v>
      </c>
      <c r="F363" s="2" t="s">
        <v>3059</v>
      </c>
      <c r="G363" s="2" t="s">
        <v>3060</v>
      </c>
      <c r="H363" s="2" t="s">
        <v>2340</v>
      </c>
      <c r="I363" s="2" t="s">
        <v>330</v>
      </c>
      <c r="J363" s="2" t="s">
        <v>132</v>
      </c>
      <c r="K363" s="2" t="s">
        <v>3061</v>
      </c>
      <c r="L363" s="2" t="s">
        <v>131</v>
      </c>
      <c r="M363" s="2" t="s">
        <v>3062</v>
      </c>
      <c r="N363" s="2" t="s">
        <v>3063</v>
      </c>
      <c r="O363" s="2"/>
      <c r="P363" s="2" t="s">
        <v>37</v>
      </c>
      <c r="Q363" s="4" t="n">
        <v>8731</v>
      </c>
      <c r="R363" s="2" t="s">
        <v>136</v>
      </c>
      <c r="S363" s="2" t="s">
        <v>39</v>
      </c>
      <c r="T363" s="2" t="s">
        <v>40</v>
      </c>
      <c r="U363" s="2" t="s">
        <v>3064</v>
      </c>
      <c r="V363" s="2"/>
      <c r="W363" s="2" t="s">
        <v>42</v>
      </c>
      <c r="X363" s="2" t="s">
        <v>43</v>
      </c>
      <c r="Y363" s="2" t="s">
        <v>37</v>
      </c>
      <c r="Z363" s="2" t="s">
        <v>44</v>
      </c>
      <c r="AA363" s="2"/>
      <c r="AB363" s="2"/>
      <c r="AC363" s="2" t="s">
        <v>3065</v>
      </c>
      <c r="AD363" s="2" t="s">
        <v>46</v>
      </c>
    </row>
    <row r="364" customFormat="false" ht="15.7" hidden="false" customHeight="true" outlineLevel="0" collapsed="false">
      <c r="A364" s="2"/>
      <c r="B364" s="3" t="n">
        <f aca="false">DATE(2006,10,31)</f>
        <v>0</v>
      </c>
      <c r="C364" s="3" t="n">
        <v>39021</v>
      </c>
      <c r="D364" s="2" t="s">
        <v>3066</v>
      </c>
      <c r="F364" s="2" t="s">
        <v>256</v>
      </c>
      <c r="G364" s="2" t="s">
        <v>3067</v>
      </c>
      <c r="H364" s="2" t="s">
        <v>170</v>
      </c>
      <c r="I364" s="2" t="s">
        <v>51</v>
      </c>
      <c r="J364" s="2" t="s">
        <v>1224</v>
      </c>
      <c r="K364" s="2" t="s">
        <v>3068</v>
      </c>
      <c r="L364" s="2" t="s">
        <v>202</v>
      </c>
      <c r="M364" s="2" t="s">
        <v>3069</v>
      </c>
      <c r="N364" s="2" t="s">
        <v>3070</v>
      </c>
      <c r="O364" s="2"/>
      <c r="P364" s="2" t="s">
        <v>79</v>
      </c>
      <c r="Q364" s="4" t="n">
        <v>6794</v>
      </c>
      <c r="R364" s="2" t="s">
        <v>56</v>
      </c>
      <c r="S364" s="2" t="s">
        <v>80</v>
      </c>
      <c r="T364" s="2" t="s">
        <v>40</v>
      </c>
      <c r="U364" s="2" t="s">
        <v>3071</v>
      </c>
      <c r="V364" s="2"/>
      <c r="W364" s="2" t="s">
        <v>82</v>
      </c>
      <c r="X364" s="2" t="s">
        <v>43</v>
      </c>
      <c r="Y364" s="2" t="s">
        <v>37</v>
      </c>
      <c r="Z364" s="2" t="s">
        <v>44</v>
      </c>
      <c r="AA364" s="2"/>
      <c r="AB364" s="2"/>
      <c r="AC364" s="2" t="s">
        <v>3072</v>
      </c>
      <c r="AD364" s="2" t="s">
        <v>46</v>
      </c>
    </row>
    <row r="365" customFormat="false" ht="15.7" hidden="false" customHeight="true" outlineLevel="0" collapsed="false">
      <c r="A365" s="2"/>
      <c r="B365" s="3" t="n">
        <f aca="false">DATE(2006,10,31)</f>
        <v>0</v>
      </c>
      <c r="C365" s="3" t="n">
        <v>39021</v>
      </c>
      <c r="D365" s="2" t="s">
        <v>3073</v>
      </c>
      <c r="F365" s="2" t="s">
        <v>3074</v>
      </c>
      <c r="G365" s="2" t="s">
        <v>3075</v>
      </c>
      <c r="H365" s="2" t="s">
        <v>170</v>
      </c>
      <c r="I365" s="2" t="s">
        <v>330</v>
      </c>
      <c r="J365" s="2" t="s">
        <v>1891</v>
      </c>
      <c r="K365" s="2" t="s">
        <v>3076</v>
      </c>
      <c r="L365" s="2" t="s">
        <v>1904</v>
      </c>
      <c r="M365" s="2" t="s">
        <v>305</v>
      </c>
      <c r="N365" s="2" t="s">
        <v>3077</v>
      </c>
      <c r="O365" s="2"/>
      <c r="P365" s="2" t="s">
        <v>37</v>
      </c>
      <c r="Q365" s="4" t="n">
        <v>8731</v>
      </c>
      <c r="R365" s="2" t="s">
        <v>136</v>
      </c>
      <c r="S365" s="2" t="s">
        <v>39</v>
      </c>
      <c r="T365" s="2" t="s">
        <v>40</v>
      </c>
      <c r="U365" s="2" t="s">
        <v>3078</v>
      </c>
      <c r="V365" s="2"/>
      <c r="W365" s="2" t="s">
        <v>697</v>
      </c>
      <c r="X365" s="2" t="s">
        <v>43</v>
      </c>
      <c r="Y365" s="2" t="s">
        <v>37</v>
      </c>
      <c r="Z365" s="2" t="s">
        <v>44</v>
      </c>
      <c r="AA365" s="2"/>
      <c r="AB365" s="2"/>
      <c r="AC365" s="2" t="s">
        <v>3079</v>
      </c>
      <c r="AD365" s="2" t="s">
        <v>46</v>
      </c>
    </row>
    <row r="366" customFormat="false" ht="15.7" hidden="false" customHeight="true" outlineLevel="0" collapsed="false">
      <c r="A366" s="2"/>
      <c r="B366" s="3" t="n">
        <f aca="false">DATE(2006,11,1)</f>
        <v>0</v>
      </c>
      <c r="C366" s="3" t="n">
        <v>39022</v>
      </c>
      <c r="D366" s="2" t="s">
        <v>3080</v>
      </c>
      <c r="F366" s="2" t="s">
        <v>3081</v>
      </c>
      <c r="G366" s="2" t="s">
        <v>3082</v>
      </c>
      <c r="H366" s="2" t="s">
        <v>762</v>
      </c>
      <c r="I366" s="2" t="s">
        <v>1645</v>
      </c>
      <c r="J366" s="2" t="s">
        <v>35</v>
      </c>
      <c r="K366" s="2" t="s">
        <v>3080</v>
      </c>
      <c r="L366" s="2" t="s">
        <v>1645</v>
      </c>
      <c r="M366" s="2" t="s">
        <v>762</v>
      </c>
      <c r="N366" s="2" t="s">
        <v>3083</v>
      </c>
      <c r="O366" s="2"/>
      <c r="P366" s="2" t="s">
        <v>37</v>
      </c>
      <c r="Q366" s="4" t="n">
        <v>8731</v>
      </c>
      <c r="R366" s="2" t="s">
        <v>1402</v>
      </c>
      <c r="S366" s="2" t="s">
        <v>39</v>
      </c>
      <c r="T366" s="2" t="s">
        <v>403</v>
      </c>
      <c r="U366" s="2" t="s">
        <v>3084</v>
      </c>
      <c r="V366" s="2"/>
      <c r="W366" s="2" t="s">
        <v>42</v>
      </c>
      <c r="X366" s="2" t="s">
        <v>43</v>
      </c>
      <c r="Y366" s="2" t="s">
        <v>37</v>
      </c>
      <c r="Z366" s="2" t="s">
        <v>44</v>
      </c>
      <c r="AA366" s="2"/>
      <c r="AB366" s="2"/>
      <c r="AC366" s="2" t="s">
        <v>3085</v>
      </c>
      <c r="AD366" s="2" t="s">
        <v>46</v>
      </c>
    </row>
    <row r="367" customFormat="false" ht="15.7" hidden="false" customHeight="true" outlineLevel="0" collapsed="false">
      <c r="A367" s="2"/>
      <c r="B367" s="3" t="n">
        <f aca="false">DATE(2006,11,1)</f>
        <v>0</v>
      </c>
      <c r="C367" s="3" t="n">
        <v>39022</v>
      </c>
      <c r="D367" s="2" t="s">
        <v>3086</v>
      </c>
      <c r="F367" s="2" t="s">
        <v>3087</v>
      </c>
      <c r="G367" s="2" t="s">
        <v>3088</v>
      </c>
      <c r="H367" s="2" t="s">
        <v>1101</v>
      </c>
      <c r="I367" s="2" t="s">
        <v>51</v>
      </c>
      <c r="J367" s="2" t="s">
        <v>171</v>
      </c>
      <c r="K367" s="2" t="s">
        <v>3086</v>
      </c>
      <c r="L367" s="2" t="s">
        <v>51</v>
      </c>
      <c r="M367" s="2" t="s">
        <v>1101</v>
      </c>
      <c r="N367" s="2" t="s">
        <v>3089</v>
      </c>
      <c r="O367" s="2"/>
      <c r="P367" s="2" t="s">
        <v>37</v>
      </c>
      <c r="Q367" s="4" t="n">
        <v>8731</v>
      </c>
      <c r="R367" s="2" t="s">
        <v>56</v>
      </c>
      <c r="S367" s="2" t="s">
        <v>92</v>
      </c>
      <c r="T367" s="2" t="s">
        <v>40</v>
      </c>
      <c r="U367" s="2" t="s">
        <v>3090</v>
      </c>
      <c r="V367" s="2"/>
      <c r="W367" s="2" t="s">
        <v>42</v>
      </c>
      <c r="X367" s="2" t="s">
        <v>43</v>
      </c>
      <c r="Y367" s="2" t="s">
        <v>37</v>
      </c>
      <c r="Z367" s="2" t="s">
        <v>44</v>
      </c>
      <c r="AA367" s="2"/>
      <c r="AB367" s="2"/>
      <c r="AC367" s="2" t="s">
        <v>3091</v>
      </c>
      <c r="AD367" s="2" t="s">
        <v>46</v>
      </c>
    </row>
    <row r="368" customFormat="false" ht="15.7" hidden="false" customHeight="true" outlineLevel="0" collapsed="false">
      <c r="A368" s="2"/>
      <c r="B368" s="3" t="n">
        <f aca="false">DATE(2006,11,3)</f>
        <v>0</v>
      </c>
      <c r="C368" s="3" t="n">
        <v>39024</v>
      </c>
      <c r="D368" s="2" t="s">
        <v>3092</v>
      </c>
      <c r="F368" s="2" t="s">
        <v>3093</v>
      </c>
      <c r="G368" s="2" t="s">
        <v>3094</v>
      </c>
      <c r="H368" s="2" t="s">
        <v>3095</v>
      </c>
      <c r="I368" s="2" t="s">
        <v>2530</v>
      </c>
      <c r="J368" s="2" t="s">
        <v>3096</v>
      </c>
      <c r="K368" s="2" t="s">
        <v>3092</v>
      </c>
      <c r="L368" s="2" t="s">
        <v>2530</v>
      </c>
      <c r="M368" s="2" t="s">
        <v>3095</v>
      </c>
      <c r="N368" s="2" t="s">
        <v>3097</v>
      </c>
      <c r="O368" s="2"/>
      <c r="P368" s="2" t="s">
        <v>37</v>
      </c>
      <c r="Q368" s="4" t="n">
        <v>8731</v>
      </c>
      <c r="R368" s="2" t="s">
        <v>56</v>
      </c>
      <c r="S368" s="2" t="s">
        <v>92</v>
      </c>
      <c r="T368" s="2" t="s">
        <v>40</v>
      </c>
      <c r="U368" s="2" t="s">
        <v>3098</v>
      </c>
      <c r="V368" s="2"/>
      <c r="W368" s="2" t="s">
        <v>773</v>
      </c>
      <c r="X368" s="2" t="s">
        <v>43</v>
      </c>
      <c r="Y368" s="2" t="s">
        <v>37</v>
      </c>
      <c r="Z368" s="2" t="s">
        <v>916</v>
      </c>
      <c r="AA368" s="2"/>
      <c r="AB368" s="2"/>
      <c r="AC368" s="2" t="s">
        <v>3099</v>
      </c>
      <c r="AD368" s="2" t="s">
        <v>46</v>
      </c>
    </row>
    <row r="369" customFormat="false" ht="15.7" hidden="false" customHeight="true" outlineLevel="0" collapsed="false">
      <c r="A369" s="2"/>
      <c r="B369" s="3" t="n">
        <f aca="false">DATE(2006,11,7)</f>
        <v>0</v>
      </c>
      <c r="C369" s="3" t="n">
        <v>39028</v>
      </c>
      <c r="D369" s="2" t="s">
        <v>3100</v>
      </c>
      <c r="F369" s="2" t="s">
        <v>3101</v>
      </c>
      <c r="G369" s="2" t="s">
        <v>3102</v>
      </c>
      <c r="H369" s="2" t="s">
        <v>170</v>
      </c>
      <c r="I369" s="2" t="s">
        <v>3103</v>
      </c>
      <c r="J369" s="2" t="s">
        <v>514</v>
      </c>
      <c r="K369" s="2" t="s">
        <v>3100</v>
      </c>
      <c r="L369" s="2" t="s">
        <v>3103</v>
      </c>
      <c r="M369" s="2" t="s">
        <v>170</v>
      </c>
      <c r="N369" s="2" t="s">
        <v>3104</v>
      </c>
      <c r="O369" s="2"/>
      <c r="P369" s="2" t="s">
        <v>37</v>
      </c>
      <c r="Q369" s="4" t="n">
        <v>8731</v>
      </c>
      <c r="R369" s="2" t="s">
        <v>136</v>
      </c>
      <c r="S369" s="2" t="s">
        <v>39</v>
      </c>
      <c r="T369" s="2" t="s">
        <v>40</v>
      </c>
      <c r="U369" s="2" t="s">
        <v>3105</v>
      </c>
      <c r="V369" s="2"/>
      <c r="W369" s="2" t="s">
        <v>138</v>
      </c>
      <c r="X369" s="2" t="s">
        <v>43</v>
      </c>
      <c r="Y369" s="2" t="s">
        <v>37</v>
      </c>
      <c r="Z369" s="2" t="s">
        <v>44</v>
      </c>
      <c r="AA369" s="2"/>
      <c r="AB369" s="2"/>
      <c r="AC369" s="2" t="s">
        <v>3106</v>
      </c>
      <c r="AD369" s="2" t="s">
        <v>46</v>
      </c>
    </row>
    <row r="370" customFormat="false" ht="15.7" hidden="false" customHeight="true" outlineLevel="0" collapsed="false">
      <c r="A370" s="2"/>
      <c r="B370" s="3" t="n">
        <f aca="false">DATE(2006,11,7)</f>
        <v>0</v>
      </c>
      <c r="C370" s="3" t="n">
        <v>39028</v>
      </c>
      <c r="D370" s="2" t="s">
        <v>3107</v>
      </c>
      <c r="F370" s="2" t="s">
        <v>3108</v>
      </c>
      <c r="G370" s="2" t="s">
        <v>3109</v>
      </c>
      <c r="H370" s="2" t="s">
        <v>3110</v>
      </c>
      <c r="I370" s="2" t="s">
        <v>51</v>
      </c>
      <c r="J370" s="2" t="s">
        <v>1482</v>
      </c>
      <c r="K370" s="2" t="s">
        <v>3107</v>
      </c>
      <c r="L370" s="2" t="s">
        <v>51</v>
      </c>
      <c r="M370" s="2" t="s">
        <v>3110</v>
      </c>
      <c r="N370" s="2" t="s">
        <v>3111</v>
      </c>
      <c r="O370" s="2"/>
      <c r="P370" s="2" t="s">
        <v>37</v>
      </c>
      <c r="Q370" s="4" t="n">
        <v>8731</v>
      </c>
      <c r="R370" s="2" t="s">
        <v>56</v>
      </c>
      <c r="S370" s="2" t="s">
        <v>472</v>
      </c>
      <c r="T370" s="2" t="s">
        <v>40</v>
      </c>
      <c r="U370" s="2" t="s">
        <v>3112</v>
      </c>
      <c r="V370" s="2"/>
      <c r="W370" s="2" t="s">
        <v>2209</v>
      </c>
      <c r="X370" s="2" t="s">
        <v>43</v>
      </c>
      <c r="Y370" s="2" t="s">
        <v>37</v>
      </c>
      <c r="Z370" s="2" t="s">
        <v>44</v>
      </c>
      <c r="AA370" s="2"/>
      <c r="AB370" s="2"/>
      <c r="AC370" s="2" t="s">
        <v>3113</v>
      </c>
      <c r="AD370" s="2" t="s">
        <v>46</v>
      </c>
    </row>
    <row r="371" customFormat="false" ht="15.7" hidden="false" customHeight="true" outlineLevel="0" collapsed="false">
      <c r="A371" s="2"/>
      <c r="B371" s="3" t="n">
        <f aca="false">DATE(2006,11,7)</f>
        <v>0</v>
      </c>
      <c r="C371" s="3" t="n">
        <v>39028</v>
      </c>
      <c r="D371" s="2" t="s">
        <v>3114</v>
      </c>
      <c r="F371" s="2" t="s">
        <v>3115</v>
      </c>
      <c r="G371" s="2" t="s">
        <v>3116</v>
      </c>
      <c r="H371" s="2" t="s">
        <v>130</v>
      </c>
      <c r="I371" s="2" t="s">
        <v>51</v>
      </c>
      <c r="J371" s="2" t="s">
        <v>3117</v>
      </c>
      <c r="K371" s="2" t="s">
        <v>3114</v>
      </c>
      <c r="L371" s="2" t="s">
        <v>51</v>
      </c>
      <c r="M371" s="2" t="s">
        <v>130</v>
      </c>
      <c r="N371" s="2" t="s">
        <v>3118</v>
      </c>
      <c r="O371" s="2"/>
      <c r="P371" s="2" t="s">
        <v>37</v>
      </c>
      <c r="Q371" s="4" t="n">
        <v>8731</v>
      </c>
      <c r="R371" s="2" t="s">
        <v>56</v>
      </c>
      <c r="S371" s="2" t="s">
        <v>251</v>
      </c>
      <c r="T371" s="2" t="s">
        <v>40</v>
      </c>
      <c r="U371" s="2" t="s">
        <v>3119</v>
      </c>
      <c r="V371" s="2"/>
      <c r="W371" s="2" t="s">
        <v>42</v>
      </c>
      <c r="X371" s="2" t="s">
        <v>43</v>
      </c>
      <c r="Y371" s="2" t="s">
        <v>37</v>
      </c>
      <c r="Z371" s="2" t="s">
        <v>44</v>
      </c>
      <c r="AA371" s="2"/>
      <c r="AB371" s="2"/>
      <c r="AC371" s="2" t="s">
        <v>3120</v>
      </c>
      <c r="AD371" s="2" t="s">
        <v>46</v>
      </c>
    </row>
    <row r="372" customFormat="false" ht="15.7" hidden="false" customHeight="true" outlineLevel="0" collapsed="false">
      <c r="A372" s="2"/>
      <c r="B372" s="3" t="n">
        <f aca="false">DATE(2006,11,7)</f>
        <v>0</v>
      </c>
      <c r="C372" s="3" t="n">
        <v>39028</v>
      </c>
      <c r="D372" s="2" t="s">
        <v>3121</v>
      </c>
      <c r="F372" s="2" t="s">
        <v>3122</v>
      </c>
      <c r="G372" s="2" t="s">
        <v>3123</v>
      </c>
      <c r="H372" s="2" t="s">
        <v>3124</v>
      </c>
      <c r="I372" s="2" t="s">
        <v>3125</v>
      </c>
      <c r="J372" s="2" t="s">
        <v>1891</v>
      </c>
      <c r="K372" s="2" t="s">
        <v>3126</v>
      </c>
      <c r="L372" s="2" t="s">
        <v>3125</v>
      </c>
      <c r="M372" s="2" t="s">
        <v>3127</v>
      </c>
      <c r="N372" s="2" t="s">
        <v>3128</v>
      </c>
      <c r="O372" s="2"/>
      <c r="P372" s="2" t="s">
        <v>37</v>
      </c>
      <c r="Q372" s="4" t="n">
        <v>8732</v>
      </c>
      <c r="R372" s="2" t="s">
        <v>136</v>
      </c>
      <c r="S372" s="2" t="s">
        <v>39</v>
      </c>
      <c r="T372" s="2" t="s">
        <v>40</v>
      </c>
      <c r="U372" s="2" t="s">
        <v>3129</v>
      </c>
      <c r="V372" s="2"/>
      <c r="W372" s="2" t="s">
        <v>3130</v>
      </c>
      <c r="X372" s="2" t="s">
        <v>43</v>
      </c>
      <c r="Y372" s="2" t="s">
        <v>37</v>
      </c>
      <c r="Z372" s="2" t="s">
        <v>44</v>
      </c>
      <c r="AA372" s="2"/>
      <c r="AB372" s="2"/>
      <c r="AC372" s="2" t="s">
        <v>3131</v>
      </c>
      <c r="AD372" s="2" t="s">
        <v>46</v>
      </c>
    </row>
    <row r="373" customFormat="false" ht="15.7" hidden="false" customHeight="true" outlineLevel="0" collapsed="false">
      <c r="A373" s="2"/>
      <c r="B373" s="3" t="n">
        <f aca="false">DATE(2006,11,8)</f>
        <v>0</v>
      </c>
      <c r="C373" s="3" t="n">
        <v>39029</v>
      </c>
      <c r="D373" s="2" t="s">
        <v>3132</v>
      </c>
      <c r="F373" s="2" t="s">
        <v>3133</v>
      </c>
      <c r="G373" s="2" t="s">
        <v>3134</v>
      </c>
      <c r="H373" s="2" t="s">
        <v>63</v>
      </c>
      <c r="I373" s="2" t="s">
        <v>51</v>
      </c>
      <c r="J373" s="2" t="s">
        <v>3135</v>
      </c>
      <c r="K373" s="2" t="s">
        <v>3136</v>
      </c>
      <c r="L373" s="2" t="s">
        <v>51</v>
      </c>
      <c r="M373" s="2" t="s">
        <v>63</v>
      </c>
      <c r="N373" s="2" t="s">
        <v>3137</v>
      </c>
      <c r="O373" s="2"/>
      <c r="P373" s="2" t="s">
        <v>79</v>
      </c>
      <c r="Q373" s="4" t="n">
        <v>6794</v>
      </c>
      <c r="R373" s="2" t="s">
        <v>56</v>
      </c>
      <c r="S373" s="2" t="s">
        <v>92</v>
      </c>
      <c r="T373" s="2" t="s">
        <v>403</v>
      </c>
      <c r="U373" s="2" t="s">
        <v>3138</v>
      </c>
      <c r="V373" s="2"/>
      <c r="W373" s="2" t="s">
        <v>82</v>
      </c>
      <c r="X373" s="2" t="s">
        <v>43</v>
      </c>
      <c r="Y373" s="2" t="s">
        <v>37</v>
      </c>
      <c r="Z373" s="2" t="s">
        <v>44</v>
      </c>
      <c r="AA373" s="2"/>
      <c r="AB373" s="2"/>
      <c r="AC373" s="2" t="s">
        <v>3139</v>
      </c>
      <c r="AD373" s="2" t="s">
        <v>46</v>
      </c>
    </row>
    <row r="374" customFormat="false" ht="15.7" hidden="false" customHeight="true" outlineLevel="0" collapsed="false">
      <c r="A374" s="2"/>
      <c r="B374" s="3" t="n">
        <f aca="false">DATE(2006,11,9)</f>
        <v>0</v>
      </c>
      <c r="C374" s="3" t="n">
        <v>39030</v>
      </c>
      <c r="D374" s="2" t="s">
        <v>3140</v>
      </c>
      <c r="F374" s="2" t="s">
        <v>3141</v>
      </c>
      <c r="G374" s="2" t="s">
        <v>3142</v>
      </c>
      <c r="H374" s="2" t="s">
        <v>63</v>
      </c>
      <c r="I374" s="2" t="s">
        <v>568</v>
      </c>
      <c r="J374" s="2" t="s">
        <v>625</v>
      </c>
      <c r="K374" s="2" t="s">
        <v>3143</v>
      </c>
      <c r="L374" s="2" t="s">
        <v>568</v>
      </c>
      <c r="M374" s="2" t="s">
        <v>63</v>
      </c>
      <c r="N374" s="2" t="s">
        <v>3144</v>
      </c>
      <c r="O374" s="2"/>
      <c r="P374" s="2" t="s">
        <v>37</v>
      </c>
      <c r="Q374" s="4" t="n">
        <v>8731</v>
      </c>
      <c r="R374" s="2" t="s">
        <v>136</v>
      </c>
      <c r="S374" s="2" t="s">
        <v>39</v>
      </c>
      <c r="T374" s="2" t="s">
        <v>40</v>
      </c>
      <c r="U374" s="2" t="s">
        <v>3145</v>
      </c>
      <c r="V374" s="2"/>
      <c r="W374" s="2" t="s">
        <v>42</v>
      </c>
      <c r="X374" s="2" t="s">
        <v>43</v>
      </c>
      <c r="Y374" s="2" t="s">
        <v>37</v>
      </c>
      <c r="Z374" s="2" t="s">
        <v>44</v>
      </c>
      <c r="AA374" s="2"/>
      <c r="AB374" s="2"/>
      <c r="AC374" s="2" t="s">
        <v>3146</v>
      </c>
      <c r="AD374" s="2" t="s">
        <v>46</v>
      </c>
    </row>
    <row r="375" customFormat="false" ht="15.7" hidden="false" customHeight="true" outlineLevel="0" collapsed="false">
      <c r="A375" s="2"/>
      <c r="B375" s="3" t="n">
        <f aca="false">DATE(2006,11,9)</f>
        <v>0</v>
      </c>
      <c r="C375" s="3" t="n">
        <v>39030</v>
      </c>
      <c r="D375" s="2" t="s">
        <v>3147</v>
      </c>
      <c r="F375" s="2" t="s">
        <v>3148</v>
      </c>
      <c r="G375" s="2" t="s">
        <v>3149</v>
      </c>
      <c r="H375" s="2" t="s">
        <v>1020</v>
      </c>
      <c r="I375" s="2" t="s">
        <v>3150</v>
      </c>
      <c r="J375" s="2" t="s">
        <v>35</v>
      </c>
      <c r="K375" s="2" t="s">
        <v>3151</v>
      </c>
      <c r="L375" s="2" t="s">
        <v>3150</v>
      </c>
      <c r="M375" s="2" t="s">
        <v>3152</v>
      </c>
      <c r="N375" s="2" t="s">
        <v>3153</v>
      </c>
      <c r="O375" s="2"/>
      <c r="P375" s="2" t="s">
        <v>37</v>
      </c>
      <c r="Q375" s="4" t="n">
        <v>3845</v>
      </c>
      <c r="R375" s="2" t="s">
        <v>3154</v>
      </c>
      <c r="S375" s="2" t="s">
        <v>39</v>
      </c>
      <c r="T375" s="2" t="s">
        <v>40</v>
      </c>
      <c r="U375" s="2" t="s">
        <v>3155</v>
      </c>
      <c r="V375" s="2"/>
      <c r="W375" s="2" t="s">
        <v>107</v>
      </c>
      <c r="X375" s="2" t="s">
        <v>43</v>
      </c>
      <c r="Y375" s="2" t="s">
        <v>37</v>
      </c>
      <c r="Z375" s="2" t="s">
        <v>44</v>
      </c>
      <c r="AA375" s="2"/>
      <c r="AB375" s="2"/>
      <c r="AC375" s="2" t="s">
        <v>3156</v>
      </c>
      <c r="AD375" s="2" t="s">
        <v>46</v>
      </c>
    </row>
    <row r="376" customFormat="false" ht="15.7" hidden="false" customHeight="true" outlineLevel="0" collapsed="false">
      <c r="A376" s="2"/>
      <c r="B376" s="3" t="n">
        <f aca="false">DATE(2006,11,14)</f>
        <v>0</v>
      </c>
      <c r="C376" s="3" t="n">
        <v>39035</v>
      </c>
      <c r="D376" s="2" t="s">
        <v>3157</v>
      </c>
      <c r="F376" s="2" t="s">
        <v>3158</v>
      </c>
      <c r="G376" s="2" t="s">
        <v>3159</v>
      </c>
      <c r="H376" s="2" t="s">
        <v>3160</v>
      </c>
      <c r="I376" s="2" t="s">
        <v>51</v>
      </c>
      <c r="J376" s="2" t="s">
        <v>3161</v>
      </c>
      <c r="K376" s="2" t="s">
        <v>3157</v>
      </c>
      <c r="L376" s="2" t="s">
        <v>51</v>
      </c>
      <c r="M376" s="2" t="s">
        <v>3160</v>
      </c>
      <c r="N376" s="2" t="s">
        <v>3162</v>
      </c>
      <c r="O376" s="2"/>
      <c r="P376" s="2" t="s">
        <v>37</v>
      </c>
      <c r="Q376" s="4" t="n">
        <v>8731</v>
      </c>
      <c r="R376" s="2" t="s">
        <v>56</v>
      </c>
      <c r="S376" s="2" t="s">
        <v>92</v>
      </c>
      <c r="T376" s="2" t="s">
        <v>673</v>
      </c>
      <c r="U376" s="2" t="s">
        <v>3163</v>
      </c>
      <c r="V376" s="2"/>
      <c r="W376" s="2" t="s">
        <v>42</v>
      </c>
      <c r="X376" s="2" t="s">
        <v>43</v>
      </c>
      <c r="Y376" s="2" t="s">
        <v>37</v>
      </c>
      <c r="Z376" s="2" t="s">
        <v>44</v>
      </c>
      <c r="AA376" s="2"/>
      <c r="AB376" s="2"/>
      <c r="AC376" s="2" t="s">
        <v>3164</v>
      </c>
      <c r="AD376" s="2" t="s">
        <v>46</v>
      </c>
    </row>
    <row r="377" customFormat="false" ht="15.7" hidden="false" customHeight="true" outlineLevel="0" collapsed="false">
      <c r="A377" s="2"/>
      <c r="B377" s="3" t="n">
        <f aca="false">DATE(2006,11,15)</f>
        <v>0</v>
      </c>
      <c r="C377" s="3" t="n">
        <v>39036</v>
      </c>
      <c r="D377" s="2" t="s">
        <v>3165</v>
      </c>
      <c r="F377" s="2" t="s">
        <v>3166</v>
      </c>
      <c r="G377" s="2" t="s">
        <v>3167</v>
      </c>
      <c r="H377" s="2" t="s">
        <v>3168</v>
      </c>
      <c r="I377" s="2" t="s">
        <v>51</v>
      </c>
      <c r="J377" s="2" t="s">
        <v>2816</v>
      </c>
      <c r="K377" s="2" t="s">
        <v>3165</v>
      </c>
      <c r="L377" s="2" t="s">
        <v>51</v>
      </c>
      <c r="M377" s="2" t="s">
        <v>3168</v>
      </c>
      <c r="N377" s="2" t="s">
        <v>3169</v>
      </c>
      <c r="O377" s="2"/>
      <c r="P377" s="2" t="s">
        <v>79</v>
      </c>
      <c r="Q377" s="4" t="n">
        <v>6794</v>
      </c>
      <c r="R377" s="2" t="s">
        <v>56</v>
      </c>
      <c r="S377" s="2" t="s">
        <v>507</v>
      </c>
      <c r="T377" s="2" t="s">
        <v>40</v>
      </c>
      <c r="U377" s="2" t="s">
        <v>3170</v>
      </c>
      <c r="V377" s="2"/>
      <c r="W377" s="2" t="s">
        <v>82</v>
      </c>
      <c r="X377" s="2" t="s">
        <v>43</v>
      </c>
      <c r="Y377" s="2" t="s">
        <v>37</v>
      </c>
      <c r="Z377" s="2" t="s">
        <v>44</v>
      </c>
      <c r="AA377" s="2"/>
      <c r="AB377" s="2"/>
      <c r="AC377" s="2" t="s">
        <v>3171</v>
      </c>
      <c r="AD377" s="2" t="s">
        <v>46</v>
      </c>
    </row>
    <row r="378" customFormat="false" ht="15.7" hidden="false" customHeight="true" outlineLevel="0" collapsed="false">
      <c r="A378" s="2"/>
      <c r="B378" s="3" t="n">
        <f aca="false">DATE(2006,11,16)</f>
        <v>0</v>
      </c>
      <c r="C378" s="3" t="n">
        <v>39037</v>
      </c>
      <c r="D378" s="2" t="s">
        <v>3172</v>
      </c>
      <c r="F378" s="2" t="s">
        <v>3173</v>
      </c>
      <c r="G378" s="2" t="s">
        <v>3174</v>
      </c>
      <c r="H378" s="2" t="s">
        <v>3175</v>
      </c>
      <c r="I378" s="2" t="s">
        <v>51</v>
      </c>
      <c r="J378" s="2" t="s">
        <v>3176</v>
      </c>
      <c r="K378" s="2" t="s">
        <v>3177</v>
      </c>
      <c r="L378" s="2" t="s">
        <v>154</v>
      </c>
      <c r="M378" s="2" t="s">
        <v>3178</v>
      </c>
      <c r="N378" s="2" t="s">
        <v>3179</v>
      </c>
      <c r="O378" s="2"/>
      <c r="P378" s="2" t="s">
        <v>37</v>
      </c>
      <c r="Q378" s="2" t="s">
        <v>3180</v>
      </c>
      <c r="R378" s="2" t="s">
        <v>56</v>
      </c>
      <c r="S378" s="2" t="s">
        <v>92</v>
      </c>
      <c r="T378" s="2" t="s">
        <v>40</v>
      </c>
      <c r="U378" s="2" t="s">
        <v>3181</v>
      </c>
      <c r="V378" s="2"/>
      <c r="W378" s="2" t="s">
        <v>3182</v>
      </c>
      <c r="X378" s="2" t="s">
        <v>43</v>
      </c>
      <c r="Y378" s="2" t="s">
        <v>37</v>
      </c>
      <c r="Z378" s="2" t="s">
        <v>44</v>
      </c>
      <c r="AA378" s="2"/>
      <c r="AB378" s="2"/>
      <c r="AC378" s="2" t="s">
        <v>3183</v>
      </c>
      <c r="AD378" s="2" t="s">
        <v>46</v>
      </c>
    </row>
    <row r="379" customFormat="false" ht="15.7" hidden="false" customHeight="true" outlineLevel="0" collapsed="false">
      <c r="A379" s="2"/>
      <c r="B379" s="3" t="n">
        <f aca="false">DATE(2006,11,16)</f>
        <v>0</v>
      </c>
      <c r="C379" s="3" t="n">
        <v>39037</v>
      </c>
      <c r="D379" s="2" t="s">
        <v>3184</v>
      </c>
      <c r="F379" s="2" t="s">
        <v>3185</v>
      </c>
      <c r="G379" s="2" t="s">
        <v>3186</v>
      </c>
      <c r="H379" s="2" t="s">
        <v>3187</v>
      </c>
      <c r="I379" s="2" t="s">
        <v>3188</v>
      </c>
      <c r="J379" s="2" t="s">
        <v>35</v>
      </c>
      <c r="K379" s="2" t="s">
        <v>3189</v>
      </c>
      <c r="L379" s="2" t="s">
        <v>3188</v>
      </c>
      <c r="M379" s="2" t="s">
        <v>3190</v>
      </c>
      <c r="N379" s="2" t="s">
        <v>3191</v>
      </c>
      <c r="O379" s="2"/>
      <c r="P379" s="2" t="s">
        <v>37</v>
      </c>
      <c r="Q379" s="4" t="n">
        <v>3575</v>
      </c>
      <c r="R379" s="2" t="s">
        <v>136</v>
      </c>
      <c r="S379" s="2" t="s">
        <v>39</v>
      </c>
      <c r="T379" s="2" t="s">
        <v>40</v>
      </c>
      <c r="U379" s="2" t="s">
        <v>3192</v>
      </c>
      <c r="V379" s="2"/>
      <c r="W379" s="2" t="s">
        <v>2209</v>
      </c>
      <c r="X379" s="2" t="s">
        <v>43</v>
      </c>
      <c r="Y379" s="2" t="s">
        <v>37</v>
      </c>
      <c r="Z379" s="2" t="s">
        <v>44</v>
      </c>
      <c r="AA379" s="2"/>
      <c r="AB379" s="2"/>
      <c r="AC379" s="2" t="s">
        <v>3193</v>
      </c>
      <c r="AD379" s="2" t="s">
        <v>46</v>
      </c>
    </row>
    <row r="380" customFormat="false" ht="15.7" hidden="false" customHeight="true" outlineLevel="0" collapsed="false">
      <c r="A380" s="2"/>
      <c r="B380" s="3" t="n">
        <f aca="false">DATE(2006,11,20)</f>
        <v>0</v>
      </c>
      <c r="C380" s="3" t="n">
        <v>39041</v>
      </c>
      <c r="D380" s="2" t="s">
        <v>3194</v>
      </c>
      <c r="F380" s="2" t="s">
        <v>3195</v>
      </c>
      <c r="G380" s="2" t="s">
        <v>3196</v>
      </c>
      <c r="H380" s="2" t="s">
        <v>2918</v>
      </c>
      <c r="I380" s="2" t="s">
        <v>3197</v>
      </c>
      <c r="J380" s="2" t="s">
        <v>3198</v>
      </c>
      <c r="K380" s="2" t="s">
        <v>3194</v>
      </c>
      <c r="L380" s="2" t="s">
        <v>3197</v>
      </c>
      <c r="M380" s="2" t="s">
        <v>2918</v>
      </c>
      <c r="N380" s="2" t="s">
        <v>3199</v>
      </c>
      <c r="O380" s="2"/>
      <c r="P380" s="2" t="s">
        <v>37</v>
      </c>
      <c r="Q380" s="4" t="n">
        <v>2834</v>
      </c>
      <c r="R380" s="2" t="s">
        <v>136</v>
      </c>
      <c r="S380" s="2" t="s">
        <v>39</v>
      </c>
      <c r="T380" s="2" t="s">
        <v>403</v>
      </c>
      <c r="U380" s="2" t="s">
        <v>3200</v>
      </c>
      <c r="V380" s="2"/>
      <c r="W380" s="2" t="s">
        <v>755</v>
      </c>
      <c r="X380" s="2" t="s">
        <v>43</v>
      </c>
      <c r="Y380" s="2" t="s">
        <v>37</v>
      </c>
      <c r="Z380" s="2" t="s">
        <v>916</v>
      </c>
      <c r="AA380" s="2" t="s">
        <v>3201</v>
      </c>
      <c r="AB380" s="2"/>
      <c r="AC380" s="2" t="s">
        <v>3202</v>
      </c>
      <c r="AD380" s="2" t="s">
        <v>46</v>
      </c>
    </row>
    <row r="381" customFormat="false" ht="15.7" hidden="false" customHeight="true" outlineLevel="0" collapsed="false">
      <c r="A381" s="2"/>
      <c r="B381" s="3" t="n">
        <f aca="false">DATE(2006,11,20)</f>
        <v>0</v>
      </c>
      <c r="C381" s="3" t="n">
        <v>39041</v>
      </c>
      <c r="D381" s="2" t="s">
        <v>3203</v>
      </c>
      <c r="F381" s="2" t="s">
        <v>3204</v>
      </c>
      <c r="G381" s="2" t="s">
        <v>3205</v>
      </c>
      <c r="H381" s="2" t="s">
        <v>3206</v>
      </c>
      <c r="I381" s="2" t="s">
        <v>51</v>
      </c>
      <c r="J381" s="2" t="s">
        <v>3207</v>
      </c>
      <c r="K381" s="2" t="s">
        <v>3208</v>
      </c>
      <c r="L381" s="2" t="s">
        <v>51</v>
      </c>
      <c r="M381" s="2" t="s">
        <v>153</v>
      </c>
      <c r="N381" s="2" t="s">
        <v>3209</v>
      </c>
      <c r="O381" s="2"/>
      <c r="P381" s="2" t="s">
        <v>37</v>
      </c>
      <c r="Q381" s="4" t="n">
        <v>2835</v>
      </c>
      <c r="R381" s="2" t="s">
        <v>56</v>
      </c>
      <c r="S381" s="2" t="s">
        <v>80</v>
      </c>
      <c r="T381" s="2" t="s">
        <v>40</v>
      </c>
      <c r="U381" s="2" t="s">
        <v>3210</v>
      </c>
      <c r="V381" s="2"/>
      <c r="W381" s="2" t="s">
        <v>755</v>
      </c>
      <c r="X381" s="2" t="s">
        <v>43</v>
      </c>
      <c r="Y381" s="2" t="s">
        <v>37</v>
      </c>
      <c r="Z381" s="2" t="s">
        <v>44</v>
      </c>
      <c r="AA381" s="2"/>
      <c r="AB381" s="2"/>
      <c r="AC381" s="2" t="s">
        <v>3211</v>
      </c>
      <c r="AD381" s="2" t="s">
        <v>46</v>
      </c>
    </row>
    <row r="382" customFormat="false" ht="15.7" hidden="false" customHeight="true" outlineLevel="0" collapsed="false">
      <c r="A382" s="2"/>
      <c r="B382" s="3" t="n">
        <f aca="false">DATE(2006,11,20)</f>
        <v>0</v>
      </c>
      <c r="C382" s="3" t="n">
        <v>39041</v>
      </c>
      <c r="D382" s="2" t="s">
        <v>3212</v>
      </c>
      <c r="F382" s="2" t="s">
        <v>3213</v>
      </c>
      <c r="G382" s="2" t="s">
        <v>3214</v>
      </c>
      <c r="H382" s="2" t="s">
        <v>3215</v>
      </c>
      <c r="I382" s="2" t="s">
        <v>100</v>
      </c>
      <c r="J382" s="2" t="s">
        <v>625</v>
      </c>
      <c r="K382" s="2" t="s">
        <v>3212</v>
      </c>
      <c r="L382" s="2" t="s">
        <v>100</v>
      </c>
      <c r="M382" s="2" t="s">
        <v>3215</v>
      </c>
      <c r="N382" s="2" t="s">
        <v>3216</v>
      </c>
      <c r="O382" s="2"/>
      <c r="P382" s="2" t="s">
        <v>37</v>
      </c>
      <c r="Q382" s="4" t="n">
        <v>8731</v>
      </c>
      <c r="R382" s="2" t="s">
        <v>56</v>
      </c>
      <c r="S382" s="2" t="s">
        <v>80</v>
      </c>
      <c r="T382" s="2" t="s">
        <v>40</v>
      </c>
      <c r="U382" s="2" t="s">
        <v>3217</v>
      </c>
      <c r="V382" s="2"/>
      <c r="W382" s="2" t="s">
        <v>42</v>
      </c>
      <c r="X382" s="2" t="s">
        <v>43</v>
      </c>
      <c r="Y382" s="2" t="s">
        <v>37</v>
      </c>
      <c r="Z382" s="2" t="s">
        <v>44</v>
      </c>
      <c r="AA382" s="2"/>
      <c r="AB382" s="2"/>
      <c r="AC382" s="2" t="s">
        <v>3218</v>
      </c>
      <c r="AD382" s="2" t="s">
        <v>46</v>
      </c>
    </row>
    <row r="383" customFormat="false" ht="15.7" hidden="false" customHeight="true" outlineLevel="0" collapsed="false">
      <c r="A383" s="2"/>
      <c r="B383" s="3" t="n">
        <f aca="false">DATE(2006,11,21)</f>
        <v>0</v>
      </c>
      <c r="C383" s="3" t="n">
        <v>39042</v>
      </c>
      <c r="D383" s="2" t="s">
        <v>3219</v>
      </c>
      <c r="F383" s="2" t="s">
        <v>3220</v>
      </c>
      <c r="G383" s="2" t="s">
        <v>3221</v>
      </c>
      <c r="H383" s="2" t="s">
        <v>3222</v>
      </c>
      <c r="I383" s="2" t="s">
        <v>3223</v>
      </c>
      <c r="J383" s="2" t="s">
        <v>116</v>
      </c>
      <c r="K383" s="2" t="s">
        <v>3219</v>
      </c>
      <c r="L383" s="2" t="s">
        <v>3223</v>
      </c>
      <c r="M383" s="2" t="s">
        <v>3222</v>
      </c>
      <c r="N383" s="2" t="s">
        <v>3224</v>
      </c>
      <c r="O383" s="2"/>
      <c r="P383" s="2" t="s">
        <v>37</v>
      </c>
      <c r="Q383" s="4" t="n">
        <v>8731</v>
      </c>
      <c r="R383" s="2" t="s">
        <v>402</v>
      </c>
      <c r="S383" s="2" t="s">
        <v>39</v>
      </c>
      <c r="T383" s="2" t="s">
        <v>40</v>
      </c>
      <c r="U383" s="2" t="s">
        <v>3225</v>
      </c>
      <c r="V383" s="2"/>
      <c r="W383" s="2" t="s">
        <v>138</v>
      </c>
      <c r="X383" s="2" t="s">
        <v>43</v>
      </c>
      <c r="Y383" s="2" t="s">
        <v>37</v>
      </c>
      <c r="Z383" s="2" t="s">
        <v>916</v>
      </c>
      <c r="AA383" s="2"/>
      <c r="AB383" s="2"/>
      <c r="AC383" s="2" t="s">
        <v>3226</v>
      </c>
      <c r="AD383" s="2" t="s">
        <v>46</v>
      </c>
    </row>
    <row r="384" customFormat="false" ht="15.7" hidden="false" customHeight="true" outlineLevel="0" collapsed="false">
      <c r="A384" s="2"/>
      <c r="B384" s="3" t="n">
        <f aca="false">DATE(2006,11,21)</f>
        <v>0</v>
      </c>
      <c r="C384" s="3" t="n">
        <v>39042</v>
      </c>
      <c r="D384" s="2" t="s">
        <v>3227</v>
      </c>
      <c r="F384" s="2" t="s">
        <v>3228</v>
      </c>
      <c r="G384" s="2" t="s">
        <v>3229</v>
      </c>
      <c r="H384" s="2" t="s">
        <v>3230</v>
      </c>
      <c r="I384" s="2" t="s">
        <v>965</v>
      </c>
      <c r="J384" s="2" t="s">
        <v>3231</v>
      </c>
      <c r="K384" s="2" t="s">
        <v>3232</v>
      </c>
      <c r="L384" s="2" t="s">
        <v>965</v>
      </c>
      <c r="M384" s="2" t="s">
        <v>3230</v>
      </c>
      <c r="N384" s="2" t="s">
        <v>3233</v>
      </c>
      <c r="O384" s="2"/>
      <c r="P384" s="2" t="s">
        <v>37</v>
      </c>
      <c r="Q384" s="4" t="n">
        <v>8731</v>
      </c>
      <c r="R384" s="2" t="s">
        <v>136</v>
      </c>
      <c r="S384" s="2" t="s">
        <v>39</v>
      </c>
      <c r="T384" s="2" t="s">
        <v>403</v>
      </c>
      <c r="U384" s="2" t="s">
        <v>3234</v>
      </c>
      <c r="V384" s="2"/>
      <c r="W384" s="2" t="s">
        <v>3235</v>
      </c>
      <c r="X384" s="2" t="s">
        <v>43</v>
      </c>
      <c r="Y384" s="2" t="s">
        <v>37</v>
      </c>
      <c r="Z384" s="2" t="s">
        <v>44</v>
      </c>
      <c r="AA384" s="2"/>
      <c r="AB384" s="2"/>
      <c r="AC384" s="2" t="s">
        <v>3236</v>
      </c>
      <c r="AD384" s="2" t="s">
        <v>46</v>
      </c>
    </row>
    <row r="385" customFormat="false" ht="15.7" hidden="false" customHeight="true" outlineLevel="0" collapsed="false">
      <c r="A385" s="2"/>
      <c r="B385" s="3" t="n">
        <f aca="false">DATE(2006,11,27)</f>
        <v>0</v>
      </c>
      <c r="C385" s="3" t="n">
        <v>39048</v>
      </c>
      <c r="D385" s="2" t="s">
        <v>3237</v>
      </c>
      <c r="F385" s="2" t="s">
        <v>3238</v>
      </c>
      <c r="G385" s="2" t="s">
        <v>3239</v>
      </c>
      <c r="H385" s="2" t="s">
        <v>3240</v>
      </c>
      <c r="I385" s="2" t="s">
        <v>1415</v>
      </c>
      <c r="J385" s="2" t="s">
        <v>155</v>
      </c>
      <c r="K385" s="2" t="s">
        <v>3241</v>
      </c>
      <c r="L385" s="2" t="s">
        <v>1415</v>
      </c>
      <c r="M385" s="2" t="s">
        <v>684</v>
      </c>
      <c r="N385" s="2" t="s">
        <v>3242</v>
      </c>
      <c r="O385" s="2"/>
      <c r="P385" s="2" t="s">
        <v>37</v>
      </c>
      <c r="Q385" s="4" t="n">
        <v>5047</v>
      </c>
      <c r="R385" s="2" t="s">
        <v>136</v>
      </c>
      <c r="S385" s="2" t="s">
        <v>39</v>
      </c>
      <c r="T385" s="2" t="s">
        <v>40</v>
      </c>
      <c r="U385" s="2" t="s">
        <v>3243</v>
      </c>
      <c r="V385" s="2"/>
      <c r="W385" s="2" t="s">
        <v>3244</v>
      </c>
      <c r="X385" s="2" t="s">
        <v>43</v>
      </c>
      <c r="Y385" s="2" t="s">
        <v>37</v>
      </c>
      <c r="Z385" s="2" t="s">
        <v>44</v>
      </c>
      <c r="AA385" s="2"/>
      <c r="AB385" s="2"/>
      <c r="AC385" s="2" t="s">
        <v>3245</v>
      </c>
      <c r="AD385" s="2" t="s">
        <v>46</v>
      </c>
    </row>
    <row r="386" customFormat="false" ht="15.7" hidden="false" customHeight="true" outlineLevel="0" collapsed="false">
      <c r="A386" s="2"/>
      <c r="B386" s="3" t="n">
        <f aca="false">DATE(2006,11,27)</f>
        <v>0</v>
      </c>
      <c r="C386" s="3" t="n">
        <v>39048</v>
      </c>
      <c r="D386" s="2" t="s">
        <v>3246</v>
      </c>
      <c r="F386" s="2" t="s">
        <v>3247</v>
      </c>
      <c r="G386" s="2" t="s">
        <v>3248</v>
      </c>
      <c r="H386" s="2" t="s">
        <v>3249</v>
      </c>
      <c r="I386" s="2" t="s">
        <v>51</v>
      </c>
      <c r="J386" s="2" t="s">
        <v>3250</v>
      </c>
      <c r="K386" s="2" t="s">
        <v>3251</v>
      </c>
      <c r="L386" s="2" t="s">
        <v>219</v>
      </c>
      <c r="M386" s="2" t="s">
        <v>1286</v>
      </c>
      <c r="N386" s="2" t="s">
        <v>3252</v>
      </c>
      <c r="O386" s="2"/>
      <c r="P386" s="2" t="s">
        <v>37</v>
      </c>
      <c r="Q386" s="4" t="n">
        <v>8731</v>
      </c>
      <c r="R386" s="2" t="s">
        <v>56</v>
      </c>
      <c r="S386" s="2" t="s">
        <v>3253</v>
      </c>
      <c r="T386" s="2" t="s">
        <v>40</v>
      </c>
      <c r="U386" s="2" t="s">
        <v>3254</v>
      </c>
      <c r="V386" s="2"/>
      <c r="W386" s="2" t="s">
        <v>42</v>
      </c>
      <c r="X386" s="2" t="s">
        <v>43</v>
      </c>
      <c r="Y386" s="2" t="s">
        <v>37</v>
      </c>
      <c r="Z386" s="2" t="s">
        <v>44</v>
      </c>
      <c r="AA386" s="2"/>
      <c r="AB386" s="2"/>
      <c r="AC386" s="2" t="s">
        <v>3255</v>
      </c>
      <c r="AD386" s="2" t="s">
        <v>46</v>
      </c>
    </row>
    <row r="387" customFormat="false" ht="15.7" hidden="false" customHeight="true" outlineLevel="0" collapsed="false">
      <c r="A387" s="2"/>
      <c r="B387" s="3" t="n">
        <f aca="false">DATE(2006,11,28)</f>
        <v>0</v>
      </c>
      <c r="C387" s="3" t="n">
        <v>39049</v>
      </c>
      <c r="D387" s="2" t="s">
        <v>3256</v>
      </c>
      <c r="F387" s="2" t="s">
        <v>999</v>
      </c>
      <c r="G387" s="2" t="s">
        <v>3257</v>
      </c>
      <c r="H387" s="2" t="s">
        <v>762</v>
      </c>
      <c r="I387" s="2" t="s">
        <v>51</v>
      </c>
      <c r="J387" s="2" t="s">
        <v>3258</v>
      </c>
      <c r="K387" s="2" t="s">
        <v>3256</v>
      </c>
      <c r="L387" s="2" t="s">
        <v>51</v>
      </c>
      <c r="M387" s="2" t="s">
        <v>762</v>
      </c>
      <c r="N387" s="2" t="s">
        <v>3259</v>
      </c>
      <c r="O387" s="2"/>
      <c r="P387" s="2" t="s">
        <v>37</v>
      </c>
      <c r="Q387" s="4" t="n">
        <v>8731</v>
      </c>
      <c r="R387" s="2" t="s">
        <v>56</v>
      </c>
      <c r="S387" s="2" t="s">
        <v>92</v>
      </c>
      <c r="T387" s="2" t="s">
        <v>403</v>
      </c>
      <c r="U387" s="2" t="s">
        <v>3260</v>
      </c>
      <c r="V387" s="2"/>
      <c r="W387" s="2" t="s">
        <v>42</v>
      </c>
      <c r="X387" s="2" t="s">
        <v>43</v>
      </c>
      <c r="Y387" s="2" t="s">
        <v>37</v>
      </c>
      <c r="Z387" s="2" t="s">
        <v>44</v>
      </c>
      <c r="AA387" s="2"/>
      <c r="AB387" s="2"/>
      <c r="AC387" s="2" t="s">
        <v>3261</v>
      </c>
      <c r="AD387" s="2" t="s">
        <v>46</v>
      </c>
    </row>
    <row r="388" customFormat="false" ht="15.7" hidden="false" customHeight="true" outlineLevel="0" collapsed="false">
      <c r="A388" s="2"/>
      <c r="B388" s="3" t="n">
        <f aca="false">DATE(2006,11,28)</f>
        <v>0</v>
      </c>
      <c r="C388" s="3" t="n">
        <v>39049</v>
      </c>
      <c r="D388" s="2" t="s">
        <v>3262</v>
      </c>
      <c r="F388" s="2" t="s">
        <v>3263</v>
      </c>
      <c r="G388" s="2" t="s">
        <v>3264</v>
      </c>
      <c r="H388" s="2" t="s">
        <v>814</v>
      </c>
      <c r="I388" s="2" t="s">
        <v>3265</v>
      </c>
      <c r="J388" s="2" t="s">
        <v>966</v>
      </c>
      <c r="K388" s="2" t="s">
        <v>3266</v>
      </c>
      <c r="L388" s="2" t="s">
        <v>3267</v>
      </c>
      <c r="M388" s="2" t="s">
        <v>814</v>
      </c>
      <c r="N388" s="2" t="s">
        <v>3268</v>
      </c>
      <c r="O388" s="2"/>
      <c r="P388" s="2" t="s">
        <v>37</v>
      </c>
      <c r="Q388" s="4" t="n">
        <v>8731</v>
      </c>
      <c r="R388" s="2" t="s">
        <v>56</v>
      </c>
      <c r="S388" s="2" t="s">
        <v>57</v>
      </c>
      <c r="T388" s="2" t="s">
        <v>673</v>
      </c>
      <c r="U388" s="2" t="s">
        <v>3269</v>
      </c>
      <c r="V388" s="2"/>
      <c r="W388" s="2" t="s">
        <v>138</v>
      </c>
      <c r="X388" s="2" t="s">
        <v>43</v>
      </c>
      <c r="Y388" s="2" t="s">
        <v>37</v>
      </c>
      <c r="Z388" s="2" t="s">
        <v>44</v>
      </c>
      <c r="AA388" s="2"/>
      <c r="AB388" s="2"/>
      <c r="AC388" s="2" t="s">
        <v>3270</v>
      </c>
      <c r="AD388" s="2" t="s">
        <v>46</v>
      </c>
    </row>
    <row r="389" customFormat="false" ht="15.7" hidden="false" customHeight="true" outlineLevel="0" collapsed="false">
      <c r="A389" s="2"/>
      <c r="B389" s="3" t="n">
        <f aca="false">DATE(2006,11,28)</f>
        <v>0</v>
      </c>
      <c r="C389" s="3" t="n">
        <v>39049</v>
      </c>
      <c r="D389" s="2" t="s">
        <v>3271</v>
      </c>
      <c r="F389" s="2" t="s">
        <v>3272</v>
      </c>
      <c r="G389" s="2" t="s">
        <v>3273</v>
      </c>
      <c r="H389" s="2" t="s">
        <v>3274</v>
      </c>
      <c r="I389" s="2" t="s">
        <v>3275</v>
      </c>
      <c r="J389" s="2" t="s">
        <v>3276</v>
      </c>
      <c r="K389" s="2" t="s">
        <v>3277</v>
      </c>
      <c r="L389" s="2" t="s">
        <v>3275</v>
      </c>
      <c r="M389" s="2" t="s">
        <v>3278</v>
      </c>
      <c r="N389" s="2" t="s">
        <v>3279</v>
      </c>
      <c r="O389" s="2"/>
      <c r="P389" s="2" t="s">
        <v>37</v>
      </c>
      <c r="Q389" s="4" t="n">
        <v>3711</v>
      </c>
      <c r="R389" s="2" t="s">
        <v>402</v>
      </c>
      <c r="S389" s="2" t="s">
        <v>39</v>
      </c>
      <c r="T389" s="2" t="s">
        <v>403</v>
      </c>
      <c r="U389" s="2" t="s">
        <v>3280</v>
      </c>
      <c r="V389" s="2"/>
      <c r="W389" s="2" t="s">
        <v>107</v>
      </c>
      <c r="X389" s="2" t="s">
        <v>46</v>
      </c>
      <c r="Y389" s="2" t="s">
        <v>37</v>
      </c>
      <c r="Z389" s="2" t="s">
        <v>452</v>
      </c>
      <c r="AA389" s="2"/>
      <c r="AB389" s="2"/>
      <c r="AC389" s="2" t="s">
        <v>3281</v>
      </c>
      <c r="AD389" s="2" t="s">
        <v>46</v>
      </c>
    </row>
    <row r="390" customFormat="false" ht="15.7" hidden="false" customHeight="true" outlineLevel="0" collapsed="false">
      <c r="A390" s="2"/>
      <c r="B390" s="3" t="n">
        <f aca="false">DATE(2006,11,28)</f>
        <v>0</v>
      </c>
      <c r="C390" s="3" t="n">
        <v>39049</v>
      </c>
      <c r="D390" s="2" t="s">
        <v>3282</v>
      </c>
      <c r="F390" s="2" t="s">
        <v>3283</v>
      </c>
      <c r="G390" s="2" t="s">
        <v>3284</v>
      </c>
      <c r="H390" s="2" t="s">
        <v>3285</v>
      </c>
      <c r="I390" s="2" t="s">
        <v>51</v>
      </c>
      <c r="J390" s="2" t="s">
        <v>3286</v>
      </c>
      <c r="K390" s="2" t="s">
        <v>3282</v>
      </c>
      <c r="L390" s="2" t="s">
        <v>51</v>
      </c>
      <c r="M390" s="2" t="s">
        <v>3285</v>
      </c>
      <c r="N390" s="2" t="s">
        <v>3287</v>
      </c>
      <c r="O390" s="2"/>
      <c r="P390" s="2" t="s">
        <v>37</v>
      </c>
      <c r="Q390" s="4" t="n">
        <v>8731</v>
      </c>
      <c r="R390" s="2" t="s">
        <v>56</v>
      </c>
      <c r="S390" s="2" t="s">
        <v>2265</v>
      </c>
      <c r="T390" s="2" t="s">
        <v>40</v>
      </c>
      <c r="U390" s="2" t="s">
        <v>3288</v>
      </c>
      <c r="V390" s="2"/>
      <c r="W390" s="2" t="s">
        <v>138</v>
      </c>
      <c r="X390" s="2" t="s">
        <v>43</v>
      </c>
      <c r="Y390" s="2" t="s">
        <v>37</v>
      </c>
      <c r="Z390" s="2" t="s">
        <v>44</v>
      </c>
      <c r="AA390" s="2"/>
      <c r="AB390" s="2"/>
      <c r="AC390" s="2" t="s">
        <v>3289</v>
      </c>
      <c r="AD390" s="2" t="s">
        <v>46</v>
      </c>
    </row>
    <row r="391" customFormat="false" ht="15.7" hidden="false" customHeight="true" outlineLevel="0" collapsed="false">
      <c r="A391" s="2"/>
      <c r="B391" s="3" t="n">
        <f aca="false">DATE(2006,11,29)</f>
        <v>0</v>
      </c>
      <c r="C391" s="3" t="n">
        <v>39050</v>
      </c>
      <c r="D391" s="2" t="s">
        <v>3290</v>
      </c>
      <c r="F391" s="2" t="s">
        <v>3291</v>
      </c>
      <c r="G391" s="2" t="s">
        <v>3292</v>
      </c>
      <c r="H391" s="2" t="s">
        <v>3293</v>
      </c>
      <c r="I391" s="2" t="s">
        <v>51</v>
      </c>
      <c r="J391" s="2" t="s">
        <v>3294</v>
      </c>
      <c r="K391" s="2" t="s">
        <v>3295</v>
      </c>
      <c r="L391" s="2" t="s">
        <v>51</v>
      </c>
      <c r="M391" s="2" t="s">
        <v>3296</v>
      </c>
      <c r="N391" s="2" t="s">
        <v>3297</v>
      </c>
      <c r="O391" s="2"/>
      <c r="P391" s="2" t="s">
        <v>37</v>
      </c>
      <c r="Q391" s="4" t="n">
        <v>8732</v>
      </c>
      <c r="R391" s="2" t="s">
        <v>56</v>
      </c>
      <c r="S391" s="2" t="s">
        <v>380</v>
      </c>
      <c r="T391" s="2" t="s">
        <v>403</v>
      </c>
      <c r="U391" s="2" t="s">
        <v>3298</v>
      </c>
      <c r="V391" s="2"/>
      <c r="W391" s="2" t="s">
        <v>138</v>
      </c>
      <c r="X391" s="2" t="s">
        <v>46</v>
      </c>
      <c r="Y391" s="2" t="s">
        <v>37</v>
      </c>
      <c r="Z391" s="2" t="s">
        <v>362</v>
      </c>
      <c r="AA391" s="2"/>
      <c r="AB391" s="2"/>
      <c r="AC391" s="2" t="s">
        <v>3299</v>
      </c>
      <c r="AD391" s="2" t="s">
        <v>46</v>
      </c>
    </row>
    <row r="392" customFormat="false" ht="15.7" hidden="false" customHeight="true" outlineLevel="0" collapsed="false">
      <c r="A392" s="2"/>
      <c r="B392" s="3" t="n">
        <f aca="false">DATE(2006,11,29)</f>
        <v>0</v>
      </c>
      <c r="C392" s="3" t="n">
        <v>39050</v>
      </c>
      <c r="D392" s="2" t="s">
        <v>3300</v>
      </c>
      <c r="F392" s="2" t="s">
        <v>3301</v>
      </c>
      <c r="G392" s="2" t="s">
        <v>3302</v>
      </c>
      <c r="H392" s="2" t="s">
        <v>2857</v>
      </c>
      <c r="I392" s="2" t="s">
        <v>487</v>
      </c>
      <c r="J392" s="2" t="s">
        <v>3303</v>
      </c>
      <c r="K392" s="2" t="s">
        <v>3300</v>
      </c>
      <c r="L392" s="2" t="s">
        <v>487</v>
      </c>
      <c r="M392" s="2" t="s">
        <v>2857</v>
      </c>
      <c r="N392" s="2" t="s">
        <v>3304</v>
      </c>
      <c r="O392" s="2"/>
      <c r="P392" s="2" t="s">
        <v>37</v>
      </c>
      <c r="Q392" s="4" t="n">
        <v>3674</v>
      </c>
      <c r="R392" s="2" t="s">
        <v>136</v>
      </c>
      <c r="S392" s="2" t="s">
        <v>39</v>
      </c>
      <c r="T392" s="2" t="s">
        <v>40</v>
      </c>
      <c r="U392" s="2" t="s">
        <v>3305</v>
      </c>
      <c r="V392" s="2"/>
      <c r="W392" s="2" t="s">
        <v>107</v>
      </c>
      <c r="X392" s="2" t="s">
        <v>43</v>
      </c>
      <c r="Y392" s="2" t="s">
        <v>37</v>
      </c>
      <c r="Z392" s="2" t="s">
        <v>44</v>
      </c>
      <c r="AA392" s="2"/>
      <c r="AB392" s="2"/>
      <c r="AC392" s="2" t="s">
        <v>3306</v>
      </c>
      <c r="AD392" s="2" t="s">
        <v>46</v>
      </c>
    </row>
    <row r="393" customFormat="false" ht="15.7" hidden="false" customHeight="true" outlineLevel="0" collapsed="false">
      <c r="A393" s="2"/>
      <c r="B393" s="3" t="n">
        <f aca="false">DATE(2006,11,29)</f>
        <v>0</v>
      </c>
      <c r="C393" s="3" t="n">
        <v>39050</v>
      </c>
      <c r="D393" s="2" t="s">
        <v>3307</v>
      </c>
      <c r="F393" s="2" t="s">
        <v>3308</v>
      </c>
      <c r="G393" s="2" t="s">
        <v>3309</v>
      </c>
      <c r="H393" s="2" t="s">
        <v>993</v>
      </c>
      <c r="I393" s="2" t="s">
        <v>51</v>
      </c>
      <c r="J393" s="2" t="s">
        <v>3310</v>
      </c>
      <c r="K393" s="2" t="s">
        <v>3311</v>
      </c>
      <c r="L393" s="2" t="s">
        <v>3312</v>
      </c>
      <c r="M393" s="2" t="s">
        <v>3313</v>
      </c>
      <c r="N393" s="2" t="s">
        <v>3314</v>
      </c>
      <c r="O393" s="2"/>
      <c r="P393" s="2" t="s">
        <v>37</v>
      </c>
      <c r="Q393" s="4" t="n">
        <v>8731</v>
      </c>
      <c r="R393" s="2" t="s">
        <v>56</v>
      </c>
      <c r="S393" s="2" t="s">
        <v>57</v>
      </c>
      <c r="T393" s="2" t="s">
        <v>403</v>
      </c>
      <c r="U393" s="2" t="s">
        <v>3315</v>
      </c>
      <c r="V393" s="2"/>
      <c r="W393" s="2" t="s">
        <v>42</v>
      </c>
      <c r="X393" s="2" t="s">
        <v>43</v>
      </c>
      <c r="Y393" s="2" t="s">
        <v>37</v>
      </c>
      <c r="Z393" s="2" t="s">
        <v>44</v>
      </c>
      <c r="AA393" s="2"/>
      <c r="AB393" s="2"/>
      <c r="AC393" s="2" t="s">
        <v>3316</v>
      </c>
      <c r="AD393" s="2" t="s">
        <v>46</v>
      </c>
    </row>
    <row r="394" customFormat="false" ht="15.7" hidden="false" customHeight="true" outlineLevel="0" collapsed="false">
      <c r="A394" s="2"/>
      <c r="B394" s="3" t="n">
        <f aca="false">DATE(2006,11,30)</f>
        <v>0</v>
      </c>
      <c r="C394" s="3" t="n">
        <v>39051</v>
      </c>
      <c r="D394" s="2" t="s">
        <v>3317</v>
      </c>
      <c r="F394" s="2" t="s">
        <v>3318</v>
      </c>
      <c r="G394" s="2" t="s">
        <v>3319</v>
      </c>
      <c r="H394" s="2" t="s">
        <v>2283</v>
      </c>
      <c r="I394" s="2" t="s">
        <v>3320</v>
      </c>
      <c r="J394" s="2" t="s">
        <v>35</v>
      </c>
      <c r="K394" s="2" t="s">
        <v>3321</v>
      </c>
      <c r="L394" s="2" t="s">
        <v>3320</v>
      </c>
      <c r="M394" s="2" t="s">
        <v>3322</v>
      </c>
      <c r="N394" s="2" t="s">
        <v>3323</v>
      </c>
      <c r="O394" s="2"/>
      <c r="P394" s="2" t="s">
        <v>37</v>
      </c>
      <c r="Q394" s="4" t="n">
        <v>8731</v>
      </c>
      <c r="R394" s="2" t="s">
        <v>136</v>
      </c>
      <c r="S394" s="2" t="s">
        <v>39</v>
      </c>
      <c r="T394" s="2" t="s">
        <v>403</v>
      </c>
      <c r="U394" s="2" t="s">
        <v>3324</v>
      </c>
      <c r="V394" s="2"/>
      <c r="W394" s="2" t="s">
        <v>3235</v>
      </c>
      <c r="X394" s="2" t="s">
        <v>43</v>
      </c>
      <c r="Y394" s="2" t="s">
        <v>37</v>
      </c>
      <c r="Z394" s="2" t="s">
        <v>44</v>
      </c>
      <c r="AA394" s="2"/>
      <c r="AB394" s="2"/>
      <c r="AC394" s="2" t="s">
        <v>3325</v>
      </c>
      <c r="AD394" s="2" t="s">
        <v>46</v>
      </c>
    </row>
    <row r="395" customFormat="false" ht="15.7" hidden="false" customHeight="true" outlineLevel="0" collapsed="false">
      <c r="A395" s="2"/>
      <c r="B395" s="3" t="n">
        <f aca="false">DATE(2006,12,4)</f>
        <v>0</v>
      </c>
      <c r="C395" s="3" t="n">
        <v>39055</v>
      </c>
      <c r="D395" s="2" t="s">
        <v>3326</v>
      </c>
      <c r="F395" s="2" t="s">
        <v>3074</v>
      </c>
      <c r="G395" s="2" t="s">
        <v>3327</v>
      </c>
      <c r="H395" s="2" t="s">
        <v>170</v>
      </c>
      <c r="I395" s="2" t="s">
        <v>1973</v>
      </c>
      <c r="J395" s="2" t="s">
        <v>35</v>
      </c>
      <c r="K395" s="2" t="s">
        <v>3326</v>
      </c>
      <c r="L395" s="2" t="s">
        <v>1973</v>
      </c>
      <c r="M395" s="2" t="s">
        <v>170</v>
      </c>
      <c r="N395" s="2" t="s">
        <v>3328</v>
      </c>
      <c r="O395" s="2"/>
      <c r="P395" s="2" t="s">
        <v>79</v>
      </c>
      <c r="Q395" s="4" t="n">
        <v>8731</v>
      </c>
      <c r="R395" s="2" t="s">
        <v>402</v>
      </c>
      <c r="S395" s="2" t="s">
        <v>39</v>
      </c>
      <c r="T395" s="2" t="s">
        <v>40</v>
      </c>
      <c r="U395" s="2" t="s">
        <v>3329</v>
      </c>
      <c r="V395" s="2"/>
      <c r="W395" s="2" t="s">
        <v>3330</v>
      </c>
      <c r="X395" s="2" t="s">
        <v>43</v>
      </c>
      <c r="Y395" s="2" t="s">
        <v>37</v>
      </c>
      <c r="Z395" s="2" t="s">
        <v>44</v>
      </c>
      <c r="AA395" s="2"/>
      <c r="AB395" s="2"/>
      <c r="AC395" s="2" t="s">
        <v>3331</v>
      </c>
      <c r="AD395" s="2" t="s">
        <v>46</v>
      </c>
    </row>
    <row r="396" customFormat="false" ht="15.7" hidden="false" customHeight="true" outlineLevel="0" collapsed="false">
      <c r="A396" s="2"/>
      <c r="B396" s="3" t="n">
        <f aca="false">DATE(2006,12,5)</f>
        <v>0</v>
      </c>
      <c r="C396" s="3" t="n">
        <v>39056</v>
      </c>
      <c r="D396" s="2" t="s">
        <v>3332</v>
      </c>
      <c r="F396" s="2" t="s">
        <v>3333</v>
      </c>
      <c r="G396" s="2" t="s">
        <v>3334</v>
      </c>
      <c r="H396" s="2" t="s">
        <v>3335</v>
      </c>
      <c r="I396" s="2" t="s">
        <v>3336</v>
      </c>
      <c r="J396" s="2" t="s">
        <v>35</v>
      </c>
      <c r="K396" s="2" t="s">
        <v>3332</v>
      </c>
      <c r="L396" s="2" t="s">
        <v>3336</v>
      </c>
      <c r="M396" s="2" t="s">
        <v>3335</v>
      </c>
      <c r="N396" s="2" t="s">
        <v>3337</v>
      </c>
      <c r="O396" s="2"/>
      <c r="P396" s="2" t="s">
        <v>37</v>
      </c>
      <c r="Q396" s="4" t="n">
        <v>8731</v>
      </c>
      <c r="R396" s="2" t="s">
        <v>136</v>
      </c>
      <c r="S396" s="2" t="s">
        <v>39</v>
      </c>
      <c r="T396" s="2" t="s">
        <v>403</v>
      </c>
      <c r="U396" s="2" t="s">
        <v>3338</v>
      </c>
      <c r="V396" s="2"/>
      <c r="W396" s="2" t="s">
        <v>42</v>
      </c>
      <c r="X396" s="2" t="s">
        <v>43</v>
      </c>
      <c r="Y396" s="2" t="s">
        <v>37</v>
      </c>
      <c r="Z396" s="2" t="s">
        <v>44</v>
      </c>
      <c r="AA396" s="2"/>
      <c r="AB396" s="2"/>
      <c r="AC396" s="2" t="s">
        <v>3339</v>
      </c>
      <c r="AD396" s="2" t="s">
        <v>46</v>
      </c>
    </row>
    <row r="397" customFormat="false" ht="15.7" hidden="false" customHeight="true" outlineLevel="0" collapsed="false">
      <c r="A397" s="2"/>
      <c r="B397" s="3" t="n">
        <f aca="false">DATE(2006,12,6)</f>
        <v>0</v>
      </c>
      <c r="C397" s="3" t="n">
        <v>39057</v>
      </c>
      <c r="D397" s="2" t="s">
        <v>3340</v>
      </c>
      <c r="F397" s="2" t="s">
        <v>3341</v>
      </c>
      <c r="G397" s="2" t="s">
        <v>3342</v>
      </c>
      <c r="H397" s="2" t="s">
        <v>3343</v>
      </c>
      <c r="I397" s="2" t="s">
        <v>388</v>
      </c>
      <c r="J397" s="2" t="s">
        <v>65</v>
      </c>
      <c r="K397" s="2" t="s">
        <v>3344</v>
      </c>
      <c r="L397" s="2" t="s">
        <v>51</v>
      </c>
      <c r="M397" s="2" t="s">
        <v>1925</v>
      </c>
      <c r="N397" s="2" t="s">
        <v>3345</v>
      </c>
      <c r="O397" s="2"/>
      <c r="P397" s="2" t="s">
        <v>37</v>
      </c>
      <c r="Q397" s="4" t="n">
        <v>8731</v>
      </c>
      <c r="R397" s="2" t="s">
        <v>56</v>
      </c>
      <c r="S397" s="2" t="s">
        <v>92</v>
      </c>
      <c r="T397" s="2" t="s">
        <v>40</v>
      </c>
      <c r="U397" s="2" t="s">
        <v>3346</v>
      </c>
      <c r="V397" s="2"/>
      <c r="W397" s="2" t="s">
        <v>744</v>
      </c>
      <c r="X397" s="2" t="s">
        <v>43</v>
      </c>
      <c r="Y397" s="2" t="s">
        <v>37</v>
      </c>
      <c r="Z397" s="2" t="s">
        <v>44</v>
      </c>
      <c r="AA397" s="2"/>
      <c r="AB397" s="2"/>
      <c r="AC397" s="2" t="s">
        <v>3347</v>
      </c>
      <c r="AD397" s="2" t="s">
        <v>46</v>
      </c>
    </row>
    <row r="398" customFormat="false" ht="15.7" hidden="false" customHeight="true" outlineLevel="0" collapsed="false">
      <c r="A398" s="2"/>
      <c r="B398" s="3" t="n">
        <f aca="false">DATE(2006,12,6)</f>
        <v>0</v>
      </c>
      <c r="C398" s="3" t="n">
        <v>39057</v>
      </c>
      <c r="D398" s="2" t="s">
        <v>3348</v>
      </c>
      <c r="F398" s="2" t="s">
        <v>3349</v>
      </c>
      <c r="G398" s="2" t="s">
        <v>3350</v>
      </c>
      <c r="H398" s="2" t="s">
        <v>2857</v>
      </c>
      <c r="I398" s="2" t="s">
        <v>3351</v>
      </c>
      <c r="J398" s="2" t="s">
        <v>35</v>
      </c>
      <c r="K398" s="2" t="s">
        <v>3348</v>
      </c>
      <c r="L398" s="2" t="s">
        <v>3351</v>
      </c>
      <c r="M398" s="2" t="s">
        <v>2857</v>
      </c>
      <c r="N398" s="2" t="s">
        <v>3352</v>
      </c>
      <c r="O398" s="2"/>
      <c r="P398" s="2" t="s">
        <v>37</v>
      </c>
      <c r="Q398" s="4" t="n">
        <v>3674</v>
      </c>
      <c r="R398" s="2" t="s">
        <v>2165</v>
      </c>
      <c r="S398" s="2" t="s">
        <v>39</v>
      </c>
      <c r="T398" s="2" t="s">
        <v>403</v>
      </c>
      <c r="U398" s="2" t="s">
        <v>3353</v>
      </c>
      <c r="V398" s="2"/>
      <c r="W398" s="2" t="s">
        <v>697</v>
      </c>
      <c r="X398" s="2" t="s">
        <v>46</v>
      </c>
      <c r="Y398" s="2" t="s">
        <v>37</v>
      </c>
      <c r="Z398" s="2" t="s">
        <v>362</v>
      </c>
      <c r="AA398" s="2" t="s">
        <v>3354</v>
      </c>
      <c r="AB398" s="2"/>
      <c r="AC398" s="2" t="s">
        <v>3355</v>
      </c>
      <c r="AD398" s="2" t="s">
        <v>46</v>
      </c>
    </row>
    <row r="399" customFormat="false" ht="15.7" hidden="false" customHeight="true" outlineLevel="0" collapsed="false">
      <c r="A399" s="2"/>
      <c r="B399" s="3" t="n">
        <f aca="false">DATE(2006,12,6)</f>
        <v>0</v>
      </c>
      <c r="C399" s="3" t="n">
        <v>39057</v>
      </c>
      <c r="D399" s="2" t="s">
        <v>3356</v>
      </c>
      <c r="F399" s="2" t="s">
        <v>3357</v>
      </c>
      <c r="G399" s="2" t="s">
        <v>3358</v>
      </c>
      <c r="H399" s="2" t="s">
        <v>3359</v>
      </c>
      <c r="I399" s="2" t="s">
        <v>1236</v>
      </c>
      <c r="J399" s="2" t="s">
        <v>35</v>
      </c>
      <c r="K399" s="2" t="s">
        <v>3356</v>
      </c>
      <c r="L399" s="2" t="s">
        <v>1236</v>
      </c>
      <c r="M399" s="2" t="s">
        <v>3359</v>
      </c>
      <c r="N399" s="2" t="s">
        <v>3360</v>
      </c>
      <c r="O399" s="2" t="s">
        <v>3361</v>
      </c>
      <c r="P399" s="2" t="s">
        <v>37</v>
      </c>
      <c r="Q399" s="4" t="n">
        <v>8731</v>
      </c>
      <c r="R399" s="2" t="s">
        <v>1448</v>
      </c>
      <c r="S399" s="2" t="s">
        <v>39</v>
      </c>
      <c r="T399" s="2" t="s">
        <v>40</v>
      </c>
      <c r="U399" s="2" t="s">
        <v>3362</v>
      </c>
      <c r="V399" s="2"/>
      <c r="W399" s="2" t="s">
        <v>3363</v>
      </c>
      <c r="X399" s="2" t="s">
        <v>46</v>
      </c>
      <c r="Y399" s="2" t="s">
        <v>37</v>
      </c>
      <c r="Z399" s="2" t="s">
        <v>362</v>
      </c>
      <c r="AA399" s="2" t="s">
        <v>3364</v>
      </c>
      <c r="AB399" s="2" t="s">
        <v>3365</v>
      </c>
      <c r="AC399" s="2" t="s">
        <v>3366</v>
      </c>
      <c r="AD399" s="2" t="s">
        <v>46</v>
      </c>
    </row>
    <row r="400" customFormat="false" ht="15.7" hidden="false" customHeight="true" outlineLevel="0" collapsed="false">
      <c r="A400" s="2"/>
      <c r="B400" s="3" t="n">
        <f aca="false">DATE(2006,12,7)</f>
        <v>0</v>
      </c>
      <c r="C400" s="3" t="n">
        <v>39058</v>
      </c>
      <c r="D400" s="2" t="s">
        <v>3367</v>
      </c>
      <c r="F400" s="2" t="s">
        <v>999</v>
      </c>
      <c r="G400" s="2" t="s">
        <v>3368</v>
      </c>
      <c r="H400" s="2" t="s">
        <v>762</v>
      </c>
      <c r="I400" s="2" t="s">
        <v>88</v>
      </c>
      <c r="J400" s="2" t="s">
        <v>65</v>
      </c>
      <c r="K400" s="2" t="s">
        <v>3369</v>
      </c>
      <c r="L400" s="2" t="s">
        <v>2103</v>
      </c>
      <c r="M400" s="2" t="s">
        <v>523</v>
      </c>
      <c r="N400" s="2" t="s">
        <v>3370</v>
      </c>
      <c r="O400" s="2"/>
      <c r="P400" s="2" t="s">
        <v>79</v>
      </c>
      <c r="Q400" s="4" t="n">
        <v>6794</v>
      </c>
      <c r="R400" s="2" t="s">
        <v>136</v>
      </c>
      <c r="S400" s="2" t="s">
        <v>39</v>
      </c>
      <c r="T400" s="2" t="s">
        <v>40</v>
      </c>
      <c r="U400" s="2" t="s">
        <v>3371</v>
      </c>
      <c r="V400" s="2"/>
      <c r="W400" s="2" t="s">
        <v>82</v>
      </c>
      <c r="X400" s="2" t="s">
        <v>43</v>
      </c>
      <c r="Y400" s="2" t="s">
        <v>37</v>
      </c>
      <c r="Z400" s="2" t="s">
        <v>44</v>
      </c>
      <c r="AA400" s="2" t="s">
        <v>3372</v>
      </c>
      <c r="AB400" s="2"/>
      <c r="AC400" s="2" t="s">
        <v>3373</v>
      </c>
      <c r="AD400" s="2" t="s">
        <v>46</v>
      </c>
    </row>
    <row r="401" customFormat="false" ht="15.7" hidden="false" customHeight="true" outlineLevel="0" collapsed="false">
      <c r="A401" s="2"/>
      <c r="B401" s="3" t="n">
        <f aca="false">DATE(2006,12,7)</f>
        <v>0</v>
      </c>
      <c r="C401" s="3" t="n">
        <v>39058</v>
      </c>
      <c r="D401" s="2" t="s">
        <v>3374</v>
      </c>
      <c r="F401" s="2" t="s">
        <v>3375</v>
      </c>
      <c r="G401" s="2" t="s">
        <v>3376</v>
      </c>
      <c r="H401" s="2" t="s">
        <v>130</v>
      </c>
      <c r="I401" s="2" t="s">
        <v>1367</v>
      </c>
      <c r="J401" s="2" t="s">
        <v>35</v>
      </c>
      <c r="K401" s="2" t="s">
        <v>3374</v>
      </c>
      <c r="L401" s="2" t="s">
        <v>1367</v>
      </c>
      <c r="M401" s="2" t="s">
        <v>130</v>
      </c>
      <c r="N401" s="2" t="s">
        <v>3377</v>
      </c>
      <c r="O401" s="2"/>
      <c r="P401" s="2" t="s">
        <v>37</v>
      </c>
      <c r="Q401" s="4" t="n">
        <v>8731</v>
      </c>
      <c r="R401" s="2" t="s">
        <v>136</v>
      </c>
      <c r="S401" s="2" t="s">
        <v>39</v>
      </c>
      <c r="T401" s="2" t="s">
        <v>40</v>
      </c>
      <c r="U401" s="2" t="s">
        <v>3378</v>
      </c>
      <c r="V401" s="2"/>
      <c r="W401" s="2" t="s">
        <v>138</v>
      </c>
      <c r="X401" s="2" t="s">
        <v>43</v>
      </c>
      <c r="Y401" s="2" t="s">
        <v>37</v>
      </c>
      <c r="Z401" s="2" t="s">
        <v>44</v>
      </c>
      <c r="AA401" s="2" t="s">
        <v>3379</v>
      </c>
      <c r="AB401" s="2"/>
      <c r="AC401" s="2" t="s">
        <v>3380</v>
      </c>
      <c r="AD401" s="2" t="s">
        <v>46</v>
      </c>
    </row>
    <row r="402" customFormat="false" ht="15.7" hidden="false" customHeight="true" outlineLevel="0" collapsed="false">
      <c r="A402" s="2"/>
      <c r="B402" s="3" t="n">
        <f aca="false">DATE(2006,12,8)</f>
        <v>0</v>
      </c>
      <c r="C402" s="3" t="n">
        <v>39059</v>
      </c>
      <c r="D402" s="2" t="s">
        <v>3381</v>
      </c>
      <c r="F402" s="2" t="s">
        <v>3382</v>
      </c>
      <c r="G402" s="2" t="s">
        <v>3383</v>
      </c>
      <c r="H402" s="2" t="s">
        <v>3384</v>
      </c>
      <c r="I402" s="2" t="s">
        <v>487</v>
      </c>
      <c r="J402" s="2" t="s">
        <v>3385</v>
      </c>
      <c r="K402" s="2" t="s">
        <v>3381</v>
      </c>
      <c r="L402" s="2" t="s">
        <v>487</v>
      </c>
      <c r="M402" s="2" t="s">
        <v>3384</v>
      </c>
      <c r="N402" s="2" t="s">
        <v>3386</v>
      </c>
      <c r="O402" s="2"/>
      <c r="P402" s="2" t="s">
        <v>37</v>
      </c>
      <c r="Q402" s="4" t="n">
        <v>8731</v>
      </c>
      <c r="R402" s="2" t="s">
        <v>136</v>
      </c>
      <c r="S402" s="2" t="s">
        <v>39</v>
      </c>
      <c r="T402" s="2" t="s">
        <v>40</v>
      </c>
      <c r="U402" s="2" t="s">
        <v>3387</v>
      </c>
      <c r="V402" s="2"/>
      <c r="W402" s="2" t="s">
        <v>697</v>
      </c>
      <c r="X402" s="2" t="s">
        <v>43</v>
      </c>
      <c r="Y402" s="2" t="s">
        <v>37</v>
      </c>
      <c r="Z402" s="2" t="s">
        <v>44</v>
      </c>
      <c r="AA402" s="2"/>
      <c r="AB402" s="2"/>
      <c r="AC402" s="2" t="s">
        <v>3388</v>
      </c>
      <c r="AD402" s="2" t="s">
        <v>46</v>
      </c>
    </row>
    <row r="403" customFormat="false" ht="15.7" hidden="false" customHeight="true" outlineLevel="0" collapsed="false">
      <c r="A403" s="2"/>
      <c r="B403" s="3" t="n">
        <f aca="false">DATE(2006,12,10)</f>
        <v>0</v>
      </c>
      <c r="C403" s="3" t="n">
        <v>39061</v>
      </c>
      <c r="D403" s="2" t="s">
        <v>3389</v>
      </c>
      <c r="F403" s="2" t="s">
        <v>3390</v>
      </c>
      <c r="G403" s="2" t="s">
        <v>3391</v>
      </c>
      <c r="H403" s="2" t="s">
        <v>3392</v>
      </c>
      <c r="I403" s="2" t="s">
        <v>2948</v>
      </c>
      <c r="J403" s="2" t="s">
        <v>65</v>
      </c>
      <c r="K403" s="2" t="s">
        <v>3389</v>
      </c>
      <c r="L403" s="2" t="s">
        <v>2948</v>
      </c>
      <c r="M403" s="2" t="s">
        <v>3392</v>
      </c>
      <c r="N403" s="2" t="s">
        <v>3393</v>
      </c>
      <c r="O403" s="2"/>
      <c r="P403" s="2" t="s">
        <v>37</v>
      </c>
      <c r="Q403" s="4" t="n">
        <v>8731</v>
      </c>
      <c r="R403" s="2" t="s">
        <v>136</v>
      </c>
      <c r="S403" s="2" t="s">
        <v>39</v>
      </c>
      <c r="T403" s="2" t="s">
        <v>40</v>
      </c>
      <c r="U403" s="2" t="s">
        <v>3394</v>
      </c>
      <c r="V403" s="2"/>
      <c r="W403" s="2" t="s">
        <v>42</v>
      </c>
      <c r="X403" s="2" t="s">
        <v>43</v>
      </c>
      <c r="Y403" s="2" t="s">
        <v>37</v>
      </c>
      <c r="Z403" s="2" t="s">
        <v>44</v>
      </c>
      <c r="AA403" s="2"/>
      <c r="AB403" s="2"/>
      <c r="AC403" s="2" t="s">
        <v>3395</v>
      </c>
      <c r="AD403" s="2" t="s">
        <v>46</v>
      </c>
    </row>
    <row r="404" customFormat="false" ht="15.7" hidden="false" customHeight="true" outlineLevel="0" collapsed="false">
      <c r="A404" s="2"/>
      <c r="B404" s="3" t="n">
        <f aca="false">DATE(2006,12,11)</f>
        <v>0</v>
      </c>
      <c r="C404" s="3" t="n">
        <v>39062</v>
      </c>
      <c r="D404" s="2" t="s">
        <v>3396</v>
      </c>
      <c r="F404" s="2" t="s">
        <v>3397</v>
      </c>
      <c r="G404" s="2" t="s">
        <v>3398</v>
      </c>
      <c r="H404" s="2" t="s">
        <v>305</v>
      </c>
      <c r="I404" s="2" t="s">
        <v>51</v>
      </c>
      <c r="J404" s="2" t="s">
        <v>3310</v>
      </c>
      <c r="K404" s="2" t="s">
        <v>3396</v>
      </c>
      <c r="L404" s="2" t="s">
        <v>51</v>
      </c>
      <c r="M404" s="2" t="s">
        <v>305</v>
      </c>
      <c r="N404" s="2" t="s">
        <v>3399</v>
      </c>
      <c r="O404" s="2"/>
      <c r="P404" s="2" t="s">
        <v>79</v>
      </c>
      <c r="Q404" s="4" t="n">
        <v>8731</v>
      </c>
      <c r="R404" s="2" t="s">
        <v>56</v>
      </c>
      <c r="S404" s="2" t="s">
        <v>80</v>
      </c>
      <c r="T404" s="2" t="s">
        <v>40</v>
      </c>
      <c r="U404" s="2" t="s">
        <v>3400</v>
      </c>
      <c r="V404" s="2"/>
      <c r="W404" s="2" t="s">
        <v>3330</v>
      </c>
      <c r="X404" s="2" t="s">
        <v>43</v>
      </c>
      <c r="Y404" s="2" t="s">
        <v>37</v>
      </c>
      <c r="Z404" s="2" t="s">
        <v>44</v>
      </c>
      <c r="AA404" s="2" t="s">
        <v>3401</v>
      </c>
      <c r="AB404" s="2"/>
      <c r="AC404" s="2" t="s">
        <v>3402</v>
      </c>
      <c r="AD404" s="2" t="s">
        <v>46</v>
      </c>
    </row>
    <row r="405" customFormat="false" ht="15.7" hidden="false" customHeight="true" outlineLevel="0" collapsed="false">
      <c r="A405" s="2"/>
      <c r="B405" s="3" t="n">
        <f aca="false">DATE(2006,12,11)</f>
        <v>0</v>
      </c>
      <c r="C405" s="3" t="n">
        <v>39062</v>
      </c>
      <c r="D405" s="2" t="s">
        <v>3403</v>
      </c>
      <c r="F405" s="2" t="s">
        <v>3404</v>
      </c>
      <c r="G405" s="2" t="s">
        <v>3405</v>
      </c>
      <c r="H405" s="2" t="s">
        <v>63</v>
      </c>
      <c r="I405" s="2" t="s">
        <v>51</v>
      </c>
      <c r="J405" s="2" t="s">
        <v>3294</v>
      </c>
      <c r="K405" s="2" t="s">
        <v>3403</v>
      </c>
      <c r="L405" s="2" t="s">
        <v>51</v>
      </c>
      <c r="M405" s="2" t="s">
        <v>63</v>
      </c>
      <c r="N405" s="2" t="s">
        <v>3406</v>
      </c>
      <c r="O405" s="2"/>
      <c r="P405" s="2" t="s">
        <v>79</v>
      </c>
      <c r="Q405" s="4" t="n">
        <v>6794</v>
      </c>
      <c r="R405" s="2" t="s">
        <v>136</v>
      </c>
      <c r="S405" s="2" t="s">
        <v>39</v>
      </c>
      <c r="T405" s="2" t="s">
        <v>40</v>
      </c>
      <c r="U405" s="2" t="s">
        <v>3407</v>
      </c>
      <c r="V405" s="2"/>
      <c r="W405" s="2" t="s">
        <v>82</v>
      </c>
      <c r="X405" s="2" t="s">
        <v>43</v>
      </c>
      <c r="Y405" s="2" t="s">
        <v>37</v>
      </c>
      <c r="Z405" s="2" t="s">
        <v>44</v>
      </c>
      <c r="AA405" s="2"/>
      <c r="AB405" s="2"/>
      <c r="AC405" s="2" t="s">
        <v>3408</v>
      </c>
      <c r="AD405" s="2" t="s">
        <v>46</v>
      </c>
    </row>
    <row r="406" customFormat="false" ht="15.7" hidden="false" customHeight="true" outlineLevel="0" collapsed="false">
      <c r="A406" s="2"/>
      <c r="B406" s="3" t="n">
        <f aca="false">DATE(2006,12,12)</f>
        <v>0</v>
      </c>
      <c r="C406" s="3" t="n">
        <v>39063</v>
      </c>
      <c r="D406" s="2" t="s">
        <v>3409</v>
      </c>
      <c r="F406" s="2" t="s">
        <v>1230</v>
      </c>
      <c r="G406" s="2" t="s">
        <v>3410</v>
      </c>
      <c r="H406" s="2" t="s">
        <v>130</v>
      </c>
      <c r="I406" s="2" t="s">
        <v>388</v>
      </c>
      <c r="J406" s="2" t="s">
        <v>625</v>
      </c>
      <c r="K406" s="2" t="s">
        <v>3409</v>
      </c>
      <c r="L406" s="2" t="s">
        <v>388</v>
      </c>
      <c r="M406" s="2" t="s">
        <v>130</v>
      </c>
      <c r="N406" s="2" t="s">
        <v>3411</v>
      </c>
      <c r="O406" s="2"/>
      <c r="P406" s="2" t="s">
        <v>37</v>
      </c>
      <c r="Q406" s="4" t="n">
        <v>8731</v>
      </c>
      <c r="R406" s="2" t="s">
        <v>136</v>
      </c>
      <c r="S406" s="2" t="s">
        <v>39</v>
      </c>
      <c r="T406" s="2" t="s">
        <v>40</v>
      </c>
      <c r="U406" s="2" t="s">
        <v>3412</v>
      </c>
      <c r="V406" s="2"/>
      <c r="W406" s="2" t="s">
        <v>42</v>
      </c>
      <c r="X406" s="2" t="s">
        <v>43</v>
      </c>
      <c r="Y406" s="2" t="s">
        <v>37</v>
      </c>
      <c r="Z406" s="2" t="s">
        <v>44</v>
      </c>
      <c r="AA406" s="2"/>
      <c r="AB406" s="2"/>
      <c r="AC406" s="2" t="s">
        <v>3413</v>
      </c>
      <c r="AD406" s="2" t="s">
        <v>46</v>
      </c>
    </row>
    <row r="407" customFormat="false" ht="15.7" hidden="false" customHeight="true" outlineLevel="0" collapsed="false">
      <c r="A407" s="2"/>
      <c r="B407" s="3" t="n">
        <f aca="false">DATE(2006,12,12)</f>
        <v>0</v>
      </c>
      <c r="C407" s="3" t="n">
        <v>39063</v>
      </c>
      <c r="D407" s="2" t="s">
        <v>3414</v>
      </c>
      <c r="F407" s="2" t="s">
        <v>3415</v>
      </c>
      <c r="G407" s="2" t="s">
        <v>3416</v>
      </c>
      <c r="H407" s="2" t="s">
        <v>305</v>
      </c>
      <c r="I407" s="2" t="s">
        <v>51</v>
      </c>
      <c r="J407" s="2" t="s">
        <v>3417</v>
      </c>
      <c r="K407" s="2" t="s">
        <v>3414</v>
      </c>
      <c r="L407" s="2" t="s">
        <v>51</v>
      </c>
      <c r="M407" s="2" t="s">
        <v>305</v>
      </c>
      <c r="N407" s="2" t="s">
        <v>3418</v>
      </c>
      <c r="O407" s="2"/>
      <c r="P407" s="2" t="s">
        <v>37</v>
      </c>
      <c r="Q407" s="4" t="n">
        <v>8731</v>
      </c>
      <c r="R407" s="2" t="s">
        <v>136</v>
      </c>
      <c r="S407" s="2" t="s">
        <v>39</v>
      </c>
      <c r="T407" s="2" t="s">
        <v>40</v>
      </c>
      <c r="U407" s="2" t="s">
        <v>3419</v>
      </c>
      <c r="V407" s="2"/>
      <c r="W407" s="2" t="s">
        <v>138</v>
      </c>
      <c r="X407" s="2" t="s">
        <v>43</v>
      </c>
      <c r="Y407" s="2" t="s">
        <v>37</v>
      </c>
      <c r="Z407" s="2" t="s">
        <v>44</v>
      </c>
      <c r="AA407" s="2" t="s">
        <v>3420</v>
      </c>
      <c r="AB407" s="2"/>
      <c r="AC407" s="2" t="s">
        <v>3421</v>
      </c>
      <c r="AD407" s="2" t="s">
        <v>46</v>
      </c>
    </row>
    <row r="408" customFormat="false" ht="15.7" hidden="false" customHeight="true" outlineLevel="0" collapsed="false">
      <c r="A408" s="2"/>
      <c r="B408" s="3" t="n">
        <f aca="false">DATE(2006,12,12)</f>
        <v>0</v>
      </c>
      <c r="C408" s="3" t="n">
        <v>39063</v>
      </c>
      <c r="D408" s="2" t="s">
        <v>3422</v>
      </c>
      <c r="F408" s="2" t="s">
        <v>3423</v>
      </c>
      <c r="G408" s="2" t="s">
        <v>3424</v>
      </c>
      <c r="H408" s="2" t="s">
        <v>3425</v>
      </c>
      <c r="I408" s="2" t="s">
        <v>51</v>
      </c>
      <c r="J408" s="2" t="s">
        <v>3426</v>
      </c>
      <c r="K408" s="2" t="s">
        <v>3427</v>
      </c>
      <c r="L408" s="2" t="s">
        <v>51</v>
      </c>
      <c r="M408" s="2" t="s">
        <v>3425</v>
      </c>
      <c r="N408" s="2" t="s">
        <v>3428</v>
      </c>
      <c r="O408" s="2"/>
      <c r="P408" s="2" t="s">
        <v>79</v>
      </c>
      <c r="Q408" s="4" t="n">
        <v>6794</v>
      </c>
      <c r="R408" s="2" t="s">
        <v>56</v>
      </c>
      <c r="S408" s="2" t="s">
        <v>3429</v>
      </c>
      <c r="T408" s="2" t="s">
        <v>40</v>
      </c>
      <c r="U408" s="2" t="s">
        <v>3430</v>
      </c>
      <c r="V408" s="2"/>
      <c r="W408" s="2" t="s">
        <v>82</v>
      </c>
      <c r="X408" s="2" t="s">
        <v>43</v>
      </c>
      <c r="Y408" s="2" t="s">
        <v>37</v>
      </c>
      <c r="Z408" s="2" t="s">
        <v>44</v>
      </c>
      <c r="AA408" s="2"/>
      <c r="AB408" s="2"/>
      <c r="AC408" s="2" t="s">
        <v>3431</v>
      </c>
      <c r="AD408" s="2" t="s">
        <v>46</v>
      </c>
    </row>
    <row r="409" customFormat="false" ht="15.7" hidden="false" customHeight="true" outlineLevel="0" collapsed="false">
      <c r="A409" s="2"/>
      <c r="B409" s="3" t="n">
        <f aca="false">DATE(2006,12,13)</f>
        <v>0</v>
      </c>
      <c r="C409" s="3" t="n">
        <v>39064</v>
      </c>
      <c r="D409" s="2" t="s">
        <v>3432</v>
      </c>
      <c r="F409" s="2" t="s">
        <v>3433</v>
      </c>
      <c r="G409" s="2" t="s">
        <v>3434</v>
      </c>
      <c r="H409" s="2" t="s">
        <v>684</v>
      </c>
      <c r="I409" s="2" t="s">
        <v>51</v>
      </c>
      <c r="J409" s="2" t="s">
        <v>3435</v>
      </c>
      <c r="K409" s="2" t="s">
        <v>3432</v>
      </c>
      <c r="L409" s="2" t="s">
        <v>51</v>
      </c>
      <c r="M409" s="2" t="s">
        <v>684</v>
      </c>
      <c r="N409" s="2" t="s">
        <v>3436</v>
      </c>
      <c r="O409" s="2"/>
      <c r="P409" s="2" t="s">
        <v>37</v>
      </c>
      <c r="Q409" s="4" t="n">
        <v>8731</v>
      </c>
      <c r="R409" s="2" t="s">
        <v>56</v>
      </c>
      <c r="S409" s="2" t="s">
        <v>92</v>
      </c>
      <c r="T409" s="2" t="s">
        <v>40</v>
      </c>
      <c r="U409" s="2" t="s">
        <v>3437</v>
      </c>
      <c r="V409" s="2"/>
      <c r="W409" s="2" t="s">
        <v>42</v>
      </c>
      <c r="X409" s="2" t="s">
        <v>43</v>
      </c>
      <c r="Y409" s="2" t="s">
        <v>37</v>
      </c>
      <c r="Z409" s="2" t="s">
        <v>44</v>
      </c>
      <c r="AA409" s="2"/>
      <c r="AB409" s="2"/>
      <c r="AC409" s="2" t="s">
        <v>3438</v>
      </c>
      <c r="AD409" s="2" t="s">
        <v>46</v>
      </c>
    </row>
    <row r="410" customFormat="false" ht="15.7" hidden="false" customHeight="true" outlineLevel="0" collapsed="false">
      <c r="A410" s="2"/>
      <c r="B410" s="3" t="n">
        <f aca="false">DATE(2006,12,13)</f>
        <v>0</v>
      </c>
      <c r="C410" s="3" t="n">
        <v>39064</v>
      </c>
      <c r="D410" s="2" t="s">
        <v>3439</v>
      </c>
      <c r="F410" s="2" t="s">
        <v>3440</v>
      </c>
      <c r="G410" s="2" t="s">
        <v>3441</v>
      </c>
      <c r="H410" s="2" t="s">
        <v>3442</v>
      </c>
      <c r="I410" s="2" t="s">
        <v>2530</v>
      </c>
      <c r="J410" s="2" t="s">
        <v>3443</v>
      </c>
      <c r="K410" s="2" t="s">
        <v>3439</v>
      </c>
      <c r="L410" s="2" t="s">
        <v>2530</v>
      </c>
      <c r="M410" s="2" t="s">
        <v>3442</v>
      </c>
      <c r="N410" s="2" t="s">
        <v>3444</v>
      </c>
      <c r="O410" s="2"/>
      <c r="P410" s="2" t="s">
        <v>79</v>
      </c>
      <c r="Q410" s="4" t="n">
        <v>6794</v>
      </c>
      <c r="R410" s="2" t="s">
        <v>56</v>
      </c>
      <c r="S410" s="2" t="s">
        <v>92</v>
      </c>
      <c r="T410" s="2" t="s">
        <v>40</v>
      </c>
      <c r="U410" s="2" t="s">
        <v>3445</v>
      </c>
      <c r="V410" s="2"/>
      <c r="W410" s="2" t="s">
        <v>82</v>
      </c>
      <c r="X410" s="2" t="s">
        <v>43</v>
      </c>
      <c r="Y410" s="2" t="s">
        <v>37</v>
      </c>
      <c r="Z410" s="2" t="s">
        <v>916</v>
      </c>
      <c r="AA410" s="2" t="s">
        <v>3446</v>
      </c>
      <c r="AB410" s="2"/>
      <c r="AC410" s="2" t="s">
        <v>3447</v>
      </c>
      <c r="AD410" s="2" t="s">
        <v>46</v>
      </c>
    </row>
    <row r="411" customFormat="false" ht="15.7" hidden="false" customHeight="true" outlineLevel="0" collapsed="false">
      <c r="A411" s="2"/>
      <c r="B411" s="3" t="n">
        <f aca="false">DATE(2006,12,13)</f>
        <v>0</v>
      </c>
      <c r="C411" s="3" t="n">
        <v>39064</v>
      </c>
      <c r="D411" s="2" t="s">
        <v>3448</v>
      </c>
      <c r="F411" s="2" t="s">
        <v>3449</v>
      </c>
      <c r="G411" s="2" t="s">
        <v>3450</v>
      </c>
      <c r="H411" s="2" t="s">
        <v>3451</v>
      </c>
      <c r="I411" s="2" t="s">
        <v>64</v>
      </c>
      <c r="J411" s="2" t="s">
        <v>3452</v>
      </c>
      <c r="K411" s="2" t="s">
        <v>3448</v>
      </c>
      <c r="L411" s="2" t="s">
        <v>64</v>
      </c>
      <c r="M411" s="2" t="s">
        <v>3451</v>
      </c>
      <c r="N411" s="2" t="s">
        <v>3453</v>
      </c>
      <c r="O411" s="2"/>
      <c r="P411" s="2" t="s">
        <v>37</v>
      </c>
      <c r="Q411" s="4" t="n">
        <v>5065</v>
      </c>
      <c r="R411" s="2" t="s">
        <v>136</v>
      </c>
      <c r="S411" s="2" t="s">
        <v>39</v>
      </c>
      <c r="T411" s="2" t="s">
        <v>40</v>
      </c>
      <c r="U411" s="2" t="s">
        <v>3454</v>
      </c>
      <c r="V411" s="2"/>
      <c r="W411" s="2" t="s">
        <v>3244</v>
      </c>
      <c r="X411" s="2" t="s">
        <v>43</v>
      </c>
      <c r="Y411" s="2" t="s">
        <v>37</v>
      </c>
      <c r="Z411" s="2" t="s">
        <v>44</v>
      </c>
      <c r="AA411" s="2"/>
      <c r="AB411" s="2"/>
      <c r="AC411" s="2" t="s">
        <v>3455</v>
      </c>
      <c r="AD411" s="2" t="s">
        <v>46</v>
      </c>
    </row>
    <row r="412" customFormat="false" ht="15.7" hidden="false" customHeight="true" outlineLevel="0" collapsed="false">
      <c r="A412" s="2"/>
      <c r="B412" s="3" t="n">
        <f aca="false">DATE(2006,12,14)</f>
        <v>0</v>
      </c>
      <c r="C412" s="3" t="n">
        <v>39065</v>
      </c>
      <c r="D412" s="2" t="s">
        <v>3456</v>
      </c>
      <c r="F412" s="2" t="s">
        <v>3457</v>
      </c>
      <c r="G412" s="2" t="s">
        <v>3458</v>
      </c>
      <c r="H412" s="2" t="s">
        <v>3459</v>
      </c>
      <c r="I412" s="2" t="s">
        <v>51</v>
      </c>
      <c r="J412" s="2" t="s">
        <v>3460</v>
      </c>
      <c r="K412" s="2" t="s">
        <v>3461</v>
      </c>
      <c r="L412" s="2" t="s">
        <v>51</v>
      </c>
      <c r="M412" s="2" t="s">
        <v>3462</v>
      </c>
      <c r="N412" s="2" t="s">
        <v>3463</v>
      </c>
      <c r="O412" s="2"/>
      <c r="P412" s="2" t="s">
        <v>37</v>
      </c>
      <c r="Q412" s="4" t="n">
        <v>9511</v>
      </c>
      <c r="R412" s="2" t="s">
        <v>56</v>
      </c>
      <c r="S412" s="2" t="s">
        <v>1484</v>
      </c>
      <c r="T412" s="2" t="s">
        <v>403</v>
      </c>
      <c r="U412" s="2" t="s">
        <v>3464</v>
      </c>
      <c r="V412" s="2"/>
      <c r="W412" s="2" t="s">
        <v>3465</v>
      </c>
      <c r="X412" s="2" t="s">
        <v>46</v>
      </c>
      <c r="Y412" s="2" t="s">
        <v>37</v>
      </c>
      <c r="Z412" s="2" t="s">
        <v>362</v>
      </c>
      <c r="AA412" s="2"/>
      <c r="AB412" s="2"/>
      <c r="AC412" s="2" t="s">
        <v>3466</v>
      </c>
      <c r="AD412" s="2" t="s">
        <v>46</v>
      </c>
    </row>
    <row r="413" customFormat="false" ht="15.7" hidden="false" customHeight="true" outlineLevel="0" collapsed="false">
      <c r="A413" s="2"/>
      <c r="B413" s="3" t="n">
        <f aca="false">DATE(2006,12,14)</f>
        <v>0</v>
      </c>
      <c r="C413" s="3" t="n">
        <v>39065</v>
      </c>
      <c r="D413" s="2" t="s">
        <v>3467</v>
      </c>
      <c r="F413" s="2" t="s">
        <v>3074</v>
      </c>
      <c r="G413" s="2" t="s">
        <v>3468</v>
      </c>
      <c r="H413" s="2" t="s">
        <v>3469</v>
      </c>
      <c r="I413" s="2" t="s">
        <v>3470</v>
      </c>
      <c r="J413" s="2" t="s">
        <v>65</v>
      </c>
      <c r="K413" s="2" t="s">
        <v>3467</v>
      </c>
      <c r="L413" s="2" t="s">
        <v>3470</v>
      </c>
      <c r="M413" s="2" t="s">
        <v>3469</v>
      </c>
      <c r="N413" s="2" t="s">
        <v>3471</v>
      </c>
      <c r="O413" s="2"/>
      <c r="P413" s="2" t="s">
        <v>37</v>
      </c>
      <c r="Q413" s="4" t="n">
        <v>8731</v>
      </c>
      <c r="R413" s="2" t="s">
        <v>136</v>
      </c>
      <c r="S413" s="2" t="s">
        <v>39</v>
      </c>
      <c r="T413" s="2" t="s">
        <v>403</v>
      </c>
      <c r="U413" s="2" t="s">
        <v>3472</v>
      </c>
      <c r="V413" s="2"/>
      <c r="W413" s="2" t="s">
        <v>42</v>
      </c>
      <c r="X413" s="2" t="s">
        <v>43</v>
      </c>
      <c r="Y413" s="2" t="s">
        <v>37</v>
      </c>
      <c r="Z413" s="2" t="s">
        <v>44</v>
      </c>
      <c r="AA413" s="2"/>
      <c r="AB413" s="2"/>
      <c r="AC413" s="2" t="s">
        <v>3473</v>
      </c>
      <c r="AD413" s="2" t="s">
        <v>46</v>
      </c>
    </row>
    <row r="414" customFormat="false" ht="15.7" hidden="false" customHeight="true" outlineLevel="0" collapsed="false">
      <c r="A414" s="2"/>
      <c r="B414" s="3" t="n">
        <f aca="false">DATE(2006,12,18)</f>
        <v>0</v>
      </c>
      <c r="C414" s="3" t="n">
        <v>39069</v>
      </c>
      <c r="D414" s="2" t="s">
        <v>3474</v>
      </c>
      <c r="F414" s="2" t="s">
        <v>3475</v>
      </c>
      <c r="G414" s="2" t="s">
        <v>3476</v>
      </c>
      <c r="H414" s="2" t="s">
        <v>3477</v>
      </c>
      <c r="I414" s="2" t="s">
        <v>51</v>
      </c>
      <c r="J414" s="2" t="s">
        <v>3478</v>
      </c>
      <c r="K414" s="2" t="s">
        <v>3474</v>
      </c>
      <c r="L414" s="2" t="s">
        <v>51</v>
      </c>
      <c r="M414" s="2" t="s">
        <v>3477</v>
      </c>
      <c r="N414" s="2" t="s">
        <v>3479</v>
      </c>
      <c r="O414" s="2"/>
      <c r="P414" s="2" t="s">
        <v>37</v>
      </c>
      <c r="Q414" s="4" t="n">
        <v>8731</v>
      </c>
      <c r="R414" s="2" t="s">
        <v>56</v>
      </c>
      <c r="S414" s="2" t="s">
        <v>1484</v>
      </c>
      <c r="T414" s="2" t="s">
        <v>403</v>
      </c>
      <c r="U414" s="2" t="s">
        <v>3480</v>
      </c>
      <c r="V414" s="2"/>
      <c r="W414" s="2" t="s">
        <v>42</v>
      </c>
      <c r="X414" s="2" t="s">
        <v>43</v>
      </c>
      <c r="Y414" s="2" t="s">
        <v>37</v>
      </c>
      <c r="Z414" s="2" t="s">
        <v>44</v>
      </c>
      <c r="AA414" s="2"/>
      <c r="AB414" s="2"/>
      <c r="AC414" s="2" t="s">
        <v>3481</v>
      </c>
      <c r="AD414" s="2" t="s">
        <v>46</v>
      </c>
    </row>
    <row r="415" customFormat="false" ht="15.7" hidden="false" customHeight="true" outlineLevel="0" collapsed="false">
      <c r="A415" s="2"/>
      <c r="B415" s="3" t="n">
        <f aca="false">DATE(2006,12,19)</f>
        <v>0</v>
      </c>
      <c r="C415" s="3" t="n">
        <v>39070</v>
      </c>
      <c r="D415" s="2" t="s">
        <v>3482</v>
      </c>
      <c r="F415" s="2" t="s">
        <v>3483</v>
      </c>
      <c r="G415" s="2" t="s">
        <v>3484</v>
      </c>
      <c r="H415" s="2" t="s">
        <v>1027</v>
      </c>
      <c r="I415" s="2" t="s">
        <v>388</v>
      </c>
      <c r="J415" s="2" t="s">
        <v>625</v>
      </c>
      <c r="K415" s="2" t="s">
        <v>3482</v>
      </c>
      <c r="L415" s="2" t="s">
        <v>388</v>
      </c>
      <c r="M415" s="2" t="s">
        <v>1027</v>
      </c>
      <c r="N415" s="2" t="s">
        <v>3485</v>
      </c>
      <c r="O415" s="2"/>
      <c r="P415" s="2" t="s">
        <v>37</v>
      </c>
      <c r="Q415" s="4" t="n">
        <v>8731</v>
      </c>
      <c r="R415" s="2" t="s">
        <v>136</v>
      </c>
      <c r="S415" s="2" t="s">
        <v>39</v>
      </c>
      <c r="T415" s="2" t="s">
        <v>40</v>
      </c>
      <c r="U415" s="2" t="s">
        <v>3486</v>
      </c>
      <c r="V415" s="2"/>
      <c r="W415" s="2" t="s">
        <v>42</v>
      </c>
      <c r="X415" s="2" t="s">
        <v>43</v>
      </c>
      <c r="Y415" s="2" t="s">
        <v>37</v>
      </c>
      <c r="Z415" s="2" t="s">
        <v>44</v>
      </c>
      <c r="AA415" s="2"/>
      <c r="AB415" s="2"/>
      <c r="AC415" s="2" t="s">
        <v>3487</v>
      </c>
      <c r="AD415" s="2" t="s">
        <v>46</v>
      </c>
    </row>
    <row r="416" customFormat="false" ht="15.7" hidden="false" customHeight="true" outlineLevel="0" collapsed="false">
      <c r="A416" s="2"/>
      <c r="B416" s="3" t="n">
        <f aca="false">DATE(2006,12,19)</f>
        <v>0</v>
      </c>
      <c r="C416" s="3" t="n">
        <v>39070</v>
      </c>
      <c r="D416" s="2" t="s">
        <v>3488</v>
      </c>
      <c r="F416" s="2" t="s">
        <v>3489</v>
      </c>
      <c r="G416" s="2" t="s">
        <v>3490</v>
      </c>
      <c r="H416" s="2" t="s">
        <v>3491</v>
      </c>
      <c r="I416" s="2" t="s">
        <v>330</v>
      </c>
      <c r="J416" s="2" t="s">
        <v>3492</v>
      </c>
      <c r="K416" s="2" t="s">
        <v>3488</v>
      </c>
      <c r="L416" s="2" t="s">
        <v>330</v>
      </c>
      <c r="M416" s="2" t="s">
        <v>3491</v>
      </c>
      <c r="N416" s="2" t="s">
        <v>3493</v>
      </c>
      <c r="O416" s="2"/>
      <c r="P416" s="2" t="s">
        <v>37</v>
      </c>
      <c r="Q416" s="4" t="n">
        <v>8731</v>
      </c>
      <c r="R416" s="2" t="s">
        <v>56</v>
      </c>
      <c r="S416" s="2" t="s">
        <v>481</v>
      </c>
      <c r="T416" s="2" t="s">
        <v>403</v>
      </c>
      <c r="U416" s="2" t="s">
        <v>3494</v>
      </c>
      <c r="V416" s="2"/>
      <c r="W416" s="2" t="s">
        <v>42</v>
      </c>
      <c r="X416" s="2" t="s">
        <v>46</v>
      </c>
      <c r="Y416" s="2" t="s">
        <v>37</v>
      </c>
      <c r="Z416" s="2" t="s">
        <v>3495</v>
      </c>
      <c r="AA416" s="2"/>
      <c r="AB416" s="2"/>
      <c r="AC416" s="2" t="s">
        <v>3496</v>
      </c>
      <c r="AD416" s="2" t="s">
        <v>46</v>
      </c>
    </row>
    <row r="417" customFormat="false" ht="15.7" hidden="false" customHeight="true" outlineLevel="0" collapsed="false">
      <c r="A417" s="2"/>
      <c r="B417" s="3" t="n">
        <f aca="false">DATE(2006,12,20)</f>
        <v>0</v>
      </c>
      <c r="C417" s="3" t="n">
        <v>39071</v>
      </c>
      <c r="D417" s="2" t="s">
        <v>3497</v>
      </c>
      <c r="F417" s="2" t="s">
        <v>3498</v>
      </c>
      <c r="G417" s="2" t="s">
        <v>3499</v>
      </c>
      <c r="H417" s="2" t="s">
        <v>3500</v>
      </c>
      <c r="I417" s="2" t="s">
        <v>3501</v>
      </c>
      <c r="J417" s="2" t="s">
        <v>35</v>
      </c>
      <c r="K417" s="2" t="s">
        <v>3497</v>
      </c>
      <c r="L417" s="2" t="s">
        <v>3501</v>
      </c>
      <c r="M417" s="2" t="s">
        <v>3500</v>
      </c>
      <c r="N417" s="2" t="s">
        <v>3502</v>
      </c>
      <c r="O417" s="2"/>
      <c r="P417" s="2" t="s">
        <v>37</v>
      </c>
      <c r="Q417" s="4" t="n">
        <v>8731</v>
      </c>
      <c r="R417" s="2" t="s">
        <v>105</v>
      </c>
      <c r="S417" s="2" t="s">
        <v>39</v>
      </c>
      <c r="T417" s="2" t="s">
        <v>673</v>
      </c>
      <c r="U417" s="2" t="s">
        <v>3503</v>
      </c>
      <c r="V417" s="2"/>
      <c r="W417" s="2" t="s">
        <v>42</v>
      </c>
      <c r="X417" s="2" t="s">
        <v>43</v>
      </c>
      <c r="Y417" s="2" t="s">
        <v>37</v>
      </c>
      <c r="Z417" s="2" t="s">
        <v>44</v>
      </c>
      <c r="AA417" s="2"/>
      <c r="AB417" s="2"/>
      <c r="AC417" s="2" t="s">
        <v>3504</v>
      </c>
      <c r="AD417" s="2" t="s">
        <v>46</v>
      </c>
    </row>
    <row r="418" customFormat="false" ht="15.7" hidden="false" customHeight="true" outlineLevel="0" collapsed="false">
      <c r="A418" s="2"/>
      <c r="B418" s="3" t="n">
        <f aca="false">DATE(2006,12,20)</f>
        <v>0</v>
      </c>
      <c r="C418" s="3" t="n">
        <v>39071</v>
      </c>
      <c r="D418" s="2" t="s">
        <v>3505</v>
      </c>
      <c r="F418" s="2" t="s">
        <v>3506</v>
      </c>
      <c r="G418" s="2" t="s">
        <v>3507</v>
      </c>
      <c r="H418" s="2" t="s">
        <v>305</v>
      </c>
      <c r="I418" s="2" t="s">
        <v>51</v>
      </c>
      <c r="J418" s="2" t="s">
        <v>3508</v>
      </c>
      <c r="K418" s="2" t="s">
        <v>3505</v>
      </c>
      <c r="L418" s="2" t="s">
        <v>51</v>
      </c>
      <c r="M418" s="2" t="s">
        <v>305</v>
      </c>
      <c r="N418" s="2" t="s">
        <v>3509</v>
      </c>
      <c r="O418" s="2"/>
      <c r="P418" s="2" t="s">
        <v>79</v>
      </c>
      <c r="Q418" s="4" t="n">
        <v>6794</v>
      </c>
      <c r="R418" s="2" t="s">
        <v>56</v>
      </c>
      <c r="S418" s="2" t="s">
        <v>3510</v>
      </c>
      <c r="T418" s="2" t="s">
        <v>40</v>
      </c>
      <c r="U418" s="2" t="s">
        <v>3511</v>
      </c>
      <c r="V418" s="2"/>
      <c r="W418" s="2" t="s">
        <v>82</v>
      </c>
      <c r="X418" s="2" t="s">
        <v>43</v>
      </c>
      <c r="Y418" s="2" t="s">
        <v>37</v>
      </c>
      <c r="Z418" s="2" t="s">
        <v>44</v>
      </c>
      <c r="AA418" s="2"/>
      <c r="AB418" s="2"/>
      <c r="AC418" s="2" t="s">
        <v>3512</v>
      </c>
      <c r="AD418" s="2" t="s">
        <v>46</v>
      </c>
    </row>
    <row r="419" customFormat="false" ht="15.7" hidden="false" customHeight="true" outlineLevel="0" collapsed="false">
      <c r="A419" s="2"/>
      <c r="B419" s="3" t="n">
        <f aca="false">DATE(2006,12,21)</f>
        <v>0</v>
      </c>
      <c r="C419" s="3" t="n">
        <v>39072</v>
      </c>
      <c r="D419" s="2" t="s">
        <v>3513</v>
      </c>
      <c r="F419" s="2" t="s">
        <v>999</v>
      </c>
      <c r="G419" s="2" t="s">
        <v>3514</v>
      </c>
      <c r="H419" s="2" t="s">
        <v>762</v>
      </c>
      <c r="I419" s="2" t="s">
        <v>51</v>
      </c>
      <c r="J419" s="2" t="s">
        <v>171</v>
      </c>
      <c r="K419" s="2" t="s">
        <v>3515</v>
      </c>
      <c r="L419" s="2" t="s">
        <v>154</v>
      </c>
      <c r="M419" s="2" t="s">
        <v>1770</v>
      </c>
      <c r="N419" s="2" t="s">
        <v>3516</v>
      </c>
      <c r="O419" s="2"/>
      <c r="P419" s="2" t="s">
        <v>37</v>
      </c>
      <c r="Q419" s="4" t="n">
        <v>8731</v>
      </c>
      <c r="R419" s="2" t="s">
        <v>56</v>
      </c>
      <c r="S419" s="2" t="s">
        <v>92</v>
      </c>
      <c r="T419" s="2" t="s">
        <v>40</v>
      </c>
      <c r="U419" s="2" t="s">
        <v>3517</v>
      </c>
      <c r="V419" s="2"/>
      <c r="W419" s="2" t="s">
        <v>42</v>
      </c>
      <c r="X419" s="2" t="s">
        <v>43</v>
      </c>
      <c r="Y419" s="2" t="s">
        <v>37</v>
      </c>
      <c r="Z419" s="2" t="s">
        <v>44</v>
      </c>
      <c r="AA419" s="2"/>
      <c r="AB419" s="2"/>
      <c r="AC419" s="2" t="s">
        <v>3518</v>
      </c>
      <c r="AD419" s="2" t="s">
        <v>46</v>
      </c>
    </row>
    <row r="420" customFormat="false" ht="15.7" hidden="false" customHeight="true" outlineLevel="0" collapsed="false">
      <c r="A420" s="2"/>
      <c r="B420" s="3" t="n">
        <f aca="false">DATE(2006,12,21)</f>
        <v>0</v>
      </c>
      <c r="C420" s="3" t="n">
        <v>39072</v>
      </c>
      <c r="D420" s="2" t="s">
        <v>3519</v>
      </c>
      <c r="F420" s="2" t="s">
        <v>3520</v>
      </c>
      <c r="G420" s="2" t="s">
        <v>3521</v>
      </c>
      <c r="H420" s="2" t="s">
        <v>3522</v>
      </c>
      <c r="I420" s="2" t="s">
        <v>219</v>
      </c>
      <c r="J420" s="2" t="s">
        <v>575</v>
      </c>
      <c r="K420" s="2" t="s">
        <v>3523</v>
      </c>
      <c r="L420" s="2" t="s">
        <v>219</v>
      </c>
      <c r="M420" s="2" t="s">
        <v>3524</v>
      </c>
      <c r="N420" s="2" t="s">
        <v>3525</v>
      </c>
      <c r="O420" s="2"/>
      <c r="P420" s="2" t="s">
        <v>37</v>
      </c>
      <c r="Q420" s="4" t="n">
        <v>8731</v>
      </c>
      <c r="R420" s="2" t="s">
        <v>136</v>
      </c>
      <c r="S420" s="2" t="s">
        <v>39</v>
      </c>
      <c r="T420" s="2" t="s">
        <v>403</v>
      </c>
      <c r="U420" s="2" t="s">
        <v>3526</v>
      </c>
      <c r="V420" s="2"/>
      <c r="W420" s="2" t="s">
        <v>42</v>
      </c>
      <c r="X420" s="2" t="s">
        <v>43</v>
      </c>
      <c r="Y420" s="2" t="s">
        <v>37</v>
      </c>
      <c r="Z420" s="2" t="s">
        <v>44</v>
      </c>
      <c r="AA420" s="2"/>
      <c r="AB420" s="2"/>
      <c r="AC420" s="2" t="s">
        <v>3527</v>
      </c>
      <c r="AD420" s="2" t="s">
        <v>46</v>
      </c>
    </row>
    <row r="421" customFormat="false" ht="15.7" hidden="false" customHeight="true" outlineLevel="0" collapsed="false">
      <c r="A421" s="2"/>
      <c r="B421" s="3" t="n">
        <f aca="false">DATE(2006,12,21)</f>
        <v>0</v>
      </c>
      <c r="C421" s="3" t="n">
        <v>39072</v>
      </c>
      <c r="D421" s="2" t="s">
        <v>3528</v>
      </c>
      <c r="F421" s="2" t="s">
        <v>75</v>
      </c>
      <c r="G421" s="2" t="s">
        <v>3529</v>
      </c>
      <c r="H421" s="2" t="s">
        <v>63</v>
      </c>
      <c r="I421" s="2" t="s">
        <v>51</v>
      </c>
      <c r="J421" s="2" t="s">
        <v>2816</v>
      </c>
      <c r="K421" s="2" t="s">
        <v>3528</v>
      </c>
      <c r="L421" s="2" t="s">
        <v>51</v>
      </c>
      <c r="M421" s="2" t="s">
        <v>63</v>
      </c>
      <c r="N421" s="2" t="s">
        <v>3530</v>
      </c>
      <c r="O421" s="2"/>
      <c r="P421" s="2" t="s">
        <v>37</v>
      </c>
      <c r="Q421" s="4" t="n">
        <v>8731</v>
      </c>
      <c r="R421" s="2" t="s">
        <v>56</v>
      </c>
      <c r="S421" s="2" t="s">
        <v>507</v>
      </c>
      <c r="T421" s="2" t="s">
        <v>40</v>
      </c>
      <c r="U421" s="2" t="s">
        <v>3531</v>
      </c>
      <c r="V421" s="2"/>
      <c r="W421" s="2" t="s">
        <v>42</v>
      </c>
      <c r="X421" s="2" t="s">
        <v>43</v>
      </c>
      <c r="Y421" s="2" t="s">
        <v>37</v>
      </c>
      <c r="Z421" s="2" t="s">
        <v>44</v>
      </c>
      <c r="AA421" s="2"/>
      <c r="AB421" s="2"/>
      <c r="AC421" s="2" t="s">
        <v>3532</v>
      </c>
      <c r="AD421" s="2" t="s">
        <v>46</v>
      </c>
    </row>
    <row r="422" customFormat="false" ht="15.7" hidden="false" customHeight="true" outlineLevel="0" collapsed="false">
      <c r="A422" s="2"/>
      <c r="B422" s="3" t="n">
        <f aca="false">DATE(2006,12,21)</f>
        <v>0</v>
      </c>
      <c r="C422" s="3" t="n">
        <v>39072</v>
      </c>
      <c r="D422" s="2" t="s">
        <v>3533</v>
      </c>
      <c r="F422" s="2" t="s">
        <v>3534</v>
      </c>
      <c r="G422" s="2" t="s">
        <v>3535</v>
      </c>
      <c r="H422" s="2" t="s">
        <v>63</v>
      </c>
      <c r="I422" s="2" t="s">
        <v>2689</v>
      </c>
      <c r="J422" s="2" t="s">
        <v>35</v>
      </c>
      <c r="K422" s="2" t="s">
        <v>3533</v>
      </c>
      <c r="L422" s="2" t="s">
        <v>2689</v>
      </c>
      <c r="M422" s="2" t="s">
        <v>63</v>
      </c>
      <c r="N422" s="2" t="s">
        <v>3536</v>
      </c>
      <c r="O422" s="2"/>
      <c r="P422" s="2" t="s">
        <v>37</v>
      </c>
      <c r="Q422" s="4" t="n">
        <v>8731</v>
      </c>
      <c r="R422" s="2" t="s">
        <v>2165</v>
      </c>
      <c r="S422" s="2" t="s">
        <v>39</v>
      </c>
      <c r="T422" s="2" t="s">
        <v>40</v>
      </c>
      <c r="U422" s="2" t="s">
        <v>3537</v>
      </c>
      <c r="V422" s="2"/>
      <c r="W422" s="2" t="s">
        <v>42</v>
      </c>
      <c r="X422" s="2" t="s">
        <v>43</v>
      </c>
      <c r="Y422" s="2" t="s">
        <v>37</v>
      </c>
      <c r="Z422" s="2" t="s">
        <v>44</v>
      </c>
      <c r="AA422" s="2"/>
      <c r="AB422" s="2"/>
      <c r="AC422" s="2" t="s">
        <v>3538</v>
      </c>
      <c r="AD422" s="2" t="s">
        <v>46</v>
      </c>
    </row>
    <row r="423" customFormat="false" ht="15.7" hidden="false" customHeight="true" outlineLevel="0" collapsed="false">
      <c r="A423" s="2"/>
      <c r="B423" s="3" t="n">
        <f aca="false">DATE(2006,12,21)</f>
        <v>0</v>
      </c>
      <c r="C423" s="3" t="n">
        <v>39072</v>
      </c>
      <c r="D423" s="2" t="s">
        <v>3539</v>
      </c>
      <c r="F423" s="2" t="s">
        <v>3540</v>
      </c>
      <c r="G423" s="2" t="s">
        <v>3541</v>
      </c>
      <c r="H423" s="2" t="s">
        <v>3542</v>
      </c>
      <c r="I423" s="2" t="s">
        <v>3543</v>
      </c>
      <c r="J423" s="2" t="s">
        <v>3544</v>
      </c>
      <c r="K423" s="2" t="s">
        <v>3539</v>
      </c>
      <c r="L423" s="2" t="s">
        <v>3543</v>
      </c>
      <c r="M423" s="2" t="s">
        <v>3542</v>
      </c>
      <c r="N423" s="2" t="s">
        <v>3545</v>
      </c>
      <c r="O423" s="2"/>
      <c r="P423" s="2" t="s">
        <v>79</v>
      </c>
      <c r="Q423" s="4" t="n">
        <v>6794</v>
      </c>
      <c r="R423" s="2" t="s">
        <v>136</v>
      </c>
      <c r="S423" s="2" t="s">
        <v>39</v>
      </c>
      <c r="T423" s="2" t="s">
        <v>40</v>
      </c>
      <c r="U423" s="2" t="s">
        <v>3546</v>
      </c>
      <c r="V423" s="2"/>
      <c r="W423" s="2" t="s">
        <v>94</v>
      </c>
      <c r="X423" s="2" t="s">
        <v>43</v>
      </c>
      <c r="Y423" s="2" t="s">
        <v>37</v>
      </c>
      <c r="Z423" s="2" t="s">
        <v>916</v>
      </c>
      <c r="AA423" s="2"/>
      <c r="AB423" s="2"/>
      <c r="AC423" s="2" t="s">
        <v>3547</v>
      </c>
      <c r="AD423" s="2" t="s">
        <v>46</v>
      </c>
    </row>
    <row r="424" customFormat="false" ht="15.7" hidden="false" customHeight="true" outlineLevel="0" collapsed="false">
      <c r="A424" s="2"/>
      <c r="B424" s="3" t="n">
        <f aca="false">DATE(2006,12,26)</f>
        <v>0</v>
      </c>
      <c r="C424" s="3" t="n">
        <v>39077</v>
      </c>
      <c r="D424" s="2" t="s">
        <v>3548</v>
      </c>
      <c r="F424" s="2" t="s">
        <v>3549</v>
      </c>
      <c r="G424" s="2" t="s">
        <v>3550</v>
      </c>
      <c r="H424" s="2" t="s">
        <v>3551</v>
      </c>
      <c r="I424" s="2" t="s">
        <v>3552</v>
      </c>
      <c r="J424" s="2" t="s">
        <v>35</v>
      </c>
      <c r="K424" s="2" t="s">
        <v>3548</v>
      </c>
      <c r="L424" s="2" t="s">
        <v>3552</v>
      </c>
      <c r="M424" s="2" t="s">
        <v>3551</v>
      </c>
      <c r="N424" s="2" t="s">
        <v>3553</v>
      </c>
      <c r="O424" s="2"/>
      <c r="P424" s="2" t="s">
        <v>37</v>
      </c>
      <c r="Q424" s="4" t="n">
        <v>8731</v>
      </c>
      <c r="R424" s="2" t="s">
        <v>136</v>
      </c>
      <c r="S424" s="2" t="s">
        <v>39</v>
      </c>
      <c r="T424" s="2" t="s">
        <v>40</v>
      </c>
      <c r="U424" s="2" t="s">
        <v>3554</v>
      </c>
      <c r="V424" s="2"/>
      <c r="W424" s="2" t="s">
        <v>42</v>
      </c>
      <c r="X424" s="2" t="s">
        <v>43</v>
      </c>
      <c r="Y424" s="2" t="s">
        <v>37</v>
      </c>
      <c r="Z424" s="2" t="s">
        <v>44</v>
      </c>
      <c r="AA424" s="2"/>
      <c r="AB424" s="2"/>
      <c r="AC424" s="2" t="s">
        <v>3555</v>
      </c>
      <c r="AD424" s="2" t="s">
        <v>46</v>
      </c>
    </row>
    <row r="425" customFormat="false" ht="15.7" hidden="false" customHeight="true" outlineLevel="0" collapsed="false">
      <c r="A425" s="2"/>
      <c r="B425" s="3" t="n">
        <f aca="false">DATE(2006,12,27)</f>
        <v>0</v>
      </c>
      <c r="C425" s="3" t="n">
        <v>39078</v>
      </c>
      <c r="D425" s="2" t="s">
        <v>3556</v>
      </c>
      <c r="F425" s="2" t="s">
        <v>3557</v>
      </c>
      <c r="G425" s="2" t="s">
        <v>3558</v>
      </c>
      <c r="H425" s="2" t="s">
        <v>3559</v>
      </c>
      <c r="I425" s="2" t="s">
        <v>51</v>
      </c>
      <c r="J425" s="2" t="s">
        <v>3560</v>
      </c>
      <c r="K425" s="2" t="s">
        <v>3556</v>
      </c>
      <c r="L425" s="2" t="s">
        <v>51</v>
      </c>
      <c r="M425" s="2" t="s">
        <v>3559</v>
      </c>
      <c r="N425" s="2" t="s">
        <v>3561</v>
      </c>
      <c r="O425" s="2" t="s">
        <v>3562</v>
      </c>
      <c r="P425" s="2" t="s">
        <v>37</v>
      </c>
      <c r="Q425" s="4" t="n">
        <v>2835</v>
      </c>
      <c r="R425" s="2" t="s">
        <v>105</v>
      </c>
      <c r="S425" s="2" t="s">
        <v>39</v>
      </c>
      <c r="T425" s="2" t="s">
        <v>40</v>
      </c>
      <c r="U425" s="2" t="s">
        <v>3563</v>
      </c>
      <c r="V425" s="2"/>
      <c r="W425" s="2" t="s">
        <v>3363</v>
      </c>
      <c r="X425" s="2" t="s">
        <v>46</v>
      </c>
      <c r="Y425" s="2" t="s">
        <v>37</v>
      </c>
      <c r="Z425" s="2" t="s">
        <v>362</v>
      </c>
      <c r="AA425" s="2" t="s">
        <v>3564</v>
      </c>
      <c r="AB425" s="2" t="s">
        <v>3565</v>
      </c>
      <c r="AC425" s="2" t="s">
        <v>3566</v>
      </c>
      <c r="AD425" s="2" t="s">
        <v>46</v>
      </c>
    </row>
    <row r="426" customFormat="false" ht="15.7" hidden="false" customHeight="true" outlineLevel="0" collapsed="false">
      <c r="A426" s="2"/>
      <c r="B426" s="3" t="n">
        <f aca="false">DATE(2006,12,28)</f>
        <v>0</v>
      </c>
      <c r="C426" s="3" t="n">
        <v>39079</v>
      </c>
      <c r="D426" s="2" t="s">
        <v>3567</v>
      </c>
      <c r="F426" s="2" t="s">
        <v>3568</v>
      </c>
      <c r="G426" s="2" t="s">
        <v>3569</v>
      </c>
      <c r="H426" s="2" t="s">
        <v>585</v>
      </c>
      <c r="I426" s="2" t="s">
        <v>724</v>
      </c>
      <c r="J426" s="2" t="s">
        <v>220</v>
      </c>
      <c r="K426" s="2" t="s">
        <v>3567</v>
      </c>
      <c r="L426" s="2" t="s">
        <v>724</v>
      </c>
      <c r="M426" s="2" t="s">
        <v>585</v>
      </c>
      <c r="N426" s="2" t="s">
        <v>3570</v>
      </c>
      <c r="O426" s="2"/>
      <c r="P426" s="2" t="s">
        <v>37</v>
      </c>
      <c r="Q426" s="4" t="n">
        <v>8731</v>
      </c>
      <c r="R426" s="2" t="s">
        <v>56</v>
      </c>
      <c r="S426" s="2" t="s">
        <v>507</v>
      </c>
      <c r="T426" s="2" t="s">
        <v>40</v>
      </c>
      <c r="U426" s="2" t="s">
        <v>3571</v>
      </c>
      <c r="V426" s="2"/>
      <c r="W426" s="2" t="s">
        <v>42</v>
      </c>
      <c r="X426" s="2" t="s">
        <v>43</v>
      </c>
      <c r="Y426" s="2" t="s">
        <v>37</v>
      </c>
      <c r="Z426" s="2" t="s">
        <v>44</v>
      </c>
      <c r="AA426" s="2"/>
      <c r="AB426" s="2"/>
      <c r="AC426" s="2" t="s">
        <v>3572</v>
      </c>
      <c r="AD426" s="2" t="s">
        <v>46</v>
      </c>
    </row>
    <row r="427" customFormat="false" ht="15.7" hidden="false" customHeight="true" outlineLevel="0" collapsed="false">
      <c r="A427" s="2"/>
      <c r="B427" s="3" t="n">
        <f aca="false">DATE(2007,1,3)</f>
        <v>0</v>
      </c>
      <c r="C427" s="3" t="n">
        <v>39085</v>
      </c>
      <c r="D427" s="2" t="s">
        <v>3573</v>
      </c>
      <c r="F427" s="2" t="s">
        <v>3574</v>
      </c>
      <c r="G427" s="2" t="s">
        <v>3575</v>
      </c>
      <c r="H427" s="2" t="s">
        <v>1943</v>
      </c>
      <c r="I427" s="2" t="s">
        <v>180</v>
      </c>
      <c r="J427" s="2" t="s">
        <v>966</v>
      </c>
      <c r="K427" s="2" t="s">
        <v>3573</v>
      </c>
      <c r="L427" s="2" t="s">
        <v>180</v>
      </c>
      <c r="M427" s="2" t="s">
        <v>1943</v>
      </c>
      <c r="N427" s="2" t="s">
        <v>3576</v>
      </c>
      <c r="O427" s="2"/>
      <c r="P427" s="2" t="s">
        <v>79</v>
      </c>
      <c r="Q427" s="4" t="n">
        <v>6794</v>
      </c>
      <c r="R427" s="2" t="s">
        <v>136</v>
      </c>
      <c r="S427" s="2" t="s">
        <v>39</v>
      </c>
      <c r="T427" s="2" t="s">
        <v>40</v>
      </c>
      <c r="U427" s="2" t="s">
        <v>3577</v>
      </c>
      <c r="V427" s="2"/>
      <c r="W427" s="2" t="s">
        <v>82</v>
      </c>
      <c r="X427" s="2" t="s">
        <v>43</v>
      </c>
      <c r="Y427" s="2" t="s">
        <v>37</v>
      </c>
      <c r="Z427" s="2" t="s">
        <v>44</v>
      </c>
      <c r="AA427" s="2" t="s">
        <v>3578</v>
      </c>
      <c r="AB427" s="2"/>
      <c r="AC427" s="2" t="s">
        <v>3579</v>
      </c>
      <c r="AD427" s="2" t="s">
        <v>46</v>
      </c>
    </row>
    <row r="428" customFormat="false" ht="15.7" hidden="false" customHeight="true" outlineLevel="0" collapsed="false">
      <c r="A428" s="2"/>
      <c r="B428" s="3" t="n">
        <f aca="false">DATE(2007,1,3)</f>
        <v>0</v>
      </c>
      <c r="C428" s="3" t="n">
        <v>39085</v>
      </c>
      <c r="D428" s="2" t="s">
        <v>3580</v>
      </c>
      <c r="F428" s="2" t="s">
        <v>3581</v>
      </c>
      <c r="G428" s="2" t="s">
        <v>3582</v>
      </c>
      <c r="H428" s="2" t="s">
        <v>130</v>
      </c>
      <c r="I428" s="2" t="s">
        <v>899</v>
      </c>
      <c r="J428" s="2" t="s">
        <v>966</v>
      </c>
      <c r="K428" s="2" t="s">
        <v>3580</v>
      </c>
      <c r="L428" s="2" t="s">
        <v>899</v>
      </c>
      <c r="M428" s="2" t="s">
        <v>130</v>
      </c>
      <c r="N428" s="2" t="s">
        <v>3583</v>
      </c>
      <c r="O428" s="2"/>
      <c r="P428" s="2" t="s">
        <v>37</v>
      </c>
      <c r="Q428" s="4" t="n">
        <v>2834</v>
      </c>
      <c r="R428" s="2" t="s">
        <v>136</v>
      </c>
      <c r="S428" s="2" t="s">
        <v>39</v>
      </c>
      <c r="T428" s="2" t="s">
        <v>40</v>
      </c>
      <c r="U428" s="2" t="s">
        <v>3584</v>
      </c>
      <c r="V428" s="2"/>
      <c r="W428" s="2" t="s">
        <v>755</v>
      </c>
      <c r="X428" s="2" t="s">
        <v>43</v>
      </c>
      <c r="Y428" s="2" t="s">
        <v>37</v>
      </c>
      <c r="Z428" s="2" t="s">
        <v>44</v>
      </c>
      <c r="AA428" s="2" t="s">
        <v>3585</v>
      </c>
      <c r="AB428" s="2"/>
      <c r="AC428" s="2" t="s">
        <v>3586</v>
      </c>
      <c r="AD428" s="2" t="s">
        <v>46</v>
      </c>
    </row>
    <row r="429" customFormat="false" ht="15.7" hidden="false" customHeight="true" outlineLevel="0" collapsed="false">
      <c r="A429" s="2"/>
      <c r="B429" s="3" t="n">
        <f aca="false">DATE(2007,1,3)</f>
        <v>0</v>
      </c>
      <c r="C429" s="3" t="n">
        <v>39085</v>
      </c>
      <c r="D429" s="2" t="s">
        <v>3587</v>
      </c>
      <c r="F429" s="2" t="s">
        <v>3074</v>
      </c>
      <c r="G429" s="2" t="s">
        <v>3588</v>
      </c>
      <c r="H429" s="2" t="s">
        <v>170</v>
      </c>
      <c r="I429" s="2" t="s">
        <v>51</v>
      </c>
      <c r="J429" s="2" t="s">
        <v>171</v>
      </c>
      <c r="K429" s="2" t="s">
        <v>3589</v>
      </c>
      <c r="L429" s="2" t="s">
        <v>88</v>
      </c>
      <c r="M429" s="2" t="s">
        <v>63</v>
      </c>
      <c r="N429" s="2" t="s">
        <v>3590</v>
      </c>
      <c r="O429" s="2"/>
      <c r="P429" s="2" t="s">
        <v>37</v>
      </c>
      <c r="Q429" s="4" t="n">
        <v>8731</v>
      </c>
      <c r="R429" s="2" t="s">
        <v>56</v>
      </c>
      <c r="S429" s="2" t="s">
        <v>92</v>
      </c>
      <c r="T429" s="2" t="s">
        <v>40</v>
      </c>
      <c r="U429" s="2" t="s">
        <v>3591</v>
      </c>
      <c r="V429" s="2"/>
      <c r="W429" s="2" t="s">
        <v>42</v>
      </c>
      <c r="X429" s="2" t="s">
        <v>43</v>
      </c>
      <c r="Y429" s="2" t="s">
        <v>37</v>
      </c>
      <c r="Z429" s="2" t="s">
        <v>44</v>
      </c>
      <c r="AA429" s="2"/>
      <c r="AB429" s="2"/>
      <c r="AC429" s="2" t="s">
        <v>3592</v>
      </c>
      <c r="AD429" s="2" t="s">
        <v>46</v>
      </c>
    </row>
    <row r="430" customFormat="false" ht="15.7" hidden="false" customHeight="true" outlineLevel="0" collapsed="false">
      <c r="A430" s="2"/>
      <c r="B430" s="3" t="n">
        <f aca="false">DATE(2007,1,3)</f>
        <v>0</v>
      </c>
      <c r="C430" s="3" t="n">
        <v>39085</v>
      </c>
      <c r="D430" s="2" t="s">
        <v>3593</v>
      </c>
      <c r="F430" s="2" t="s">
        <v>3594</v>
      </c>
      <c r="G430" s="2" t="s">
        <v>3595</v>
      </c>
      <c r="H430" s="2" t="s">
        <v>305</v>
      </c>
      <c r="I430" s="2" t="s">
        <v>51</v>
      </c>
      <c r="J430" s="2" t="s">
        <v>171</v>
      </c>
      <c r="K430" s="2" t="s">
        <v>3593</v>
      </c>
      <c r="L430" s="2" t="s">
        <v>51</v>
      </c>
      <c r="M430" s="2" t="s">
        <v>305</v>
      </c>
      <c r="N430" s="2" t="s">
        <v>3596</v>
      </c>
      <c r="O430" s="2"/>
      <c r="P430" s="2" t="s">
        <v>37</v>
      </c>
      <c r="Q430" s="4" t="n">
        <v>8731</v>
      </c>
      <c r="R430" s="2" t="s">
        <v>136</v>
      </c>
      <c r="S430" s="2" t="s">
        <v>39</v>
      </c>
      <c r="T430" s="2" t="s">
        <v>40</v>
      </c>
      <c r="U430" s="2" t="s">
        <v>3597</v>
      </c>
      <c r="V430" s="2"/>
      <c r="W430" s="2" t="s">
        <v>773</v>
      </c>
      <c r="X430" s="2" t="s">
        <v>43</v>
      </c>
      <c r="Y430" s="2" t="s">
        <v>37</v>
      </c>
      <c r="Z430" s="2" t="s">
        <v>44</v>
      </c>
      <c r="AA430" s="2" t="s">
        <v>3598</v>
      </c>
      <c r="AB430" s="2"/>
      <c r="AC430" s="2" t="s">
        <v>3599</v>
      </c>
      <c r="AD430" s="2" t="s">
        <v>46</v>
      </c>
    </row>
    <row r="431" customFormat="false" ht="15.7" hidden="false" customHeight="true" outlineLevel="0" collapsed="false">
      <c r="A431" s="2"/>
      <c r="B431" s="3" t="n">
        <f aca="false">DATE(2007,1,3)</f>
        <v>0</v>
      </c>
      <c r="C431" s="3" t="n">
        <v>39085</v>
      </c>
      <c r="D431" s="2" t="s">
        <v>3600</v>
      </c>
      <c r="F431" s="2" t="s">
        <v>3601</v>
      </c>
      <c r="G431" s="2" t="s">
        <v>3602</v>
      </c>
      <c r="H431" s="2" t="s">
        <v>3603</v>
      </c>
      <c r="I431" s="2" t="s">
        <v>51</v>
      </c>
      <c r="J431" s="2" t="s">
        <v>3604</v>
      </c>
      <c r="K431" s="2" t="s">
        <v>3605</v>
      </c>
      <c r="L431" s="2" t="s">
        <v>51</v>
      </c>
      <c r="M431" s="2" t="s">
        <v>3606</v>
      </c>
      <c r="N431" s="2" t="s">
        <v>3607</v>
      </c>
      <c r="O431" s="2"/>
      <c r="P431" s="2" t="s">
        <v>37</v>
      </c>
      <c r="Q431" s="4" t="n">
        <v>8731</v>
      </c>
      <c r="R431" s="2" t="s">
        <v>56</v>
      </c>
      <c r="S431" s="2" t="s">
        <v>931</v>
      </c>
      <c r="T431" s="2" t="s">
        <v>40</v>
      </c>
      <c r="U431" s="2" t="s">
        <v>3608</v>
      </c>
      <c r="V431" s="2"/>
      <c r="W431" s="2" t="s">
        <v>2209</v>
      </c>
      <c r="X431" s="2" t="s">
        <v>43</v>
      </c>
      <c r="Y431" s="2" t="s">
        <v>37</v>
      </c>
      <c r="Z431" s="2" t="s">
        <v>44</v>
      </c>
      <c r="AA431" s="2"/>
      <c r="AB431" s="2"/>
      <c r="AC431" s="2" t="s">
        <v>3609</v>
      </c>
      <c r="AD431" s="2" t="s">
        <v>46</v>
      </c>
    </row>
    <row r="432" customFormat="false" ht="15.7" hidden="false" customHeight="true" outlineLevel="0" collapsed="false">
      <c r="A432" s="2"/>
      <c r="B432" s="3" t="n">
        <f aca="false">DATE(2007,1,3)</f>
        <v>0</v>
      </c>
      <c r="C432" s="3" t="n">
        <v>39085</v>
      </c>
      <c r="D432" s="2" t="s">
        <v>3610</v>
      </c>
      <c r="F432" s="2" t="s">
        <v>1260</v>
      </c>
      <c r="G432" s="2" t="s">
        <v>3611</v>
      </c>
      <c r="H432" s="2" t="s">
        <v>130</v>
      </c>
      <c r="I432" s="2" t="s">
        <v>724</v>
      </c>
      <c r="J432" s="2" t="s">
        <v>514</v>
      </c>
      <c r="K432" s="2" t="s">
        <v>3612</v>
      </c>
      <c r="L432" s="2" t="s">
        <v>724</v>
      </c>
      <c r="M432" s="2" t="s">
        <v>130</v>
      </c>
      <c r="N432" s="2" t="s">
        <v>3613</v>
      </c>
      <c r="O432" s="2"/>
      <c r="P432" s="2" t="s">
        <v>37</v>
      </c>
      <c r="Q432" s="4" t="n">
        <v>8731</v>
      </c>
      <c r="R432" s="2" t="s">
        <v>136</v>
      </c>
      <c r="S432" s="2" t="s">
        <v>39</v>
      </c>
      <c r="T432" s="2" t="s">
        <v>40</v>
      </c>
      <c r="U432" s="2" t="s">
        <v>3614</v>
      </c>
      <c r="V432" s="2"/>
      <c r="W432" s="2" t="s">
        <v>138</v>
      </c>
      <c r="X432" s="2" t="s">
        <v>43</v>
      </c>
      <c r="Y432" s="2" t="s">
        <v>37</v>
      </c>
      <c r="Z432" s="2" t="s">
        <v>44</v>
      </c>
      <c r="AA432" s="2"/>
      <c r="AB432" s="2"/>
      <c r="AC432" s="2" t="s">
        <v>3615</v>
      </c>
      <c r="AD432" s="2" t="s">
        <v>46</v>
      </c>
    </row>
    <row r="433" customFormat="false" ht="15.7" hidden="false" customHeight="true" outlineLevel="0" collapsed="false">
      <c r="A433" s="2"/>
      <c r="B433" s="3" t="n">
        <f aca="false">DATE(2007,1,3)</f>
        <v>0</v>
      </c>
      <c r="C433" s="3" t="n">
        <v>39085</v>
      </c>
      <c r="D433" s="2" t="s">
        <v>3616</v>
      </c>
      <c r="F433" s="2" t="s">
        <v>3617</v>
      </c>
      <c r="G433" s="2" t="s">
        <v>3618</v>
      </c>
      <c r="H433" s="2" t="s">
        <v>3619</v>
      </c>
      <c r="I433" s="2" t="s">
        <v>51</v>
      </c>
      <c r="J433" s="2" t="s">
        <v>2824</v>
      </c>
      <c r="K433" s="2" t="s">
        <v>3620</v>
      </c>
      <c r="L433" s="2" t="s">
        <v>51</v>
      </c>
      <c r="M433" s="2" t="s">
        <v>3621</v>
      </c>
      <c r="N433" s="2" t="s">
        <v>3622</v>
      </c>
      <c r="O433" s="2"/>
      <c r="P433" s="2" t="s">
        <v>37</v>
      </c>
      <c r="Q433" s="4" t="n">
        <v>8731</v>
      </c>
      <c r="R433" s="2" t="s">
        <v>56</v>
      </c>
      <c r="S433" s="2" t="s">
        <v>931</v>
      </c>
      <c r="T433" s="2" t="s">
        <v>403</v>
      </c>
      <c r="U433" s="2" t="s">
        <v>3623</v>
      </c>
      <c r="V433" s="2"/>
      <c r="W433" s="2" t="s">
        <v>697</v>
      </c>
      <c r="X433" s="2" t="s">
        <v>46</v>
      </c>
      <c r="Y433" s="2" t="s">
        <v>37</v>
      </c>
      <c r="Z433" s="2" t="s">
        <v>362</v>
      </c>
      <c r="AA433" s="2"/>
      <c r="AB433" s="2"/>
      <c r="AC433" s="2" t="s">
        <v>3624</v>
      </c>
      <c r="AD433" s="2" t="s">
        <v>46</v>
      </c>
    </row>
    <row r="434" customFormat="false" ht="15.7" hidden="false" customHeight="true" outlineLevel="0" collapsed="false">
      <c r="A434" s="2"/>
      <c r="B434" s="3" t="n">
        <f aca="false">DATE(2007,1,4)</f>
        <v>0</v>
      </c>
      <c r="C434" s="3" t="n">
        <v>39086</v>
      </c>
      <c r="D434" s="2" t="s">
        <v>3625</v>
      </c>
      <c r="F434" s="2" t="s">
        <v>3626</v>
      </c>
      <c r="G434" s="2" t="s">
        <v>3627</v>
      </c>
      <c r="H434" s="2" t="s">
        <v>63</v>
      </c>
      <c r="I434" s="2" t="s">
        <v>51</v>
      </c>
      <c r="J434" s="2" t="s">
        <v>994</v>
      </c>
      <c r="K434" s="2" t="s">
        <v>3625</v>
      </c>
      <c r="L434" s="2" t="s">
        <v>51</v>
      </c>
      <c r="M434" s="2" t="s">
        <v>63</v>
      </c>
      <c r="N434" s="2" t="s">
        <v>3628</v>
      </c>
      <c r="O434" s="2"/>
      <c r="P434" s="2" t="s">
        <v>79</v>
      </c>
      <c r="Q434" s="4" t="n">
        <v>6794</v>
      </c>
      <c r="R434" s="2" t="s">
        <v>56</v>
      </c>
      <c r="S434" s="2" t="s">
        <v>57</v>
      </c>
      <c r="T434" s="2" t="s">
        <v>40</v>
      </c>
      <c r="U434" s="2" t="s">
        <v>3629</v>
      </c>
      <c r="V434" s="2"/>
      <c r="W434" s="2" t="s">
        <v>82</v>
      </c>
      <c r="X434" s="2" t="s">
        <v>43</v>
      </c>
      <c r="Y434" s="2" t="s">
        <v>37</v>
      </c>
      <c r="Z434" s="2" t="s">
        <v>44</v>
      </c>
      <c r="AA434" s="2"/>
      <c r="AB434" s="2"/>
      <c r="AC434" s="2" t="s">
        <v>3630</v>
      </c>
      <c r="AD434" s="2" t="s">
        <v>46</v>
      </c>
    </row>
    <row r="435" customFormat="false" ht="15.7" hidden="false" customHeight="true" outlineLevel="0" collapsed="false">
      <c r="A435" s="2"/>
      <c r="B435" s="3" t="n">
        <f aca="false">DATE(2007,1,4)</f>
        <v>0</v>
      </c>
      <c r="C435" s="3" t="n">
        <v>39086</v>
      </c>
      <c r="D435" s="2" t="s">
        <v>3631</v>
      </c>
      <c r="F435" s="2" t="s">
        <v>3632</v>
      </c>
      <c r="G435" s="2" t="s">
        <v>3633</v>
      </c>
      <c r="H435" s="2" t="s">
        <v>63</v>
      </c>
      <c r="I435" s="2" t="s">
        <v>51</v>
      </c>
      <c r="J435" s="2" t="s">
        <v>1593</v>
      </c>
      <c r="K435" s="2" t="s">
        <v>3634</v>
      </c>
      <c r="L435" s="2" t="s">
        <v>51</v>
      </c>
      <c r="M435" s="2" t="s">
        <v>63</v>
      </c>
      <c r="N435" s="2" t="s">
        <v>3635</v>
      </c>
      <c r="O435" s="2"/>
      <c r="P435" s="2" t="s">
        <v>37</v>
      </c>
      <c r="Q435" s="4" t="n">
        <v>8731</v>
      </c>
      <c r="R435" s="2" t="s">
        <v>56</v>
      </c>
      <c r="S435" s="2" t="s">
        <v>57</v>
      </c>
      <c r="T435" s="2" t="s">
        <v>40</v>
      </c>
      <c r="U435" s="2" t="s">
        <v>3636</v>
      </c>
      <c r="V435" s="2"/>
      <c r="W435" s="2" t="s">
        <v>138</v>
      </c>
      <c r="X435" s="2" t="s">
        <v>43</v>
      </c>
      <c r="Y435" s="2" t="s">
        <v>37</v>
      </c>
      <c r="Z435" s="2" t="s">
        <v>44</v>
      </c>
      <c r="AA435" s="2" t="s">
        <v>3637</v>
      </c>
      <c r="AB435" s="2"/>
      <c r="AC435" s="2" t="s">
        <v>3638</v>
      </c>
      <c r="AD435" s="2" t="s">
        <v>46</v>
      </c>
    </row>
    <row r="436" customFormat="false" ht="15.7" hidden="false" customHeight="true" outlineLevel="0" collapsed="false">
      <c r="A436" s="2"/>
      <c r="B436" s="3" t="n">
        <f aca="false">DATE(2007,1,4)</f>
        <v>0</v>
      </c>
      <c r="C436" s="3" t="n">
        <v>39086</v>
      </c>
      <c r="D436" s="2" t="s">
        <v>3639</v>
      </c>
      <c r="F436" s="2" t="s">
        <v>1650</v>
      </c>
      <c r="G436" s="2" t="s">
        <v>3640</v>
      </c>
      <c r="H436" s="2" t="s">
        <v>63</v>
      </c>
      <c r="I436" s="2" t="s">
        <v>51</v>
      </c>
      <c r="J436" s="2" t="s">
        <v>2633</v>
      </c>
      <c r="K436" s="2" t="s">
        <v>3639</v>
      </c>
      <c r="L436" s="2" t="s">
        <v>51</v>
      </c>
      <c r="M436" s="2" t="s">
        <v>63</v>
      </c>
      <c r="N436" s="2" t="s">
        <v>3641</v>
      </c>
      <c r="O436" s="2"/>
      <c r="P436" s="2" t="s">
        <v>37</v>
      </c>
      <c r="Q436" s="4" t="n">
        <v>8731</v>
      </c>
      <c r="R436" s="2" t="s">
        <v>56</v>
      </c>
      <c r="S436" s="2" t="s">
        <v>80</v>
      </c>
      <c r="T436" s="2" t="s">
        <v>40</v>
      </c>
      <c r="U436" s="2" t="s">
        <v>3642</v>
      </c>
      <c r="V436" s="2"/>
      <c r="W436" s="2" t="s">
        <v>42</v>
      </c>
      <c r="X436" s="2" t="s">
        <v>43</v>
      </c>
      <c r="Y436" s="2" t="s">
        <v>37</v>
      </c>
      <c r="Z436" s="2" t="s">
        <v>44</v>
      </c>
      <c r="AA436" s="2"/>
      <c r="AB436" s="2"/>
      <c r="AC436" s="2" t="s">
        <v>3643</v>
      </c>
      <c r="AD436" s="2" t="s">
        <v>46</v>
      </c>
    </row>
    <row r="437" customFormat="false" ht="15.7" hidden="false" customHeight="true" outlineLevel="0" collapsed="false">
      <c r="A437" s="2"/>
      <c r="B437" s="3" t="n">
        <f aca="false">DATE(2007,1,4)</f>
        <v>0</v>
      </c>
      <c r="C437" s="3" t="n">
        <v>39086</v>
      </c>
      <c r="D437" s="2" t="s">
        <v>3644</v>
      </c>
      <c r="F437" s="2" t="s">
        <v>3645</v>
      </c>
      <c r="G437" s="2" t="s">
        <v>3646</v>
      </c>
      <c r="H437" s="2" t="s">
        <v>305</v>
      </c>
      <c r="I437" s="2" t="s">
        <v>180</v>
      </c>
      <c r="J437" s="2" t="s">
        <v>132</v>
      </c>
      <c r="K437" s="2" t="s">
        <v>3644</v>
      </c>
      <c r="L437" s="2" t="s">
        <v>180</v>
      </c>
      <c r="M437" s="2" t="s">
        <v>305</v>
      </c>
      <c r="N437" s="2" t="s">
        <v>3647</v>
      </c>
      <c r="O437" s="2"/>
      <c r="P437" s="2" t="s">
        <v>37</v>
      </c>
      <c r="Q437" s="4" t="n">
        <v>8731</v>
      </c>
      <c r="R437" s="2" t="s">
        <v>136</v>
      </c>
      <c r="S437" s="2" t="s">
        <v>39</v>
      </c>
      <c r="T437" s="2" t="s">
        <v>40</v>
      </c>
      <c r="U437" s="2" t="s">
        <v>3648</v>
      </c>
      <c r="V437" s="2"/>
      <c r="W437" s="2" t="s">
        <v>42</v>
      </c>
      <c r="X437" s="2" t="s">
        <v>43</v>
      </c>
      <c r="Y437" s="2" t="s">
        <v>37</v>
      </c>
      <c r="Z437" s="2" t="s">
        <v>44</v>
      </c>
      <c r="AA437" s="2"/>
      <c r="AB437" s="2"/>
      <c r="AC437" s="2" t="s">
        <v>3649</v>
      </c>
      <c r="AD437" s="2" t="s">
        <v>46</v>
      </c>
    </row>
    <row r="438" customFormat="false" ht="15.7" hidden="false" customHeight="true" outlineLevel="0" collapsed="false">
      <c r="A438" s="2"/>
      <c r="B438" s="3" t="n">
        <f aca="false">DATE(2007,1,8)</f>
        <v>0</v>
      </c>
      <c r="C438" s="3" t="n">
        <v>39090</v>
      </c>
      <c r="D438" s="2" t="s">
        <v>3650</v>
      </c>
      <c r="F438" s="2" t="s">
        <v>3651</v>
      </c>
      <c r="G438" s="2" t="s">
        <v>3652</v>
      </c>
      <c r="H438" s="2" t="s">
        <v>1925</v>
      </c>
      <c r="I438" s="2" t="s">
        <v>51</v>
      </c>
      <c r="J438" s="2" t="s">
        <v>3653</v>
      </c>
      <c r="K438" s="2" t="s">
        <v>3650</v>
      </c>
      <c r="L438" s="2" t="s">
        <v>51</v>
      </c>
      <c r="M438" s="2" t="s">
        <v>1925</v>
      </c>
      <c r="N438" s="2" t="s">
        <v>3654</v>
      </c>
      <c r="O438" s="2"/>
      <c r="P438" s="2" t="s">
        <v>37</v>
      </c>
      <c r="Q438" s="4" t="n">
        <v>8731</v>
      </c>
      <c r="R438" s="2" t="s">
        <v>56</v>
      </c>
      <c r="S438" s="2" t="s">
        <v>1622</v>
      </c>
      <c r="T438" s="2" t="s">
        <v>40</v>
      </c>
      <c r="U438" s="2" t="s">
        <v>3655</v>
      </c>
      <c r="V438" s="2"/>
      <c r="W438" s="2" t="s">
        <v>138</v>
      </c>
      <c r="X438" s="2" t="s">
        <v>43</v>
      </c>
      <c r="Y438" s="2" t="s">
        <v>37</v>
      </c>
      <c r="Z438" s="2" t="s">
        <v>44</v>
      </c>
      <c r="AA438" s="2"/>
      <c r="AB438" s="2"/>
      <c r="AC438" s="2" t="s">
        <v>3656</v>
      </c>
      <c r="AD438" s="2" t="s">
        <v>46</v>
      </c>
    </row>
    <row r="439" customFormat="false" ht="15.7" hidden="false" customHeight="true" outlineLevel="0" collapsed="false">
      <c r="A439" s="2"/>
      <c r="B439" s="3" t="n">
        <f aca="false">DATE(2007,1,8)</f>
        <v>0</v>
      </c>
      <c r="C439" s="3" t="n">
        <v>39090</v>
      </c>
      <c r="D439" s="2" t="s">
        <v>3657</v>
      </c>
      <c r="F439" s="2" t="s">
        <v>3658</v>
      </c>
      <c r="G439" s="2" t="s">
        <v>3659</v>
      </c>
      <c r="H439" s="2" t="s">
        <v>170</v>
      </c>
      <c r="I439" s="2" t="s">
        <v>51</v>
      </c>
      <c r="J439" s="2" t="s">
        <v>560</v>
      </c>
      <c r="K439" s="2" t="s">
        <v>3657</v>
      </c>
      <c r="L439" s="2" t="s">
        <v>51</v>
      </c>
      <c r="M439" s="2" t="s">
        <v>170</v>
      </c>
      <c r="N439" s="2" t="s">
        <v>3660</v>
      </c>
      <c r="O439" s="2"/>
      <c r="P439" s="2" t="s">
        <v>37</v>
      </c>
      <c r="Q439" s="4" t="n">
        <v>8731</v>
      </c>
      <c r="R439" s="2" t="s">
        <v>56</v>
      </c>
      <c r="S439" s="2" t="s">
        <v>92</v>
      </c>
      <c r="T439" s="2" t="s">
        <v>40</v>
      </c>
      <c r="U439" s="2" t="s">
        <v>3661</v>
      </c>
      <c r="V439" s="2"/>
      <c r="W439" s="2" t="s">
        <v>42</v>
      </c>
      <c r="X439" s="2" t="s">
        <v>43</v>
      </c>
      <c r="Y439" s="2" t="s">
        <v>37</v>
      </c>
      <c r="Z439" s="2" t="s">
        <v>44</v>
      </c>
      <c r="AA439" s="2"/>
      <c r="AB439" s="2"/>
      <c r="AC439" s="2" t="s">
        <v>3662</v>
      </c>
      <c r="AD439" s="2" t="s">
        <v>46</v>
      </c>
    </row>
    <row r="440" customFormat="false" ht="15.7" hidden="false" customHeight="true" outlineLevel="0" collapsed="false">
      <c r="A440" s="2"/>
      <c r="B440" s="3" t="n">
        <f aca="false">DATE(2007,1,8)</f>
        <v>0</v>
      </c>
      <c r="C440" s="3" t="n">
        <v>39090</v>
      </c>
      <c r="D440" s="2" t="s">
        <v>3663</v>
      </c>
      <c r="F440" s="2" t="s">
        <v>3664</v>
      </c>
      <c r="G440" s="2" t="s">
        <v>3665</v>
      </c>
      <c r="H440" s="2" t="s">
        <v>3666</v>
      </c>
      <c r="I440" s="2" t="s">
        <v>180</v>
      </c>
      <c r="J440" s="2" t="s">
        <v>132</v>
      </c>
      <c r="K440" s="2" t="s">
        <v>3667</v>
      </c>
      <c r="L440" s="2" t="s">
        <v>3668</v>
      </c>
      <c r="M440" s="2" t="s">
        <v>3669</v>
      </c>
      <c r="N440" s="2" t="s">
        <v>3670</v>
      </c>
      <c r="O440" s="2"/>
      <c r="P440" s="2" t="s">
        <v>37</v>
      </c>
      <c r="Q440" s="4" t="n">
        <v>8731</v>
      </c>
      <c r="R440" s="2" t="s">
        <v>136</v>
      </c>
      <c r="S440" s="2" t="s">
        <v>39</v>
      </c>
      <c r="T440" s="2" t="s">
        <v>40</v>
      </c>
      <c r="U440" s="2" t="s">
        <v>3671</v>
      </c>
      <c r="V440" s="2"/>
      <c r="W440" s="2" t="s">
        <v>42</v>
      </c>
      <c r="X440" s="2" t="s">
        <v>43</v>
      </c>
      <c r="Y440" s="2" t="s">
        <v>37</v>
      </c>
      <c r="Z440" s="2" t="s">
        <v>44</v>
      </c>
      <c r="AA440" s="2" t="s">
        <v>3672</v>
      </c>
      <c r="AB440" s="2"/>
      <c r="AC440" s="2" t="s">
        <v>3673</v>
      </c>
      <c r="AD440" s="2" t="s">
        <v>46</v>
      </c>
    </row>
    <row r="441" customFormat="false" ht="15.7" hidden="false" customHeight="true" outlineLevel="0" collapsed="false">
      <c r="A441" s="2"/>
      <c r="B441" s="3" t="n">
        <f aca="false">DATE(2007,1,8)</f>
        <v>0</v>
      </c>
      <c r="C441" s="3" t="n">
        <v>39090</v>
      </c>
      <c r="D441" s="2" t="s">
        <v>3674</v>
      </c>
      <c r="F441" s="2" t="s">
        <v>3675</v>
      </c>
      <c r="G441" s="2" t="s">
        <v>3676</v>
      </c>
      <c r="H441" s="2" t="s">
        <v>3469</v>
      </c>
      <c r="I441" s="2" t="s">
        <v>487</v>
      </c>
      <c r="J441" s="2" t="s">
        <v>1341</v>
      </c>
      <c r="K441" s="2" t="s">
        <v>3674</v>
      </c>
      <c r="L441" s="2" t="s">
        <v>487</v>
      </c>
      <c r="M441" s="2" t="s">
        <v>3469</v>
      </c>
      <c r="N441" s="2" t="s">
        <v>3677</v>
      </c>
      <c r="O441" s="2"/>
      <c r="P441" s="2" t="s">
        <v>79</v>
      </c>
      <c r="Q441" s="4" t="n">
        <v>6794</v>
      </c>
      <c r="R441" s="2" t="s">
        <v>136</v>
      </c>
      <c r="S441" s="2" t="s">
        <v>39</v>
      </c>
      <c r="T441" s="2" t="s">
        <v>40</v>
      </c>
      <c r="U441" s="2" t="s">
        <v>3678</v>
      </c>
      <c r="V441" s="2"/>
      <c r="W441" s="2" t="s">
        <v>94</v>
      </c>
      <c r="X441" s="2" t="s">
        <v>43</v>
      </c>
      <c r="Y441" s="2" t="s">
        <v>37</v>
      </c>
      <c r="Z441" s="2" t="s">
        <v>44</v>
      </c>
      <c r="AA441" s="2"/>
      <c r="AB441" s="2"/>
      <c r="AC441" s="2" t="s">
        <v>3679</v>
      </c>
      <c r="AD441" s="2" t="s">
        <v>46</v>
      </c>
    </row>
    <row r="442" customFormat="false" ht="15.7" hidden="false" customHeight="true" outlineLevel="0" collapsed="false">
      <c r="A442" s="2"/>
      <c r="B442" s="3" t="n">
        <f aca="false">DATE(2007,1,8)</f>
        <v>0</v>
      </c>
      <c r="C442" s="3" t="n">
        <v>39090</v>
      </c>
      <c r="D442" s="2" t="s">
        <v>3680</v>
      </c>
      <c r="F442" s="2" t="s">
        <v>3681</v>
      </c>
      <c r="G442" s="2" t="s">
        <v>3682</v>
      </c>
      <c r="H442" s="2" t="s">
        <v>1411</v>
      </c>
      <c r="I442" s="2" t="s">
        <v>131</v>
      </c>
      <c r="J442" s="2" t="s">
        <v>132</v>
      </c>
      <c r="K442" s="2" t="s">
        <v>3683</v>
      </c>
      <c r="L442" s="2" t="s">
        <v>549</v>
      </c>
      <c r="M442" s="2" t="s">
        <v>1770</v>
      </c>
      <c r="N442" s="2" t="s">
        <v>3684</v>
      </c>
      <c r="O442" s="2"/>
      <c r="P442" s="2" t="s">
        <v>37</v>
      </c>
      <c r="Q442" s="4" t="n">
        <v>8731</v>
      </c>
      <c r="R442" s="2" t="s">
        <v>136</v>
      </c>
      <c r="S442" s="2" t="s">
        <v>39</v>
      </c>
      <c r="T442" s="2" t="s">
        <v>40</v>
      </c>
      <c r="U442" s="2" t="s">
        <v>3685</v>
      </c>
      <c r="V442" s="2"/>
      <c r="W442" s="2" t="s">
        <v>42</v>
      </c>
      <c r="X442" s="2" t="s">
        <v>43</v>
      </c>
      <c r="Y442" s="2" t="s">
        <v>37</v>
      </c>
      <c r="Z442" s="2" t="s">
        <v>44</v>
      </c>
      <c r="AA442" s="2"/>
      <c r="AB442" s="2"/>
      <c r="AC442" s="2" t="s">
        <v>3686</v>
      </c>
      <c r="AD442" s="2" t="s">
        <v>46</v>
      </c>
    </row>
    <row r="443" customFormat="false" ht="15.7" hidden="false" customHeight="true" outlineLevel="0" collapsed="false">
      <c r="A443" s="2"/>
      <c r="B443" s="3" t="n">
        <f aca="false">DATE(2007,1,9)</f>
        <v>0</v>
      </c>
      <c r="C443" s="3" t="n">
        <v>39091</v>
      </c>
      <c r="D443" s="2" t="s">
        <v>3687</v>
      </c>
      <c r="F443" s="2" t="s">
        <v>256</v>
      </c>
      <c r="G443" s="2" t="s">
        <v>3688</v>
      </c>
      <c r="H443" s="2" t="s">
        <v>170</v>
      </c>
      <c r="I443" s="2" t="s">
        <v>3265</v>
      </c>
      <c r="J443" s="2" t="s">
        <v>1891</v>
      </c>
      <c r="K443" s="2" t="s">
        <v>3689</v>
      </c>
      <c r="L443" s="2" t="s">
        <v>3265</v>
      </c>
      <c r="M443" s="2" t="s">
        <v>63</v>
      </c>
      <c r="N443" s="2" t="s">
        <v>3690</v>
      </c>
      <c r="O443" s="2"/>
      <c r="P443" s="2" t="s">
        <v>37</v>
      </c>
      <c r="Q443" s="4" t="n">
        <v>8731</v>
      </c>
      <c r="R443" s="2" t="s">
        <v>402</v>
      </c>
      <c r="S443" s="2" t="s">
        <v>39</v>
      </c>
      <c r="T443" s="2" t="s">
        <v>673</v>
      </c>
      <c r="U443" s="2" t="s">
        <v>3691</v>
      </c>
      <c r="V443" s="2"/>
      <c r="W443" s="2" t="s">
        <v>42</v>
      </c>
      <c r="X443" s="2" t="s">
        <v>43</v>
      </c>
      <c r="Y443" s="2" t="s">
        <v>37</v>
      </c>
      <c r="Z443" s="2" t="s">
        <v>44</v>
      </c>
      <c r="AA443" s="2"/>
      <c r="AB443" s="2"/>
      <c r="AC443" s="2" t="s">
        <v>3692</v>
      </c>
      <c r="AD443" s="2" t="s">
        <v>46</v>
      </c>
    </row>
    <row r="444" customFormat="false" ht="15.7" hidden="false" customHeight="true" outlineLevel="0" collapsed="false">
      <c r="A444" s="2"/>
      <c r="B444" s="3" t="n">
        <f aca="false">DATE(2007,1,9)</f>
        <v>0</v>
      </c>
      <c r="C444" s="3" t="n">
        <v>39091</v>
      </c>
      <c r="D444" s="2" t="s">
        <v>3693</v>
      </c>
      <c r="F444" s="2" t="s">
        <v>3694</v>
      </c>
      <c r="G444" s="2" t="s">
        <v>3695</v>
      </c>
      <c r="H444" s="2" t="s">
        <v>130</v>
      </c>
      <c r="I444" s="2" t="s">
        <v>3696</v>
      </c>
      <c r="J444" s="2" t="s">
        <v>35</v>
      </c>
      <c r="K444" s="2" t="s">
        <v>3693</v>
      </c>
      <c r="L444" s="2" t="s">
        <v>3696</v>
      </c>
      <c r="M444" s="2" t="s">
        <v>130</v>
      </c>
      <c r="N444" s="2" t="s">
        <v>3697</v>
      </c>
      <c r="O444" s="2"/>
      <c r="P444" s="2" t="s">
        <v>37</v>
      </c>
      <c r="Q444" s="4" t="n">
        <v>8731</v>
      </c>
      <c r="R444" s="2" t="s">
        <v>136</v>
      </c>
      <c r="S444" s="2" t="s">
        <v>39</v>
      </c>
      <c r="T444" s="2" t="s">
        <v>40</v>
      </c>
      <c r="U444" s="2" t="s">
        <v>3698</v>
      </c>
      <c r="V444" s="2"/>
      <c r="W444" s="2" t="s">
        <v>138</v>
      </c>
      <c r="X444" s="2" t="s">
        <v>43</v>
      </c>
      <c r="Y444" s="2" t="s">
        <v>37</v>
      </c>
      <c r="Z444" s="2" t="s">
        <v>44</v>
      </c>
      <c r="AA444" s="2"/>
      <c r="AB444" s="2"/>
      <c r="AC444" s="2" t="s">
        <v>3699</v>
      </c>
      <c r="AD444" s="2" t="s">
        <v>46</v>
      </c>
    </row>
    <row r="445" customFormat="false" ht="15.7" hidden="false" customHeight="true" outlineLevel="0" collapsed="false">
      <c r="A445" s="2"/>
      <c r="B445" s="3" t="n">
        <f aca="false">DATE(2007,1,10)</f>
        <v>0</v>
      </c>
      <c r="C445" s="3" t="n">
        <v>39092</v>
      </c>
      <c r="D445" s="2" t="s">
        <v>3700</v>
      </c>
      <c r="F445" s="2" t="s">
        <v>3701</v>
      </c>
      <c r="G445" s="2" t="s">
        <v>3702</v>
      </c>
      <c r="H445" s="2" t="s">
        <v>3703</v>
      </c>
      <c r="I445" s="2" t="s">
        <v>51</v>
      </c>
      <c r="J445" s="2" t="s">
        <v>3704</v>
      </c>
      <c r="K445" s="2" t="s">
        <v>3700</v>
      </c>
      <c r="L445" s="2" t="s">
        <v>51</v>
      </c>
      <c r="M445" s="2" t="s">
        <v>3703</v>
      </c>
      <c r="N445" s="2" t="s">
        <v>3705</v>
      </c>
      <c r="O445" s="2"/>
      <c r="P445" s="2" t="s">
        <v>37</v>
      </c>
      <c r="Q445" s="4" t="n">
        <v>8734</v>
      </c>
      <c r="R445" s="2" t="s">
        <v>56</v>
      </c>
      <c r="S445" s="2" t="s">
        <v>92</v>
      </c>
      <c r="T445" s="2" t="s">
        <v>40</v>
      </c>
      <c r="U445" s="2" t="s">
        <v>3706</v>
      </c>
      <c r="V445" s="2"/>
      <c r="W445" s="2" t="s">
        <v>42</v>
      </c>
      <c r="X445" s="2" t="s">
        <v>43</v>
      </c>
      <c r="Y445" s="2" t="s">
        <v>37</v>
      </c>
      <c r="Z445" s="2" t="s">
        <v>44</v>
      </c>
      <c r="AA445" s="2"/>
      <c r="AB445" s="2"/>
      <c r="AC445" s="2" t="s">
        <v>3707</v>
      </c>
      <c r="AD445" s="2" t="s">
        <v>46</v>
      </c>
    </row>
    <row r="446" customFormat="false" ht="15.7" hidden="false" customHeight="true" outlineLevel="0" collapsed="false">
      <c r="A446" s="2"/>
      <c r="B446" s="3" t="n">
        <f aca="false">DATE(2007,1,11)</f>
        <v>0</v>
      </c>
      <c r="C446" s="3" t="n">
        <v>39093</v>
      </c>
      <c r="D446" s="2" t="s">
        <v>3708</v>
      </c>
      <c r="F446" s="2" t="s">
        <v>3709</v>
      </c>
      <c r="G446" s="2" t="s">
        <v>3710</v>
      </c>
      <c r="H446" s="2" t="s">
        <v>130</v>
      </c>
      <c r="I446" s="2" t="s">
        <v>330</v>
      </c>
      <c r="J446" s="2" t="s">
        <v>795</v>
      </c>
      <c r="K446" s="2" t="s">
        <v>3708</v>
      </c>
      <c r="L446" s="2" t="s">
        <v>330</v>
      </c>
      <c r="M446" s="2" t="s">
        <v>130</v>
      </c>
      <c r="N446" s="2" t="s">
        <v>3711</v>
      </c>
      <c r="O446" s="2"/>
      <c r="P446" s="2" t="s">
        <v>37</v>
      </c>
      <c r="Q446" s="4" t="n">
        <v>8731</v>
      </c>
      <c r="R446" s="2" t="s">
        <v>136</v>
      </c>
      <c r="S446" s="2" t="s">
        <v>39</v>
      </c>
      <c r="T446" s="2" t="s">
        <v>40</v>
      </c>
      <c r="U446" s="2" t="s">
        <v>3712</v>
      </c>
      <c r="V446" s="2"/>
      <c r="W446" s="2" t="s">
        <v>138</v>
      </c>
      <c r="X446" s="2" t="s">
        <v>43</v>
      </c>
      <c r="Y446" s="2" t="s">
        <v>37</v>
      </c>
      <c r="Z446" s="2" t="s">
        <v>44</v>
      </c>
      <c r="AA446" s="2"/>
      <c r="AB446" s="2"/>
      <c r="AC446" s="2" t="s">
        <v>3713</v>
      </c>
      <c r="AD446" s="2" t="s">
        <v>46</v>
      </c>
    </row>
    <row r="447" customFormat="false" ht="15.7" hidden="false" customHeight="true" outlineLevel="0" collapsed="false">
      <c r="A447" s="2"/>
      <c r="B447" s="3" t="n">
        <f aca="false">DATE(2007,1,11)</f>
        <v>0</v>
      </c>
      <c r="C447" s="3" t="n">
        <v>39093</v>
      </c>
      <c r="D447" s="2" t="s">
        <v>3714</v>
      </c>
      <c r="F447" s="2" t="s">
        <v>3715</v>
      </c>
      <c r="G447" s="2" t="s">
        <v>3716</v>
      </c>
      <c r="H447" s="2" t="s">
        <v>3717</v>
      </c>
      <c r="I447" s="2" t="s">
        <v>257</v>
      </c>
      <c r="J447" s="2" t="s">
        <v>966</v>
      </c>
      <c r="K447" s="2" t="s">
        <v>3714</v>
      </c>
      <c r="L447" s="2" t="s">
        <v>257</v>
      </c>
      <c r="M447" s="2" t="s">
        <v>3717</v>
      </c>
      <c r="N447" s="2" t="s">
        <v>3718</v>
      </c>
      <c r="O447" s="2"/>
      <c r="P447" s="2" t="s">
        <v>37</v>
      </c>
      <c r="Q447" s="4" t="n">
        <v>8731</v>
      </c>
      <c r="R447" s="2" t="s">
        <v>136</v>
      </c>
      <c r="S447" s="2" t="s">
        <v>39</v>
      </c>
      <c r="T447" s="2" t="s">
        <v>40</v>
      </c>
      <c r="U447" s="2" t="s">
        <v>3719</v>
      </c>
      <c r="V447" s="2"/>
      <c r="W447" s="2" t="s">
        <v>42</v>
      </c>
      <c r="X447" s="2" t="s">
        <v>43</v>
      </c>
      <c r="Y447" s="2" t="s">
        <v>37</v>
      </c>
      <c r="Z447" s="2" t="s">
        <v>44</v>
      </c>
      <c r="AA447" s="2"/>
      <c r="AB447" s="2"/>
      <c r="AC447" s="2" t="s">
        <v>3720</v>
      </c>
      <c r="AD447" s="2" t="s">
        <v>46</v>
      </c>
    </row>
    <row r="448" customFormat="false" ht="15.7" hidden="false" customHeight="true" outlineLevel="0" collapsed="false">
      <c r="A448" s="2"/>
      <c r="B448" s="3" t="n">
        <f aca="false">DATE(2007,1,12)</f>
        <v>0</v>
      </c>
      <c r="C448" s="3" t="n">
        <v>39094</v>
      </c>
      <c r="D448" s="2" t="s">
        <v>3721</v>
      </c>
      <c r="F448" s="2" t="s">
        <v>2026</v>
      </c>
      <c r="G448" s="2" t="s">
        <v>3722</v>
      </c>
      <c r="H448" s="2" t="s">
        <v>762</v>
      </c>
      <c r="I448" s="2" t="s">
        <v>51</v>
      </c>
      <c r="J448" s="2" t="s">
        <v>2816</v>
      </c>
      <c r="K448" s="2" t="s">
        <v>3721</v>
      </c>
      <c r="L448" s="2" t="s">
        <v>51</v>
      </c>
      <c r="M448" s="2" t="s">
        <v>762</v>
      </c>
      <c r="N448" s="2" t="s">
        <v>3723</v>
      </c>
      <c r="O448" s="2"/>
      <c r="P448" s="2" t="s">
        <v>37</v>
      </c>
      <c r="Q448" s="4" t="n">
        <v>8731</v>
      </c>
      <c r="R448" s="2" t="s">
        <v>56</v>
      </c>
      <c r="S448" s="2" t="s">
        <v>1576</v>
      </c>
      <c r="T448" s="2" t="s">
        <v>40</v>
      </c>
      <c r="U448" s="2" t="s">
        <v>3724</v>
      </c>
      <c r="V448" s="2"/>
      <c r="W448" s="2" t="s">
        <v>42</v>
      </c>
      <c r="X448" s="2" t="s">
        <v>43</v>
      </c>
      <c r="Y448" s="2" t="s">
        <v>37</v>
      </c>
      <c r="Z448" s="2" t="s">
        <v>44</v>
      </c>
      <c r="AA448" s="2" t="s">
        <v>3725</v>
      </c>
      <c r="AB448" s="2"/>
      <c r="AC448" s="2" t="s">
        <v>3726</v>
      </c>
      <c r="AD448" s="2" t="s">
        <v>46</v>
      </c>
    </row>
    <row r="449" customFormat="false" ht="15.7" hidden="false" customHeight="true" outlineLevel="0" collapsed="false">
      <c r="A449" s="2"/>
      <c r="B449" s="3" t="n">
        <f aca="false">DATE(2007,1,12)</f>
        <v>0</v>
      </c>
      <c r="C449" s="3" t="n">
        <v>39094</v>
      </c>
      <c r="D449" s="2" t="s">
        <v>3727</v>
      </c>
      <c r="F449" s="2" t="s">
        <v>408</v>
      </c>
      <c r="G449" s="2" t="s">
        <v>3728</v>
      </c>
      <c r="H449" s="2" t="s">
        <v>170</v>
      </c>
      <c r="I449" s="2" t="s">
        <v>410</v>
      </c>
      <c r="J449" s="2" t="s">
        <v>132</v>
      </c>
      <c r="K449" s="2" t="s">
        <v>3729</v>
      </c>
      <c r="L449" s="2" t="s">
        <v>3730</v>
      </c>
      <c r="M449" s="2" t="s">
        <v>3731</v>
      </c>
      <c r="N449" s="2" t="s">
        <v>3732</v>
      </c>
      <c r="O449" s="2"/>
      <c r="P449" s="2" t="s">
        <v>37</v>
      </c>
      <c r="Q449" s="4" t="n">
        <v>8731</v>
      </c>
      <c r="R449" s="2" t="s">
        <v>136</v>
      </c>
      <c r="S449" s="2" t="s">
        <v>39</v>
      </c>
      <c r="T449" s="2" t="s">
        <v>40</v>
      </c>
      <c r="U449" s="2" t="s">
        <v>3733</v>
      </c>
      <c r="V449" s="2"/>
      <c r="W449" s="2" t="s">
        <v>42</v>
      </c>
      <c r="X449" s="2" t="s">
        <v>43</v>
      </c>
      <c r="Y449" s="2" t="s">
        <v>37</v>
      </c>
      <c r="Z449" s="2" t="s">
        <v>44</v>
      </c>
      <c r="AA449" s="2" t="s">
        <v>3734</v>
      </c>
      <c r="AB449" s="2"/>
      <c r="AC449" s="2" t="s">
        <v>3735</v>
      </c>
      <c r="AD449" s="2" t="s">
        <v>46</v>
      </c>
    </row>
    <row r="450" customFormat="false" ht="15.7" hidden="false" customHeight="true" outlineLevel="0" collapsed="false">
      <c r="A450" s="2"/>
      <c r="B450" s="3" t="n">
        <f aca="false">DATE(2007,1,16)</f>
        <v>0</v>
      </c>
      <c r="C450" s="3" t="n">
        <v>39098</v>
      </c>
      <c r="D450" s="2" t="s">
        <v>3736</v>
      </c>
      <c r="F450" s="2" t="s">
        <v>3737</v>
      </c>
      <c r="G450" s="2" t="s">
        <v>3738</v>
      </c>
      <c r="H450" s="2" t="s">
        <v>170</v>
      </c>
      <c r="I450" s="2" t="s">
        <v>131</v>
      </c>
      <c r="J450" s="2" t="s">
        <v>900</v>
      </c>
      <c r="K450" s="2" t="s">
        <v>3736</v>
      </c>
      <c r="L450" s="2" t="s">
        <v>131</v>
      </c>
      <c r="M450" s="2" t="s">
        <v>170</v>
      </c>
      <c r="N450" s="2" t="s">
        <v>3739</v>
      </c>
      <c r="O450" s="2"/>
      <c r="P450" s="2" t="s">
        <v>37</v>
      </c>
      <c r="Q450" s="4" t="n">
        <v>8731</v>
      </c>
      <c r="R450" s="2" t="s">
        <v>56</v>
      </c>
      <c r="S450" s="2" t="s">
        <v>315</v>
      </c>
      <c r="T450" s="2" t="s">
        <v>40</v>
      </c>
      <c r="U450" s="2" t="s">
        <v>3740</v>
      </c>
      <c r="V450" s="2"/>
      <c r="W450" s="2" t="s">
        <v>42</v>
      </c>
      <c r="X450" s="2" t="s">
        <v>43</v>
      </c>
      <c r="Y450" s="2" t="s">
        <v>37</v>
      </c>
      <c r="Z450" s="2" t="s">
        <v>44</v>
      </c>
      <c r="AA450" s="2"/>
      <c r="AB450" s="2"/>
      <c r="AC450" s="2" t="s">
        <v>3741</v>
      </c>
      <c r="AD450" s="2" t="s">
        <v>46</v>
      </c>
    </row>
    <row r="451" customFormat="false" ht="15.7" hidden="false" customHeight="true" outlineLevel="0" collapsed="false">
      <c r="A451" s="2"/>
      <c r="B451" s="3" t="n">
        <f aca="false">DATE(2007,1,16)</f>
        <v>0</v>
      </c>
      <c r="C451" s="3" t="n">
        <v>39098</v>
      </c>
      <c r="D451" s="2" t="s">
        <v>3742</v>
      </c>
      <c r="F451" s="2" t="s">
        <v>3743</v>
      </c>
      <c r="G451" s="2" t="s">
        <v>3744</v>
      </c>
      <c r="H451" s="2" t="s">
        <v>63</v>
      </c>
      <c r="I451" s="2" t="s">
        <v>388</v>
      </c>
      <c r="J451" s="2" t="s">
        <v>313</v>
      </c>
      <c r="K451" s="2" t="s">
        <v>3742</v>
      </c>
      <c r="L451" s="2" t="s">
        <v>388</v>
      </c>
      <c r="M451" s="2" t="s">
        <v>63</v>
      </c>
      <c r="N451" s="2" t="s">
        <v>3745</v>
      </c>
      <c r="O451" s="2"/>
      <c r="P451" s="2" t="s">
        <v>37</v>
      </c>
      <c r="Q451" s="4" t="n">
        <v>8731</v>
      </c>
      <c r="R451" s="2" t="s">
        <v>136</v>
      </c>
      <c r="S451" s="2" t="s">
        <v>39</v>
      </c>
      <c r="T451" s="2" t="s">
        <v>40</v>
      </c>
      <c r="U451" s="2" t="s">
        <v>3746</v>
      </c>
      <c r="V451" s="2"/>
      <c r="W451" s="2" t="s">
        <v>138</v>
      </c>
      <c r="X451" s="2" t="s">
        <v>43</v>
      </c>
      <c r="Y451" s="2" t="s">
        <v>37</v>
      </c>
      <c r="Z451" s="2" t="s">
        <v>44</v>
      </c>
      <c r="AA451" s="2"/>
      <c r="AB451" s="2"/>
      <c r="AC451" s="2" t="s">
        <v>3747</v>
      </c>
      <c r="AD451" s="2" t="s">
        <v>46</v>
      </c>
    </row>
    <row r="452" customFormat="false" ht="15.7" hidden="false" customHeight="true" outlineLevel="0" collapsed="false">
      <c r="A452" s="2"/>
      <c r="B452" s="3" t="n">
        <f aca="false">DATE(2007,1,16)</f>
        <v>0</v>
      </c>
      <c r="C452" s="3" t="n">
        <v>39098</v>
      </c>
      <c r="D452" s="2" t="s">
        <v>3748</v>
      </c>
      <c r="F452" s="2" t="s">
        <v>3749</v>
      </c>
      <c r="G452" s="2" t="s">
        <v>3750</v>
      </c>
      <c r="H452" s="2" t="s">
        <v>153</v>
      </c>
      <c r="I452" s="2" t="s">
        <v>131</v>
      </c>
      <c r="J452" s="2" t="s">
        <v>258</v>
      </c>
      <c r="K452" s="2" t="s">
        <v>3751</v>
      </c>
      <c r="L452" s="2" t="s">
        <v>664</v>
      </c>
      <c r="M452" s="2" t="s">
        <v>3752</v>
      </c>
      <c r="N452" s="2" t="s">
        <v>3753</v>
      </c>
      <c r="O452" s="2"/>
      <c r="P452" s="2" t="s">
        <v>37</v>
      </c>
      <c r="Q452" s="4" t="n">
        <v>8731</v>
      </c>
      <c r="R452" s="2" t="s">
        <v>136</v>
      </c>
      <c r="S452" s="2" t="s">
        <v>39</v>
      </c>
      <c r="T452" s="2" t="s">
        <v>40</v>
      </c>
      <c r="U452" s="2" t="s">
        <v>3754</v>
      </c>
      <c r="V452" s="2"/>
      <c r="W452" s="2" t="s">
        <v>42</v>
      </c>
      <c r="X452" s="2" t="s">
        <v>43</v>
      </c>
      <c r="Y452" s="2" t="s">
        <v>37</v>
      </c>
      <c r="Z452" s="2" t="s">
        <v>44</v>
      </c>
      <c r="AA452" s="2"/>
      <c r="AB452" s="2"/>
      <c r="AC452" s="2" t="s">
        <v>3755</v>
      </c>
      <c r="AD452" s="2" t="s">
        <v>46</v>
      </c>
    </row>
    <row r="453" customFormat="false" ht="15.7" hidden="false" customHeight="true" outlineLevel="0" collapsed="false">
      <c r="A453" s="2"/>
      <c r="B453" s="3" t="n">
        <f aca="false">DATE(2007,1,17)</f>
        <v>0</v>
      </c>
      <c r="C453" s="3" t="n">
        <v>39099</v>
      </c>
      <c r="D453" s="2" t="s">
        <v>3756</v>
      </c>
      <c r="F453" s="2" t="s">
        <v>3757</v>
      </c>
      <c r="G453" s="2" t="s">
        <v>3758</v>
      </c>
      <c r="H453" s="2" t="s">
        <v>3759</v>
      </c>
      <c r="I453" s="2" t="s">
        <v>568</v>
      </c>
      <c r="J453" s="2" t="s">
        <v>65</v>
      </c>
      <c r="K453" s="2" t="s">
        <v>3760</v>
      </c>
      <c r="L453" s="2" t="s">
        <v>568</v>
      </c>
      <c r="M453" s="2" t="s">
        <v>3761</v>
      </c>
      <c r="N453" s="2" t="s">
        <v>3762</v>
      </c>
      <c r="O453" s="2"/>
      <c r="P453" s="2" t="s">
        <v>37</v>
      </c>
      <c r="Q453" s="4" t="n">
        <v>8731</v>
      </c>
      <c r="R453" s="2" t="s">
        <v>136</v>
      </c>
      <c r="S453" s="2" t="s">
        <v>39</v>
      </c>
      <c r="T453" s="2" t="s">
        <v>40</v>
      </c>
      <c r="U453" s="2" t="s">
        <v>3763</v>
      </c>
      <c r="V453" s="2"/>
      <c r="W453" s="2" t="s">
        <v>42</v>
      </c>
      <c r="X453" s="2" t="s">
        <v>43</v>
      </c>
      <c r="Y453" s="2" t="s">
        <v>37</v>
      </c>
      <c r="Z453" s="2" t="s">
        <v>44</v>
      </c>
      <c r="AA453" s="2"/>
      <c r="AB453" s="2"/>
      <c r="AC453" s="2" t="s">
        <v>3764</v>
      </c>
      <c r="AD453" s="2" t="s">
        <v>46</v>
      </c>
    </row>
    <row r="454" customFormat="false" ht="15.7" hidden="false" customHeight="true" outlineLevel="0" collapsed="false">
      <c r="A454" s="2"/>
      <c r="B454" s="3" t="n">
        <f aca="false">DATE(2007,1,17)</f>
        <v>0</v>
      </c>
      <c r="C454" s="3" t="n">
        <v>39099</v>
      </c>
      <c r="D454" s="2" t="s">
        <v>3765</v>
      </c>
      <c r="F454" s="2" t="s">
        <v>3766</v>
      </c>
      <c r="G454" s="2" t="s">
        <v>3767</v>
      </c>
      <c r="H454" s="2" t="s">
        <v>63</v>
      </c>
      <c r="I454" s="2" t="s">
        <v>100</v>
      </c>
      <c r="J454" s="2" t="s">
        <v>625</v>
      </c>
      <c r="K454" s="2" t="s">
        <v>3765</v>
      </c>
      <c r="L454" s="2" t="s">
        <v>100</v>
      </c>
      <c r="M454" s="2" t="s">
        <v>63</v>
      </c>
      <c r="N454" s="2" t="s">
        <v>3768</v>
      </c>
      <c r="O454" s="2"/>
      <c r="P454" s="2" t="s">
        <v>37</v>
      </c>
      <c r="Q454" s="4" t="n">
        <v>8731</v>
      </c>
      <c r="R454" s="2" t="s">
        <v>136</v>
      </c>
      <c r="S454" s="2" t="s">
        <v>39</v>
      </c>
      <c r="T454" s="2" t="s">
        <v>40</v>
      </c>
      <c r="U454" s="2" t="s">
        <v>3769</v>
      </c>
      <c r="V454" s="2"/>
      <c r="W454" s="2" t="s">
        <v>42</v>
      </c>
      <c r="X454" s="2" t="s">
        <v>43</v>
      </c>
      <c r="Y454" s="2" t="s">
        <v>37</v>
      </c>
      <c r="Z454" s="2" t="s">
        <v>44</v>
      </c>
      <c r="AA454" s="2"/>
      <c r="AB454" s="2"/>
      <c r="AC454" s="2" t="s">
        <v>3770</v>
      </c>
      <c r="AD454" s="2" t="s">
        <v>46</v>
      </c>
    </row>
    <row r="455" customFormat="false" ht="15.7" hidden="false" customHeight="true" outlineLevel="0" collapsed="false">
      <c r="A455" s="2"/>
      <c r="B455" s="3" t="n">
        <f aca="false">DATE(2007,1,17)</f>
        <v>0</v>
      </c>
      <c r="C455" s="3" t="n">
        <v>39099</v>
      </c>
      <c r="D455" s="2" t="s">
        <v>3771</v>
      </c>
      <c r="F455" s="2" t="s">
        <v>3772</v>
      </c>
      <c r="G455" s="2" t="s">
        <v>3773</v>
      </c>
      <c r="H455" s="2" t="s">
        <v>3774</v>
      </c>
      <c r="I455" s="2" t="s">
        <v>3775</v>
      </c>
      <c r="J455" s="2" t="s">
        <v>3776</v>
      </c>
      <c r="K455" s="2" t="s">
        <v>3771</v>
      </c>
      <c r="L455" s="2" t="s">
        <v>3775</v>
      </c>
      <c r="M455" s="2" t="s">
        <v>3774</v>
      </c>
      <c r="N455" s="2" t="s">
        <v>3777</v>
      </c>
      <c r="O455" s="2"/>
      <c r="P455" s="2" t="s">
        <v>37</v>
      </c>
      <c r="Q455" s="4" t="n">
        <v>8731</v>
      </c>
      <c r="R455" s="2" t="s">
        <v>56</v>
      </c>
      <c r="S455" s="2" t="s">
        <v>92</v>
      </c>
      <c r="T455" s="2" t="s">
        <v>403</v>
      </c>
      <c r="U455" s="2" t="s">
        <v>3778</v>
      </c>
      <c r="V455" s="2"/>
      <c r="W455" s="2" t="s">
        <v>42</v>
      </c>
      <c r="X455" s="2" t="s">
        <v>43</v>
      </c>
      <c r="Y455" s="2" t="s">
        <v>37</v>
      </c>
      <c r="Z455" s="2" t="s">
        <v>916</v>
      </c>
      <c r="AA455" s="2"/>
      <c r="AB455" s="2"/>
      <c r="AC455" s="2" t="s">
        <v>3779</v>
      </c>
      <c r="AD455" s="2" t="s">
        <v>46</v>
      </c>
    </row>
    <row r="456" customFormat="false" ht="15.7" hidden="false" customHeight="true" outlineLevel="0" collapsed="false">
      <c r="A456" s="2"/>
      <c r="B456" s="3" t="n">
        <f aca="false">DATE(2007,1,18)</f>
        <v>0</v>
      </c>
      <c r="C456" s="3" t="n">
        <v>39100</v>
      </c>
      <c r="D456" s="2" t="s">
        <v>3780</v>
      </c>
      <c r="F456" s="2" t="s">
        <v>3781</v>
      </c>
      <c r="G456" s="2" t="s">
        <v>3782</v>
      </c>
      <c r="H456" s="2" t="s">
        <v>305</v>
      </c>
      <c r="I456" s="2" t="s">
        <v>51</v>
      </c>
      <c r="J456" s="2" t="s">
        <v>178</v>
      </c>
      <c r="K456" s="2" t="s">
        <v>3780</v>
      </c>
      <c r="L456" s="2" t="s">
        <v>51</v>
      </c>
      <c r="M456" s="2" t="s">
        <v>305</v>
      </c>
      <c r="N456" s="2" t="s">
        <v>3783</v>
      </c>
      <c r="O456" s="2"/>
      <c r="P456" s="2" t="s">
        <v>37</v>
      </c>
      <c r="Q456" s="4" t="n">
        <v>8731</v>
      </c>
      <c r="R456" s="2" t="s">
        <v>56</v>
      </c>
      <c r="S456" s="2" t="s">
        <v>57</v>
      </c>
      <c r="T456" s="2" t="s">
        <v>40</v>
      </c>
      <c r="U456" s="2" t="s">
        <v>3784</v>
      </c>
      <c r="V456" s="2"/>
      <c r="W456" s="2" t="s">
        <v>138</v>
      </c>
      <c r="X456" s="2" t="s">
        <v>43</v>
      </c>
      <c r="Y456" s="2" t="s">
        <v>37</v>
      </c>
      <c r="Z456" s="2" t="s">
        <v>44</v>
      </c>
      <c r="AA456" s="2"/>
      <c r="AB456" s="2"/>
      <c r="AC456" s="2" t="s">
        <v>3785</v>
      </c>
      <c r="AD456" s="2" t="s">
        <v>46</v>
      </c>
    </row>
    <row r="457" customFormat="false" ht="15.7" hidden="false" customHeight="true" outlineLevel="0" collapsed="false">
      <c r="A457" s="2"/>
      <c r="B457" s="3" t="n">
        <f aca="false">DATE(2007,1,22)</f>
        <v>0</v>
      </c>
      <c r="C457" s="3" t="n">
        <v>39104</v>
      </c>
      <c r="D457" s="2" t="s">
        <v>3786</v>
      </c>
      <c r="F457" s="2" t="s">
        <v>1865</v>
      </c>
      <c r="G457" s="2" t="s">
        <v>3787</v>
      </c>
      <c r="H457" s="2" t="s">
        <v>130</v>
      </c>
      <c r="I457" s="2" t="s">
        <v>821</v>
      </c>
      <c r="J457" s="2" t="s">
        <v>65</v>
      </c>
      <c r="K457" s="2" t="s">
        <v>3786</v>
      </c>
      <c r="L457" s="2" t="s">
        <v>821</v>
      </c>
      <c r="M457" s="2" t="s">
        <v>130</v>
      </c>
      <c r="N457" s="2" t="s">
        <v>3788</v>
      </c>
      <c r="O457" s="2"/>
      <c r="P457" s="2" t="s">
        <v>37</v>
      </c>
      <c r="Q457" s="4" t="n">
        <v>8731</v>
      </c>
      <c r="R457" s="2" t="s">
        <v>136</v>
      </c>
      <c r="S457" s="2" t="s">
        <v>39</v>
      </c>
      <c r="T457" s="2" t="s">
        <v>40</v>
      </c>
      <c r="U457" s="2" t="s">
        <v>3789</v>
      </c>
      <c r="V457" s="2"/>
      <c r="W457" s="2" t="s">
        <v>42</v>
      </c>
      <c r="X457" s="2" t="s">
        <v>43</v>
      </c>
      <c r="Y457" s="2" t="s">
        <v>37</v>
      </c>
      <c r="Z457" s="2" t="s">
        <v>44</v>
      </c>
      <c r="AA457" s="2"/>
      <c r="AB457" s="2"/>
      <c r="AC457" s="2" t="s">
        <v>3790</v>
      </c>
      <c r="AD457" s="2" t="s">
        <v>46</v>
      </c>
    </row>
    <row r="458" customFormat="false" ht="15.7" hidden="false" customHeight="true" outlineLevel="0" collapsed="false">
      <c r="A458" s="2"/>
      <c r="B458" s="3" t="n">
        <f aca="false">DATE(2007,1,22)</f>
        <v>0</v>
      </c>
      <c r="C458" s="3" t="n">
        <v>39104</v>
      </c>
      <c r="D458" s="2" t="s">
        <v>3791</v>
      </c>
      <c r="F458" s="2" t="s">
        <v>3792</v>
      </c>
      <c r="G458" s="2" t="s">
        <v>3793</v>
      </c>
      <c r="H458" s="2" t="s">
        <v>3794</v>
      </c>
      <c r="I458" s="2" t="s">
        <v>3795</v>
      </c>
      <c r="J458" s="2" t="s">
        <v>732</v>
      </c>
      <c r="K458" s="2" t="s">
        <v>3791</v>
      </c>
      <c r="L458" s="2" t="s">
        <v>3795</v>
      </c>
      <c r="M458" s="2" t="s">
        <v>3794</v>
      </c>
      <c r="N458" s="2" t="s">
        <v>3796</v>
      </c>
      <c r="O458" s="2"/>
      <c r="P458" s="2" t="s">
        <v>37</v>
      </c>
      <c r="Q458" s="4" t="n">
        <v>8731</v>
      </c>
      <c r="R458" s="2" t="s">
        <v>3154</v>
      </c>
      <c r="S458" s="2" t="s">
        <v>39</v>
      </c>
      <c r="T458" s="2" t="s">
        <v>403</v>
      </c>
      <c r="U458" s="2" t="s">
        <v>3797</v>
      </c>
      <c r="V458" s="2"/>
      <c r="W458" s="2" t="s">
        <v>42</v>
      </c>
      <c r="X458" s="2" t="s">
        <v>46</v>
      </c>
      <c r="Y458" s="2" t="s">
        <v>37</v>
      </c>
      <c r="Z458" s="2" t="s">
        <v>362</v>
      </c>
      <c r="AA458" s="2" t="s">
        <v>3798</v>
      </c>
      <c r="AB458" s="2"/>
      <c r="AC458" s="2" t="s">
        <v>3799</v>
      </c>
      <c r="AD458" s="2" t="s">
        <v>46</v>
      </c>
    </row>
    <row r="459" customFormat="false" ht="15.7" hidden="false" customHeight="true" outlineLevel="0" collapsed="false">
      <c r="A459" s="2"/>
      <c r="B459" s="3" t="n">
        <f aca="false">DATE(2007,1,22)</f>
        <v>0</v>
      </c>
      <c r="C459" s="3" t="n">
        <v>39104</v>
      </c>
      <c r="D459" s="2" t="s">
        <v>3800</v>
      </c>
      <c r="F459" s="2" t="s">
        <v>200</v>
      </c>
      <c r="G459" s="2" t="s">
        <v>3801</v>
      </c>
      <c r="H459" s="2" t="s">
        <v>305</v>
      </c>
      <c r="I459" s="2" t="s">
        <v>3802</v>
      </c>
      <c r="J459" s="2" t="s">
        <v>35</v>
      </c>
      <c r="K459" s="2" t="s">
        <v>3800</v>
      </c>
      <c r="L459" s="2" t="s">
        <v>3802</v>
      </c>
      <c r="M459" s="2" t="s">
        <v>305</v>
      </c>
      <c r="N459" s="2" t="s">
        <v>3803</v>
      </c>
      <c r="O459" s="2"/>
      <c r="P459" s="2" t="s">
        <v>37</v>
      </c>
      <c r="Q459" s="4" t="n">
        <v>8731</v>
      </c>
      <c r="R459" s="2" t="s">
        <v>136</v>
      </c>
      <c r="S459" s="2" t="s">
        <v>39</v>
      </c>
      <c r="T459" s="2" t="s">
        <v>40</v>
      </c>
      <c r="U459" s="2" t="s">
        <v>3804</v>
      </c>
      <c r="V459" s="2"/>
      <c r="W459" s="2" t="s">
        <v>42</v>
      </c>
      <c r="X459" s="2" t="s">
        <v>43</v>
      </c>
      <c r="Y459" s="2" t="s">
        <v>37</v>
      </c>
      <c r="Z459" s="2" t="s">
        <v>44</v>
      </c>
      <c r="AA459" s="2"/>
      <c r="AB459" s="2"/>
      <c r="AC459" s="2" t="s">
        <v>3805</v>
      </c>
      <c r="AD459" s="2" t="s">
        <v>46</v>
      </c>
    </row>
    <row r="460" customFormat="false" ht="15.7" hidden="false" customHeight="true" outlineLevel="0" collapsed="false">
      <c r="A460" s="2"/>
      <c r="B460" s="3" t="n">
        <f aca="false">DATE(2007,1,23)</f>
        <v>0</v>
      </c>
      <c r="C460" s="3" t="n">
        <v>39105</v>
      </c>
      <c r="D460" s="2" t="s">
        <v>3806</v>
      </c>
      <c r="F460" s="2" t="s">
        <v>1501</v>
      </c>
      <c r="G460" s="2" t="s">
        <v>3807</v>
      </c>
      <c r="H460" s="2" t="s">
        <v>170</v>
      </c>
      <c r="I460" s="2" t="s">
        <v>724</v>
      </c>
      <c r="J460" s="2" t="s">
        <v>514</v>
      </c>
      <c r="K460" s="2" t="s">
        <v>3806</v>
      </c>
      <c r="L460" s="2" t="s">
        <v>724</v>
      </c>
      <c r="M460" s="2" t="s">
        <v>170</v>
      </c>
      <c r="N460" s="2" t="s">
        <v>3808</v>
      </c>
      <c r="O460" s="2"/>
      <c r="P460" s="2" t="s">
        <v>37</v>
      </c>
      <c r="Q460" s="4" t="n">
        <v>8731</v>
      </c>
      <c r="R460" s="2" t="s">
        <v>136</v>
      </c>
      <c r="S460" s="2" t="s">
        <v>39</v>
      </c>
      <c r="T460" s="2" t="s">
        <v>40</v>
      </c>
      <c r="U460" s="2" t="s">
        <v>3809</v>
      </c>
      <c r="V460" s="2"/>
      <c r="W460" s="2" t="s">
        <v>42</v>
      </c>
      <c r="X460" s="2" t="s">
        <v>43</v>
      </c>
      <c r="Y460" s="2" t="s">
        <v>37</v>
      </c>
      <c r="Z460" s="2" t="s">
        <v>44</v>
      </c>
      <c r="AA460" s="2"/>
      <c r="AB460" s="2"/>
      <c r="AC460" s="2" t="s">
        <v>3810</v>
      </c>
      <c r="AD460" s="2" t="s">
        <v>46</v>
      </c>
    </row>
    <row r="461" customFormat="false" ht="15.7" hidden="false" customHeight="true" outlineLevel="0" collapsed="false">
      <c r="A461" s="2"/>
      <c r="B461" s="3" t="n">
        <f aca="false">DATE(2007,1,23)</f>
        <v>0</v>
      </c>
      <c r="C461" s="3" t="n">
        <v>39105</v>
      </c>
      <c r="D461" s="2" t="s">
        <v>3811</v>
      </c>
      <c r="F461" s="2" t="s">
        <v>3812</v>
      </c>
      <c r="G461" s="2" t="s">
        <v>3813</v>
      </c>
      <c r="H461" s="2" t="s">
        <v>3814</v>
      </c>
      <c r="I461" s="2" t="s">
        <v>51</v>
      </c>
      <c r="J461" s="2" t="s">
        <v>378</v>
      </c>
      <c r="K461" s="2" t="s">
        <v>3811</v>
      </c>
      <c r="L461" s="2" t="s">
        <v>51</v>
      </c>
      <c r="M461" s="2" t="s">
        <v>3814</v>
      </c>
      <c r="N461" s="2" t="s">
        <v>3815</v>
      </c>
      <c r="O461" s="2"/>
      <c r="P461" s="2" t="s">
        <v>37</v>
      </c>
      <c r="Q461" s="4" t="n">
        <v>8731</v>
      </c>
      <c r="R461" s="2" t="s">
        <v>56</v>
      </c>
      <c r="S461" s="2" t="s">
        <v>380</v>
      </c>
      <c r="T461" s="2" t="s">
        <v>403</v>
      </c>
      <c r="U461" s="2" t="s">
        <v>3816</v>
      </c>
      <c r="V461" s="2"/>
      <c r="W461" s="2" t="s">
        <v>42</v>
      </c>
      <c r="X461" s="2" t="s">
        <v>46</v>
      </c>
      <c r="Y461" s="2" t="s">
        <v>37</v>
      </c>
      <c r="Z461" s="2" t="s">
        <v>362</v>
      </c>
      <c r="AA461" s="2"/>
      <c r="AB461" s="2"/>
      <c r="AC461" s="2" t="s">
        <v>3817</v>
      </c>
      <c r="AD461" s="2" t="s">
        <v>46</v>
      </c>
    </row>
    <row r="462" customFormat="false" ht="15.7" hidden="false" customHeight="true" outlineLevel="0" collapsed="false">
      <c r="A462" s="2"/>
      <c r="B462" s="3" t="n">
        <f aca="false">DATE(2007,1,23)</f>
        <v>0</v>
      </c>
      <c r="C462" s="3" t="n">
        <v>39105</v>
      </c>
      <c r="D462" s="2" t="s">
        <v>3818</v>
      </c>
      <c r="F462" s="2" t="s">
        <v>3819</v>
      </c>
      <c r="G462" s="2" t="s">
        <v>3820</v>
      </c>
      <c r="H462" s="2" t="s">
        <v>1020</v>
      </c>
      <c r="I462" s="2" t="s">
        <v>3821</v>
      </c>
      <c r="J462" s="2" t="s">
        <v>35</v>
      </c>
      <c r="K462" s="2" t="s">
        <v>3822</v>
      </c>
      <c r="L462" s="2" t="s">
        <v>3821</v>
      </c>
      <c r="M462" s="2" t="s">
        <v>3823</v>
      </c>
      <c r="N462" s="2" t="s">
        <v>3824</v>
      </c>
      <c r="O462" s="2"/>
      <c r="P462" s="2" t="s">
        <v>37</v>
      </c>
      <c r="Q462" s="4" t="n">
        <v>8731</v>
      </c>
      <c r="R462" s="2" t="s">
        <v>3825</v>
      </c>
      <c r="S462" s="2" t="s">
        <v>39</v>
      </c>
      <c r="T462" s="2" t="s">
        <v>40</v>
      </c>
      <c r="U462" s="2" t="s">
        <v>3826</v>
      </c>
      <c r="V462" s="2"/>
      <c r="W462" s="2" t="s">
        <v>42</v>
      </c>
      <c r="X462" s="2" t="s">
        <v>43</v>
      </c>
      <c r="Y462" s="2" t="s">
        <v>37</v>
      </c>
      <c r="Z462" s="2" t="s">
        <v>44</v>
      </c>
      <c r="AA462" s="2"/>
      <c r="AB462" s="2"/>
      <c r="AC462" s="2" t="s">
        <v>3827</v>
      </c>
      <c r="AD462" s="2" t="s">
        <v>46</v>
      </c>
    </row>
    <row r="463" customFormat="false" ht="15.7" hidden="false" customHeight="true" outlineLevel="0" collapsed="false">
      <c r="A463" s="2"/>
      <c r="B463" s="3" t="n">
        <f aca="false">DATE(2007,1,24)</f>
        <v>0</v>
      </c>
      <c r="C463" s="3" t="n">
        <v>39106</v>
      </c>
      <c r="D463" s="2" t="s">
        <v>3828</v>
      </c>
      <c r="F463" s="2" t="s">
        <v>3829</v>
      </c>
      <c r="G463" s="2" t="s">
        <v>3830</v>
      </c>
      <c r="H463" s="2" t="s">
        <v>3831</v>
      </c>
      <c r="I463" s="2" t="s">
        <v>34</v>
      </c>
      <c r="J463" s="2" t="s">
        <v>35</v>
      </c>
      <c r="K463" s="2" t="s">
        <v>3828</v>
      </c>
      <c r="L463" s="2" t="s">
        <v>34</v>
      </c>
      <c r="M463" s="2" t="s">
        <v>3831</v>
      </c>
      <c r="N463" s="2" t="s">
        <v>3832</v>
      </c>
      <c r="O463" s="2"/>
      <c r="P463" s="2" t="s">
        <v>79</v>
      </c>
      <c r="Q463" s="4" t="n">
        <v>6794</v>
      </c>
      <c r="R463" s="2" t="s">
        <v>136</v>
      </c>
      <c r="S463" s="2" t="s">
        <v>39</v>
      </c>
      <c r="T463" s="2" t="s">
        <v>40</v>
      </c>
      <c r="U463" s="2" t="s">
        <v>3833</v>
      </c>
      <c r="V463" s="2"/>
      <c r="W463" s="2" t="s">
        <v>82</v>
      </c>
      <c r="X463" s="2" t="s">
        <v>43</v>
      </c>
      <c r="Y463" s="2" t="s">
        <v>37</v>
      </c>
      <c r="Z463" s="2" t="s">
        <v>44</v>
      </c>
      <c r="AA463" s="2"/>
      <c r="AB463" s="2"/>
      <c r="AC463" s="2" t="s">
        <v>3834</v>
      </c>
      <c r="AD463" s="2" t="s">
        <v>46</v>
      </c>
    </row>
    <row r="464" customFormat="false" ht="15.7" hidden="false" customHeight="true" outlineLevel="0" collapsed="false">
      <c r="A464" s="2"/>
      <c r="B464" s="3" t="n">
        <f aca="false">DATE(2007,1,24)</f>
        <v>0</v>
      </c>
      <c r="C464" s="3" t="n">
        <v>39106</v>
      </c>
      <c r="D464" s="2" t="s">
        <v>3835</v>
      </c>
      <c r="F464" s="2" t="s">
        <v>3836</v>
      </c>
      <c r="G464" s="2" t="s">
        <v>3837</v>
      </c>
      <c r="H464" s="2" t="s">
        <v>1020</v>
      </c>
      <c r="I464" s="2" t="s">
        <v>51</v>
      </c>
      <c r="J464" s="2" t="s">
        <v>3838</v>
      </c>
      <c r="K464" s="2" t="s">
        <v>3839</v>
      </c>
      <c r="L464" s="2" t="s">
        <v>51</v>
      </c>
      <c r="M464" s="2" t="s">
        <v>3840</v>
      </c>
      <c r="N464" s="2" t="s">
        <v>3841</v>
      </c>
      <c r="O464" s="2"/>
      <c r="P464" s="2" t="s">
        <v>37</v>
      </c>
      <c r="Q464" s="4" t="n">
        <v>8731</v>
      </c>
      <c r="R464" s="2" t="s">
        <v>56</v>
      </c>
      <c r="S464" s="2" t="s">
        <v>788</v>
      </c>
      <c r="T464" s="2" t="s">
        <v>40</v>
      </c>
      <c r="U464" s="2" t="s">
        <v>3842</v>
      </c>
      <c r="V464" s="2"/>
      <c r="W464" s="2" t="s">
        <v>42</v>
      </c>
      <c r="X464" s="2" t="s">
        <v>43</v>
      </c>
      <c r="Y464" s="2" t="s">
        <v>37</v>
      </c>
      <c r="Z464" s="2" t="s">
        <v>44</v>
      </c>
      <c r="AA464" s="2"/>
      <c r="AB464" s="2"/>
      <c r="AC464" s="2" t="s">
        <v>3843</v>
      </c>
      <c r="AD464" s="2" t="s">
        <v>46</v>
      </c>
    </row>
    <row r="465" customFormat="false" ht="15.7" hidden="false" customHeight="true" outlineLevel="0" collapsed="false">
      <c r="A465" s="2"/>
      <c r="B465" s="3" t="n">
        <f aca="false">DATE(2007,1,24)</f>
        <v>0</v>
      </c>
      <c r="C465" s="3" t="n">
        <v>39106</v>
      </c>
      <c r="D465" s="2" t="s">
        <v>3844</v>
      </c>
      <c r="F465" s="2" t="s">
        <v>3845</v>
      </c>
      <c r="G465" s="2" t="s">
        <v>3846</v>
      </c>
      <c r="H465" s="2" t="s">
        <v>130</v>
      </c>
      <c r="I465" s="2" t="s">
        <v>3847</v>
      </c>
      <c r="J465" s="2" t="s">
        <v>35</v>
      </c>
      <c r="K465" s="2" t="s">
        <v>3844</v>
      </c>
      <c r="L465" s="2" t="s">
        <v>3847</v>
      </c>
      <c r="M465" s="2" t="s">
        <v>130</v>
      </c>
      <c r="N465" s="2" t="s">
        <v>3848</v>
      </c>
      <c r="O465" s="2"/>
      <c r="P465" s="2" t="s">
        <v>79</v>
      </c>
      <c r="Q465" s="4" t="n">
        <v>6794</v>
      </c>
      <c r="R465" s="2" t="s">
        <v>136</v>
      </c>
      <c r="S465" s="2" t="s">
        <v>39</v>
      </c>
      <c r="T465" s="2" t="s">
        <v>40</v>
      </c>
      <c r="U465" s="2" t="s">
        <v>3849</v>
      </c>
      <c r="V465" s="2"/>
      <c r="W465" s="2" t="s">
        <v>82</v>
      </c>
      <c r="X465" s="2" t="s">
        <v>43</v>
      </c>
      <c r="Y465" s="2" t="s">
        <v>37</v>
      </c>
      <c r="Z465" s="2" t="s">
        <v>44</v>
      </c>
      <c r="AA465" s="2"/>
      <c r="AB465" s="2"/>
      <c r="AC465" s="2" t="s">
        <v>3850</v>
      </c>
      <c r="AD465" s="2" t="s">
        <v>46</v>
      </c>
    </row>
    <row r="466" customFormat="false" ht="15.7" hidden="false" customHeight="true" outlineLevel="0" collapsed="false">
      <c r="A466" s="2"/>
      <c r="B466" s="3" t="n">
        <f aca="false">DATE(2007,1,25)</f>
        <v>0</v>
      </c>
      <c r="C466" s="3" t="n">
        <v>39107</v>
      </c>
      <c r="D466" s="2" t="s">
        <v>3851</v>
      </c>
      <c r="F466" s="2" t="s">
        <v>3852</v>
      </c>
      <c r="G466" s="2" t="s">
        <v>3853</v>
      </c>
      <c r="H466" s="2" t="s">
        <v>63</v>
      </c>
      <c r="I466" s="2" t="s">
        <v>51</v>
      </c>
      <c r="J466" s="2" t="s">
        <v>3854</v>
      </c>
      <c r="K466" s="2" t="s">
        <v>3851</v>
      </c>
      <c r="L466" s="2" t="s">
        <v>51</v>
      </c>
      <c r="M466" s="2" t="s">
        <v>63</v>
      </c>
      <c r="N466" s="2" t="s">
        <v>3855</v>
      </c>
      <c r="O466" s="2"/>
      <c r="P466" s="2" t="s">
        <v>37</v>
      </c>
      <c r="Q466" s="4" t="n">
        <v>8731</v>
      </c>
      <c r="R466" s="2" t="s">
        <v>56</v>
      </c>
      <c r="S466" s="2" t="s">
        <v>507</v>
      </c>
      <c r="T466" s="2" t="s">
        <v>40</v>
      </c>
      <c r="U466" s="2" t="s">
        <v>3856</v>
      </c>
      <c r="V466" s="2"/>
      <c r="W466" s="2" t="s">
        <v>42</v>
      </c>
      <c r="X466" s="2" t="s">
        <v>43</v>
      </c>
      <c r="Y466" s="2" t="s">
        <v>37</v>
      </c>
      <c r="Z466" s="2" t="s">
        <v>44</v>
      </c>
      <c r="AA466" s="2"/>
      <c r="AB466" s="2"/>
      <c r="AC466" s="2" t="s">
        <v>3857</v>
      </c>
      <c r="AD466" s="2" t="s">
        <v>46</v>
      </c>
    </row>
    <row r="467" customFormat="false" ht="15.7" hidden="false" customHeight="true" outlineLevel="0" collapsed="false">
      <c r="A467" s="2"/>
      <c r="B467" s="3" t="n">
        <f aca="false">DATE(2007,1,25)</f>
        <v>0</v>
      </c>
      <c r="C467" s="3" t="n">
        <v>39107</v>
      </c>
      <c r="D467" s="2" t="s">
        <v>3858</v>
      </c>
      <c r="F467" s="2" t="s">
        <v>3859</v>
      </c>
      <c r="G467" s="2" t="s">
        <v>3860</v>
      </c>
      <c r="H467" s="2" t="s">
        <v>762</v>
      </c>
      <c r="I467" s="2" t="s">
        <v>51</v>
      </c>
      <c r="J467" s="2" t="s">
        <v>378</v>
      </c>
      <c r="K467" s="2" t="s">
        <v>3861</v>
      </c>
      <c r="L467" s="2" t="s">
        <v>51</v>
      </c>
      <c r="M467" s="2" t="s">
        <v>387</v>
      </c>
      <c r="N467" s="2" t="s">
        <v>3862</v>
      </c>
      <c r="O467" s="2"/>
      <c r="P467" s="2" t="s">
        <v>79</v>
      </c>
      <c r="Q467" s="4" t="n">
        <v>6794</v>
      </c>
      <c r="R467" s="2" t="s">
        <v>56</v>
      </c>
      <c r="S467" s="2" t="s">
        <v>380</v>
      </c>
      <c r="T467" s="2" t="s">
        <v>40</v>
      </c>
      <c r="U467" s="2" t="s">
        <v>3863</v>
      </c>
      <c r="V467" s="2"/>
      <c r="W467" s="2" t="s">
        <v>233</v>
      </c>
      <c r="X467" s="2" t="s">
        <v>43</v>
      </c>
      <c r="Y467" s="2" t="s">
        <v>37</v>
      </c>
      <c r="Z467" s="2" t="s">
        <v>44</v>
      </c>
      <c r="AA467" s="2"/>
      <c r="AB467" s="2"/>
      <c r="AC467" s="2" t="s">
        <v>3864</v>
      </c>
      <c r="AD467" s="2" t="s">
        <v>46</v>
      </c>
    </row>
    <row r="468" customFormat="false" ht="15.7" hidden="false" customHeight="true" outlineLevel="0" collapsed="false">
      <c r="A468" s="2"/>
      <c r="B468" s="3" t="n">
        <f aca="false">DATE(2007,1,29)</f>
        <v>0</v>
      </c>
      <c r="C468" s="3" t="n">
        <v>39111</v>
      </c>
      <c r="D468" s="2" t="s">
        <v>3865</v>
      </c>
      <c r="F468" s="2" t="s">
        <v>3866</v>
      </c>
      <c r="G468" s="2" t="s">
        <v>3867</v>
      </c>
      <c r="H468" s="2" t="s">
        <v>3868</v>
      </c>
      <c r="I468" s="2" t="s">
        <v>965</v>
      </c>
      <c r="J468" s="2" t="s">
        <v>228</v>
      </c>
      <c r="K468" s="2" t="s">
        <v>3869</v>
      </c>
      <c r="L468" s="2" t="s">
        <v>965</v>
      </c>
      <c r="M468" s="2" t="s">
        <v>523</v>
      </c>
      <c r="N468" s="2" t="s">
        <v>3870</v>
      </c>
      <c r="O468" s="2"/>
      <c r="P468" s="2" t="s">
        <v>37</v>
      </c>
      <c r="Q468" s="2" t="s">
        <v>3871</v>
      </c>
      <c r="R468" s="2" t="s">
        <v>136</v>
      </c>
      <c r="S468" s="2" t="s">
        <v>39</v>
      </c>
      <c r="T468" s="2" t="s">
        <v>40</v>
      </c>
      <c r="U468" s="2" t="s">
        <v>3872</v>
      </c>
      <c r="V468" s="2"/>
      <c r="W468" s="2" t="s">
        <v>42</v>
      </c>
      <c r="X468" s="2" t="s">
        <v>43</v>
      </c>
      <c r="Y468" s="2" t="s">
        <v>37</v>
      </c>
      <c r="Z468" s="2" t="s">
        <v>44</v>
      </c>
      <c r="AA468" s="2"/>
      <c r="AB468" s="2"/>
      <c r="AC468" s="2" t="s">
        <v>3873</v>
      </c>
      <c r="AD468" s="2" t="s">
        <v>46</v>
      </c>
    </row>
    <row r="469" customFormat="false" ht="15.7" hidden="false" customHeight="true" outlineLevel="0" collapsed="false">
      <c r="A469" s="2"/>
      <c r="B469" s="3" t="n">
        <f aca="false">DATE(2007,1,30)</f>
        <v>0</v>
      </c>
      <c r="C469" s="3" t="n">
        <v>39112</v>
      </c>
      <c r="D469" s="2" t="s">
        <v>3874</v>
      </c>
      <c r="F469" s="2" t="s">
        <v>767</v>
      </c>
      <c r="G469" s="2" t="s">
        <v>3875</v>
      </c>
      <c r="H469" s="2" t="s">
        <v>63</v>
      </c>
      <c r="I469" s="2" t="s">
        <v>51</v>
      </c>
      <c r="J469" s="2" t="s">
        <v>2338</v>
      </c>
      <c r="K469" s="2" t="s">
        <v>3874</v>
      </c>
      <c r="L469" s="2" t="s">
        <v>51</v>
      </c>
      <c r="M469" s="2" t="s">
        <v>63</v>
      </c>
      <c r="N469" s="2" t="s">
        <v>3876</v>
      </c>
      <c r="O469" s="2" t="s">
        <v>3877</v>
      </c>
      <c r="P469" s="2" t="s">
        <v>37</v>
      </c>
      <c r="Q469" s="4" t="n">
        <v>8731</v>
      </c>
      <c r="R469" s="2" t="s">
        <v>56</v>
      </c>
      <c r="S469" s="2" t="s">
        <v>507</v>
      </c>
      <c r="T469" s="2" t="s">
        <v>40</v>
      </c>
      <c r="U469" s="2" t="s">
        <v>3878</v>
      </c>
      <c r="V469" s="2"/>
      <c r="W469" s="2" t="s">
        <v>42</v>
      </c>
      <c r="X469" s="2" t="s">
        <v>46</v>
      </c>
      <c r="Y469" s="2" t="s">
        <v>37</v>
      </c>
      <c r="Z469" s="2" t="s">
        <v>362</v>
      </c>
      <c r="AA469" s="2"/>
      <c r="AB469" s="2" t="s">
        <v>3879</v>
      </c>
      <c r="AC469" s="2" t="s">
        <v>3880</v>
      </c>
      <c r="AD469" s="2" t="s">
        <v>46</v>
      </c>
    </row>
    <row r="470" customFormat="false" ht="15.7" hidden="false" customHeight="true" outlineLevel="0" collapsed="false">
      <c r="A470" s="2"/>
      <c r="B470" s="3" t="n">
        <f aca="false">DATE(2007,1,30)</f>
        <v>0</v>
      </c>
      <c r="C470" s="3" t="n">
        <v>39112</v>
      </c>
      <c r="D470" s="2" t="s">
        <v>3881</v>
      </c>
      <c r="F470" s="2" t="s">
        <v>3882</v>
      </c>
      <c r="G470" s="2" t="s">
        <v>3883</v>
      </c>
      <c r="H470" s="2" t="s">
        <v>3884</v>
      </c>
      <c r="I470" s="2" t="s">
        <v>3885</v>
      </c>
      <c r="J470" s="2" t="s">
        <v>35</v>
      </c>
      <c r="K470" s="2" t="s">
        <v>3881</v>
      </c>
      <c r="L470" s="2" t="s">
        <v>3885</v>
      </c>
      <c r="M470" s="2" t="s">
        <v>3884</v>
      </c>
      <c r="N470" s="2" t="s">
        <v>3886</v>
      </c>
      <c r="O470" s="2"/>
      <c r="P470" s="2" t="s">
        <v>37</v>
      </c>
      <c r="Q470" s="4" t="n">
        <v>8731</v>
      </c>
      <c r="R470" s="2" t="s">
        <v>136</v>
      </c>
      <c r="S470" s="2" t="s">
        <v>39</v>
      </c>
      <c r="T470" s="2" t="s">
        <v>40</v>
      </c>
      <c r="U470" s="2" t="s">
        <v>3887</v>
      </c>
      <c r="V470" s="2"/>
      <c r="W470" s="2" t="s">
        <v>138</v>
      </c>
      <c r="X470" s="2" t="s">
        <v>43</v>
      </c>
      <c r="Y470" s="2" t="s">
        <v>37</v>
      </c>
      <c r="Z470" s="2" t="s">
        <v>44</v>
      </c>
      <c r="AA470" s="2"/>
      <c r="AB470" s="2"/>
      <c r="AC470" s="2" t="s">
        <v>3888</v>
      </c>
      <c r="AD470" s="2" t="s">
        <v>46</v>
      </c>
    </row>
    <row r="471" customFormat="false" ht="15.7" hidden="false" customHeight="true" outlineLevel="0" collapsed="false">
      <c r="A471" s="2"/>
      <c r="B471" s="3" t="n">
        <f aca="false">DATE(2007,1,30)</f>
        <v>0</v>
      </c>
      <c r="C471" s="3" t="n">
        <v>39112</v>
      </c>
      <c r="D471" s="2" t="s">
        <v>3889</v>
      </c>
      <c r="F471" s="2" t="s">
        <v>3890</v>
      </c>
      <c r="G471" s="2" t="s">
        <v>3891</v>
      </c>
      <c r="H471" s="2" t="s">
        <v>1636</v>
      </c>
      <c r="I471" s="2" t="s">
        <v>369</v>
      </c>
      <c r="J471" s="2" t="s">
        <v>35</v>
      </c>
      <c r="K471" s="2" t="s">
        <v>3889</v>
      </c>
      <c r="L471" s="2" t="s">
        <v>369</v>
      </c>
      <c r="M471" s="2" t="s">
        <v>1636</v>
      </c>
      <c r="N471" s="2" t="s">
        <v>3892</v>
      </c>
      <c r="O471" s="2"/>
      <c r="P471" s="2" t="s">
        <v>37</v>
      </c>
      <c r="Q471" s="4" t="n">
        <v>8731</v>
      </c>
      <c r="R471" s="2" t="s">
        <v>105</v>
      </c>
      <c r="S471" s="2" t="s">
        <v>39</v>
      </c>
      <c r="T471" s="2" t="s">
        <v>40</v>
      </c>
      <c r="U471" s="2" t="s">
        <v>3893</v>
      </c>
      <c r="V471" s="2"/>
      <c r="W471" s="2" t="s">
        <v>42</v>
      </c>
      <c r="X471" s="2" t="s">
        <v>43</v>
      </c>
      <c r="Y471" s="2" t="s">
        <v>37</v>
      </c>
      <c r="Z471" s="2" t="s">
        <v>44</v>
      </c>
      <c r="AA471" s="2"/>
      <c r="AB471" s="2"/>
      <c r="AC471" s="2" t="s">
        <v>3894</v>
      </c>
      <c r="AD471" s="2" t="s">
        <v>46</v>
      </c>
    </row>
    <row r="472" customFormat="false" ht="15.7" hidden="false" customHeight="true" outlineLevel="0" collapsed="false">
      <c r="A472" s="2"/>
      <c r="B472" s="3" t="n">
        <f aca="false">DATE(2007,1,30)</f>
        <v>0</v>
      </c>
      <c r="C472" s="3" t="n">
        <v>39112</v>
      </c>
      <c r="D472" s="2" t="s">
        <v>3895</v>
      </c>
      <c r="F472" s="2" t="s">
        <v>3896</v>
      </c>
      <c r="G472" s="2" t="s">
        <v>3897</v>
      </c>
      <c r="H472" s="2" t="s">
        <v>3898</v>
      </c>
      <c r="I472" s="2" t="s">
        <v>202</v>
      </c>
      <c r="J472" s="2" t="s">
        <v>1983</v>
      </c>
      <c r="K472" s="2" t="s">
        <v>3895</v>
      </c>
      <c r="L472" s="2" t="s">
        <v>202</v>
      </c>
      <c r="M472" s="2" t="s">
        <v>3898</v>
      </c>
      <c r="N472" s="2" t="s">
        <v>3899</v>
      </c>
      <c r="O472" s="2"/>
      <c r="P472" s="2" t="s">
        <v>37</v>
      </c>
      <c r="Q472" s="4" t="n">
        <v>8731</v>
      </c>
      <c r="R472" s="2" t="s">
        <v>136</v>
      </c>
      <c r="S472" s="2" t="s">
        <v>39</v>
      </c>
      <c r="T472" s="2" t="s">
        <v>40</v>
      </c>
      <c r="U472" s="2" t="s">
        <v>3900</v>
      </c>
      <c r="V472" s="2"/>
      <c r="W472" s="2" t="s">
        <v>42</v>
      </c>
      <c r="X472" s="2" t="s">
        <v>43</v>
      </c>
      <c r="Y472" s="2" t="s">
        <v>37</v>
      </c>
      <c r="Z472" s="2" t="s">
        <v>44</v>
      </c>
      <c r="AA472" s="2"/>
      <c r="AB472" s="2"/>
      <c r="AC472" s="2" t="s">
        <v>3901</v>
      </c>
      <c r="AD472" s="2" t="s">
        <v>46</v>
      </c>
    </row>
    <row r="473" customFormat="false" ht="15.7" hidden="false" customHeight="true" outlineLevel="0" collapsed="false">
      <c r="A473" s="2"/>
      <c r="B473" s="3" t="n">
        <f aca="false">DATE(2007,1,31)</f>
        <v>0</v>
      </c>
      <c r="C473" s="3" t="n">
        <v>39113</v>
      </c>
      <c r="D473" s="2" t="s">
        <v>3902</v>
      </c>
      <c r="F473" s="2" t="s">
        <v>3903</v>
      </c>
      <c r="G473" s="2" t="s">
        <v>3904</v>
      </c>
      <c r="H473" s="2" t="s">
        <v>3905</v>
      </c>
      <c r="I473" s="2" t="s">
        <v>1904</v>
      </c>
      <c r="J473" s="2" t="s">
        <v>3906</v>
      </c>
      <c r="K473" s="2" t="s">
        <v>3902</v>
      </c>
      <c r="L473" s="2" t="s">
        <v>1904</v>
      </c>
      <c r="M473" s="2" t="s">
        <v>3905</v>
      </c>
      <c r="N473" s="2" t="s">
        <v>3907</v>
      </c>
      <c r="O473" s="2"/>
      <c r="P473" s="2" t="s">
        <v>37</v>
      </c>
      <c r="Q473" s="4" t="n">
        <v>8732</v>
      </c>
      <c r="R473" s="2" t="s">
        <v>450</v>
      </c>
      <c r="S473" s="2" t="s">
        <v>39</v>
      </c>
      <c r="T473" s="2" t="s">
        <v>403</v>
      </c>
      <c r="U473" s="2" t="s">
        <v>3908</v>
      </c>
      <c r="V473" s="2"/>
      <c r="W473" s="2" t="s">
        <v>42</v>
      </c>
      <c r="X473" s="2" t="s">
        <v>43</v>
      </c>
      <c r="Y473" s="2" t="s">
        <v>37</v>
      </c>
      <c r="Z473" s="2" t="s">
        <v>44</v>
      </c>
      <c r="AA473" s="2"/>
      <c r="AB473" s="2"/>
      <c r="AC473" s="2" t="s">
        <v>3909</v>
      </c>
      <c r="AD473" s="2" t="s">
        <v>46</v>
      </c>
    </row>
    <row r="474" customFormat="false" ht="15.7" hidden="false" customHeight="true" outlineLevel="0" collapsed="false">
      <c r="A474" s="2"/>
      <c r="B474" s="3" t="n">
        <f aca="false">DATE(2007,1,31)</f>
        <v>0</v>
      </c>
      <c r="C474" s="3" t="n">
        <v>39113</v>
      </c>
      <c r="D474" s="2" t="s">
        <v>3910</v>
      </c>
      <c r="F474" s="2" t="s">
        <v>3911</v>
      </c>
      <c r="G474" s="2" t="s">
        <v>3912</v>
      </c>
      <c r="H474" s="2" t="s">
        <v>3913</v>
      </c>
      <c r="I474" s="2" t="s">
        <v>3265</v>
      </c>
      <c r="J474" s="2" t="s">
        <v>795</v>
      </c>
      <c r="K474" s="2" t="s">
        <v>3914</v>
      </c>
      <c r="L474" s="2" t="s">
        <v>3265</v>
      </c>
      <c r="M474" s="2" t="s">
        <v>3915</v>
      </c>
      <c r="N474" s="2" t="s">
        <v>3916</v>
      </c>
      <c r="O474" s="2"/>
      <c r="P474" s="2" t="s">
        <v>37</v>
      </c>
      <c r="Q474" s="4" t="n">
        <v>8731</v>
      </c>
      <c r="R474" s="2" t="s">
        <v>136</v>
      </c>
      <c r="S474" s="2" t="s">
        <v>39</v>
      </c>
      <c r="T474" s="2" t="s">
        <v>403</v>
      </c>
      <c r="U474" s="2" t="s">
        <v>3917</v>
      </c>
      <c r="V474" s="2"/>
      <c r="W474" s="2" t="s">
        <v>42</v>
      </c>
      <c r="X474" s="2" t="s">
        <v>43</v>
      </c>
      <c r="Y474" s="2" t="s">
        <v>37</v>
      </c>
      <c r="Z474" s="2" t="s">
        <v>44</v>
      </c>
      <c r="AA474" s="2"/>
      <c r="AB474" s="2"/>
      <c r="AC474" s="2" t="s">
        <v>3918</v>
      </c>
      <c r="AD474" s="2" t="s">
        <v>46</v>
      </c>
    </row>
    <row r="475" customFormat="false" ht="15.7" hidden="false" customHeight="true" outlineLevel="0" collapsed="false">
      <c r="A475" s="2"/>
      <c r="B475" s="3" t="n">
        <f aca="false">DATE(2007,1,31)</f>
        <v>0</v>
      </c>
      <c r="C475" s="3" t="n">
        <v>39113</v>
      </c>
      <c r="D475" s="2" t="s">
        <v>3919</v>
      </c>
      <c r="F475" s="2" t="s">
        <v>3920</v>
      </c>
      <c r="G475" s="2" t="s">
        <v>3921</v>
      </c>
      <c r="H475" s="2" t="s">
        <v>3922</v>
      </c>
      <c r="I475" s="2" t="s">
        <v>3923</v>
      </c>
      <c r="J475" s="2" t="s">
        <v>35</v>
      </c>
      <c r="K475" s="2" t="s">
        <v>3924</v>
      </c>
      <c r="L475" s="2" t="s">
        <v>3923</v>
      </c>
      <c r="M475" s="2" t="s">
        <v>3925</v>
      </c>
      <c r="N475" s="2" t="s">
        <v>3926</v>
      </c>
      <c r="O475" s="2"/>
      <c r="P475" s="2" t="s">
        <v>37</v>
      </c>
      <c r="Q475" s="4" t="n">
        <v>8731</v>
      </c>
      <c r="R475" s="2" t="s">
        <v>136</v>
      </c>
      <c r="S475" s="2" t="s">
        <v>39</v>
      </c>
      <c r="T475" s="2" t="s">
        <v>40</v>
      </c>
      <c r="U475" s="2" t="s">
        <v>3927</v>
      </c>
      <c r="V475" s="2"/>
      <c r="W475" s="2" t="s">
        <v>42</v>
      </c>
      <c r="X475" s="2" t="s">
        <v>43</v>
      </c>
      <c r="Y475" s="2" t="s">
        <v>37</v>
      </c>
      <c r="Z475" s="2" t="s">
        <v>44</v>
      </c>
      <c r="AA475" s="2"/>
      <c r="AB475" s="2"/>
      <c r="AC475" s="2" t="s">
        <v>3928</v>
      </c>
      <c r="AD475" s="2" t="s">
        <v>46</v>
      </c>
    </row>
    <row r="476" customFormat="false" ht="15.7" hidden="false" customHeight="true" outlineLevel="0" collapsed="false">
      <c r="A476" s="2"/>
      <c r="B476" s="3" t="n">
        <f aca="false">DATE(2007,1,31)</f>
        <v>0</v>
      </c>
      <c r="C476" s="3" t="n">
        <v>39113</v>
      </c>
      <c r="D476" s="2" t="s">
        <v>3929</v>
      </c>
      <c r="F476" s="2" t="s">
        <v>3930</v>
      </c>
      <c r="G476" s="2" t="s">
        <v>3931</v>
      </c>
      <c r="H476" s="2" t="s">
        <v>63</v>
      </c>
      <c r="I476" s="2" t="s">
        <v>51</v>
      </c>
      <c r="J476" s="2" t="s">
        <v>1834</v>
      </c>
      <c r="K476" s="2" t="s">
        <v>3929</v>
      </c>
      <c r="L476" s="2" t="s">
        <v>51</v>
      </c>
      <c r="M476" s="2" t="s">
        <v>63</v>
      </c>
      <c r="N476" s="2" t="s">
        <v>3932</v>
      </c>
      <c r="O476" s="2"/>
      <c r="P476" s="2" t="s">
        <v>37</v>
      </c>
      <c r="Q476" s="4" t="n">
        <v>8731</v>
      </c>
      <c r="R476" s="2" t="s">
        <v>56</v>
      </c>
      <c r="S476" s="2" t="s">
        <v>92</v>
      </c>
      <c r="T476" s="2" t="s">
        <v>40</v>
      </c>
      <c r="U476" s="2" t="s">
        <v>3933</v>
      </c>
      <c r="V476" s="2"/>
      <c r="W476" s="2" t="s">
        <v>42</v>
      </c>
      <c r="X476" s="2" t="s">
        <v>43</v>
      </c>
      <c r="Y476" s="2" t="s">
        <v>37</v>
      </c>
      <c r="Z476" s="2" t="s">
        <v>44</v>
      </c>
      <c r="AA476" s="2"/>
      <c r="AB476" s="2"/>
      <c r="AC476" s="2" t="s">
        <v>3934</v>
      </c>
      <c r="AD476" s="2" t="s">
        <v>46</v>
      </c>
    </row>
    <row r="477" customFormat="false" ht="15.7" hidden="false" customHeight="true" outlineLevel="0" collapsed="false">
      <c r="A477" s="2"/>
      <c r="B477" s="3" t="n">
        <f aca="false">DATE(2007,1,31)</f>
        <v>0</v>
      </c>
      <c r="C477" s="3" t="n">
        <v>39113</v>
      </c>
      <c r="D477" s="2" t="s">
        <v>3935</v>
      </c>
      <c r="F477" s="2" t="s">
        <v>3936</v>
      </c>
      <c r="G477" s="2" t="s">
        <v>3937</v>
      </c>
      <c r="H477" s="2" t="s">
        <v>130</v>
      </c>
      <c r="I477" s="2" t="s">
        <v>330</v>
      </c>
      <c r="J477" s="2" t="s">
        <v>966</v>
      </c>
      <c r="K477" s="2" t="s">
        <v>3935</v>
      </c>
      <c r="L477" s="2" t="s">
        <v>330</v>
      </c>
      <c r="M477" s="2" t="s">
        <v>130</v>
      </c>
      <c r="N477" s="2" t="s">
        <v>3938</v>
      </c>
      <c r="O477" s="2"/>
      <c r="P477" s="2" t="s">
        <v>79</v>
      </c>
      <c r="Q477" s="4" t="n">
        <v>6794</v>
      </c>
      <c r="R477" s="2" t="s">
        <v>136</v>
      </c>
      <c r="S477" s="2" t="s">
        <v>39</v>
      </c>
      <c r="T477" s="2" t="s">
        <v>40</v>
      </c>
      <c r="U477" s="2" t="s">
        <v>3939</v>
      </c>
      <c r="V477" s="2"/>
      <c r="W477" s="2" t="s">
        <v>253</v>
      </c>
      <c r="X477" s="2" t="s">
        <v>43</v>
      </c>
      <c r="Y477" s="2" t="s">
        <v>37</v>
      </c>
      <c r="Z477" s="2" t="s">
        <v>44</v>
      </c>
      <c r="AA477" s="2" t="s">
        <v>3940</v>
      </c>
      <c r="AB477" s="2"/>
      <c r="AC477" s="2" t="s">
        <v>3941</v>
      </c>
      <c r="AD477" s="2" t="s">
        <v>46</v>
      </c>
    </row>
    <row r="478" customFormat="false" ht="15.7" hidden="false" customHeight="true" outlineLevel="0" collapsed="false">
      <c r="A478" s="2"/>
      <c r="B478" s="3" t="n">
        <f aca="false">DATE(2007,1,31)</f>
        <v>0</v>
      </c>
      <c r="C478" s="3" t="n">
        <v>39113</v>
      </c>
      <c r="D478" s="2" t="s">
        <v>3942</v>
      </c>
      <c r="F478" s="2" t="s">
        <v>3943</v>
      </c>
      <c r="G478" s="2" t="s">
        <v>3944</v>
      </c>
      <c r="H478" s="2" t="s">
        <v>3945</v>
      </c>
      <c r="I478" s="2" t="s">
        <v>664</v>
      </c>
      <c r="J478" s="2" t="s">
        <v>795</v>
      </c>
      <c r="K478" s="2" t="s">
        <v>3946</v>
      </c>
      <c r="L478" s="2" t="s">
        <v>664</v>
      </c>
      <c r="M478" s="2" t="s">
        <v>3945</v>
      </c>
      <c r="N478" s="2" t="s">
        <v>3947</v>
      </c>
      <c r="O478" s="2"/>
      <c r="P478" s="2" t="s">
        <v>37</v>
      </c>
      <c r="Q478" s="4" t="n">
        <v>8732</v>
      </c>
      <c r="R478" s="2" t="s">
        <v>136</v>
      </c>
      <c r="S478" s="2" t="s">
        <v>39</v>
      </c>
      <c r="T478" s="2" t="s">
        <v>673</v>
      </c>
      <c r="U478" s="2" t="s">
        <v>3948</v>
      </c>
      <c r="V478" s="2"/>
      <c r="W478" s="2" t="s">
        <v>3949</v>
      </c>
      <c r="X478" s="2" t="s">
        <v>43</v>
      </c>
      <c r="Y478" s="2" t="s">
        <v>37</v>
      </c>
      <c r="Z478" s="2" t="s">
        <v>44</v>
      </c>
      <c r="AA478" s="2"/>
      <c r="AB478" s="2"/>
      <c r="AC478" s="2" t="s">
        <v>3950</v>
      </c>
      <c r="AD478" s="2" t="s">
        <v>46</v>
      </c>
    </row>
    <row r="479" customFormat="false" ht="15.7" hidden="false" customHeight="true" outlineLevel="0" collapsed="false">
      <c r="A479" s="2"/>
      <c r="B479" s="3" t="n">
        <f aca="false">DATE(2007,2,1)</f>
        <v>0</v>
      </c>
      <c r="C479" s="3" t="n">
        <v>39114</v>
      </c>
      <c r="D479" s="2" t="s">
        <v>3951</v>
      </c>
      <c r="F479" s="2" t="s">
        <v>3952</v>
      </c>
      <c r="G479" s="2" t="s">
        <v>3953</v>
      </c>
      <c r="H479" s="2" t="s">
        <v>3954</v>
      </c>
      <c r="I479" s="2" t="s">
        <v>154</v>
      </c>
      <c r="J479" s="2" t="s">
        <v>203</v>
      </c>
      <c r="K479" s="2" t="s">
        <v>3955</v>
      </c>
      <c r="L479" s="2" t="s">
        <v>51</v>
      </c>
      <c r="M479" s="2" t="s">
        <v>3954</v>
      </c>
      <c r="N479" s="2" t="s">
        <v>3956</v>
      </c>
      <c r="O479" s="2"/>
      <c r="P479" s="2" t="s">
        <v>79</v>
      </c>
      <c r="Q479" s="4" t="n">
        <v>8732</v>
      </c>
      <c r="R479" s="2" t="s">
        <v>56</v>
      </c>
      <c r="S479" s="2" t="s">
        <v>507</v>
      </c>
      <c r="T479" s="2" t="s">
        <v>403</v>
      </c>
      <c r="U479" s="2" t="s">
        <v>3957</v>
      </c>
      <c r="V479" s="2"/>
      <c r="W479" s="2" t="s">
        <v>3958</v>
      </c>
      <c r="X479" s="2" t="s">
        <v>46</v>
      </c>
      <c r="Y479" s="2" t="s">
        <v>37</v>
      </c>
      <c r="Z479" s="2" t="s">
        <v>362</v>
      </c>
      <c r="AA479" s="2"/>
      <c r="AB479" s="2"/>
      <c r="AC479" s="2" t="s">
        <v>3959</v>
      </c>
      <c r="AD479" s="2" t="s">
        <v>46</v>
      </c>
    </row>
    <row r="480" customFormat="false" ht="15.7" hidden="false" customHeight="true" outlineLevel="0" collapsed="false">
      <c r="A480" s="2"/>
      <c r="B480" s="3" t="n">
        <f aca="false">DATE(2007,2,1)</f>
        <v>0</v>
      </c>
      <c r="C480" s="3" t="n">
        <v>39114</v>
      </c>
      <c r="D480" s="2" t="s">
        <v>3960</v>
      </c>
      <c r="F480" s="2" t="s">
        <v>3961</v>
      </c>
      <c r="G480" s="2" t="s">
        <v>3962</v>
      </c>
      <c r="H480" s="2" t="s">
        <v>3752</v>
      </c>
      <c r="I480" s="2" t="s">
        <v>369</v>
      </c>
      <c r="J480" s="2" t="s">
        <v>35</v>
      </c>
      <c r="K480" s="2" t="s">
        <v>3963</v>
      </c>
      <c r="L480" s="2" t="s">
        <v>131</v>
      </c>
      <c r="M480" s="2" t="s">
        <v>305</v>
      </c>
      <c r="N480" s="2" t="s">
        <v>3964</v>
      </c>
      <c r="O480" s="2"/>
      <c r="P480" s="2" t="s">
        <v>37</v>
      </c>
      <c r="Q480" s="4" t="n">
        <v>8731</v>
      </c>
      <c r="R480" s="2" t="s">
        <v>105</v>
      </c>
      <c r="S480" s="2" t="s">
        <v>39</v>
      </c>
      <c r="T480" s="2" t="s">
        <v>40</v>
      </c>
      <c r="U480" s="2" t="s">
        <v>3965</v>
      </c>
      <c r="V480" s="2"/>
      <c r="W480" s="2" t="s">
        <v>42</v>
      </c>
      <c r="X480" s="2" t="s">
        <v>43</v>
      </c>
      <c r="Y480" s="2" t="s">
        <v>37</v>
      </c>
      <c r="Z480" s="2" t="s">
        <v>44</v>
      </c>
      <c r="AA480" s="2"/>
      <c r="AB480" s="2"/>
      <c r="AC480" s="2" t="s">
        <v>3966</v>
      </c>
      <c r="AD480" s="2" t="s">
        <v>46</v>
      </c>
    </row>
    <row r="481" customFormat="false" ht="15.7" hidden="false" customHeight="true" outlineLevel="0" collapsed="false">
      <c r="A481" s="2"/>
      <c r="B481" s="3" t="n">
        <f aca="false">DATE(2007,2,1)</f>
        <v>0</v>
      </c>
      <c r="C481" s="3" t="n">
        <v>39114</v>
      </c>
      <c r="D481" s="2" t="s">
        <v>3967</v>
      </c>
      <c r="F481" s="2" t="s">
        <v>408</v>
      </c>
      <c r="G481" s="2" t="s">
        <v>3968</v>
      </c>
      <c r="H481" s="2" t="s">
        <v>170</v>
      </c>
      <c r="I481" s="2" t="s">
        <v>51</v>
      </c>
      <c r="J481" s="2" t="s">
        <v>3969</v>
      </c>
      <c r="K481" s="2" t="s">
        <v>3970</v>
      </c>
      <c r="L481" s="2" t="s">
        <v>51</v>
      </c>
      <c r="M481" s="2" t="s">
        <v>170</v>
      </c>
      <c r="N481" s="2" t="s">
        <v>3971</v>
      </c>
      <c r="O481" s="2"/>
      <c r="P481" s="2" t="s">
        <v>79</v>
      </c>
      <c r="Q481" s="4" t="n">
        <v>6794</v>
      </c>
      <c r="R481" s="2" t="s">
        <v>56</v>
      </c>
      <c r="S481" s="2" t="s">
        <v>977</v>
      </c>
      <c r="T481" s="2" t="s">
        <v>40</v>
      </c>
      <c r="U481" s="2" t="s">
        <v>3972</v>
      </c>
      <c r="V481" s="2"/>
      <c r="W481" s="2" t="s">
        <v>82</v>
      </c>
      <c r="X481" s="2" t="s">
        <v>43</v>
      </c>
      <c r="Y481" s="2" t="s">
        <v>37</v>
      </c>
      <c r="Z481" s="2" t="s">
        <v>44</v>
      </c>
      <c r="AA481" s="2"/>
      <c r="AB481" s="2"/>
      <c r="AC481" s="2" t="s">
        <v>3973</v>
      </c>
      <c r="AD481" s="2" t="s">
        <v>46</v>
      </c>
    </row>
    <row r="482" customFormat="false" ht="15.7" hidden="false" customHeight="true" outlineLevel="0" collapsed="false">
      <c r="A482" s="2"/>
      <c r="B482" s="3" t="n">
        <f aca="false">DATE(2007,2,2)</f>
        <v>0</v>
      </c>
      <c r="C482" s="3" t="n">
        <v>39115</v>
      </c>
      <c r="D482" s="2" t="s">
        <v>3974</v>
      </c>
      <c r="F482" s="2" t="s">
        <v>3975</v>
      </c>
      <c r="G482" s="2" t="s">
        <v>3976</v>
      </c>
      <c r="H482" s="2" t="s">
        <v>130</v>
      </c>
      <c r="I482" s="2" t="s">
        <v>51</v>
      </c>
      <c r="J482" s="2" t="s">
        <v>1834</v>
      </c>
      <c r="K482" s="2" t="s">
        <v>3974</v>
      </c>
      <c r="L482" s="2" t="s">
        <v>51</v>
      </c>
      <c r="M482" s="2" t="s">
        <v>130</v>
      </c>
      <c r="N482" s="2" t="s">
        <v>3977</v>
      </c>
      <c r="O482" s="2"/>
      <c r="P482" s="2" t="s">
        <v>79</v>
      </c>
      <c r="Q482" s="4" t="n">
        <v>6794</v>
      </c>
      <c r="R482" s="2" t="s">
        <v>136</v>
      </c>
      <c r="S482" s="2" t="s">
        <v>39</v>
      </c>
      <c r="T482" s="2" t="s">
        <v>40</v>
      </c>
      <c r="U482" s="2" t="s">
        <v>3978</v>
      </c>
      <c r="V482" s="2"/>
      <c r="W482" s="2" t="s">
        <v>3979</v>
      </c>
      <c r="X482" s="2" t="s">
        <v>43</v>
      </c>
      <c r="Y482" s="2" t="s">
        <v>37</v>
      </c>
      <c r="Z482" s="2" t="s">
        <v>44</v>
      </c>
      <c r="AA482" s="2" t="s">
        <v>3980</v>
      </c>
      <c r="AB482" s="2"/>
      <c r="AC482" s="2" t="s">
        <v>3981</v>
      </c>
      <c r="AD482" s="2" t="s">
        <v>46</v>
      </c>
    </row>
    <row r="483" customFormat="false" ht="15.7" hidden="false" customHeight="true" outlineLevel="0" collapsed="false">
      <c r="A483" s="2"/>
      <c r="B483" s="3" t="n">
        <f aca="false">DATE(2007,2,2)</f>
        <v>0</v>
      </c>
      <c r="C483" s="3" t="n">
        <v>39115</v>
      </c>
      <c r="D483" s="2" t="s">
        <v>3982</v>
      </c>
      <c r="F483" s="2" t="s">
        <v>3983</v>
      </c>
      <c r="G483" s="2" t="s">
        <v>3984</v>
      </c>
      <c r="H483" s="2" t="s">
        <v>130</v>
      </c>
      <c r="I483" s="2" t="s">
        <v>34</v>
      </c>
      <c r="J483" s="2" t="s">
        <v>35</v>
      </c>
      <c r="K483" s="2" t="s">
        <v>3985</v>
      </c>
      <c r="L483" s="2" t="s">
        <v>664</v>
      </c>
      <c r="M483" s="2" t="s">
        <v>130</v>
      </c>
      <c r="N483" s="2" t="s">
        <v>3986</v>
      </c>
      <c r="O483" s="2"/>
      <c r="P483" s="2" t="s">
        <v>37</v>
      </c>
      <c r="Q483" s="4" t="n">
        <v>8731</v>
      </c>
      <c r="R483" s="2" t="s">
        <v>38</v>
      </c>
      <c r="S483" s="2" t="s">
        <v>39</v>
      </c>
      <c r="T483" s="2" t="s">
        <v>40</v>
      </c>
      <c r="U483" s="2" t="s">
        <v>3987</v>
      </c>
      <c r="V483" s="2"/>
      <c r="W483" s="2" t="s">
        <v>773</v>
      </c>
      <c r="X483" s="2" t="s">
        <v>43</v>
      </c>
      <c r="Y483" s="2" t="s">
        <v>37</v>
      </c>
      <c r="Z483" s="2" t="s">
        <v>44</v>
      </c>
      <c r="AA483" s="2"/>
      <c r="AB483" s="2"/>
      <c r="AC483" s="2" t="s">
        <v>3988</v>
      </c>
      <c r="AD483" s="2" t="s">
        <v>46</v>
      </c>
    </row>
    <row r="484" customFormat="false" ht="15.7" hidden="false" customHeight="true" outlineLevel="0" collapsed="false">
      <c r="A484" s="2"/>
      <c r="B484" s="3" t="n">
        <f aca="false">DATE(2007,2,5)</f>
        <v>0</v>
      </c>
      <c r="C484" s="3" t="n">
        <v>39118</v>
      </c>
      <c r="D484" s="2" t="s">
        <v>3989</v>
      </c>
      <c r="F484" s="2" t="s">
        <v>256</v>
      </c>
      <c r="G484" s="2" t="s">
        <v>3990</v>
      </c>
      <c r="H484" s="2" t="s">
        <v>170</v>
      </c>
      <c r="I484" s="2" t="s">
        <v>51</v>
      </c>
      <c r="J484" s="2" t="s">
        <v>3991</v>
      </c>
      <c r="K484" s="2" t="s">
        <v>3992</v>
      </c>
      <c r="L484" s="2" t="s">
        <v>51</v>
      </c>
      <c r="M484" s="2" t="s">
        <v>1770</v>
      </c>
      <c r="N484" s="2" t="s">
        <v>3993</v>
      </c>
      <c r="O484" s="2"/>
      <c r="P484" s="2" t="s">
        <v>37</v>
      </c>
      <c r="Q484" s="4" t="n">
        <v>8731</v>
      </c>
      <c r="R484" s="2" t="s">
        <v>56</v>
      </c>
      <c r="S484" s="2" t="s">
        <v>315</v>
      </c>
      <c r="T484" s="2" t="s">
        <v>40</v>
      </c>
      <c r="U484" s="2" t="s">
        <v>3994</v>
      </c>
      <c r="V484" s="2"/>
      <c r="W484" s="2" t="s">
        <v>42</v>
      </c>
      <c r="X484" s="2" t="s">
        <v>43</v>
      </c>
      <c r="Y484" s="2" t="s">
        <v>37</v>
      </c>
      <c r="Z484" s="2" t="s">
        <v>44</v>
      </c>
      <c r="AA484" s="2"/>
      <c r="AB484" s="2"/>
      <c r="AC484" s="2" t="s">
        <v>3995</v>
      </c>
      <c r="AD484" s="2" t="s">
        <v>46</v>
      </c>
    </row>
    <row r="485" customFormat="false" ht="15.7" hidden="false" customHeight="true" outlineLevel="0" collapsed="false">
      <c r="A485" s="2"/>
      <c r="B485" s="3" t="n">
        <f aca="false">DATE(2007,2,5)</f>
        <v>0</v>
      </c>
      <c r="C485" s="3" t="n">
        <v>39118</v>
      </c>
      <c r="D485" s="2" t="s">
        <v>3996</v>
      </c>
      <c r="F485" s="2" t="s">
        <v>3997</v>
      </c>
      <c r="G485" s="2" t="s">
        <v>3998</v>
      </c>
      <c r="H485" s="2" t="s">
        <v>305</v>
      </c>
      <c r="I485" s="2" t="s">
        <v>51</v>
      </c>
      <c r="J485" s="2" t="s">
        <v>3999</v>
      </c>
      <c r="K485" s="2" t="s">
        <v>4000</v>
      </c>
      <c r="L485" s="2" t="s">
        <v>51</v>
      </c>
      <c r="M485" s="2" t="s">
        <v>305</v>
      </c>
      <c r="N485" s="2" t="s">
        <v>4001</v>
      </c>
      <c r="O485" s="2"/>
      <c r="P485" s="2" t="s">
        <v>37</v>
      </c>
      <c r="Q485" s="4" t="n">
        <v>8731</v>
      </c>
      <c r="R485" s="2" t="s">
        <v>56</v>
      </c>
      <c r="S485" s="2" t="s">
        <v>57</v>
      </c>
      <c r="T485" s="2" t="s">
        <v>40</v>
      </c>
      <c r="U485" s="2" t="s">
        <v>4002</v>
      </c>
      <c r="V485" s="2"/>
      <c r="W485" s="2" t="s">
        <v>2209</v>
      </c>
      <c r="X485" s="2" t="s">
        <v>43</v>
      </c>
      <c r="Y485" s="2" t="s">
        <v>37</v>
      </c>
      <c r="Z485" s="2" t="s">
        <v>44</v>
      </c>
      <c r="AA485" s="2"/>
      <c r="AB485" s="2"/>
      <c r="AC485" s="2" t="s">
        <v>4003</v>
      </c>
      <c r="AD485" s="2" t="s">
        <v>46</v>
      </c>
    </row>
    <row r="486" customFormat="false" ht="15.7" hidden="false" customHeight="true" outlineLevel="0" collapsed="false">
      <c r="A486" s="2"/>
      <c r="B486" s="3" t="n">
        <f aca="false">DATE(2007,2,5)</f>
        <v>0</v>
      </c>
      <c r="C486" s="3" t="n">
        <v>39118</v>
      </c>
      <c r="D486" s="2" t="s">
        <v>4004</v>
      </c>
      <c r="F486" s="2" t="s">
        <v>4005</v>
      </c>
      <c r="G486" s="2" t="s">
        <v>4006</v>
      </c>
      <c r="H486" s="2" t="s">
        <v>63</v>
      </c>
      <c r="I486" s="2" t="s">
        <v>1412</v>
      </c>
      <c r="J486" s="2" t="s">
        <v>65</v>
      </c>
      <c r="K486" s="2" t="s">
        <v>4007</v>
      </c>
      <c r="L486" s="2" t="s">
        <v>4008</v>
      </c>
      <c r="M486" s="2" t="s">
        <v>130</v>
      </c>
      <c r="N486" s="2" t="s">
        <v>4009</v>
      </c>
      <c r="O486" s="2"/>
      <c r="P486" s="2" t="s">
        <v>79</v>
      </c>
      <c r="Q486" s="4" t="n">
        <v>6794</v>
      </c>
      <c r="R486" s="2" t="s">
        <v>136</v>
      </c>
      <c r="S486" s="2" t="s">
        <v>39</v>
      </c>
      <c r="T486" s="2" t="s">
        <v>40</v>
      </c>
      <c r="U486" s="2" t="s">
        <v>4010</v>
      </c>
      <c r="V486" s="2"/>
      <c r="W486" s="2" t="s">
        <v>82</v>
      </c>
      <c r="X486" s="2" t="s">
        <v>43</v>
      </c>
      <c r="Y486" s="2" t="s">
        <v>37</v>
      </c>
      <c r="Z486" s="2" t="s">
        <v>44</v>
      </c>
      <c r="AA486" s="2"/>
      <c r="AB486" s="2"/>
      <c r="AC486" s="2" t="s">
        <v>4011</v>
      </c>
      <c r="AD486" s="2" t="s">
        <v>46</v>
      </c>
    </row>
    <row r="487" customFormat="false" ht="15.7" hidden="false" customHeight="true" outlineLevel="0" collapsed="false">
      <c r="A487" s="2"/>
      <c r="B487" s="3" t="n">
        <f aca="false">DATE(2007,2,5)</f>
        <v>0</v>
      </c>
      <c r="C487" s="3" t="n">
        <v>39118</v>
      </c>
      <c r="D487" s="2" t="s">
        <v>4012</v>
      </c>
      <c r="F487" s="2" t="s">
        <v>4013</v>
      </c>
      <c r="G487" s="2" t="s">
        <v>4014</v>
      </c>
      <c r="H487" s="2" t="s">
        <v>130</v>
      </c>
      <c r="I487" s="2" t="s">
        <v>568</v>
      </c>
      <c r="J487" s="2" t="s">
        <v>155</v>
      </c>
      <c r="K487" s="2" t="s">
        <v>4015</v>
      </c>
      <c r="L487" s="2" t="s">
        <v>568</v>
      </c>
      <c r="M487" s="2" t="s">
        <v>130</v>
      </c>
      <c r="N487" s="2" t="s">
        <v>4016</v>
      </c>
      <c r="O487" s="2"/>
      <c r="P487" s="2" t="s">
        <v>37</v>
      </c>
      <c r="Q487" s="4" t="n">
        <v>8731</v>
      </c>
      <c r="R487" s="2" t="s">
        <v>136</v>
      </c>
      <c r="S487" s="2" t="s">
        <v>39</v>
      </c>
      <c r="T487" s="2" t="s">
        <v>40</v>
      </c>
      <c r="U487" s="2" t="s">
        <v>4017</v>
      </c>
      <c r="V487" s="2"/>
      <c r="W487" s="2" t="s">
        <v>42</v>
      </c>
      <c r="X487" s="2" t="s">
        <v>43</v>
      </c>
      <c r="Y487" s="2" t="s">
        <v>37</v>
      </c>
      <c r="Z487" s="2" t="s">
        <v>44</v>
      </c>
      <c r="AA487" s="2"/>
      <c r="AB487" s="2"/>
      <c r="AC487" s="2" t="s">
        <v>4018</v>
      </c>
      <c r="AD487" s="2" t="s">
        <v>46</v>
      </c>
    </row>
    <row r="488" customFormat="false" ht="15.7" hidden="false" customHeight="true" outlineLevel="0" collapsed="false">
      <c r="A488" s="2"/>
      <c r="B488" s="3" t="n">
        <f aca="false">DATE(2007,2,5)</f>
        <v>0</v>
      </c>
      <c r="C488" s="3" t="n">
        <v>39118</v>
      </c>
      <c r="D488" s="2" t="s">
        <v>4019</v>
      </c>
      <c r="F488" s="2" t="s">
        <v>4020</v>
      </c>
      <c r="G488" s="2" t="s">
        <v>4021</v>
      </c>
      <c r="H488" s="2" t="s">
        <v>130</v>
      </c>
      <c r="I488" s="2" t="s">
        <v>388</v>
      </c>
      <c r="J488" s="2" t="s">
        <v>575</v>
      </c>
      <c r="K488" s="2" t="s">
        <v>4019</v>
      </c>
      <c r="L488" s="2" t="s">
        <v>388</v>
      </c>
      <c r="M488" s="2" t="s">
        <v>130</v>
      </c>
      <c r="N488" s="2" t="s">
        <v>4022</v>
      </c>
      <c r="O488" s="2"/>
      <c r="P488" s="2" t="s">
        <v>79</v>
      </c>
      <c r="Q488" s="4" t="n">
        <v>6794</v>
      </c>
      <c r="R488" s="2" t="s">
        <v>2201</v>
      </c>
      <c r="S488" s="2" t="s">
        <v>39</v>
      </c>
      <c r="T488" s="2" t="s">
        <v>403</v>
      </c>
      <c r="U488" s="2" t="s">
        <v>4023</v>
      </c>
      <c r="V488" s="2"/>
      <c r="W488" s="2" t="s">
        <v>82</v>
      </c>
      <c r="X488" s="2" t="s">
        <v>43</v>
      </c>
      <c r="Y488" s="2" t="s">
        <v>37</v>
      </c>
      <c r="Z488" s="2" t="s">
        <v>44</v>
      </c>
      <c r="AA488" s="2" t="s">
        <v>4024</v>
      </c>
      <c r="AB488" s="2"/>
      <c r="AC488" s="2" t="s">
        <v>4025</v>
      </c>
      <c r="AD488" s="2" t="s">
        <v>46</v>
      </c>
    </row>
    <row r="489" customFormat="false" ht="15.7" hidden="false" customHeight="true" outlineLevel="0" collapsed="false">
      <c r="A489" s="2"/>
      <c r="B489" s="3" t="n">
        <f aca="false">DATE(2007,2,6)</f>
        <v>0</v>
      </c>
      <c r="C489" s="3" t="n">
        <v>39119</v>
      </c>
      <c r="D489" s="2" t="s">
        <v>4026</v>
      </c>
      <c r="F489" s="2" t="s">
        <v>4027</v>
      </c>
      <c r="G489" s="2" t="s">
        <v>4028</v>
      </c>
      <c r="H489" s="2" t="s">
        <v>4029</v>
      </c>
      <c r="I489" s="2" t="s">
        <v>131</v>
      </c>
      <c r="J489" s="2" t="s">
        <v>4030</v>
      </c>
      <c r="K489" s="2" t="s">
        <v>4026</v>
      </c>
      <c r="L489" s="2" t="s">
        <v>131</v>
      </c>
      <c r="M489" s="2" t="s">
        <v>4029</v>
      </c>
      <c r="N489" s="2" t="s">
        <v>4031</v>
      </c>
      <c r="O489" s="2"/>
      <c r="P489" s="2" t="s">
        <v>37</v>
      </c>
      <c r="Q489" s="4" t="n">
        <v>3674</v>
      </c>
      <c r="R489" s="2" t="s">
        <v>136</v>
      </c>
      <c r="S489" s="2" t="s">
        <v>39</v>
      </c>
      <c r="T489" s="2" t="s">
        <v>40</v>
      </c>
      <c r="U489" s="2" t="s">
        <v>4032</v>
      </c>
      <c r="V489" s="2"/>
      <c r="W489" s="2" t="s">
        <v>107</v>
      </c>
      <c r="X489" s="2" t="s">
        <v>43</v>
      </c>
      <c r="Y489" s="2" t="s">
        <v>37</v>
      </c>
      <c r="Z489" s="2" t="s">
        <v>44</v>
      </c>
      <c r="AA489" s="2"/>
      <c r="AB489" s="2"/>
      <c r="AC489" s="2" t="s">
        <v>4033</v>
      </c>
      <c r="AD489" s="2" t="s">
        <v>46</v>
      </c>
    </row>
    <row r="490" customFormat="false" ht="15.7" hidden="false" customHeight="true" outlineLevel="0" collapsed="false">
      <c r="A490" s="2"/>
      <c r="B490" s="3" t="n">
        <f aca="false">DATE(2007,2,8)</f>
        <v>0</v>
      </c>
      <c r="C490" s="3" t="n">
        <v>39121</v>
      </c>
      <c r="D490" s="2" t="s">
        <v>4034</v>
      </c>
      <c r="F490" s="2" t="s">
        <v>4035</v>
      </c>
      <c r="G490" s="2" t="s">
        <v>4036</v>
      </c>
      <c r="H490" s="2" t="s">
        <v>2857</v>
      </c>
      <c r="I490" s="2" t="s">
        <v>4037</v>
      </c>
      <c r="J490" s="2" t="s">
        <v>65</v>
      </c>
      <c r="K490" s="2" t="s">
        <v>4034</v>
      </c>
      <c r="L490" s="2" t="s">
        <v>4037</v>
      </c>
      <c r="M490" s="2" t="s">
        <v>2857</v>
      </c>
      <c r="N490" s="2" t="s">
        <v>4038</v>
      </c>
      <c r="O490" s="2"/>
      <c r="P490" s="2" t="s">
        <v>37</v>
      </c>
      <c r="Q490" s="4" t="n">
        <v>8731</v>
      </c>
      <c r="R490" s="2" t="s">
        <v>136</v>
      </c>
      <c r="S490" s="2" t="s">
        <v>39</v>
      </c>
      <c r="T490" s="2" t="s">
        <v>40</v>
      </c>
      <c r="U490" s="2" t="s">
        <v>4039</v>
      </c>
      <c r="V490" s="2"/>
      <c r="W490" s="2" t="s">
        <v>42</v>
      </c>
      <c r="X490" s="2" t="s">
        <v>43</v>
      </c>
      <c r="Y490" s="2" t="s">
        <v>37</v>
      </c>
      <c r="Z490" s="2" t="s">
        <v>44</v>
      </c>
      <c r="AA490" s="2"/>
      <c r="AB490" s="2"/>
      <c r="AC490" s="2" t="s">
        <v>4040</v>
      </c>
      <c r="AD490" s="2" t="s">
        <v>46</v>
      </c>
    </row>
    <row r="491" customFormat="false" ht="15.7" hidden="false" customHeight="true" outlineLevel="0" collapsed="false">
      <c r="A491" s="2"/>
      <c r="B491" s="3" t="n">
        <f aca="false">DATE(2007,2,8)</f>
        <v>0</v>
      </c>
      <c r="C491" s="3" t="n">
        <v>39121</v>
      </c>
      <c r="D491" s="2" t="s">
        <v>4041</v>
      </c>
      <c r="F491" s="2" t="s">
        <v>4042</v>
      </c>
      <c r="G491" s="2" t="s">
        <v>4043</v>
      </c>
      <c r="H491" s="2" t="s">
        <v>4044</v>
      </c>
      <c r="I491" s="2" t="s">
        <v>4045</v>
      </c>
      <c r="J491" s="2" t="s">
        <v>4046</v>
      </c>
      <c r="K491" s="2" t="s">
        <v>4047</v>
      </c>
      <c r="L491" s="2" t="s">
        <v>4048</v>
      </c>
      <c r="M491" s="2" t="s">
        <v>4049</v>
      </c>
      <c r="N491" s="2" t="s">
        <v>4050</v>
      </c>
      <c r="O491" s="2"/>
      <c r="P491" s="2" t="s">
        <v>37</v>
      </c>
      <c r="Q491" s="4" t="n">
        <v>3663</v>
      </c>
      <c r="R491" s="2" t="s">
        <v>38</v>
      </c>
      <c r="S491" s="2" t="s">
        <v>39</v>
      </c>
      <c r="T491" s="2" t="s">
        <v>40</v>
      </c>
      <c r="U491" s="2" t="s">
        <v>4051</v>
      </c>
      <c r="V491" s="2"/>
      <c r="W491" s="2" t="s">
        <v>4052</v>
      </c>
      <c r="X491" s="2" t="s">
        <v>43</v>
      </c>
      <c r="Y491" s="2" t="s">
        <v>37</v>
      </c>
      <c r="Z491" s="2" t="s">
        <v>4053</v>
      </c>
      <c r="AA491" s="2"/>
      <c r="AB491" s="2"/>
      <c r="AC491" s="2" t="s">
        <v>4054</v>
      </c>
      <c r="AD491" s="2" t="s">
        <v>46</v>
      </c>
    </row>
    <row r="492" customFormat="false" ht="15.7" hidden="false" customHeight="true" outlineLevel="0" collapsed="false">
      <c r="A492" s="2"/>
      <c r="B492" s="3" t="n">
        <f aca="false">DATE(2007,2,12)</f>
        <v>0</v>
      </c>
      <c r="C492" s="3" t="n">
        <v>39125</v>
      </c>
      <c r="D492" s="2" t="s">
        <v>4055</v>
      </c>
      <c r="F492" s="2" t="s">
        <v>4056</v>
      </c>
      <c r="G492" s="2" t="s">
        <v>4057</v>
      </c>
      <c r="H492" s="2" t="s">
        <v>762</v>
      </c>
      <c r="I492" s="2" t="s">
        <v>51</v>
      </c>
      <c r="J492" s="2" t="s">
        <v>4058</v>
      </c>
      <c r="K492" s="2" t="s">
        <v>4055</v>
      </c>
      <c r="L492" s="2" t="s">
        <v>51</v>
      </c>
      <c r="M492" s="2" t="s">
        <v>762</v>
      </c>
      <c r="N492" s="2" t="s">
        <v>4059</v>
      </c>
      <c r="O492" s="2"/>
      <c r="P492" s="2" t="s">
        <v>37</v>
      </c>
      <c r="Q492" s="4" t="n">
        <v>8731</v>
      </c>
      <c r="R492" s="2" t="s">
        <v>56</v>
      </c>
      <c r="S492" s="2" t="s">
        <v>4060</v>
      </c>
      <c r="T492" s="2" t="s">
        <v>40</v>
      </c>
      <c r="U492" s="2" t="s">
        <v>4061</v>
      </c>
      <c r="V492" s="2"/>
      <c r="W492" s="2" t="s">
        <v>42</v>
      </c>
      <c r="X492" s="2" t="s">
        <v>43</v>
      </c>
      <c r="Y492" s="2" t="s">
        <v>37</v>
      </c>
      <c r="Z492" s="2" t="s">
        <v>44</v>
      </c>
      <c r="AA492" s="2"/>
      <c r="AB492" s="2"/>
      <c r="AC492" s="2" t="s">
        <v>4062</v>
      </c>
      <c r="AD492" s="2" t="s">
        <v>46</v>
      </c>
    </row>
    <row r="493" customFormat="false" ht="15.7" hidden="false" customHeight="true" outlineLevel="0" collapsed="false">
      <c r="A493" s="2"/>
      <c r="B493" s="3" t="n">
        <f aca="false">DATE(2007,2,13)</f>
        <v>0</v>
      </c>
      <c r="C493" s="3" t="n">
        <v>39126</v>
      </c>
      <c r="D493" s="2" t="s">
        <v>4063</v>
      </c>
      <c r="F493" s="2" t="s">
        <v>4064</v>
      </c>
      <c r="G493" s="2" t="s">
        <v>4065</v>
      </c>
      <c r="H493" s="2" t="s">
        <v>523</v>
      </c>
      <c r="I493" s="2" t="s">
        <v>51</v>
      </c>
      <c r="J493" s="2" t="s">
        <v>4066</v>
      </c>
      <c r="K493" s="2" t="s">
        <v>4063</v>
      </c>
      <c r="L493" s="2" t="s">
        <v>51</v>
      </c>
      <c r="M493" s="2" t="s">
        <v>523</v>
      </c>
      <c r="N493" s="2" t="s">
        <v>4067</v>
      </c>
      <c r="O493" s="2"/>
      <c r="P493" s="2" t="s">
        <v>79</v>
      </c>
      <c r="Q493" s="4" t="n">
        <v>6794</v>
      </c>
      <c r="R493" s="2" t="s">
        <v>136</v>
      </c>
      <c r="S493" s="2" t="s">
        <v>39</v>
      </c>
      <c r="T493" s="2" t="s">
        <v>40</v>
      </c>
      <c r="U493" s="2" t="s">
        <v>4068</v>
      </c>
      <c r="V493" s="2"/>
      <c r="W493" s="2" t="s">
        <v>253</v>
      </c>
      <c r="X493" s="2" t="s">
        <v>43</v>
      </c>
      <c r="Y493" s="2" t="s">
        <v>37</v>
      </c>
      <c r="Z493" s="2" t="s">
        <v>44</v>
      </c>
      <c r="AA493" s="2"/>
      <c r="AB493" s="2"/>
      <c r="AC493" s="2" t="s">
        <v>4069</v>
      </c>
      <c r="AD493" s="2" t="s">
        <v>46</v>
      </c>
    </row>
    <row r="494" customFormat="false" ht="15.7" hidden="false" customHeight="true" outlineLevel="0" collapsed="false">
      <c r="A494" s="2"/>
      <c r="B494" s="3" t="n">
        <f aca="false">DATE(2007,2,13)</f>
        <v>0</v>
      </c>
      <c r="C494" s="3" t="n">
        <v>39126</v>
      </c>
      <c r="D494" s="2" t="s">
        <v>4070</v>
      </c>
      <c r="F494" s="2" t="s">
        <v>4071</v>
      </c>
      <c r="G494" s="2" t="s">
        <v>4072</v>
      </c>
      <c r="H494" s="2" t="s">
        <v>1088</v>
      </c>
      <c r="I494" s="2" t="s">
        <v>51</v>
      </c>
      <c r="J494" s="2" t="s">
        <v>1834</v>
      </c>
      <c r="K494" s="2" t="s">
        <v>4073</v>
      </c>
      <c r="L494" s="2" t="s">
        <v>154</v>
      </c>
      <c r="M494" s="2" t="s">
        <v>4074</v>
      </c>
      <c r="N494" s="2" t="s">
        <v>4075</v>
      </c>
      <c r="O494" s="2"/>
      <c r="P494" s="2" t="s">
        <v>37</v>
      </c>
      <c r="Q494" s="4" t="n">
        <v>8731</v>
      </c>
      <c r="R494" s="2" t="s">
        <v>136</v>
      </c>
      <c r="S494" s="2" t="s">
        <v>39</v>
      </c>
      <c r="T494" s="2" t="s">
        <v>40</v>
      </c>
      <c r="U494" s="2" t="s">
        <v>4076</v>
      </c>
      <c r="V494" s="2"/>
      <c r="W494" s="2" t="s">
        <v>138</v>
      </c>
      <c r="X494" s="2" t="s">
        <v>43</v>
      </c>
      <c r="Y494" s="2" t="s">
        <v>37</v>
      </c>
      <c r="Z494" s="2" t="s">
        <v>44</v>
      </c>
      <c r="AA494" s="2" t="s">
        <v>4077</v>
      </c>
      <c r="AB494" s="2"/>
      <c r="AC494" s="2" t="s">
        <v>4078</v>
      </c>
      <c r="AD494" s="2" t="s">
        <v>46</v>
      </c>
    </row>
    <row r="495" customFormat="false" ht="15.7" hidden="false" customHeight="true" outlineLevel="0" collapsed="false">
      <c r="A495" s="2"/>
      <c r="B495" s="3" t="n">
        <f aca="false">DATE(2007,2,14)</f>
        <v>0</v>
      </c>
      <c r="C495" s="3" t="n">
        <v>39127</v>
      </c>
      <c r="D495" s="2" t="s">
        <v>4079</v>
      </c>
      <c r="F495" s="2" t="s">
        <v>4080</v>
      </c>
      <c r="G495" s="2" t="s">
        <v>4081</v>
      </c>
      <c r="H495" s="2" t="s">
        <v>63</v>
      </c>
      <c r="I495" s="2" t="s">
        <v>51</v>
      </c>
      <c r="J495" s="2" t="s">
        <v>1834</v>
      </c>
      <c r="K495" s="2" t="s">
        <v>4082</v>
      </c>
      <c r="L495" s="2" t="s">
        <v>100</v>
      </c>
      <c r="M495" s="2" t="s">
        <v>1181</v>
      </c>
      <c r="N495" s="2" t="s">
        <v>4083</v>
      </c>
      <c r="O495" s="2"/>
      <c r="P495" s="2" t="s">
        <v>37</v>
      </c>
      <c r="Q495" s="4" t="n">
        <v>8731</v>
      </c>
      <c r="R495" s="2" t="s">
        <v>56</v>
      </c>
      <c r="S495" s="2" t="s">
        <v>92</v>
      </c>
      <c r="T495" s="2" t="s">
        <v>40</v>
      </c>
      <c r="U495" s="2" t="s">
        <v>4084</v>
      </c>
      <c r="V495" s="2"/>
      <c r="W495" s="2" t="s">
        <v>42</v>
      </c>
      <c r="X495" s="2" t="s">
        <v>43</v>
      </c>
      <c r="Y495" s="2" t="s">
        <v>37</v>
      </c>
      <c r="Z495" s="2" t="s">
        <v>44</v>
      </c>
      <c r="AA495" s="2"/>
      <c r="AB495" s="2"/>
      <c r="AC495" s="2" t="s">
        <v>4085</v>
      </c>
      <c r="AD495" s="2" t="s">
        <v>46</v>
      </c>
    </row>
    <row r="496" customFormat="false" ht="15.7" hidden="false" customHeight="true" outlineLevel="0" collapsed="false">
      <c r="A496" s="2"/>
      <c r="B496" s="3" t="n">
        <f aca="false">DATE(2007,2,14)</f>
        <v>0</v>
      </c>
      <c r="C496" s="3" t="n">
        <v>39127</v>
      </c>
      <c r="D496" s="2" t="s">
        <v>4086</v>
      </c>
      <c r="F496" s="2" t="s">
        <v>4087</v>
      </c>
      <c r="G496" s="2" t="s">
        <v>4088</v>
      </c>
      <c r="H496" s="2" t="s">
        <v>130</v>
      </c>
      <c r="I496" s="2" t="s">
        <v>4089</v>
      </c>
      <c r="J496" s="2" t="s">
        <v>35</v>
      </c>
      <c r="K496" s="2" t="s">
        <v>4086</v>
      </c>
      <c r="L496" s="2" t="s">
        <v>4089</v>
      </c>
      <c r="M496" s="2" t="s">
        <v>130</v>
      </c>
      <c r="N496" s="2" t="s">
        <v>4090</v>
      </c>
      <c r="O496" s="2"/>
      <c r="P496" s="2" t="s">
        <v>79</v>
      </c>
      <c r="Q496" s="4" t="n">
        <v>6794</v>
      </c>
      <c r="R496" s="2" t="s">
        <v>56</v>
      </c>
      <c r="S496" s="2" t="s">
        <v>57</v>
      </c>
      <c r="T496" s="2" t="s">
        <v>40</v>
      </c>
      <c r="U496" s="2" t="s">
        <v>4091</v>
      </c>
      <c r="V496" s="2"/>
      <c r="W496" s="2" t="s">
        <v>253</v>
      </c>
      <c r="X496" s="2" t="s">
        <v>43</v>
      </c>
      <c r="Y496" s="2" t="s">
        <v>37</v>
      </c>
      <c r="Z496" s="2" t="s">
        <v>44</v>
      </c>
      <c r="AA496" s="2" t="s">
        <v>4092</v>
      </c>
      <c r="AB496" s="2"/>
      <c r="AC496" s="2" t="s">
        <v>4093</v>
      </c>
      <c r="AD496" s="2" t="s">
        <v>46</v>
      </c>
    </row>
    <row r="497" customFormat="false" ht="15.7" hidden="false" customHeight="true" outlineLevel="0" collapsed="false">
      <c r="A497" s="2"/>
      <c r="B497" s="3" t="n">
        <f aca="false">DATE(2007,2,14)</f>
        <v>0</v>
      </c>
      <c r="C497" s="3" t="n">
        <v>39127</v>
      </c>
      <c r="D497" s="2" t="s">
        <v>4094</v>
      </c>
      <c r="F497" s="2" t="s">
        <v>4095</v>
      </c>
      <c r="G497" s="2" t="s">
        <v>4096</v>
      </c>
      <c r="H497" s="2" t="s">
        <v>731</v>
      </c>
      <c r="I497" s="2" t="s">
        <v>51</v>
      </c>
      <c r="J497" s="2" t="s">
        <v>4097</v>
      </c>
      <c r="K497" s="2" t="s">
        <v>4098</v>
      </c>
      <c r="L497" s="2" t="s">
        <v>219</v>
      </c>
      <c r="M497" s="2" t="s">
        <v>1806</v>
      </c>
      <c r="N497" s="2" t="s">
        <v>4099</v>
      </c>
      <c r="O497" s="2"/>
      <c r="P497" s="2" t="s">
        <v>37</v>
      </c>
      <c r="Q497" s="4" t="n">
        <v>8731</v>
      </c>
      <c r="R497" s="2" t="s">
        <v>56</v>
      </c>
      <c r="S497" s="2" t="s">
        <v>2265</v>
      </c>
      <c r="T497" s="2" t="s">
        <v>403</v>
      </c>
      <c r="U497" s="2" t="s">
        <v>4100</v>
      </c>
      <c r="V497" s="2"/>
      <c r="W497" s="2" t="s">
        <v>4101</v>
      </c>
      <c r="X497" s="2" t="s">
        <v>43</v>
      </c>
      <c r="Y497" s="2" t="s">
        <v>37</v>
      </c>
      <c r="Z497" s="2" t="s">
        <v>44</v>
      </c>
      <c r="AA497" s="2"/>
      <c r="AB497" s="2"/>
      <c r="AC497" s="2" t="s">
        <v>4102</v>
      </c>
      <c r="AD497" s="2" t="s">
        <v>46</v>
      </c>
    </row>
    <row r="498" customFormat="false" ht="15.7" hidden="false" customHeight="true" outlineLevel="0" collapsed="false">
      <c r="A498" s="2"/>
      <c r="B498" s="3" t="n">
        <f aca="false">DATE(2007,2,15)</f>
        <v>0</v>
      </c>
      <c r="C498" s="3" t="n">
        <v>39128</v>
      </c>
      <c r="D498" s="2" t="s">
        <v>4103</v>
      </c>
      <c r="F498" s="2" t="s">
        <v>4104</v>
      </c>
      <c r="G498" s="2" t="s">
        <v>4105</v>
      </c>
      <c r="H498" s="2" t="s">
        <v>762</v>
      </c>
      <c r="I498" s="2" t="s">
        <v>1080</v>
      </c>
      <c r="J498" s="2" t="s">
        <v>35</v>
      </c>
      <c r="K498" s="2" t="s">
        <v>4106</v>
      </c>
      <c r="L498" s="2" t="s">
        <v>4107</v>
      </c>
      <c r="M498" s="2" t="s">
        <v>762</v>
      </c>
      <c r="N498" s="2" t="s">
        <v>4108</v>
      </c>
      <c r="O498" s="2"/>
      <c r="P498" s="2" t="s">
        <v>79</v>
      </c>
      <c r="Q498" s="4" t="n">
        <v>6794</v>
      </c>
      <c r="R498" s="2" t="s">
        <v>2201</v>
      </c>
      <c r="S498" s="2" t="s">
        <v>39</v>
      </c>
      <c r="T498" s="2" t="s">
        <v>40</v>
      </c>
      <c r="U498" s="2" t="s">
        <v>4109</v>
      </c>
      <c r="V498" s="2"/>
      <c r="W498" s="2" t="s">
        <v>82</v>
      </c>
      <c r="X498" s="2" t="s">
        <v>43</v>
      </c>
      <c r="Y498" s="2" t="s">
        <v>37</v>
      </c>
      <c r="Z498" s="2" t="s">
        <v>44</v>
      </c>
      <c r="AA498" s="2"/>
      <c r="AB498" s="2"/>
      <c r="AC498" s="2" t="s">
        <v>4110</v>
      </c>
      <c r="AD498" s="2" t="s">
        <v>46</v>
      </c>
    </row>
    <row r="499" customFormat="false" ht="15.7" hidden="false" customHeight="true" outlineLevel="0" collapsed="false">
      <c r="A499" s="2"/>
      <c r="B499" s="3" t="n">
        <f aca="false">DATE(2007,2,15)</f>
        <v>0</v>
      </c>
      <c r="C499" s="3" t="n">
        <v>39128</v>
      </c>
      <c r="D499" s="2" t="s">
        <v>4111</v>
      </c>
      <c r="F499" s="2" t="s">
        <v>4112</v>
      </c>
      <c r="G499" s="2" t="s">
        <v>4113</v>
      </c>
      <c r="H499" s="2" t="s">
        <v>4114</v>
      </c>
      <c r="I499" s="2" t="s">
        <v>51</v>
      </c>
      <c r="J499" s="2" t="s">
        <v>4115</v>
      </c>
      <c r="K499" s="2" t="s">
        <v>4111</v>
      </c>
      <c r="L499" s="2" t="s">
        <v>51</v>
      </c>
      <c r="M499" s="2" t="s">
        <v>4114</v>
      </c>
      <c r="N499" s="2" t="s">
        <v>4116</v>
      </c>
      <c r="O499" s="2"/>
      <c r="P499" s="2" t="s">
        <v>37</v>
      </c>
      <c r="Q499" s="4" t="n">
        <v>8731</v>
      </c>
      <c r="R499" s="2" t="s">
        <v>56</v>
      </c>
      <c r="S499" s="2" t="s">
        <v>92</v>
      </c>
      <c r="T499" s="2" t="s">
        <v>40</v>
      </c>
      <c r="U499" s="2" t="s">
        <v>4117</v>
      </c>
      <c r="V499" s="2"/>
      <c r="W499" s="2" t="s">
        <v>42</v>
      </c>
      <c r="X499" s="2" t="s">
        <v>43</v>
      </c>
      <c r="Y499" s="2" t="s">
        <v>37</v>
      </c>
      <c r="Z499" s="2" t="s">
        <v>44</v>
      </c>
      <c r="AA499" s="2"/>
      <c r="AB499" s="2"/>
      <c r="AC499" s="2" t="s">
        <v>4118</v>
      </c>
      <c r="AD499" s="2" t="s">
        <v>46</v>
      </c>
    </row>
    <row r="500" customFormat="false" ht="15.7" hidden="false" customHeight="true" outlineLevel="0" collapsed="false">
      <c r="A500" s="2"/>
      <c r="B500" s="3" t="n">
        <f aca="false">DATE(2007,2,16)</f>
        <v>0</v>
      </c>
      <c r="C500" s="3" t="n">
        <v>39129</v>
      </c>
      <c r="D500" s="2" t="s">
        <v>4119</v>
      </c>
      <c r="F500" s="2" t="s">
        <v>4120</v>
      </c>
      <c r="G500" s="2" t="s">
        <v>4121</v>
      </c>
      <c r="H500" s="2" t="s">
        <v>4122</v>
      </c>
      <c r="I500" s="2" t="s">
        <v>34</v>
      </c>
      <c r="J500" s="2" t="s">
        <v>35</v>
      </c>
      <c r="K500" s="2" t="s">
        <v>4123</v>
      </c>
      <c r="L500" s="2" t="s">
        <v>34</v>
      </c>
      <c r="M500" s="2" t="s">
        <v>4124</v>
      </c>
      <c r="N500" s="2" t="s">
        <v>4125</v>
      </c>
      <c r="O500" s="2"/>
      <c r="P500" s="2" t="s">
        <v>37</v>
      </c>
      <c r="Q500" s="4" t="n">
        <v>8731</v>
      </c>
      <c r="R500" s="2" t="s">
        <v>38</v>
      </c>
      <c r="S500" s="2" t="s">
        <v>39</v>
      </c>
      <c r="T500" s="2" t="s">
        <v>40</v>
      </c>
      <c r="U500" s="2" t="s">
        <v>4126</v>
      </c>
      <c r="V500" s="2"/>
      <c r="W500" s="2" t="s">
        <v>42</v>
      </c>
      <c r="X500" s="2" t="s">
        <v>43</v>
      </c>
      <c r="Y500" s="2" t="s">
        <v>37</v>
      </c>
      <c r="Z500" s="2" t="s">
        <v>44</v>
      </c>
      <c r="AA500" s="2"/>
      <c r="AB500" s="2"/>
      <c r="AC500" s="2" t="s">
        <v>4127</v>
      </c>
      <c r="AD500" s="2" t="s">
        <v>46</v>
      </c>
    </row>
    <row r="501" customFormat="false" ht="15.7" hidden="false" customHeight="true" outlineLevel="0" collapsed="false">
      <c r="A501" s="2"/>
      <c r="B501" s="3" t="n">
        <f aca="false">DATE(2007,2,20)</f>
        <v>0</v>
      </c>
      <c r="C501" s="3" t="n">
        <v>39133</v>
      </c>
      <c r="D501" s="2" t="s">
        <v>4128</v>
      </c>
      <c r="F501" s="2" t="s">
        <v>4129</v>
      </c>
      <c r="G501" s="2" t="s">
        <v>4130</v>
      </c>
      <c r="H501" s="2" t="s">
        <v>63</v>
      </c>
      <c r="I501" s="2" t="s">
        <v>330</v>
      </c>
      <c r="J501" s="2" t="s">
        <v>966</v>
      </c>
      <c r="K501" s="2" t="s">
        <v>4128</v>
      </c>
      <c r="L501" s="2" t="s">
        <v>330</v>
      </c>
      <c r="M501" s="2" t="s">
        <v>63</v>
      </c>
      <c r="N501" s="2" t="s">
        <v>4131</v>
      </c>
      <c r="O501" s="2"/>
      <c r="P501" s="2" t="s">
        <v>79</v>
      </c>
      <c r="Q501" s="4" t="n">
        <v>6794</v>
      </c>
      <c r="R501" s="2" t="s">
        <v>136</v>
      </c>
      <c r="S501" s="2" t="s">
        <v>39</v>
      </c>
      <c r="T501" s="2" t="s">
        <v>40</v>
      </c>
      <c r="U501" s="2" t="s">
        <v>4132</v>
      </c>
      <c r="V501" s="2"/>
      <c r="W501" s="2" t="s">
        <v>82</v>
      </c>
      <c r="X501" s="2" t="s">
        <v>43</v>
      </c>
      <c r="Y501" s="2" t="s">
        <v>37</v>
      </c>
      <c r="Z501" s="2" t="s">
        <v>44</v>
      </c>
      <c r="AA501" s="2"/>
      <c r="AB501" s="2"/>
      <c r="AC501" s="2" t="s">
        <v>4133</v>
      </c>
      <c r="AD501" s="2" t="s">
        <v>46</v>
      </c>
    </row>
    <row r="502" customFormat="false" ht="15.7" hidden="false" customHeight="true" outlineLevel="0" collapsed="false">
      <c r="A502" s="2"/>
      <c r="B502" s="3" t="n">
        <f aca="false">DATE(2007,2,20)</f>
        <v>0</v>
      </c>
      <c r="C502" s="3" t="n">
        <v>39133</v>
      </c>
      <c r="D502" s="2" t="s">
        <v>4134</v>
      </c>
      <c r="F502" s="2" t="s">
        <v>4135</v>
      </c>
      <c r="G502" s="2" t="s">
        <v>4136</v>
      </c>
      <c r="H502" s="2" t="s">
        <v>523</v>
      </c>
      <c r="I502" s="2" t="s">
        <v>131</v>
      </c>
      <c r="J502" s="2" t="s">
        <v>331</v>
      </c>
      <c r="K502" s="2" t="s">
        <v>4134</v>
      </c>
      <c r="L502" s="2" t="s">
        <v>131</v>
      </c>
      <c r="M502" s="2" t="s">
        <v>523</v>
      </c>
      <c r="N502" s="2" t="s">
        <v>4137</v>
      </c>
      <c r="O502" s="2"/>
      <c r="P502" s="2" t="s">
        <v>37</v>
      </c>
      <c r="Q502" s="4" t="n">
        <v>8731</v>
      </c>
      <c r="R502" s="2" t="s">
        <v>136</v>
      </c>
      <c r="S502" s="2" t="s">
        <v>39</v>
      </c>
      <c r="T502" s="2" t="s">
        <v>403</v>
      </c>
      <c r="U502" s="2" t="s">
        <v>4138</v>
      </c>
      <c r="V502" s="2"/>
      <c r="W502" s="2" t="s">
        <v>42</v>
      </c>
      <c r="X502" s="2" t="s">
        <v>43</v>
      </c>
      <c r="Y502" s="2" t="s">
        <v>37</v>
      </c>
      <c r="Z502" s="2" t="s">
        <v>44</v>
      </c>
      <c r="AA502" s="2"/>
      <c r="AB502" s="2"/>
      <c r="AC502" s="2" t="s">
        <v>4139</v>
      </c>
      <c r="AD502" s="2" t="s">
        <v>46</v>
      </c>
    </row>
    <row r="503" customFormat="false" ht="15.7" hidden="false" customHeight="true" outlineLevel="0" collapsed="false">
      <c r="A503" s="2"/>
      <c r="B503" s="3" t="n">
        <f aca="false">DATE(2007,2,20)</f>
        <v>0</v>
      </c>
      <c r="C503" s="3" t="n">
        <v>39133</v>
      </c>
      <c r="D503" s="2" t="s">
        <v>4140</v>
      </c>
      <c r="F503" s="2" t="s">
        <v>4141</v>
      </c>
      <c r="G503" s="2" t="s">
        <v>4142</v>
      </c>
      <c r="H503" s="2" t="s">
        <v>898</v>
      </c>
      <c r="I503" s="2" t="s">
        <v>899</v>
      </c>
      <c r="J503" s="2" t="s">
        <v>900</v>
      </c>
      <c r="K503" s="2" t="s">
        <v>4143</v>
      </c>
      <c r="L503" s="2" t="s">
        <v>899</v>
      </c>
      <c r="M503" s="2" t="s">
        <v>902</v>
      </c>
      <c r="N503" s="2" t="s">
        <v>4144</v>
      </c>
      <c r="O503" s="2"/>
      <c r="P503" s="2" t="s">
        <v>79</v>
      </c>
      <c r="Q503" s="4" t="n">
        <v>6794</v>
      </c>
      <c r="R503" s="2" t="s">
        <v>136</v>
      </c>
      <c r="S503" s="2" t="s">
        <v>39</v>
      </c>
      <c r="T503" s="2" t="s">
        <v>40</v>
      </c>
      <c r="U503" s="2" t="s">
        <v>4145</v>
      </c>
      <c r="V503" s="2"/>
      <c r="W503" s="2" t="s">
        <v>206</v>
      </c>
      <c r="X503" s="2" t="s">
        <v>43</v>
      </c>
      <c r="Y503" s="2" t="s">
        <v>37</v>
      </c>
      <c r="Z503" s="2" t="s">
        <v>44</v>
      </c>
      <c r="AA503" s="2"/>
      <c r="AB503" s="2"/>
      <c r="AC503" s="2" t="s">
        <v>4146</v>
      </c>
      <c r="AD503" s="2" t="s">
        <v>46</v>
      </c>
    </row>
    <row r="504" customFormat="false" ht="15.7" hidden="false" customHeight="true" outlineLevel="0" collapsed="false">
      <c r="A504" s="2"/>
      <c r="B504" s="3" t="n">
        <f aca="false">DATE(2007,2,21)</f>
        <v>0</v>
      </c>
      <c r="C504" s="3" t="n">
        <v>39134</v>
      </c>
      <c r="D504" s="2" t="s">
        <v>4147</v>
      </c>
      <c r="F504" s="2" t="s">
        <v>4148</v>
      </c>
      <c r="G504" s="2" t="s">
        <v>4149</v>
      </c>
      <c r="H504" s="2" t="s">
        <v>4150</v>
      </c>
      <c r="I504" s="2" t="s">
        <v>51</v>
      </c>
      <c r="J504" s="2" t="s">
        <v>4151</v>
      </c>
      <c r="K504" s="2" t="s">
        <v>4152</v>
      </c>
      <c r="L504" s="2" t="s">
        <v>549</v>
      </c>
      <c r="M504" s="2" t="s">
        <v>4153</v>
      </c>
      <c r="N504" s="2" t="s">
        <v>4154</v>
      </c>
      <c r="O504" s="2"/>
      <c r="P504" s="2" t="s">
        <v>37</v>
      </c>
      <c r="Q504" s="4" t="n">
        <v>8731</v>
      </c>
      <c r="R504" s="2" t="s">
        <v>56</v>
      </c>
      <c r="S504" s="2" t="s">
        <v>92</v>
      </c>
      <c r="T504" s="2" t="s">
        <v>40</v>
      </c>
      <c r="U504" s="2" t="s">
        <v>4155</v>
      </c>
      <c r="V504" s="2"/>
      <c r="W504" s="2" t="s">
        <v>42</v>
      </c>
      <c r="X504" s="2" t="s">
        <v>43</v>
      </c>
      <c r="Y504" s="2" t="s">
        <v>37</v>
      </c>
      <c r="Z504" s="2" t="s">
        <v>44</v>
      </c>
      <c r="AA504" s="2"/>
      <c r="AB504" s="2"/>
      <c r="AC504" s="2" t="s">
        <v>4156</v>
      </c>
      <c r="AD504" s="2" t="s">
        <v>46</v>
      </c>
    </row>
    <row r="505" customFormat="false" ht="15.7" hidden="false" customHeight="true" outlineLevel="0" collapsed="false">
      <c r="A505" s="2"/>
      <c r="B505" s="3" t="n">
        <f aca="false">DATE(2007,2,26)</f>
        <v>0</v>
      </c>
      <c r="C505" s="3" t="n">
        <v>39139</v>
      </c>
      <c r="D505" s="2" t="s">
        <v>4157</v>
      </c>
      <c r="F505" s="2" t="s">
        <v>4158</v>
      </c>
      <c r="G505" s="2" t="s">
        <v>4159</v>
      </c>
      <c r="H505" s="2" t="s">
        <v>247</v>
      </c>
      <c r="I505" s="2" t="s">
        <v>88</v>
      </c>
      <c r="J505" s="2" t="s">
        <v>65</v>
      </c>
      <c r="K505" s="2" t="s">
        <v>4160</v>
      </c>
      <c r="L505" s="2" t="s">
        <v>88</v>
      </c>
      <c r="M505" s="2" t="s">
        <v>247</v>
      </c>
      <c r="N505" s="2" t="s">
        <v>4161</v>
      </c>
      <c r="O505" s="2"/>
      <c r="P505" s="2" t="s">
        <v>37</v>
      </c>
      <c r="Q505" s="4" t="n">
        <v>8731</v>
      </c>
      <c r="R505" s="2" t="s">
        <v>136</v>
      </c>
      <c r="S505" s="2" t="s">
        <v>39</v>
      </c>
      <c r="T505" s="2" t="s">
        <v>40</v>
      </c>
      <c r="U505" s="2" t="s">
        <v>4162</v>
      </c>
      <c r="V505" s="2"/>
      <c r="W505" s="2" t="s">
        <v>42</v>
      </c>
      <c r="X505" s="2" t="s">
        <v>43</v>
      </c>
      <c r="Y505" s="2" t="s">
        <v>37</v>
      </c>
      <c r="Z505" s="2" t="s">
        <v>44</v>
      </c>
      <c r="AA505" s="2"/>
      <c r="AB505" s="2"/>
      <c r="AC505" s="2" t="s">
        <v>4163</v>
      </c>
      <c r="AD505" s="2" t="s">
        <v>46</v>
      </c>
    </row>
    <row r="506" customFormat="false" ht="15.7" hidden="false" customHeight="true" outlineLevel="0" collapsed="false">
      <c r="A506" s="2"/>
      <c r="B506" s="3" t="n">
        <f aca="false">DATE(2007,2,26)</f>
        <v>0</v>
      </c>
      <c r="C506" s="3" t="n">
        <v>39139</v>
      </c>
      <c r="D506" s="2" t="s">
        <v>4164</v>
      </c>
      <c r="F506" s="2" t="s">
        <v>4165</v>
      </c>
      <c r="G506" s="2" t="s">
        <v>4166</v>
      </c>
      <c r="H506" s="2" t="s">
        <v>1027</v>
      </c>
      <c r="I506" s="2" t="s">
        <v>219</v>
      </c>
      <c r="J506" s="2" t="s">
        <v>65</v>
      </c>
      <c r="K506" s="2" t="s">
        <v>4164</v>
      </c>
      <c r="L506" s="2" t="s">
        <v>219</v>
      </c>
      <c r="M506" s="2" t="s">
        <v>1027</v>
      </c>
      <c r="N506" s="2" t="s">
        <v>4167</v>
      </c>
      <c r="O506" s="2"/>
      <c r="P506" s="2" t="s">
        <v>37</v>
      </c>
      <c r="Q506" s="4" t="n">
        <v>8731</v>
      </c>
      <c r="R506" s="2" t="s">
        <v>136</v>
      </c>
      <c r="S506" s="2" t="s">
        <v>39</v>
      </c>
      <c r="T506" s="2" t="s">
        <v>40</v>
      </c>
      <c r="U506" s="2" t="s">
        <v>4168</v>
      </c>
      <c r="V506" s="2"/>
      <c r="W506" s="2" t="s">
        <v>42</v>
      </c>
      <c r="X506" s="2" t="s">
        <v>43</v>
      </c>
      <c r="Y506" s="2" t="s">
        <v>37</v>
      </c>
      <c r="Z506" s="2" t="s">
        <v>44</v>
      </c>
      <c r="AA506" s="2"/>
      <c r="AB506" s="2"/>
      <c r="AC506" s="2" t="s">
        <v>4169</v>
      </c>
      <c r="AD506" s="2" t="s">
        <v>46</v>
      </c>
    </row>
    <row r="507" customFormat="false" ht="15.7" hidden="false" customHeight="true" outlineLevel="0" collapsed="false">
      <c r="A507" s="2"/>
      <c r="B507" s="3" t="n">
        <f aca="false">DATE(2007,2,26)</f>
        <v>0</v>
      </c>
      <c r="C507" s="3" t="n">
        <v>39139</v>
      </c>
      <c r="D507" s="2" t="s">
        <v>4170</v>
      </c>
      <c r="F507" s="2" t="s">
        <v>4171</v>
      </c>
      <c r="G507" s="2" t="s">
        <v>4172</v>
      </c>
      <c r="H507" s="2" t="s">
        <v>130</v>
      </c>
      <c r="I507" s="2" t="s">
        <v>51</v>
      </c>
      <c r="J507" s="2" t="s">
        <v>504</v>
      </c>
      <c r="K507" s="2" t="s">
        <v>4170</v>
      </c>
      <c r="L507" s="2" t="s">
        <v>51</v>
      </c>
      <c r="M507" s="2" t="s">
        <v>130</v>
      </c>
      <c r="N507" s="2" t="s">
        <v>4173</v>
      </c>
      <c r="O507" s="2"/>
      <c r="P507" s="2" t="s">
        <v>37</v>
      </c>
      <c r="Q507" s="4" t="n">
        <v>8731</v>
      </c>
      <c r="R507" s="2" t="s">
        <v>56</v>
      </c>
      <c r="S507" s="2" t="s">
        <v>507</v>
      </c>
      <c r="T507" s="2" t="s">
        <v>40</v>
      </c>
      <c r="U507" s="2" t="s">
        <v>4174</v>
      </c>
      <c r="V507" s="2"/>
      <c r="W507" s="2" t="s">
        <v>42</v>
      </c>
      <c r="X507" s="2" t="s">
        <v>43</v>
      </c>
      <c r="Y507" s="2" t="s">
        <v>37</v>
      </c>
      <c r="Z507" s="2" t="s">
        <v>44</v>
      </c>
      <c r="AA507" s="2" t="s">
        <v>4175</v>
      </c>
      <c r="AB507" s="2"/>
      <c r="AC507" s="2" t="s">
        <v>4176</v>
      </c>
      <c r="AD507" s="2" t="s">
        <v>46</v>
      </c>
    </row>
    <row r="508" customFormat="false" ht="15.7" hidden="false" customHeight="true" outlineLevel="0" collapsed="false">
      <c r="A508" s="2"/>
      <c r="B508" s="3" t="n">
        <f aca="false">DATE(2007,2,27)</f>
        <v>0</v>
      </c>
      <c r="C508" s="3" t="n">
        <v>39140</v>
      </c>
      <c r="D508" s="2" t="s">
        <v>4177</v>
      </c>
      <c r="F508" s="2" t="s">
        <v>1138</v>
      </c>
      <c r="G508" s="2" t="s">
        <v>4178</v>
      </c>
      <c r="H508" s="2" t="s">
        <v>305</v>
      </c>
      <c r="I508" s="2" t="s">
        <v>4179</v>
      </c>
      <c r="J508" s="2" t="s">
        <v>795</v>
      </c>
      <c r="K508" s="2" t="s">
        <v>4177</v>
      </c>
      <c r="L508" s="2" t="s">
        <v>4179</v>
      </c>
      <c r="M508" s="2" t="s">
        <v>305</v>
      </c>
      <c r="N508" s="2" t="s">
        <v>4180</v>
      </c>
      <c r="O508" s="2"/>
      <c r="P508" s="2" t="s">
        <v>37</v>
      </c>
      <c r="Q508" s="4" t="n">
        <v>8731</v>
      </c>
      <c r="R508" s="2" t="s">
        <v>136</v>
      </c>
      <c r="S508" s="2" t="s">
        <v>39</v>
      </c>
      <c r="T508" s="2" t="s">
        <v>40</v>
      </c>
      <c r="U508" s="2" t="s">
        <v>4181</v>
      </c>
      <c r="V508" s="2"/>
      <c r="W508" s="2" t="s">
        <v>138</v>
      </c>
      <c r="X508" s="2" t="s">
        <v>43</v>
      </c>
      <c r="Y508" s="2" t="s">
        <v>37</v>
      </c>
      <c r="Z508" s="2" t="s">
        <v>44</v>
      </c>
      <c r="AA508" s="2"/>
      <c r="AB508" s="2"/>
      <c r="AC508" s="2" t="s">
        <v>4182</v>
      </c>
      <c r="AD508" s="2" t="s">
        <v>46</v>
      </c>
    </row>
    <row r="509" customFormat="false" ht="15.7" hidden="false" customHeight="true" outlineLevel="0" collapsed="false">
      <c r="A509" s="2"/>
      <c r="B509" s="3" t="n">
        <f aca="false">DATE(2007,2,27)</f>
        <v>0</v>
      </c>
      <c r="C509" s="3" t="n">
        <v>39140</v>
      </c>
      <c r="D509" s="2" t="s">
        <v>4183</v>
      </c>
      <c r="F509" s="2" t="s">
        <v>4184</v>
      </c>
      <c r="G509" s="2" t="s">
        <v>4185</v>
      </c>
      <c r="H509" s="2" t="s">
        <v>305</v>
      </c>
      <c r="I509" s="2" t="s">
        <v>821</v>
      </c>
      <c r="J509" s="2" t="s">
        <v>514</v>
      </c>
      <c r="K509" s="2" t="s">
        <v>4186</v>
      </c>
      <c r="L509" s="2" t="s">
        <v>821</v>
      </c>
      <c r="M509" s="2" t="s">
        <v>551</v>
      </c>
      <c r="N509" s="2" t="s">
        <v>4187</v>
      </c>
      <c r="O509" s="2"/>
      <c r="P509" s="2" t="s">
        <v>37</v>
      </c>
      <c r="Q509" s="4" t="n">
        <v>8731</v>
      </c>
      <c r="R509" s="2" t="s">
        <v>136</v>
      </c>
      <c r="S509" s="2" t="s">
        <v>39</v>
      </c>
      <c r="T509" s="2" t="s">
        <v>40</v>
      </c>
      <c r="U509" s="2" t="s">
        <v>4188</v>
      </c>
      <c r="V509" s="2"/>
      <c r="W509" s="2" t="s">
        <v>42</v>
      </c>
      <c r="X509" s="2" t="s">
        <v>43</v>
      </c>
      <c r="Y509" s="2" t="s">
        <v>37</v>
      </c>
      <c r="Z509" s="2" t="s">
        <v>44</v>
      </c>
      <c r="AA509" s="2"/>
      <c r="AB509" s="2"/>
      <c r="AC509" s="2" t="s">
        <v>4189</v>
      </c>
      <c r="AD509" s="2" t="s">
        <v>46</v>
      </c>
    </row>
    <row r="510" customFormat="false" ht="15.7" hidden="false" customHeight="true" outlineLevel="0" collapsed="false">
      <c r="A510" s="2"/>
      <c r="B510" s="3" t="n">
        <f aca="false">DATE(2007,2,28)</f>
        <v>0</v>
      </c>
      <c r="C510" s="3" t="n">
        <v>39141</v>
      </c>
      <c r="D510" s="2" t="s">
        <v>4190</v>
      </c>
      <c r="F510" s="2" t="s">
        <v>4191</v>
      </c>
      <c r="G510" s="2" t="s">
        <v>4192</v>
      </c>
      <c r="H510" s="2" t="s">
        <v>63</v>
      </c>
      <c r="I510" s="2" t="s">
        <v>2103</v>
      </c>
      <c r="J510" s="2" t="s">
        <v>35</v>
      </c>
      <c r="K510" s="2" t="s">
        <v>4190</v>
      </c>
      <c r="L510" s="2" t="s">
        <v>2103</v>
      </c>
      <c r="M510" s="2" t="s">
        <v>63</v>
      </c>
      <c r="N510" s="2" t="s">
        <v>4193</v>
      </c>
      <c r="O510" s="2"/>
      <c r="P510" s="2" t="s">
        <v>37</v>
      </c>
      <c r="Q510" s="4" t="n">
        <v>8731</v>
      </c>
      <c r="R510" s="2" t="s">
        <v>2105</v>
      </c>
      <c r="S510" s="2" t="s">
        <v>39</v>
      </c>
      <c r="T510" s="2" t="s">
        <v>40</v>
      </c>
      <c r="U510" s="2" t="s">
        <v>4194</v>
      </c>
      <c r="V510" s="2"/>
      <c r="W510" s="2" t="s">
        <v>42</v>
      </c>
      <c r="X510" s="2" t="s">
        <v>43</v>
      </c>
      <c r="Y510" s="2" t="s">
        <v>37</v>
      </c>
      <c r="Z510" s="2" t="s">
        <v>44</v>
      </c>
      <c r="AA510" s="2"/>
      <c r="AB510" s="2"/>
      <c r="AC510" s="2" t="s">
        <v>4195</v>
      </c>
      <c r="AD510" s="2" t="s">
        <v>46</v>
      </c>
    </row>
    <row r="511" customFormat="false" ht="15.7" hidden="false" customHeight="true" outlineLevel="0" collapsed="false">
      <c r="A511" s="2"/>
      <c r="B511" s="3" t="n">
        <f aca="false">DATE(2007,2,28)</f>
        <v>0</v>
      </c>
      <c r="C511" s="3" t="n">
        <v>39141</v>
      </c>
      <c r="D511" s="2" t="s">
        <v>4196</v>
      </c>
      <c r="F511" s="2" t="s">
        <v>200</v>
      </c>
      <c r="G511" s="2" t="s">
        <v>4197</v>
      </c>
      <c r="H511" s="2" t="s">
        <v>170</v>
      </c>
      <c r="I511" s="2" t="s">
        <v>921</v>
      </c>
      <c r="J511" s="2" t="s">
        <v>35</v>
      </c>
      <c r="K511" s="2" t="s">
        <v>4196</v>
      </c>
      <c r="L511" s="2" t="s">
        <v>921</v>
      </c>
      <c r="M511" s="2" t="s">
        <v>170</v>
      </c>
      <c r="N511" s="2" t="s">
        <v>4198</v>
      </c>
      <c r="O511" s="2"/>
      <c r="P511" s="2" t="s">
        <v>37</v>
      </c>
      <c r="Q511" s="4" t="n">
        <v>8731</v>
      </c>
      <c r="R511" s="2" t="s">
        <v>136</v>
      </c>
      <c r="S511" s="2" t="s">
        <v>39</v>
      </c>
      <c r="T511" s="2" t="s">
        <v>40</v>
      </c>
      <c r="U511" s="2" t="s">
        <v>4199</v>
      </c>
      <c r="V511" s="2"/>
      <c r="W511" s="2" t="s">
        <v>42</v>
      </c>
      <c r="X511" s="2" t="s">
        <v>43</v>
      </c>
      <c r="Y511" s="2" t="s">
        <v>37</v>
      </c>
      <c r="Z511" s="2" t="s">
        <v>44</v>
      </c>
      <c r="AA511" s="2"/>
      <c r="AB511" s="2"/>
      <c r="AC511" s="2" t="s">
        <v>4200</v>
      </c>
      <c r="AD511" s="2" t="s">
        <v>46</v>
      </c>
    </row>
    <row r="512" customFormat="false" ht="15.7" hidden="false" customHeight="true" outlineLevel="0" collapsed="false">
      <c r="A512" s="2"/>
      <c r="B512" s="3" t="n">
        <f aca="false">DATE(2007,2,28)</f>
        <v>0</v>
      </c>
      <c r="C512" s="3" t="n">
        <v>39141</v>
      </c>
      <c r="D512" s="2" t="s">
        <v>4201</v>
      </c>
      <c r="F512" s="2" t="s">
        <v>2026</v>
      </c>
      <c r="G512" s="2" t="s">
        <v>4202</v>
      </c>
      <c r="H512" s="2" t="s">
        <v>762</v>
      </c>
      <c r="I512" s="2" t="s">
        <v>4203</v>
      </c>
      <c r="J512" s="2" t="s">
        <v>132</v>
      </c>
      <c r="K512" s="2" t="s">
        <v>4204</v>
      </c>
      <c r="L512" s="2" t="s">
        <v>4203</v>
      </c>
      <c r="M512" s="2" t="s">
        <v>2832</v>
      </c>
      <c r="N512" s="2" t="s">
        <v>4205</v>
      </c>
      <c r="O512" s="2"/>
      <c r="P512" s="2" t="s">
        <v>37</v>
      </c>
      <c r="Q512" s="4" t="n">
        <v>8731</v>
      </c>
      <c r="R512" s="2" t="s">
        <v>461</v>
      </c>
      <c r="S512" s="2" t="s">
        <v>39</v>
      </c>
      <c r="T512" s="2" t="s">
        <v>403</v>
      </c>
      <c r="U512" s="2" t="s">
        <v>4206</v>
      </c>
      <c r="V512" s="2"/>
      <c r="W512" s="2" t="s">
        <v>42</v>
      </c>
      <c r="X512" s="2" t="s">
        <v>46</v>
      </c>
      <c r="Y512" s="2" t="s">
        <v>37</v>
      </c>
      <c r="Z512" s="2" t="s">
        <v>362</v>
      </c>
      <c r="AA512" s="2"/>
      <c r="AB512" s="2"/>
      <c r="AC512" s="2" t="s">
        <v>4207</v>
      </c>
      <c r="AD512" s="2" t="s">
        <v>46</v>
      </c>
    </row>
    <row r="513" customFormat="false" ht="15.7" hidden="false" customHeight="true" outlineLevel="0" collapsed="false">
      <c r="A513" s="2"/>
      <c r="B513" s="3" t="n">
        <f aca="false">DATE(2007,3,1)</f>
        <v>0</v>
      </c>
      <c r="C513" s="3" t="n">
        <v>39142</v>
      </c>
      <c r="D513" s="2" t="s">
        <v>4208</v>
      </c>
      <c r="F513" s="2" t="s">
        <v>4209</v>
      </c>
      <c r="G513" s="2" t="s">
        <v>4210</v>
      </c>
      <c r="H513" s="2" t="s">
        <v>1020</v>
      </c>
      <c r="I513" s="2" t="s">
        <v>330</v>
      </c>
      <c r="J513" s="2" t="s">
        <v>258</v>
      </c>
      <c r="K513" s="2" t="s">
        <v>4211</v>
      </c>
      <c r="L513" s="2" t="s">
        <v>330</v>
      </c>
      <c r="M513" s="2" t="s">
        <v>4212</v>
      </c>
      <c r="N513" s="2" t="s">
        <v>4213</v>
      </c>
      <c r="O513" s="2"/>
      <c r="P513" s="2" t="s">
        <v>37</v>
      </c>
      <c r="Q513" s="4" t="n">
        <v>8731</v>
      </c>
      <c r="R513" s="2" t="s">
        <v>2201</v>
      </c>
      <c r="S513" s="2" t="s">
        <v>39</v>
      </c>
      <c r="T513" s="2" t="s">
        <v>40</v>
      </c>
      <c r="U513" s="2" t="s">
        <v>4214</v>
      </c>
      <c r="V513" s="2"/>
      <c r="W513" s="2" t="s">
        <v>42</v>
      </c>
      <c r="X513" s="2" t="s">
        <v>43</v>
      </c>
      <c r="Y513" s="2" t="s">
        <v>37</v>
      </c>
      <c r="Z513" s="2" t="s">
        <v>44</v>
      </c>
      <c r="AA513" s="2"/>
      <c r="AB513" s="2"/>
      <c r="AC513" s="2" t="s">
        <v>4215</v>
      </c>
      <c r="AD513" s="2" t="s">
        <v>46</v>
      </c>
    </row>
    <row r="514" customFormat="false" ht="15.7" hidden="false" customHeight="true" outlineLevel="0" collapsed="false">
      <c r="A514" s="2"/>
      <c r="B514" s="3" t="n">
        <f aca="false">DATE(2007,3,1)</f>
        <v>0</v>
      </c>
      <c r="C514" s="3" t="n">
        <v>39142</v>
      </c>
      <c r="D514" s="2" t="s">
        <v>4216</v>
      </c>
      <c r="F514" s="2" t="s">
        <v>4217</v>
      </c>
      <c r="G514" s="2" t="s">
        <v>4218</v>
      </c>
      <c r="H514" s="2" t="s">
        <v>4219</v>
      </c>
      <c r="I514" s="2" t="s">
        <v>51</v>
      </c>
      <c r="J514" s="2" t="s">
        <v>3653</v>
      </c>
      <c r="K514" s="2" t="s">
        <v>4220</v>
      </c>
      <c r="L514" s="2" t="s">
        <v>219</v>
      </c>
      <c r="M514" s="2" t="s">
        <v>4221</v>
      </c>
      <c r="N514" s="2" t="s">
        <v>4222</v>
      </c>
      <c r="O514" s="2"/>
      <c r="P514" s="2" t="s">
        <v>37</v>
      </c>
      <c r="Q514" s="4" t="n">
        <v>8731</v>
      </c>
      <c r="R514" s="2" t="s">
        <v>56</v>
      </c>
      <c r="S514" s="2" t="s">
        <v>931</v>
      </c>
      <c r="T514" s="2" t="s">
        <v>40</v>
      </c>
      <c r="U514" s="2" t="s">
        <v>4223</v>
      </c>
      <c r="V514" s="2"/>
      <c r="W514" s="2" t="s">
        <v>42</v>
      </c>
      <c r="X514" s="2" t="s">
        <v>43</v>
      </c>
      <c r="Y514" s="2" t="s">
        <v>37</v>
      </c>
      <c r="Z514" s="2" t="s">
        <v>44</v>
      </c>
      <c r="AA514" s="2"/>
      <c r="AB514" s="2"/>
      <c r="AC514" s="2" t="s">
        <v>4224</v>
      </c>
      <c r="AD514" s="2" t="s">
        <v>46</v>
      </c>
    </row>
    <row r="515" customFormat="false" ht="15.7" hidden="false" customHeight="true" outlineLevel="0" collapsed="false">
      <c r="A515" s="2"/>
      <c r="B515" s="3" t="n">
        <f aca="false">DATE(2007,3,1)</f>
        <v>0</v>
      </c>
      <c r="C515" s="3" t="n">
        <v>39142</v>
      </c>
      <c r="D515" s="2" t="s">
        <v>4225</v>
      </c>
      <c r="F515" s="2" t="s">
        <v>4226</v>
      </c>
      <c r="G515" s="2" t="s">
        <v>4227</v>
      </c>
      <c r="H515" s="2" t="s">
        <v>4228</v>
      </c>
      <c r="I515" s="2" t="s">
        <v>219</v>
      </c>
      <c r="J515" s="2" t="s">
        <v>575</v>
      </c>
      <c r="K515" s="2" t="s">
        <v>4225</v>
      </c>
      <c r="L515" s="2" t="s">
        <v>219</v>
      </c>
      <c r="M515" s="2" t="s">
        <v>4228</v>
      </c>
      <c r="N515" s="2" t="s">
        <v>4229</v>
      </c>
      <c r="O515" s="2"/>
      <c r="P515" s="2" t="s">
        <v>37</v>
      </c>
      <c r="Q515" s="4" t="n">
        <v>8731</v>
      </c>
      <c r="R515" s="2" t="s">
        <v>136</v>
      </c>
      <c r="S515" s="2" t="s">
        <v>39</v>
      </c>
      <c r="T515" s="2" t="s">
        <v>40</v>
      </c>
      <c r="U515" s="2" t="s">
        <v>4230</v>
      </c>
      <c r="V515" s="2"/>
      <c r="W515" s="2" t="s">
        <v>42</v>
      </c>
      <c r="X515" s="2" t="s">
        <v>43</v>
      </c>
      <c r="Y515" s="2" t="s">
        <v>37</v>
      </c>
      <c r="Z515" s="2" t="s">
        <v>44</v>
      </c>
      <c r="AA515" s="2"/>
      <c r="AB515" s="2"/>
      <c r="AC515" s="2" t="s">
        <v>4231</v>
      </c>
      <c r="AD515" s="2" t="s">
        <v>46</v>
      </c>
    </row>
    <row r="516" customFormat="false" ht="15.7" hidden="false" customHeight="true" outlineLevel="0" collapsed="false">
      <c r="A516" s="2"/>
      <c r="B516" s="3" t="n">
        <f aca="false">DATE(2007,3,2)</f>
        <v>0</v>
      </c>
      <c r="C516" s="3" t="n">
        <v>39143</v>
      </c>
      <c r="D516" s="2" t="s">
        <v>4232</v>
      </c>
      <c r="F516" s="2" t="s">
        <v>4233</v>
      </c>
      <c r="G516" s="2" t="s">
        <v>4234</v>
      </c>
      <c r="H516" s="2" t="s">
        <v>4235</v>
      </c>
      <c r="I516" s="2" t="s">
        <v>219</v>
      </c>
      <c r="J516" s="2" t="s">
        <v>575</v>
      </c>
      <c r="K516" s="2" t="s">
        <v>4236</v>
      </c>
      <c r="L516" s="2" t="s">
        <v>219</v>
      </c>
      <c r="M516" s="2" t="s">
        <v>4237</v>
      </c>
      <c r="N516" s="2" t="s">
        <v>4238</v>
      </c>
      <c r="O516" s="2"/>
      <c r="P516" s="2" t="s">
        <v>37</v>
      </c>
      <c r="Q516" s="4" t="n">
        <v>8731</v>
      </c>
      <c r="R516" s="2" t="s">
        <v>136</v>
      </c>
      <c r="S516" s="2" t="s">
        <v>39</v>
      </c>
      <c r="T516" s="2" t="s">
        <v>40</v>
      </c>
      <c r="U516" s="2" t="s">
        <v>4239</v>
      </c>
      <c r="V516" s="2"/>
      <c r="W516" s="2" t="s">
        <v>42</v>
      </c>
      <c r="X516" s="2" t="s">
        <v>43</v>
      </c>
      <c r="Y516" s="2" t="s">
        <v>37</v>
      </c>
      <c r="Z516" s="2" t="s">
        <v>44</v>
      </c>
      <c r="AA516" s="2"/>
      <c r="AB516" s="2"/>
      <c r="AC516" s="2" t="s">
        <v>4240</v>
      </c>
      <c r="AD516" s="2" t="s">
        <v>46</v>
      </c>
    </row>
    <row r="517" customFormat="false" ht="15.7" hidden="false" customHeight="true" outlineLevel="0" collapsed="false">
      <c r="A517" s="2"/>
      <c r="B517" s="3" t="n">
        <f aca="false">DATE(2007,3,5)</f>
        <v>0</v>
      </c>
      <c r="C517" s="3" t="n">
        <v>39146</v>
      </c>
      <c r="D517" s="2" t="s">
        <v>4241</v>
      </c>
      <c r="F517" s="2" t="s">
        <v>709</v>
      </c>
      <c r="G517" s="2" t="s">
        <v>4242</v>
      </c>
      <c r="H517" s="2" t="s">
        <v>130</v>
      </c>
      <c r="I517" s="2" t="s">
        <v>2354</v>
      </c>
      <c r="J517" s="2" t="s">
        <v>35</v>
      </c>
      <c r="K517" s="2" t="s">
        <v>4243</v>
      </c>
      <c r="L517" s="2" t="s">
        <v>2354</v>
      </c>
      <c r="M517" s="2" t="s">
        <v>3717</v>
      </c>
      <c r="N517" s="2" t="s">
        <v>4244</v>
      </c>
      <c r="O517" s="2"/>
      <c r="P517" s="2" t="s">
        <v>37</v>
      </c>
      <c r="Q517" s="4" t="n">
        <v>8731</v>
      </c>
      <c r="R517" s="2" t="s">
        <v>136</v>
      </c>
      <c r="S517" s="2" t="s">
        <v>39</v>
      </c>
      <c r="T517" s="2" t="s">
        <v>40</v>
      </c>
      <c r="U517" s="2" t="s">
        <v>4245</v>
      </c>
      <c r="V517" s="2"/>
      <c r="W517" s="2" t="s">
        <v>42</v>
      </c>
      <c r="X517" s="2" t="s">
        <v>43</v>
      </c>
      <c r="Y517" s="2" t="s">
        <v>37</v>
      </c>
      <c r="Z517" s="2" t="s">
        <v>44</v>
      </c>
      <c r="AA517" s="2"/>
      <c r="AB517" s="2"/>
      <c r="AC517" s="2" t="s">
        <v>4246</v>
      </c>
      <c r="AD517" s="2" t="s">
        <v>46</v>
      </c>
    </row>
    <row r="518" customFormat="false" ht="15.7" hidden="false" customHeight="true" outlineLevel="0" collapsed="false">
      <c r="A518" s="2"/>
      <c r="B518" s="3" t="n">
        <f aca="false">DATE(2007,3,5)</f>
        <v>0</v>
      </c>
      <c r="C518" s="3" t="n">
        <v>39146</v>
      </c>
      <c r="D518" s="2" t="s">
        <v>4247</v>
      </c>
      <c r="F518" s="2" t="s">
        <v>4248</v>
      </c>
      <c r="G518" s="2" t="s">
        <v>4249</v>
      </c>
      <c r="H518" s="2" t="s">
        <v>63</v>
      </c>
      <c r="I518" s="2" t="s">
        <v>219</v>
      </c>
      <c r="J518" s="2" t="s">
        <v>313</v>
      </c>
      <c r="K518" s="2" t="s">
        <v>4247</v>
      </c>
      <c r="L518" s="2" t="s">
        <v>219</v>
      </c>
      <c r="M518" s="2" t="s">
        <v>63</v>
      </c>
      <c r="N518" s="2" t="s">
        <v>4250</v>
      </c>
      <c r="O518" s="2"/>
      <c r="P518" s="2" t="s">
        <v>79</v>
      </c>
      <c r="Q518" s="4" t="n">
        <v>6794</v>
      </c>
      <c r="R518" s="2" t="s">
        <v>38</v>
      </c>
      <c r="S518" s="2" t="s">
        <v>39</v>
      </c>
      <c r="T518" s="2" t="s">
        <v>40</v>
      </c>
      <c r="U518" s="2" t="s">
        <v>4251</v>
      </c>
      <c r="V518" s="2"/>
      <c r="W518" s="2" t="s">
        <v>82</v>
      </c>
      <c r="X518" s="2" t="s">
        <v>43</v>
      </c>
      <c r="Y518" s="2" t="s">
        <v>37</v>
      </c>
      <c r="Z518" s="2" t="s">
        <v>44</v>
      </c>
      <c r="AA518" s="2"/>
      <c r="AB518" s="2"/>
      <c r="AC518" s="2" t="s">
        <v>4252</v>
      </c>
      <c r="AD518" s="2" t="s">
        <v>46</v>
      </c>
    </row>
    <row r="519" customFormat="false" ht="15.7" hidden="false" customHeight="true" outlineLevel="0" collapsed="false">
      <c r="A519" s="2"/>
      <c r="B519" s="3" t="n">
        <f aca="false">DATE(2007,3,6)</f>
        <v>0</v>
      </c>
      <c r="C519" s="3" t="n">
        <v>39147</v>
      </c>
      <c r="D519" s="2" t="s">
        <v>4253</v>
      </c>
      <c r="F519" s="2" t="s">
        <v>4254</v>
      </c>
      <c r="G519" s="2" t="s">
        <v>4255</v>
      </c>
      <c r="H519" s="2" t="s">
        <v>717</v>
      </c>
      <c r="I519" s="2" t="s">
        <v>51</v>
      </c>
      <c r="J519" s="2" t="s">
        <v>828</v>
      </c>
      <c r="K519" s="2" t="s">
        <v>4253</v>
      </c>
      <c r="L519" s="2" t="s">
        <v>51</v>
      </c>
      <c r="M519" s="2" t="s">
        <v>717</v>
      </c>
      <c r="N519" s="2" t="s">
        <v>4256</v>
      </c>
      <c r="O519" s="2"/>
      <c r="P519" s="2" t="s">
        <v>37</v>
      </c>
      <c r="Q519" s="4" t="n">
        <v>8731</v>
      </c>
      <c r="R519" s="2" t="s">
        <v>56</v>
      </c>
      <c r="S519" s="2" t="s">
        <v>80</v>
      </c>
      <c r="T519" s="2" t="s">
        <v>40</v>
      </c>
      <c r="U519" s="2" t="s">
        <v>4257</v>
      </c>
      <c r="V519" s="2"/>
      <c r="W519" s="2" t="s">
        <v>42</v>
      </c>
      <c r="X519" s="2" t="s">
        <v>43</v>
      </c>
      <c r="Y519" s="2" t="s">
        <v>37</v>
      </c>
      <c r="Z519" s="2" t="s">
        <v>44</v>
      </c>
      <c r="AA519" s="2"/>
      <c r="AB519" s="2"/>
      <c r="AC519" s="2" t="s">
        <v>4258</v>
      </c>
      <c r="AD519" s="2" t="s">
        <v>46</v>
      </c>
    </row>
    <row r="520" customFormat="false" ht="15.7" hidden="false" customHeight="true" outlineLevel="0" collapsed="false">
      <c r="A520" s="2"/>
      <c r="B520" s="3" t="n">
        <f aca="false">DATE(2007,3,6)</f>
        <v>0</v>
      </c>
      <c r="C520" s="3" t="n">
        <v>39147</v>
      </c>
      <c r="D520" s="2" t="s">
        <v>4259</v>
      </c>
      <c r="F520" s="2" t="s">
        <v>4260</v>
      </c>
      <c r="G520" s="2" t="s">
        <v>4261</v>
      </c>
      <c r="H520" s="2" t="s">
        <v>130</v>
      </c>
      <c r="I520" s="2" t="s">
        <v>4262</v>
      </c>
      <c r="J520" s="2" t="s">
        <v>35</v>
      </c>
      <c r="K520" s="2" t="s">
        <v>4259</v>
      </c>
      <c r="L520" s="2" t="s">
        <v>4262</v>
      </c>
      <c r="M520" s="2" t="s">
        <v>130</v>
      </c>
      <c r="N520" s="2" t="s">
        <v>4263</v>
      </c>
      <c r="O520" s="2"/>
      <c r="P520" s="2" t="s">
        <v>79</v>
      </c>
      <c r="Q520" s="4" t="n">
        <v>6794</v>
      </c>
      <c r="R520" s="2" t="s">
        <v>70</v>
      </c>
      <c r="S520" s="2" t="s">
        <v>39</v>
      </c>
      <c r="T520" s="2" t="s">
        <v>40</v>
      </c>
      <c r="U520" s="2" t="s">
        <v>4264</v>
      </c>
      <c r="V520" s="2"/>
      <c r="W520" s="2" t="s">
        <v>253</v>
      </c>
      <c r="X520" s="2" t="s">
        <v>43</v>
      </c>
      <c r="Y520" s="2" t="s">
        <v>37</v>
      </c>
      <c r="Z520" s="2" t="s">
        <v>44</v>
      </c>
      <c r="AA520" s="2"/>
      <c r="AB520" s="2"/>
      <c r="AC520" s="2" t="s">
        <v>4265</v>
      </c>
      <c r="AD520" s="2" t="s">
        <v>46</v>
      </c>
    </row>
    <row r="521" customFormat="false" ht="15.7" hidden="false" customHeight="true" outlineLevel="0" collapsed="false">
      <c r="A521" s="2"/>
      <c r="B521" s="3" t="n">
        <f aca="false">DATE(2007,3,6)</f>
        <v>0</v>
      </c>
      <c r="C521" s="3" t="n">
        <v>39147</v>
      </c>
      <c r="D521" s="2" t="s">
        <v>4266</v>
      </c>
      <c r="F521" s="2" t="s">
        <v>1172</v>
      </c>
      <c r="G521" s="2" t="s">
        <v>4267</v>
      </c>
      <c r="H521" s="2" t="s">
        <v>63</v>
      </c>
      <c r="I521" s="2" t="s">
        <v>51</v>
      </c>
      <c r="J521" s="2" t="s">
        <v>595</v>
      </c>
      <c r="K521" s="2" t="s">
        <v>4266</v>
      </c>
      <c r="L521" s="2" t="s">
        <v>51</v>
      </c>
      <c r="M521" s="2" t="s">
        <v>63</v>
      </c>
      <c r="N521" s="2" t="s">
        <v>4268</v>
      </c>
      <c r="O521" s="2"/>
      <c r="P521" s="2" t="s">
        <v>37</v>
      </c>
      <c r="Q521" s="4" t="n">
        <v>8731</v>
      </c>
      <c r="R521" s="2" t="s">
        <v>56</v>
      </c>
      <c r="S521" s="2" t="s">
        <v>977</v>
      </c>
      <c r="T521" s="2" t="s">
        <v>40</v>
      </c>
      <c r="U521" s="2" t="s">
        <v>4269</v>
      </c>
      <c r="V521" s="2"/>
      <c r="W521" s="2" t="s">
        <v>42</v>
      </c>
      <c r="X521" s="2" t="s">
        <v>43</v>
      </c>
      <c r="Y521" s="2" t="s">
        <v>37</v>
      </c>
      <c r="Z521" s="2" t="s">
        <v>44</v>
      </c>
      <c r="AA521" s="2" t="s">
        <v>4270</v>
      </c>
      <c r="AB521" s="2"/>
      <c r="AC521" s="2" t="s">
        <v>4271</v>
      </c>
      <c r="AD521" s="2" t="s">
        <v>46</v>
      </c>
    </row>
    <row r="522" customFormat="false" ht="15.7" hidden="false" customHeight="true" outlineLevel="0" collapsed="false">
      <c r="A522" s="2"/>
      <c r="B522" s="3" t="n">
        <f aca="false">DATE(2007,3,7)</f>
        <v>0</v>
      </c>
      <c r="C522" s="3" t="n">
        <v>39148</v>
      </c>
      <c r="D522" s="2" t="s">
        <v>4272</v>
      </c>
      <c r="F522" s="2" t="s">
        <v>4273</v>
      </c>
      <c r="G522" s="2" t="s">
        <v>4274</v>
      </c>
      <c r="H522" s="2" t="s">
        <v>4275</v>
      </c>
      <c r="I522" s="2" t="s">
        <v>1544</v>
      </c>
      <c r="J522" s="2" t="s">
        <v>228</v>
      </c>
      <c r="K522" s="2" t="s">
        <v>4276</v>
      </c>
      <c r="L522" s="2" t="s">
        <v>1544</v>
      </c>
      <c r="M522" s="2" t="s">
        <v>3823</v>
      </c>
      <c r="N522" s="2" t="s">
        <v>4277</v>
      </c>
      <c r="O522" s="2"/>
      <c r="P522" s="2" t="s">
        <v>37</v>
      </c>
      <c r="Q522" s="4" t="n">
        <v>8731</v>
      </c>
      <c r="R522" s="2" t="s">
        <v>136</v>
      </c>
      <c r="S522" s="2" t="s">
        <v>39</v>
      </c>
      <c r="T522" s="2" t="s">
        <v>403</v>
      </c>
      <c r="U522" s="2" t="s">
        <v>4278</v>
      </c>
      <c r="V522" s="2"/>
      <c r="W522" s="2" t="s">
        <v>42</v>
      </c>
      <c r="X522" s="2" t="s">
        <v>43</v>
      </c>
      <c r="Y522" s="2" t="s">
        <v>37</v>
      </c>
      <c r="Z522" s="2" t="s">
        <v>44</v>
      </c>
      <c r="AA522" s="2"/>
      <c r="AB522" s="2"/>
      <c r="AC522" s="2" t="s">
        <v>4279</v>
      </c>
      <c r="AD522" s="2" t="s">
        <v>46</v>
      </c>
    </row>
    <row r="523" customFormat="false" ht="15.7" hidden="false" customHeight="true" outlineLevel="0" collapsed="false">
      <c r="A523" s="2"/>
      <c r="B523" s="3" t="n">
        <f aca="false">DATE(2007,3,7)</f>
        <v>0</v>
      </c>
      <c r="C523" s="3" t="n">
        <v>39148</v>
      </c>
      <c r="D523" s="2" t="s">
        <v>4280</v>
      </c>
      <c r="F523" s="2" t="s">
        <v>1902</v>
      </c>
      <c r="G523" s="2" t="s">
        <v>4281</v>
      </c>
      <c r="H523" s="2" t="s">
        <v>305</v>
      </c>
      <c r="I523" s="2" t="s">
        <v>670</v>
      </c>
      <c r="J523" s="2" t="s">
        <v>101</v>
      </c>
      <c r="K523" s="2" t="s">
        <v>4280</v>
      </c>
      <c r="L523" s="2" t="s">
        <v>670</v>
      </c>
      <c r="M523" s="2" t="s">
        <v>305</v>
      </c>
      <c r="N523" s="2" t="s">
        <v>4282</v>
      </c>
      <c r="O523" s="2"/>
      <c r="P523" s="2" t="s">
        <v>37</v>
      </c>
      <c r="Q523" s="4" t="n">
        <v>8731</v>
      </c>
      <c r="R523" s="2" t="s">
        <v>402</v>
      </c>
      <c r="S523" s="2" t="s">
        <v>39</v>
      </c>
      <c r="T523" s="2" t="s">
        <v>673</v>
      </c>
      <c r="U523" s="2" t="s">
        <v>4283</v>
      </c>
      <c r="V523" s="2"/>
      <c r="W523" s="2" t="s">
        <v>697</v>
      </c>
      <c r="X523" s="2" t="s">
        <v>46</v>
      </c>
      <c r="Y523" s="2" t="s">
        <v>37</v>
      </c>
      <c r="Z523" s="2" t="s">
        <v>362</v>
      </c>
      <c r="AA523" s="2"/>
      <c r="AB523" s="2"/>
      <c r="AC523" s="2" t="s">
        <v>4284</v>
      </c>
      <c r="AD523" s="2" t="s">
        <v>46</v>
      </c>
    </row>
    <row r="524" customFormat="false" ht="15.7" hidden="false" customHeight="true" outlineLevel="0" collapsed="false">
      <c r="A524" s="2"/>
      <c r="B524" s="3" t="n">
        <f aca="false">DATE(2007,3,8)</f>
        <v>0</v>
      </c>
      <c r="C524" s="3" t="n">
        <v>39149</v>
      </c>
      <c r="D524" s="2" t="s">
        <v>4285</v>
      </c>
      <c r="F524" s="2" t="s">
        <v>4286</v>
      </c>
      <c r="G524" s="2" t="s">
        <v>4287</v>
      </c>
      <c r="H524" s="2" t="s">
        <v>4288</v>
      </c>
      <c r="I524" s="2" t="s">
        <v>2916</v>
      </c>
      <c r="J524" s="2" t="s">
        <v>116</v>
      </c>
      <c r="K524" s="2" t="s">
        <v>4285</v>
      </c>
      <c r="L524" s="2" t="s">
        <v>2916</v>
      </c>
      <c r="M524" s="2" t="s">
        <v>4288</v>
      </c>
      <c r="N524" s="2" t="s">
        <v>4289</v>
      </c>
      <c r="O524" s="2"/>
      <c r="P524" s="2" t="s">
        <v>37</v>
      </c>
      <c r="Q524" s="4" t="n">
        <v>8731</v>
      </c>
      <c r="R524" s="2" t="s">
        <v>38</v>
      </c>
      <c r="S524" s="2" t="s">
        <v>39</v>
      </c>
      <c r="T524" s="2" t="s">
        <v>40</v>
      </c>
      <c r="U524" s="2" t="s">
        <v>4290</v>
      </c>
      <c r="V524" s="2"/>
      <c r="W524" s="2" t="s">
        <v>42</v>
      </c>
      <c r="X524" s="2" t="s">
        <v>43</v>
      </c>
      <c r="Y524" s="2" t="s">
        <v>37</v>
      </c>
      <c r="Z524" s="2" t="s">
        <v>916</v>
      </c>
      <c r="AA524" s="2"/>
      <c r="AB524" s="2"/>
      <c r="AC524" s="2" t="s">
        <v>4291</v>
      </c>
      <c r="AD524" s="2" t="s">
        <v>46</v>
      </c>
    </row>
    <row r="525" customFormat="false" ht="15.7" hidden="false" customHeight="true" outlineLevel="0" collapsed="false">
      <c r="A525" s="2"/>
      <c r="B525" s="3" t="n">
        <f aca="false">DATE(2007,3,9)</f>
        <v>0</v>
      </c>
      <c r="C525" s="3" t="n">
        <v>39150</v>
      </c>
      <c r="D525" s="2" t="s">
        <v>4292</v>
      </c>
      <c r="F525" s="2" t="s">
        <v>4293</v>
      </c>
      <c r="G525" s="2" t="s">
        <v>4294</v>
      </c>
      <c r="H525" s="2" t="s">
        <v>387</v>
      </c>
      <c r="I525" s="2" t="s">
        <v>670</v>
      </c>
      <c r="J525" s="2" t="s">
        <v>1983</v>
      </c>
      <c r="K525" s="2" t="s">
        <v>4292</v>
      </c>
      <c r="L525" s="2" t="s">
        <v>670</v>
      </c>
      <c r="M525" s="2" t="s">
        <v>387</v>
      </c>
      <c r="N525" s="2" t="s">
        <v>4295</v>
      </c>
      <c r="O525" s="2"/>
      <c r="P525" s="2" t="s">
        <v>37</v>
      </c>
      <c r="Q525" s="4" t="n">
        <v>8731</v>
      </c>
      <c r="R525" s="2" t="s">
        <v>402</v>
      </c>
      <c r="S525" s="2" t="s">
        <v>39</v>
      </c>
      <c r="T525" s="2" t="s">
        <v>40</v>
      </c>
      <c r="U525" s="2" t="s">
        <v>4296</v>
      </c>
      <c r="V525" s="2"/>
      <c r="W525" s="2" t="s">
        <v>42</v>
      </c>
      <c r="X525" s="2" t="s">
        <v>43</v>
      </c>
      <c r="Y525" s="2" t="s">
        <v>37</v>
      </c>
      <c r="Z525" s="2" t="s">
        <v>44</v>
      </c>
      <c r="AA525" s="2"/>
      <c r="AB525" s="2"/>
      <c r="AC525" s="2" t="s">
        <v>4297</v>
      </c>
      <c r="AD525" s="2" t="s">
        <v>46</v>
      </c>
    </row>
    <row r="526" customFormat="false" ht="15.7" hidden="false" customHeight="true" outlineLevel="0" collapsed="false">
      <c r="A526" s="2"/>
      <c r="B526" s="3" t="n">
        <f aca="false">DATE(2007,3,12)</f>
        <v>0</v>
      </c>
      <c r="C526" s="3" t="n">
        <v>39153</v>
      </c>
      <c r="D526" s="2" t="s">
        <v>4298</v>
      </c>
      <c r="F526" s="2" t="s">
        <v>4299</v>
      </c>
      <c r="G526" s="2" t="s">
        <v>4300</v>
      </c>
      <c r="H526" s="2" t="s">
        <v>4301</v>
      </c>
      <c r="I526" s="2" t="s">
        <v>487</v>
      </c>
      <c r="J526" s="2" t="s">
        <v>132</v>
      </c>
      <c r="K526" s="2" t="s">
        <v>4298</v>
      </c>
      <c r="L526" s="2" t="s">
        <v>487</v>
      </c>
      <c r="M526" s="2" t="s">
        <v>4301</v>
      </c>
      <c r="N526" s="2" t="s">
        <v>4302</v>
      </c>
      <c r="O526" s="2"/>
      <c r="P526" s="2" t="s">
        <v>37</v>
      </c>
      <c r="Q526" s="4" t="n">
        <v>8731</v>
      </c>
      <c r="R526" s="2" t="s">
        <v>136</v>
      </c>
      <c r="S526" s="2" t="s">
        <v>39</v>
      </c>
      <c r="T526" s="2" t="s">
        <v>40</v>
      </c>
      <c r="U526" s="2" t="s">
        <v>4303</v>
      </c>
      <c r="V526" s="2"/>
      <c r="W526" s="2" t="s">
        <v>42</v>
      </c>
      <c r="X526" s="2" t="s">
        <v>43</v>
      </c>
      <c r="Y526" s="2" t="s">
        <v>37</v>
      </c>
      <c r="Z526" s="2" t="s">
        <v>44</v>
      </c>
      <c r="AA526" s="2"/>
      <c r="AB526" s="2"/>
      <c r="AC526" s="2" t="s">
        <v>4304</v>
      </c>
      <c r="AD526" s="2" t="s">
        <v>46</v>
      </c>
    </row>
    <row r="527" customFormat="false" ht="15.7" hidden="false" customHeight="true" outlineLevel="0" collapsed="false">
      <c r="A527" s="2"/>
      <c r="B527" s="3" t="n">
        <f aca="false">DATE(2007,3,13)</f>
        <v>0</v>
      </c>
      <c r="C527" s="3" t="n">
        <v>39154</v>
      </c>
      <c r="D527" s="2" t="s">
        <v>4305</v>
      </c>
      <c r="F527" s="2" t="s">
        <v>311</v>
      </c>
      <c r="G527" s="2" t="s">
        <v>4306</v>
      </c>
      <c r="H527" s="2" t="s">
        <v>63</v>
      </c>
      <c r="I527" s="2" t="s">
        <v>4307</v>
      </c>
      <c r="J527" s="2" t="s">
        <v>35</v>
      </c>
      <c r="K527" s="2" t="s">
        <v>4308</v>
      </c>
      <c r="L527" s="2" t="s">
        <v>4307</v>
      </c>
      <c r="M527" s="2" t="s">
        <v>814</v>
      </c>
      <c r="N527" s="2" t="s">
        <v>4309</v>
      </c>
      <c r="O527" s="2"/>
      <c r="P527" s="2" t="s">
        <v>37</v>
      </c>
      <c r="Q527" s="4" t="n">
        <v>8731</v>
      </c>
      <c r="R527" s="2" t="s">
        <v>136</v>
      </c>
      <c r="S527" s="2" t="s">
        <v>39</v>
      </c>
      <c r="T527" s="2" t="s">
        <v>40</v>
      </c>
      <c r="U527" s="2" t="s">
        <v>4310</v>
      </c>
      <c r="V527" s="2"/>
      <c r="W527" s="2" t="s">
        <v>42</v>
      </c>
      <c r="X527" s="2" t="s">
        <v>43</v>
      </c>
      <c r="Y527" s="2" t="s">
        <v>37</v>
      </c>
      <c r="Z527" s="2" t="s">
        <v>44</v>
      </c>
      <c r="AA527" s="2"/>
      <c r="AB527" s="2"/>
      <c r="AC527" s="2" t="s">
        <v>4311</v>
      </c>
      <c r="AD527" s="2" t="s">
        <v>46</v>
      </c>
    </row>
    <row r="528" customFormat="false" ht="15.7" hidden="false" customHeight="true" outlineLevel="0" collapsed="false">
      <c r="A528" s="2"/>
      <c r="B528" s="3" t="n">
        <f aca="false">DATE(2007,3,13)</f>
        <v>0</v>
      </c>
      <c r="C528" s="3" t="n">
        <v>39154</v>
      </c>
      <c r="D528" s="2" t="s">
        <v>4312</v>
      </c>
      <c r="F528" s="2" t="s">
        <v>4313</v>
      </c>
      <c r="G528" s="2" t="s">
        <v>4314</v>
      </c>
      <c r="H528" s="2" t="s">
        <v>4315</v>
      </c>
      <c r="I528" s="2" t="s">
        <v>4037</v>
      </c>
      <c r="J528" s="2" t="s">
        <v>625</v>
      </c>
      <c r="K528" s="2" t="s">
        <v>4316</v>
      </c>
      <c r="L528" s="2" t="s">
        <v>4317</v>
      </c>
      <c r="M528" s="2" t="s">
        <v>2857</v>
      </c>
      <c r="N528" s="2" t="s">
        <v>4318</v>
      </c>
      <c r="O528" s="2"/>
      <c r="P528" s="2" t="s">
        <v>37</v>
      </c>
      <c r="Q528" s="4" t="n">
        <v>8731</v>
      </c>
      <c r="R528" s="2" t="s">
        <v>136</v>
      </c>
      <c r="S528" s="2" t="s">
        <v>39</v>
      </c>
      <c r="T528" s="2" t="s">
        <v>40</v>
      </c>
      <c r="U528" s="2" t="s">
        <v>4319</v>
      </c>
      <c r="V528" s="2"/>
      <c r="W528" s="2" t="s">
        <v>42</v>
      </c>
      <c r="X528" s="2" t="s">
        <v>43</v>
      </c>
      <c r="Y528" s="2" t="s">
        <v>37</v>
      </c>
      <c r="Z528" s="2" t="s">
        <v>44</v>
      </c>
      <c r="AA528" s="2"/>
      <c r="AB528" s="2"/>
      <c r="AC528" s="2" t="s">
        <v>4320</v>
      </c>
      <c r="AD528" s="2" t="s">
        <v>46</v>
      </c>
    </row>
    <row r="529" customFormat="false" ht="15.7" hidden="false" customHeight="true" outlineLevel="0" collapsed="false">
      <c r="A529" s="2"/>
      <c r="B529" s="3" t="n">
        <f aca="false">DATE(2007,3,13)</f>
        <v>0</v>
      </c>
      <c r="C529" s="3" t="n">
        <v>39154</v>
      </c>
      <c r="D529" s="2" t="s">
        <v>4321</v>
      </c>
      <c r="F529" s="2" t="s">
        <v>4322</v>
      </c>
      <c r="G529" s="2" t="s">
        <v>4323</v>
      </c>
      <c r="H529" s="2" t="s">
        <v>4324</v>
      </c>
      <c r="I529" s="2" t="s">
        <v>4325</v>
      </c>
      <c r="J529" s="2" t="s">
        <v>35</v>
      </c>
      <c r="K529" s="2" t="s">
        <v>4321</v>
      </c>
      <c r="L529" s="2" t="s">
        <v>4325</v>
      </c>
      <c r="M529" s="2" t="s">
        <v>4324</v>
      </c>
      <c r="N529" s="2" t="s">
        <v>4326</v>
      </c>
      <c r="O529" s="2"/>
      <c r="P529" s="2" t="s">
        <v>37</v>
      </c>
      <c r="Q529" s="4" t="n">
        <v>8734</v>
      </c>
      <c r="R529" s="2" t="s">
        <v>402</v>
      </c>
      <c r="S529" s="2" t="s">
        <v>39</v>
      </c>
      <c r="T529" s="2" t="s">
        <v>40</v>
      </c>
      <c r="U529" s="2" t="s">
        <v>4327</v>
      </c>
      <c r="V529" s="2"/>
      <c r="W529" s="2" t="s">
        <v>42</v>
      </c>
      <c r="X529" s="2" t="s">
        <v>43</v>
      </c>
      <c r="Y529" s="2" t="s">
        <v>37</v>
      </c>
      <c r="Z529" s="2" t="s">
        <v>44</v>
      </c>
      <c r="AA529" s="2"/>
      <c r="AB529" s="2"/>
      <c r="AC529" s="2" t="s">
        <v>4328</v>
      </c>
      <c r="AD529" s="2" t="s">
        <v>46</v>
      </c>
    </row>
    <row r="530" customFormat="false" ht="15.7" hidden="false" customHeight="true" outlineLevel="0" collapsed="false">
      <c r="A530" s="2"/>
      <c r="B530" s="3" t="n">
        <f aca="false">DATE(2007,3,14)</f>
        <v>0</v>
      </c>
      <c r="C530" s="3" t="n">
        <v>39155</v>
      </c>
      <c r="D530" s="2" t="s">
        <v>4329</v>
      </c>
      <c r="F530" s="2" t="s">
        <v>4330</v>
      </c>
      <c r="G530" s="2" t="s">
        <v>4331</v>
      </c>
      <c r="H530" s="2" t="s">
        <v>1020</v>
      </c>
      <c r="I530" s="2" t="s">
        <v>1904</v>
      </c>
      <c r="J530" s="2" t="s">
        <v>900</v>
      </c>
      <c r="K530" s="2" t="s">
        <v>4332</v>
      </c>
      <c r="L530" s="2" t="s">
        <v>1904</v>
      </c>
      <c r="M530" s="2" t="s">
        <v>4333</v>
      </c>
      <c r="N530" s="2" t="s">
        <v>4334</v>
      </c>
      <c r="O530" s="2"/>
      <c r="P530" s="2" t="s">
        <v>37</v>
      </c>
      <c r="Q530" s="4" t="n">
        <v>8731</v>
      </c>
      <c r="R530" s="2" t="s">
        <v>450</v>
      </c>
      <c r="S530" s="2" t="s">
        <v>39</v>
      </c>
      <c r="T530" s="2" t="s">
        <v>403</v>
      </c>
      <c r="U530" s="2" t="s">
        <v>4335</v>
      </c>
      <c r="V530" s="2"/>
      <c r="W530" s="2" t="s">
        <v>42</v>
      </c>
      <c r="X530" s="2" t="s">
        <v>46</v>
      </c>
      <c r="Y530" s="2" t="s">
        <v>37</v>
      </c>
      <c r="Z530" s="2" t="s">
        <v>362</v>
      </c>
      <c r="AA530" s="2"/>
      <c r="AB530" s="2"/>
      <c r="AC530" s="2" t="s">
        <v>4336</v>
      </c>
      <c r="AD530" s="2" t="s">
        <v>46</v>
      </c>
    </row>
    <row r="531" customFormat="false" ht="15.7" hidden="false" customHeight="true" outlineLevel="0" collapsed="false">
      <c r="A531" s="2"/>
      <c r="B531" s="3" t="n">
        <f aca="false">DATE(2007,3,15)</f>
        <v>0</v>
      </c>
      <c r="C531" s="3" t="n">
        <v>39156</v>
      </c>
      <c r="D531" s="2" t="s">
        <v>4337</v>
      </c>
      <c r="F531" s="2" t="s">
        <v>4338</v>
      </c>
      <c r="G531" s="2" t="s">
        <v>4339</v>
      </c>
      <c r="H531" s="2" t="s">
        <v>4340</v>
      </c>
      <c r="I531" s="2" t="s">
        <v>4341</v>
      </c>
      <c r="J531" s="2" t="s">
        <v>35</v>
      </c>
      <c r="K531" s="2" t="s">
        <v>4337</v>
      </c>
      <c r="L531" s="2" t="s">
        <v>4341</v>
      </c>
      <c r="M531" s="2" t="s">
        <v>4340</v>
      </c>
      <c r="N531" s="2" t="s">
        <v>4342</v>
      </c>
      <c r="O531" s="2"/>
      <c r="P531" s="2" t="s">
        <v>37</v>
      </c>
      <c r="Q531" s="4" t="n">
        <v>8731</v>
      </c>
      <c r="R531" s="2" t="s">
        <v>136</v>
      </c>
      <c r="S531" s="2" t="s">
        <v>39</v>
      </c>
      <c r="T531" s="2" t="s">
        <v>40</v>
      </c>
      <c r="U531" s="2" t="s">
        <v>4343</v>
      </c>
      <c r="V531" s="2"/>
      <c r="W531" s="2" t="s">
        <v>42</v>
      </c>
      <c r="X531" s="2" t="s">
        <v>43</v>
      </c>
      <c r="Y531" s="2" t="s">
        <v>37</v>
      </c>
      <c r="Z531" s="2" t="s">
        <v>44</v>
      </c>
      <c r="AA531" s="2"/>
      <c r="AB531" s="2"/>
      <c r="AC531" s="2" t="s">
        <v>4344</v>
      </c>
      <c r="AD531" s="2" t="s">
        <v>46</v>
      </c>
    </row>
    <row r="532" customFormat="false" ht="15.7" hidden="false" customHeight="true" outlineLevel="0" collapsed="false">
      <c r="A532" s="2"/>
      <c r="B532" s="3" t="n">
        <f aca="false">DATE(2007,3,16)</f>
        <v>0</v>
      </c>
      <c r="C532" s="3" t="n">
        <v>39157</v>
      </c>
      <c r="D532" s="2" t="s">
        <v>4345</v>
      </c>
      <c r="F532" s="2" t="s">
        <v>4346</v>
      </c>
      <c r="G532" s="2" t="s">
        <v>4347</v>
      </c>
      <c r="H532" s="2" t="s">
        <v>170</v>
      </c>
      <c r="I532" s="2" t="s">
        <v>4348</v>
      </c>
      <c r="J532" s="2" t="s">
        <v>35</v>
      </c>
      <c r="K532" s="2" t="s">
        <v>4345</v>
      </c>
      <c r="L532" s="2" t="s">
        <v>4348</v>
      </c>
      <c r="M532" s="2" t="s">
        <v>170</v>
      </c>
      <c r="N532" s="2" t="s">
        <v>4349</v>
      </c>
      <c r="O532" s="2"/>
      <c r="P532" s="2" t="s">
        <v>37</v>
      </c>
      <c r="Q532" s="4" t="n">
        <v>8731</v>
      </c>
      <c r="R532" s="2" t="s">
        <v>136</v>
      </c>
      <c r="S532" s="2" t="s">
        <v>39</v>
      </c>
      <c r="T532" s="2" t="s">
        <v>40</v>
      </c>
      <c r="U532" s="2" t="s">
        <v>4350</v>
      </c>
      <c r="V532" s="2"/>
      <c r="W532" s="2" t="s">
        <v>42</v>
      </c>
      <c r="X532" s="2" t="s">
        <v>43</v>
      </c>
      <c r="Y532" s="2" t="s">
        <v>37</v>
      </c>
      <c r="Z532" s="2" t="s">
        <v>44</v>
      </c>
      <c r="AA532" s="2"/>
      <c r="AB532" s="2"/>
      <c r="AC532" s="2" t="s">
        <v>4351</v>
      </c>
      <c r="AD532" s="2" t="s">
        <v>46</v>
      </c>
    </row>
    <row r="533" customFormat="false" ht="15.7" hidden="false" customHeight="true" outlineLevel="0" collapsed="false">
      <c r="A533" s="2"/>
      <c r="B533" s="3" t="n">
        <f aca="false">DATE(2007,3,16)</f>
        <v>0</v>
      </c>
      <c r="C533" s="3" t="n">
        <v>39157</v>
      </c>
      <c r="D533" s="2" t="s">
        <v>4352</v>
      </c>
      <c r="F533" s="2" t="s">
        <v>4353</v>
      </c>
      <c r="G533" s="2" t="s">
        <v>4354</v>
      </c>
      <c r="H533" s="2" t="s">
        <v>170</v>
      </c>
      <c r="I533" s="2" t="s">
        <v>51</v>
      </c>
      <c r="J533" s="2" t="s">
        <v>187</v>
      </c>
      <c r="K533" s="2" t="s">
        <v>4352</v>
      </c>
      <c r="L533" s="2" t="s">
        <v>51</v>
      </c>
      <c r="M533" s="2" t="s">
        <v>170</v>
      </c>
      <c r="N533" s="2" t="s">
        <v>4355</v>
      </c>
      <c r="O533" s="2"/>
      <c r="P533" s="2" t="s">
        <v>79</v>
      </c>
      <c r="Q533" s="4" t="n">
        <v>6794</v>
      </c>
      <c r="R533" s="2" t="s">
        <v>136</v>
      </c>
      <c r="S533" s="2" t="s">
        <v>39</v>
      </c>
      <c r="T533" s="2" t="s">
        <v>40</v>
      </c>
      <c r="U533" s="2" t="s">
        <v>4356</v>
      </c>
      <c r="V533" s="2"/>
      <c r="W533" s="2" t="s">
        <v>1382</v>
      </c>
      <c r="X533" s="2" t="s">
        <v>43</v>
      </c>
      <c r="Y533" s="2" t="s">
        <v>37</v>
      </c>
      <c r="Z533" s="2" t="s">
        <v>44</v>
      </c>
      <c r="AA533" s="2" t="s">
        <v>4357</v>
      </c>
      <c r="AB533" s="2"/>
      <c r="AC533" s="2" t="s">
        <v>4358</v>
      </c>
      <c r="AD533" s="2" t="s">
        <v>46</v>
      </c>
    </row>
    <row r="534" customFormat="false" ht="15.7" hidden="false" customHeight="true" outlineLevel="0" collapsed="false">
      <c r="A534" s="2"/>
      <c r="B534" s="3" t="n">
        <f aca="false">DATE(2007,3,19)</f>
        <v>0</v>
      </c>
      <c r="C534" s="3" t="n">
        <v>39160</v>
      </c>
      <c r="D534" s="2" t="s">
        <v>4359</v>
      </c>
      <c r="F534" s="2" t="s">
        <v>4360</v>
      </c>
      <c r="G534" s="2" t="s">
        <v>4361</v>
      </c>
      <c r="H534" s="2" t="s">
        <v>1020</v>
      </c>
      <c r="I534" s="2" t="s">
        <v>51</v>
      </c>
      <c r="J534" s="2" t="s">
        <v>994</v>
      </c>
      <c r="K534" s="2" t="s">
        <v>4362</v>
      </c>
      <c r="L534" s="2" t="s">
        <v>51</v>
      </c>
      <c r="M534" s="2" t="s">
        <v>1027</v>
      </c>
      <c r="N534" s="2" t="s">
        <v>4363</v>
      </c>
      <c r="O534" s="2"/>
      <c r="P534" s="2" t="s">
        <v>37</v>
      </c>
      <c r="Q534" s="4" t="n">
        <v>8731</v>
      </c>
      <c r="R534" s="2" t="s">
        <v>56</v>
      </c>
      <c r="S534" s="2" t="s">
        <v>57</v>
      </c>
      <c r="T534" s="2" t="s">
        <v>40</v>
      </c>
      <c r="U534" s="2" t="s">
        <v>4364</v>
      </c>
      <c r="V534" s="2"/>
      <c r="W534" s="2" t="s">
        <v>344</v>
      </c>
      <c r="X534" s="2" t="s">
        <v>43</v>
      </c>
      <c r="Y534" s="2" t="s">
        <v>37</v>
      </c>
      <c r="Z534" s="2" t="s">
        <v>44</v>
      </c>
      <c r="AA534" s="2"/>
      <c r="AB534" s="2"/>
      <c r="AC534" s="2" t="s">
        <v>4365</v>
      </c>
      <c r="AD534" s="2" t="s">
        <v>46</v>
      </c>
    </row>
    <row r="535" customFormat="false" ht="15.7" hidden="false" customHeight="true" outlineLevel="0" collapsed="false">
      <c r="A535" s="2"/>
      <c r="B535" s="3" t="n">
        <f aca="false">DATE(2007,3,19)</f>
        <v>0</v>
      </c>
      <c r="C535" s="3" t="n">
        <v>39160</v>
      </c>
      <c r="D535" s="2" t="s">
        <v>4366</v>
      </c>
      <c r="F535" s="2" t="s">
        <v>4367</v>
      </c>
      <c r="G535" s="2" t="s">
        <v>4368</v>
      </c>
      <c r="H535" s="2" t="s">
        <v>4369</v>
      </c>
      <c r="I535" s="2" t="s">
        <v>51</v>
      </c>
      <c r="J535" s="2" t="s">
        <v>4370</v>
      </c>
      <c r="K535" s="2" t="s">
        <v>4366</v>
      </c>
      <c r="L535" s="2" t="s">
        <v>51</v>
      </c>
      <c r="M535" s="2" t="s">
        <v>4369</v>
      </c>
      <c r="N535" s="2" t="s">
        <v>4371</v>
      </c>
      <c r="O535" s="2"/>
      <c r="P535" s="2" t="s">
        <v>37</v>
      </c>
      <c r="Q535" s="4" t="n">
        <v>8731</v>
      </c>
      <c r="R535" s="2" t="s">
        <v>56</v>
      </c>
      <c r="S535" s="2" t="s">
        <v>57</v>
      </c>
      <c r="T535" s="2" t="s">
        <v>40</v>
      </c>
      <c r="U535" s="2" t="s">
        <v>4372</v>
      </c>
      <c r="V535" s="2"/>
      <c r="W535" s="2" t="s">
        <v>42</v>
      </c>
      <c r="X535" s="2" t="s">
        <v>43</v>
      </c>
      <c r="Y535" s="2" t="s">
        <v>37</v>
      </c>
      <c r="Z535" s="2" t="s">
        <v>44</v>
      </c>
      <c r="AA535" s="2"/>
      <c r="AB535" s="2"/>
      <c r="AC535" s="2" t="s">
        <v>4373</v>
      </c>
      <c r="AD535" s="2" t="s">
        <v>46</v>
      </c>
    </row>
    <row r="536" customFormat="false" ht="15.7" hidden="false" customHeight="true" outlineLevel="0" collapsed="false">
      <c r="A536" s="2"/>
      <c r="B536" s="3" t="n">
        <f aca="false">DATE(2007,3,20)</f>
        <v>0</v>
      </c>
      <c r="C536" s="3" t="n">
        <v>39161</v>
      </c>
      <c r="D536" s="2" t="s">
        <v>4374</v>
      </c>
      <c r="F536" s="2" t="s">
        <v>1650</v>
      </c>
      <c r="G536" s="2" t="s">
        <v>4375</v>
      </c>
      <c r="H536" s="2" t="s">
        <v>63</v>
      </c>
      <c r="I536" s="2" t="s">
        <v>487</v>
      </c>
      <c r="J536" s="2" t="s">
        <v>132</v>
      </c>
      <c r="K536" s="2" t="s">
        <v>4374</v>
      </c>
      <c r="L536" s="2" t="s">
        <v>487</v>
      </c>
      <c r="M536" s="2" t="s">
        <v>63</v>
      </c>
      <c r="N536" s="2" t="s">
        <v>4376</v>
      </c>
      <c r="O536" s="2"/>
      <c r="P536" s="2" t="s">
        <v>37</v>
      </c>
      <c r="Q536" s="4" t="n">
        <v>8731</v>
      </c>
      <c r="R536" s="2" t="s">
        <v>136</v>
      </c>
      <c r="S536" s="2" t="s">
        <v>39</v>
      </c>
      <c r="T536" s="2" t="s">
        <v>40</v>
      </c>
      <c r="U536" s="2" t="s">
        <v>4377</v>
      </c>
      <c r="V536" s="2"/>
      <c r="W536" s="2" t="s">
        <v>42</v>
      </c>
      <c r="X536" s="2" t="s">
        <v>43</v>
      </c>
      <c r="Y536" s="2" t="s">
        <v>37</v>
      </c>
      <c r="Z536" s="2" t="s">
        <v>44</v>
      </c>
      <c r="AA536" s="2"/>
      <c r="AB536" s="2"/>
      <c r="AC536" s="2" t="s">
        <v>4378</v>
      </c>
      <c r="AD536" s="2" t="s">
        <v>46</v>
      </c>
    </row>
    <row r="537" customFormat="false" ht="15.7" hidden="false" customHeight="true" outlineLevel="0" collapsed="false">
      <c r="A537" s="2"/>
      <c r="B537" s="3" t="n">
        <f aca="false">DATE(2007,3,20)</f>
        <v>0</v>
      </c>
      <c r="C537" s="3" t="n">
        <v>39161</v>
      </c>
      <c r="D537" s="2" t="s">
        <v>4379</v>
      </c>
      <c r="F537" s="2" t="s">
        <v>4380</v>
      </c>
      <c r="G537" s="2" t="s">
        <v>4381</v>
      </c>
      <c r="H537" s="2" t="s">
        <v>4382</v>
      </c>
      <c r="I537" s="2" t="s">
        <v>296</v>
      </c>
      <c r="J537" s="2" t="s">
        <v>4383</v>
      </c>
      <c r="K537" s="2" t="s">
        <v>4379</v>
      </c>
      <c r="L537" s="2" t="s">
        <v>296</v>
      </c>
      <c r="M537" s="2" t="s">
        <v>4382</v>
      </c>
      <c r="N537" s="2" t="s">
        <v>4384</v>
      </c>
      <c r="O537" s="2"/>
      <c r="P537" s="2" t="s">
        <v>37</v>
      </c>
      <c r="Q537" s="4" t="n">
        <v>8731</v>
      </c>
      <c r="R537" s="2" t="s">
        <v>136</v>
      </c>
      <c r="S537" s="2" t="s">
        <v>39</v>
      </c>
      <c r="T537" s="2" t="s">
        <v>40</v>
      </c>
      <c r="U537" s="2" t="s">
        <v>4385</v>
      </c>
      <c r="V537" s="2"/>
      <c r="W537" s="2" t="s">
        <v>42</v>
      </c>
      <c r="X537" s="2" t="s">
        <v>43</v>
      </c>
      <c r="Y537" s="2" t="s">
        <v>37</v>
      </c>
      <c r="Z537" s="2" t="s">
        <v>44</v>
      </c>
      <c r="AA537" s="2"/>
      <c r="AB537" s="2"/>
      <c r="AC537" s="2" t="s">
        <v>4386</v>
      </c>
      <c r="AD537" s="2" t="s">
        <v>46</v>
      </c>
    </row>
    <row r="538" customFormat="false" ht="15.7" hidden="false" customHeight="true" outlineLevel="0" collapsed="false">
      <c r="A538" s="2"/>
      <c r="B538" s="3" t="n">
        <f aca="false">DATE(2007,3,21)</f>
        <v>0</v>
      </c>
      <c r="C538" s="3" t="n">
        <v>39162</v>
      </c>
      <c r="D538" s="2" t="s">
        <v>4387</v>
      </c>
      <c r="F538" s="2" t="s">
        <v>4388</v>
      </c>
      <c r="G538" s="2" t="s">
        <v>4389</v>
      </c>
      <c r="H538" s="2" t="s">
        <v>4390</v>
      </c>
      <c r="I538" s="2" t="s">
        <v>51</v>
      </c>
      <c r="J538" s="2" t="s">
        <v>4391</v>
      </c>
      <c r="K538" s="2" t="s">
        <v>4387</v>
      </c>
      <c r="L538" s="2" t="s">
        <v>51</v>
      </c>
      <c r="M538" s="2" t="s">
        <v>4390</v>
      </c>
      <c r="N538" s="2" t="s">
        <v>4392</v>
      </c>
      <c r="O538" s="2"/>
      <c r="P538" s="2" t="s">
        <v>37</v>
      </c>
      <c r="Q538" s="4" t="n">
        <v>8731</v>
      </c>
      <c r="R538" s="2" t="s">
        <v>56</v>
      </c>
      <c r="S538" s="2" t="s">
        <v>277</v>
      </c>
      <c r="T538" s="2" t="s">
        <v>40</v>
      </c>
      <c r="U538" s="2" t="s">
        <v>4393</v>
      </c>
      <c r="V538" s="2"/>
      <c r="W538" s="2" t="s">
        <v>42</v>
      </c>
      <c r="X538" s="2" t="s">
        <v>43</v>
      </c>
      <c r="Y538" s="2" t="s">
        <v>37</v>
      </c>
      <c r="Z538" s="2" t="s">
        <v>44</v>
      </c>
      <c r="AA538" s="2"/>
      <c r="AB538" s="2"/>
      <c r="AC538" s="2" t="s">
        <v>4394</v>
      </c>
      <c r="AD538" s="2" t="s">
        <v>46</v>
      </c>
    </row>
    <row r="539" customFormat="false" ht="15.7" hidden="false" customHeight="true" outlineLevel="0" collapsed="false">
      <c r="A539" s="2"/>
      <c r="B539" s="3" t="n">
        <f aca="false">DATE(2007,3,21)</f>
        <v>0</v>
      </c>
      <c r="C539" s="3" t="n">
        <v>39162</v>
      </c>
      <c r="D539" s="2" t="s">
        <v>4395</v>
      </c>
      <c r="F539" s="2" t="s">
        <v>4396</v>
      </c>
      <c r="G539" s="2" t="s">
        <v>4397</v>
      </c>
      <c r="H539" s="2" t="s">
        <v>4398</v>
      </c>
      <c r="I539" s="2" t="s">
        <v>131</v>
      </c>
      <c r="J539" s="2" t="s">
        <v>4399</v>
      </c>
      <c r="K539" s="2" t="s">
        <v>4395</v>
      </c>
      <c r="L539" s="2" t="s">
        <v>131</v>
      </c>
      <c r="M539" s="2" t="s">
        <v>4398</v>
      </c>
      <c r="N539" s="2" t="s">
        <v>4400</v>
      </c>
      <c r="O539" s="2"/>
      <c r="P539" s="2" t="s">
        <v>37</v>
      </c>
      <c r="Q539" s="4" t="n">
        <v>8731</v>
      </c>
      <c r="R539" s="2" t="s">
        <v>136</v>
      </c>
      <c r="S539" s="2" t="s">
        <v>39</v>
      </c>
      <c r="T539" s="2" t="s">
        <v>40</v>
      </c>
      <c r="U539" s="2" t="s">
        <v>4401</v>
      </c>
      <c r="V539" s="2"/>
      <c r="W539" s="2" t="s">
        <v>42</v>
      </c>
      <c r="X539" s="2" t="s">
        <v>43</v>
      </c>
      <c r="Y539" s="2" t="s">
        <v>37</v>
      </c>
      <c r="Z539" s="2" t="s">
        <v>44</v>
      </c>
      <c r="AA539" s="2"/>
      <c r="AB539" s="2"/>
      <c r="AC539" s="2" t="s">
        <v>4402</v>
      </c>
      <c r="AD539" s="2" t="s">
        <v>46</v>
      </c>
    </row>
    <row r="540" customFormat="false" ht="15.7" hidden="false" customHeight="true" outlineLevel="0" collapsed="false">
      <c r="A540" s="2"/>
      <c r="B540" s="3" t="n">
        <f aca="false">DATE(2007,3,21)</f>
        <v>0</v>
      </c>
      <c r="C540" s="3" t="n">
        <v>39162</v>
      </c>
      <c r="D540" s="2" t="s">
        <v>4403</v>
      </c>
      <c r="F540" s="2" t="s">
        <v>4404</v>
      </c>
      <c r="G540" s="2" t="s">
        <v>4405</v>
      </c>
      <c r="H540" s="2" t="s">
        <v>4406</v>
      </c>
      <c r="I540" s="2" t="s">
        <v>1080</v>
      </c>
      <c r="J540" s="2" t="s">
        <v>35</v>
      </c>
      <c r="K540" s="2" t="s">
        <v>4407</v>
      </c>
      <c r="L540" s="2" t="s">
        <v>1080</v>
      </c>
      <c r="M540" s="2" t="s">
        <v>4408</v>
      </c>
      <c r="N540" s="2" t="s">
        <v>4409</v>
      </c>
      <c r="O540" s="2"/>
      <c r="P540" s="2" t="s">
        <v>37</v>
      </c>
      <c r="Q540" s="4" t="n">
        <v>6798</v>
      </c>
      <c r="R540" s="2" t="s">
        <v>2201</v>
      </c>
      <c r="S540" s="2" t="s">
        <v>39</v>
      </c>
      <c r="T540" s="2" t="s">
        <v>403</v>
      </c>
      <c r="U540" s="2" t="s">
        <v>4410</v>
      </c>
      <c r="V540" s="2"/>
      <c r="W540" s="2" t="s">
        <v>4411</v>
      </c>
      <c r="X540" s="2" t="s">
        <v>46</v>
      </c>
      <c r="Y540" s="2" t="s">
        <v>37</v>
      </c>
      <c r="Z540" s="2" t="s">
        <v>362</v>
      </c>
      <c r="AA540" s="2" t="s">
        <v>4412</v>
      </c>
      <c r="AB540" s="2"/>
      <c r="AC540" s="2" t="s">
        <v>4413</v>
      </c>
      <c r="AD540" s="2" t="s">
        <v>46</v>
      </c>
    </row>
    <row r="541" customFormat="false" ht="15.7" hidden="false" customHeight="true" outlineLevel="0" collapsed="false">
      <c r="A541" s="2"/>
      <c r="B541" s="3" t="n">
        <f aca="false">DATE(2007,3,22)</f>
        <v>0</v>
      </c>
      <c r="C541" s="3" t="n">
        <v>39163</v>
      </c>
      <c r="D541" s="2" t="s">
        <v>4414</v>
      </c>
      <c r="F541" s="2" t="s">
        <v>4415</v>
      </c>
      <c r="G541" s="2" t="s">
        <v>4416</v>
      </c>
      <c r="H541" s="2" t="s">
        <v>762</v>
      </c>
      <c r="I541" s="2" t="s">
        <v>4417</v>
      </c>
      <c r="J541" s="2" t="s">
        <v>35</v>
      </c>
      <c r="K541" s="2" t="s">
        <v>4414</v>
      </c>
      <c r="L541" s="2" t="s">
        <v>4417</v>
      </c>
      <c r="M541" s="2" t="s">
        <v>762</v>
      </c>
      <c r="N541" s="2" t="s">
        <v>4418</v>
      </c>
      <c r="O541" s="2"/>
      <c r="P541" s="2" t="s">
        <v>79</v>
      </c>
      <c r="Q541" s="4" t="n">
        <v>6794</v>
      </c>
      <c r="R541" s="2" t="s">
        <v>2225</v>
      </c>
      <c r="S541" s="2" t="s">
        <v>39</v>
      </c>
      <c r="T541" s="2" t="s">
        <v>40</v>
      </c>
      <c r="U541" s="2" t="s">
        <v>4419</v>
      </c>
      <c r="V541" s="2"/>
      <c r="W541" s="2" t="s">
        <v>233</v>
      </c>
      <c r="X541" s="2" t="s">
        <v>43</v>
      </c>
      <c r="Y541" s="2" t="s">
        <v>37</v>
      </c>
      <c r="Z541" s="2" t="s">
        <v>44</v>
      </c>
      <c r="AA541" s="2" t="s">
        <v>4420</v>
      </c>
      <c r="AB541" s="2"/>
      <c r="AC541" s="2" t="s">
        <v>4421</v>
      </c>
      <c r="AD541" s="2" t="s">
        <v>46</v>
      </c>
    </row>
    <row r="542" customFormat="false" ht="15.7" hidden="false" customHeight="true" outlineLevel="0" collapsed="false">
      <c r="A542" s="2"/>
      <c r="B542" s="3" t="n">
        <f aca="false">DATE(2007,3,22)</f>
        <v>0</v>
      </c>
      <c r="C542" s="3" t="n">
        <v>39163</v>
      </c>
      <c r="D542" s="2" t="s">
        <v>4422</v>
      </c>
      <c r="F542" s="2" t="s">
        <v>4423</v>
      </c>
      <c r="G542" s="2" t="s">
        <v>4424</v>
      </c>
      <c r="H542" s="2" t="s">
        <v>4425</v>
      </c>
      <c r="I542" s="2" t="s">
        <v>670</v>
      </c>
      <c r="J542" s="2" t="s">
        <v>3452</v>
      </c>
      <c r="K542" s="2" t="s">
        <v>4422</v>
      </c>
      <c r="L542" s="2" t="s">
        <v>670</v>
      </c>
      <c r="M542" s="2" t="s">
        <v>4425</v>
      </c>
      <c r="N542" s="2" t="s">
        <v>4426</v>
      </c>
      <c r="O542" s="2"/>
      <c r="P542" s="2" t="s">
        <v>37</v>
      </c>
      <c r="Q542" s="4" t="n">
        <v>8731</v>
      </c>
      <c r="R542" s="2" t="s">
        <v>402</v>
      </c>
      <c r="S542" s="2" t="s">
        <v>39</v>
      </c>
      <c r="T542" s="2" t="s">
        <v>40</v>
      </c>
      <c r="U542" s="2" t="s">
        <v>4427</v>
      </c>
      <c r="V542" s="2"/>
      <c r="W542" s="2" t="s">
        <v>42</v>
      </c>
      <c r="X542" s="2" t="s">
        <v>43</v>
      </c>
      <c r="Y542" s="2" t="s">
        <v>37</v>
      </c>
      <c r="Z542" s="2" t="s">
        <v>44</v>
      </c>
      <c r="AA542" s="2"/>
      <c r="AB542" s="2"/>
      <c r="AC542" s="2" t="s">
        <v>4428</v>
      </c>
      <c r="AD542" s="2" t="s">
        <v>46</v>
      </c>
    </row>
    <row r="543" customFormat="false" ht="15.7" hidden="false" customHeight="true" outlineLevel="0" collapsed="false">
      <c r="A543" s="2"/>
      <c r="B543" s="3" t="n">
        <f aca="false">DATE(2007,3,23)</f>
        <v>0</v>
      </c>
      <c r="C543" s="3" t="n">
        <v>39164</v>
      </c>
      <c r="D543" s="2" t="s">
        <v>4429</v>
      </c>
      <c r="F543" s="2" t="s">
        <v>4430</v>
      </c>
      <c r="G543" s="2" t="s">
        <v>4431</v>
      </c>
      <c r="H543" s="2" t="s">
        <v>4432</v>
      </c>
      <c r="I543" s="2" t="s">
        <v>3265</v>
      </c>
      <c r="J543" s="2" t="s">
        <v>4433</v>
      </c>
      <c r="K543" s="2" t="s">
        <v>4429</v>
      </c>
      <c r="L543" s="2" t="s">
        <v>3265</v>
      </c>
      <c r="M543" s="2" t="s">
        <v>4432</v>
      </c>
      <c r="N543" s="2" t="s">
        <v>4434</v>
      </c>
      <c r="O543" s="2"/>
      <c r="P543" s="2" t="s">
        <v>37</v>
      </c>
      <c r="Q543" s="4" t="n">
        <v>8731</v>
      </c>
      <c r="R543" s="2" t="s">
        <v>402</v>
      </c>
      <c r="S543" s="2" t="s">
        <v>39</v>
      </c>
      <c r="T543" s="2" t="s">
        <v>40</v>
      </c>
      <c r="U543" s="2" t="s">
        <v>4435</v>
      </c>
      <c r="V543" s="2"/>
      <c r="W543" s="2" t="s">
        <v>42</v>
      </c>
      <c r="X543" s="2" t="s">
        <v>43</v>
      </c>
      <c r="Y543" s="2" t="s">
        <v>37</v>
      </c>
      <c r="Z543" s="2" t="s">
        <v>44</v>
      </c>
      <c r="AA543" s="2"/>
      <c r="AB543" s="2"/>
      <c r="AC543" s="2" t="s">
        <v>4436</v>
      </c>
      <c r="AD543" s="2" t="s">
        <v>46</v>
      </c>
    </row>
    <row r="544" customFormat="false" ht="15.7" hidden="false" customHeight="true" outlineLevel="0" collapsed="false">
      <c r="A544" s="2"/>
      <c r="B544" s="3" t="n">
        <f aca="false">DATE(2007,3,23)</f>
        <v>0</v>
      </c>
      <c r="C544" s="3" t="n">
        <v>39164</v>
      </c>
      <c r="D544" s="2" t="s">
        <v>4437</v>
      </c>
      <c r="F544" s="2" t="s">
        <v>4438</v>
      </c>
      <c r="G544" s="2" t="s">
        <v>4439</v>
      </c>
      <c r="H544" s="2" t="s">
        <v>1027</v>
      </c>
      <c r="I544" s="2" t="s">
        <v>670</v>
      </c>
      <c r="J544" s="2" t="s">
        <v>625</v>
      </c>
      <c r="K544" s="2" t="s">
        <v>4437</v>
      </c>
      <c r="L544" s="2" t="s">
        <v>670</v>
      </c>
      <c r="M544" s="2" t="s">
        <v>1027</v>
      </c>
      <c r="N544" s="2" t="s">
        <v>4440</v>
      </c>
      <c r="O544" s="2" t="s">
        <v>4441</v>
      </c>
      <c r="P544" s="2" t="s">
        <v>37</v>
      </c>
      <c r="Q544" s="4" t="n">
        <v>8731</v>
      </c>
      <c r="R544" s="2" t="s">
        <v>402</v>
      </c>
      <c r="S544" s="2" t="s">
        <v>39</v>
      </c>
      <c r="T544" s="2" t="s">
        <v>40</v>
      </c>
      <c r="U544" s="2" t="s">
        <v>4442</v>
      </c>
      <c r="V544" s="2"/>
      <c r="W544" s="2" t="s">
        <v>42</v>
      </c>
      <c r="X544" s="2" t="s">
        <v>46</v>
      </c>
      <c r="Y544" s="2" t="s">
        <v>37</v>
      </c>
      <c r="Z544" s="2" t="s">
        <v>756</v>
      </c>
      <c r="AA544" s="2"/>
      <c r="AB544" s="2" t="s">
        <v>4443</v>
      </c>
      <c r="AC544" s="2" t="s">
        <v>4444</v>
      </c>
      <c r="AD544" s="2" t="s">
        <v>46</v>
      </c>
    </row>
    <row r="545" customFormat="false" ht="15.7" hidden="false" customHeight="true" outlineLevel="0" collapsed="false">
      <c r="A545" s="2"/>
      <c r="B545" s="3" t="n">
        <f aca="false">DATE(2007,3,26)</f>
        <v>0</v>
      </c>
      <c r="C545" s="3" t="n">
        <v>39167</v>
      </c>
      <c r="D545" s="2" t="s">
        <v>4445</v>
      </c>
      <c r="F545" s="2" t="s">
        <v>4446</v>
      </c>
      <c r="G545" s="2" t="s">
        <v>4447</v>
      </c>
      <c r="H545" s="2" t="s">
        <v>4448</v>
      </c>
      <c r="I545" s="2" t="s">
        <v>670</v>
      </c>
      <c r="J545" s="2" t="s">
        <v>1456</v>
      </c>
      <c r="K545" s="2" t="s">
        <v>4449</v>
      </c>
      <c r="L545" s="2" t="s">
        <v>670</v>
      </c>
      <c r="M545" s="2" t="s">
        <v>4450</v>
      </c>
      <c r="N545" s="2" t="s">
        <v>4451</v>
      </c>
      <c r="O545" s="2"/>
      <c r="P545" s="2" t="s">
        <v>37</v>
      </c>
      <c r="Q545" s="4" t="n">
        <v>8731</v>
      </c>
      <c r="R545" s="2" t="s">
        <v>402</v>
      </c>
      <c r="S545" s="2" t="s">
        <v>39</v>
      </c>
      <c r="T545" s="2" t="s">
        <v>40</v>
      </c>
      <c r="U545" s="2" t="s">
        <v>4452</v>
      </c>
      <c r="V545" s="2"/>
      <c r="W545" s="2" t="s">
        <v>42</v>
      </c>
      <c r="X545" s="2" t="s">
        <v>43</v>
      </c>
      <c r="Y545" s="2" t="s">
        <v>37</v>
      </c>
      <c r="Z545" s="2" t="s">
        <v>44</v>
      </c>
      <c r="AA545" s="2"/>
      <c r="AB545" s="2"/>
      <c r="AC545" s="2" t="s">
        <v>4453</v>
      </c>
      <c r="AD545" s="2" t="s">
        <v>46</v>
      </c>
    </row>
    <row r="546" customFormat="false" ht="15.7" hidden="false" customHeight="true" outlineLevel="0" collapsed="false">
      <c r="A546" s="2"/>
      <c r="B546" s="3" t="n">
        <f aca="false">DATE(2007,3,26)</f>
        <v>0</v>
      </c>
      <c r="C546" s="3" t="n">
        <v>39167</v>
      </c>
      <c r="D546" s="2" t="s">
        <v>4454</v>
      </c>
      <c r="F546" s="2" t="s">
        <v>4455</v>
      </c>
      <c r="G546" s="2" t="s">
        <v>4456</v>
      </c>
      <c r="H546" s="2" t="s">
        <v>4457</v>
      </c>
      <c r="I546" s="2" t="s">
        <v>4458</v>
      </c>
      <c r="J546" s="2" t="s">
        <v>35</v>
      </c>
      <c r="K546" s="2" t="s">
        <v>4459</v>
      </c>
      <c r="L546" s="2" t="s">
        <v>4325</v>
      </c>
      <c r="M546" s="2" t="s">
        <v>3500</v>
      </c>
      <c r="N546" s="2" t="s">
        <v>4460</v>
      </c>
      <c r="O546" s="2"/>
      <c r="P546" s="2" t="s">
        <v>37</v>
      </c>
      <c r="Q546" s="4" t="n">
        <v>3714</v>
      </c>
      <c r="R546" s="2" t="s">
        <v>402</v>
      </c>
      <c r="S546" s="2" t="s">
        <v>39</v>
      </c>
      <c r="T546" s="2" t="s">
        <v>403</v>
      </c>
      <c r="U546" s="2" t="s">
        <v>4461</v>
      </c>
      <c r="V546" s="2"/>
      <c r="W546" s="2" t="s">
        <v>755</v>
      </c>
      <c r="X546" s="2" t="s">
        <v>46</v>
      </c>
      <c r="Y546" s="2" t="s">
        <v>37</v>
      </c>
      <c r="Z546" s="2" t="s">
        <v>4462</v>
      </c>
      <c r="AA546" s="2" t="s">
        <v>4463</v>
      </c>
      <c r="AB546" s="2"/>
      <c r="AC546" s="2" t="s">
        <v>4464</v>
      </c>
      <c r="AD546" s="2" t="s">
        <v>46</v>
      </c>
    </row>
    <row r="547" customFormat="false" ht="15.7" hidden="false" customHeight="true" outlineLevel="0" collapsed="false">
      <c r="A547" s="2"/>
      <c r="B547" s="3" t="n">
        <f aca="false">DATE(2007,3,26)</f>
        <v>0</v>
      </c>
      <c r="C547" s="3" t="n">
        <v>39167</v>
      </c>
      <c r="D547" s="2" t="s">
        <v>4465</v>
      </c>
      <c r="F547" s="2" t="s">
        <v>4466</v>
      </c>
      <c r="G547" s="2" t="s">
        <v>4467</v>
      </c>
      <c r="H547" s="2" t="s">
        <v>1972</v>
      </c>
      <c r="I547" s="2" t="s">
        <v>2727</v>
      </c>
      <c r="J547" s="2" t="s">
        <v>35</v>
      </c>
      <c r="K547" s="2" t="s">
        <v>4459</v>
      </c>
      <c r="L547" s="2" t="s">
        <v>4325</v>
      </c>
      <c r="M547" s="2" t="s">
        <v>3500</v>
      </c>
      <c r="N547" s="2" t="s">
        <v>4468</v>
      </c>
      <c r="O547" s="2"/>
      <c r="P547" s="2" t="s">
        <v>37</v>
      </c>
      <c r="Q547" s="4" t="n">
        <v>3714</v>
      </c>
      <c r="R547" s="2" t="s">
        <v>402</v>
      </c>
      <c r="S547" s="2" t="s">
        <v>39</v>
      </c>
      <c r="T547" s="2" t="s">
        <v>403</v>
      </c>
      <c r="U547" s="2" t="s">
        <v>4469</v>
      </c>
      <c r="V547" s="2"/>
      <c r="W547" s="2" t="s">
        <v>755</v>
      </c>
      <c r="X547" s="2" t="s">
        <v>46</v>
      </c>
      <c r="Y547" s="2" t="s">
        <v>37</v>
      </c>
      <c r="Z547" s="2" t="s">
        <v>4470</v>
      </c>
      <c r="AA547" s="2" t="s">
        <v>4471</v>
      </c>
      <c r="AB547" s="2"/>
      <c r="AC547" s="2" t="s">
        <v>4472</v>
      </c>
      <c r="AD547" s="2" t="s">
        <v>46</v>
      </c>
    </row>
    <row r="548" customFormat="false" ht="15.7" hidden="false" customHeight="true" outlineLevel="0" collapsed="false">
      <c r="A548" s="2"/>
      <c r="B548" s="3" t="n">
        <f aca="false">DATE(2007,3,26)</f>
        <v>0</v>
      </c>
      <c r="C548" s="3" t="n">
        <v>39167</v>
      </c>
      <c r="D548" s="2" t="s">
        <v>4473</v>
      </c>
      <c r="F548" s="2" t="s">
        <v>4474</v>
      </c>
      <c r="G548" s="2" t="s">
        <v>4475</v>
      </c>
      <c r="H548" s="2" t="s">
        <v>130</v>
      </c>
      <c r="I548" s="2" t="s">
        <v>51</v>
      </c>
      <c r="J548" s="2" t="s">
        <v>306</v>
      </c>
      <c r="K548" s="2" t="s">
        <v>4473</v>
      </c>
      <c r="L548" s="2" t="s">
        <v>51</v>
      </c>
      <c r="M548" s="2" t="s">
        <v>130</v>
      </c>
      <c r="N548" s="2" t="s">
        <v>4476</v>
      </c>
      <c r="O548" s="2"/>
      <c r="P548" s="2" t="s">
        <v>37</v>
      </c>
      <c r="Q548" s="4" t="n">
        <v>8731</v>
      </c>
      <c r="R548" s="2" t="s">
        <v>56</v>
      </c>
      <c r="S548" s="2" t="s">
        <v>57</v>
      </c>
      <c r="T548" s="2" t="s">
        <v>40</v>
      </c>
      <c r="U548" s="2" t="s">
        <v>4477</v>
      </c>
      <c r="V548" s="2"/>
      <c r="W548" s="2" t="s">
        <v>42</v>
      </c>
      <c r="X548" s="2" t="s">
        <v>43</v>
      </c>
      <c r="Y548" s="2" t="s">
        <v>37</v>
      </c>
      <c r="Z548" s="2" t="s">
        <v>44</v>
      </c>
      <c r="AA548" s="2"/>
      <c r="AB548" s="2"/>
      <c r="AC548" s="2" t="s">
        <v>4478</v>
      </c>
      <c r="AD548" s="2" t="s">
        <v>46</v>
      </c>
    </row>
    <row r="549" customFormat="false" ht="15.7" hidden="false" customHeight="true" outlineLevel="0" collapsed="false">
      <c r="A549" s="2"/>
      <c r="B549" s="3" t="n">
        <f aca="false">DATE(2007,3,26)</f>
        <v>0</v>
      </c>
      <c r="C549" s="3" t="n">
        <v>39167</v>
      </c>
      <c r="D549" s="2" t="s">
        <v>4479</v>
      </c>
      <c r="F549" s="2" t="s">
        <v>4480</v>
      </c>
      <c r="G549" s="2" t="s">
        <v>4481</v>
      </c>
      <c r="H549" s="2" t="s">
        <v>4482</v>
      </c>
      <c r="I549" s="2" t="s">
        <v>51</v>
      </c>
      <c r="J549" s="2" t="s">
        <v>171</v>
      </c>
      <c r="K549" s="2" t="s">
        <v>4483</v>
      </c>
      <c r="L549" s="2" t="s">
        <v>51</v>
      </c>
      <c r="M549" s="2" t="s">
        <v>4484</v>
      </c>
      <c r="N549" s="2" t="s">
        <v>4485</v>
      </c>
      <c r="O549" s="2"/>
      <c r="P549" s="2" t="s">
        <v>37</v>
      </c>
      <c r="Q549" s="4" t="n">
        <v>8093</v>
      </c>
      <c r="R549" s="2" t="s">
        <v>56</v>
      </c>
      <c r="S549" s="2" t="s">
        <v>92</v>
      </c>
      <c r="T549" s="2" t="s">
        <v>40</v>
      </c>
      <c r="U549" s="2" t="s">
        <v>4486</v>
      </c>
      <c r="V549" s="2"/>
      <c r="W549" s="2" t="s">
        <v>4487</v>
      </c>
      <c r="X549" s="2" t="s">
        <v>43</v>
      </c>
      <c r="Y549" s="2" t="s">
        <v>37</v>
      </c>
      <c r="Z549" s="2" t="s">
        <v>44</v>
      </c>
      <c r="AA549" s="2"/>
      <c r="AB549" s="2"/>
      <c r="AC549" s="2" t="s">
        <v>4488</v>
      </c>
      <c r="AD549" s="2" t="s">
        <v>46</v>
      </c>
    </row>
    <row r="550" customFormat="false" ht="15.7" hidden="false" customHeight="true" outlineLevel="0" collapsed="false">
      <c r="A550" s="2"/>
      <c r="B550" s="3" t="n">
        <f aca="false">DATE(2007,3,27)</f>
        <v>0</v>
      </c>
      <c r="C550" s="3" t="n">
        <v>39168</v>
      </c>
      <c r="D550" s="2" t="s">
        <v>4489</v>
      </c>
      <c r="F550" s="2" t="s">
        <v>4490</v>
      </c>
      <c r="G550" s="2" t="s">
        <v>4491</v>
      </c>
      <c r="H550" s="2" t="s">
        <v>4492</v>
      </c>
      <c r="I550" s="2" t="s">
        <v>4493</v>
      </c>
      <c r="J550" s="2" t="s">
        <v>35</v>
      </c>
      <c r="K550" s="2" t="s">
        <v>4494</v>
      </c>
      <c r="L550" s="2" t="s">
        <v>4493</v>
      </c>
      <c r="M550" s="2" t="s">
        <v>4492</v>
      </c>
      <c r="N550" s="2" t="s">
        <v>4495</v>
      </c>
      <c r="O550" s="2"/>
      <c r="P550" s="2" t="s">
        <v>37</v>
      </c>
      <c r="Q550" s="4" t="n">
        <v>3663</v>
      </c>
      <c r="R550" s="2" t="s">
        <v>1208</v>
      </c>
      <c r="S550" s="2" t="s">
        <v>39</v>
      </c>
      <c r="T550" s="2" t="s">
        <v>403</v>
      </c>
      <c r="U550" s="2" t="s">
        <v>4496</v>
      </c>
      <c r="V550" s="2"/>
      <c r="W550" s="2" t="s">
        <v>107</v>
      </c>
      <c r="X550" s="2" t="s">
        <v>46</v>
      </c>
      <c r="Y550" s="2" t="s">
        <v>37</v>
      </c>
      <c r="Z550" s="2" t="s">
        <v>362</v>
      </c>
      <c r="AA550" s="2"/>
      <c r="AB550" s="2"/>
      <c r="AC550" s="2" t="s">
        <v>4497</v>
      </c>
      <c r="AD550" s="2" t="s">
        <v>46</v>
      </c>
    </row>
    <row r="551" customFormat="false" ht="15.7" hidden="false" customHeight="true" outlineLevel="0" collapsed="false">
      <c r="A551" s="2"/>
      <c r="B551" s="3" t="n">
        <f aca="false">DATE(2007,3,27)</f>
        <v>0</v>
      </c>
      <c r="C551" s="3" t="n">
        <v>39168</v>
      </c>
      <c r="D551" s="2" t="s">
        <v>4498</v>
      </c>
      <c r="F551" s="2" t="s">
        <v>4499</v>
      </c>
      <c r="G551" s="2" t="s">
        <v>4500</v>
      </c>
      <c r="H551" s="2" t="s">
        <v>4501</v>
      </c>
      <c r="I551" s="2" t="s">
        <v>4502</v>
      </c>
      <c r="J551" s="2" t="s">
        <v>35</v>
      </c>
      <c r="K551" s="2" t="s">
        <v>4498</v>
      </c>
      <c r="L551" s="2" t="s">
        <v>4502</v>
      </c>
      <c r="M551" s="2" t="s">
        <v>4501</v>
      </c>
      <c r="N551" s="2" t="s">
        <v>4503</v>
      </c>
      <c r="O551" s="2"/>
      <c r="P551" s="2" t="s">
        <v>37</v>
      </c>
      <c r="Q551" s="4" t="n">
        <v>8731</v>
      </c>
      <c r="R551" s="2" t="s">
        <v>2225</v>
      </c>
      <c r="S551" s="2" t="s">
        <v>39</v>
      </c>
      <c r="T551" s="2" t="s">
        <v>403</v>
      </c>
      <c r="U551" s="2" t="s">
        <v>4504</v>
      </c>
      <c r="V551" s="2"/>
      <c r="W551" s="2" t="s">
        <v>4505</v>
      </c>
      <c r="X551" s="2" t="s">
        <v>43</v>
      </c>
      <c r="Y551" s="2" t="s">
        <v>37</v>
      </c>
      <c r="Z551" s="2" t="s">
        <v>44</v>
      </c>
      <c r="AA551" s="2"/>
      <c r="AB551" s="2"/>
      <c r="AC551" s="2" t="s">
        <v>4506</v>
      </c>
      <c r="AD551" s="2" t="s">
        <v>46</v>
      </c>
    </row>
    <row r="552" customFormat="false" ht="15.7" hidden="false" customHeight="true" outlineLevel="0" collapsed="false">
      <c r="A552" s="2"/>
      <c r="B552" s="3" t="n">
        <f aca="false">DATE(2007,3,27)</f>
        <v>0</v>
      </c>
      <c r="C552" s="3" t="n">
        <v>39168</v>
      </c>
      <c r="D552" s="2" t="s">
        <v>4507</v>
      </c>
      <c r="F552" s="2" t="s">
        <v>4508</v>
      </c>
      <c r="G552" s="2" t="s">
        <v>4509</v>
      </c>
      <c r="H552" s="2" t="s">
        <v>814</v>
      </c>
      <c r="I552" s="2" t="s">
        <v>330</v>
      </c>
      <c r="J552" s="2" t="s">
        <v>966</v>
      </c>
      <c r="K552" s="2" t="s">
        <v>4507</v>
      </c>
      <c r="L552" s="2" t="s">
        <v>330</v>
      </c>
      <c r="M552" s="2" t="s">
        <v>814</v>
      </c>
      <c r="N552" s="2" t="s">
        <v>4510</v>
      </c>
      <c r="O552" s="2"/>
      <c r="P552" s="2" t="s">
        <v>37</v>
      </c>
      <c r="Q552" s="4" t="n">
        <v>8731</v>
      </c>
      <c r="R552" s="2" t="s">
        <v>136</v>
      </c>
      <c r="S552" s="2" t="s">
        <v>39</v>
      </c>
      <c r="T552" s="2" t="s">
        <v>40</v>
      </c>
      <c r="U552" s="2" t="s">
        <v>4511</v>
      </c>
      <c r="V552" s="2"/>
      <c r="W552" s="2" t="s">
        <v>42</v>
      </c>
      <c r="X552" s="2" t="s">
        <v>43</v>
      </c>
      <c r="Y552" s="2" t="s">
        <v>37</v>
      </c>
      <c r="Z552" s="2" t="s">
        <v>44</v>
      </c>
      <c r="AA552" s="2"/>
      <c r="AB552" s="2"/>
      <c r="AC552" s="2" t="s">
        <v>4512</v>
      </c>
      <c r="AD552" s="2" t="s">
        <v>46</v>
      </c>
    </row>
    <row r="553" customFormat="false" ht="15.7" hidden="false" customHeight="true" outlineLevel="0" collapsed="false">
      <c r="A553" s="2"/>
      <c r="B553" s="3" t="n">
        <f aca="false">DATE(2007,3,27)</f>
        <v>0</v>
      </c>
      <c r="C553" s="3" t="n">
        <v>39168</v>
      </c>
      <c r="D553" s="2" t="s">
        <v>4489</v>
      </c>
      <c r="F553" s="2" t="s">
        <v>4490</v>
      </c>
      <c r="G553" s="2" t="s">
        <v>4491</v>
      </c>
      <c r="H553" s="2" t="s">
        <v>4492</v>
      </c>
      <c r="I553" s="2" t="s">
        <v>4493</v>
      </c>
      <c r="J553" s="2" t="s">
        <v>35</v>
      </c>
      <c r="K553" s="2" t="s">
        <v>4494</v>
      </c>
      <c r="L553" s="2" t="s">
        <v>4493</v>
      </c>
      <c r="M553" s="2" t="s">
        <v>4492</v>
      </c>
      <c r="N553" s="2" t="s">
        <v>4495</v>
      </c>
      <c r="O553" s="2" t="s">
        <v>4513</v>
      </c>
      <c r="P553" s="2" t="s">
        <v>37</v>
      </c>
      <c r="Q553" s="4" t="n">
        <v>3663</v>
      </c>
      <c r="R553" s="2" t="s">
        <v>402</v>
      </c>
      <c r="S553" s="2" t="s">
        <v>39</v>
      </c>
      <c r="T553" s="2" t="s">
        <v>40</v>
      </c>
      <c r="U553" s="2" t="s">
        <v>4514</v>
      </c>
      <c r="V553" s="2"/>
      <c r="W553" s="2" t="s">
        <v>107</v>
      </c>
      <c r="X553" s="2" t="s">
        <v>46</v>
      </c>
      <c r="Y553" s="2" t="s">
        <v>37</v>
      </c>
      <c r="Z553" s="2" t="s">
        <v>987</v>
      </c>
      <c r="AA553" s="2"/>
      <c r="AB553" s="2" t="s">
        <v>4515</v>
      </c>
      <c r="AC553" s="2" t="s">
        <v>4497</v>
      </c>
      <c r="AD553" s="2" t="s">
        <v>46</v>
      </c>
    </row>
    <row r="554" customFormat="false" ht="15.7" hidden="false" customHeight="true" outlineLevel="0" collapsed="false">
      <c r="A554" s="2"/>
      <c r="B554" s="3" t="n">
        <f aca="false">DATE(2007,3,27)</f>
        <v>0</v>
      </c>
      <c r="C554" s="3" t="n">
        <v>39168</v>
      </c>
      <c r="D554" s="2" t="s">
        <v>4516</v>
      </c>
      <c r="F554" s="2" t="s">
        <v>4517</v>
      </c>
      <c r="G554" s="2" t="s">
        <v>4518</v>
      </c>
      <c r="H554" s="2" t="s">
        <v>4519</v>
      </c>
      <c r="I554" s="2" t="s">
        <v>51</v>
      </c>
      <c r="J554" s="2" t="s">
        <v>4520</v>
      </c>
      <c r="K554" s="2" t="s">
        <v>4516</v>
      </c>
      <c r="L554" s="2" t="s">
        <v>51</v>
      </c>
      <c r="M554" s="2" t="s">
        <v>4519</v>
      </c>
      <c r="N554" s="2" t="s">
        <v>4521</v>
      </c>
      <c r="O554" s="2"/>
      <c r="P554" s="2" t="s">
        <v>37</v>
      </c>
      <c r="Q554" s="4" t="n">
        <v>8731</v>
      </c>
      <c r="R554" s="2" t="s">
        <v>56</v>
      </c>
      <c r="S554" s="2" t="s">
        <v>1484</v>
      </c>
      <c r="T554" s="2" t="s">
        <v>40</v>
      </c>
      <c r="U554" s="2" t="s">
        <v>4522</v>
      </c>
      <c r="V554" s="2"/>
      <c r="W554" s="2" t="s">
        <v>42</v>
      </c>
      <c r="X554" s="2" t="s">
        <v>43</v>
      </c>
      <c r="Y554" s="2" t="s">
        <v>37</v>
      </c>
      <c r="Z554" s="2" t="s">
        <v>44</v>
      </c>
      <c r="AA554" s="2"/>
      <c r="AB554" s="2"/>
      <c r="AC554" s="2" t="s">
        <v>4523</v>
      </c>
      <c r="AD554" s="2" t="s">
        <v>46</v>
      </c>
    </row>
    <row r="555" customFormat="false" ht="15.7" hidden="false" customHeight="true" outlineLevel="0" collapsed="false">
      <c r="A555" s="2"/>
      <c r="B555" s="3" t="n">
        <f aca="false">DATE(2007,3,27)</f>
        <v>0</v>
      </c>
      <c r="C555" s="3" t="n">
        <v>39168</v>
      </c>
      <c r="D555" s="2" t="s">
        <v>4524</v>
      </c>
      <c r="F555" s="2" t="s">
        <v>4525</v>
      </c>
      <c r="G555" s="2" t="s">
        <v>4526</v>
      </c>
      <c r="H555" s="2" t="s">
        <v>4527</v>
      </c>
      <c r="I555" s="2" t="s">
        <v>4528</v>
      </c>
      <c r="J555" s="2" t="s">
        <v>4529</v>
      </c>
      <c r="K555" s="2" t="s">
        <v>4530</v>
      </c>
      <c r="L555" s="2" t="s">
        <v>4528</v>
      </c>
      <c r="M555" s="2" t="s">
        <v>4531</v>
      </c>
      <c r="N555" s="2" t="s">
        <v>4532</v>
      </c>
      <c r="O555" s="2"/>
      <c r="P555" s="2" t="s">
        <v>37</v>
      </c>
      <c r="Q555" s="4" t="n">
        <v>8731</v>
      </c>
      <c r="R555" s="2" t="s">
        <v>136</v>
      </c>
      <c r="S555" s="2" t="s">
        <v>39</v>
      </c>
      <c r="T555" s="2" t="s">
        <v>40</v>
      </c>
      <c r="U555" s="2" t="s">
        <v>4533</v>
      </c>
      <c r="V555" s="2"/>
      <c r="W555" s="2" t="s">
        <v>138</v>
      </c>
      <c r="X555" s="2" t="s">
        <v>43</v>
      </c>
      <c r="Y555" s="2" t="s">
        <v>37</v>
      </c>
      <c r="Z555" s="2" t="s">
        <v>916</v>
      </c>
      <c r="AA555" s="2"/>
      <c r="AB555" s="2"/>
      <c r="AC555" s="2" t="s">
        <v>4534</v>
      </c>
      <c r="AD555" s="2" t="s">
        <v>46</v>
      </c>
    </row>
    <row r="556" customFormat="false" ht="15.7" hidden="false" customHeight="true" outlineLevel="0" collapsed="false">
      <c r="A556" s="2"/>
      <c r="B556" s="3" t="n">
        <f aca="false">DATE(2007,3,27)</f>
        <v>0</v>
      </c>
      <c r="C556" s="3" t="n">
        <v>39168</v>
      </c>
      <c r="D556" s="2" t="s">
        <v>4535</v>
      </c>
      <c r="F556" s="2" t="s">
        <v>2801</v>
      </c>
      <c r="G556" s="2" t="s">
        <v>4536</v>
      </c>
      <c r="H556" s="2" t="s">
        <v>130</v>
      </c>
      <c r="I556" s="2" t="s">
        <v>51</v>
      </c>
      <c r="J556" s="2" t="s">
        <v>4537</v>
      </c>
      <c r="K556" s="2" t="s">
        <v>4535</v>
      </c>
      <c r="L556" s="2" t="s">
        <v>51</v>
      </c>
      <c r="M556" s="2" t="s">
        <v>130</v>
      </c>
      <c r="N556" s="2" t="s">
        <v>4538</v>
      </c>
      <c r="O556" s="2"/>
      <c r="P556" s="2" t="s">
        <v>37</v>
      </c>
      <c r="Q556" s="4" t="n">
        <v>8731</v>
      </c>
      <c r="R556" s="2" t="s">
        <v>56</v>
      </c>
      <c r="S556" s="2" t="s">
        <v>3429</v>
      </c>
      <c r="T556" s="2" t="s">
        <v>40</v>
      </c>
      <c r="U556" s="2" t="s">
        <v>4539</v>
      </c>
      <c r="V556" s="2"/>
      <c r="W556" s="2" t="s">
        <v>42</v>
      </c>
      <c r="X556" s="2" t="s">
        <v>43</v>
      </c>
      <c r="Y556" s="2" t="s">
        <v>37</v>
      </c>
      <c r="Z556" s="2" t="s">
        <v>44</v>
      </c>
      <c r="AA556" s="2"/>
      <c r="AB556" s="2"/>
      <c r="AC556" s="2" t="s">
        <v>4540</v>
      </c>
      <c r="AD556" s="2" t="s">
        <v>46</v>
      </c>
    </row>
    <row r="557" customFormat="false" ht="15.7" hidden="false" customHeight="true" outlineLevel="0" collapsed="false">
      <c r="A557" s="2"/>
      <c r="B557" s="3" t="n">
        <f aca="false">DATE(2007,3,27)</f>
        <v>0</v>
      </c>
      <c r="C557" s="3" t="n">
        <v>39168</v>
      </c>
      <c r="D557" s="2" t="s">
        <v>4541</v>
      </c>
      <c r="F557" s="2" t="s">
        <v>4542</v>
      </c>
      <c r="G557" s="2" t="s">
        <v>4543</v>
      </c>
      <c r="H557" s="2" t="s">
        <v>130</v>
      </c>
      <c r="I557" s="2" t="s">
        <v>51</v>
      </c>
      <c r="J557" s="2" t="s">
        <v>4544</v>
      </c>
      <c r="K557" s="2" t="s">
        <v>4545</v>
      </c>
      <c r="L557" s="2" t="s">
        <v>51</v>
      </c>
      <c r="M557" s="2" t="s">
        <v>551</v>
      </c>
      <c r="N557" s="2" t="s">
        <v>4546</v>
      </c>
      <c r="O557" s="2"/>
      <c r="P557" s="2" t="s">
        <v>79</v>
      </c>
      <c r="Q557" s="4" t="n">
        <v>6794</v>
      </c>
      <c r="R557" s="2" t="s">
        <v>56</v>
      </c>
      <c r="S557" s="2" t="s">
        <v>57</v>
      </c>
      <c r="T557" s="2" t="s">
        <v>40</v>
      </c>
      <c r="U557" s="2" t="s">
        <v>4547</v>
      </c>
      <c r="V557" s="2"/>
      <c r="W557" s="2" t="s">
        <v>82</v>
      </c>
      <c r="X557" s="2" t="s">
        <v>43</v>
      </c>
      <c r="Y557" s="2" t="s">
        <v>37</v>
      </c>
      <c r="Z557" s="2" t="s">
        <v>44</v>
      </c>
      <c r="AA557" s="2"/>
      <c r="AB557" s="2"/>
      <c r="AC557" s="2" t="s">
        <v>4548</v>
      </c>
      <c r="AD557" s="2" t="s">
        <v>46</v>
      </c>
    </row>
    <row r="558" customFormat="false" ht="15.7" hidden="false" customHeight="true" outlineLevel="0" collapsed="false">
      <c r="A558" s="2"/>
      <c r="B558" s="3" t="n">
        <f aca="false">DATE(2007,3,27)</f>
        <v>0</v>
      </c>
      <c r="C558" s="3" t="n">
        <v>39168</v>
      </c>
      <c r="D558" s="2" t="s">
        <v>4549</v>
      </c>
      <c r="F558" s="2" t="s">
        <v>4550</v>
      </c>
      <c r="G558" s="2" t="s">
        <v>4551</v>
      </c>
      <c r="H558" s="2" t="s">
        <v>4552</v>
      </c>
      <c r="I558" s="2" t="s">
        <v>4553</v>
      </c>
      <c r="J558" s="2" t="s">
        <v>35</v>
      </c>
      <c r="K558" s="2" t="s">
        <v>4554</v>
      </c>
      <c r="L558" s="2" t="s">
        <v>4553</v>
      </c>
      <c r="M558" s="2" t="s">
        <v>551</v>
      </c>
      <c r="N558" s="2" t="s">
        <v>4555</v>
      </c>
      <c r="O558" s="2"/>
      <c r="P558" s="2" t="s">
        <v>37</v>
      </c>
      <c r="Q558" s="4" t="n">
        <v>8731</v>
      </c>
      <c r="R558" s="2" t="s">
        <v>450</v>
      </c>
      <c r="S558" s="2" t="s">
        <v>39</v>
      </c>
      <c r="T558" s="2" t="s">
        <v>40</v>
      </c>
      <c r="U558" s="2" t="s">
        <v>4556</v>
      </c>
      <c r="V558" s="2"/>
      <c r="W558" s="2" t="s">
        <v>42</v>
      </c>
      <c r="X558" s="2" t="s">
        <v>43</v>
      </c>
      <c r="Y558" s="2" t="s">
        <v>37</v>
      </c>
      <c r="Z558" s="2" t="s">
        <v>44</v>
      </c>
      <c r="AA558" s="2"/>
      <c r="AB558" s="2"/>
      <c r="AC558" s="2" t="s">
        <v>4557</v>
      </c>
      <c r="AD558" s="2" t="s">
        <v>46</v>
      </c>
    </row>
    <row r="559" customFormat="false" ht="15.7" hidden="false" customHeight="true" outlineLevel="0" collapsed="false">
      <c r="A559" s="2"/>
      <c r="B559" s="3" t="n">
        <f aca="false">DATE(2007,3,28)</f>
        <v>0</v>
      </c>
      <c r="C559" s="3" t="n">
        <v>39169</v>
      </c>
      <c r="D559" s="2" t="s">
        <v>4558</v>
      </c>
      <c r="F559" s="2" t="s">
        <v>4559</v>
      </c>
      <c r="G559" s="2" t="s">
        <v>4560</v>
      </c>
      <c r="H559" s="2" t="s">
        <v>4561</v>
      </c>
      <c r="I559" s="2" t="s">
        <v>4562</v>
      </c>
      <c r="J559" s="2" t="s">
        <v>35</v>
      </c>
      <c r="K559" s="2" t="s">
        <v>4558</v>
      </c>
      <c r="L559" s="2" t="s">
        <v>4562</v>
      </c>
      <c r="M559" s="2" t="s">
        <v>4561</v>
      </c>
      <c r="N559" s="2" t="s">
        <v>4563</v>
      </c>
      <c r="O559" s="2"/>
      <c r="P559" s="2" t="s">
        <v>37</v>
      </c>
      <c r="Q559" s="4" t="n">
        <v>8731</v>
      </c>
      <c r="R559" s="2" t="s">
        <v>2105</v>
      </c>
      <c r="S559" s="2" t="s">
        <v>39</v>
      </c>
      <c r="T559" s="2" t="s">
        <v>403</v>
      </c>
      <c r="U559" s="2" t="s">
        <v>4564</v>
      </c>
      <c r="V559" s="2"/>
      <c r="W559" s="2" t="s">
        <v>42</v>
      </c>
      <c r="X559" s="2" t="s">
        <v>46</v>
      </c>
      <c r="Y559" s="2" t="s">
        <v>37</v>
      </c>
      <c r="Z559" s="2" t="s">
        <v>362</v>
      </c>
      <c r="AA559" s="2"/>
      <c r="AB559" s="2"/>
      <c r="AC559" s="2" t="s">
        <v>4565</v>
      </c>
      <c r="AD559" s="2" t="s">
        <v>46</v>
      </c>
    </row>
    <row r="560" customFormat="false" ht="15.7" hidden="false" customHeight="true" outlineLevel="0" collapsed="false">
      <c r="A560" s="2"/>
      <c r="B560" s="3" t="n">
        <f aca="false">DATE(2007,3,28)</f>
        <v>0</v>
      </c>
      <c r="C560" s="3" t="n">
        <v>39169</v>
      </c>
      <c r="D560" s="2" t="s">
        <v>4566</v>
      </c>
      <c r="F560" s="2" t="s">
        <v>4567</v>
      </c>
      <c r="G560" s="2" t="s">
        <v>4568</v>
      </c>
      <c r="H560" s="2" t="s">
        <v>4569</v>
      </c>
      <c r="I560" s="2" t="s">
        <v>4570</v>
      </c>
      <c r="J560" s="2" t="s">
        <v>35</v>
      </c>
      <c r="K560" s="2" t="s">
        <v>4566</v>
      </c>
      <c r="L560" s="2" t="s">
        <v>4570</v>
      </c>
      <c r="M560" s="2" t="s">
        <v>4569</v>
      </c>
      <c r="N560" s="2" t="s">
        <v>4571</v>
      </c>
      <c r="O560" s="2"/>
      <c r="P560" s="2" t="s">
        <v>37</v>
      </c>
      <c r="Q560" s="4" t="n">
        <v>8731</v>
      </c>
      <c r="R560" s="2" t="s">
        <v>136</v>
      </c>
      <c r="S560" s="2" t="s">
        <v>39</v>
      </c>
      <c r="T560" s="2" t="s">
        <v>40</v>
      </c>
      <c r="U560" s="2" t="s">
        <v>4572</v>
      </c>
      <c r="V560" s="2"/>
      <c r="W560" s="2" t="s">
        <v>42</v>
      </c>
      <c r="X560" s="2" t="s">
        <v>43</v>
      </c>
      <c r="Y560" s="2" t="s">
        <v>37</v>
      </c>
      <c r="Z560" s="2" t="s">
        <v>44</v>
      </c>
      <c r="AA560" s="2"/>
      <c r="AB560" s="2"/>
      <c r="AC560" s="2" t="s">
        <v>4573</v>
      </c>
      <c r="AD560" s="2" t="s">
        <v>46</v>
      </c>
    </row>
    <row r="561" customFormat="false" ht="15.7" hidden="false" customHeight="true" outlineLevel="0" collapsed="false">
      <c r="A561" s="2"/>
      <c r="B561" s="3" t="n">
        <f aca="false">DATE(2007,3,29)</f>
        <v>0</v>
      </c>
      <c r="C561" s="3" t="n">
        <v>39170</v>
      </c>
      <c r="D561" s="2" t="s">
        <v>4574</v>
      </c>
      <c r="F561" s="2" t="s">
        <v>4575</v>
      </c>
      <c r="G561" s="2" t="s">
        <v>4576</v>
      </c>
      <c r="H561" s="2" t="s">
        <v>4577</v>
      </c>
      <c r="I561" s="2" t="s">
        <v>51</v>
      </c>
      <c r="J561" s="2" t="s">
        <v>4578</v>
      </c>
      <c r="K561" s="2" t="s">
        <v>4579</v>
      </c>
      <c r="L561" s="2" t="s">
        <v>51</v>
      </c>
      <c r="M561" s="2" t="s">
        <v>4580</v>
      </c>
      <c r="N561" s="2" t="s">
        <v>4581</v>
      </c>
      <c r="O561" s="2"/>
      <c r="P561" s="2" t="s">
        <v>37</v>
      </c>
      <c r="Q561" s="4" t="n">
        <v>8731</v>
      </c>
      <c r="R561" s="2" t="s">
        <v>136</v>
      </c>
      <c r="S561" s="2" t="s">
        <v>39</v>
      </c>
      <c r="T561" s="2" t="s">
        <v>40</v>
      </c>
      <c r="U561" s="2" t="s">
        <v>4582</v>
      </c>
      <c r="V561" s="2"/>
      <c r="W561" s="2" t="s">
        <v>42</v>
      </c>
      <c r="X561" s="2" t="s">
        <v>43</v>
      </c>
      <c r="Y561" s="2" t="s">
        <v>37</v>
      </c>
      <c r="Z561" s="2" t="s">
        <v>44</v>
      </c>
      <c r="AA561" s="2"/>
      <c r="AB561" s="2"/>
      <c r="AC561" s="2" t="s">
        <v>4583</v>
      </c>
      <c r="AD561" s="2" t="s">
        <v>46</v>
      </c>
    </row>
    <row r="562" customFormat="false" ht="15.7" hidden="false" customHeight="true" outlineLevel="0" collapsed="false">
      <c r="A562" s="2"/>
      <c r="B562" s="3" t="n">
        <f aca="false">DATE(2007,3,29)</f>
        <v>0</v>
      </c>
      <c r="C562" s="3" t="n">
        <v>39170</v>
      </c>
      <c r="D562" s="2" t="s">
        <v>4584</v>
      </c>
      <c r="F562" s="2" t="s">
        <v>4585</v>
      </c>
      <c r="G562" s="2" t="s">
        <v>4586</v>
      </c>
      <c r="H562" s="2" t="s">
        <v>170</v>
      </c>
      <c r="I562" s="2" t="s">
        <v>568</v>
      </c>
      <c r="J562" s="2" t="s">
        <v>203</v>
      </c>
      <c r="K562" s="2" t="s">
        <v>4587</v>
      </c>
      <c r="L562" s="2" t="s">
        <v>568</v>
      </c>
      <c r="M562" s="2" t="s">
        <v>63</v>
      </c>
      <c r="N562" s="2" t="s">
        <v>4588</v>
      </c>
      <c r="O562" s="2"/>
      <c r="P562" s="2" t="s">
        <v>79</v>
      </c>
      <c r="Q562" s="4" t="n">
        <v>6794</v>
      </c>
      <c r="R562" s="2" t="s">
        <v>136</v>
      </c>
      <c r="S562" s="2" t="s">
        <v>39</v>
      </c>
      <c r="T562" s="2" t="s">
        <v>40</v>
      </c>
      <c r="U562" s="2" t="s">
        <v>4589</v>
      </c>
      <c r="V562" s="2"/>
      <c r="W562" s="2" t="s">
        <v>233</v>
      </c>
      <c r="X562" s="2" t="s">
        <v>43</v>
      </c>
      <c r="Y562" s="2" t="s">
        <v>37</v>
      </c>
      <c r="Z562" s="2" t="s">
        <v>44</v>
      </c>
      <c r="AA562" s="2"/>
      <c r="AB562" s="2"/>
      <c r="AC562" s="2" t="s">
        <v>4590</v>
      </c>
      <c r="AD562" s="2" t="s">
        <v>46</v>
      </c>
    </row>
    <row r="563" customFormat="false" ht="15.7" hidden="false" customHeight="true" outlineLevel="0" collapsed="false">
      <c r="A563" s="2"/>
      <c r="B563" s="3" t="n">
        <f aca="false">DATE(2007,3,29)</f>
        <v>0</v>
      </c>
      <c r="C563" s="3" t="n">
        <v>39170</v>
      </c>
      <c r="D563" s="2" t="s">
        <v>4591</v>
      </c>
      <c r="F563" s="2" t="s">
        <v>4592</v>
      </c>
      <c r="G563" s="2" t="s">
        <v>4593</v>
      </c>
      <c r="H563" s="2" t="s">
        <v>4594</v>
      </c>
      <c r="I563" s="2" t="s">
        <v>4595</v>
      </c>
      <c r="J563" s="2" t="s">
        <v>1341</v>
      </c>
      <c r="K563" s="2" t="s">
        <v>4591</v>
      </c>
      <c r="L563" s="2" t="s">
        <v>4595</v>
      </c>
      <c r="M563" s="2" t="s">
        <v>4594</v>
      </c>
      <c r="N563" s="2" t="s">
        <v>4596</v>
      </c>
      <c r="O563" s="2"/>
      <c r="P563" s="2" t="s">
        <v>37</v>
      </c>
      <c r="Q563" s="4" t="n">
        <v>8731</v>
      </c>
      <c r="R563" s="2" t="s">
        <v>56</v>
      </c>
      <c r="S563" s="2" t="s">
        <v>92</v>
      </c>
      <c r="T563" s="2" t="s">
        <v>40</v>
      </c>
      <c r="U563" s="2" t="s">
        <v>4597</v>
      </c>
      <c r="V563" s="2"/>
      <c r="W563" s="2" t="s">
        <v>42</v>
      </c>
      <c r="X563" s="2" t="s">
        <v>43</v>
      </c>
      <c r="Y563" s="2" t="s">
        <v>37</v>
      </c>
      <c r="Z563" s="2" t="s">
        <v>44</v>
      </c>
      <c r="AA563" s="2"/>
      <c r="AB563" s="2"/>
      <c r="AC563" s="2" t="s">
        <v>4598</v>
      </c>
      <c r="AD563" s="2" t="s">
        <v>46</v>
      </c>
    </row>
    <row r="564" customFormat="false" ht="15.7" hidden="false" customHeight="true" outlineLevel="0" collapsed="false">
      <c r="A564" s="2"/>
      <c r="B564" s="3" t="n">
        <f aca="false">DATE(2007,3,29)</f>
        <v>0</v>
      </c>
      <c r="C564" s="3" t="n">
        <v>39170</v>
      </c>
      <c r="D564" s="2" t="s">
        <v>4584</v>
      </c>
      <c r="F564" s="2" t="s">
        <v>4585</v>
      </c>
      <c r="G564" s="2" t="s">
        <v>4586</v>
      </c>
      <c r="H564" s="2" t="s">
        <v>170</v>
      </c>
      <c r="I564" s="2" t="s">
        <v>568</v>
      </c>
      <c r="J564" s="2" t="s">
        <v>203</v>
      </c>
      <c r="K564" s="2" t="s">
        <v>4587</v>
      </c>
      <c r="L564" s="2" t="s">
        <v>568</v>
      </c>
      <c r="M564" s="2" t="s">
        <v>63</v>
      </c>
      <c r="N564" s="2" t="s">
        <v>4588</v>
      </c>
      <c r="O564" s="2"/>
      <c r="P564" s="2" t="s">
        <v>79</v>
      </c>
      <c r="Q564" s="4" t="n">
        <v>6794</v>
      </c>
      <c r="R564" s="2" t="s">
        <v>136</v>
      </c>
      <c r="S564" s="2" t="s">
        <v>39</v>
      </c>
      <c r="T564" s="2" t="s">
        <v>40</v>
      </c>
      <c r="U564" s="2" t="s">
        <v>4599</v>
      </c>
      <c r="V564" s="2"/>
      <c r="W564" s="2" t="s">
        <v>233</v>
      </c>
      <c r="X564" s="2" t="s">
        <v>43</v>
      </c>
      <c r="Y564" s="2" t="s">
        <v>37</v>
      </c>
      <c r="Z564" s="2" t="s">
        <v>44</v>
      </c>
      <c r="AA564" s="2"/>
      <c r="AB564" s="2"/>
      <c r="AC564" s="2" t="s">
        <v>4590</v>
      </c>
      <c r="AD564" s="2" t="s">
        <v>46</v>
      </c>
    </row>
    <row r="565" customFormat="false" ht="15.7" hidden="false" customHeight="true" outlineLevel="0" collapsed="false">
      <c r="A565" s="2"/>
      <c r="B565" s="3" t="n">
        <f aca="false">DATE(2007,3,30)</f>
        <v>0</v>
      </c>
      <c r="C565" s="3" t="n">
        <v>39171</v>
      </c>
      <c r="D565" s="2" t="s">
        <v>4600</v>
      </c>
      <c r="F565" s="2" t="s">
        <v>4601</v>
      </c>
      <c r="G565" s="2" t="s">
        <v>4602</v>
      </c>
      <c r="H565" s="2" t="s">
        <v>170</v>
      </c>
      <c r="I565" s="2" t="s">
        <v>1164</v>
      </c>
      <c r="J565" s="2" t="s">
        <v>35</v>
      </c>
      <c r="K565" s="2" t="s">
        <v>4600</v>
      </c>
      <c r="L565" s="2" t="s">
        <v>1164</v>
      </c>
      <c r="M565" s="2" t="s">
        <v>170</v>
      </c>
      <c r="N565" s="2" t="s">
        <v>4603</v>
      </c>
      <c r="O565" s="2"/>
      <c r="P565" s="2" t="s">
        <v>79</v>
      </c>
      <c r="Q565" s="4" t="n">
        <v>6794</v>
      </c>
      <c r="R565" s="2" t="s">
        <v>136</v>
      </c>
      <c r="S565" s="2" t="s">
        <v>39</v>
      </c>
      <c r="T565" s="2" t="s">
        <v>40</v>
      </c>
      <c r="U565" s="2" t="s">
        <v>4604</v>
      </c>
      <c r="V565" s="2"/>
      <c r="W565" s="2" t="s">
        <v>82</v>
      </c>
      <c r="X565" s="2" t="s">
        <v>43</v>
      </c>
      <c r="Y565" s="2" t="s">
        <v>37</v>
      </c>
      <c r="Z565" s="2" t="s">
        <v>44</v>
      </c>
      <c r="AA565" s="2"/>
      <c r="AB565" s="2"/>
      <c r="AC565" s="2" t="s">
        <v>4605</v>
      </c>
      <c r="AD565" s="2" t="s">
        <v>46</v>
      </c>
    </row>
    <row r="566" customFormat="false" ht="15.7" hidden="false" customHeight="true" outlineLevel="0" collapsed="false">
      <c r="A566" s="2"/>
      <c r="B566" s="3" t="n">
        <f aca="false">DATE(2007,3,30)</f>
        <v>0</v>
      </c>
      <c r="C566" s="3" t="n">
        <v>39171</v>
      </c>
      <c r="D566" s="2" t="s">
        <v>4606</v>
      </c>
      <c r="F566" s="2" t="s">
        <v>3115</v>
      </c>
      <c r="G566" s="2" t="s">
        <v>4607</v>
      </c>
      <c r="H566" s="2" t="s">
        <v>130</v>
      </c>
      <c r="I566" s="2" t="s">
        <v>34</v>
      </c>
      <c r="J566" s="2" t="s">
        <v>35</v>
      </c>
      <c r="K566" s="2" t="s">
        <v>4606</v>
      </c>
      <c r="L566" s="2" t="s">
        <v>34</v>
      </c>
      <c r="M566" s="2" t="s">
        <v>130</v>
      </c>
      <c r="N566" s="2" t="s">
        <v>4608</v>
      </c>
      <c r="O566" s="2"/>
      <c r="P566" s="2" t="s">
        <v>37</v>
      </c>
      <c r="Q566" s="4" t="n">
        <v>8731</v>
      </c>
      <c r="R566" s="2" t="s">
        <v>38</v>
      </c>
      <c r="S566" s="2" t="s">
        <v>39</v>
      </c>
      <c r="T566" s="2" t="s">
        <v>122</v>
      </c>
      <c r="U566" s="2" t="s">
        <v>4609</v>
      </c>
      <c r="V566" s="2"/>
      <c r="W566" s="2" t="s">
        <v>42</v>
      </c>
      <c r="X566" s="2" t="s">
        <v>43</v>
      </c>
      <c r="Y566" s="2" t="s">
        <v>37</v>
      </c>
      <c r="Z566" s="2" t="s">
        <v>44</v>
      </c>
      <c r="AA566" s="2" t="s">
        <v>4610</v>
      </c>
      <c r="AB566" s="2"/>
      <c r="AC566" s="2" t="s">
        <v>4611</v>
      </c>
      <c r="AD566" s="2" t="s">
        <v>46</v>
      </c>
    </row>
    <row r="567" customFormat="false" ht="15.7" hidden="false" customHeight="true" outlineLevel="0" collapsed="false">
      <c r="A567" s="2"/>
      <c r="B567" s="3" t="n">
        <f aca="false">DATE(2007,3,30)</f>
        <v>0</v>
      </c>
      <c r="C567" s="3" t="n">
        <v>39171</v>
      </c>
      <c r="D567" s="2" t="s">
        <v>4612</v>
      </c>
      <c r="F567" s="2" t="s">
        <v>4613</v>
      </c>
      <c r="G567" s="2" t="s">
        <v>4614</v>
      </c>
      <c r="H567" s="2" t="s">
        <v>4615</v>
      </c>
      <c r="I567" s="2" t="s">
        <v>435</v>
      </c>
      <c r="J567" s="2" t="s">
        <v>4616</v>
      </c>
      <c r="K567" s="2" t="s">
        <v>4612</v>
      </c>
      <c r="L567" s="2" t="s">
        <v>435</v>
      </c>
      <c r="M567" s="2" t="s">
        <v>4615</v>
      </c>
      <c r="N567" s="2" t="s">
        <v>4617</v>
      </c>
      <c r="O567" s="2"/>
      <c r="P567" s="2" t="s">
        <v>37</v>
      </c>
      <c r="Q567" s="4" t="n">
        <v>8731</v>
      </c>
      <c r="R567" s="2" t="s">
        <v>136</v>
      </c>
      <c r="S567" s="2" t="s">
        <v>39</v>
      </c>
      <c r="T567" s="2" t="s">
        <v>40</v>
      </c>
      <c r="U567" s="2" t="s">
        <v>4618</v>
      </c>
      <c r="V567" s="2"/>
      <c r="W567" s="2" t="s">
        <v>42</v>
      </c>
      <c r="X567" s="2" t="s">
        <v>43</v>
      </c>
      <c r="Y567" s="2" t="s">
        <v>37</v>
      </c>
      <c r="Z567" s="2" t="s">
        <v>44</v>
      </c>
      <c r="AA567" s="2"/>
      <c r="AB567" s="2"/>
      <c r="AC567" s="2" t="s">
        <v>4619</v>
      </c>
      <c r="AD567" s="2" t="s">
        <v>46</v>
      </c>
    </row>
    <row r="568" customFormat="false" ht="15.7" hidden="false" customHeight="true" outlineLevel="0" collapsed="false">
      <c r="A568" s="2"/>
      <c r="B568" s="3" t="n">
        <f aca="false">DATE(2007,4,1)</f>
        <v>0</v>
      </c>
      <c r="C568" s="3" t="n">
        <v>39173</v>
      </c>
      <c r="D568" s="2" t="s">
        <v>4620</v>
      </c>
      <c r="F568" s="2" t="s">
        <v>4621</v>
      </c>
      <c r="G568" s="2" t="s">
        <v>4622</v>
      </c>
      <c r="H568" s="2" t="s">
        <v>3840</v>
      </c>
      <c r="I568" s="2" t="s">
        <v>4623</v>
      </c>
      <c r="J568" s="2" t="s">
        <v>35</v>
      </c>
      <c r="K568" s="2" t="s">
        <v>4620</v>
      </c>
      <c r="L568" s="2" t="s">
        <v>4623</v>
      </c>
      <c r="M568" s="2" t="s">
        <v>3840</v>
      </c>
      <c r="N568" s="2" t="s">
        <v>4624</v>
      </c>
      <c r="O568" s="2"/>
      <c r="P568" s="2" t="s">
        <v>37</v>
      </c>
      <c r="Q568" s="4" t="n">
        <v>8731</v>
      </c>
      <c r="R568" s="2" t="s">
        <v>1195</v>
      </c>
      <c r="S568" s="2" t="s">
        <v>39</v>
      </c>
      <c r="T568" s="2" t="s">
        <v>403</v>
      </c>
      <c r="U568" s="2" t="s">
        <v>4625</v>
      </c>
      <c r="V568" s="2"/>
      <c r="W568" s="2" t="s">
        <v>42</v>
      </c>
      <c r="X568" s="2" t="s">
        <v>46</v>
      </c>
      <c r="Y568" s="2" t="s">
        <v>37</v>
      </c>
      <c r="Z568" s="2" t="s">
        <v>987</v>
      </c>
      <c r="AA568" s="2"/>
      <c r="AB568" s="2"/>
      <c r="AC568" s="2" t="s">
        <v>4626</v>
      </c>
      <c r="AD568" s="2" t="s">
        <v>46</v>
      </c>
    </row>
    <row r="569" customFormat="false" ht="15.7" hidden="false" customHeight="true" outlineLevel="0" collapsed="false">
      <c r="A569" s="2"/>
      <c r="B569" s="3" t="n">
        <f aca="false">DATE(2007,4,3)</f>
        <v>0</v>
      </c>
      <c r="C569" s="3" t="n">
        <v>39175</v>
      </c>
      <c r="D569" s="2" t="s">
        <v>4627</v>
      </c>
      <c r="F569" s="2" t="s">
        <v>4628</v>
      </c>
      <c r="G569" s="2" t="s">
        <v>4629</v>
      </c>
      <c r="H569" s="2" t="s">
        <v>4630</v>
      </c>
      <c r="I569" s="2" t="s">
        <v>2354</v>
      </c>
      <c r="J569" s="2" t="s">
        <v>35</v>
      </c>
      <c r="K569" s="2" t="s">
        <v>4631</v>
      </c>
      <c r="L569" s="2" t="s">
        <v>2354</v>
      </c>
      <c r="M569" s="2" t="s">
        <v>4632</v>
      </c>
      <c r="N569" s="2" t="s">
        <v>4633</v>
      </c>
      <c r="O569" s="2"/>
      <c r="P569" s="2" t="s">
        <v>37</v>
      </c>
      <c r="Q569" s="4" t="n">
        <v>8731</v>
      </c>
      <c r="R569" s="2" t="s">
        <v>136</v>
      </c>
      <c r="S569" s="2" t="s">
        <v>39</v>
      </c>
      <c r="T569" s="2" t="s">
        <v>403</v>
      </c>
      <c r="U569" s="2" t="s">
        <v>4634</v>
      </c>
      <c r="V569" s="2"/>
      <c r="W569" s="2" t="s">
        <v>42</v>
      </c>
      <c r="X569" s="2" t="s">
        <v>43</v>
      </c>
      <c r="Y569" s="2" t="s">
        <v>37</v>
      </c>
      <c r="Z569" s="2" t="s">
        <v>44</v>
      </c>
      <c r="AA569" s="2"/>
      <c r="AB569" s="2"/>
      <c r="AC569" s="2" t="s">
        <v>4635</v>
      </c>
      <c r="AD569" s="2" t="s">
        <v>46</v>
      </c>
    </row>
    <row r="570" customFormat="false" ht="15.7" hidden="false" customHeight="true" outlineLevel="0" collapsed="false">
      <c r="A570" s="2"/>
      <c r="B570" s="3" t="n">
        <f aca="false">DATE(2007,4,4)</f>
        <v>0</v>
      </c>
      <c r="C570" s="3" t="n">
        <v>39176</v>
      </c>
      <c r="D570" s="2" t="s">
        <v>4636</v>
      </c>
      <c r="F570" s="2" t="s">
        <v>4637</v>
      </c>
      <c r="G570" s="2" t="s">
        <v>4638</v>
      </c>
      <c r="H570" s="2" t="s">
        <v>130</v>
      </c>
      <c r="I570" s="2" t="s">
        <v>51</v>
      </c>
      <c r="J570" s="2" t="s">
        <v>828</v>
      </c>
      <c r="K570" s="2" t="s">
        <v>4636</v>
      </c>
      <c r="L570" s="2" t="s">
        <v>51</v>
      </c>
      <c r="M570" s="2" t="s">
        <v>130</v>
      </c>
      <c r="N570" s="2" t="s">
        <v>4639</v>
      </c>
      <c r="O570" s="2"/>
      <c r="P570" s="2" t="s">
        <v>79</v>
      </c>
      <c r="Q570" s="4" t="n">
        <v>6794</v>
      </c>
      <c r="R570" s="2" t="s">
        <v>136</v>
      </c>
      <c r="S570" s="2" t="s">
        <v>39</v>
      </c>
      <c r="T570" s="2" t="s">
        <v>40</v>
      </c>
      <c r="U570" s="2" t="s">
        <v>4640</v>
      </c>
      <c r="V570" s="2"/>
      <c r="W570" s="2" t="s">
        <v>1382</v>
      </c>
      <c r="X570" s="2" t="s">
        <v>43</v>
      </c>
      <c r="Y570" s="2" t="s">
        <v>37</v>
      </c>
      <c r="Z570" s="2" t="s">
        <v>44</v>
      </c>
      <c r="AA570" s="2" t="s">
        <v>4641</v>
      </c>
      <c r="AB570" s="2"/>
      <c r="AC570" s="2" t="s">
        <v>4642</v>
      </c>
      <c r="AD570" s="2" t="s">
        <v>46</v>
      </c>
    </row>
    <row r="571" customFormat="false" ht="15.7" hidden="false" customHeight="true" outlineLevel="0" collapsed="false">
      <c r="A571" s="2"/>
      <c r="B571" s="3" t="n">
        <f aca="false">DATE(2007,4,4)</f>
        <v>0</v>
      </c>
      <c r="C571" s="3" t="n">
        <v>39176</v>
      </c>
      <c r="D571" s="2" t="s">
        <v>4643</v>
      </c>
      <c r="F571" s="2" t="s">
        <v>4644</v>
      </c>
      <c r="G571" s="2" t="s">
        <v>4645</v>
      </c>
      <c r="H571" s="2" t="s">
        <v>4646</v>
      </c>
      <c r="I571" s="2" t="s">
        <v>51</v>
      </c>
      <c r="J571" s="2" t="s">
        <v>4647</v>
      </c>
      <c r="K571" s="2" t="s">
        <v>4648</v>
      </c>
      <c r="L571" s="2" t="s">
        <v>51</v>
      </c>
      <c r="M571" s="2" t="s">
        <v>4649</v>
      </c>
      <c r="N571" s="2" t="s">
        <v>4650</v>
      </c>
      <c r="O571" s="2"/>
      <c r="P571" s="2" t="s">
        <v>37</v>
      </c>
      <c r="Q571" s="4" t="n">
        <v>8731</v>
      </c>
      <c r="R571" s="2" t="s">
        <v>56</v>
      </c>
      <c r="S571" s="2" t="s">
        <v>92</v>
      </c>
      <c r="T571" s="2" t="s">
        <v>40</v>
      </c>
      <c r="U571" s="2" t="s">
        <v>4651</v>
      </c>
      <c r="V571" s="2"/>
      <c r="W571" s="2" t="s">
        <v>42</v>
      </c>
      <c r="X571" s="2" t="s">
        <v>43</v>
      </c>
      <c r="Y571" s="2" t="s">
        <v>37</v>
      </c>
      <c r="Z571" s="2" t="s">
        <v>44</v>
      </c>
      <c r="AA571" s="2"/>
      <c r="AB571" s="2"/>
      <c r="AC571" s="2" t="s">
        <v>4652</v>
      </c>
      <c r="AD571" s="2" t="s">
        <v>46</v>
      </c>
    </row>
    <row r="572" customFormat="false" ht="15.7" hidden="false" customHeight="true" outlineLevel="0" collapsed="false">
      <c r="A572" s="2"/>
      <c r="B572" s="3" t="n">
        <f aca="false">DATE(2007,4,4)</f>
        <v>0</v>
      </c>
      <c r="C572" s="3" t="n">
        <v>39176</v>
      </c>
      <c r="D572" s="2" t="s">
        <v>4653</v>
      </c>
      <c r="F572" s="2" t="s">
        <v>4654</v>
      </c>
      <c r="G572" s="2" t="s">
        <v>4655</v>
      </c>
      <c r="H572" s="2" t="s">
        <v>1101</v>
      </c>
      <c r="I572" s="2" t="s">
        <v>51</v>
      </c>
      <c r="J572" s="2" t="s">
        <v>4656</v>
      </c>
      <c r="K572" s="2" t="s">
        <v>4657</v>
      </c>
      <c r="L572" s="2" t="s">
        <v>51</v>
      </c>
      <c r="M572" s="2" t="s">
        <v>814</v>
      </c>
      <c r="N572" s="2" t="s">
        <v>4658</v>
      </c>
      <c r="O572" s="2"/>
      <c r="P572" s="2" t="s">
        <v>37</v>
      </c>
      <c r="Q572" s="4" t="n">
        <v>8731</v>
      </c>
      <c r="R572" s="2" t="s">
        <v>56</v>
      </c>
      <c r="S572" s="2" t="s">
        <v>1484</v>
      </c>
      <c r="T572" s="2" t="s">
        <v>403</v>
      </c>
      <c r="U572" s="2" t="s">
        <v>4659</v>
      </c>
      <c r="V572" s="2"/>
      <c r="W572" s="2" t="s">
        <v>42</v>
      </c>
      <c r="X572" s="2" t="s">
        <v>46</v>
      </c>
      <c r="Y572" s="2" t="s">
        <v>37</v>
      </c>
      <c r="Z572" s="2" t="s">
        <v>2732</v>
      </c>
      <c r="AA572" s="2"/>
      <c r="AB572" s="2"/>
      <c r="AC572" s="2" t="s">
        <v>4660</v>
      </c>
      <c r="AD572" s="2" t="s">
        <v>46</v>
      </c>
    </row>
    <row r="573" customFormat="false" ht="15.7" hidden="false" customHeight="true" outlineLevel="0" collapsed="false">
      <c r="A573" s="2"/>
      <c r="B573" s="3" t="n">
        <f aca="false">DATE(2007,4,9)</f>
        <v>0</v>
      </c>
      <c r="C573" s="3" t="n">
        <v>39181</v>
      </c>
      <c r="D573" s="2" t="s">
        <v>4661</v>
      </c>
      <c r="F573" s="2" t="s">
        <v>4662</v>
      </c>
      <c r="G573" s="2" t="s">
        <v>4663</v>
      </c>
      <c r="H573" s="2" t="s">
        <v>1020</v>
      </c>
      <c r="I573" s="2" t="s">
        <v>51</v>
      </c>
      <c r="J573" s="2" t="s">
        <v>4664</v>
      </c>
      <c r="K573" s="2" t="s">
        <v>4665</v>
      </c>
      <c r="L573" s="2" t="s">
        <v>51</v>
      </c>
      <c r="M573" s="2" t="s">
        <v>1476</v>
      </c>
      <c r="N573" s="2" t="s">
        <v>4666</v>
      </c>
      <c r="O573" s="2"/>
      <c r="P573" s="2" t="s">
        <v>37</v>
      </c>
      <c r="Q573" s="4" t="n">
        <v>8731</v>
      </c>
      <c r="R573" s="2" t="s">
        <v>56</v>
      </c>
      <c r="S573" s="2" t="s">
        <v>3429</v>
      </c>
      <c r="T573" s="2" t="s">
        <v>40</v>
      </c>
      <c r="U573" s="2" t="s">
        <v>4667</v>
      </c>
      <c r="V573" s="2"/>
      <c r="W573" s="2" t="s">
        <v>42</v>
      </c>
      <c r="X573" s="2" t="s">
        <v>43</v>
      </c>
      <c r="Y573" s="2" t="s">
        <v>37</v>
      </c>
      <c r="Z573" s="2" t="s">
        <v>44</v>
      </c>
      <c r="AA573" s="2"/>
      <c r="AB573" s="2"/>
      <c r="AC573" s="2" t="s">
        <v>4668</v>
      </c>
      <c r="AD573" s="2" t="s">
        <v>46</v>
      </c>
    </row>
    <row r="574" customFormat="false" ht="15.7" hidden="false" customHeight="true" outlineLevel="0" collapsed="false">
      <c r="A574" s="2"/>
      <c r="B574" s="3" t="n">
        <f aca="false">DATE(2007,4,10)</f>
        <v>0</v>
      </c>
      <c r="C574" s="3" t="n">
        <v>39182</v>
      </c>
      <c r="D574" s="2" t="s">
        <v>4669</v>
      </c>
      <c r="F574" s="2" t="s">
        <v>4670</v>
      </c>
      <c r="G574" s="2" t="s">
        <v>4671</v>
      </c>
      <c r="H574" s="2" t="s">
        <v>4672</v>
      </c>
      <c r="I574" s="2" t="s">
        <v>1080</v>
      </c>
      <c r="J574" s="2" t="s">
        <v>35</v>
      </c>
      <c r="K574" s="2" t="s">
        <v>4669</v>
      </c>
      <c r="L574" s="2" t="s">
        <v>1080</v>
      </c>
      <c r="M574" s="2" t="s">
        <v>4672</v>
      </c>
      <c r="N574" s="2" t="s">
        <v>4673</v>
      </c>
      <c r="O574" s="2" t="s">
        <v>4674</v>
      </c>
      <c r="P574" s="2" t="s">
        <v>37</v>
      </c>
      <c r="Q574" s="4" t="n">
        <v>8732</v>
      </c>
      <c r="R574" s="2" t="s">
        <v>2201</v>
      </c>
      <c r="S574" s="2" t="s">
        <v>39</v>
      </c>
      <c r="T574" s="2" t="s">
        <v>40</v>
      </c>
      <c r="U574" s="2" t="s">
        <v>4675</v>
      </c>
      <c r="V574" s="2"/>
      <c r="W574" s="2" t="s">
        <v>2636</v>
      </c>
      <c r="X574" s="2" t="s">
        <v>46</v>
      </c>
      <c r="Y574" s="2" t="s">
        <v>37</v>
      </c>
      <c r="Z574" s="2" t="s">
        <v>987</v>
      </c>
      <c r="AA574" s="2"/>
      <c r="AB574" s="2" t="s">
        <v>4676</v>
      </c>
      <c r="AC574" s="2" t="s">
        <v>4677</v>
      </c>
      <c r="AD574" s="2" t="s">
        <v>46</v>
      </c>
    </row>
    <row r="575" customFormat="false" ht="15.7" hidden="false" customHeight="true" outlineLevel="0" collapsed="false">
      <c r="A575" s="2"/>
      <c r="B575" s="3" t="n">
        <f aca="false">DATE(2007,4,10)</f>
        <v>0</v>
      </c>
      <c r="C575" s="3" t="n">
        <v>39182</v>
      </c>
      <c r="D575" s="2" t="s">
        <v>4678</v>
      </c>
      <c r="F575" s="2" t="s">
        <v>4679</v>
      </c>
      <c r="G575" s="2" t="s">
        <v>4680</v>
      </c>
      <c r="H575" s="2" t="s">
        <v>4681</v>
      </c>
      <c r="I575" s="2" t="s">
        <v>3802</v>
      </c>
      <c r="J575" s="2" t="s">
        <v>35</v>
      </c>
      <c r="K575" s="2" t="s">
        <v>4678</v>
      </c>
      <c r="L575" s="2" t="s">
        <v>3802</v>
      </c>
      <c r="M575" s="2" t="s">
        <v>4681</v>
      </c>
      <c r="N575" s="2" t="s">
        <v>4682</v>
      </c>
      <c r="O575" s="2"/>
      <c r="P575" s="2" t="s">
        <v>37</v>
      </c>
      <c r="Q575" s="4" t="n">
        <v>8731</v>
      </c>
      <c r="R575" s="2" t="s">
        <v>136</v>
      </c>
      <c r="S575" s="2" t="s">
        <v>39</v>
      </c>
      <c r="T575" s="2" t="s">
        <v>40</v>
      </c>
      <c r="U575" s="2" t="s">
        <v>4683</v>
      </c>
      <c r="V575" s="2"/>
      <c r="W575" s="2" t="s">
        <v>42</v>
      </c>
      <c r="X575" s="2" t="s">
        <v>43</v>
      </c>
      <c r="Y575" s="2" t="s">
        <v>37</v>
      </c>
      <c r="Z575" s="2" t="s">
        <v>44</v>
      </c>
      <c r="AA575" s="2"/>
      <c r="AB575" s="2"/>
      <c r="AC575" s="2" t="s">
        <v>4684</v>
      </c>
      <c r="AD575" s="2" t="s">
        <v>46</v>
      </c>
    </row>
    <row r="576" customFormat="false" ht="15.7" hidden="false" customHeight="true" outlineLevel="0" collapsed="false">
      <c r="A576" s="2"/>
      <c r="B576" s="3" t="n">
        <f aca="false">DATE(2007,4,10)</f>
        <v>0</v>
      </c>
      <c r="C576" s="3" t="n">
        <v>39182</v>
      </c>
      <c r="D576" s="2" t="s">
        <v>4685</v>
      </c>
      <c r="F576" s="2" t="s">
        <v>4686</v>
      </c>
      <c r="G576" s="2" t="s">
        <v>4687</v>
      </c>
      <c r="H576" s="2" t="s">
        <v>4688</v>
      </c>
      <c r="I576" s="2" t="s">
        <v>4689</v>
      </c>
      <c r="J576" s="2" t="s">
        <v>35</v>
      </c>
      <c r="K576" s="2" t="s">
        <v>4685</v>
      </c>
      <c r="L576" s="2" t="s">
        <v>4689</v>
      </c>
      <c r="M576" s="2" t="s">
        <v>4688</v>
      </c>
      <c r="N576" s="2" t="s">
        <v>4690</v>
      </c>
      <c r="O576" s="2"/>
      <c r="P576" s="2" t="s">
        <v>37</v>
      </c>
      <c r="Q576" s="4" t="n">
        <v>8731</v>
      </c>
      <c r="R576" s="2" t="s">
        <v>4691</v>
      </c>
      <c r="S576" s="2" t="s">
        <v>39</v>
      </c>
      <c r="T576" s="2" t="s">
        <v>403</v>
      </c>
      <c r="U576" s="2" t="s">
        <v>4692</v>
      </c>
      <c r="V576" s="2"/>
      <c r="W576" s="2" t="s">
        <v>42</v>
      </c>
      <c r="X576" s="2" t="s">
        <v>43</v>
      </c>
      <c r="Y576" s="2" t="s">
        <v>37</v>
      </c>
      <c r="Z576" s="2" t="s">
        <v>44</v>
      </c>
      <c r="AA576" s="2"/>
      <c r="AB576" s="2"/>
      <c r="AC576" s="2" t="s">
        <v>4693</v>
      </c>
      <c r="AD576" s="2" t="s">
        <v>46</v>
      </c>
    </row>
    <row r="577" customFormat="false" ht="15.7" hidden="false" customHeight="true" outlineLevel="0" collapsed="false">
      <c r="A577" s="2"/>
      <c r="B577" s="3" t="n">
        <f aca="false">DATE(2007,4,10)</f>
        <v>0</v>
      </c>
      <c r="C577" s="3" t="n">
        <v>39182</v>
      </c>
      <c r="D577" s="2" t="s">
        <v>4694</v>
      </c>
      <c r="F577" s="2" t="s">
        <v>4695</v>
      </c>
      <c r="G577" s="2" t="s">
        <v>4696</v>
      </c>
      <c r="H577" s="2" t="s">
        <v>63</v>
      </c>
      <c r="I577" s="2" t="s">
        <v>51</v>
      </c>
      <c r="J577" s="2" t="s">
        <v>4697</v>
      </c>
      <c r="K577" s="2" t="s">
        <v>4698</v>
      </c>
      <c r="L577" s="2" t="s">
        <v>51</v>
      </c>
      <c r="M577" s="2" t="s">
        <v>63</v>
      </c>
      <c r="N577" s="2" t="s">
        <v>4699</v>
      </c>
      <c r="O577" s="2"/>
      <c r="P577" s="2" t="s">
        <v>37</v>
      </c>
      <c r="Q577" s="4" t="n">
        <v>8731</v>
      </c>
      <c r="R577" s="2" t="s">
        <v>56</v>
      </c>
      <c r="S577" s="2" t="s">
        <v>788</v>
      </c>
      <c r="T577" s="2" t="s">
        <v>40</v>
      </c>
      <c r="U577" s="2" t="s">
        <v>4700</v>
      </c>
      <c r="V577" s="2"/>
      <c r="W577" s="2" t="s">
        <v>42</v>
      </c>
      <c r="X577" s="2" t="s">
        <v>43</v>
      </c>
      <c r="Y577" s="2" t="s">
        <v>37</v>
      </c>
      <c r="Z577" s="2" t="s">
        <v>44</v>
      </c>
      <c r="AA577" s="2"/>
      <c r="AB577" s="2"/>
      <c r="AC577" s="2" t="s">
        <v>4701</v>
      </c>
      <c r="AD577" s="2" t="s">
        <v>46</v>
      </c>
    </row>
    <row r="578" customFormat="false" ht="15.7" hidden="false" customHeight="true" outlineLevel="0" collapsed="false">
      <c r="A578" s="2"/>
      <c r="B578" s="3" t="n">
        <f aca="false">DATE(2007,4,11)</f>
        <v>0</v>
      </c>
      <c r="C578" s="3" t="n">
        <v>39183</v>
      </c>
      <c r="D578" s="2" t="s">
        <v>4702</v>
      </c>
      <c r="F578" s="2" t="s">
        <v>4703</v>
      </c>
      <c r="G578" s="2" t="s">
        <v>4704</v>
      </c>
      <c r="H578" s="2" t="s">
        <v>305</v>
      </c>
      <c r="I578" s="2" t="s">
        <v>4705</v>
      </c>
      <c r="J578" s="2" t="s">
        <v>35</v>
      </c>
      <c r="K578" s="2" t="s">
        <v>4706</v>
      </c>
      <c r="L578" s="2" t="s">
        <v>4705</v>
      </c>
      <c r="M578" s="2" t="s">
        <v>130</v>
      </c>
      <c r="N578" s="2" t="s">
        <v>4707</v>
      </c>
      <c r="O578" s="2"/>
      <c r="P578" s="2" t="s">
        <v>37</v>
      </c>
      <c r="Q578" s="4" t="n">
        <v>8731</v>
      </c>
      <c r="R578" s="2" t="s">
        <v>136</v>
      </c>
      <c r="S578" s="2" t="s">
        <v>39</v>
      </c>
      <c r="T578" s="2" t="s">
        <v>40</v>
      </c>
      <c r="U578" s="2" t="s">
        <v>4708</v>
      </c>
      <c r="V578" s="2"/>
      <c r="W578" s="2" t="s">
        <v>42</v>
      </c>
      <c r="X578" s="2" t="s">
        <v>43</v>
      </c>
      <c r="Y578" s="2" t="s">
        <v>37</v>
      </c>
      <c r="Z578" s="2" t="s">
        <v>44</v>
      </c>
      <c r="AA578" s="2"/>
      <c r="AB578" s="2"/>
      <c r="AC578" s="2" t="s">
        <v>4709</v>
      </c>
      <c r="AD578" s="2" t="s">
        <v>46</v>
      </c>
    </row>
    <row r="579" customFormat="false" ht="15.7" hidden="false" customHeight="true" outlineLevel="0" collapsed="false">
      <c r="A579" s="2"/>
      <c r="B579" s="3" t="n">
        <f aca="false">DATE(2007,4,11)</f>
        <v>0</v>
      </c>
      <c r="C579" s="3" t="n">
        <v>39183</v>
      </c>
      <c r="D579" s="2" t="s">
        <v>4710</v>
      </c>
      <c r="F579" s="2" t="s">
        <v>4711</v>
      </c>
      <c r="G579" s="2" t="s">
        <v>4712</v>
      </c>
      <c r="H579" s="2" t="s">
        <v>4713</v>
      </c>
      <c r="I579" s="2" t="s">
        <v>2809</v>
      </c>
      <c r="J579" s="2" t="s">
        <v>35</v>
      </c>
      <c r="K579" s="2" t="s">
        <v>4714</v>
      </c>
      <c r="L579" s="2" t="s">
        <v>2809</v>
      </c>
      <c r="M579" s="2" t="s">
        <v>4715</v>
      </c>
      <c r="N579" s="2" t="s">
        <v>4716</v>
      </c>
      <c r="O579" s="2"/>
      <c r="P579" s="2" t="s">
        <v>37</v>
      </c>
      <c r="Q579" s="4" t="n">
        <v>8731</v>
      </c>
      <c r="R579" s="2" t="s">
        <v>38</v>
      </c>
      <c r="S579" s="2" t="s">
        <v>39</v>
      </c>
      <c r="T579" s="2" t="s">
        <v>40</v>
      </c>
      <c r="U579" s="2" t="s">
        <v>4717</v>
      </c>
      <c r="V579" s="2"/>
      <c r="W579" s="2" t="s">
        <v>42</v>
      </c>
      <c r="X579" s="2" t="s">
        <v>43</v>
      </c>
      <c r="Y579" s="2" t="s">
        <v>37</v>
      </c>
      <c r="Z579" s="2" t="s">
        <v>44</v>
      </c>
      <c r="AA579" s="2"/>
      <c r="AB579" s="2"/>
      <c r="AC579" s="2" t="s">
        <v>4718</v>
      </c>
      <c r="AD579" s="2" t="s">
        <v>46</v>
      </c>
    </row>
    <row r="580" customFormat="false" ht="15.7" hidden="false" customHeight="true" outlineLevel="0" collapsed="false">
      <c r="A580" s="2"/>
      <c r="B580" s="3" t="n">
        <f aca="false">DATE(2007,4,12)</f>
        <v>0</v>
      </c>
      <c r="C580" s="3" t="n">
        <v>39184</v>
      </c>
      <c r="D580" s="2" t="s">
        <v>4719</v>
      </c>
      <c r="F580" s="2" t="s">
        <v>4720</v>
      </c>
      <c r="G580" s="2" t="s">
        <v>4721</v>
      </c>
      <c r="H580" s="2" t="s">
        <v>4722</v>
      </c>
      <c r="I580" s="2" t="s">
        <v>51</v>
      </c>
      <c r="J580" s="2" t="s">
        <v>4723</v>
      </c>
      <c r="K580" s="2" t="s">
        <v>4719</v>
      </c>
      <c r="L580" s="2" t="s">
        <v>51</v>
      </c>
      <c r="M580" s="2" t="s">
        <v>4722</v>
      </c>
      <c r="N580" s="2" t="s">
        <v>4724</v>
      </c>
      <c r="O580" s="2" t="s">
        <v>4725</v>
      </c>
      <c r="P580" s="2" t="s">
        <v>37</v>
      </c>
      <c r="Q580" s="4" t="n">
        <v>8731</v>
      </c>
      <c r="R580" s="2" t="s">
        <v>56</v>
      </c>
      <c r="S580" s="2" t="s">
        <v>92</v>
      </c>
      <c r="T580" s="2" t="s">
        <v>40</v>
      </c>
      <c r="U580" s="2" t="s">
        <v>4726</v>
      </c>
      <c r="V580" s="2"/>
      <c r="W580" s="2" t="s">
        <v>42</v>
      </c>
      <c r="X580" s="2" t="s">
        <v>46</v>
      </c>
      <c r="Y580" s="2" t="s">
        <v>37</v>
      </c>
      <c r="Z580" s="2" t="s">
        <v>362</v>
      </c>
      <c r="AA580" s="2"/>
      <c r="AB580" s="2" t="s">
        <v>4727</v>
      </c>
      <c r="AC580" s="2" t="s">
        <v>4728</v>
      </c>
      <c r="AD580" s="2" t="s">
        <v>46</v>
      </c>
    </row>
    <row r="581" customFormat="false" ht="15.7" hidden="false" customHeight="true" outlineLevel="0" collapsed="false">
      <c r="A581" s="2"/>
      <c r="B581" s="3" t="n">
        <f aca="false">DATE(2007,4,12)</f>
        <v>0</v>
      </c>
      <c r="C581" s="3" t="n">
        <v>39184</v>
      </c>
      <c r="D581" s="2" t="s">
        <v>4729</v>
      </c>
      <c r="F581" s="2" t="s">
        <v>4730</v>
      </c>
      <c r="G581" s="2" t="s">
        <v>4731</v>
      </c>
      <c r="H581" s="2" t="s">
        <v>4569</v>
      </c>
      <c r="I581" s="2" t="s">
        <v>2658</v>
      </c>
      <c r="J581" s="2" t="s">
        <v>2088</v>
      </c>
      <c r="K581" s="2" t="s">
        <v>4729</v>
      </c>
      <c r="L581" s="2" t="s">
        <v>2658</v>
      </c>
      <c r="M581" s="2" t="s">
        <v>4569</v>
      </c>
      <c r="N581" s="2" t="s">
        <v>4732</v>
      </c>
      <c r="O581" s="2"/>
      <c r="P581" s="2" t="s">
        <v>79</v>
      </c>
      <c r="Q581" s="4" t="n">
        <v>6794</v>
      </c>
      <c r="R581" s="2" t="s">
        <v>136</v>
      </c>
      <c r="S581" s="2" t="s">
        <v>39</v>
      </c>
      <c r="T581" s="2" t="s">
        <v>40</v>
      </c>
      <c r="U581" s="2" t="s">
        <v>4733</v>
      </c>
      <c r="V581" s="2"/>
      <c r="W581" s="2" t="s">
        <v>82</v>
      </c>
      <c r="X581" s="2" t="s">
        <v>43</v>
      </c>
      <c r="Y581" s="2" t="s">
        <v>37</v>
      </c>
      <c r="Z581" s="2" t="s">
        <v>44</v>
      </c>
      <c r="AA581" s="2"/>
      <c r="AB581" s="2"/>
      <c r="AC581" s="2" t="s">
        <v>4734</v>
      </c>
      <c r="AD581" s="2" t="s">
        <v>46</v>
      </c>
    </row>
    <row r="582" customFormat="false" ht="15.7" hidden="false" customHeight="true" outlineLevel="0" collapsed="false">
      <c r="A582" s="2"/>
      <c r="B582" s="3" t="n">
        <f aca="false">DATE(2007,4,16)</f>
        <v>0</v>
      </c>
      <c r="C582" s="3" t="n">
        <v>39188</v>
      </c>
      <c r="D582" s="2" t="s">
        <v>4735</v>
      </c>
      <c r="F582" s="2" t="s">
        <v>4736</v>
      </c>
      <c r="G582" s="2" t="s">
        <v>4737</v>
      </c>
      <c r="H582" s="2" t="s">
        <v>523</v>
      </c>
      <c r="I582" s="2" t="s">
        <v>51</v>
      </c>
      <c r="J582" s="2" t="s">
        <v>171</v>
      </c>
      <c r="K582" s="2" t="s">
        <v>4735</v>
      </c>
      <c r="L582" s="2" t="s">
        <v>51</v>
      </c>
      <c r="M582" s="2" t="s">
        <v>523</v>
      </c>
      <c r="N582" s="2" t="s">
        <v>4738</v>
      </c>
      <c r="O582" s="2"/>
      <c r="P582" s="2" t="s">
        <v>37</v>
      </c>
      <c r="Q582" s="4" t="n">
        <v>8731</v>
      </c>
      <c r="R582" s="2" t="s">
        <v>56</v>
      </c>
      <c r="S582" s="2" t="s">
        <v>92</v>
      </c>
      <c r="T582" s="2" t="s">
        <v>40</v>
      </c>
      <c r="U582" s="2" t="s">
        <v>4739</v>
      </c>
      <c r="V582" s="2"/>
      <c r="W582" s="2" t="s">
        <v>42</v>
      </c>
      <c r="X582" s="2" t="s">
        <v>43</v>
      </c>
      <c r="Y582" s="2" t="s">
        <v>37</v>
      </c>
      <c r="Z582" s="2" t="s">
        <v>44</v>
      </c>
      <c r="AA582" s="2"/>
      <c r="AB582" s="2"/>
      <c r="AC582" s="2" t="s">
        <v>4740</v>
      </c>
      <c r="AD582" s="2" t="s">
        <v>46</v>
      </c>
    </row>
    <row r="583" customFormat="false" ht="15.7" hidden="false" customHeight="true" outlineLevel="0" collapsed="false">
      <c r="A583" s="2"/>
      <c r="B583" s="3" t="n">
        <f aca="false">DATE(2007,4,17)</f>
        <v>0</v>
      </c>
      <c r="C583" s="3" t="n">
        <v>39189</v>
      </c>
      <c r="D583" s="2" t="s">
        <v>4741</v>
      </c>
      <c r="F583" s="2" t="s">
        <v>4742</v>
      </c>
      <c r="G583" s="2" t="s">
        <v>4743</v>
      </c>
      <c r="H583" s="2" t="s">
        <v>170</v>
      </c>
      <c r="I583" s="2" t="s">
        <v>4744</v>
      </c>
      <c r="J583" s="2" t="s">
        <v>35</v>
      </c>
      <c r="K583" s="2" t="s">
        <v>4745</v>
      </c>
      <c r="L583" s="2" t="s">
        <v>4746</v>
      </c>
      <c r="M583" s="2" t="s">
        <v>1101</v>
      </c>
      <c r="N583" s="2" t="s">
        <v>4747</v>
      </c>
      <c r="O583" s="2"/>
      <c r="P583" s="2" t="s">
        <v>37</v>
      </c>
      <c r="Q583" s="4" t="n">
        <v>8731</v>
      </c>
      <c r="R583" s="2" t="s">
        <v>2508</v>
      </c>
      <c r="S583" s="2" t="s">
        <v>39</v>
      </c>
      <c r="T583" s="2" t="s">
        <v>40</v>
      </c>
      <c r="U583" s="2" t="s">
        <v>4748</v>
      </c>
      <c r="V583" s="2"/>
      <c r="W583" s="2" t="s">
        <v>42</v>
      </c>
      <c r="X583" s="2" t="s">
        <v>43</v>
      </c>
      <c r="Y583" s="2" t="s">
        <v>37</v>
      </c>
      <c r="Z583" s="2" t="s">
        <v>44</v>
      </c>
      <c r="AA583" s="2"/>
      <c r="AB583" s="2"/>
      <c r="AC583" s="2" t="s">
        <v>4749</v>
      </c>
      <c r="AD583" s="2" t="s">
        <v>46</v>
      </c>
    </row>
    <row r="584" customFormat="false" ht="15.7" hidden="false" customHeight="true" outlineLevel="0" collapsed="false">
      <c r="A584" s="2"/>
      <c r="B584" s="3" t="n">
        <f aca="false">DATE(2007,4,17)</f>
        <v>0</v>
      </c>
      <c r="C584" s="3" t="n">
        <v>39189</v>
      </c>
      <c r="D584" s="2" t="s">
        <v>4750</v>
      </c>
      <c r="F584" s="2" t="s">
        <v>4751</v>
      </c>
      <c r="G584" s="2" t="s">
        <v>4752</v>
      </c>
      <c r="H584" s="2" t="s">
        <v>63</v>
      </c>
      <c r="I584" s="2" t="s">
        <v>4753</v>
      </c>
      <c r="J584" s="2" t="s">
        <v>35</v>
      </c>
      <c r="K584" s="2" t="s">
        <v>4754</v>
      </c>
      <c r="L584" s="2" t="s">
        <v>685</v>
      </c>
      <c r="M584" s="2" t="s">
        <v>130</v>
      </c>
      <c r="N584" s="2" t="s">
        <v>4755</v>
      </c>
      <c r="O584" s="2"/>
      <c r="P584" s="2" t="s">
        <v>37</v>
      </c>
      <c r="Q584" s="4" t="n">
        <v>8731</v>
      </c>
      <c r="R584" s="2" t="s">
        <v>450</v>
      </c>
      <c r="S584" s="2" t="s">
        <v>39</v>
      </c>
      <c r="T584" s="2" t="s">
        <v>40</v>
      </c>
      <c r="U584" s="2" t="s">
        <v>4756</v>
      </c>
      <c r="V584" s="2"/>
      <c r="W584" s="2" t="s">
        <v>42</v>
      </c>
      <c r="X584" s="2" t="s">
        <v>43</v>
      </c>
      <c r="Y584" s="2" t="s">
        <v>37</v>
      </c>
      <c r="Z584" s="2" t="s">
        <v>44</v>
      </c>
      <c r="AA584" s="2" t="s">
        <v>4757</v>
      </c>
      <c r="AB584" s="2"/>
      <c r="AC584" s="2" t="s">
        <v>4758</v>
      </c>
      <c r="AD584" s="2" t="s">
        <v>46</v>
      </c>
    </row>
    <row r="585" customFormat="false" ht="15.7" hidden="false" customHeight="true" outlineLevel="0" collapsed="false">
      <c r="A585" s="2"/>
      <c r="B585" s="3" t="n">
        <f aca="false">DATE(2007,4,18)</f>
        <v>0</v>
      </c>
      <c r="C585" s="3" t="n">
        <v>39190</v>
      </c>
      <c r="D585" s="2" t="s">
        <v>4759</v>
      </c>
      <c r="F585" s="2" t="s">
        <v>4760</v>
      </c>
      <c r="G585" s="2" t="s">
        <v>4761</v>
      </c>
      <c r="H585" s="2" t="s">
        <v>63</v>
      </c>
      <c r="I585" s="2" t="s">
        <v>51</v>
      </c>
      <c r="J585" s="2" t="s">
        <v>4762</v>
      </c>
      <c r="K585" s="2" t="s">
        <v>4759</v>
      </c>
      <c r="L585" s="2" t="s">
        <v>51</v>
      </c>
      <c r="M585" s="2" t="s">
        <v>63</v>
      </c>
      <c r="N585" s="2" t="s">
        <v>4763</v>
      </c>
      <c r="O585" s="2"/>
      <c r="P585" s="2" t="s">
        <v>79</v>
      </c>
      <c r="Q585" s="4" t="n">
        <v>6794</v>
      </c>
      <c r="R585" s="2" t="s">
        <v>4764</v>
      </c>
      <c r="S585" s="2" t="s">
        <v>4765</v>
      </c>
      <c r="T585" s="2" t="s">
        <v>40</v>
      </c>
      <c r="U585" s="2" t="s">
        <v>4766</v>
      </c>
      <c r="V585" s="2"/>
      <c r="W585" s="2" t="s">
        <v>299</v>
      </c>
      <c r="X585" s="2" t="s">
        <v>43</v>
      </c>
      <c r="Y585" s="2" t="s">
        <v>79</v>
      </c>
      <c r="Z585" s="2" t="s">
        <v>44</v>
      </c>
      <c r="AA585" s="2"/>
      <c r="AB585" s="2"/>
      <c r="AC585" s="2" t="s">
        <v>4767</v>
      </c>
      <c r="AD585" s="2" t="s">
        <v>46</v>
      </c>
    </row>
    <row r="586" customFormat="false" ht="15.7" hidden="false" customHeight="true" outlineLevel="0" collapsed="false">
      <c r="A586" s="2"/>
      <c r="B586" s="3" t="n">
        <f aca="false">DATE(2007,4,18)</f>
        <v>0</v>
      </c>
      <c r="C586" s="3" t="n">
        <v>39190</v>
      </c>
      <c r="D586" s="2" t="s">
        <v>4768</v>
      </c>
      <c r="F586" s="2" t="s">
        <v>4769</v>
      </c>
      <c r="G586" s="2" t="s">
        <v>4770</v>
      </c>
      <c r="H586" s="2" t="s">
        <v>63</v>
      </c>
      <c r="I586" s="2" t="s">
        <v>1415</v>
      </c>
      <c r="J586" s="2" t="s">
        <v>101</v>
      </c>
      <c r="K586" s="2" t="s">
        <v>4771</v>
      </c>
      <c r="L586" s="2" t="s">
        <v>1415</v>
      </c>
      <c r="M586" s="2" t="s">
        <v>63</v>
      </c>
      <c r="N586" s="2" t="s">
        <v>4772</v>
      </c>
      <c r="O586" s="2"/>
      <c r="P586" s="2" t="s">
        <v>79</v>
      </c>
      <c r="Q586" s="4" t="n">
        <v>6794</v>
      </c>
      <c r="R586" s="2" t="s">
        <v>136</v>
      </c>
      <c r="S586" s="2" t="s">
        <v>39</v>
      </c>
      <c r="T586" s="2" t="s">
        <v>40</v>
      </c>
      <c r="U586" s="2" t="s">
        <v>4773</v>
      </c>
      <c r="V586" s="2"/>
      <c r="W586" s="2" t="s">
        <v>253</v>
      </c>
      <c r="X586" s="2" t="s">
        <v>43</v>
      </c>
      <c r="Y586" s="2" t="s">
        <v>37</v>
      </c>
      <c r="Z586" s="2" t="s">
        <v>44</v>
      </c>
      <c r="AA586" s="2" t="s">
        <v>4774</v>
      </c>
      <c r="AB586" s="2"/>
      <c r="AC586" s="2" t="s">
        <v>4775</v>
      </c>
      <c r="AD586" s="2" t="s">
        <v>46</v>
      </c>
    </row>
    <row r="587" customFormat="false" ht="15.7" hidden="false" customHeight="true" outlineLevel="0" collapsed="false">
      <c r="A587" s="2"/>
      <c r="B587" s="3" t="n">
        <f aca="false">DATE(2007,4,18)</f>
        <v>0</v>
      </c>
      <c r="C587" s="3" t="n">
        <v>39190</v>
      </c>
      <c r="D587" s="2" t="s">
        <v>4776</v>
      </c>
      <c r="F587" s="2" t="s">
        <v>4777</v>
      </c>
      <c r="G587" s="2" t="s">
        <v>4778</v>
      </c>
      <c r="H587" s="2" t="s">
        <v>4779</v>
      </c>
      <c r="I587" s="2" t="s">
        <v>51</v>
      </c>
      <c r="J587" s="2" t="s">
        <v>4780</v>
      </c>
      <c r="K587" s="2" t="s">
        <v>4776</v>
      </c>
      <c r="L587" s="2" t="s">
        <v>51</v>
      </c>
      <c r="M587" s="2" t="s">
        <v>4779</v>
      </c>
      <c r="N587" s="2" t="s">
        <v>4781</v>
      </c>
      <c r="O587" s="2"/>
      <c r="P587" s="2" t="s">
        <v>37</v>
      </c>
      <c r="Q587" s="4" t="n">
        <v>8748</v>
      </c>
      <c r="R587" s="2" t="s">
        <v>56</v>
      </c>
      <c r="S587" s="2" t="s">
        <v>2743</v>
      </c>
      <c r="T587" s="2" t="s">
        <v>40</v>
      </c>
      <c r="U587" s="2" t="s">
        <v>4782</v>
      </c>
      <c r="V587" s="2"/>
      <c r="W587" s="2" t="s">
        <v>4783</v>
      </c>
      <c r="X587" s="2" t="s">
        <v>43</v>
      </c>
      <c r="Y587" s="2" t="s">
        <v>37</v>
      </c>
      <c r="Z587" s="2" t="s">
        <v>44</v>
      </c>
      <c r="AA587" s="2"/>
      <c r="AB587" s="2"/>
      <c r="AC587" s="2" t="s">
        <v>4784</v>
      </c>
      <c r="AD587" s="2" t="s">
        <v>46</v>
      </c>
    </row>
    <row r="588" customFormat="false" ht="15.7" hidden="false" customHeight="true" outlineLevel="0" collapsed="false">
      <c r="A588" s="2"/>
      <c r="B588" s="3" t="n">
        <f aca="false">DATE(2007,4,19)</f>
        <v>0</v>
      </c>
      <c r="C588" s="3" t="n">
        <v>39191</v>
      </c>
      <c r="D588" s="2" t="s">
        <v>4785</v>
      </c>
      <c r="F588" s="2" t="s">
        <v>4786</v>
      </c>
      <c r="G588" s="2" t="s">
        <v>4787</v>
      </c>
      <c r="H588" s="2" t="s">
        <v>63</v>
      </c>
      <c r="I588" s="2" t="s">
        <v>4788</v>
      </c>
      <c r="J588" s="2" t="s">
        <v>35</v>
      </c>
      <c r="K588" s="2" t="s">
        <v>4789</v>
      </c>
      <c r="L588" s="2" t="s">
        <v>1080</v>
      </c>
      <c r="M588" s="2" t="s">
        <v>63</v>
      </c>
      <c r="N588" s="2" t="s">
        <v>4790</v>
      </c>
      <c r="O588" s="2"/>
      <c r="P588" s="2" t="s">
        <v>37</v>
      </c>
      <c r="Q588" s="4" t="n">
        <v>8731</v>
      </c>
      <c r="R588" s="2" t="s">
        <v>136</v>
      </c>
      <c r="S588" s="2" t="s">
        <v>39</v>
      </c>
      <c r="T588" s="2" t="s">
        <v>40</v>
      </c>
      <c r="U588" s="2" t="s">
        <v>4791</v>
      </c>
      <c r="V588" s="2"/>
      <c r="W588" s="2" t="s">
        <v>42</v>
      </c>
      <c r="X588" s="2" t="s">
        <v>43</v>
      </c>
      <c r="Y588" s="2" t="s">
        <v>37</v>
      </c>
      <c r="Z588" s="2" t="s">
        <v>44</v>
      </c>
      <c r="AA588" s="2"/>
      <c r="AB588" s="2"/>
      <c r="AC588" s="2" t="s">
        <v>4792</v>
      </c>
      <c r="AD588" s="2" t="s">
        <v>46</v>
      </c>
    </row>
    <row r="589" customFormat="false" ht="15.7" hidden="false" customHeight="true" outlineLevel="0" collapsed="false">
      <c r="A589" s="2"/>
      <c r="B589" s="3" t="n">
        <f aca="false">DATE(2007,4,21)</f>
        <v>0</v>
      </c>
      <c r="C589" s="3" t="n">
        <v>39193</v>
      </c>
      <c r="D589" s="2" t="s">
        <v>4793</v>
      </c>
      <c r="F589" s="2" t="s">
        <v>4794</v>
      </c>
      <c r="G589" s="2" t="s">
        <v>4795</v>
      </c>
      <c r="H589" s="2" t="s">
        <v>63</v>
      </c>
      <c r="I589" s="2" t="s">
        <v>202</v>
      </c>
      <c r="J589" s="2" t="s">
        <v>514</v>
      </c>
      <c r="K589" s="2" t="s">
        <v>4796</v>
      </c>
      <c r="L589" s="2" t="s">
        <v>1415</v>
      </c>
      <c r="M589" s="2" t="s">
        <v>1770</v>
      </c>
      <c r="N589" s="2" t="s">
        <v>4797</v>
      </c>
      <c r="O589" s="2"/>
      <c r="P589" s="2" t="s">
        <v>79</v>
      </c>
      <c r="Q589" s="4" t="n">
        <v>6794</v>
      </c>
      <c r="R589" s="2" t="s">
        <v>136</v>
      </c>
      <c r="S589" s="2" t="s">
        <v>39</v>
      </c>
      <c r="T589" s="2" t="s">
        <v>40</v>
      </c>
      <c r="U589" s="2" t="s">
        <v>4798</v>
      </c>
      <c r="V589" s="2"/>
      <c r="W589" s="2" t="s">
        <v>253</v>
      </c>
      <c r="X589" s="2" t="s">
        <v>43</v>
      </c>
      <c r="Y589" s="2" t="s">
        <v>37</v>
      </c>
      <c r="Z589" s="2" t="s">
        <v>44</v>
      </c>
      <c r="AA589" s="2"/>
      <c r="AB589" s="2"/>
      <c r="AC589" s="2" t="s">
        <v>4799</v>
      </c>
      <c r="AD589" s="2" t="s">
        <v>46</v>
      </c>
    </row>
    <row r="590" customFormat="false" ht="15.7" hidden="false" customHeight="true" outlineLevel="0" collapsed="false">
      <c r="A590" s="2"/>
      <c r="B590" s="3" t="n">
        <f aca="false">DATE(2007,4,23)</f>
        <v>0</v>
      </c>
      <c r="C590" s="3" t="n">
        <v>39195</v>
      </c>
      <c r="D590" s="2" t="s">
        <v>4800</v>
      </c>
      <c r="F590" s="2" t="s">
        <v>4801</v>
      </c>
      <c r="G590" s="2" t="s">
        <v>4802</v>
      </c>
      <c r="H590" s="2" t="s">
        <v>4803</v>
      </c>
      <c r="I590" s="2" t="s">
        <v>51</v>
      </c>
      <c r="J590" s="2" t="s">
        <v>4804</v>
      </c>
      <c r="K590" s="2" t="s">
        <v>4800</v>
      </c>
      <c r="L590" s="2" t="s">
        <v>51</v>
      </c>
      <c r="M590" s="2" t="s">
        <v>4803</v>
      </c>
      <c r="N590" s="2" t="s">
        <v>4805</v>
      </c>
      <c r="O590" s="2"/>
      <c r="P590" s="2" t="s">
        <v>37</v>
      </c>
      <c r="Q590" s="4" t="n">
        <v>8731</v>
      </c>
      <c r="R590" s="2" t="s">
        <v>56</v>
      </c>
      <c r="S590" s="2" t="s">
        <v>92</v>
      </c>
      <c r="T590" s="2" t="s">
        <v>40</v>
      </c>
      <c r="U590" s="2" t="s">
        <v>4806</v>
      </c>
      <c r="V590" s="2"/>
      <c r="W590" s="2" t="s">
        <v>42</v>
      </c>
      <c r="X590" s="2" t="s">
        <v>43</v>
      </c>
      <c r="Y590" s="2" t="s">
        <v>37</v>
      </c>
      <c r="Z590" s="2" t="s">
        <v>44</v>
      </c>
      <c r="AA590" s="2"/>
      <c r="AB590" s="2"/>
      <c r="AC590" s="2" t="s">
        <v>4807</v>
      </c>
      <c r="AD590" s="2" t="s">
        <v>46</v>
      </c>
    </row>
    <row r="591" customFormat="false" ht="15.7" hidden="false" customHeight="true" outlineLevel="0" collapsed="false">
      <c r="A591" s="2"/>
      <c r="B591" s="3" t="n">
        <f aca="false">DATE(2007,4,23)</f>
        <v>0</v>
      </c>
      <c r="C591" s="3" t="n">
        <v>39195</v>
      </c>
      <c r="D591" s="2" t="s">
        <v>4808</v>
      </c>
      <c r="F591" s="2" t="s">
        <v>4809</v>
      </c>
      <c r="G591" s="2" t="s">
        <v>4810</v>
      </c>
      <c r="H591" s="2" t="s">
        <v>368</v>
      </c>
      <c r="I591" s="2" t="s">
        <v>4179</v>
      </c>
      <c r="J591" s="2" t="s">
        <v>795</v>
      </c>
      <c r="K591" s="2" t="s">
        <v>4808</v>
      </c>
      <c r="L591" s="2" t="s">
        <v>4179</v>
      </c>
      <c r="M591" s="2" t="s">
        <v>368</v>
      </c>
      <c r="N591" s="2" t="s">
        <v>4811</v>
      </c>
      <c r="O591" s="2"/>
      <c r="P591" s="2" t="s">
        <v>37</v>
      </c>
      <c r="Q591" s="4" t="n">
        <v>8731</v>
      </c>
      <c r="R591" s="2" t="s">
        <v>136</v>
      </c>
      <c r="S591" s="2" t="s">
        <v>39</v>
      </c>
      <c r="T591" s="2" t="s">
        <v>40</v>
      </c>
      <c r="U591" s="2" t="s">
        <v>4812</v>
      </c>
      <c r="V591" s="2"/>
      <c r="W591" s="2" t="s">
        <v>42</v>
      </c>
      <c r="X591" s="2" t="s">
        <v>43</v>
      </c>
      <c r="Y591" s="2" t="s">
        <v>37</v>
      </c>
      <c r="Z591" s="2" t="s">
        <v>44</v>
      </c>
      <c r="AA591" s="2"/>
      <c r="AB591" s="2"/>
      <c r="AC591" s="2" t="s">
        <v>4813</v>
      </c>
      <c r="AD591" s="2" t="s">
        <v>46</v>
      </c>
    </row>
    <row r="592" customFormat="false" ht="15.7" hidden="false" customHeight="true" outlineLevel="0" collapsed="false">
      <c r="A592" s="2"/>
      <c r="B592" s="3" t="n">
        <f aca="false">DATE(2007,4,23)</f>
        <v>0</v>
      </c>
      <c r="C592" s="3" t="n">
        <v>39195</v>
      </c>
      <c r="D592" s="2" t="s">
        <v>4814</v>
      </c>
      <c r="F592" s="2" t="s">
        <v>4815</v>
      </c>
      <c r="G592" s="2" t="s">
        <v>4816</v>
      </c>
      <c r="H592" s="2" t="s">
        <v>3384</v>
      </c>
      <c r="I592" s="2" t="s">
        <v>51</v>
      </c>
      <c r="J592" s="2" t="s">
        <v>2190</v>
      </c>
      <c r="K592" s="2" t="s">
        <v>4817</v>
      </c>
      <c r="L592" s="2" t="s">
        <v>1262</v>
      </c>
      <c r="M592" s="2" t="s">
        <v>3384</v>
      </c>
      <c r="N592" s="2" t="s">
        <v>4818</v>
      </c>
      <c r="O592" s="2"/>
      <c r="P592" s="2" t="s">
        <v>37</v>
      </c>
      <c r="Q592" s="4" t="n">
        <v>8731</v>
      </c>
      <c r="R592" s="2" t="s">
        <v>56</v>
      </c>
      <c r="S592" s="2" t="s">
        <v>92</v>
      </c>
      <c r="T592" s="2" t="s">
        <v>40</v>
      </c>
      <c r="U592" s="2" t="s">
        <v>4819</v>
      </c>
      <c r="V592" s="2"/>
      <c r="W592" s="2" t="s">
        <v>42</v>
      </c>
      <c r="X592" s="2" t="s">
        <v>43</v>
      </c>
      <c r="Y592" s="2" t="s">
        <v>37</v>
      </c>
      <c r="Z592" s="2" t="s">
        <v>44</v>
      </c>
      <c r="AA592" s="2"/>
      <c r="AB592" s="2"/>
      <c r="AC592" s="2" t="s">
        <v>4820</v>
      </c>
      <c r="AD592" s="2" t="s">
        <v>46</v>
      </c>
    </row>
    <row r="593" customFormat="false" ht="15.7" hidden="false" customHeight="true" outlineLevel="0" collapsed="false">
      <c r="A593" s="2"/>
      <c r="B593" s="3" t="n">
        <f aca="false">DATE(2007,4,23)</f>
        <v>0</v>
      </c>
      <c r="C593" s="3" t="n">
        <v>39195</v>
      </c>
      <c r="D593" s="2" t="s">
        <v>4821</v>
      </c>
      <c r="F593" s="2" t="s">
        <v>4822</v>
      </c>
      <c r="G593" s="2" t="s">
        <v>4823</v>
      </c>
      <c r="H593" s="2" t="s">
        <v>4824</v>
      </c>
      <c r="I593" s="2" t="s">
        <v>1779</v>
      </c>
      <c r="J593" s="2" t="s">
        <v>35</v>
      </c>
      <c r="K593" s="2" t="s">
        <v>4825</v>
      </c>
      <c r="L593" s="2" t="s">
        <v>1779</v>
      </c>
      <c r="M593" s="2" t="s">
        <v>4826</v>
      </c>
      <c r="N593" s="2" t="s">
        <v>4827</v>
      </c>
      <c r="O593" s="2"/>
      <c r="P593" s="2" t="s">
        <v>37</v>
      </c>
      <c r="Q593" s="4" t="n">
        <v>8731</v>
      </c>
      <c r="R593" s="2" t="s">
        <v>402</v>
      </c>
      <c r="S593" s="2" t="s">
        <v>39</v>
      </c>
      <c r="T593" s="2" t="s">
        <v>40</v>
      </c>
      <c r="U593" s="2" t="s">
        <v>4828</v>
      </c>
      <c r="V593" s="2"/>
      <c r="W593" s="2" t="s">
        <v>42</v>
      </c>
      <c r="X593" s="2" t="s">
        <v>43</v>
      </c>
      <c r="Y593" s="2" t="s">
        <v>37</v>
      </c>
      <c r="Z593" s="2" t="s">
        <v>44</v>
      </c>
      <c r="AA593" s="2"/>
      <c r="AB593" s="2"/>
      <c r="AC593" s="2" t="s">
        <v>4829</v>
      </c>
      <c r="AD593" s="2" t="s">
        <v>46</v>
      </c>
    </row>
    <row r="594" customFormat="false" ht="15.7" hidden="false" customHeight="true" outlineLevel="0" collapsed="false">
      <c r="A594" s="2"/>
      <c r="B594" s="3" t="n">
        <f aca="false">DATE(2007,4,25)</f>
        <v>0</v>
      </c>
      <c r="C594" s="3" t="n">
        <v>39197</v>
      </c>
      <c r="D594" s="2" t="s">
        <v>4830</v>
      </c>
      <c r="F594" s="2" t="s">
        <v>4831</v>
      </c>
      <c r="G594" s="2" t="s">
        <v>4832</v>
      </c>
      <c r="H594" s="2" t="s">
        <v>4833</v>
      </c>
      <c r="I594" s="2" t="s">
        <v>4834</v>
      </c>
      <c r="J594" s="2" t="s">
        <v>35</v>
      </c>
      <c r="K594" s="2" t="s">
        <v>4835</v>
      </c>
      <c r="L594" s="2" t="s">
        <v>4834</v>
      </c>
      <c r="M594" s="2" t="s">
        <v>3313</v>
      </c>
      <c r="N594" s="2" t="s">
        <v>4836</v>
      </c>
      <c r="O594" s="2"/>
      <c r="P594" s="2" t="s">
        <v>37</v>
      </c>
      <c r="Q594" s="4" t="n">
        <v>8731</v>
      </c>
      <c r="R594" s="2" t="s">
        <v>136</v>
      </c>
      <c r="S594" s="2" t="s">
        <v>39</v>
      </c>
      <c r="T594" s="2" t="s">
        <v>40</v>
      </c>
      <c r="U594" s="2" t="s">
        <v>4837</v>
      </c>
      <c r="V594" s="2"/>
      <c r="W594" s="2" t="s">
        <v>42</v>
      </c>
      <c r="X594" s="2" t="s">
        <v>43</v>
      </c>
      <c r="Y594" s="2" t="s">
        <v>37</v>
      </c>
      <c r="Z594" s="2" t="s">
        <v>44</v>
      </c>
      <c r="AA594" s="2"/>
      <c r="AB594" s="2"/>
      <c r="AC594" s="2" t="s">
        <v>4838</v>
      </c>
      <c r="AD594" s="2" t="s">
        <v>46</v>
      </c>
    </row>
    <row r="595" customFormat="false" ht="15.7" hidden="false" customHeight="true" outlineLevel="0" collapsed="false">
      <c r="A595" s="2"/>
      <c r="B595" s="3" t="n">
        <f aca="false">DATE(2007,4,25)</f>
        <v>0</v>
      </c>
      <c r="C595" s="3" t="n">
        <v>39197</v>
      </c>
      <c r="D595" s="2" t="s">
        <v>4839</v>
      </c>
      <c r="F595" s="2" t="s">
        <v>4840</v>
      </c>
      <c r="G595" s="2" t="s">
        <v>4841</v>
      </c>
      <c r="H595" s="2" t="s">
        <v>130</v>
      </c>
      <c r="I595" s="2" t="s">
        <v>2103</v>
      </c>
      <c r="J595" s="2" t="s">
        <v>35</v>
      </c>
      <c r="K595" s="2" t="s">
        <v>4839</v>
      </c>
      <c r="L595" s="2" t="s">
        <v>2103</v>
      </c>
      <c r="M595" s="2" t="s">
        <v>130</v>
      </c>
      <c r="N595" s="2" t="s">
        <v>4842</v>
      </c>
      <c r="O595" s="2"/>
      <c r="P595" s="2" t="s">
        <v>79</v>
      </c>
      <c r="Q595" s="4" t="n">
        <v>6794</v>
      </c>
      <c r="R595" s="2" t="s">
        <v>136</v>
      </c>
      <c r="S595" s="2" t="s">
        <v>39</v>
      </c>
      <c r="T595" s="2" t="s">
        <v>40</v>
      </c>
      <c r="U595" s="2" t="s">
        <v>4843</v>
      </c>
      <c r="V595" s="2"/>
      <c r="W595" s="2" t="s">
        <v>4844</v>
      </c>
      <c r="X595" s="2" t="s">
        <v>43</v>
      </c>
      <c r="Y595" s="2" t="s">
        <v>37</v>
      </c>
      <c r="Z595" s="2" t="s">
        <v>44</v>
      </c>
      <c r="AA595" s="2" t="s">
        <v>4845</v>
      </c>
      <c r="AB595" s="2"/>
      <c r="AC595" s="2" t="s">
        <v>4846</v>
      </c>
      <c r="AD595" s="2" t="s">
        <v>46</v>
      </c>
    </row>
    <row r="596" customFormat="false" ht="15.7" hidden="false" customHeight="true" outlineLevel="0" collapsed="false">
      <c r="A596" s="2"/>
      <c r="B596" s="3" t="n">
        <f aca="false">DATE(2007,4,25)</f>
        <v>0</v>
      </c>
      <c r="C596" s="3" t="n">
        <v>39197</v>
      </c>
      <c r="D596" s="2" t="s">
        <v>4847</v>
      </c>
      <c r="F596" s="2" t="s">
        <v>4848</v>
      </c>
      <c r="G596" s="2" t="s">
        <v>4849</v>
      </c>
      <c r="H596" s="2" t="s">
        <v>4850</v>
      </c>
      <c r="I596" s="2" t="s">
        <v>2530</v>
      </c>
      <c r="J596" s="2" t="s">
        <v>4851</v>
      </c>
      <c r="K596" s="2" t="s">
        <v>4852</v>
      </c>
      <c r="L596" s="2" t="s">
        <v>2530</v>
      </c>
      <c r="M596" s="2" t="s">
        <v>4853</v>
      </c>
      <c r="N596" s="2" t="s">
        <v>4854</v>
      </c>
      <c r="O596" s="2"/>
      <c r="P596" s="2" t="s">
        <v>37</v>
      </c>
      <c r="Q596" s="4" t="n">
        <v>8731</v>
      </c>
      <c r="R596" s="2" t="s">
        <v>56</v>
      </c>
      <c r="S596" s="2" t="s">
        <v>92</v>
      </c>
      <c r="T596" s="2" t="s">
        <v>40</v>
      </c>
      <c r="U596" s="2" t="s">
        <v>4855</v>
      </c>
      <c r="V596" s="2"/>
      <c r="W596" s="2" t="s">
        <v>42</v>
      </c>
      <c r="X596" s="2" t="s">
        <v>43</v>
      </c>
      <c r="Y596" s="2" t="s">
        <v>37</v>
      </c>
      <c r="Z596" s="2" t="s">
        <v>916</v>
      </c>
      <c r="AA596" s="2"/>
      <c r="AB596" s="2"/>
      <c r="AC596" s="2" t="s">
        <v>4856</v>
      </c>
      <c r="AD596" s="2" t="s">
        <v>46</v>
      </c>
    </row>
    <row r="597" customFormat="false" ht="15.7" hidden="false" customHeight="true" outlineLevel="0" collapsed="false">
      <c r="A597" s="2"/>
      <c r="B597" s="3" t="n">
        <f aca="false">DATE(2007,4,25)</f>
        <v>0</v>
      </c>
      <c r="C597" s="3" t="n">
        <v>39197</v>
      </c>
      <c r="D597" s="2" t="s">
        <v>4857</v>
      </c>
      <c r="F597" s="2" t="s">
        <v>4858</v>
      </c>
      <c r="G597" s="2" t="s">
        <v>4859</v>
      </c>
      <c r="H597" s="2" t="s">
        <v>762</v>
      </c>
      <c r="I597" s="2" t="s">
        <v>388</v>
      </c>
      <c r="J597" s="2" t="s">
        <v>220</v>
      </c>
      <c r="K597" s="2" t="s">
        <v>4860</v>
      </c>
      <c r="L597" s="2" t="s">
        <v>388</v>
      </c>
      <c r="M597" s="2" t="s">
        <v>762</v>
      </c>
      <c r="N597" s="2" t="s">
        <v>4861</v>
      </c>
      <c r="O597" s="2"/>
      <c r="P597" s="2" t="s">
        <v>37</v>
      </c>
      <c r="Q597" s="4" t="n">
        <v>8731</v>
      </c>
      <c r="R597" s="2" t="s">
        <v>136</v>
      </c>
      <c r="S597" s="2" t="s">
        <v>39</v>
      </c>
      <c r="T597" s="2" t="s">
        <v>40</v>
      </c>
      <c r="U597" s="2" t="s">
        <v>4862</v>
      </c>
      <c r="V597" s="2"/>
      <c r="W597" s="2" t="s">
        <v>42</v>
      </c>
      <c r="X597" s="2" t="s">
        <v>43</v>
      </c>
      <c r="Y597" s="2" t="s">
        <v>37</v>
      </c>
      <c r="Z597" s="2" t="s">
        <v>44</v>
      </c>
      <c r="AA597" s="2"/>
      <c r="AB597" s="2"/>
      <c r="AC597" s="2" t="s">
        <v>4863</v>
      </c>
      <c r="AD597" s="2" t="s">
        <v>46</v>
      </c>
    </row>
    <row r="598" customFormat="false" ht="15.7" hidden="false" customHeight="true" outlineLevel="0" collapsed="false">
      <c r="A598" s="2"/>
      <c r="B598" s="3" t="n">
        <f aca="false">DATE(2007,4,25)</f>
        <v>0</v>
      </c>
      <c r="C598" s="3" t="n">
        <v>39197</v>
      </c>
      <c r="D598" s="2" t="s">
        <v>4864</v>
      </c>
      <c r="F598" s="2" t="s">
        <v>4865</v>
      </c>
      <c r="G598" s="2" t="s">
        <v>4866</v>
      </c>
      <c r="H598" s="2" t="s">
        <v>4867</v>
      </c>
      <c r="I598" s="2" t="s">
        <v>51</v>
      </c>
      <c r="J598" s="2" t="s">
        <v>4868</v>
      </c>
      <c r="K598" s="2" t="s">
        <v>4869</v>
      </c>
      <c r="L598" s="2" t="s">
        <v>51</v>
      </c>
      <c r="M598" s="2" t="s">
        <v>4870</v>
      </c>
      <c r="N598" s="2" t="s">
        <v>4871</v>
      </c>
      <c r="O598" s="2"/>
      <c r="P598" s="2" t="s">
        <v>79</v>
      </c>
      <c r="Q598" s="4" t="n">
        <v>8731</v>
      </c>
      <c r="R598" s="2" t="s">
        <v>56</v>
      </c>
      <c r="S598" s="2" t="s">
        <v>92</v>
      </c>
      <c r="T598" s="2" t="s">
        <v>40</v>
      </c>
      <c r="U598" s="2" t="s">
        <v>4872</v>
      </c>
      <c r="V598" s="2"/>
      <c r="W598" s="2" t="s">
        <v>1050</v>
      </c>
      <c r="X598" s="2" t="s">
        <v>43</v>
      </c>
      <c r="Y598" s="2" t="s">
        <v>37</v>
      </c>
      <c r="Z598" s="2" t="s">
        <v>44</v>
      </c>
      <c r="AA598" s="2"/>
      <c r="AB598" s="2"/>
      <c r="AC598" s="2" t="s">
        <v>4873</v>
      </c>
      <c r="AD598" s="2" t="s">
        <v>46</v>
      </c>
    </row>
    <row r="599" customFormat="false" ht="15.7" hidden="false" customHeight="true" outlineLevel="0" collapsed="false">
      <c r="A599" s="2"/>
      <c r="B599" s="3" t="n">
        <f aca="false">DATE(2007,4,26)</f>
        <v>0</v>
      </c>
      <c r="C599" s="3" t="n">
        <v>39198</v>
      </c>
      <c r="D599" s="2" t="s">
        <v>4874</v>
      </c>
      <c r="F599" s="2" t="s">
        <v>4875</v>
      </c>
      <c r="G599" s="2" t="s">
        <v>4876</v>
      </c>
      <c r="H599" s="2" t="s">
        <v>130</v>
      </c>
      <c r="I599" s="2" t="s">
        <v>51</v>
      </c>
      <c r="J599" s="2" t="s">
        <v>2816</v>
      </c>
      <c r="K599" s="2" t="s">
        <v>4874</v>
      </c>
      <c r="L599" s="2" t="s">
        <v>51</v>
      </c>
      <c r="M599" s="2" t="s">
        <v>130</v>
      </c>
      <c r="N599" s="2" t="s">
        <v>4877</v>
      </c>
      <c r="O599" s="2"/>
      <c r="P599" s="2" t="s">
        <v>37</v>
      </c>
      <c r="Q599" s="4" t="n">
        <v>8731</v>
      </c>
      <c r="R599" s="2" t="s">
        <v>136</v>
      </c>
      <c r="S599" s="2" t="s">
        <v>39</v>
      </c>
      <c r="T599" s="2" t="s">
        <v>40</v>
      </c>
      <c r="U599" s="2" t="s">
        <v>4878</v>
      </c>
      <c r="V599" s="2"/>
      <c r="W599" s="2" t="s">
        <v>138</v>
      </c>
      <c r="X599" s="2" t="s">
        <v>43</v>
      </c>
      <c r="Y599" s="2" t="s">
        <v>37</v>
      </c>
      <c r="Z599" s="2" t="s">
        <v>44</v>
      </c>
      <c r="AA599" s="2" t="s">
        <v>4879</v>
      </c>
      <c r="AB599" s="2"/>
      <c r="AC599" s="2" t="s">
        <v>4880</v>
      </c>
      <c r="AD599" s="2" t="s">
        <v>46</v>
      </c>
    </row>
    <row r="600" customFormat="false" ht="15.7" hidden="false" customHeight="true" outlineLevel="0" collapsed="false">
      <c r="A600" s="2"/>
      <c r="B600" s="3" t="n">
        <f aca="false">DATE(2007,4,26)</f>
        <v>0</v>
      </c>
      <c r="C600" s="3" t="n">
        <v>39198</v>
      </c>
      <c r="D600" s="2" t="s">
        <v>4881</v>
      </c>
      <c r="F600" s="2" t="s">
        <v>4882</v>
      </c>
      <c r="G600" s="2" t="s">
        <v>4883</v>
      </c>
      <c r="H600" s="2" t="s">
        <v>4884</v>
      </c>
      <c r="I600" s="2" t="s">
        <v>51</v>
      </c>
      <c r="J600" s="2" t="s">
        <v>4885</v>
      </c>
      <c r="K600" s="2" t="s">
        <v>4881</v>
      </c>
      <c r="L600" s="2" t="s">
        <v>51</v>
      </c>
      <c r="M600" s="2" t="s">
        <v>4884</v>
      </c>
      <c r="N600" s="2" t="s">
        <v>4886</v>
      </c>
      <c r="O600" s="2"/>
      <c r="P600" s="2" t="s">
        <v>37</v>
      </c>
      <c r="Q600" s="4" t="n">
        <v>3845</v>
      </c>
      <c r="R600" s="2" t="s">
        <v>56</v>
      </c>
      <c r="S600" s="2" t="s">
        <v>472</v>
      </c>
      <c r="T600" s="2" t="s">
        <v>40</v>
      </c>
      <c r="U600" s="2" t="s">
        <v>4887</v>
      </c>
      <c r="V600" s="2"/>
      <c r="W600" s="2" t="s">
        <v>1801</v>
      </c>
      <c r="X600" s="2" t="s">
        <v>43</v>
      </c>
      <c r="Y600" s="2" t="s">
        <v>37</v>
      </c>
      <c r="Z600" s="2" t="s">
        <v>44</v>
      </c>
      <c r="AA600" s="2"/>
      <c r="AB600" s="2"/>
      <c r="AC600" s="2" t="s">
        <v>4888</v>
      </c>
      <c r="AD600" s="2" t="s">
        <v>46</v>
      </c>
    </row>
    <row r="601" customFormat="false" ht="15.7" hidden="false" customHeight="true" outlineLevel="0" collapsed="false">
      <c r="A601" s="2"/>
      <c r="B601" s="3" t="n">
        <f aca="false">DATE(2007,4,26)</f>
        <v>0</v>
      </c>
      <c r="C601" s="3" t="n">
        <v>39198</v>
      </c>
      <c r="D601" s="2" t="s">
        <v>4889</v>
      </c>
      <c r="F601" s="2" t="s">
        <v>4890</v>
      </c>
      <c r="G601" s="2" t="s">
        <v>4891</v>
      </c>
      <c r="H601" s="2" t="s">
        <v>4892</v>
      </c>
      <c r="I601" s="2" t="s">
        <v>88</v>
      </c>
      <c r="J601" s="2" t="s">
        <v>155</v>
      </c>
      <c r="K601" s="2" t="s">
        <v>4893</v>
      </c>
      <c r="L601" s="2" t="s">
        <v>88</v>
      </c>
      <c r="M601" s="2" t="s">
        <v>4894</v>
      </c>
      <c r="N601" s="2" t="s">
        <v>4895</v>
      </c>
      <c r="O601" s="2"/>
      <c r="P601" s="2" t="s">
        <v>37</v>
      </c>
      <c r="Q601" s="4" t="n">
        <v>8731</v>
      </c>
      <c r="R601" s="2" t="s">
        <v>136</v>
      </c>
      <c r="S601" s="2" t="s">
        <v>39</v>
      </c>
      <c r="T601" s="2" t="s">
        <v>40</v>
      </c>
      <c r="U601" s="2" t="s">
        <v>4896</v>
      </c>
      <c r="V601" s="2"/>
      <c r="W601" s="2" t="s">
        <v>42</v>
      </c>
      <c r="X601" s="2" t="s">
        <v>43</v>
      </c>
      <c r="Y601" s="2" t="s">
        <v>37</v>
      </c>
      <c r="Z601" s="2" t="s">
        <v>44</v>
      </c>
      <c r="AA601" s="2"/>
      <c r="AB601" s="2"/>
      <c r="AC601" s="2" t="s">
        <v>4897</v>
      </c>
      <c r="AD601" s="2" t="s">
        <v>46</v>
      </c>
    </row>
    <row r="602" customFormat="false" ht="15.7" hidden="false" customHeight="true" outlineLevel="0" collapsed="false">
      <c r="A602" s="2"/>
      <c r="B602" s="3" t="n">
        <f aca="false">DATE(2007,4,30)</f>
        <v>0</v>
      </c>
      <c r="C602" s="3" t="n">
        <v>39202</v>
      </c>
      <c r="D602" s="2" t="s">
        <v>4898</v>
      </c>
      <c r="F602" s="2" t="s">
        <v>4899</v>
      </c>
      <c r="G602" s="2" t="s">
        <v>4900</v>
      </c>
      <c r="H602" s="2" t="s">
        <v>4901</v>
      </c>
      <c r="I602" s="2" t="s">
        <v>4902</v>
      </c>
      <c r="J602" s="2" t="s">
        <v>35</v>
      </c>
      <c r="K602" s="2" t="s">
        <v>4903</v>
      </c>
      <c r="L602" s="2" t="s">
        <v>4902</v>
      </c>
      <c r="M602" s="2" t="s">
        <v>4904</v>
      </c>
      <c r="N602" s="2" t="s">
        <v>4905</v>
      </c>
      <c r="O602" s="2"/>
      <c r="P602" s="2" t="s">
        <v>37</v>
      </c>
      <c r="Q602" s="4" t="n">
        <v>8731</v>
      </c>
      <c r="R602" s="2" t="s">
        <v>38</v>
      </c>
      <c r="S602" s="2" t="s">
        <v>39</v>
      </c>
      <c r="T602" s="2" t="s">
        <v>40</v>
      </c>
      <c r="U602" s="2" t="s">
        <v>4906</v>
      </c>
      <c r="V602" s="2"/>
      <c r="W602" s="2" t="s">
        <v>42</v>
      </c>
      <c r="X602" s="2" t="s">
        <v>43</v>
      </c>
      <c r="Y602" s="2" t="s">
        <v>37</v>
      </c>
      <c r="Z602" s="2" t="s">
        <v>44</v>
      </c>
      <c r="AA602" s="2"/>
      <c r="AB602" s="2"/>
      <c r="AC602" s="2" t="s">
        <v>4907</v>
      </c>
      <c r="AD602" s="2" t="s">
        <v>46</v>
      </c>
    </row>
    <row r="603" customFormat="false" ht="15.7" hidden="false" customHeight="true" outlineLevel="0" collapsed="false">
      <c r="A603" s="2"/>
      <c r="B603" s="3" t="n">
        <f aca="false">DATE(2007,4,30)</f>
        <v>0</v>
      </c>
      <c r="C603" s="3" t="n">
        <v>39202</v>
      </c>
      <c r="D603" s="2" t="s">
        <v>4908</v>
      </c>
      <c r="F603" s="2" t="s">
        <v>4909</v>
      </c>
      <c r="G603" s="2" t="s">
        <v>4910</v>
      </c>
      <c r="H603" s="2" t="s">
        <v>4911</v>
      </c>
      <c r="I603" s="2" t="s">
        <v>4912</v>
      </c>
      <c r="J603" s="2" t="s">
        <v>35</v>
      </c>
      <c r="K603" s="2" t="s">
        <v>4908</v>
      </c>
      <c r="L603" s="2" t="s">
        <v>4912</v>
      </c>
      <c r="M603" s="2" t="s">
        <v>4911</v>
      </c>
      <c r="N603" s="2" t="s">
        <v>4913</v>
      </c>
      <c r="O603" s="2"/>
      <c r="P603" s="2" t="s">
        <v>37</v>
      </c>
      <c r="Q603" s="4" t="n">
        <v>8731</v>
      </c>
      <c r="R603" s="2" t="s">
        <v>136</v>
      </c>
      <c r="S603" s="2" t="s">
        <v>39</v>
      </c>
      <c r="T603" s="2" t="s">
        <v>40</v>
      </c>
      <c r="U603" s="2" t="s">
        <v>4914</v>
      </c>
      <c r="V603" s="2"/>
      <c r="W603" s="2" t="s">
        <v>42</v>
      </c>
      <c r="X603" s="2" t="s">
        <v>43</v>
      </c>
      <c r="Y603" s="2" t="s">
        <v>37</v>
      </c>
      <c r="Z603" s="2" t="s">
        <v>44</v>
      </c>
      <c r="AA603" s="2"/>
      <c r="AB603" s="2"/>
      <c r="AC603" s="2" t="s">
        <v>4915</v>
      </c>
      <c r="AD603" s="2" t="s">
        <v>46</v>
      </c>
    </row>
    <row r="604" customFormat="false" ht="15.7" hidden="false" customHeight="true" outlineLevel="0" collapsed="false">
      <c r="A604" s="2"/>
      <c r="B604" s="3" t="n">
        <f aca="false">DATE(2007,4,30)</f>
        <v>0</v>
      </c>
      <c r="C604" s="3" t="n">
        <v>39202</v>
      </c>
      <c r="D604" s="2" t="s">
        <v>4916</v>
      </c>
      <c r="F604" s="2" t="s">
        <v>4917</v>
      </c>
      <c r="G604" s="2" t="s">
        <v>4918</v>
      </c>
      <c r="H604" s="2" t="s">
        <v>4369</v>
      </c>
      <c r="I604" s="2" t="s">
        <v>51</v>
      </c>
      <c r="J604" s="2" t="s">
        <v>4919</v>
      </c>
      <c r="K604" s="2" t="s">
        <v>4916</v>
      </c>
      <c r="L604" s="2" t="s">
        <v>51</v>
      </c>
      <c r="M604" s="2" t="s">
        <v>4369</v>
      </c>
      <c r="N604" s="2" t="s">
        <v>4920</v>
      </c>
      <c r="O604" s="2"/>
      <c r="P604" s="2" t="s">
        <v>79</v>
      </c>
      <c r="Q604" s="4" t="n">
        <v>8731</v>
      </c>
      <c r="R604" s="2" t="s">
        <v>56</v>
      </c>
      <c r="S604" s="2" t="s">
        <v>92</v>
      </c>
      <c r="T604" s="2" t="s">
        <v>40</v>
      </c>
      <c r="U604" s="2" t="s">
        <v>4921</v>
      </c>
      <c r="V604" s="2"/>
      <c r="W604" s="2" t="s">
        <v>3958</v>
      </c>
      <c r="X604" s="2" t="s">
        <v>43</v>
      </c>
      <c r="Y604" s="2" t="s">
        <v>37</v>
      </c>
      <c r="Z604" s="2" t="s">
        <v>44</v>
      </c>
      <c r="AA604" s="2"/>
      <c r="AB604" s="2"/>
      <c r="AC604" s="2" t="s">
        <v>4922</v>
      </c>
      <c r="AD604" s="2" t="s">
        <v>46</v>
      </c>
    </row>
    <row r="605" customFormat="false" ht="15.7" hidden="false" customHeight="true" outlineLevel="0" collapsed="false">
      <c r="A605" s="2"/>
      <c r="B605" s="3" t="n">
        <f aca="false">DATE(2007,4,30)</f>
        <v>0</v>
      </c>
      <c r="C605" s="3" t="n">
        <v>39202</v>
      </c>
      <c r="D605" s="2" t="s">
        <v>4923</v>
      </c>
      <c r="F605" s="2" t="s">
        <v>4924</v>
      </c>
      <c r="G605" s="2" t="s">
        <v>4925</v>
      </c>
      <c r="H605" s="2" t="s">
        <v>4926</v>
      </c>
      <c r="I605" s="2" t="s">
        <v>1080</v>
      </c>
      <c r="J605" s="2" t="s">
        <v>35</v>
      </c>
      <c r="K605" s="2" t="s">
        <v>4923</v>
      </c>
      <c r="L605" s="2" t="s">
        <v>1080</v>
      </c>
      <c r="M605" s="2" t="s">
        <v>4926</v>
      </c>
      <c r="N605" s="2" t="s">
        <v>4927</v>
      </c>
      <c r="O605" s="2"/>
      <c r="P605" s="2" t="s">
        <v>37</v>
      </c>
      <c r="Q605" s="4" t="n">
        <v>8731</v>
      </c>
      <c r="R605" s="2" t="s">
        <v>2201</v>
      </c>
      <c r="S605" s="2" t="s">
        <v>39</v>
      </c>
      <c r="T605" s="2" t="s">
        <v>40</v>
      </c>
      <c r="U605" s="2" t="s">
        <v>4928</v>
      </c>
      <c r="V605" s="2"/>
      <c r="W605" s="2" t="s">
        <v>42</v>
      </c>
      <c r="X605" s="2" t="s">
        <v>43</v>
      </c>
      <c r="Y605" s="2" t="s">
        <v>37</v>
      </c>
      <c r="Z605" s="2" t="s">
        <v>44</v>
      </c>
      <c r="AA605" s="2"/>
      <c r="AB605" s="2"/>
      <c r="AC605" s="2" t="s">
        <v>4929</v>
      </c>
      <c r="AD605" s="2" t="s">
        <v>46</v>
      </c>
    </row>
    <row r="606" customFormat="false" ht="15.7" hidden="false" customHeight="true" outlineLevel="0" collapsed="false">
      <c r="A606" s="2"/>
      <c r="B606" s="3" t="n">
        <f aca="false">DATE(2007,5,1)</f>
        <v>0</v>
      </c>
      <c r="C606" s="3" t="n">
        <v>39203</v>
      </c>
      <c r="D606" s="2" t="s">
        <v>4930</v>
      </c>
      <c r="F606" s="2" t="s">
        <v>256</v>
      </c>
      <c r="G606" s="2" t="s">
        <v>4931</v>
      </c>
      <c r="H606" s="2" t="s">
        <v>170</v>
      </c>
      <c r="I606" s="2" t="s">
        <v>4932</v>
      </c>
      <c r="J606" s="2" t="s">
        <v>35</v>
      </c>
      <c r="K606" s="2" t="s">
        <v>4930</v>
      </c>
      <c r="L606" s="2" t="s">
        <v>4932</v>
      </c>
      <c r="M606" s="2" t="s">
        <v>170</v>
      </c>
      <c r="N606" s="2" t="s">
        <v>4933</v>
      </c>
      <c r="O606" s="2" t="s">
        <v>4934</v>
      </c>
      <c r="P606" s="2" t="s">
        <v>37</v>
      </c>
      <c r="Q606" s="4" t="n">
        <v>2836</v>
      </c>
      <c r="R606" s="2" t="s">
        <v>2129</v>
      </c>
      <c r="S606" s="2" t="s">
        <v>39</v>
      </c>
      <c r="T606" s="2" t="s">
        <v>40</v>
      </c>
      <c r="U606" s="2" t="s">
        <v>4935</v>
      </c>
      <c r="V606" s="2"/>
      <c r="W606" s="2" t="s">
        <v>42</v>
      </c>
      <c r="X606" s="2" t="s">
        <v>46</v>
      </c>
      <c r="Y606" s="2" t="s">
        <v>37</v>
      </c>
      <c r="Z606" s="2" t="s">
        <v>362</v>
      </c>
      <c r="AA606" s="2"/>
      <c r="AB606" s="2" t="s">
        <v>4936</v>
      </c>
      <c r="AC606" s="2" t="s">
        <v>4937</v>
      </c>
      <c r="AD606" s="2" t="s">
        <v>46</v>
      </c>
    </row>
    <row r="607" customFormat="false" ht="15.7" hidden="false" customHeight="true" outlineLevel="0" collapsed="false">
      <c r="A607" s="2"/>
      <c r="B607" s="3" t="n">
        <f aca="false">DATE(2007,5,1)</f>
        <v>0</v>
      </c>
      <c r="C607" s="3" t="n">
        <v>39203</v>
      </c>
      <c r="D607" s="2" t="s">
        <v>4938</v>
      </c>
      <c r="F607" s="2" t="s">
        <v>4939</v>
      </c>
      <c r="G607" s="2" t="s">
        <v>4940</v>
      </c>
      <c r="H607" s="2" t="s">
        <v>170</v>
      </c>
      <c r="I607" s="2" t="s">
        <v>51</v>
      </c>
      <c r="J607" s="2" t="s">
        <v>171</v>
      </c>
      <c r="K607" s="2" t="s">
        <v>4941</v>
      </c>
      <c r="L607" s="2" t="s">
        <v>88</v>
      </c>
      <c r="M607" s="2" t="s">
        <v>63</v>
      </c>
      <c r="N607" s="2" t="s">
        <v>4942</v>
      </c>
      <c r="O607" s="2"/>
      <c r="P607" s="2" t="s">
        <v>79</v>
      </c>
      <c r="Q607" s="4" t="n">
        <v>6794</v>
      </c>
      <c r="R607" s="2" t="s">
        <v>56</v>
      </c>
      <c r="S607" s="2" t="s">
        <v>92</v>
      </c>
      <c r="T607" s="2" t="s">
        <v>1036</v>
      </c>
      <c r="U607" s="2" t="s">
        <v>4943</v>
      </c>
      <c r="V607" s="2"/>
      <c r="W607" s="2" t="s">
        <v>82</v>
      </c>
      <c r="X607" s="2" t="s">
        <v>43</v>
      </c>
      <c r="Y607" s="2" t="s">
        <v>37</v>
      </c>
      <c r="Z607" s="2" t="s">
        <v>44</v>
      </c>
      <c r="AA607" s="2"/>
      <c r="AB607" s="2"/>
      <c r="AC607" s="2" t="s">
        <v>4944</v>
      </c>
      <c r="AD607" s="2" t="s">
        <v>46</v>
      </c>
    </row>
    <row r="608" customFormat="false" ht="15.7" hidden="false" customHeight="true" outlineLevel="0" collapsed="false">
      <c r="A608" s="2"/>
      <c r="B608" s="3" t="n">
        <f aca="false">DATE(2007,5,2)</f>
        <v>0</v>
      </c>
      <c r="C608" s="3" t="n">
        <v>39204</v>
      </c>
      <c r="D608" s="2" t="s">
        <v>4945</v>
      </c>
      <c r="F608" s="2" t="s">
        <v>4946</v>
      </c>
      <c r="G608" s="2" t="s">
        <v>4947</v>
      </c>
      <c r="H608" s="2" t="s">
        <v>4948</v>
      </c>
      <c r="I608" s="2" t="s">
        <v>219</v>
      </c>
      <c r="J608" s="2" t="s">
        <v>1456</v>
      </c>
      <c r="K608" s="2" t="s">
        <v>4945</v>
      </c>
      <c r="L608" s="2" t="s">
        <v>219</v>
      </c>
      <c r="M608" s="2" t="s">
        <v>4948</v>
      </c>
      <c r="N608" s="2" t="s">
        <v>4949</v>
      </c>
      <c r="O608" s="2"/>
      <c r="P608" s="2" t="s">
        <v>37</v>
      </c>
      <c r="Q608" s="4" t="n">
        <v>8731</v>
      </c>
      <c r="R608" s="2" t="s">
        <v>38</v>
      </c>
      <c r="S608" s="2" t="s">
        <v>39</v>
      </c>
      <c r="T608" s="2" t="s">
        <v>40</v>
      </c>
      <c r="U608" s="2" t="s">
        <v>4950</v>
      </c>
      <c r="V608" s="2"/>
      <c r="W608" s="2" t="s">
        <v>4951</v>
      </c>
      <c r="X608" s="2" t="s">
        <v>43</v>
      </c>
      <c r="Y608" s="2" t="s">
        <v>37</v>
      </c>
      <c r="Z608" s="2" t="s">
        <v>44</v>
      </c>
      <c r="AA608" s="2"/>
      <c r="AB608" s="2"/>
      <c r="AC608" s="2" t="s">
        <v>4952</v>
      </c>
      <c r="AD608" s="2" t="s">
        <v>46</v>
      </c>
    </row>
    <row r="609" customFormat="false" ht="15.7" hidden="false" customHeight="true" outlineLevel="0" collapsed="false">
      <c r="A609" s="2"/>
      <c r="B609" s="3" t="n">
        <f aca="false">DATE(2007,5,3)</f>
        <v>0</v>
      </c>
      <c r="C609" s="3" t="n">
        <v>39205</v>
      </c>
      <c r="D609" s="2" t="s">
        <v>4953</v>
      </c>
      <c r="F609" s="2" t="s">
        <v>4954</v>
      </c>
      <c r="G609" s="2" t="s">
        <v>4955</v>
      </c>
      <c r="H609" s="2" t="s">
        <v>4956</v>
      </c>
      <c r="I609" s="2" t="s">
        <v>100</v>
      </c>
      <c r="J609" s="2" t="s">
        <v>220</v>
      </c>
      <c r="K609" s="2" t="s">
        <v>4953</v>
      </c>
      <c r="L609" s="2" t="s">
        <v>100</v>
      </c>
      <c r="M609" s="2" t="s">
        <v>4956</v>
      </c>
      <c r="N609" s="2" t="s">
        <v>4957</v>
      </c>
      <c r="O609" s="2"/>
      <c r="P609" s="2" t="s">
        <v>37</v>
      </c>
      <c r="Q609" s="4" t="n">
        <v>8732</v>
      </c>
      <c r="R609" s="2" t="s">
        <v>136</v>
      </c>
      <c r="S609" s="2" t="s">
        <v>39</v>
      </c>
      <c r="T609" s="2" t="s">
        <v>403</v>
      </c>
      <c r="U609" s="2" t="s">
        <v>4958</v>
      </c>
      <c r="V609" s="2"/>
      <c r="W609" s="2" t="s">
        <v>42</v>
      </c>
      <c r="X609" s="2" t="s">
        <v>43</v>
      </c>
      <c r="Y609" s="2" t="s">
        <v>37</v>
      </c>
      <c r="Z609" s="2" t="s">
        <v>44</v>
      </c>
      <c r="AA609" s="2"/>
      <c r="AB609" s="2"/>
      <c r="AC609" s="2" t="s">
        <v>4959</v>
      </c>
      <c r="AD609" s="2" t="s">
        <v>46</v>
      </c>
    </row>
    <row r="610" customFormat="false" ht="15.7" hidden="false" customHeight="true" outlineLevel="0" collapsed="false">
      <c r="A610" s="2"/>
      <c r="B610" s="3" t="n">
        <f aca="false">DATE(2007,5,4)</f>
        <v>0</v>
      </c>
      <c r="C610" s="3" t="n">
        <v>39206</v>
      </c>
      <c r="D610" s="2" t="s">
        <v>4960</v>
      </c>
      <c r="F610" s="2" t="s">
        <v>408</v>
      </c>
      <c r="G610" s="2" t="s">
        <v>4961</v>
      </c>
      <c r="H610" s="2" t="s">
        <v>170</v>
      </c>
      <c r="I610" s="2" t="s">
        <v>662</v>
      </c>
      <c r="J610" s="2" t="s">
        <v>203</v>
      </c>
      <c r="K610" s="2" t="s">
        <v>4960</v>
      </c>
      <c r="L610" s="2" t="s">
        <v>662</v>
      </c>
      <c r="M610" s="2" t="s">
        <v>170</v>
      </c>
      <c r="N610" s="2" t="s">
        <v>4962</v>
      </c>
      <c r="O610" s="2"/>
      <c r="P610" s="2" t="s">
        <v>37</v>
      </c>
      <c r="Q610" s="4" t="n">
        <v>8731</v>
      </c>
      <c r="R610" s="2" t="s">
        <v>136</v>
      </c>
      <c r="S610" s="2" t="s">
        <v>39</v>
      </c>
      <c r="T610" s="2" t="s">
        <v>40</v>
      </c>
      <c r="U610" s="2" t="s">
        <v>4963</v>
      </c>
      <c r="V610" s="2"/>
      <c r="W610" s="2" t="s">
        <v>42</v>
      </c>
      <c r="X610" s="2" t="s">
        <v>43</v>
      </c>
      <c r="Y610" s="2" t="s">
        <v>37</v>
      </c>
      <c r="Z610" s="2" t="s">
        <v>44</v>
      </c>
      <c r="AA610" s="2"/>
      <c r="AB610" s="2"/>
      <c r="AC610" s="2" t="s">
        <v>4964</v>
      </c>
      <c r="AD610" s="2" t="s">
        <v>46</v>
      </c>
    </row>
    <row r="611" customFormat="false" ht="15.7" hidden="false" customHeight="true" outlineLevel="0" collapsed="false">
      <c r="A611" s="2"/>
      <c r="B611" s="3" t="n">
        <f aca="false">DATE(2007,5,6)</f>
        <v>0</v>
      </c>
      <c r="C611" s="3" t="n">
        <v>39208</v>
      </c>
      <c r="D611" s="2" t="s">
        <v>4965</v>
      </c>
      <c r="F611" s="2" t="s">
        <v>1812</v>
      </c>
      <c r="G611" s="2" t="s">
        <v>4966</v>
      </c>
      <c r="H611" s="2" t="s">
        <v>63</v>
      </c>
      <c r="I611" s="2" t="s">
        <v>3730</v>
      </c>
      <c r="J611" s="2" t="s">
        <v>35</v>
      </c>
      <c r="K611" s="2" t="s">
        <v>4965</v>
      </c>
      <c r="L611" s="2" t="s">
        <v>3730</v>
      </c>
      <c r="M611" s="2" t="s">
        <v>63</v>
      </c>
      <c r="N611" s="2" t="s">
        <v>4967</v>
      </c>
      <c r="O611" s="2"/>
      <c r="P611" s="2" t="s">
        <v>37</v>
      </c>
      <c r="Q611" s="4" t="n">
        <v>8731</v>
      </c>
      <c r="R611" s="2" t="s">
        <v>136</v>
      </c>
      <c r="S611" s="2" t="s">
        <v>39</v>
      </c>
      <c r="T611" s="2" t="s">
        <v>40</v>
      </c>
      <c r="U611" s="2" t="s">
        <v>4968</v>
      </c>
      <c r="V611" s="2"/>
      <c r="W611" s="2" t="s">
        <v>42</v>
      </c>
      <c r="X611" s="2" t="s">
        <v>43</v>
      </c>
      <c r="Y611" s="2" t="s">
        <v>37</v>
      </c>
      <c r="Z611" s="2" t="s">
        <v>44</v>
      </c>
      <c r="AA611" s="2"/>
      <c r="AB611" s="2"/>
      <c r="AC611" s="2" t="s">
        <v>4969</v>
      </c>
      <c r="AD611" s="2" t="s">
        <v>46</v>
      </c>
    </row>
    <row r="612" customFormat="false" ht="15.7" hidden="false" customHeight="true" outlineLevel="0" collapsed="false">
      <c r="A612" s="2"/>
      <c r="B612" s="3" t="n">
        <f aca="false">DATE(2007,5,7)</f>
        <v>0</v>
      </c>
      <c r="C612" s="3" t="n">
        <v>39209</v>
      </c>
      <c r="D612" s="2" t="s">
        <v>4970</v>
      </c>
      <c r="F612" s="2" t="s">
        <v>4971</v>
      </c>
      <c r="G612" s="2" t="s">
        <v>4972</v>
      </c>
      <c r="H612" s="2" t="s">
        <v>63</v>
      </c>
      <c r="I612" s="2" t="s">
        <v>51</v>
      </c>
      <c r="J612" s="2" t="s">
        <v>171</v>
      </c>
      <c r="K612" s="2" t="s">
        <v>4970</v>
      </c>
      <c r="L612" s="2" t="s">
        <v>51</v>
      </c>
      <c r="M612" s="2" t="s">
        <v>63</v>
      </c>
      <c r="N612" s="2" t="s">
        <v>4973</v>
      </c>
      <c r="O612" s="2" t="s">
        <v>4974</v>
      </c>
      <c r="P612" s="2" t="s">
        <v>37</v>
      </c>
      <c r="Q612" s="4" t="n">
        <v>2834</v>
      </c>
      <c r="R612" s="2" t="s">
        <v>56</v>
      </c>
      <c r="S612" s="2" t="s">
        <v>92</v>
      </c>
      <c r="T612" s="2" t="s">
        <v>40</v>
      </c>
      <c r="U612" s="2" t="s">
        <v>4975</v>
      </c>
      <c r="V612" s="2"/>
      <c r="W612" s="2" t="s">
        <v>107</v>
      </c>
      <c r="X612" s="2" t="s">
        <v>46</v>
      </c>
      <c r="Y612" s="2" t="s">
        <v>37</v>
      </c>
      <c r="Z612" s="2" t="s">
        <v>362</v>
      </c>
      <c r="AA612" s="2"/>
      <c r="AB612" s="2" t="s">
        <v>4976</v>
      </c>
      <c r="AC612" s="2" t="s">
        <v>4977</v>
      </c>
      <c r="AD612" s="2" t="s">
        <v>46</v>
      </c>
    </row>
    <row r="613" customFormat="false" ht="15.7" hidden="false" customHeight="true" outlineLevel="0" collapsed="false">
      <c r="A613" s="2"/>
      <c r="B613" s="3" t="n">
        <f aca="false">DATE(2007,5,7)</f>
        <v>0</v>
      </c>
      <c r="C613" s="3" t="n">
        <v>39209</v>
      </c>
      <c r="D613" s="2" t="s">
        <v>4978</v>
      </c>
      <c r="F613" s="2" t="s">
        <v>4979</v>
      </c>
      <c r="G613" s="2" t="s">
        <v>4980</v>
      </c>
      <c r="H613" s="2" t="s">
        <v>3384</v>
      </c>
      <c r="I613" s="2" t="s">
        <v>487</v>
      </c>
      <c r="J613" s="2" t="s">
        <v>132</v>
      </c>
      <c r="K613" s="2" t="s">
        <v>4978</v>
      </c>
      <c r="L613" s="2" t="s">
        <v>487</v>
      </c>
      <c r="M613" s="2" t="s">
        <v>3384</v>
      </c>
      <c r="N613" s="2" t="s">
        <v>4981</v>
      </c>
      <c r="O613" s="2"/>
      <c r="P613" s="2" t="s">
        <v>37</v>
      </c>
      <c r="Q613" s="4" t="n">
        <v>8731</v>
      </c>
      <c r="R613" s="2" t="s">
        <v>136</v>
      </c>
      <c r="S613" s="2" t="s">
        <v>39</v>
      </c>
      <c r="T613" s="2" t="s">
        <v>40</v>
      </c>
      <c r="U613" s="2" t="s">
        <v>4982</v>
      </c>
      <c r="V613" s="2"/>
      <c r="W613" s="2" t="s">
        <v>42</v>
      </c>
      <c r="X613" s="2" t="s">
        <v>43</v>
      </c>
      <c r="Y613" s="2" t="s">
        <v>37</v>
      </c>
      <c r="Z613" s="2" t="s">
        <v>44</v>
      </c>
      <c r="AA613" s="2"/>
      <c r="AB613" s="2"/>
      <c r="AC613" s="2" t="s">
        <v>4983</v>
      </c>
      <c r="AD613" s="2" t="s">
        <v>46</v>
      </c>
    </row>
    <row r="614" customFormat="false" ht="15.7" hidden="false" customHeight="true" outlineLevel="0" collapsed="false">
      <c r="A614" s="2"/>
      <c r="B614" s="3" t="n">
        <f aca="false">DATE(2007,5,7)</f>
        <v>0</v>
      </c>
      <c r="C614" s="3" t="n">
        <v>39209</v>
      </c>
      <c r="D614" s="2" t="s">
        <v>4984</v>
      </c>
      <c r="F614" s="2" t="s">
        <v>4985</v>
      </c>
      <c r="G614" s="2" t="s">
        <v>4986</v>
      </c>
      <c r="H614" s="2" t="s">
        <v>4987</v>
      </c>
      <c r="I614" s="2" t="s">
        <v>51</v>
      </c>
      <c r="J614" s="2" t="s">
        <v>4919</v>
      </c>
      <c r="K614" s="2" t="s">
        <v>4988</v>
      </c>
      <c r="L614" s="2" t="s">
        <v>51</v>
      </c>
      <c r="M614" s="2" t="s">
        <v>1340</v>
      </c>
      <c r="N614" s="2" t="s">
        <v>4989</v>
      </c>
      <c r="O614" s="2"/>
      <c r="P614" s="2" t="s">
        <v>37</v>
      </c>
      <c r="Q614" s="4" t="n">
        <v>8731</v>
      </c>
      <c r="R614" s="2" t="s">
        <v>56</v>
      </c>
      <c r="S614" s="2" t="s">
        <v>92</v>
      </c>
      <c r="T614" s="2" t="s">
        <v>40</v>
      </c>
      <c r="U614" s="2" t="s">
        <v>4990</v>
      </c>
      <c r="V614" s="2"/>
      <c r="W614" s="2" t="s">
        <v>42</v>
      </c>
      <c r="X614" s="2" t="s">
        <v>43</v>
      </c>
      <c r="Y614" s="2" t="s">
        <v>37</v>
      </c>
      <c r="Z614" s="2" t="s">
        <v>44</v>
      </c>
      <c r="AA614" s="2"/>
      <c r="AB614" s="2"/>
      <c r="AC614" s="2" t="s">
        <v>4991</v>
      </c>
      <c r="AD614" s="2" t="s">
        <v>46</v>
      </c>
    </row>
    <row r="615" customFormat="false" ht="15.7" hidden="false" customHeight="true" outlineLevel="0" collapsed="false">
      <c r="A615" s="2"/>
      <c r="B615" s="3" t="n">
        <f aca="false">DATE(2007,5,7)</f>
        <v>0</v>
      </c>
      <c r="C615" s="3" t="n">
        <v>39209</v>
      </c>
      <c r="D615" s="2" t="s">
        <v>4992</v>
      </c>
      <c r="F615" s="2" t="s">
        <v>4993</v>
      </c>
      <c r="G615" s="2" t="s">
        <v>4994</v>
      </c>
      <c r="H615" s="2" t="s">
        <v>305</v>
      </c>
      <c r="I615" s="2" t="s">
        <v>51</v>
      </c>
      <c r="J615" s="2" t="s">
        <v>4995</v>
      </c>
      <c r="K615" s="2" t="s">
        <v>4996</v>
      </c>
      <c r="L615" s="2" t="s">
        <v>51</v>
      </c>
      <c r="M615" s="2" t="s">
        <v>1101</v>
      </c>
      <c r="N615" s="2" t="s">
        <v>4997</v>
      </c>
      <c r="O615" s="2" t="s">
        <v>4998</v>
      </c>
      <c r="P615" s="2" t="s">
        <v>37</v>
      </c>
      <c r="Q615" s="4" t="n">
        <v>2834</v>
      </c>
      <c r="R615" s="2" t="s">
        <v>56</v>
      </c>
      <c r="S615" s="2" t="s">
        <v>2534</v>
      </c>
      <c r="T615" s="2" t="s">
        <v>40</v>
      </c>
      <c r="U615" s="2" t="s">
        <v>4999</v>
      </c>
      <c r="V615" s="2"/>
      <c r="W615" s="2" t="s">
        <v>107</v>
      </c>
      <c r="X615" s="2" t="s">
        <v>46</v>
      </c>
      <c r="Y615" s="2" t="s">
        <v>37</v>
      </c>
      <c r="Z615" s="2" t="s">
        <v>362</v>
      </c>
      <c r="AA615" s="2"/>
      <c r="AB615" s="2" t="s">
        <v>5000</v>
      </c>
      <c r="AC615" s="2" t="s">
        <v>5001</v>
      </c>
      <c r="AD615" s="2" t="s">
        <v>46</v>
      </c>
    </row>
    <row r="616" customFormat="false" ht="15.7" hidden="false" customHeight="true" outlineLevel="0" collapsed="false">
      <c r="A616" s="2"/>
      <c r="B616" s="3" t="n">
        <f aca="false">DATE(2007,5,8)</f>
        <v>0</v>
      </c>
      <c r="C616" s="3" t="n">
        <v>39210</v>
      </c>
      <c r="D616" s="2" t="s">
        <v>5002</v>
      </c>
      <c r="F616" s="2" t="s">
        <v>5003</v>
      </c>
      <c r="G616" s="2" t="s">
        <v>5004</v>
      </c>
      <c r="H616" s="2" t="s">
        <v>5005</v>
      </c>
      <c r="I616" s="2" t="s">
        <v>821</v>
      </c>
      <c r="J616" s="2" t="s">
        <v>65</v>
      </c>
      <c r="K616" s="2" t="s">
        <v>5006</v>
      </c>
      <c r="L616" s="2" t="s">
        <v>821</v>
      </c>
      <c r="M616" s="2" t="s">
        <v>5007</v>
      </c>
      <c r="N616" s="2" t="s">
        <v>5008</v>
      </c>
      <c r="O616" s="2"/>
      <c r="P616" s="2" t="s">
        <v>37</v>
      </c>
      <c r="Q616" s="4" t="n">
        <v>8731</v>
      </c>
      <c r="R616" s="2" t="s">
        <v>136</v>
      </c>
      <c r="S616" s="2" t="s">
        <v>39</v>
      </c>
      <c r="T616" s="2" t="s">
        <v>40</v>
      </c>
      <c r="U616" s="2" t="s">
        <v>5009</v>
      </c>
      <c r="V616" s="2"/>
      <c r="W616" s="2" t="s">
        <v>42</v>
      </c>
      <c r="X616" s="2" t="s">
        <v>43</v>
      </c>
      <c r="Y616" s="2" t="s">
        <v>37</v>
      </c>
      <c r="Z616" s="2" t="s">
        <v>44</v>
      </c>
      <c r="AA616" s="2"/>
      <c r="AB616" s="2"/>
      <c r="AC616" s="2" t="s">
        <v>5010</v>
      </c>
      <c r="AD616" s="2" t="s">
        <v>46</v>
      </c>
    </row>
    <row r="617" customFormat="false" ht="15.7" hidden="false" customHeight="true" outlineLevel="0" collapsed="false">
      <c r="A617" s="2"/>
      <c r="B617" s="3" t="n">
        <f aca="false">DATE(2007,5,9)</f>
        <v>0</v>
      </c>
      <c r="C617" s="3" t="n">
        <v>39211</v>
      </c>
      <c r="D617" s="2" t="s">
        <v>5011</v>
      </c>
      <c r="F617" s="2" t="s">
        <v>5012</v>
      </c>
      <c r="G617" s="2" t="s">
        <v>5013</v>
      </c>
      <c r="H617" s="2" t="s">
        <v>130</v>
      </c>
      <c r="I617" s="2" t="s">
        <v>51</v>
      </c>
      <c r="J617" s="2" t="s">
        <v>2338</v>
      </c>
      <c r="K617" s="2" t="s">
        <v>5011</v>
      </c>
      <c r="L617" s="2" t="s">
        <v>51</v>
      </c>
      <c r="M617" s="2" t="s">
        <v>130</v>
      </c>
      <c r="N617" s="2" t="s">
        <v>5014</v>
      </c>
      <c r="O617" s="2"/>
      <c r="P617" s="2" t="s">
        <v>79</v>
      </c>
      <c r="Q617" s="4" t="n">
        <v>8731</v>
      </c>
      <c r="R617" s="2" t="s">
        <v>56</v>
      </c>
      <c r="S617" s="2" t="s">
        <v>92</v>
      </c>
      <c r="T617" s="2" t="s">
        <v>40</v>
      </c>
      <c r="U617" s="2" t="s">
        <v>5015</v>
      </c>
      <c r="V617" s="2"/>
      <c r="W617" s="2" t="s">
        <v>5016</v>
      </c>
      <c r="X617" s="2" t="s">
        <v>43</v>
      </c>
      <c r="Y617" s="2" t="s">
        <v>37</v>
      </c>
      <c r="Z617" s="2" t="s">
        <v>44</v>
      </c>
      <c r="AA617" s="2" t="s">
        <v>5017</v>
      </c>
      <c r="AB617" s="2"/>
      <c r="AC617" s="2" t="s">
        <v>5018</v>
      </c>
      <c r="AD617" s="2" t="s">
        <v>46</v>
      </c>
    </row>
    <row r="618" customFormat="false" ht="15.7" hidden="false" customHeight="true" outlineLevel="0" collapsed="false">
      <c r="A618" s="2"/>
      <c r="B618" s="3" t="n">
        <f aca="false">DATE(2007,5,14)</f>
        <v>0</v>
      </c>
      <c r="C618" s="3" t="n">
        <v>39216</v>
      </c>
      <c r="D618" s="2" t="s">
        <v>5019</v>
      </c>
      <c r="F618" s="2" t="s">
        <v>5020</v>
      </c>
      <c r="G618" s="2" t="s">
        <v>5021</v>
      </c>
      <c r="H618" s="2" t="s">
        <v>5022</v>
      </c>
      <c r="I618" s="2" t="s">
        <v>3320</v>
      </c>
      <c r="J618" s="2" t="s">
        <v>35</v>
      </c>
      <c r="K618" s="2" t="s">
        <v>5019</v>
      </c>
      <c r="L618" s="2" t="s">
        <v>3320</v>
      </c>
      <c r="M618" s="2" t="s">
        <v>5022</v>
      </c>
      <c r="N618" s="2" t="s">
        <v>5023</v>
      </c>
      <c r="O618" s="2"/>
      <c r="P618" s="2" t="s">
        <v>37</v>
      </c>
      <c r="Q618" s="4" t="n">
        <v>8731</v>
      </c>
      <c r="R618" s="2" t="s">
        <v>136</v>
      </c>
      <c r="S618" s="2" t="s">
        <v>39</v>
      </c>
      <c r="T618" s="2" t="s">
        <v>673</v>
      </c>
      <c r="U618" s="2" t="s">
        <v>5024</v>
      </c>
      <c r="V618" s="2"/>
      <c r="W618" s="2" t="s">
        <v>42</v>
      </c>
      <c r="X618" s="2" t="s">
        <v>43</v>
      </c>
      <c r="Y618" s="2" t="s">
        <v>37</v>
      </c>
      <c r="Z618" s="2" t="s">
        <v>44</v>
      </c>
      <c r="AA618" s="2"/>
      <c r="AB618" s="2"/>
      <c r="AC618" s="2" t="s">
        <v>5025</v>
      </c>
      <c r="AD618" s="2" t="s">
        <v>46</v>
      </c>
    </row>
    <row r="619" customFormat="false" ht="15.7" hidden="false" customHeight="true" outlineLevel="0" collapsed="false">
      <c r="A619" s="2"/>
      <c r="B619" s="3" t="n">
        <f aca="false">DATE(2007,5,14)</f>
        <v>0</v>
      </c>
      <c r="C619" s="3" t="n">
        <v>39216</v>
      </c>
      <c r="D619" s="2" t="s">
        <v>5026</v>
      </c>
      <c r="F619" s="2" t="s">
        <v>5027</v>
      </c>
      <c r="G619" s="2" t="s">
        <v>5028</v>
      </c>
      <c r="H619" s="2" t="s">
        <v>305</v>
      </c>
      <c r="I619" s="2" t="s">
        <v>1164</v>
      </c>
      <c r="J619" s="2" t="s">
        <v>35</v>
      </c>
      <c r="K619" s="2" t="s">
        <v>5026</v>
      </c>
      <c r="L619" s="2" t="s">
        <v>1164</v>
      </c>
      <c r="M619" s="2" t="s">
        <v>305</v>
      </c>
      <c r="N619" s="2" t="s">
        <v>5029</v>
      </c>
      <c r="O619" s="2"/>
      <c r="P619" s="2" t="s">
        <v>37</v>
      </c>
      <c r="Q619" s="4" t="n">
        <v>8731</v>
      </c>
      <c r="R619" s="2" t="s">
        <v>136</v>
      </c>
      <c r="S619" s="2" t="s">
        <v>39</v>
      </c>
      <c r="T619" s="2" t="s">
        <v>40</v>
      </c>
      <c r="U619" s="2" t="s">
        <v>5030</v>
      </c>
      <c r="V619" s="2"/>
      <c r="W619" s="2" t="s">
        <v>42</v>
      </c>
      <c r="X619" s="2" t="s">
        <v>43</v>
      </c>
      <c r="Y619" s="2" t="s">
        <v>37</v>
      </c>
      <c r="Z619" s="2" t="s">
        <v>44</v>
      </c>
      <c r="AA619" s="2"/>
      <c r="AB619" s="2"/>
      <c r="AC619" s="2" t="s">
        <v>5031</v>
      </c>
      <c r="AD619" s="2" t="s">
        <v>46</v>
      </c>
    </row>
    <row r="620" customFormat="false" ht="15.7" hidden="false" customHeight="true" outlineLevel="0" collapsed="false">
      <c r="A620" s="2"/>
      <c r="B620" s="3" t="n">
        <f aca="false">DATE(2007,5,15)</f>
        <v>0</v>
      </c>
      <c r="C620" s="3" t="n">
        <v>39217</v>
      </c>
      <c r="D620" s="2" t="s">
        <v>5032</v>
      </c>
      <c r="F620" s="2" t="s">
        <v>5033</v>
      </c>
      <c r="G620" s="2" t="s">
        <v>5034</v>
      </c>
      <c r="H620" s="2" t="s">
        <v>5035</v>
      </c>
      <c r="I620" s="2" t="s">
        <v>5036</v>
      </c>
      <c r="J620" s="2" t="s">
        <v>35</v>
      </c>
      <c r="K620" s="2" t="s">
        <v>5032</v>
      </c>
      <c r="L620" s="2" t="s">
        <v>5036</v>
      </c>
      <c r="M620" s="2" t="s">
        <v>5035</v>
      </c>
      <c r="N620" s="2" t="s">
        <v>5037</v>
      </c>
      <c r="O620" s="2"/>
      <c r="P620" s="2" t="s">
        <v>37</v>
      </c>
      <c r="Q620" s="4" t="n">
        <v>1099</v>
      </c>
      <c r="R620" s="2" t="s">
        <v>1402</v>
      </c>
      <c r="S620" s="2" t="s">
        <v>39</v>
      </c>
      <c r="T620" s="2" t="s">
        <v>403</v>
      </c>
      <c r="U620" s="2" t="s">
        <v>5038</v>
      </c>
      <c r="V620" s="2"/>
      <c r="W620" s="2" t="s">
        <v>5039</v>
      </c>
      <c r="X620" s="2" t="s">
        <v>46</v>
      </c>
      <c r="Y620" s="2" t="s">
        <v>37</v>
      </c>
      <c r="Z620" s="2" t="s">
        <v>5040</v>
      </c>
      <c r="AA620" s="2"/>
      <c r="AB620" s="2"/>
      <c r="AC620" s="2" t="s">
        <v>5041</v>
      </c>
      <c r="AD620" s="2" t="s">
        <v>46</v>
      </c>
    </row>
    <row r="621" customFormat="false" ht="15.7" hidden="false" customHeight="true" outlineLevel="0" collapsed="false">
      <c r="A621" s="2"/>
      <c r="B621" s="3" t="n">
        <f aca="false">DATE(2007,5,15)</f>
        <v>0</v>
      </c>
      <c r="C621" s="3" t="n">
        <v>39217</v>
      </c>
      <c r="D621" s="2" t="s">
        <v>5042</v>
      </c>
      <c r="F621" s="2" t="s">
        <v>5043</v>
      </c>
      <c r="G621" s="2" t="s">
        <v>5044</v>
      </c>
      <c r="H621" s="2" t="s">
        <v>2857</v>
      </c>
      <c r="I621" s="2" t="s">
        <v>4037</v>
      </c>
      <c r="J621" s="2" t="s">
        <v>65</v>
      </c>
      <c r="K621" s="2" t="s">
        <v>5042</v>
      </c>
      <c r="L621" s="2" t="s">
        <v>4037</v>
      </c>
      <c r="M621" s="2" t="s">
        <v>2857</v>
      </c>
      <c r="N621" s="2" t="s">
        <v>5045</v>
      </c>
      <c r="O621" s="2"/>
      <c r="P621" s="2" t="s">
        <v>37</v>
      </c>
      <c r="Q621" s="4" t="n">
        <v>8731</v>
      </c>
      <c r="R621" s="2" t="s">
        <v>136</v>
      </c>
      <c r="S621" s="2" t="s">
        <v>39</v>
      </c>
      <c r="T621" s="2" t="s">
        <v>40</v>
      </c>
      <c r="U621" s="2" t="s">
        <v>5046</v>
      </c>
      <c r="V621" s="2"/>
      <c r="W621" s="2" t="s">
        <v>42</v>
      </c>
      <c r="X621" s="2" t="s">
        <v>43</v>
      </c>
      <c r="Y621" s="2" t="s">
        <v>37</v>
      </c>
      <c r="Z621" s="2" t="s">
        <v>44</v>
      </c>
      <c r="AA621" s="2"/>
      <c r="AB621" s="2"/>
      <c r="AC621" s="2" t="s">
        <v>5047</v>
      </c>
      <c r="AD621" s="2" t="s">
        <v>46</v>
      </c>
    </row>
    <row r="622" customFormat="false" ht="15.7" hidden="false" customHeight="true" outlineLevel="0" collapsed="false">
      <c r="A622" s="2"/>
      <c r="B622" s="3" t="n">
        <f aca="false">DATE(2007,5,15)</f>
        <v>0</v>
      </c>
      <c r="C622" s="3" t="n">
        <v>39217</v>
      </c>
      <c r="D622" s="2" t="s">
        <v>5048</v>
      </c>
      <c r="F622" s="2" t="s">
        <v>5049</v>
      </c>
      <c r="G622" s="2" t="s">
        <v>5050</v>
      </c>
      <c r="H622" s="2" t="s">
        <v>5051</v>
      </c>
      <c r="I622" s="2" t="s">
        <v>51</v>
      </c>
      <c r="J622" s="2" t="s">
        <v>5052</v>
      </c>
      <c r="K622" s="2" t="s">
        <v>5053</v>
      </c>
      <c r="L622" s="2" t="s">
        <v>51</v>
      </c>
      <c r="M622" s="2" t="s">
        <v>5054</v>
      </c>
      <c r="N622" s="2" t="s">
        <v>5055</v>
      </c>
      <c r="O622" s="2"/>
      <c r="P622" s="2" t="s">
        <v>37</v>
      </c>
      <c r="Q622" s="4" t="n">
        <v>8731</v>
      </c>
      <c r="R622" s="2" t="s">
        <v>136</v>
      </c>
      <c r="S622" s="2" t="s">
        <v>39</v>
      </c>
      <c r="T622" s="2" t="s">
        <v>40</v>
      </c>
      <c r="U622" s="2" t="s">
        <v>5056</v>
      </c>
      <c r="V622" s="2"/>
      <c r="W622" s="2" t="s">
        <v>42</v>
      </c>
      <c r="X622" s="2" t="s">
        <v>43</v>
      </c>
      <c r="Y622" s="2" t="s">
        <v>37</v>
      </c>
      <c r="Z622" s="2" t="s">
        <v>44</v>
      </c>
      <c r="AA622" s="2"/>
      <c r="AB622" s="2"/>
      <c r="AC622" s="2" t="s">
        <v>5057</v>
      </c>
      <c r="AD622" s="2" t="s">
        <v>46</v>
      </c>
    </row>
    <row r="623" customFormat="false" ht="15.7" hidden="false" customHeight="true" outlineLevel="0" collapsed="false">
      <c r="A623" s="2"/>
      <c r="B623" s="3" t="n">
        <f aca="false">DATE(2007,5,16)</f>
        <v>0</v>
      </c>
      <c r="C623" s="3" t="n">
        <v>39218</v>
      </c>
      <c r="D623" s="2" t="s">
        <v>5058</v>
      </c>
      <c r="F623" s="2" t="s">
        <v>5059</v>
      </c>
      <c r="G623" s="2" t="s">
        <v>5060</v>
      </c>
      <c r="H623" s="2" t="s">
        <v>305</v>
      </c>
      <c r="I623" s="2" t="s">
        <v>549</v>
      </c>
      <c r="J623" s="2" t="s">
        <v>966</v>
      </c>
      <c r="K623" s="2" t="s">
        <v>5061</v>
      </c>
      <c r="L623" s="2" t="s">
        <v>549</v>
      </c>
      <c r="M623" s="2" t="s">
        <v>323</v>
      </c>
      <c r="N623" s="2" t="s">
        <v>5062</v>
      </c>
      <c r="O623" s="2"/>
      <c r="P623" s="2" t="s">
        <v>37</v>
      </c>
      <c r="Q623" s="4" t="n">
        <v>8731</v>
      </c>
      <c r="R623" s="2" t="s">
        <v>136</v>
      </c>
      <c r="S623" s="2" t="s">
        <v>39</v>
      </c>
      <c r="T623" s="2" t="s">
        <v>40</v>
      </c>
      <c r="U623" s="2" t="s">
        <v>5063</v>
      </c>
      <c r="V623" s="2"/>
      <c r="W623" s="2" t="s">
        <v>42</v>
      </c>
      <c r="X623" s="2" t="s">
        <v>43</v>
      </c>
      <c r="Y623" s="2" t="s">
        <v>37</v>
      </c>
      <c r="Z623" s="2" t="s">
        <v>44</v>
      </c>
      <c r="AA623" s="2"/>
      <c r="AB623" s="2"/>
      <c r="AC623" s="2" t="s">
        <v>5064</v>
      </c>
      <c r="AD623" s="2" t="s">
        <v>46</v>
      </c>
    </row>
    <row r="624" customFormat="false" ht="15.7" hidden="false" customHeight="true" outlineLevel="0" collapsed="false">
      <c r="A624" s="2"/>
      <c r="B624" s="3" t="n">
        <f aca="false">DATE(2007,5,17)</f>
        <v>0</v>
      </c>
      <c r="C624" s="3" t="n">
        <v>39219</v>
      </c>
      <c r="D624" s="2" t="s">
        <v>5065</v>
      </c>
      <c r="F624" s="2" t="s">
        <v>5066</v>
      </c>
      <c r="G624" s="2" t="s">
        <v>5067</v>
      </c>
      <c r="H624" s="2" t="s">
        <v>1473</v>
      </c>
      <c r="I624" s="2" t="s">
        <v>670</v>
      </c>
      <c r="J624" s="2" t="s">
        <v>1456</v>
      </c>
      <c r="K624" s="2" t="s">
        <v>5065</v>
      </c>
      <c r="L624" s="2" t="s">
        <v>670</v>
      </c>
      <c r="M624" s="2" t="s">
        <v>1473</v>
      </c>
      <c r="N624" s="2" t="s">
        <v>5068</v>
      </c>
      <c r="O624" s="2"/>
      <c r="P624" s="2" t="s">
        <v>37</v>
      </c>
      <c r="Q624" s="4" t="n">
        <v>8731</v>
      </c>
      <c r="R624" s="2" t="s">
        <v>136</v>
      </c>
      <c r="S624" s="2" t="s">
        <v>39</v>
      </c>
      <c r="T624" s="2" t="s">
        <v>40</v>
      </c>
      <c r="U624" s="2" t="s">
        <v>5069</v>
      </c>
      <c r="V624" s="2"/>
      <c r="W624" s="2" t="s">
        <v>42</v>
      </c>
      <c r="X624" s="2" t="s">
        <v>43</v>
      </c>
      <c r="Y624" s="2" t="s">
        <v>37</v>
      </c>
      <c r="Z624" s="2" t="s">
        <v>44</v>
      </c>
      <c r="AA624" s="2"/>
      <c r="AB624" s="2"/>
      <c r="AC624" s="2" t="s">
        <v>5070</v>
      </c>
      <c r="AD624" s="2" t="s">
        <v>46</v>
      </c>
    </row>
    <row r="625" customFormat="false" ht="15.7" hidden="false" customHeight="true" outlineLevel="0" collapsed="false">
      <c r="A625" s="2"/>
      <c r="B625" s="3" t="n">
        <f aca="false">DATE(2007,5,17)</f>
        <v>0</v>
      </c>
      <c r="C625" s="3" t="n">
        <v>39219</v>
      </c>
      <c r="D625" s="2" t="s">
        <v>5071</v>
      </c>
      <c r="F625" s="2" t="s">
        <v>5072</v>
      </c>
      <c r="G625" s="2" t="s">
        <v>5073</v>
      </c>
      <c r="H625" s="2" t="s">
        <v>4219</v>
      </c>
      <c r="I625" s="2" t="s">
        <v>51</v>
      </c>
      <c r="J625" s="2" t="s">
        <v>2386</v>
      </c>
      <c r="K625" s="2" t="s">
        <v>5071</v>
      </c>
      <c r="L625" s="2" t="s">
        <v>51</v>
      </c>
      <c r="M625" s="2" t="s">
        <v>4219</v>
      </c>
      <c r="N625" s="2" t="s">
        <v>5074</v>
      </c>
      <c r="O625" s="2"/>
      <c r="P625" s="2" t="s">
        <v>37</v>
      </c>
      <c r="Q625" s="4" t="n">
        <v>8731</v>
      </c>
      <c r="R625" s="2" t="s">
        <v>56</v>
      </c>
      <c r="S625" s="2" t="s">
        <v>80</v>
      </c>
      <c r="T625" s="2" t="s">
        <v>40</v>
      </c>
      <c r="U625" s="2" t="s">
        <v>5075</v>
      </c>
      <c r="V625" s="2"/>
      <c r="W625" s="2" t="s">
        <v>42</v>
      </c>
      <c r="X625" s="2" t="s">
        <v>43</v>
      </c>
      <c r="Y625" s="2" t="s">
        <v>37</v>
      </c>
      <c r="Z625" s="2" t="s">
        <v>44</v>
      </c>
      <c r="AA625" s="2"/>
      <c r="AB625" s="2"/>
      <c r="AC625" s="2" t="s">
        <v>5076</v>
      </c>
      <c r="AD625" s="2" t="s">
        <v>46</v>
      </c>
    </row>
    <row r="626" customFormat="false" ht="15.7" hidden="false" customHeight="true" outlineLevel="0" collapsed="false">
      <c r="A626" s="2"/>
      <c r="B626" s="3" t="n">
        <f aca="false">DATE(2007,5,18)</f>
        <v>0</v>
      </c>
      <c r="C626" s="3" t="n">
        <v>39220</v>
      </c>
      <c r="D626" s="2" t="s">
        <v>5077</v>
      </c>
      <c r="F626" s="2" t="s">
        <v>5078</v>
      </c>
      <c r="G626" s="2" t="s">
        <v>5079</v>
      </c>
      <c r="H626" s="2" t="s">
        <v>5080</v>
      </c>
      <c r="I626" s="2" t="s">
        <v>5081</v>
      </c>
      <c r="J626" s="2" t="s">
        <v>35</v>
      </c>
      <c r="K626" s="2" t="s">
        <v>5077</v>
      </c>
      <c r="L626" s="2" t="s">
        <v>5081</v>
      </c>
      <c r="M626" s="2" t="s">
        <v>5080</v>
      </c>
      <c r="N626" s="2" t="s">
        <v>5082</v>
      </c>
      <c r="O626" s="2"/>
      <c r="P626" s="2" t="s">
        <v>37</v>
      </c>
      <c r="Q626" s="4" t="n">
        <v>2834</v>
      </c>
      <c r="R626" s="2" t="s">
        <v>402</v>
      </c>
      <c r="S626" s="2" t="s">
        <v>39</v>
      </c>
      <c r="T626" s="2" t="s">
        <v>403</v>
      </c>
      <c r="U626" s="2" t="s">
        <v>5083</v>
      </c>
      <c r="V626" s="2"/>
      <c r="W626" s="2" t="s">
        <v>755</v>
      </c>
      <c r="X626" s="2" t="s">
        <v>46</v>
      </c>
      <c r="Y626" s="2" t="s">
        <v>37</v>
      </c>
      <c r="Z626" s="2" t="s">
        <v>362</v>
      </c>
      <c r="AA626" s="2"/>
      <c r="AB626" s="2"/>
      <c r="AC626" s="2" t="s">
        <v>5084</v>
      </c>
      <c r="AD626" s="2" t="s">
        <v>46</v>
      </c>
    </row>
    <row r="627" customFormat="false" ht="15.7" hidden="false" customHeight="true" outlineLevel="0" collapsed="false">
      <c r="A627" s="2"/>
      <c r="B627" s="3" t="n">
        <f aca="false">DATE(2007,5,18)</f>
        <v>0</v>
      </c>
      <c r="C627" s="3" t="n">
        <v>39220</v>
      </c>
      <c r="D627" s="2" t="s">
        <v>5085</v>
      </c>
      <c r="F627" s="2" t="s">
        <v>5086</v>
      </c>
      <c r="G627" s="2" t="s">
        <v>5087</v>
      </c>
      <c r="H627" s="2" t="s">
        <v>5088</v>
      </c>
      <c r="I627" s="2" t="s">
        <v>51</v>
      </c>
      <c r="J627" s="2" t="s">
        <v>5089</v>
      </c>
      <c r="K627" s="2" t="s">
        <v>5085</v>
      </c>
      <c r="L627" s="2" t="s">
        <v>51</v>
      </c>
      <c r="M627" s="2" t="s">
        <v>5088</v>
      </c>
      <c r="N627" s="2" t="s">
        <v>5090</v>
      </c>
      <c r="O627" s="2"/>
      <c r="P627" s="2" t="s">
        <v>37</v>
      </c>
      <c r="Q627" s="4" t="n">
        <v>8731</v>
      </c>
      <c r="R627" s="2" t="s">
        <v>136</v>
      </c>
      <c r="S627" s="2" t="s">
        <v>39</v>
      </c>
      <c r="T627" s="2" t="s">
        <v>40</v>
      </c>
      <c r="U627" s="2" t="s">
        <v>5091</v>
      </c>
      <c r="V627" s="2"/>
      <c r="W627" s="2" t="s">
        <v>138</v>
      </c>
      <c r="X627" s="2" t="s">
        <v>43</v>
      </c>
      <c r="Y627" s="2" t="s">
        <v>37</v>
      </c>
      <c r="Z627" s="2" t="s">
        <v>44</v>
      </c>
      <c r="AA627" s="2"/>
      <c r="AB627" s="2"/>
      <c r="AC627" s="2" t="s">
        <v>5092</v>
      </c>
      <c r="AD627" s="2" t="s">
        <v>46</v>
      </c>
    </row>
    <row r="628" customFormat="false" ht="15.7" hidden="false" customHeight="true" outlineLevel="0" collapsed="false">
      <c r="A628" s="2"/>
      <c r="B628" s="3" t="n">
        <f aca="false">DATE(2007,5,21)</f>
        <v>0</v>
      </c>
      <c r="C628" s="3" t="n">
        <v>39223</v>
      </c>
      <c r="D628" s="2" t="s">
        <v>5093</v>
      </c>
      <c r="F628" s="2" t="s">
        <v>5094</v>
      </c>
      <c r="G628" s="2" t="s">
        <v>5095</v>
      </c>
      <c r="H628" s="2" t="s">
        <v>2035</v>
      </c>
      <c r="I628" s="2" t="s">
        <v>5096</v>
      </c>
      <c r="J628" s="2" t="s">
        <v>35</v>
      </c>
      <c r="K628" s="2" t="s">
        <v>5093</v>
      </c>
      <c r="L628" s="2" t="s">
        <v>5096</v>
      </c>
      <c r="M628" s="2" t="s">
        <v>2035</v>
      </c>
      <c r="N628" s="2" t="s">
        <v>5097</v>
      </c>
      <c r="O628" s="2"/>
      <c r="P628" s="2" t="s">
        <v>37</v>
      </c>
      <c r="Q628" s="4" t="n">
        <v>8731</v>
      </c>
      <c r="R628" s="2" t="s">
        <v>136</v>
      </c>
      <c r="S628" s="2" t="s">
        <v>39</v>
      </c>
      <c r="T628" s="2" t="s">
        <v>40</v>
      </c>
      <c r="U628" s="2" t="s">
        <v>5098</v>
      </c>
      <c r="V628" s="2"/>
      <c r="W628" s="2" t="s">
        <v>42</v>
      </c>
      <c r="X628" s="2" t="s">
        <v>43</v>
      </c>
      <c r="Y628" s="2" t="s">
        <v>37</v>
      </c>
      <c r="Z628" s="2" t="s">
        <v>44</v>
      </c>
      <c r="AA628" s="2"/>
      <c r="AB628" s="2"/>
      <c r="AC628" s="2" t="s">
        <v>5099</v>
      </c>
      <c r="AD628" s="2" t="s">
        <v>46</v>
      </c>
    </row>
    <row r="629" customFormat="false" ht="15.7" hidden="false" customHeight="true" outlineLevel="0" collapsed="false">
      <c r="A629" s="2"/>
      <c r="B629" s="3" t="n">
        <f aca="false">DATE(2007,5,21)</f>
        <v>0</v>
      </c>
      <c r="C629" s="3" t="n">
        <v>39223</v>
      </c>
      <c r="D629" s="2" t="s">
        <v>5100</v>
      </c>
      <c r="F629" s="2" t="s">
        <v>1153</v>
      </c>
      <c r="G629" s="2" t="s">
        <v>5101</v>
      </c>
      <c r="H629" s="2" t="s">
        <v>1101</v>
      </c>
      <c r="I629" s="2" t="s">
        <v>5102</v>
      </c>
      <c r="J629" s="2" t="s">
        <v>35</v>
      </c>
      <c r="K629" s="2" t="s">
        <v>5100</v>
      </c>
      <c r="L629" s="2" t="s">
        <v>5102</v>
      </c>
      <c r="M629" s="2" t="s">
        <v>1101</v>
      </c>
      <c r="N629" s="2" t="s">
        <v>5103</v>
      </c>
      <c r="O629" s="2"/>
      <c r="P629" s="2" t="s">
        <v>37</v>
      </c>
      <c r="Q629" s="4" t="n">
        <v>6794</v>
      </c>
      <c r="R629" s="2" t="s">
        <v>70</v>
      </c>
      <c r="S629" s="2" t="s">
        <v>39</v>
      </c>
      <c r="T629" s="2" t="s">
        <v>40</v>
      </c>
      <c r="U629" s="2" t="s">
        <v>5104</v>
      </c>
      <c r="V629" s="2"/>
      <c r="W629" s="2" t="s">
        <v>82</v>
      </c>
      <c r="X629" s="2" t="s">
        <v>43</v>
      </c>
      <c r="Y629" s="2" t="s">
        <v>37</v>
      </c>
      <c r="Z629" s="2" t="s">
        <v>44</v>
      </c>
      <c r="AA629" s="2"/>
      <c r="AB629" s="2"/>
      <c r="AC629" s="2" t="s">
        <v>5105</v>
      </c>
      <c r="AD629" s="2" t="s">
        <v>46</v>
      </c>
    </row>
    <row r="630" customFormat="false" ht="15.7" hidden="false" customHeight="true" outlineLevel="0" collapsed="false">
      <c r="A630" s="2"/>
      <c r="B630" s="3" t="n">
        <f aca="false">DATE(2007,5,22)</f>
        <v>0</v>
      </c>
      <c r="C630" s="3" t="n">
        <v>39224</v>
      </c>
      <c r="D630" s="2" t="s">
        <v>5106</v>
      </c>
      <c r="F630" s="2" t="s">
        <v>5107</v>
      </c>
      <c r="G630" s="2" t="s">
        <v>5108</v>
      </c>
      <c r="H630" s="2" t="s">
        <v>1088</v>
      </c>
      <c r="I630" s="2" t="s">
        <v>51</v>
      </c>
      <c r="J630" s="2" t="s">
        <v>171</v>
      </c>
      <c r="K630" s="2" t="s">
        <v>5106</v>
      </c>
      <c r="L630" s="2" t="s">
        <v>51</v>
      </c>
      <c r="M630" s="2" t="s">
        <v>1088</v>
      </c>
      <c r="N630" s="2" t="s">
        <v>5109</v>
      </c>
      <c r="O630" s="2"/>
      <c r="P630" s="2" t="s">
        <v>37</v>
      </c>
      <c r="Q630" s="4" t="n">
        <v>8731</v>
      </c>
      <c r="R630" s="2" t="s">
        <v>56</v>
      </c>
      <c r="S630" s="2" t="s">
        <v>92</v>
      </c>
      <c r="T630" s="2" t="s">
        <v>40</v>
      </c>
      <c r="U630" s="2" t="s">
        <v>5110</v>
      </c>
      <c r="V630" s="2"/>
      <c r="W630" s="2" t="s">
        <v>42</v>
      </c>
      <c r="X630" s="2" t="s">
        <v>43</v>
      </c>
      <c r="Y630" s="2" t="s">
        <v>37</v>
      </c>
      <c r="Z630" s="2" t="s">
        <v>44</v>
      </c>
      <c r="AA630" s="2" t="s">
        <v>5111</v>
      </c>
      <c r="AB630" s="2"/>
      <c r="AC630" s="2" t="s">
        <v>5112</v>
      </c>
      <c r="AD630" s="2" t="s">
        <v>46</v>
      </c>
    </row>
    <row r="631" customFormat="false" ht="15.7" hidden="false" customHeight="true" outlineLevel="0" collapsed="false">
      <c r="A631" s="2"/>
      <c r="B631" s="3" t="n">
        <f aca="false">DATE(2007,5,23)</f>
        <v>0</v>
      </c>
      <c r="C631" s="3" t="n">
        <v>39225</v>
      </c>
      <c r="D631" s="2" t="s">
        <v>5113</v>
      </c>
      <c r="F631" s="2" t="s">
        <v>5114</v>
      </c>
      <c r="G631" s="2" t="s">
        <v>5115</v>
      </c>
      <c r="H631" s="2" t="s">
        <v>5116</v>
      </c>
      <c r="I631" s="2" t="s">
        <v>4744</v>
      </c>
      <c r="J631" s="2" t="s">
        <v>35</v>
      </c>
      <c r="K631" s="2" t="s">
        <v>5117</v>
      </c>
      <c r="L631" s="2" t="s">
        <v>4744</v>
      </c>
      <c r="M631" s="2" t="s">
        <v>5118</v>
      </c>
      <c r="N631" s="2" t="s">
        <v>5119</v>
      </c>
      <c r="O631" s="2"/>
      <c r="P631" s="2" t="s">
        <v>37</v>
      </c>
      <c r="Q631" s="4" t="n">
        <v>8731</v>
      </c>
      <c r="R631" s="2" t="s">
        <v>2508</v>
      </c>
      <c r="S631" s="2" t="s">
        <v>39</v>
      </c>
      <c r="T631" s="2" t="s">
        <v>40</v>
      </c>
      <c r="U631" s="2" t="s">
        <v>5120</v>
      </c>
      <c r="V631" s="2"/>
      <c r="W631" s="2" t="s">
        <v>42</v>
      </c>
      <c r="X631" s="2" t="s">
        <v>43</v>
      </c>
      <c r="Y631" s="2" t="s">
        <v>37</v>
      </c>
      <c r="Z631" s="2" t="s">
        <v>44</v>
      </c>
      <c r="AA631" s="2"/>
      <c r="AB631" s="2"/>
      <c r="AC631" s="2" t="s">
        <v>5121</v>
      </c>
      <c r="AD631" s="2" t="s">
        <v>46</v>
      </c>
    </row>
    <row r="632" customFormat="false" ht="15.7" hidden="false" customHeight="true" outlineLevel="0" collapsed="false">
      <c r="A632" s="2"/>
      <c r="B632" s="3" t="n">
        <f aca="false">DATE(2007,5,23)</f>
        <v>0</v>
      </c>
      <c r="C632" s="3" t="n">
        <v>39225</v>
      </c>
      <c r="D632" s="2" t="s">
        <v>5122</v>
      </c>
      <c r="F632" s="2" t="s">
        <v>5123</v>
      </c>
      <c r="G632" s="2" t="s">
        <v>5124</v>
      </c>
      <c r="H632" s="2" t="s">
        <v>5125</v>
      </c>
      <c r="I632" s="2" t="s">
        <v>51</v>
      </c>
      <c r="J632" s="2" t="s">
        <v>4151</v>
      </c>
      <c r="K632" s="2" t="s">
        <v>5122</v>
      </c>
      <c r="L632" s="2" t="s">
        <v>51</v>
      </c>
      <c r="M632" s="2" t="s">
        <v>5125</v>
      </c>
      <c r="N632" s="2" t="s">
        <v>5126</v>
      </c>
      <c r="O632" s="2"/>
      <c r="P632" s="2" t="s">
        <v>37</v>
      </c>
      <c r="Q632" s="4" t="n">
        <v>8731</v>
      </c>
      <c r="R632" s="2" t="s">
        <v>56</v>
      </c>
      <c r="S632" s="2" t="s">
        <v>360</v>
      </c>
      <c r="T632" s="2" t="s">
        <v>40</v>
      </c>
      <c r="U632" s="2" t="s">
        <v>5127</v>
      </c>
      <c r="V632" s="2"/>
      <c r="W632" s="2" t="s">
        <v>42</v>
      </c>
      <c r="X632" s="2" t="s">
        <v>43</v>
      </c>
      <c r="Y632" s="2" t="s">
        <v>37</v>
      </c>
      <c r="Z632" s="2" t="s">
        <v>44</v>
      </c>
      <c r="AA632" s="2"/>
      <c r="AB632" s="2"/>
      <c r="AC632" s="2" t="s">
        <v>5128</v>
      </c>
      <c r="AD632" s="2" t="s">
        <v>46</v>
      </c>
    </row>
    <row r="633" customFormat="false" ht="15.7" hidden="false" customHeight="true" outlineLevel="0" collapsed="false">
      <c r="A633" s="2"/>
      <c r="B633" s="3" t="n">
        <f aca="false">DATE(2007,5,24)</f>
        <v>0</v>
      </c>
      <c r="C633" s="3" t="n">
        <v>39226</v>
      </c>
      <c r="D633" s="2" t="s">
        <v>5129</v>
      </c>
      <c r="F633" s="2" t="s">
        <v>5130</v>
      </c>
      <c r="G633" s="2" t="s">
        <v>5131</v>
      </c>
      <c r="H633" s="2" t="s">
        <v>63</v>
      </c>
      <c r="I633" s="2" t="s">
        <v>202</v>
      </c>
      <c r="J633" s="2" t="s">
        <v>203</v>
      </c>
      <c r="K633" s="2" t="s">
        <v>5129</v>
      </c>
      <c r="L633" s="2" t="s">
        <v>202</v>
      </c>
      <c r="M633" s="2" t="s">
        <v>63</v>
      </c>
      <c r="N633" s="2" t="s">
        <v>5132</v>
      </c>
      <c r="O633" s="2"/>
      <c r="P633" s="2" t="s">
        <v>37</v>
      </c>
      <c r="Q633" s="4" t="n">
        <v>8731</v>
      </c>
      <c r="R633" s="2" t="s">
        <v>136</v>
      </c>
      <c r="S633" s="2" t="s">
        <v>39</v>
      </c>
      <c r="T633" s="2" t="s">
        <v>40</v>
      </c>
      <c r="U633" s="2" t="s">
        <v>5133</v>
      </c>
      <c r="V633" s="2"/>
      <c r="W633" s="2" t="s">
        <v>42</v>
      </c>
      <c r="X633" s="2" t="s">
        <v>43</v>
      </c>
      <c r="Y633" s="2" t="s">
        <v>37</v>
      </c>
      <c r="Z633" s="2" t="s">
        <v>44</v>
      </c>
      <c r="AA633" s="2"/>
      <c r="AB633" s="2"/>
      <c r="AC633" s="2" t="s">
        <v>5134</v>
      </c>
      <c r="AD633" s="2" t="s">
        <v>46</v>
      </c>
    </row>
    <row r="634" customFormat="false" ht="15.7" hidden="false" customHeight="true" outlineLevel="0" collapsed="false">
      <c r="A634" s="2"/>
      <c r="B634" s="3" t="n">
        <f aca="false">DATE(2007,5,24)</f>
        <v>0</v>
      </c>
      <c r="C634" s="3" t="n">
        <v>39226</v>
      </c>
      <c r="D634" s="2" t="s">
        <v>5135</v>
      </c>
      <c r="F634" s="2" t="s">
        <v>5136</v>
      </c>
      <c r="G634" s="2" t="s">
        <v>5137</v>
      </c>
      <c r="H634" s="2" t="s">
        <v>5138</v>
      </c>
      <c r="I634" s="2" t="s">
        <v>388</v>
      </c>
      <c r="J634" s="2" t="s">
        <v>625</v>
      </c>
      <c r="K634" s="2" t="s">
        <v>5135</v>
      </c>
      <c r="L634" s="2" t="s">
        <v>388</v>
      </c>
      <c r="M634" s="2" t="s">
        <v>5138</v>
      </c>
      <c r="N634" s="2" t="s">
        <v>5139</v>
      </c>
      <c r="O634" s="2"/>
      <c r="P634" s="2" t="s">
        <v>37</v>
      </c>
      <c r="Q634" s="4" t="n">
        <v>8731</v>
      </c>
      <c r="R634" s="2" t="s">
        <v>136</v>
      </c>
      <c r="S634" s="2" t="s">
        <v>39</v>
      </c>
      <c r="T634" s="2" t="s">
        <v>40</v>
      </c>
      <c r="U634" s="2" t="s">
        <v>5140</v>
      </c>
      <c r="V634" s="2"/>
      <c r="W634" s="2" t="s">
        <v>42</v>
      </c>
      <c r="X634" s="2" t="s">
        <v>43</v>
      </c>
      <c r="Y634" s="2" t="s">
        <v>37</v>
      </c>
      <c r="Z634" s="2" t="s">
        <v>44</v>
      </c>
      <c r="AA634" s="2"/>
      <c r="AB634" s="2"/>
      <c r="AC634" s="2" t="s">
        <v>5141</v>
      </c>
      <c r="AD634" s="2" t="s">
        <v>46</v>
      </c>
    </row>
    <row r="635" customFormat="false" ht="15.7" hidden="false" customHeight="true" outlineLevel="0" collapsed="false">
      <c r="A635" s="2"/>
      <c r="B635" s="3" t="n">
        <f aca="false">DATE(2007,5,24)</f>
        <v>0</v>
      </c>
      <c r="C635" s="3" t="n">
        <v>39226</v>
      </c>
      <c r="D635" s="2" t="s">
        <v>5142</v>
      </c>
      <c r="F635" s="2" t="s">
        <v>5143</v>
      </c>
      <c r="G635" s="2" t="s">
        <v>5144</v>
      </c>
      <c r="H635" s="2" t="s">
        <v>523</v>
      </c>
      <c r="I635" s="2" t="s">
        <v>540</v>
      </c>
      <c r="J635" s="2" t="s">
        <v>35</v>
      </c>
      <c r="K635" s="2" t="s">
        <v>5142</v>
      </c>
      <c r="L635" s="2" t="s">
        <v>540</v>
      </c>
      <c r="M635" s="2" t="s">
        <v>523</v>
      </c>
      <c r="N635" s="2" t="s">
        <v>5145</v>
      </c>
      <c r="O635" s="2"/>
      <c r="P635" s="2" t="s">
        <v>37</v>
      </c>
      <c r="Q635" s="4" t="n">
        <v>2834</v>
      </c>
      <c r="R635" s="2" t="s">
        <v>1448</v>
      </c>
      <c r="S635" s="2" t="s">
        <v>39</v>
      </c>
      <c r="T635" s="2" t="s">
        <v>40</v>
      </c>
      <c r="U635" s="2" t="s">
        <v>5146</v>
      </c>
      <c r="V635" s="2"/>
      <c r="W635" s="2" t="s">
        <v>107</v>
      </c>
      <c r="X635" s="2" t="s">
        <v>43</v>
      </c>
      <c r="Y635" s="2" t="s">
        <v>37</v>
      </c>
      <c r="Z635" s="2" t="s">
        <v>44</v>
      </c>
      <c r="AA635" s="2"/>
      <c r="AB635" s="2"/>
      <c r="AC635" s="2" t="s">
        <v>5147</v>
      </c>
      <c r="AD635" s="2" t="s">
        <v>46</v>
      </c>
    </row>
    <row r="636" customFormat="false" ht="15.7" hidden="false" customHeight="true" outlineLevel="0" collapsed="false">
      <c r="A636" s="2"/>
      <c r="B636" s="3" t="n">
        <f aca="false">DATE(2007,5,24)</f>
        <v>0</v>
      </c>
      <c r="C636" s="3" t="n">
        <v>39226</v>
      </c>
      <c r="D636" s="2" t="s">
        <v>5148</v>
      </c>
      <c r="F636" s="2" t="s">
        <v>5149</v>
      </c>
      <c r="G636" s="2" t="s">
        <v>5150</v>
      </c>
      <c r="H636" s="2" t="s">
        <v>5151</v>
      </c>
      <c r="I636" s="2" t="s">
        <v>540</v>
      </c>
      <c r="J636" s="2" t="s">
        <v>35</v>
      </c>
      <c r="K636" s="2" t="s">
        <v>5152</v>
      </c>
      <c r="L636" s="2" t="s">
        <v>296</v>
      </c>
      <c r="M636" s="2" t="s">
        <v>5153</v>
      </c>
      <c r="N636" s="2" t="s">
        <v>5154</v>
      </c>
      <c r="O636" s="2"/>
      <c r="P636" s="2" t="s">
        <v>37</v>
      </c>
      <c r="Q636" s="4" t="n">
        <v>8731</v>
      </c>
      <c r="R636" s="2" t="s">
        <v>1448</v>
      </c>
      <c r="S636" s="2" t="s">
        <v>39</v>
      </c>
      <c r="T636" s="2" t="s">
        <v>40</v>
      </c>
      <c r="U636" s="2" t="s">
        <v>5155</v>
      </c>
      <c r="V636" s="2"/>
      <c r="W636" s="2" t="s">
        <v>42</v>
      </c>
      <c r="X636" s="2" t="s">
        <v>43</v>
      </c>
      <c r="Y636" s="2" t="s">
        <v>37</v>
      </c>
      <c r="Z636" s="2" t="s">
        <v>44</v>
      </c>
      <c r="AA636" s="2"/>
      <c r="AB636" s="2"/>
      <c r="AC636" s="2" t="s">
        <v>5156</v>
      </c>
      <c r="AD636" s="2" t="s">
        <v>46</v>
      </c>
    </row>
    <row r="637" customFormat="false" ht="15.7" hidden="false" customHeight="true" outlineLevel="0" collapsed="false">
      <c r="A637" s="2"/>
      <c r="B637" s="3" t="n">
        <f aca="false">DATE(2007,5,25)</f>
        <v>0</v>
      </c>
      <c r="C637" s="3" t="n">
        <v>39227</v>
      </c>
      <c r="D637" s="2" t="s">
        <v>5157</v>
      </c>
      <c r="F637" s="2" t="s">
        <v>5158</v>
      </c>
      <c r="G637" s="2" t="s">
        <v>5159</v>
      </c>
      <c r="H637" s="2" t="s">
        <v>5160</v>
      </c>
      <c r="I637" s="2" t="s">
        <v>5161</v>
      </c>
      <c r="J637" s="2" t="s">
        <v>35</v>
      </c>
      <c r="K637" s="2" t="s">
        <v>5162</v>
      </c>
      <c r="L637" s="2" t="s">
        <v>5163</v>
      </c>
      <c r="M637" s="2" t="s">
        <v>5164</v>
      </c>
      <c r="N637" s="2" t="s">
        <v>5165</v>
      </c>
      <c r="O637" s="2" t="s">
        <v>5166</v>
      </c>
      <c r="P637" s="2" t="s">
        <v>37</v>
      </c>
      <c r="Q637" s="4" t="n">
        <v>8711</v>
      </c>
      <c r="R637" s="2" t="s">
        <v>1208</v>
      </c>
      <c r="S637" s="2" t="s">
        <v>39</v>
      </c>
      <c r="T637" s="2" t="s">
        <v>40</v>
      </c>
      <c r="U637" s="2" t="s">
        <v>5167</v>
      </c>
      <c r="V637" s="2"/>
      <c r="W637" s="2" t="s">
        <v>5168</v>
      </c>
      <c r="X637" s="2" t="s">
        <v>46</v>
      </c>
      <c r="Y637" s="2" t="s">
        <v>37</v>
      </c>
      <c r="Z637" s="2" t="s">
        <v>362</v>
      </c>
      <c r="AA637" s="2"/>
      <c r="AB637" s="2" t="s">
        <v>5169</v>
      </c>
      <c r="AC637" s="2" t="s">
        <v>5170</v>
      </c>
      <c r="AD637" s="2" t="s">
        <v>46</v>
      </c>
    </row>
    <row r="638" customFormat="false" ht="15.7" hidden="false" customHeight="true" outlineLevel="0" collapsed="false">
      <c r="A638" s="2"/>
      <c r="B638" s="3" t="n">
        <f aca="false">DATE(2007,5,25)</f>
        <v>0</v>
      </c>
      <c r="C638" s="3" t="n">
        <v>39227</v>
      </c>
      <c r="D638" s="2" t="s">
        <v>5171</v>
      </c>
      <c r="F638" s="2" t="s">
        <v>347</v>
      </c>
      <c r="G638" s="2" t="s">
        <v>5172</v>
      </c>
      <c r="H638" s="2" t="s">
        <v>63</v>
      </c>
      <c r="I638" s="2" t="s">
        <v>5173</v>
      </c>
      <c r="J638" s="2" t="s">
        <v>35</v>
      </c>
      <c r="K638" s="2" t="s">
        <v>5171</v>
      </c>
      <c r="L638" s="2" t="s">
        <v>5173</v>
      </c>
      <c r="M638" s="2" t="s">
        <v>63</v>
      </c>
      <c r="N638" s="2" t="s">
        <v>5174</v>
      </c>
      <c r="O638" s="2"/>
      <c r="P638" s="2" t="s">
        <v>79</v>
      </c>
      <c r="Q638" s="4" t="n">
        <v>6794</v>
      </c>
      <c r="R638" s="2" t="s">
        <v>136</v>
      </c>
      <c r="S638" s="2" t="s">
        <v>39</v>
      </c>
      <c r="T638" s="2" t="s">
        <v>40</v>
      </c>
      <c r="U638" s="2" t="s">
        <v>5175</v>
      </c>
      <c r="V638" s="2"/>
      <c r="W638" s="2" t="s">
        <v>253</v>
      </c>
      <c r="X638" s="2" t="s">
        <v>43</v>
      </c>
      <c r="Y638" s="2" t="s">
        <v>37</v>
      </c>
      <c r="Z638" s="2" t="s">
        <v>44</v>
      </c>
      <c r="AA638" s="2"/>
      <c r="AB638" s="2"/>
      <c r="AC638" s="2" t="s">
        <v>5176</v>
      </c>
      <c r="AD638" s="2" t="s">
        <v>46</v>
      </c>
    </row>
    <row r="639" customFormat="false" ht="15.7" hidden="false" customHeight="true" outlineLevel="0" collapsed="false">
      <c r="A639" s="2"/>
      <c r="B639" s="3" t="n">
        <f aca="false">DATE(2007,5,29)</f>
        <v>0</v>
      </c>
      <c r="C639" s="3" t="n">
        <v>39231</v>
      </c>
      <c r="D639" s="2" t="s">
        <v>5177</v>
      </c>
      <c r="F639" s="2" t="s">
        <v>5178</v>
      </c>
      <c r="G639" s="2" t="s">
        <v>5179</v>
      </c>
      <c r="H639" s="2" t="s">
        <v>2857</v>
      </c>
      <c r="I639" s="2" t="s">
        <v>51</v>
      </c>
      <c r="J639" s="2" t="s">
        <v>2858</v>
      </c>
      <c r="K639" s="2" t="s">
        <v>5177</v>
      </c>
      <c r="L639" s="2" t="s">
        <v>51</v>
      </c>
      <c r="M639" s="2" t="s">
        <v>2857</v>
      </c>
      <c r="N639" s="2" t="s">
        <v>5180</v>
      </c>
      <c r="O639" s="2"/>
      <c r="P639" s="2" t="s">
        <v>37</v>
      </c>
      <c r="Q639" s="4" t="n">
        <v>8731</v>
      </c>
      <c r="R639" s="2" t="s">
        <v>56</v>
      </c>
      <c r="S639" s="2" t="s">
        <v>277</v>
      </c>
      <c r="T639" s="2" t="s">
        <v>40</v>
      </c>
      <c r="U639" s="2" t="s">
        <v>5181</v>
      </c>
      <c r="V639" s="2"/>
      <c r="W639" s="2" t="s">
        <v>42</v>
      </c>
      <c r="X639" s="2" t="s">
        <v>43</v>
      </c>
      <c r="Y639" s="2" t="s">
        <v>37</v>
      </c>
      <c r="Z639" s="2" t="s">
        <v>44</v>
      </c>
      <c r="AA639" s="2"/>
      <c r="AB639" s="2"/>
      <c r="AC639" s="2" t="s">
        <v>5182</v>
      </c>
      <c r="AD639" s="2" t="s">
        <v>46</v>
      </c>
    </row>
    <row r="640" customFormat="false" ht="15.7" hidden="false" customHeight="true" outlineLevel="0" collapsed="false">
      <c r="A640" s="2"/>
      <c r="B640" s="3" t="n">
        <f aca="false">DATE(2007,5,29)</f>
        <v>0</v>
      </c>
      <c r="C640" s="3" t="n">
        <v>39231</v>
      </c>
      <c r="D640" s="2" t="s">
        <v>5183</v>
      </c>
      <c r="F640" s="2" t="s">
        <v>5184</v>
      </c>
      <c r="G640" s="2" t="s">
        <v>5185</v>
      </c>
      <c r="H640" s="2" t="s">
        <v>5186</v>
      </c>
      <c r="I640" s="2" t="s">
        <v>388</v>
      </c>
      <c r="J640" s="2" t="s">
        <v>65</v>
      </c>
      <c r="K640" s="2" t="s">
        <v>5183</v>
      </c>
      <c r="L640" s="2" t="s">
        <v>388</v>
      </c>
      <c r="M640" s="2" t="s">
        <v>5186</v>
      </c>
      <c r="N640" s="2" t="s">
        <v>5187</v>
      </c>
      <c r="O640" s="2"/>
      <c r="P640" s="2" t="s">
        <v>37</v>
      </c>
      <c r="Q640" s="4" t="n">
        <v>8731</v>
      </c>
      <c r="R640" s="2" t="s">
        <v>136</v>
      </c>
      <c r="S640" s="2" t="s">
        <v>39</v>
      </c>
      <c r="T640" s="2" t="s">
        <v>40</v>
      </c>
      <c r="U640" s="2" t="s">
        <v>5188</v>
      </c>
      <c r="V640" s="2"/>
      <c r="W640" s="2" t="s">
        <v>42</v>
      </c>
      <c r="X640" s="2" t="s">
        <v>43</v>
      </c>
      <c r="Y640" s="2" t="s">
        <v>37</v>
      </c>
      <c r="Z640" s="2" t="s">
        <v>44</v>
      </c>
      <c r="AA640" s="2"/>
      <c r="AB640" s="2"/>
      <c r="AC640" s="2" t="s">
        <v>5189</v>
      </c>
      <c r="AD640" s="2" t="s">
        <v>46</v>
      </c>
    </row>
    <row r="641" customFormat="false" ht="15.7" hidden="false" customHeight="true" outlineLevel="0" collapsed="false">
      <c r="A641" s="2"/>
      <c r="B641" s="3" t="n">
        <f aca="false">DATE(2007,5,30)</f>
        <v>0</v>
      </c>
      <c r="C641" s="3" t="n">
        <v>39232</v>
      </c>
      <c r="D641" s="2" t="s">
        <v>5190</v>
      </c>
      <c r="F641" s="2" t="s">
        <v>4736</v>
      </c>
      <c r="G641" s="2" t="s">
        <v>5191</v>
      </c>
      <c r="H641" s="2" t="s">
        <v>523</v>
      </c>
      <c r="I641" s="2" t="s">
        <v>1431</v>
      </c>
      <c r="J641" s="2" t="s">
        <v>313</v>
      </c>
      <c r="K641" s="2" t="s">
        <v>5190</v>
      </c>
      <c r="L641" s="2" t="s">
        <v>1431</v>
      </c>
      <c r="M641" s="2" t="s">
        <v>523</v>
      </c>
      <c r="N641" s="2" t="s">
        <v>5192</v>
      </c>
      <c r="O641" s="2"/>
      <c r="P641" s="2" t="s">
        <v>79</v>
      </c>
      <c r="Q641" s="4" t="n">
        <v>6794</v>
      </c>
      <c r="R641" s="2" t="s">
        <v>136</v>
      </c>
      <c r="S641" s="2" t="s">
        <v>39</v>
      </c>
      <c r="T641" s="2" t="s">
        <v>40</v>
      </c>
      <c r="U641" s="2" t="s">
        <v>5193</v>
      </c>
      <c r="V641" s="2"/>
      <c r="W641" s="2" t="s">
        <v>253</v>
      </c>
      <c r="X641" s="2" t="s">
        <v>43</v>
      </c>
      <c r="Y641" s="2" t="s">
        <v>37</v>
      </c>
      <c r="Z641" s="2" t="s">
        <v>44</v>
      </c>
      <c r="AA641" s="2"/>
      <c r="AB641" s="2"/>
      <c r="AC641" s="2" t="s">
        <v>5194</v>
      </c>
      <c r="AD641" s="2" t="s">
        <v>46</v>
      </c>
    </row>
    <row r="642" customFormat="false" ht="15.7" hidden="false" customHeight="true" outlineLevel="0" collapsed="false">
      <c r="A642" s="2"/>
      <c r="B642" s="3" t="n">
        <f aca="false">DATE(2007,5,30)</f>
        <v>0</v>
      </c>
      <c r="C642" s="3" t="n">
        <v>39232</v>
      </c>
      <c r="D642" s="2" t="s">
        <v>5195</v>
      </c>
      <c r="F642" s="2" t="s">
        <v>5196</v>
      </c>
      <c r="G642" s="2" t="s">
        <v>5196</v>
      </c>
      <c r="H642" s="2" t="s">
        <v>1574</v>
      </c>
      <c r="I642" s="2" t="s">
        <v>5197</v>
      </c>
      <c r="J642" s="2" t="s">
        <v>35</v>
      </c>
      <c r="K642" s="2" t="s">
        <v>5195</v>
      </c>
      <c r="L642" s="2" t="s">
        <v>5197</v>
      </c>
      <c r="M642" s="2" t="s">
        <v>1574</v>
      </c>
      <c r="N642" s="2" t="s">
        <v>5198</v>
      </c>
      <c r="O642" s="2"/>
      <c r="P642" s="2" t="s">
        <v>37</v>
      </c>
      <c r="Q642" s="4" t="n">
        <v>8731</v>
      </c>
      <c r="R642" s="2" t="s">
        <v>56</v>
      </c>
      <c r="S642" s="2"/>
      <c r="T642" s="2" t="s">
        <v>403</v>
      </c>
      <c r="U642" s="2" t="s">
        <v>5199</v>
      </c>
      <c r="V642" s="2"/>
      <c r="W642" s="2" t="s">
        <v>42</v>
      </c>
      <c r="X642" s="2" t="s">
        <v>43</v>
      </c>
      <c r="Y642" s="2" t="s">
        <v>37</v>
      </c>
      <c r="Z642" s="2" t="s">
        <v>44</v>
      </c>
      <c r="AA642" s="2"/>
      <c r="AB642" s="2"/>
      <c r="AC642" s="2" t="s">
        <v>5200</v>
      </c>
      <c r="AD642" s="2" t="s">
        <v>46</v>
      </c>
    </row>
    <row r="643" customFormat="false" ht="15.7" hidden="false" customHeight="true" outlineLevel="0" collapsed="false">
      <c r="A643" s="2"/>
      <c r="B643" s="3" t="n">
        <f aca="false">DATE(2007,5,30)</f>
        <v>0</v>
      </c>
      <c r="C643" s="3" t="n">
        <v>39232</v>
      </c>
      <c r="D643" s="2" t="s">
        <v>5201</v>
      </c>
      <c r="F643" s="2" t="s">
        <v>5202</v>
      </c>
      <c r="G643" s="2" t="s">
        <v>5203</v>
      </c>
      <c r="H643" s="2" t="s">
        <v>63</v>
      </c>
      <c r="I643" s="2" t="s">
        <v>219</v>
      </c>
      <c r="J643" s="2" t="s">
        <v>65</v>
      </c>
      <c r="K643" s="2" t="s">
        <v>5204</v>
      </c>
      <c r="L643" s="2" t="s">
        <v>34</v>
      </c>
      <c r="M643" s="2" t="s">
        <v>130</v>
      </c>
      <c r="N643" s="2" t="s">
        <v>5205</v>
      </c>
      <c r="O643" s="2"/>
      <c r="P643" s="2" t="s">
        <v>79</v>
      </c>
      <c r="Q643" s="4" t="n">
        <v>6799</v>
      </c>
      <c r="R643" s="2" t="s">
        <v>136</v>
      </c>
      <c r="S643" s="2" t="s">
        <v>39</v>
      </c>
      <c r="T643" s="2" t="s">
        <v>40</v>
      </c>
      <c r="U643" s="2" t="s">
        <v>5206</v>
      </c>
      <c r="V643" s="2"/>
      <c r="W643" s="2" t="s">
        <v>588</v>
      </c>
      <c r="X643" s="2" t="s">
        <v>43</v>
      </c>
      <c r="Y643" s="2" t="s">
        <v>37</v>
      </c>
      <c r="Z643" s="2" t="s">
        <v>44</v>
      </c>
      <c r="AA643" s="2"/>
      <c r="AB643" s="2"/>
      <c r="AC643" s="2" t="s">
        <v>5207</v>
      </c>
      <c r="AD643" s="2" t="s">
        <v>46</v>
      </c>
    </row>
    <row r="644" customFormat="false" ht="15.7" hidden="false" customHeight="true" outlineLevel="0" collapsed="false">
      <c r="A644" s="2"/>
      <c r="B644" s="3" t="n">
        <f aca="false">DATE(2007,5,30)</f>
        <v>0</v>
      </c>
      <c r="C644" s="3" t="n">
        <v>39232</v>
      </c>
      <c r="D644" s="2" t="s">
        <v>5208</v>
      </c>
      <c r="F644" s="2" t="s">
        <v>5209</v>
      </c>
      <c r="G644" s="2" t="s">
        <v>5210</v>
      </c>
      <c r="H644" s="2" t="s">
        <v>63</v>
      </c>
      <c r="I644" s="2" t="s">
        <v>51</v>
      </c>
      <c r="J644" s="2" t="s">
        <v>5211</v>
      </c>
      <c r="K644" s="2" t="s">
        <v>5208</v>
      </c>
      <c r="L644" s="2" t="s">
        <v>51</v>
      </c>
      <c r="M644" s="2" t="s">
        <v>63</v>
      </c>
      <c r="N644" s="2" t="s">
        <v>5212</v>
      </c>
      <c r="O644" s="2"/>
      <c r="P644" s="2" t="s">
        <v>37</v>
      </c>
      <c r="Q644" s="4" t="n">
        <v>8731</v>
      </c>
      <c r="R644" s="2" t="s">
        <v>56</v>
      </c>
      <c r="S644" s="2" t="s">
        <v>1226</v>
      </c>
      <c r="T644" s="2" t="s">
        <v>40</v>
      </c>
      <c r="U644" s="2" t="s">
        <v>5213</v>
      </c>
      <c r="V644" s="2"/>
      <c r="W644" s="2" t="s">
        <v>42</v>
      </c>
      <c r="X644" s="2" t="s">
        <v>43</v>
      </c>
      <c r="Y644" s="2" t="s">
        <v>37</v>
      </c>
      <c r="Z644" s="2" t="s">
        <v>44</v>
      </c>
      <c r="AA644" s="2"/>
      <c r="AB644" s="2"/>
      <c r="AC644" s="2" t="s">
        <v>5214</v>
      </c>
      <c r="AD644" s="2" t="s">
        <v>46</v>
      </c>
    </row>
    <row r="645" customFormat="false" ht="15.7" hidden="false" customHeight="true" outlineLevel="0" collapsed="false">
      <c r="A645" s="2"/>
      <c r="B645" s="3" t="n">
        <f aca="false">DATE(2007,5,30)</f>
        <v>0</v>
      </c>
      <c r="C645" s="3" t="n">
        <v>39232</v>
      </c>
      <c r="D645" s="2" t="s">
        <v>5215</v>
      </c>
      <c r="F645" s="2" t="s">
        <v>1818</v>
      </c>
      <c r="G645" s="2" t="s">
        <v>5216</v>
      </c>
      <c r="H645" s="2" t="s">
        <v>523</v>
      </c>
      <c r="I645" s="2" t="s">
        <v>51</v>
      </c>
      <c r="J645" s="2" t="s">
        <v>3045</v>
      </c>
      <c r="K645" s="2" t="s">
        <v>5215</v>
      </c>
      <c r="L645" s="2" t="s">
        <v>51</v>
      </c>
      <c r="M645" s="2" t="s">
        <v>523</v>
      </c>
      <c r="N645" s="2" t="s">
        <v>5217</v>
      </c>
      <c r="O645" s="2"/>
      <c r="P645" s="2" t="s">
        <v>79</v>
      </c>
      <c r="Q645" s="4" t="n">
        <v>6794</v>
      </c>
      <c r="R645" s="2" t="s">
        <v>56</v>
      </c>
      <c r="S645" s="2" t="s">
        <v>92</v>
      </c>
      <c r="T645" s="2" t="s">
        <v>40</v>
      </c>
      <c r="U645" s="2" t="s">
        <v>5218</v>
      </c>
      <c r="V645" s="2"/>
      <c r="W645" s="2" t="s">
        <v>94</v>
      </c>
      <c r="X645" s="2" t="s">
        <v>43</v>
      </c>
      <c r="Y645" s="2" t="s">
        <v>37</v>
      </c>
      <c r="Z645" s="2" t="s">
        <v>44</v>
      </c>
      <c r="AA645" s="2"/>
      <c r="AB645" s="2"/>
      <c r="AC645" s="2" t="s">
        <v>5219</v>
      </c>
      <c r="AD645" s="2" t="s">
        <v>46</v>
      </c>
    </row>
    <row r="646" customFormat="false" ht="15.7" hidden="false" customHeight="true" outlineLevel="0" collapsed="false">
      <c r="A646" s="2"/>
      <c r="B646" s="3" t="n">
        <f aca="false">DATE(2007,5,30)</f>
        <v>0</v>
      </c>
      <c r="C646" s="3" t="n">
        <v>39232</v>
      </c>
      <c r="D646" s="2" t="s">
        <v>5220</v>
      </c>
      <c r="F646" s="2" t="s">
        <v>5221</v>
      </c>
      <c r="G646" s="2" t="s">
        <v>5222</v>
      </c>
      <c r="H646" s="2" t="s">
        <v>130</v>
      </c>
      <c r="I646" s="2" t="s">
        <v>51</v>
      </c>
      <c r="J646" s="2" t="s">
        <v>1834</v>
      </c>
      <c r="K646" s="2" t="s">
        <v>5223</v>
      </c>
      <c r="L646" s="2" t="s">
        <v>51</v>
      </c>
      <c r="M646" s="2" t="s">
        <v>130</v>
      </c>
      <c r="N646" s="2" t="s">
        <v>5224</v>
      </c>
      <c r="O646" s="2"/>
      <c r="P646" s="2" t="s">
        <v>79</v>
      </c>
      <c r="Q646" s="4" t="n">
        <v>6794</v>
      </c>
      <c r="R646" s="2" t="s">
        <v>56</v>
      </c>
      <c r="S646" s="2" t="s">
        <v>92</v>
      </c>
      <c r="T646" s="2" t="s">
        <v>122</v>
      </c>
      <c r="U646" s="2" t="s">
        <v>5225</v>
      </c>
      <c r="V646" s="2"/>
      <c r="W646" s="2" t="s">
        <v>82</v>
      </c>
      <c r="X646" s="2" t="s">
        <v>43</v>
      </c>
      <c r="Y646" s="2" t="s">
        <v>37</v>
      </c>
      <c r="Z646" s="2" t="s">
        <v>44</v>
      </c>
      <c r="AA646" s="2" t="s">
        <v>5226</v>
      </c>
      <c r="AB646" s="2"/>
      <c r="AC646" s="2" t="s">
        <v>5227</v>
      </c>
      <c r="AD646" s="2" t="s">
        <v>46</v>
      </c>
    </row>
    <row r="647" customFormat="false" ht="15.7" hidden="false" customHeight="true" outlineLevel="0" collapsed="false">
      <c r="A647" s="2"/>
      <c r="B647" s="3" t="n">
        <f aca="false">DATE(2007,5,31)</f>
        <v>0</v>
      </c>
      <c r="C647" s="3" t="n">
        <v>39233</v>
      </c>
      <c r="D647" s="2" t="s">
        <v>5228</v>
      </c>
      <c r="F647" s="2" t="s">
        <v>5229</v>
      </c>
      <c r="G647" s="2" t="s">
        <v>5230</v>
      </c>
      <c r="H647" s="2" t="s">
        <v>63</v>
      </c>
      <c r="I647" s="2" t="s">
        <v>219</v>
      </c>
      <c r="J647" s="2" t="s">
        <v>514</v>
      </c>
      <c r="K647" s="2" t="s">
        <v>5231</v>
      </c>
      <c r="L647" s="2" t="s">
        <v>219</v>
      </c>
      <c r="M647" s="2" t="s">
        <v>1564</v>
      </c>
      <c r="N647" s="2" t="s">
        <v>5232</v>
      </c>
      <c r="O647" s="2"/>
      <c r="P647" s="2" t="s">
        <v>37</v>
      </c>
      <c r="Q647" s="4" t="n">
        <v>8731</v>
      </c>
      <c r="R647" s="2" t="s">
        <v>136</v>
      </c>
      <c r="S647" s="2" t="s">
        <v>39</v>
      </c>
      <c r="T647" s="2" t="s">
        <v>40</v>
      </c>
      <c r="U647" s="2" t="s">
        <v>5233</v>
      </c>
      <c r="V647" s="2"/>
      <c r="W647" s="2" t="s">
        <v>42</v>
      </c>
      <c r="X647" s="2" t="s">
        <v>43</v>
      </c>
      <c r="Y647" s="2" t="s">
        <v>37</v>
      </c>
      <c r="Z647" s="2" t="s">
        <v>44</v>
      </c>
      <c r="AA647" s="2"/>
      <c r="AB647" s="2"/>
      <c r="AC647" s="2" t="s">
        <v>5234</v>
      </c>
      <c r="AD647" s="2" t="s">
        <v>46</v>
      </c>
    </row>
    <row r="648" customFormat="false" ht="15.7" hidden="false" customHeight="true" outlineLevel="0" collapsed="false">
      <c r="A648" s="2"/>
      <c r="B648" s="3" t="n">
        <f aca="false">DATE(2007,5,31)</f>
        <v>0</v>
      </c>
      <c r="C648" s="3" t="n">
        <v>39233</v>
      </c>
      <c r="D648" s="2" t="s">
        <v>5235</v>
      </c>
      <c r="F648" s="2" t="s">
        <v>256</v>
      </c>
      <c r="G648" s="2" t="s">
        <v>5236</v>
      </c>
      <c r="H648" s="2" t="s">
        <v>3469</v>
      </c>
      <c r="I648" s="2" t="s">
        <v>51</v>
      </c>
      <c r="J648" s="2" t="s">
        <v>171</v>
      </c>
      <c r="K648" s="2" t="s">
        <v>5235</v>
      </c>
      <c r="L648" s="2" t="s">
        <v>51</v>
      </c>
      <c r="M648" s="2" t="s">
        <v>3469</v>
      </c>
      <c r="N648" s="2" t="s">
        <v>5237</v>
      </c>
      <c r="O648" s="2"/>
      <c r="P648" s="2" t="s">
        <v>37</v>
      </c>
      <c r="Q648" s="4" t="n">
        <v>8731</v>
      </c>
      <c r="R648" s="2" t="s">
        <v>56</v>
      </c>
      <c r="S648" s="2" t="s">
        <v>92</v>
      </c>
      <c r="T648" s="2" t="s">
        <v>40</v>
      </c>
      <c r="U648" s="2" t="s">
        <v>5238</v>
      </c>
      <c r="V648" s="2"/>
      <c r="W648" s="2" t="s">
        <v>42</v>
      </c>
      <c r="X648" s="2" t="s">
        <v>43</v>
      </c>
      <c r="Y648" s="2" t="s">
        <v>37</v>
      </c>
      <c r="Z648" s="2" t="s">
        <v>44</v>
      </c>
      <c r="AA648" s="2"/>
      <c r="AB648" s="2"/>
      <c r="AC648" s="2" t="s">
        <v>5239</v>
      </c>
      <c r="AD648" s="2" t="s">
        <v>46</v>
      </c>
    </row>
    <row r="649" customFormat="false" ht="15.7" hidden="false" customHeight="true" outlineLevel="0" collapsed="false">
      <c r="A649" s="2"/>
      <c r="B649" s="3" t="n">
        <f aca="false">DATE(2007,6,1)</f>
        <v>0</v>
      </c>
      <c r="C649" s="3" t="n">
        <v>39234</v>
      </c>
      <c r="D649" s="2" t="s">
        <v>5240</v>
      </c>
      <c r="F649" s="2" t="s">
        <v>5241</v>
      </c>
      <c r="G649" s="2" t="s">
        <v>5242</v>
      </c>
      <c r="H649" s="2" t="s">
        <v>3761</v>
      </c>
      <c r="I649" s="2" t="s">
        <v>51</v>
      </c>
      <c r="J649" s="2" t="s">
        <v>293</v>
      </c>
      <c r="K649" s="2" t="s">
        <v>5240</v>
      </c>
      <c r="L649" s="2" t="s">
        <v>51</v>
      </c>
      <c r="M649" s="2" t="s">
        <v>3761</v>
      </c>
      <c r="N649" s="2" t="s">
        <v>5243</v>
      </c>
      <c r="O649" s="2"/>
      <c r="P649" s="2" t="s">
        <v>37</v>
      </c>
      <c r="Q649" s="4" t="n">
        <v>8731</v>
      </c>
      <c r="R649" s="2" t="s">
        <v>56</v>
      </c>
      <c r="S649" s="2" t="s">
        <v>251</v>
      </c>
      <c r="T649" s="2" t="s">
        <v>40</v>
      </c>
      <c r="U649" s="2" t="s">
        <v>5244</v>
      </c>
      <c r="V649" s="2"/>
      <c r="W649" s="2" t="s">
        <v>42</v>
      </c>
      <c r="X649" s="2" t="s">
        <v>43</v>
      </c>
      <c r="Y649" s="2" t="s">
        <v>37</v>
      </c>
      <c r="Z649" s="2" t="s">
        <v>44</v>
      </c>
      <c r="AA649" s="2"/>
      <c r="AB649" s="2"/>
      <c r="AC649" s="2" t="s">
        <v>5245</v>
      </c>
      <c r="AD649" s="2" t="s">
        <v>46</v>
      </c>
    </row>
    <row r="650" customFormat="false" ht="15.7" hidden="false" customHeight="true" outlineLevel="0" collapsed="false">
      <c r="A650" s="2"/>
      <c r="B650" s="3" t="n">
        <f aca="false">DATE(2007,6,1)</f>
        <v>0</v>
      </c>
      <c r="C650" s="3" t="n">
        <v>39234</v>
      </c>
      <c r="D650" s="2" t="s">
        <v>5246</v>
      </c>
      <c r="F650" s="2" t="s">
        <v>5247</v>
      </c>
      <c r="G650" s="2" t="s">
        <v>5248</v>
      </c>
      <c r="H650" s="2" t="s">
        <v>4987</v>
      </c>
      <c r="I650" s="2" t="s">
        <v>51</v>
      </c>
      <c r="J650" s="2" t="s">
        <v>5249</v>
      </c>
      <c r="K650" s="2" t="s">
        <v>5250</v>
      </c>
      <c r="L650" s="2" t="s">
        <v>51</v>
      </c>
      <c r="M650" s="2" t="s">
        <v>5251</v>
      </c>
      <c r="N650" s="2" t="s">
        <v>5252</v>
      </c>
      <c r="O650" s="2"/>
      <c r="P650" s="2" t="s">
        <v>37</v>
      </c>
      <c r="Q650" s="4" t="n">
        <v>8731</v>
      </c>
      <c r="R650" s="2" t="s">
        <v>136</v>
      </c>
      <c r="S650" s="2" t="s">
        <v>39</v>
      </c>
      <c r="T650" s="2" t="s">
        <v>40</v>
      </c>
      <c r="U650" s="2" t="s">
        <v>5253</v>
      </c>
      <c r="V650" s="2"/>
      <c r="W650" s="2" t="s">
        <v>42</v>
      </c>
      <c r="X650" s="2" t="s">
        <v>43</v>
      </c>
      <c r="Y650" s="2" t="s">
        <v>37</v>
      </c>
      <c r="Z650" s="2" t="s">
        <v>44</v>
      </c>
      <c r="AA650" s="2"/>
      <c r="AB650" s="2"/>
      <c r="AC650" s="2" t="s">
        <v>5254</v>
      </c>
      <c r="AD650" s="2" t="s">
        <v>46</v>
      </c>
    </row>
    <row r="651" customFormat="false" ht="15.7" hidden="false" customHeight="true" outlineLevel="0" collapsed="false">
      <c r="A651" s="2"/>
      <c r="B651" s="3" t="n">
        <f aca="false">DATE(2007,6,4)</f>
        <v>0</v>
      </c>
      <c r="C651" s="3" t="n">
        <v>39237</v>
      </c>
      <c r="D651" s="2" t="s">
        <v>5255</v>
      </c>
      <c r="F651" s="2" t="s">
        <v>5256</v>
      </c>
      <c r="G651" s="2" t="s">
        <v>5257</v>
      </c>
      <c r="H651" s="2" t="s">
        <v>1528</v>
      </c>
      <c r="I651" s="2" t="s">
        <v>51</v>
      </c>
      <c r="J651" s="2" t="s">
        <v>187</v>
      </c>
      <c r="K651" s="2" t="s">
        <v>5258</v>
      </c>
      <c r="L651" s="2" t="s">
        <v>51</v>
      </c>
      <c r="M651" s="2" t="s">
        <v>1528</v>
      </c>
      <c r="N651" s="2" t="s">
        <v>5259</v>
      </c>
      <c r="O651" s="2"/>
      <c r="P651" s="2" t="s">
        <v>37</v>
      </c>
      <c r="Q651" s="4" t="n">
        <v>8731</v>
      </c>
      <c r="R651" s="2" t="s">
        <v>56</v>
      </c>
      <c r="S651" s="2" t="s">
        <v>92</v>
      </c>
      <c r="T651" s="2" t="s">
        <v>40</v>
      </c>
      <c r="U651" s="2" t="s">
        <v>5260</v>
      </c>
      <c r="V651" s="2"/>
      <c r="W651" s="2" t="s">
        <v>42</v>
      </c>
      <c r="X651" s="2" t="s">
        <v>43</v>
      </c>
      <c r="Y651" s="2" t="s">
        <v>37</v>
      </c>
      <c r="Z651" s="2" t="s">
        <v>44</v>
      </c>
      <c r="AA651" s="2"/>
      <c r="AB651" s="2"/>
      <c r="AC651" s="2" t="s">
        <v>5261</v>
      </c>
      <c r="AD651" s="2" t="s">
        <v>46</v>
      </c>
    </row>
    <row r="652" customFormat="false" ht="15.7" hidden="false" customHeight="true" outlineLevel="0" collapsed="false">
      <c r="A652" s="2"/>
      <c r="B652" s="3" t="n">
        <f aca="false">DATE(2007,6,4)</f>
        <v>0</v>
      </c>
      <c r="C652" s="3" t="n">
        <v>39237</v>
      </c>
      <c r="D652" s="2" t="s">
        <v>5262</v>
      </c>
      <c r="F652" s="2" t="s">
        <v>5263</v>
      </c>
      <c r="G652" s="2" t="s">
        <v>5264</v>
      </c>
      <c r="H652" s="2" t="s">
        <v>5265</v>
      </c>
      <c r="I652" s="2" t="s">
        <v>5266</v>
      </c>
      <c r="J652" s="2" t="s">
        <v>116</v>
      </c>
      <c r="K652" s="2" t="s">
        <v>5267</v>
      </c>
      <c r="L652" s="2" t="s">
        <v>5268</v>
      </c>
      <c r="M652" s="2" t="s">
        <v>5269</v>
      </c>
      <c r="N652" s="2" t="s">
        <v>5270</v>
      </c>
      <c r="O652" s="2"/>
      <c r="P652" s="2" t="s">
        <v>37</v>
      </c>
      <c r="Q652" s="4" t="n">
        <v>8731</v>
      </c>
      <c r="R652" s="2" t="s">
        <v>136</v>
      </c>
      <c r="S652" s="2" t="s">
        <v>39</v>
      </c>
      <c r="T652" s="2" t="s">
        <v>40</v>
      </c>
      <c r="U652" s="2" t="s">
        <v>5271</v>
      </c>
      <c r="V652" s="2"/>
      <c r="W652" s="2" t="s">
        <v>42</v>
      </c>
      <c r="X652" s="2" t="s">
        <v>43</v>
      </c>
      <c r="Y652" s="2" t="s">
        <v>37</v>
      </c>
      <c r="Z652" s="2" t="s">
        <v>916</v>
      </c>
      <c r="AA652" s="2"/>
      <c r="AB652" s="2"/>
      <c r="AC652" s="2" t="s">
        <v>5272</v>
      </c>
      <c r="AD652" s="2" t="s">
        <v>46</v>
      </c>
    </row>
    <row r="653" customFormat="false" ht="15.7" hidden="false" customHeight="true" outlineLevel="0" collapsed="false">
      <c r="A653" s="2"/>
      <c r="B653" s="3" t="n">
        <f aca="false">DATE(2007,6,5)</f>
        <v>0</v>
      </c>
      <c r="C653" s="3" t="n">
        <v>39238</v>
      </c>
      <c r="D653" s="2" t="s">
        <v>5273</v>
      </c>
      <c r="F653" s="2" t="s">
        <v>5274</v>
      </c>
      <c r="G653" s="2" t="s">
        <v>5275</v>
      </c>
      <c r="H653" s="2" t="s">
        <v>5276</v>
      </c>
      <c r="I653" s="2" t="s">
        <v>5277</v>
      </c>
      <c r="J653" s="2" t="s">
        <v>116</v>
      </c>
      <c r="K653" s="2" t="s">
        <v>5273</v>
      </c>
      <c r="L653" s="2" t="s">
        <v>5277</v>
      </c>
      <c r="M653" s="2" t="s">
        <v>5276</v>
      </c>
      <c r="N653" s="2" t="s">
        <v>5278</v>
      </c>
      <c r="O653" s="2"/>
      <c r="P653" s="2" t="s">
        <v>79</v>
      </c>
      <c r="Q653" s="4" t="n">
        <v>6794</v>
      </c>
      <c r="R653" s="2" t="s">
        <v>136</v>
      </c>
      <c r="S653" s="2" t="s">
        <v>39</v>
      </c>
      <c r="T653" s="2" t="s">
        <v>403</v>
      </c>
      <c r="U653" s="2" t="s">
        <v>5279</v>
      </c>
      <c r="V653" s="2"/>
      <c r="W653" s="2" t="s">
        <v>82</v>
      </c>
      <c r="X653" s="2" t="s">
        <v>43</v>
      </c>
      <c r="Y653" s="2" t="s">
        <v>37</v>
      </c>
      <c r="Z653" s="2" t="s">
        <v>916</v>
      </c>
      <c r="AA653" s="2"/>
      <c r="AB653" s="2"/>
      <c r="AC653" s="2" t="s">
        <v>5280</v>
      </c>
      <c r="AD653" s="2" t="s">
        <v>46</v>
      </c>
    </row>
    <row r="654" customFormat="false" ht="15.7" hidden="false" customHeight="true" outlineLevel="0" collapsed="false">
      <c r="A654" s="2"/>
      <c r="B654" s="3" t="n">
        <f aca="false">DATE(2007,6,5)</f>
        <v>0</v>
      </c>
      <c r="C654" s="3" t="n">
        <v>39238</v>
      </c>
      <c r="D654" s="2" t="s">
        <v>5281</v>
      </c>
      <c r="F654" s="2" t="s">
        <v>5282</v>
      </c>
      <c r="G654" s="2" t="s">
        <v>5283</v>
      </c>
      <c r="H654" s="2" t="s">
        <v>5284</v>
      </c>
      <c r="I654" s="2" t="s">
        <v>4089</v>
      </c>
      <c r="J654" s="2" t="s">
        <v>35</v>
      </c>
      <c r="K654" s="2" t="s">
        <v>5281</v>
      </c>
      <c r="L654" s="2" t="s">
        <v>4089</v>
      </c>
      <c r="M654" s="2" t="s">
        <v>5284</v>
      </c>
      <c r="N654" s="2" t="s">
        <v>5285</v>
      </c>
      <c r="O654" s="2"/>
      <c r="P654" s="2" t="s">
        <v>79</v>
      </c>
      <c r="Q654" s="4" t="n">
        <v>6794</v>
      </c>
      <c r="R654" s="2" t="s">
        <v>38</v>
      </c>
      <c r="S654" s="2" t="s">
        <v>39</v>
      </c>
      <c r="T654" s="2" t="s">
        <v>40</v>
      </c>
      <c r="U654" s="2" t="s">
        <v>5286</v>
      </c>
      <c r="V654" s="2"/>
      <c r="W654" s="2" t="s">
        <v>253</v>
      </c>
      <c r="X654" s="2" t="s">
        <v>43</v>
      </c>
      <c r="Y654" s="2" t="s">
        <v>37</v>
      </c>
      <c r="Z654" s="2" t="s">
        <v>44</v>
      </c>
      <c r="AA654" s="2"/>
      <c r="AB654" s="2"/>
      <c r="AC654" s="2" t="s">
        <v>5287</v>
      </c>
      <c r="AD654" s="2" t="s">
        <v>46</v>
      </c>
    </row>
    <row r="655" customFormat="false" ht="15.7" hidden="false" customHeight="true" outlineLevel="0" collapsed="false">
      <c r="A655" s="2"/>
      <c r="B655" s="3" t="n">
        <f aca="false">DATE(2007,6,5)</f>
        <v>0</v>
      </c>
      <c r="C655" s="3" t="n">
        <v>39238</v>
      </c>
      <c r="D655" s="2" t="s">
        <v>5288</v>
      </c>
      <c r="F655" s="2" t="s">
        <v>5289</v>
      </c>
      <c r="G655" s="2" t="s">
        <v>5290</v>
      </c>
      <c r="H655" s="2" t="s">
        <v>5291</v>
      </c>
      <c r="I655" s="2" t="s">
        <v>724</v>
      </c>
      <c r="J655" s="2" t="s">
        <v>101</v>
      </c>
      <c r="K655" s="2" t="s">
        <v>5288</v>
      </c>
      <c r="L655" s="2" t="s">
        <v>724</v>
      </c>
      <c r="M655" s="2" t="s">
        <v>5291</v>
      </c>
      <c r="N655" s="2" t="s">
        <v>5292</v>
      </c>
      <c r="O655" s="2"/>
      <c r="P655" s="2" t="s">
        <v>37</v>
      </c>
      <c r="Q655" s="4" t="n">
        <v>8731</v>
      </c>
      <c r="R655" s="2" t="s">
        <v>136</v>
      </c>
      <c r="S655" s="2" t="s">
        <v>39</v>
      </c>
      <c r="T655" s="2" t="s">
        <v>673</v>
      </c>
      <c r="U655" s="2" t="s">
        <v>5293</v>
      </c>
      <c r="V655" s="2"/>
      <c r="W655" s="2" t="s">
        <v>42</v>
      </c>
      <c r="X655" s="2" t="s">
        <v>43</v>
      </c>
      <c r="Y655" s="2" t="s">
        <v>37</v>
      </c>
      <c r="Z655" s="2" t="s">
        <v>44</v>
      </c>
      <c r="AA655" s="2"/>
      <c r="AB655" s="2"/>
      <c r="AC655" s="2" t="s">
        <v>5294</v>
      </c>
      <c r="AD655" s="2" t="s">
        <v>46</v>
      </c>
    </row>
    <row r="656" customFormat="false" ht="15.7" hidden="false" customHeight="true" outlineLevel="0" collapsed="false">
      <c r="A656" s="2"/>
      <c r="B656" s="3" t="n">
        <f aca="false">DATE(2007,6,6)</f>
        <v>0</v>
      </c>
      <c r="C656" s="3" t="n">
        <v>39239</v>
      </c>
      <c r="D656" s="2" t="s">
        <v>5295</v>
      </c>
      <c r="F656" s="2" t="s">
        <v>5296</v>
      </c>
      <c r="G656" s="2" t="s">
        <v>5297</v>
      </c>
      <c r="H656" s="2" t="s">
        <v>2857</v>
      </c>
      <c r="I656" s="2" t="s">
        <v>5298</v>
      </c>
      <c r="J656" s="2" t="s">
        <v>35</v>
      </c>
      <c r="K656" s="2" t="s">
        <v>5299</v>
      </c>
      <c r="L656" s="2" t="s">
        <v>2972</v>
      </c>
      <c r="M656" s="2" t="s">
        <v>2857</v>
      </c>
      <c r="N656" s="2" t="s">
        <v>5300</v>
      </c>
      <c r="O656" s="2"/>
      <c r="P656" s="2" t="s">
        <v>37</v>
      </c>
      <c r="Q656" s="4" t="n">
        <v>8731</v>
      </c>
      <c r="R656" s="2" t="s">
        <v>136</v>
      </c>
      <c r="S656" s="2" t="s">
        <v>39</v>
      </c>
      <c r="T656" s="2" t="s">
        <v>40</v>
      </c>
      <c r="U656" s="2" t="s">
        <v>5301</v>
      </c>
      <c r="V656" s="2"/>
      <c r="W656" s="2" t="s">
        <v>42</v>
      </c>
      <c r="X656" s="2" t="s">
        <v>43</v>
      </c>
      <c r="Y656" s="2" t="s">
        <v>37</v>
      </c>
      <c r="Z656" s="2" t="s">
        <v>44</v>
      </c>
      <c r="AA656" s="2"/>
      <c r="AB656" s="2"/>
      <c r="AC656" s="2" t="s">
        <v>5302</v>
      </c>
      <c r="AD656" s="2" t="s">
        <v>46</v>
      </c>
    </row>
    <row r="657" customFormat="false" ht="15.7" hidden="false" customHeight="true" outlineLevel="0" collapsed="false">
      <c r="A657" s="2"/>
      <c r="B657" s="3" t="n">
        <f aca="false">DATE(2007,6,7)</f>
        <v>0</v>
      </c>
      <c r="C657" s="3" t="n">
        <v>39240</v>
      </c>
      <c r="D657" s="2" t="s">
        <v>5303</v>
      </c>
      <c r="F657" s="2" t="s">
        <v>5304</v>
      </c>
      <c r="G657" s="2" t="s">
        <v>5305</v>
      </c>
      <c r="H657" s="2" t="s">
        <v>5306</v>
      </c>
      <c r="I657" s="2" t="s">
        <v>51</v>
      </c>
      <c r="J657" s="2" t="s">
        <v>5307</v>
      </c>
      <c r="K657" s="2" t="s">
        <v>5303</v>
      </c>
      <c r="L657" s="2" t="s">
        <v>51</v>
      </c>
      <c r="M657" s="2" t="s">
        <v>5306</v>
      </c>
      <c r="N657" s="2" t="s">
        <v>5308</v>
      </c>
      <c r="O657" s="2"/>
      <c r="P657" s="2" t="s">
        <v>37</v>
      </c>
      <c r="Q657" s="4" t="n">
        <v>8731</v>
      </c>
      <c r="R657" s="2" t="s">
        <v>56</v>
      </c>
      <c r="S657" s="2" t="s">
        <v>57</v>
      </c>
      <c r="T657" s="2" t="s">
        <v>40</v>
      </c>
      <c r="U657" s="2" t="s">
        <v>5309</v>
      </c>
      <c r="V657" s="2"/>
      <c r="W657" s="2" t="s">
        <v>42</v>
      </c>
      <c r="X657" s="2" t="s">
        <v>43</v>
      </c>
      <c r="Y657" s="2" t="s">
        <v>37</v>
      </c>
      <c r="Z657" s="2" t="s">
        <v>44</v>
      </c>
      <c r="AA657" s="2"/>
      <c r="AB657" s="2"/>
      <c r="AC657" s="2" t="s">
        <v>5310</v>
      </c>
      <c r="AD657" s="2" t="s">
        <v>46</v>
      </c>
    </row>
    <row r="658" customFormat="false" ht="15.7" hidden="false" customHeight="true" outlineLevel="0" collapsed="false">
      <c r="A658" s="2"/>
      <c r="B658" s="3" t="n">
        <f aca="false">DATE(2007,6,8)</f>
        <v>0</v>
      </c>
      <c r="C658" s="3" t="n">
        <v>39241</v>
      </c>
      <c r="D658" s="2" t="s">
        <v>5311</v>
      </c>
      <c r="F658" s="2" t="s">
        <v>5312</v>
      </c>
      <c r="G658" s="2" t="s">
        <v>5313</v>
      </c>
      <c r="H658" s="2" t="s">
        <v>5314</v>
      </c>
      <c r="I658" s="2" t="s">
        <v>2727</v>
      </c>
      <c r="J658" s="2" t="s">
        <v>35</v>
      </c>
      <c r="K658" s="2" t="s">
        <v>5311</v>
      </c>
      <c r="L658" s="2" t="s">
        <v>2727</v>
      </c>
      <c r="M658" s="2" t="s">
        <v>5314</v>
      </c>
      <c r="N658" s="2" t="s">
        <v>5315</v>
      </c>
      <c r="O658" s="2"/>
      <c r="P658" s="2" t="s">
        <v>37</v>
      </c>
      <c r="Q658" s="4" t="n">
        <v>2875</v>
      </c>
      <c r="R658" s="2" t="s">
        <v>402</v>
      </c>
      <c r="S658" s="2" t="s">
        <v>39</v>
      </c>
      <c r="T658" s="2" t="s">
        <v>403</v>
      </c>
      <c r="U658" s="2" t="s">
        <v>5316</v>
      </c>
      <c r="V658" s="2"/>
      <c r="W658" s="2" t="s">
        <v>755</v>
      </c>
      <c r="X658" s="2" t="s">
        <v>46</v>
      </c>
      <c r="Y658" s="2" t="s">
        <v>37</v>
      </c>
      <c r="Z658" s="2" t="s">
        <v>987</v>
      </c>
      <c r="AA658" s="2" t="s">
        <v>5317</v>
      </c>
      <c r="AB658" s="2"/>
      <c r="AC658" s="2" t="s">
        <v>5318</v>
      </c>
      <c r="AD658" s="2" t="s">
        <v>46</v>
      </c>
    </row>
    <row r="659" customFormat="false" ht="15.7" hidden="false" customHeight="true" outlineLevel="0" collapsed="false">
      <c r="A659" s="2"/>
      <c r="B659" s="3" t="n">
        <f aca="false">DATE(2007,6,11)</f>
        <v>0</v>
      </c>
      <c r="C659" s="3" t="n">
        <v>39244</v>
      </c>
      <c r="D659" s="2" t="s">
        <v>5319</v>
      </c>
      <c r="F659" s="2" t="s">
        <v>5320</v>
      </c>
      <c r="G659" s="2" t="s">
        <v>5321</v>
      </c>
      <c r="H659" s="2" t="s">
        <v>5322</v>
      </c>
      <c r="I659" s="2" t="s">
        <v>5323</v>
      </c>
      <c r="J659" s="2" t="s">
        <v>35</v>
      </c>
      <c r="K659" s="2" t="s">
        <v>5324</v>
      </c>
      <c r="L659" s="2" t="s">
        <v>5323</v>
      </c>
      <c r="M659" s="2" t="s">
        <v>5325</v>
      </c>
      <c r="N659" s="2" t="s">
        <v>5326</v>
      </c>
      <c r="O659" s="2"/>
      <c r="P659" s="2" t="s">
        <v>37</v>
      </c>
      <c r="Q659" s="4" t="n">
        <v>8732</v>
      </c>
      <c r="R659" s="2" t="s">
        <v>136</v>
      </c>
      <c r="S659" s="2" t="s">
        <v>39</v>
      </c>
      <c r="T659" s="2" t="s">
        <v>40</v>
      </c>
      <c r="U659" s="2" t="s">
        <v>5327</v>
      </c>
      <c r="V659" s="2"/>
      <c r="W659" s="2" t="s">
        <v>42</v>
      </c>
      <c r="X659" s="2" t="s">
        <v>43</v>
      </c>
      <c r="Y659" s="2" t="s">
        <v>37</v>
      </c>
      <c r="Z659" s="2" t="s">
        <v>44</v>
      </c>
      <c r="AA659" s="2"/>
      <c r="AB659" s="2"/>
      <c r="AC659" s="2" t="s">
        <v>5328</v>
      </c>
      <c r="AD659" s="2" t="s">
        <v>46</v>
      </c>
    </row>
    <row r="660" customFormat="false" ht="15.7" hidden="false" customHeight="true" outlineLevel="0" collapsed="false">
      <c r="A660" s="2"/>
      <c r="B660" s="3" t="n">
        <f aca="false">DATE(2007,6,11)</f>
        <v>0</v>
      </c>
      <c r="C660" s="3" t="n">
        <v>39244</v>
      </c>
      <c r="D660" s="2" t="s">
        <v>5329</v>
      </c>
      <c r="F660" s="2" t="s">
        <v>1254</v>
      </c>
      <c r="G660" s="2" t="s">
        <v>5330</v>
      </c>
      <c r="H660" s="2" t="s">
        <v>305</v>
      </c>
      <c r="I660" s="2" t="s">
        <v>2689</v>
      </c>
      <c r="J660" s="2" t="s">
        <v>35</v>
      </c>
      <c r="K660" s="2" t="s">
        <v>5331</v>
      </c>
      <c r="L660" s="2" t="s">
        <v>2689</v>
      </c>
      <c r="M660" s="2" t="s">
        <v>170</v>
      </c>
      <c r="N660" s="2" t="s">
        <v>5332</v>
      </c>
      <c r="O660" s="2"/>
      <c r="P660" s="2" t="s">
        <v>37</v>
      </c>
      <c r="Q660" s="4" t="n">
        <v>8731</v>
      </c>
      <c r="R660" s="2" t="s">
        <v>5333</v>
      </c>
      <c r="S660" s="2" t="s">
        <v>5334</v>
      </c>
      <c r="T660" s="2" t="s">
        <v>40</v>
      </c>
      <c r="U660" s="2" t="s">
        <v>5335</v>
      </c>
      <c r="V660" s="2"/>
      <c r="W660" s="2" t="s">
        <v>42</v>
      </c>
      <c r="X660" s="2" t="s">
        <v>43</v>
      </c>
      <c r="Y660" s="2" t="s">
        <v>79</v>
      </c>
      <c r="Z660" s="2" t="s">
        <v>44</v>
      </c>
      <c r="AA660" s="2" t="s">
        <v>5336</v>
      </c>
      <c r="AB660" s="2"/>
      <c r="AC660" s="2" t="s">
        <v>5337</v>
      </c>
      <c r="AD660" s="2" t="s">
        <v>46</v>
      </c>
    </row>
    <row r="661" customFormat="false" ht="15.7" hidden="false" customHeight="true" outlineLevel="0" collapsed="false">
      <c r="A661" s="2"/>
      <c r="B661" s="3" t="n">
        <f aca="false">DATE(2007,6,11)</f>
        <v>0</v>
      </c>
      <c r="C661" s="3" t="n">
        <v>39244</v>
      </c>
      <c r="D661" s="2" t="s">
        <v>5338</v>
      </c>
      <c r="F661" s="2" t="s">
        <v>5339</v>
      </c>
      <c r="G661" s="2" t="s">
        <v>5340</v>
      </c>
      <c r="H661" s="2" t="s">
        <v>170</v>
      </c>
      <c r="I661" s="2" t="s">
        <v>88</v>
      </c>
      <c r="J661" s="2" t="s">
        <v>625</v>
      </c>
      <c r="K661" s="2" t="s">
        <v>3765</v>
      </c>
      <c r="L661" s="2" t="s">
        <v>100</v>
      </c>
      <c r="M661" s="2" t="s">
        <v>63</v>
      </c>
      <c r="N661" s="2" t="s">
        <v>5341</v>
      </c>
      <c r="O661" s="2"/>
      <c r="P661" s="2" t="s">
        <v>37</v>
      </c>
      <c r="Q661" s="4" t="n">
        <v>8731</v>
      </c>
      <c r="R661" s="2" t="s">
        <v>136</v>
      </c>
      <c r="S661" s="2" t="s">
        <v>39</v>
      </c>
      <c r="T661" s="2" t="s">
        <v>40</v>
      </c>
      <c r="U661" s="2" t="s">
        <v>5342</v>
      </c>
      <c r="V661" s="2"/>
      <c r="W661" s="2" t="s">
        <v>42</v>
      </c>
      <c r="X661" s="2" t="s">
        <v>43</v>
      </c>
      <c r="Y661" s="2" t="s">
        <v>37</v>
      </c>
      <c r="Z661" s="2" t="s">
        <v>44</v>
      </c>
      <c r="AA661" s="2"/>
      <c r="AB661" s="2"/>
      <c r="AC661" s="2" t="s">
        <v>5343</v>
      </c>
      <c r="AD661" s="2" t="s">
        <v>46</v>
      </c>
    </row>
    <row r="662" customFormat="false" ht="15.7" hidden="false" customHeight="true" outlineLevel="0" collapsed="false">
      <c r="A662" s="2"/>
      <c r="B662" s="3" t="n">
        <f aca="false">DATE(2007,6,12)</f>
        <v>0</v>
      </c>
      <c r="C662" s="3" t="n">
        <v>39245</v>
      </c>
      <c r="D662" s="2" t="s">
        <v>5344</v>
      </c>
      <c r="F662" s="2" t="s">
        <v>5345</v>
      </c>
      <c r="G662" s="2" t="s">
        <v>5346</v>
      </c>
      <c r="H662" s="2" t="s">
        <v>5347</v>
      </c>
      <c r="I662" s="2" t="s">
        <v>51</v>
      </c>
      <c r="J662" s="2" t="s">
        <v>3653</v>
      </c>
      <c r="K662" s="2" t="s">
        <v>5344</v>
      </c>
      <c r="L662" s="2" t="s">
        <v>51</v>
      </c>
      <c r="M662" s="2" t="s">
        <v>5347</v>
      </c>
      <c r="N662" s="2" t="s">
        <v>5348</v>
      </c>
      <c r="O662" s="2"/>
      <c r="P662" s="2" t="s">
        <v>37</v>
      </c>
      <c r="Q662" s="4" t="n">
        <v>8731</v>
      </c>
      <c r="R662" s="2" t="s">
        <v>56</v>
      </c>
      <c r="S662" s="2" t="s">
        <v>1622</v>
      </c>
      <c r="T662" s="2" t="s">
        <v>40</v>
      </c>
      <c r="U662" s="2" t="s">
        <v>5349</v>
      </c>
      <c r="V662" s="2"/>
      <c r="W662" s="2" t="s">
        <v>138</v>
      </c>
      <c r="X662" s="2" t="s">
        <v>43</v>
      </c>
      <c r="Y662" s="2" t="s">
        <v>37</v>
      </c>
      <c r="Z662" s="2" t="s">
        <v>44</v>
      </c>
      <c r="AA662" s="2"/>
      <c r="AB662" s="2"/>
      <c r="AC662" s="2" t="s">
        <v>5350</v>
      </c>
      <c r="AD662" s="2" t="s">
        <v>46</v>
      </c>
    </row>
    <row r="663" customFormat="false" ht="15.7" hidden="false" customHeight="true" outlineLevel="0" collapsed="false">
      <c r="A663" s="2"/>
      <c r="B663" s="3" t="n">
        <f aca="false">DATE(2007,6,12)</f>
        <v>0</v>
      </c>
      <c r="C663" s="3" t="n">
        <v>39245</v>
      </c>
      <c r="D663" s="2" t="s">
        <v>5351</v>
      </c>
      <c r="F663" s="2" t="s">
        <v>5352</v>
      </c>
      <c r="G663" s="2" t="s">
        <v>5353</v>
      </c>
      <c r="H663" s="2" t="s">
        <v>5354</v>
      </c>
      <c r="I663" s="2" t="s">
        <v>257</v>
      </c>
      <c r="J663" s="2" t="s">
        <v>5355</v>
      </c>
      <c r="K663" s="2" t="s">
        <v>5356</v>
      </c>
      <c r="L663" s="2" t="s">
        <v>257</v>
      </c>
      <c r="M663" s="2" t="s">
        <v>5357</v>
      </c>
      <c r="N663" s="2" t="s">
        <v>5358</v>
      </c>
      <c r="O663" s="2"/>
      <c r="P663" s="2" t="s">
        <v>37</v>
      </c>
      <c r="Q663" s="4" t="n">
        <v>8742</v>
      </c>
      <c r="R663" s="2" t="s">
        <v>136</v>
      </c>
      <c r="S663" s="2" t="s">
        <v>39</v>
      </c>
      <c r="T663" s="2" t="s">
        <v>40</v>
      </c>
      <c r="U663" s="2" t="s">
        <v>5359</v>
      </c>
      <c r="V663" s="2"/>
      <c r="W663" s="2" t="s">
        <v>5360</v>
      </c>
      <c r="X663" s="2" t="s">
        <v>43</v>
      </c>
      <c r="Y663" s="2" t="s">
        <v>37</v>
      </c>
      <c r="Z663" s="2" t="s">
        <v>44</v>
      </c>
      <c r="AA663" s="2"/>
      <c r="AB663" s="2"/>
      <c r="AC663" s="2" t="s">
        <v>5361</v>
      </c>
      <c r="AD663" s="2" t="s">
        <v>46</v>
      </c>
    </row>
    <row r="664" customFormat="false" ht="15.7" hidden="false" customHeight="true" outlineLevel="0" collapsed="false">
      <c r="A664" s="2"/>
      <c r="B664" s="3" t="n">
        <f aca="false">DATE(2007,6,12)</f>
        <v>0</v>
      </c>
      <c r="C664" s="3" t="n">
        <v>39245</v>
      </c>
      <c r="D664" s="2" t="s">
        <v>5362</v>
      </c>
      <c r="F664" s="2" t="s">
        <v>5363</v>
      </c>
      <c r="G664" s="2" t="s">
        <v>5364</v>
      </c>
      <c r="H664" s="2" t="s">
        <v>684</v>
      </c>
      <c r="I664" s="2" t="s">
        <v>51</v>
      </c>
      <c r="J664" s="2" t="s">
        <v>5365</v>
      </c>
      <c r="K664" s="2" t="s">
        <v>5362</v>
      </c>
      <c r="L664" s="2" t="s">
        <v>51</v>
      </c>
      <c r="M664" s="2" t="s">
        <v>684</v>
      </c>
      <c r="N664" s="2" t="s">
        <v>5366</v>
      </c>
      <c r="O664" s="2"/>
      <c r="P664" s="2" t="s">
        <v>79</v>
      </c>
      <c r="Q664" s="4" t="n">
        <v>6794</v>
      </c>
      <c r="R664" s="2" t="s">
        <v>56</v>
      </c>
      <c r="S664" s="2" t="s">
        <v>92</v>
      </c>
      <c r="T664" s="2" t="s">
        <v>40</v>
      </c>
      <c r="U664" s="2" t="s">
        <v>5367</v>
      </c>
      <c r="V664" s="2"/>
      <c r="W664" s="2" t="s">
        <v>82</v>
      </c>
      <c r="X664" s="2" t="s">
        <v>43</v>
      </c>
      <c r="Y664" s="2" t="s">
        <v>37</v>
      </c>
      <c r="Z664" s="2" t="s">
        <v>44</v>
      </c>
      <c r="AA664" s="2"/>
      <c r="AB664" s="2"/>
      <c r="AC664" s="2" t="s">
        <v>5368</v>
      </c>
      <c r="AD664" s="2" t="s">
        <v>46</v>
      </c>
    </row>
    <row r="665" customFormat="false" ht="15.7" hidden="false" customHeight="true" outlineLevel="0" collapsed="false">
      <c r="A665" s="2"/>
      <c r="B665" s="3" t="n">
        <f aca="false">DATE(2007,6,12)</f>
        <v>0</v>
      </c>
      <c r="C665" s="3" t="n">
        <v>39245</v>
      </c>
      <c r="D665" s="2" t="s">
        <v>5369</v>
      </c>
      <c r="F665" s="2" t="s">
        <v>5370</v>
      </c>
      <c r="G665" s="2" t="s">
        <v>5371</v>
      </c>
      <c r="H665" s="2" t="s">
        <v>130</v>
      </c>
      <c r="I665" s="2" t="s">
        <v>34</v>
      </c>
      <c r="J665" s="2" t="s">
        <v>35</v>
      </c>
      <c r="K665" s="2" t="s">
        <v>5369</v>
      </c>
      <c r="L665" s="2" t="s">
        <v>34</v>
      </c>
      <c r="M665" s="2" t="s">
        <v>130</v>
      </c>
      <c r="N665" s="2" t="s">
        <v>5372</v>
      </c>
      <c r="O665" s="2"/>
      <c r="P665" s="2" t="s">
        <v>79</v>
      </c>
      <c r="Q665" s="4" t="n">
        <v>6794</v>
      </c>
      <c r="R665" s="2" t="s">
        <v>136</v>
      </c>
      <c r="S665" s="2" t="s">
        <v>39</v>
      </c>
      <c r="T665" s="2" t="s">
        <v>40</v>
      </c>
      <c r="U665" s="2" t="s">
        <v>5373</v>
      </c>
      <c r="V665" s="2"/>
      <c r="W665" s="2" t="s">
        <v>253</v>
      </c>
      <c r="X665" s="2" t="s">
        <v>43</v>
      </c>
      <c r="Y665" s="2" t="s">
        <v>37</v>
      </c>
      <c r="Z665" s="2" t="s">
        <v>44</v>
      </c>
      <c r="AA665" s="2"/>
      <c r="AB665" s="2"/>
      <c r="AC665" s="2" t="s">
        <v>5374</v>
      </c>
      <c r="AD665" s="2" t="s">
        <v>46</v>
      </c>
    </row>
    <row r="666" customFormat="false" ht="15.7" hidden="false" customHeight="true" outlineLevel="0" collapsed="false">
      <c r="A666" s="2"/>
      <c r="B666" s="3" t="n">
        <f aca="false">DATE(2007,6,13)</f>
        <v>0</v>
      </c>
      <c r="C666" s="3" t="n">
        <v>39246</v>
      </c>
      <c r="D666" s="2" t="s">
        <v>5375</v>
      </c>
      <c r="F666" s="2" t="s">
        <v>5376</v>
      </c>
      <c r="G666" s="2" t="s">
        <v>5377</v>
      </c>
      <c r="H666" s="2" t="s">
        <v>5378</v>
      </c>
      <c r="I666" s="2" t="s">
        <v>296</v>
      </c>
      <c r="J666" s="2" t="s">
        <v>5379</v>
      </c>
      <c r="K666" s="2" t="s">
        <v>5375</v>
      </c>
      <c r="L666" s="2" t="s">
        <v>296</v>
      </c>
      <c r="M666" s="2" t="s">
        <v>5378</v>
      </c>
      <c r="N666" s="2" t="s">
        <v>5380</v>
      </c>
      <c r="O666" s="2"/>
      <c r="P666" s="2" t="s">
        <v>37</v>
      </c>
      <c r="Q666" s="4" t="n">
        <v>8731</v>
      </c>
      <c r="R666" s="2" t="s">
        <v>136</v>
      </c>
      <c r="S666" s="2" t="s">
        <v>39</v>
      </c>
      <c r="T666" s="2" t="s">
        <v>40</v>
      </c>
      <c r="U666" s="2" t="s">
        <v>5381</v>
      </c>
      <c r="V666" s="2"/>
      <c r="W666" s="2" t="s">
        <v>42</v>
      </c>
      <c r="X666" s="2" t="s">
        <v>43</v>
      </c>
      <c r="Y666" s="2" t="s">
        <v>37</v>
      </c>
      <c r="Z666" s="2" t="s">
        <v>44</v>
      </c>
      <c r="AA666" s="2"/>
      <c r="AB666" s="2"/>
      <c r="AC666" s="2" t="s">
        <v>5382</v>
      </c>
      <c r="AD666" s="2" t="s">
        <v>46</v>
      </c>
    </row>
    <row r="667" customFormat="false" ht="15.7" hidden="false" customHeight="true" outlineLevel="0" collapsed="false">
      <c r="A667" s="2"/>
      <c r="B667" s="3" t="n">
        <f aca="false">DATE(2007,6,14)</f>
        <v>0</v>
      </c>
      <c r="C667" s="3" t="n">
        <v>39247</v>
      </c>
      <c r="D667" s="2" t="s">
        <v>5383</v>
      </c>
      <c r="F667" s="2" t="s">
        <v>5384</v>
      </c>
      <c r="G667" s="2" t="s">
        <v>5385</v>
      </c>
      <c r="H667" s="2" t="s">
        <v>5386</v>
      </c>
      <c r="I667" s="2" t="s">
        <v>5387</v>
      </c>
      <c r="J667" s="2" t="s">
        <v>35</v>
      </c>
      <c r="K667" s="2" t="s">
        <v>5388</v>
      </c>
      <c r="L667" s="2" t="s">
        <v>5387</v>
      </c>
      <c r="M667" s="2" t="s">
        <v>5389</v>
      </c>
      <c r="N667" s="2" t="s">
        <v>5390</v>
      </c>
      <c r="O667" s="2"/>
      <c r="P667" s="2" t="s">
        <v>37</v>
      </c>
      <c r="Q667" s="4" t="n">
        <v>8731</v>
      </c>
      <c r="R667" s="2" t="s">
        <v>136</v>
      </c>
      <c r="S667" s="2" t="s">
        <v>39</v>
      </c>
      <c r="T667" s="2" t="s">
        <v>40</v>
      </c>
      <c r="U667" s="2" t="s">
        <v>5391</v>
      </c>
      <c r="V667" s="2"/>
      <c r="W667" s="2" t="s">
        <v>42</v>
      </c>
      <c r="X667" s="2" t="s">
        <v>43</v>
      </c>
      <c r="Y667" s="2" t="s">
        <v>37</v>
      </c>
      <c r="Z667" s="2" t="s">
        <v>44</v>
      </c>
      <c r="AA667" s="2"/>
      <c r="AB667" s="2"/>
      <c r="AC667" s="2" t="s">
        <v>5392</v>
      </c>
      <c r="AD667" s="2" t="s">
        <v>46</v>
      </c>
    </row>
    <row r="668" customFormat="false" ht="15.7" hidden="false" customHeight="true" outlineLevel="0" collapsed="false">
      <c r="A668" s="2"/>
      <c r="B668" s="3" t="n">
        <f aca="false">DATE(2007,6,14)</f>
        <v>0</v>
      </c>
      <c r="C668" s="3" t="n">
        <v>39247</v>
      </c>
      <c r="D668" s="2" t="s">
        <v>5393</v>
      </c>
      <c r="F668" s="2" t="s">
        <v>5394</v>
      </c>
      <c r="G668" s="2" t="s">
        <v>5395</v>
      </c>
      <c r="H668" s="2" t="s">
        <v>5396</v>
      </c>
      <c r="I668" s="2" t="s">
        <v>5397</v>
      </c>
      <c r="J668" s="2" t="s">
        <v>5398</v>
      </c>
      <c r="K668" s="2" t="s">
        <v>5399</v>
      </c>
      <c r="L668" s="2" t="s">
        <v>5397</v>
      </c>
      <c r="M668" s="2" t="s">
        <v>5400</v>
      </c>
      <c r="N668" s="2" t="s">
        <v>5401</v>
      </c>
      <c r="O668" s="2"/>
      <c r="P668" s="2" t="s">
        <v>37</v>
      </c>
      <c r="Q668" s="4" t="n">
        <v>8731</v>
      </c>
      <c r="R668" s="2" t="s">
        <v>2661</v>
      </c>
      <c r="S668" s="2" t="s">
        <v>39</v>
      </c>
      <c r="T668" s="2" t="s">
        <v>40</v>
      </c>
      <c r="U668" s="2" t="s">
        <v>5402</v>
      </c>
      <c r="V668" s="2"/>
      <c r="W668" s="2" t="s">
        <v>697</v>
      </c>
      <c r="X668" s="2" t="s">
        <v>46</v>
      </c>
      <c r="Y668" s="2" t="s">
        <v>37</v>
      </c>
      <c r="Z668" s="2" t="s">
        <v>452</v>
      </c>
      <c r="AA668" s="2"/>
      <c r="AB668" s="2"/>
      <c r="AC668" s="2" t="s">
        <v>5403</v>
      </c>
      <c r="AD668" s="2" t="s">
        <v>46</v>
      </c>
    </row>
    <row r="669" customFormat="false" ht="15.7" hidden="false" customHeight="true" outlineLevel="0" collapsed="false">
      <c r="A669" s="2"/>
      <c r="B669" s="3" t="n">
        <f aca="false">DATE(2007,6,14)</f>
        <v>0</v>
      </c>
      <c r="C669" s="3" t="n">
        <v>39247</v>
      </c>
      <c r="D669" s="2" t="s">
        <v>5404</v>
      </c>
      <c r="F669" s="2" t="s">
        <v>5405</v>
      </c>
      <c r="G669" s="2" t="s">
        <v>5406</v>
      </c>
      <c r="H669" s="2" t="s">
        <v>5407</v>
      </c>
      <c r="I669" s="2" t="s">
        <v>5408</v>
      </c>
      <c r="J669" s="2" t="s">
        <v>35</v>
      </c>
      <c r="K669" s="2" t="s">
        <v>5404</v>
      </c>
      <c r="L669" s="2" t="s">
        <v>5408</v>
      </c>
      <c r="M669" s="2" t="s">
        <v>5407</v>
      </c>
      <c r="N669" s="2" t="s">
        <v>5409</v>
      </c>
      <c r="O669" s="2"/>
      <c r="P669" s="2" t="s">
        <v>37</v>
      </c>
      <c r="Q669" s="4" t="n">
        <v>8731</v>
      </c>
      <c r="R669" s="2" t="s">
        <v>136</v>
      </c>
      <c r="S669" s="2" t="s">
        <v>39</v>
      </c>
      <c r="T669" s="2" t="s">
        <v>40</v>
      </c>
      <c r="U669" s="2" t="s">
        <v>5410</v>
      </c>
      <c r="V669" s="2"/>
      <c r="W669" s="2" t="s">
        <v>42</v>
      </c>
      <c r="X669" s="2" t="s">
        <v>43</v>
      </c>
      <c r="Y669" s="2" t="s">
        <v>37</v>
      </c>
      <c r="Z669" s="2" t="s">
        <v>44</v>
      </c>
      <c r="AA669" s="2"/>
      <c r="AB669" s="2"/>
      <c r="AC669" s="2" t="s">
        <v>5411</v>
      </c>
      <c r="AD669" s="2" t="s">
        <v>46</v>
      </c>
    </row>
    <row r="670" customFormat="false" ht="15.7" hidden="false" customHeight="true" outlineLevel="0" collapsed="false">
      <c r="A670" s="2"/>
      <c r="B670" s="3" t="n">
        <f aca="false">DATE(2007,6,18)</f>
        <v>0</v>
      </c>
      <c r="C670" s="3" t="n">
        <v>39251</v>
      </c>
      <c r="D670" s="2" t="s">
        <v>5412</v>
      </c>
      <c r="F670" s="2" t="s">
        <v>5413</v>
      </c>
      <c r="G670" s="2" t="s">
        <v>5414</v>
      </c>
      <c r="H670" s="2" t="s">
        <v>5415</v>
      </c>
      <c r="I670" s="2" t="s">
        <v>51</v>
      </c>
      <c r="J670" s="2" t="s">
        <v>5416</v>
      </c>
      <c r="K670" s="2" t="s">
        <v>5417</v>
      </c>
      <c r="L670" s="2" t="s">
        <v>51</v>
      </c>
      <c r="M670" s="2" t="s">
        <v>5415</v>
      </c>
      <c r="N670" s="2" t="s">
        <v>5418</v>
      </c>
      <c r="O670" s="2"/>
      <c r="P670" s="2" t="s">
        <v>37</v>
      </c>
      <c r="Q670" s="4" t="n">
        <v>8731</v>
      </c>
      <c r="R670" s="2" t="s">
        <v>1402</v>
      </c>
      <c r="S670" s="2" t="s">
        <v>39</v>
      </c>
      <c r="T670" s="2" t="s">
        <v>40</v>
      </c>
      <c r="U670" s="2" t="s">
        <v>5419</v>
      </c>
      <c r="V670" s="2"/>
      <c r="W670" s="2" t="s">
        <v>42</v>
      </c>
      <c r="X670" s="2" t="s">
        <v>43</v>
      </c>
      <c r="Y670" s="2" t="s">
        <v>37</v>
      </c>
      <c r="Z670" s="2" t="s">
        <v>44</v>
      </c>
      <c r="AA670" s="2"/>
      <c r="AB670" s="2"/>
      <c r="AC670" s="2" t="s">
        <v>5420</v>
      </c>
      <c r="AD670" s="2" t="s">
        <v>46</v>
      </c>
    </row>
    <row r="671" customFormat="false" ht="15.7" hidden="false" customHeight="true" outlineLevel="0" collapsed="false">
      <c r="A671" s="2"/>
      <c r="B671" s="3" t="n">
        <f aca="false">DATE(2007,6,18)</f>
        <v>0</v>
      </c>
      <c r="C671" s="3" t="n">
        <v>39251</v>
      </c>
      <c r="D671" s="2" t="s">
        <v>5421</v>
      </c>
      <c r="F671" s="2" t="s">
        <v>256</v>
      </c>
      <c r="G671" s="2" t="s">
        <v>5422</v>
      </c>
      <c r="H671" s="2" t="s">
        <v>170</v>
      </c>
      <c r="I671" s="2" t="s">
        <v>1645</v>
      </c>
      <c r="J671" s="2" t="s">
        <v>35</v>
      </c>
      <c r="K671" s="2" t="s">
        <v>5421</v>
      </c>
      <c r="L671" s="2" t="s">
        <v>1645</v>
      </c>
      <c r="M671" s="2" t="s">
        <v>170</v>
      </c>
      <c r="N671" s="2" t="s">
        <v>5423</v>
      </c>
      <c r="O671" s="2"/>
      <c r="P671" s="2" t="s">
        <v>37</v>
      </c>
      <c r="Q671" s="4" t="n">
        <v>8731</v>
      </c>
      <c r="R671" s="2" t="s">
        <v>1402</v>
      </c>
      <c r="S671" s="2" t="s">
        <v>39</v>
      </c>
      <c r="T671" s="2" t="s">
        <v>40</v>
      </c>
      <c r="U671" s="2" t="s">
        <v>5424</v>
      </c>
      <c r="V671" s="2"/>
      <c r="W671" s="2" t="s">
        <v>42</v>
      </c>
      <c r="X671" s="2" t="s">
        <v>43</v>
      </c>
      <c r="Y671" s="2" t="s">
        <v>37</v>
      </c>
      <c r="Z671" s="2" t="s">
        <v>44</v>
      </c>
      <c r="AA671" s="2"/>
      <c r="AB671" s="2"/>
      <c r="AC671" s="2" t="s">
        <v>5425</v>
      </c>
      <c r="AD671" s="2" t="s">
        <v>46</v>
      </c>
    </row>
    <row r="672" customFormat="false" ht="15.7" hidden="false" customHeight="true" outlineLevel="0" collapsed="false">
      <c r="A672" s="2"/>
      <c r="B672" s="3" t="n">
        <f aca="false">DATE(2007,6,18)</f>
        <v>0</v>
      </c>
      <c r="C672" s="3" t="n">
        <v>39251</v>
      </c>
      <c r="D672" s="2" t="s">
        <v>5426</v>
      </c>
      <c r="F672" s="2" t="s">
        <v>1650</v>
      </c>
      <c r="G672" s="2" t="s">
        <v>5427</v>
      </c>
      <c r="H672" s="2" t="s">
        <v>63</v>
      </c>
      <c r="I672" s="2" t="s">
        <v>435</v>
      </c>
      <c r="J672" s="2" t="s">
        <v>228</v>
      </c>
      <c r="K672" s="2" t="s">
        <v>5428</v>
      </c>
      <c r="L672" s="2" t="s">
        <v>435</v>
      </c>
      <c r="M672" s="2" t="s">
        <v>63</v>
      </c>
      <c r="N672" s="2" t="s">
        <v>5429</v>
      </c>
      <c r="O672" s="2"/>
      <c r="P672" s="2" t="s">
        <v>79</v>
      </c>
      <c r="Q672" s="4" t="n">
        <v>6794</v>
      </c>
      <c r="R672" s="2" t="s">
        <v>136</v>
      </c>
      <c r="S672" s="2" t="s">
        <v>39</v>
      </c>
      <c r="T672" s="2" t="s">
        <v>40</v>
      </c>
      <c r="U672" s="2" t="s">
        <v>5430</v>
      </c>
      <c r="V672" s="2"/>
      <c r="W672" s="2" t="s">
        <v>253</v>
      </c>
      <c r="X672" s="2" t="s">
        <v>43</v>
      </c>
      <c r="Y672" s="2" t="s">
        <v>37</v>
      </c>
      <c r="Z672" s="2" t="s">
        <v>44</v>
      </c>
      <c r="AA672" s="2"/>
      <c r="AB672" s="2"/>
      <c r="AC672" s="2" t="s">
        <v>5431</v>
      </c>
      <c r="AD672" s="2" t="s">
        <v>46</v>
      </c>
    </row>
    <row r="673" customFormat="false" ht="15.7" hidden="false" customHeight="true" outlineLevel="0" collapsed="false">
      <c r="A673" s="2"/>
      <c r="B673" s="3" t="n">
        <f aca="false">DATE(2007,6,18)</f>
        <v>0</v>
      </c>
      <c r="C673" s="3" t="n">
        <v>39251</v>
      </c>
      <c r="D673" s="2" t="s">
        <v>5432</v>
      </c>
      <c r="F673" s="2" t="s">
        <v>5433</v>
      </c>
      <c r="G673" s="2" t="s">
        <v>5434</v>
      </c>
      <c r="H673" s="2" t="s">
        <v>5435</v>
      </c>
      <c r="I673" s="2" t="s">
        <v>369</v>
      </c>
      <c r="J673" s="2" t="s">
        <v>35</v>
      </c>
      <c r="K673" s="2" t="s">
        <v>5432</v>
      </c>
      <c r="L673" s="2" t="s">
        <v>369</v>
      </c>
      <c r="M673" s="2" t="s">
        <v>5435</v>
      </c>
      <c r="N673" s="2" t="s">
        <v>5436</v>
      </c>
      <c r="O673" s="2"/>
      <c r="P673" s="2" t="s">
        <v>37</v>
      </c>
      <c r="Q673" s="4" t="n">
        <v>3674</v>
      </c>
      <c r="R673" s="2" t="s">
        <v>105</v>
      </c>
      <c r="S673" s="2" t="s">
        <v>39</v>
      </c>
      <c r="T673" s="2" t="s">
        <v>403</v>
      </c>
      <c r="U673" s="2" t="s">
        <v>5437</v>
      </c>
      <c r="V673" s="2"/>
      <c r="W673" s="2" t="s">
        <v>755</v>
      </c>
      <c r="X673" s="2" t="s">
        <v>46</v>
      </c>
      <c r="Y673" s="2" t="s">
        <v>37</v>
      </c>
      <c r="Z673" s="2" t="s">
        <v>362</v>
      </c>
      <c r="AA673" s="2"/>
      <c r="AB673" s="2"/>
      <c r="AC673" s="2" t="s">
        <v>5438</v>
      </c>
      <c r="AD673" s="2" t="s">
        <v>46</v>
      </c>
    </row>
    <row r="674" customFormat="false" ht="15.7" hidden="false" customHeight="true" outlineLevel="0" collapsed="false">
      <c r="A674" s="2"/>
      <c r="B674" s="3" t="n">
        <f aca="false">DATE(2007,6,19)</f>
        <v>0</v>
      </c>
      <c r="C674" s="3" t="n">
        <v>39252</v>
      </c>
      <c r="D674" s="2" t="s">
        <v>5439</v>
      </c>
      <c r="F674" s="2" t="s">
        <v>256</v>
      </c>
      <c r="G674" s="2" t="s">
        <v>5440</v>
      </c>
      <c r="H674" s="2" t="s">
        <v>170</v>
      </c>
      <c r="I674" s="2" t="s">
        <v>51</v>
      </c>
      <c r="J674" s="2" t="s">
        <v>5211</v>
      </c>
      <c r="K674" s="2" t="s">
        <v>5441</v>
      </c>
      <c r="L674" s="2" t="s">
        <v>2850</v>
      </c>
      <c r="M674" s="2" t="s">
        <v>5442</v>
      </c>
      <c r="N674" s="2" t="s">
        <v>5443</v>
      </c>
      <c r="O674" s="2"/>
      <c r="P674" s="2" t="s">
        <v>37</v>
      </c>
      <c r="Q674" s="4" t="n">
        <v>8731</v>
      </c>
      <c r="R674" s="2" t="s">
        <v>136</v>
      </c>
      <c r="S674" s="2" t="s">
        <v>39</v>
      </c>
      <c r="T674" s="2" t="s">
        <v>40</v>
      </c>
      <c r="U674" s="2" t="s">
        <v>5444</v>
      </c>
      <c r="V674" s="2"/>
      <c r="W674" s="2" t="s">
        <v>138</v>
      </c>
      <c r="X674" s="2" t="s">
        <v>43</v>
      </c>
      <c r="Y674" s="2" t="s">
        <v>37</v>
      </c>
      <c r="Z674" s="2" t="s">
        <v>44</v>
      </c>
      <c r="AA674" s="2"/>
      <c r="AB674" s="2"/>
      <c r="AC674" s="2" t="s">
        <v>5445</v>
      </c>
      <c r="AD674" s="2" t="s">
        <v>46</v>
      </c>
    </row>
    <row r="675" customFormat="false" ht="15.7" hidden="false" customHeight="true" outlineLevel="0" collapsed="false">
      <c r="A675" s="2"/>
      <c r="B675" s="3" t="n">
        <f aca="false">DATE(2007,6,19)</f>
        <v>0</v>
      </c>
      <c r="C675" s="3" t="n">
        <v>39252</v>
      </c>
      <c r="D675" s="2" t="s">
        <v>5446</v>
      </c>
      <c r="F675" s="2" t="s">
        <v>200</v>
      </c>
      <c r="G675" s="2" t="s">
        <v>5447</v>
      </c>
      <c r="H675" s="2" t="s">
        <v>170</v>
      </c>
      <c r="I675" s="2" t="s">
        <v>180</v>
      </c>
      <c r="J675" s="2" t="s">
        <v>132</v>
      </c>
      <c r="K675" s="2" t="s">
        <v>5448</v>
      </c>
      <c r="L675" s="2" t="s">
        <v>131</v>
      </c>
      <c r="M675" s="2" t="s">
        <v>305</v>
      </c>
      <c r="N675" s="2" t="s">
        <v>5449</v>
      </c>
      <c r="O675" s="2"/>
      <c r="P675" s="2" t="s">
        <v>79</v>
      </c>
      <c r="Q675" s="4" t="n">
        <v>8731</v>
      </c>
      <c r="R675" s="2" t="s">
        <v>136</v>
      </c>
      <c r="S675" s="2" t="s">
        <v>39</v>
      </c>
      <c r="T675" s="2" t="s">
        <v>40</v>
      </c>
      <c r="U675" s="2" t="s">
        <v>5450</v>
      </c>
      <c r="V675" s="2"/>
      <c r="W675" s="2" t="s">
        <v>1050</v>
      </c>
      <c r="X675" s="2" t="s">
        <v>43</v>
      </c>
      <c r="Y675" s="2" t="s">
        <v>37</v>
      </c>
      <c r="Z675" s="2" t="s">
        <v>44</v>
      </c>
      <c r="AA675" s="2"/>
      <c r="AB675" s="2"/>
      <c r="AC675" s="2" t="s">
        <v>5451</v>
      </c>
      <c r="AD675" s="2" t="s">
        <v>46</v>
      </c>
    </row>
    <row r="676" customFormat="false" ht="15.7" hidden="false" customHeight="true" outlineLevel="0" collapsed="false">
      <c r="A676" s="2"/>
      <c r="B676" s="3" t="n">
        <f aca="false">DATE(2007,6,19)</f>
        <v>0</v>
      </c>
      <c r="C676" s="3" t="n">
        <v>39252</v>
      </c>
      <c r="D676" s="2" t="s">
        <v>5452</v>
      </c>
      <c r="F676" s="2" t="s">
        <v>5453</v>
      </c>
      <c r="G676" s="2" t="s">
        <v>5454</v>
      </c>
      <c r="H676" s="2" t="s">
        <v>5455</v>
      </c>
      <c r="I676" s="2" t="s">
        <v>487</v>
      </c>
      <c r="J676" s="2" t="s">
        <v>3385</v>
      </c>
      <c r="K676" s="2" t="s">
        <v>5452</v>
      </c>
      <c r="L676" s="2" t="s">
        <v>487</v>
      </c>
      <c r="M676" s="2" t="s">
        <v>5455</v>
      </c>
      <c r="N676" s="2" t="s">
        <v>5456</v>
      </c>
      <c r="O676" s="2"/>
      <c r="P676" s="2" t="s">
        <v>37</v>
      </c>
      <c r="Q676" s="4" t="n">
        <v>8731</v>
      </c>
      <c r="R676" s="2" t="s">
        <v>136</v>
      </c>
      <c r="S676" s="2" t="s">
        <v>39</v>
      </c>
      <c r="T676" s="2" t="s">
        <v>40</v>
      </c>
      <c r="U676" s="2" t="s">
        <v>5457</v>
      </c>
      <c r="V676" s="2"/>
      <c r="W676" s="2" t="s">
        <v>42</v>
      </c>
      <c r="X676" s="2" t="s">
        <v>43</v>
      </c>
      <c r="Y676" s="2" t="s">
        <v>37</v>
      </c>
      <c r="Z676" s="2" t="s">
        <v>44</v>
      </c>
      <c r="AA676" s="2"/>
      <c r="AB676" s="2"/>
      <c r="AC676" s="2" t="s">
        <v>5458</v>
      </c>
      <c r="AD676" s="2" t="s">
        <v>46</v>
      </c>
    </row>
    <row r="677" customFormat="false" ht="15.7" hidden="false" customHeight="true" outlineLevel="0" collapsed="false">
      <c r="A677" s="2"/>
      <c r="B677" s="3" t="n">
        <f aca="false">DATE(2007,6,19)</f>
        <v>0</v>
      </c>
      <c r="C677" s="3" t="n">
        <v>39252</v>
      </c>
      <c r="D677" s="2" t="s">
        <v>5459</v>
      </c>
      <c r="F677" s="2" t="s">
        <v>5460</v>
      </c>
      <c r="G677" s="2" t="s">
        <v>5461</v>
      </c>
      <c r="H677" s="2" t="s">
        <v>1943</v>
      </c>
      <c r="I677" s="2" t="s">
        <v>388</v>
      </c>
      <c r="J677" s="2" t="s">
        <v>1705</v>
      </c>
      <c r="K677" s="2" t="s">
        <v>5459</v>
      </c>
      <c r="L677" s="2" t="s">
        <v>388</v>
      </c>
      <c r="M677" s="2" t="s">
        <v>1943</v>
      </c>
      <c r="N677" s="2" t="s">
        <v>5462</v>
      </c>
      <c r="O677" s="2"/>
      <c r="P677" s="2" t="s">
        <v>37</v>
      </c>
      <c r="Q677" s="4" t="n">
        <v>2834</v>
      </c>
      <c r="R677" s="2" t="s">
        <v>136</v>
      </c>
      <c r="S677" s="2" t="s">
        <v>39</v>
      </c>
      <c r="T677" s="2" t="s">
        <v>1036</v>
      </c>
      <c r="U677" s="2" t="s">
        <v>5463</v>
      </c>
      <c r="V677" s="2"/>
      <c r="W677" s="2" t="s">
        <v>5464</v>
      </c>
      <c r="X677" s="2" t="s">
        <v>43</v>
      </c>
      <c r="Y677" s="2" t="s">
        <v>37</v>
      </c>
      <c r="Z677" s="2" t="s">
        <v>44</v>
      </c>
      <c r="AA677" s="2"/>
      <c r="AB677" s="2"/>
      <c r="AC677" s="2" t="s">
        <v>5465</v>
      </c>
      <c r="AD677" s="2" t="s">
        <v>46</v>
      </c>
    </row>
    <row r="678" customFormat="false" ht="15.7" hidden="false" customHeight="true" outlineLevel="0" collapsed="false">
      <c r="A678" s="2"/>
      <c r="B678" s="3" t="n">
        <f aca="false">DATE(2007,6,20)</f>
        <v>0</v>
      </c>
      <c r="C678" s="3" t="n">
        <v>39253</v>
      </c>
      <c r="D678" s="2" t="s">
        <v>5466</v>
      </c>
      <c r="F678" s="2" t="s">
        <v>5467</v>
      </c>
      <c r="G678" s="2" t="s">
        <v>5468</v>
      </c>
      <c r="H678" s="2" t="s">
        <v>5469</v>
      </c>
      <c r="I678" s="2" t="s">
        <v>51</v>
      </c>
      <c r="J678" s="2" t="s">
        <v>5470</v>
      </c>
      <c r="K678" s="2" t="s">
        <v>5466</v>
      </c>
      <c r="L678" s="2" t="s">
        <v>51</v>
      </c>
      <c r="M678" s="2" t="s">
        <v>5469</v>
      </c>
      <c r="N678" s="2" t="s">
        <v>5471</v>
      </c>
      <c r="O678" s="2"/>
      <c r="P678" s="2" t="s">
        <v>37</v>
      </c>
      <c r="Q678" s="4" t="n">
        <v>8731</v>
      </c>
      <c r="R678" s="2" t="s">
        <v>56</v>
      </c>
      <c r="S678" s="2" t="s">
        <v>92</v>
      </c>
      <c r="T678" s="2" t="s">
        <v>40</v>
      </c>
      <c r="U678" s="2" t="s">
        <v>5472</v>
      </c>
      <c r="V678" s="2"/>
      <c r="W678" s="2" t="s">
        <v>42</v>
      </c>
      <c r="X678" s="2" t="s">
        <v>43</v>
      </c>
      <c r="Y678" s="2" t="s">
        <v>37</v>
      </c>
      <c r="Z678" s="2" t="s">
        <v>44</v>
      </c>
      <c r="AA678" s="2"/>
      <c r="AB678" s="2"/>
      <c r="AC678" s="2" t="s">
        <v>5473</v>
      </c>
      <c r="AD678" s="2" t="s">
        <v>46</v>
      </c>
    </row>
    <row r="679" customFormat="false" ht="15.7" hidden="false" customHeight="true" outlineLevel="0" collapsed="false">
      <c r="A679" s="2"/>
      <c r="B679" s="3" t="n">
        <f aca="false">DATE(2007,6,20)</f>
        <v>0</v>
      </c>
      <c r="C679" s="3" t="n">
        <v>39253</v>
      </c>
      <c r="D679" s="2" t="s">
        <v>5474</v>
      </c>
      <c r="F679" s="2" t="s">
        <v>5475</v>
      </c>
      <c r="G679" s="2" t="s">
        <v>5476</v>
      </c>
      <c r="H679" s="2" t="s">
        <v>5477</v>
      </c>
      <c r="I679" s="2" t="s">
        <v>51</v>
      </c>
      <c r="J679" s="2" t="s">
        <v>5478</v>
      </c>
      <c r="K679" s="2" t="s">
        <v>5474</v>
      </c>
      <c r="L679" s="2" t="s">
        <v>51</v>
      </c>
      <c r="M679" s="2" t="s">
        <v>5477</v>
      </c>
      <c r="N679" s="2" t="s">
        <v>5479</v>
      </c>
      <c r="O679" s="2"/>
      <c r="P679" s="2" t="s">
        <v>37</v>
      </c>
      <c r="Q679" s="4" t="n">
        <v>8731</v>
      </c>
      <c r="R679" s="2" t="s">
        <v>56</v>
      </c>
      <c r="S679" s="2" t="s">
        <v>92</v>
      </c>
      <c r="T679" s="2" t="s">
        <v>40</v>
      </c>
      <c r="U679" s="2" t="s">
        <v>5480</v>
      </c>
      <c r="V679" s="2"/>
      <c r="W679" s="2" t="s">
        <v>42</v>
      </c>
      <c r="X679" s="2" t="s">
        <v>43</v>
      </c>
      <c r="Y679" s="2" t="s">
        <v>37</v>
      </c>
      <c r="Z679" s="2" t="s">
        <v>44</v>
      </c>
      <c r="AA679" s="2"/>
      <c r="AB679" s="2"/>
      <c r="AC679" s="2" t="s">
        <v>5481</v>
      </c>
      <c r="AD679" s="2" t="s">
        <v>46</v>
      </c>
    </row>
    <row r="680" customFormat="false" ht="15.7" hidden="false" customHeight="true" outlineLevel="0" collapsed="false">
      <c r="A680" s="2"/>
      <c r="B680" s="3" t="n">
        <f aca="false">DATE(2007,6,21)</f>
        <v>0</v>
      </c>
      <c r="C680" s="3" t="n">
        <v>39254</v>
      </c>
      <c r="D680" s="2" t="s">
        <v>5482</v>
      </c>
      <c r="F680" s="2" t="s">
        <v>5483</v>
      </c>
      <c r="G680" s="2" t="s">
        <v>5484</v>
      </c>
      <c r="H680" s="2" t="s">
        <v>170</v>
      </c>
      <c r="I680" s="2" t="s">
        <v>664</v>
      </c>
      <c r="J680" s="2" t="s">
        <v>132</v>
      </c>
      <c r="K680" s="2" t="s">
        <v>5482</v>
      </c>
      <c r="L680" s="2" t="s">
        <v>664</v>
      </c>
      <c r="M680" s="2" t="s">
        <v>170</v>
      </c>
      <c r="N680" s="2" t="s">
        <v>5485</v>
      </c>
      <c r="O680" s="2"/>
      <c r="P680" s="2" t="s">
        <v>37</v>
      </c>
      <c r="Q680" s="4" t="n">
        <v>8731</v>
      </c>
      <c r="R680" s="2" t="s">
        <v>136</v>
      </c>
      <c r="S680" s="2" t="s">
        <v>39</v>
      </c>
      <c r="T680" s="2" t="s">
        <v>40</v>
      </c>
      <c r="U680" s="2" t="s">
        <v>5486</v>
      </c>
      <c r="V680" s="2"/>
      <c r="W680" s="2" t="s">
        <v>42</v>
      </c>
      <c r="X680" s="2" t="s">
        <v>43</v>
      </c>
      <c r="Y680" s="2" t="s">
        <v>37</v>
      </c>
      <c r="Z680" s="2" t="s">
        <v>44</v>
      </c>
      <c r="AA680" s="2"/>
      <c r="AB680" s="2"/>
      <c r="AC680" s="2" t="s">
        <v>5487</v>
      </c>
      <c r="AD680" s="2" t="s">
        <v>46</v>
      </c>
    </row>
    <row r="681" customFormat="false" ht="15.7" hidden="false" customHeight="true" outlineLevel="0" collapsed="false">
      <c r="A681" s="2"/>
      <c r="B681" s="3" t="n">
        <f aca="false">DATE(2007,6,21)</f>
        <v>0</v>
      </c>
      <c r="C681" s="3" t="n">
        <v>39254</v>
      </c>
      <c r="D681" s="2" t="s">
        <v>5488</v>
      </c>
      <c r="F681" s="2" t="s">
        <v>5489</v>
      </c>
      <c r="G681" s="2" t="s">
        <v>5490</v>
      </c>
      <c r="H681" s="2" t="s">
        <v>130</v>
      </c>
      <c r="I681" s="2" t="s">
        <v>5491</v>
      </c>
      <c r="J681" s="2" t="s">
        <v>35</v>
      </c>
      <c r="K681" s="2" t="s">
        <v>5492</v>
      </c>
      <c r="L681" s="2" t="s">
        <v>296</v>
      </c>
      <c r="M681" s="2" t="s">
        <v>130</v>
      </c>
      <c r="N681" s="2" t="s">
        <v>5493</v>
      </c>
      <c r="O681" s="2"/>
      <c r="P681" s="2" t="s">
        <v>79</v>
      </c>
      <c r="Q681" s="4" t="n">
        <v>6794</v>
      </c>
      <c r="R681" s="2" t="s">
        <v>136</v>
      </c>
      <c r="S681" s="2" t="s">
        <v>39</v>
      </c>
      <c r="T681" s="2" t="s">
        <v>40</v>
      </c>
      <c r="U681" s="2" t="s">
        <v>5494</v>
      </c>
      <c r="V681" s="2"/>
      <c r="W681" s="2" t="s">
        <v>5495</v>
      </c>
      <c r="X681" s="2" t="s">
        <v>43</v>
      </c>
      <c r="Y681" s="2" t="s">
        <v>37</v>
      </c>
      <c r="Z681" s="2" t="s">
        <v>44</v>
      </c>
      <c r="AA681" s="2"/>
      <c r="AB681" s="2"/>
      <c r="AC681" s="2" t="s">
        <v>5496</v>
      </c>
      <c r="AD681" s="2" t="s">
        <v>46</v>
      </c>
    </row>
    <row r="682" customFormat="false" ht="15.7" hidden="false" customHeight="true" outlineLevel="0" collapsed="false">
      <c r="A682" s="2"/>
      <c r="B682" s="3" t="n">
        <f aca="false">DATE(2007,6,21)</f>
        <v>0</v>
      </c>
      <c r="C682" s="3" t="n">
        <v>39254</v>
      </c>
      <c r="D682" s="2" t="s">
        <v>5497</v>
      </c>
      <c r="F682" s="2" t="s">
        <v>256</v>
      </c>
      <c r="G682" s="2" t="s">
        <v>5498</v>
      </c>
      <c r="H682" s="2" t="s">
        <v>170</v>
      </c>
      <c r="I682" s="2" t="s">
        <v>51</v>
      </c>
      <c r="J682" s="2" t="s">
        <v>3045</v>
      </c>
      <c r="K682" s="2" t="s">
        <v>5499</v>
      </c>
      <c r="L682" s="2" t="s">
        <v>51</v>
      </c>
      <c r="M682" s="2" t="s">
        <v>2959</v>
      </c>
      <c r="N682" s="2" t="s">
        <v>5500</v>
      </c>
      <c r="O682" s="2"/>
      <c r="P682" s="2" t="s">
        <v>37</v>
      </c>
      <c r="Q682" s="4" t="n">
        <v>8731</v>
      </c>
      <c r="R682" s="2" t="s">
        <v>56</v>
      </c>
      <c r="S682" s="2" t="s">
        <v>92</v>
      </c>
      <c r="T682" s="2" t="s">
        <v>40</v>
      </c>
      <c r="U682" s="2" t="s">
        <v>5501</v>
      </c>
      <c r="V682" s="2"/>
      <c r="W682" s="2" t="s">
        <v>138</v>
      </c>
      <c r="X682" s="2" t="s">
        <v>43</v>
      </c>
      <c r="Y682" s="2" t="s">
        <v>37</v>
      </c>
      <c r="Z682" s="2" t="s">
        <v>44</v>
      </c>
      <c r="AA682" s="2" t="s">
        <v>5502</v>
      </c>
      <c r="AB682" s="2"/>
      <c r="AC682" s="2" t="s">
        <v>5503</v>
      </c>
      <c r="AD682" s="2" t="s">
        <v>46</v>
      </c>
    </row>
    <row r="683" customFormat="false" ht="15.7" hidden="false" customHeight="true" outlineLevel="0" collapsed="false">
      <c r="A683" s="2"/>
      <c r="B683" s="3" t="n">
        <f aca="false">DATE(2007,6,21)</f>
        <v>0</v>
      </c>
      <c r="C683" s="3" t="n">
        <v>39254</v>
      </c>
      <c r="D683" s="2" t="s">
        <v>5504</v>
      </c>
      <c r="F683" s="2" t="s">
        <v>5505</v>
      </c>
      <c r="G683" s="2" t="s">
        <v>5506</v>
      </c>
      <c r="H683" s="2" t="s">
        <v>5507</v>
      </c>
      <c r="I683" s="2" t="s">
        <v>5508</v>
      </c>
      <c r="J683" s="2" t="s">
        <v>35</v>
      </c>
      <c r="K683" s="2" t="s">
        <v>5509</v>
      </c>
      <c r="L683" s="2" t="s">
        <v>5508</v>
      </c>
      <c r="M683" s="2" t="s">
        <v>5510</v>
      </c>
      <c r="N683" s="2" t="s">
        <v>5511</v>
      </c>
      <c r="O683" s="2"/>
      <c r="P683" s="2" t="s">
        <v>37</v>
      </c>
      <c r="Q683" s="4" t="n">
        <v>8731</v>
      </c>
      <c r="R683" s="2" t="s">
        <v>136</v>
      </c>
      <c r="S683" s="2" t="s">
        <v>39</v>
      </c>
      <c r="T683" s="2" t="s">
        <v>40</v>
      </c>
      <c r="U683" s="2" t="s">
        <v>5512</v>
      </c>
      <c r="V683" s="2"/>
      <c r="W683" s="2" t="s">
        <v>697</v>
      </c>
      <c r="X683" s="2" t="s">
        <v>43</v>
      </c>
      <c r="Y683" s="2" t="s">
        <v>37</v>
      </c>
      <c r="Z683" s="2" t="s">
        <v>44</v>
      </c>
      <c r="AA683" s="2"/>
      <c r="AB683" s="2"/>
      <c r="AC683" s="2" t="s">
        <v>5513</v>
      </c>
      <c r="AD683" s="2" t="s">
        <v>46</v>
      </c>
    </row>
    <row r="684" customFormat="false" ht="15.7" hidden="false" customHeight="true" outlineLevel="0" collapsed="false">
      <c r="A684" s="2"/>
      <c r="B684" s="3" t="n">
        <f aca="false">DATE(2007,6,22)</f>
        <v>0</v>
      </c>
      <c r="C684" s="3" t="n">
        <v>39255</v>
      </c>
      <c r="D684" s="2" t="s">
        <v>5246</v>
      </c>
      <c r="F684" s="2" t="s">
        <v>5247</v>
      </c>
      <c r="G684" s="2" t="s">
        <v>5248</v>
      </c>
      <c r="H684" s="2" t="s">
        <v>4987</v>
      </c>
      <c r="I684" s="2" t="s">
        <v>51</v>
      </c>
      <c r="J684" s="2" t="s">
        <v>5249</v>
      </c>
      <c r="K684" s="2" t="s">
        <v>5250</v>
      </c>
      <c r="L684" s="2" t="s">
        <v>51</v>
      </c>
      <c r="M684" s="2" t="s">
        <v>5251</v>
      </c>
      <c r="N684" s="2" t="s">
        <v>5514</v>
      </c>
      <c r="O684" s="2"/>
      <c r="P684" s="2" t="s">
        <v>37</v>
      </c>
      <c r="Q684" s="4" t="n">
        <v>8731</v>
      </c>
      <c r="R684" s="2" t="s">
        <v>136</v>
      </c>
      <c r="S684" s="2" t="s">
        <v>39</v>
      </c>
      <c r="T684" s="2" t="s">
        <v>40</v>
      </c>
      <c r="U684" s="2" t="s">
        <v>5515</v>
      </c>
      <c r="V684" s="2"/>
      <c r="W684" s="2" t="s">
        <v>42</v>
      </c>
      <c r="X684" s="2" t="s">
        <v>43</v>
      </c>
      <c r="Y684" s="2" t="s">
        <v>37</v>
      </c>
      <c r="Z684" s="2" t="s">
        <v>44</v>
      </c>
      <c r="AA684" s="2"/>
      <c r="AB684" s="2"/>
      <c r="AC684" s="2" t="s">
        <v>5254</v>
      </c>
      <c r="AD684" s="2" t="s">
        <v>46</v>
      </c>
    </row>
    <row r="685" customFormat="false" ht="15.7" hidden="false" customHeight="true" outlineLevel="0" collapsed="false">
      <c r="A685" s="2"/>
      <c r="B685" s="3" t="n">
        <f aca="false">DATE(2007,6,25)</f>
        <v>0</v>
      </c>
      <c r="C685" s="3" t="n">
        <v>39258</v>
      </c>
      <c r="D685" s="2" t="s">
        <v>5516</v>
      </c>
      <c r="F685" s="2" t="s">
        <v>5517</v>
      </c>
      <c r="G685" s="2" t="s">
        <v>5518</v>
      </c>
      <c r="H685" s="2" t="s">
        <v>130</v>
      </c>
      <c r="I685" s="2" t="s">
        <v>821</v>
      </c>
      <c r="J685" s="2" t="s">
        <v>514</v>
      </c>
      <c r="K685" s="2" t="s">
        <v>5516</v>
      </c>
      <c r="L685" s="2" t="s">
        <v>821</v>
      </c>
      <c r="M685" s="2" t="s">
        <v>130</v>
      </c>
      <c r="N685" s="2" t="s">
        <v>5519</v>
      </c>
      <c r="O685" s="2"/>
      <c r="P685" s="2" t="s">
        <v>37</v>
      </c>
      <c r="Q685" s="4" t="n">
        <v>8731</v>
      </c>
      <c r="R685" s="2" t="s">
        <v>450</v>
      </c>
      <c r="S685" s="2" t="s">
        <v>39</v>
      </c>
      <c r="T685" s="2" t="s">
        <v>403</v>
      </c>
      <c r="U685" s="2" t="s">
        <v>5520</v>
      </c>
      <c r="V685" s="2"/>
      <c r="W685" s="2" t="s">
        <v>42</v>
      </c>
      <c r="X685" s="2" t="s">
        <v>46</v>
      </c>
      <c r="Y685" s="2" t="s">
        <v>37</v>
      </c>
      <c r="Z685" s="2" t="s">
        <v>362</v>
      </c>
      <c r="AA685" s="2" t="s">
        <v>5521</v>
      </c>
      <c r="AB685" s="2"/>
      <c r="AC685" s="2" t="s">
        <v>5522</v>
      </c>
      <c r="AD685" s="2" t="s">
        <v>46</v>
      </c>
    </row>
    <row r="686" customFormat="false" ht="15.7" hidden="false" customHeight="true" outlineLevel="0" collapsed="false">
      <c r="A686" s="2"/>
      <c r="B686" s="3" t="n">
        <f aca="false">DATE(2007,6,25)</f>
        <v>0</v>
      </c>
      <c r="C686" s="3" t="n">
        <v>39258</v>
      </c>
      <c r="D686" s="2" t="s">
        <v>5523</v>
      </c>
      <c r="F686" s="2" t="s">
        <v>5524</v>
      </c>
      <c r="G686" s="2" t="s">
        <v>5525</v>
      </c>
      <c r="H686" s="2" t="s">
        <v>130</v>
      </c>
      <c r="I686" s="2" t="s">
        <v>3885</v>
      </c>
      <c r="J686" s="2" t="s">
        <v>35</v>
      </c>
      <c r="K686" s="2" t="s">
        <v>5523</v>
      </c>
      <c r="L686" s="2" t="s">
        <v>3885</v>
      </c>
      <c r="M686" s="2" t="s">
        <v>130</v>
      </c>
      <c r="N686" s="2" t="s">
        <v>5526</v>
      </c>
      <c r="O686" s="2"/>
      <c r="P686" s="2" t="s">
        <v>79</v>
      </c>
      <c r="Q686" s="4" t="n">
        <v>6794</v>
      </c>
      <c r="R686" s="2" t="s">
        <v>136</v>
      </c>
      <c r="S686" s="2" t="s">
        <v>39</v>
      </c>
      <c r="T686" s="2" t="s">
        <v>40</v>
      </c>
      <c r="U686" s="2" t="s">
        <v>5527</v>
      </c>
      <c r="V686" s="2"/>
      <c r="W686" s="2" t="s">
        <v>253</v>
      </c>
      <c r="X686" s="2" t="s">
        <v>43</v>
      </c>
      <c r="Y686" s="2" t="s">
        <v>37</v>
      </c>
      <c r="Z686" s="2" t="s">
        <v>44</v>
      </c>
      <c r="AA686" s="2" t="s">
        <v>5528</v>
      </c>
      <c r="AB686" s="2"/>
      <c r="AC686" s="2" t="s">
        <v>5529</v>
      </c>
      <c r="AD686" s="2" t="s">
        <v>46</v>
      </c>
    </row>
    <row r="687" customFormat="false" ht="15.7" hidden="false" customHeight="true" outlineLevel="0" collapsed="false">
      <c r="A687" s="2"/>
      <c r="B687" s="3" t="n">
        <f aca="false">DATE(2007,6,25)</f>
        <v>0</v>
      </c>
      <c r="C687" s="3" t="n">
        <v>39258</v>
      </c>
      <c r="D687" s="2" t="s">
        <v>5530</v>
      </c>
      <c r="F687" s="2" t="s">
        <v>5531</v>
      </c>
      <c r="G687" s="2" t="s">
        <v>5532</v>
      </c>
      <c r="H687" s="2" t="s">
        <v>5533</v>
      </c>
      <c r="I687" s="2" t="s">
        <v>921</v>
      </c>
      <c r="J687" s="2" t="s">
        <v>35</v>
      </c>
      <c r="K687" s="2" t="s">
        <v>5530</v>
      </c>
      <c r="L687" s="2" t="s">
        <v>921</v>
      </c>
      <c r="M687" s="2" t="s">
        <v>5533</v>
      </c>
      <c r="N687" s="2" t="s">
        <v>5534</v>
      </c>
      <c r="O687" s="2"/>
      <c r="P687" s="2" t="s">
        <v>79</v>
      </c>
      <c r="Q687" s="4" t="n">
        <v>6794</v>
      </c>
      <c r="R687" s="2" t="s">
        <v>38</v>
      </c>
      <c r="S687" s="2" t="s">
        <v>39</v>
      </c>
      <c r="T687" s="2" t="s">
        <v>40</v>
      </c>
      <c r="U687" s="2" t="s">
        <v>5535</v>
      </c>
      <c r="V687" s="2"/>
      <c r="W687" s="2" t="s">
        <v>5536</v>
      </c>
      <c r="X687" s="2" t="s">
        <v>43</v>
      </c>
      <c r="Y687" s="2" t="s">
        <v>37</v>
      </c>
      <c r="Z687" s="2" t="s">
        <v>44</v>
      </c>
      <c r="AA687" s="2" t="s">
        <v>5537</v>
      </c>
      <c r="AB687" s="2"/>
      <c r="AC687" s="2" t="s">
        <v>5538</v>
      </c>
      <c r="AD687" s="2" t="s">
        <v>46</v>
      </c>
    </row>
    <row r="688" customFormat="false" ht="15.7" hidden="false" customHeight="true" outlineLevel="0" collapsed="false">
      <c r="A688" s="2"/>
      <c r="B688" s="3" t="n">
        <f aca="false">DATE(2007,6,27)</f>
        <v>0</v>
      </c>
      <c r="C688" s="3" t="n">
        <v>39260</v>
      </c>
      <c r="D688" s="2" t="s">
        <v>5539</v>
      </c>
      <c r="F688" s="2" t="s">
        <v>5540</v>
      </c>
      <c r="G688" s="2" t="s">
        <v>5541</v>
      </c>
      <c r="H688" s="2" t="s">
        <v>247</v>
      </c>
      <c r="I688" s="2" t="s">
        <v>51</v>
      </c>
      <c r="J688" s="2" t="s">
        <v>5542</v>
      </c>
      <c r="K688" s="2" t="s">
        <v>5539</v>
      </c>
      <c r="L688" s="2" t="s">
        <v>51</v>
      </c>
      <c r="M688" s="2" t="s">
        <v>247</v>
      </c>
      <c r="N688" s="2" t="s">
        <v>5543</v>
      </c>
      <c r="O688" s="2"/>
      <c r="P688" s="2" t="s">
        <v>79</v>
      </c>
      <c r="Q688" s="4" t="n">
        <v>6794</v>
      </c>
      <c r="R688" s="2" t="s">
        <v>56</v>
      </c>
      <c r="S688" s="2" t="s">
        <v>57</v>
      </c>
      <c r="T688" s="2" t="s">
        <v>40</v>
      </c>
      <c r="U688" s="2" t="s">
        <v>5544</v>
      </c>
      <c r="V688" s="2"/>
      <c r="W688" s="2" t="s">
        <v>82</v>
      </c>
      <c r="X688" s="2" t="s">
        <v>43</v>
      </c>
      <c r="Y688" s="2" t="s">
        <v>37</v>
      </c>
      <c r="Z688" s="2" t="s">
        <v>44</v>
      </c>
      <c r="AA688" s="2" t="s">
        <v>5545</v>
      </c>
      <c r="AB688" s="2"/>
      <c r="AC688" s="2" t="s">
        <v>5546</v>
      </c>
      <c r="AD688" s="2" t="s">
        <v>46</v>
      </c>
    </row>
    <row r="689" customFormat="false" ht="15.7" hidden="false" customHeight="true" outlineLevel="0" collapsed="false">
      <c r="A689" s="2"/>
      <c r="B689" s="3" t="n">
        <f aca="false">DATE(2007,6,28)</f>
        <v>0</v>
      </c>
      <c r="C689" s="3" t="n">
        <v>39261</v>
      </c>
      <c r="D689" s="2" t="s">
        <v>5547</v>
      </c>
      <c r="F689" s="2" t="s">
        <v>5548</v>
      </c>
      <c r="G689" s="2" t="s">
        <v>5549</v>
      </c>
      <c r="H689" s="2" t="s">
        <v>5550</v>
      </c>
      <c r="I689" s="2" t="s">
        <v>5551</v>
      </c>
      <c r="J689" s="2" t="s">
        <v>35</v>
      </c>
      <c r="K689" s="2" t="s">
        <v>5547</v>
      </c>
      <c r="L689" s="2" t="s">
        <v>5551</v>
      </c>
      <c r="M689" s="2" t="s">
        <v>5550</v>
      </c>
      <c r="N689" s="2" t="s">
        <v>5552</v>
      </c>
      <c r="O689" s="2"/>
      <c r="P689" s="2" t="s">
        <v>37</v>
      </c>
      <c r="Q689" s="4" t="n">
        <v>8731</v>
      </c>
      <c r="R689" s="2" t="s">
        <v>136</v>
      </c>
      <c r="S689" s="2" t="s">
        <v>39</v>
      </c>
      <c r="T689" s="2" t="s">
        <v>40</v>
      </c>
      <c r="U689" s="2" t="s">
        <v>5553</v>
      </c>
      <c r="V689" s="2"/>
      <c r="W689" s="2" t="s">
        <v>42</v>
      </c>
      <c r="X689" s="2" t="s">
        <v>43</v>
      </c>
      <c r="Y689" s="2" t="s">
        <v>37</v>
      </c>
      <c r="Z689" s="2" t="s">
        <v>44</v>
      </c>
      <c r="AA689" s="2"/>
      <c r="AB689" s="2"/>
      <c r="AC689" s="2" t="s">
        <v>5554</v>
      </c>
      <c r="AD689" s="2" t="s">
        <v>46</v>
      </c>
    </row>
    <row r="690" customFormat="false" ht="15.7" hidden="false" customHeight="true" outlineLevel="0" collapsed="false">
      <c r="A690" s="2"/>
      <c r="B690" s="3" t="n">
        <f aca="false">DATE(2007,6,28)</f>
        <v>0</v>
      </c>
      <c r="C690" s="3" t="n">
        <v>39261</v>
      </c>
      <c r="D690" s="2" t="s">
        <v>5555</v>
      </c>
      <c r="F690" s="2" t="s">
        <v>5556</v>
      </c>
      <c r="G690" s="2" t="s">
        <v>5557</v>
      </c>
      <c r="H690" s="2" t="s">
        <v>1925</v>
      </c>
      <c r="I690" s="2" t="s">
        <v>51</v>
      </c>
      <c r="J690" s="2" t="s">
        <v>2190</v>
      </c>
      <c r="K690" s="2" t="s">
        <v>5555</v>
      </c>
      <c r="L690" s="2" t="s">
        <v>51</v>
      </c>
      <c r="M690" s="2" t="s">
        <v>1925</v>
      </c>
      <c r="N690" s="2" t="s">
        <v>5558</v>
      </c>
      <c r="O690" s="2"/>
      <c r="P690" s="2" t="s">
        <v>37</v>
      </c>
      <c r="Q690" s="4" t="n">
        <v>8731</v>
      </c>
      <c r="R690" s="2" t="s">
        <v>56</v>
      </c>
      <c r="S690" s="2" t="s">
        <v>80</v>
      </c>
      <c r="T690" s="2" t="s">
        <v>40</v>
      </c>
      <c r="U690" s="2" t="s">
        <v>5559</v>
      </c>
      <c r="V690" s="2"/>
      <c r="W690" s="2" t="s">
        <v>42</v>
      </c>
      <c r="X690" s="2" t="s">
        <v>43</v>
      </c>
      <c r="Y690" s="2" t="s">
        <v>37</v>
      </c>
      <c r="Z690" s="2" t="s">
        <v>44</v>
      </c>
      <c r="AA690" s="2"/>
      <c r="AB690" s="2"/>
      <c r="AC690" s="2" t="s">
        <v>5560</v>
      </c>
      <c r="AD690" s="2" t="s">
        <v>46</v>
      </c>
    </row>
    <row r="691" customFormat="false" ht="15.7" hidden="false" customHeight="true" outlineLevel="0" collapsed="false">
      <c r="A691" s="2"/>
      <c r="B691" s="3" t="n">
        <f aca="false">DATE(2007,6,29)</f>
        <v>0</v>
      </c>
      <c r="C691" s="3" t="n">
        <v>39262</v>
      </c>
      <c r="D691" s="2" t="s">
        <v>5561</v>
      </c>
      <c r="F691" s="2" t="s">
        <v>5562</v>
      </c>
      <c r="G691" s="2" t="s">
        <v>5563</v>
      </c>
      <c r="H691" s="2" t="s">
        <v>5564</v>
      </c>
      <c r="I691" s="2" t="s">
        <v>51</v>
      </c>
      <c r="J691" s="2" t="s">
        <v>5565</v>
      </c>
      <c r="K691" s="2" t="s">
        <v>5561</v>
      </c>
      <c r="L691" s="2" t="s">
        <v>51</v>
      </c>
      <c r="M691" s="2" t="s">
        <v>5564</v>
      </c>
      <c r="N691" s="2" t="s">
        <v>5566</v>
      </c>
      <c r="O691" s="2"/>
      <c r="P691" s="2" t="s">
        <v>37</v>
      </c>
      <c r="Q691" s="4" t="n">
        <v>8731</v>
      </c>
      <c r="R691" s="2" t="s">
        <v>56</v>
      </c>
      <c r="S691" s="2" t="s">
        <v>92</v>
      </c>
      <c r="T691" s="2" t="s">
        <v>40</v>
      </c>
      <c r="U691" s="2" t="s">
        <v>5567</v>
      </c>
      <c r="V691" s="2"/>
      <c r="W691" s="2" t="s">
        <v>3949</v>
      </c>
      <c r="X691" s="2" t="s">
        <v>43</v>
      </c>
      <c r="Y691" s="2" t="s">
        <v>37</v>
      </c>
      <c r="Z691" s="2" t="s">
        <v>44</v>
      </c>
      <c r="AA691" s="2"/>
      <c r="AB691" s="2"/>
      <c r="AC691" s="2" t="s">
        <v>5568</v>
      </c>
      <c r="AD691" s="2" t="s">
        <v>46</v>
      </c>
    </row>
    <row r="692" customFormat="false" ht="15.7" hidden="false" customHeight="true" outlineLevel="0" collapsed="false">
      <c r="A692" s="2"/>
      <c r="B692" s="3" t="n">
        <f aca="false">DATE(2007,7,2)</f>
        <v>0</v>
      </c>
      <c r="C692" s="3" t="n">
        <v>39265</v>
      </c>
      <c r="D692" s="2" t="s">
        <v>5569</v>
      </c>
      <c r="F692" s="2" t="s">
        <v>2970</v>
      </c>
      <c r="G692" s="2" t="s">
        <v>5570</v>
      </c>
      <c r="H692" s="2" t="s">
        <v>63</v>
      </c>
      <c r="I692" s="2" t="s">
        <v>51</v>
      </c>
      <c r="J692" s="2" t="s">
        <v>1697</v>
      </c>
      <c r="K692" s="2" t="s">
        <v>5569</v>
      </c>
      <c r="L692" s="2" t="s">
        <v>51</v>
      </c>
      <c r="M692" s="2" t="s">
        <v>63</v>
      </c>
      <c r="N692" s="2" t="s">
        <v>5571</v>
      </c>
      <c r="O692" s="2"/>
      <c r="P692" s="2" t="s">
        <v>37</v>
      </c>
      <c r="Q692" s="4" t="n">
        <v>8731</v>
      </c>
      <c r="R692" s="2" t="s">
        <v>56</v>
      </c>
      <c r="S692" s="2" t="s">
        <v>80</v>
      </c>
      <c r="T692" s="2" t="s">
        <v>40</v>
      </c>
      <c r="U692" s="2" t="s">
        <v>5572</v>
      </c>
      <c r="V692" s="2"/>
      <c r="W692" s="2" t="s">
        <v>42</v>
      </c>
      <c r="X692" s="2" t="s">
        <v>43</v>
      </c>
      <c r="Y692" s="2" t="s">
        <v>37</v>
      </c>
      <c r="Z692" s="2" t="s">
        <v>44</v>
      </c>
      <c r="AA692" s="2"/>
      <c r="AB692" s="2"/>
      <c r="AC692" s="2" t="s">
        <v>5573</v>
      </c>
      <c r="AD692" s="2" t="s">
        <v>46</v>
      </c>
    </row>
    <row r="693" customFormat="false" ht="15.7" hidden="false" customHeight="true" outlineLevel="0" collapsed="false">
      <c r="A693" s="2"/>
      <c r="B693" s="3" t="n">
        <f aca="false">DATE(2007,7,3)</f>
        <v>0</v>
      </c>
      <c r="C693" s="3" t="n">
        <v>39266</v>
      </c>
      <c r="D693" s="2" t="s">
        <v>5574</v>
      </c>
      <c r="F693" s="2" t="s">
        <v>5575</v>
      </c>
      <c r="G693" s="2" t="s">
        <v>5576</v>
      </c>
      <c r="H693" s="2" t="s">
        <v>5577</v>
      </c>
      <c r="I693" s="2" t="s">
        <v>2727</v>
      </c>
      <c r="J693" s="2" t="s">
        <v>35</v>
      </c>
      <c r="K693" s="2" t="s">
        <v>5578</v>
      </c>
      <c r="L693" s="2" t="s">
        <v>2727</v>
      </c>
      <c r="M693" s="2" t="s">
        <v>5579</v>
      </c>
      <c r="N693" s="2" t="s">
        <v>5580</v>
      </c>
      <c r="O693" s="2"/>
      <c r="P693" s="2" t="s">
        <v>37</v>
      </c>
      <c r="Q693" s="4" t="n">
        <v>8731</v>
      </c>
      <c r="R693" s="2" t="s">
        <v>402</v>
      </c>
      <c r="S693" s="2" t="s">
        <v>39</v>
      </c>
      <c r="T693" s="2" t="s">
        <v>403</v>
      </c>
      <c r="U693" s="2" t="s">
        <v>5581</v>
      </c>
      <c r="V693" s="2"/>
      <c r="W693" s="2" t="s">
        <v>5582</v>
      </c>
      <c r="X693" s="2" t="s">
        <v>46</v>
      </c>
      <c r="Y693" s="2" t="s">
        <v>37</v>
      </c>
      <c r="Z693" s="2" t="s">
        <v>362</v>
      </c>
      <c r="AA693" s="2"/>
      <c r="AB693" s="2"/>
      <c r="AC693" s="2" t="s">
        <v>5583</v>
      </c>
      <c r="AD693" s="2" t="s">
        <v>46</v>
      </c>
    </row>
    <row r="694" customFormat="false" ht="15.7" hidden="false" customHeight="true" outlineLevel="0" collapsed="false">
      <c r="A694" s="2"/>
      <c r="B694" s="3" t="n">
        <f aca="false">DATE(2007,7,3)</f>
        <v>0</v>
      </c>
      <c r="C694" s="3" t="n">
        <v>39266</v>
      </c>
      <c r="D694" s="2" t="s">
        <v>5584</v>
      </c>
      <c r="F694" s="2" t="s">
        <v>4293</v>
      </c>
      <c r="G694" s="2" t="s">
        <v>5585</v>
      </c>
      <c r="H694" s="2" t="s">
        <v>387</v>
      </c>
      <c r="I694" s="2" t="s">
        <v>670</v>
      </c>
      <c r="J694" s="2" t="s">
        <v>4383</v>
      </c>
      <c r="K694" s="2" t="s">
        <v>5584</v>
      </c>
      <c r="L694" s="2" t="s">
        <v>670</v>
      </c>
      <c r="M694" s="2" t="s">
        <v>387</v>
      </c>
      <c r="N694" s="2" t="s">
        <v>5586</v>
      </c>
      <c r="O694" s="2"/>
      <c r="P694" s="2" t="s">
        <v>37</v>
      </c>
      <c r="Q694" s="4" t="n">
        <v>8731</v>
      </c>
      <c r="R694" s="2" t="s">
        <v>402</v>
      </c>
      <c r="S694" s="2" t="s">
        <v>39</v>
      </c>
      <c r="T694" s="2" t="s">
        <v>40</v>
      </c>
      <c r="U694" s="2" t="s">
        <v>5587</v>
      </c>
      <c r="V694" s="2"/>
      <c r="W694" s="2" t="s">
        <v>42</v>
      </c>
      <c r="X694" s="2" t="s">
        <v>43</v>
      </c>
      <c r="Y694" s="2" t="s">
        <v>37</v>
      </c>
      <c r="Z694" s="2" t="s">
        <v>44</v>
      </c>
      <c r="AA694" s="2"/>
      <c r="AB694" s="2"/>
      <c r="AC694" s="2" t="s">
        <v>5588</v>
      </c>
      <c r="AD694" s="2" t="s">
        <v>46</v>
      </c>
    </row>
    <row r="695" customFormat="false" ht="15.7" hidden="false" customHeight="true" outlineLevel="0" collapsed="false">
      <c r="A695" s="2"/>
      <c r="B695" s="3" t="n">
        <f aca="false">DATE(2007,7,3)</f>
        <v>0</v>
      </c>
      <c r="C695" s="3" t="n">
        <v>39266</v>
      </c>
      <c r="D695" s="2" t="s">
        <v>5589</v>
      </c>
      <c r="F695" s="2" t="s">
        <v>1260</v>
      </c>
      <c r="G695" s="2" t="s">
        <v>5590</v>
      </c>
      <c r="H695" s="2" t="s">
        <v>130</v>
      </c>
      <c r="I695" s="2" t="s">
        <v>1544</v>
      </c>
      <c r="J695" s="2" t="s">
        <v>3303</v>
      </c>
      <c r="K695" s="2" t="s">
        <v>5591</v>
      </c>
      <c r="L695" s="2" t="s">
        <v>1544</v>
      </c>
      <c r="M695" s="2" t="s">
        <v>5592</v>
      </c>
      <c r="N695" s="2" t="s">
        <v>5593</v>
      </c>
      <c r="O695" s="2"/>
      <c r="P695" s="2" t="s">
        <v>79</v>
      </c>
      <c r="Q695" s="4" t="n">
        <v>6794</v>
      </c>
      <c r="R695" s="2" t="s">
        <v>136</v>
      </c>
      <c r="S695" s="2" t="s">
        <v>39</v>
      </c>
      <c r="T695" s="2" t="s">
        <v>403</v>
      </c>
      <c r="U695" s="2" t="s">
        <v>5594</v>
      </c>
      <c r="V695" s="2"/>
      <c r="W695" s="2" t="s">
        <v>82</v>
      </c>
      <c r="X695" s="2" t="s">
        <v>43</v>
      </c>
      <c r="Y695" s="2" t="s">
        <v>37</v>
      </c>
      <c r="Z695" s="2" t="s">
        <v>44</v>
      </c>
      <c r="AA695" s="2" t="s">
        <v>5595</v>
      </c>
      <c r="AB695" s="2"/>
      <c r="AC695" s="2" t="s">
        <v>5596</v>
      </c>
      <c r="AD695" s="2" t="s">
        <v>46</v>
      </c>
    </row>
    <row r="696" customFormat="false" ht="15.7" hidden="false" customHeight="true" outlineLevel="0" collapsed="false">
      <c r="A696" s="2"/>
      <c r="B696" s="3" t="n">
        <f aca="false">DATE(2007,7,4)</f>
        <v>0</v>
      </c>
      <c r="C696" s="3" t="n">
        <v>39267</v>
      </c>
      <c r="D696" s="2" t="s">
        <v>5597</v>
      </c>
      <c r="F696" s="2" t="s">
        <v>5598</v>
      </c>
      <c r="G696" s="2" t="s">
        <v>5599</v>
      </c>
      <c r="H696" s="2" t="s">
        <v>368</v>
      </c>
      <c r="I696" s="2" t="s">
        <v>34</v>
      </c>
      <c r="J696" s="2" t="s">
        <v>35</v>
      </c>
      <c r="K696" s="2" t="s">
        <v>5597</v>
      </c>
      <c r="L696" s="2" t="s">
        <v>34</v>
      </c>
      <c r="M696" s="2" t="s">
        <v>368</v>
      </c>
      <c r="N696" s="2" t="s">
        <v>5600</v>
      </c>
      <c r="O696" s="2"/>
      <c r="P696" s="2" t="s">
        <v>37</v>
      </c>
      <c r="Q696" s="4" t="n">
        <v>8731</v>
      </c>
      <c r="R696" s="2" t="s">
        <v>38</v>
      </c>
      <c r="S696" s="2" t="s">
        <v>39</v>
      </c>
      <c r="T696" s="2" t="s">
        <v>40</v>
      </c>
      <c r="U696" s="2" t="s">
        <v>5601</v>
      </c>
      <c r="V696" s="2"/>
      <c r="W696" s="2" t="s">
        <v>42</v>
      </c>
      <c r="X696" s="2" t="s">
        <v>43</v>
      </c>
      <c r="Y696" s="2" t="s">
        <v>37</v>
      </c>
      <c r="Z696" s="2" t="s">
        <v>44</v>
      </c>
      <c r="AA696" s="2"/>
      <c r="AB696" s="2"/>
      <c r="AC696" s="2" t="s">
        <v>5602</v>
      </c>
      <c r="AD696" s="2" t="s">
        <v>46</v>
      </c>
    </row>
    <row r="697" customFormat="false" ht="15.7" hidden="false" customHeight="true" outlineLevel="0" collapsed="false">
      <c r="A697" s="2"/>
      <c r="B697" s="3" t="n">
        <f aca="false">DATE(2007,7,5)</f>
        <v>0</v>
      </c>
      <c r="C697" s="3" t="n">
        <v>39268</v>
      </c>
      <c r="D697" s="2" t="s">
        <v>5603</v>
      </c>
      <c r="F697" s="2" t="s">
        <v>5604</v>
      </c>
      <c r="G697" s="2" t="s">
        <v>5605</v>
      </c>
      <c r="H697" s="2" t="s">
        <v>898</v>
      </c>
      <c r="I697" s="2" t="s">
        <v>821</v>
      </c>
      <c r="J697" s="2" t="s">
        <v>514</v>
      </c>
      <c r="K697" s="2" t="s">
        <v>5603</v>
      </c>
      <c r="L697" s="2" t="s">
        <v>821</v>
      </c>
      <c r="M697" s="2" t="s">
        <v>898</v>
      </c>
      <c r="N697" s="2" t="s">
        <v>5606</v>
      </c>
      <c r="O697" s="2"/>
      <c r="P697" s="2" t="s">
        <v>79</v>
      </c>
      <c r="Q697" s="4" t="n">
        <v>8731</v>
      </c>
      <c r="R697" s="2" t="s">
        <v>56</v>
      </c>
      <c r="S697" s="2" t="s">
        <v>57</v>
      </c>
      <c r="T697" s="2" t="s">
        <v>40</v>
      </c>
      <c r="U697" s="2" t="s">
        <v>5607</v>
      </c>
      <c r="V697" s="2"/>
      <c r="W697" s="2" t="s">
        <v>5608</v>
      </c>
      <c r="X697" s="2" t="s">
        <v>43</v>
      </c>
      <c r="Y697" s="2" t="s">
        <v>37</v>
      </c>
      <c r="Z697" s="2" t="s">
        <v>44</v>
      </c>
      <c r="AA697" s="2"/>
      <c r="AB697" s="2"/>
      <c r="AC697" s="2" t="s">
        <v>5609</v>
      </c>
      <c r="AD697" s="2" t="s">
        <v>46</v>
      </c>
    </row>
    <row r="698" customFormat="false" ht="15.7" hidden="false" customHeight="true" outlineLevel="0" collapsed="false">
      <c r="A698" s="2"/>
      <c r="B698" s="3" t="n">
        <f aca="false">DATE(2007,7,5)</f>
        <v>0</v>
      </c>
      <c r="C698" s="3" t="n">
        <v>39268</v>
      </c>
      <c r="D698" s="2" t="s">
        <v>5610</v>
      </c>
      <c r="F698" s="2" t="s">
        <v>5611</v>
      </c>
      <c r="G698" s="2" t="s">
        <v>5612</v>
      </c>
      <c r="H698" s="2" t="s">
        <v>5613</v>
      </c>
      <c r="I698" s="2" t="s">
        <v>34</v>
      </c>
      <c r="J698" s="2" t="s">
        <v>35</v>
      </c>
      <c r="K698" s="2" t="s">
        <v>5610</v>
      </c>
      <c r="L698" s="2" t="s">
        <v>34</v>
      </c>
      <c r="M698" s="2" t="s">
        <v>5613</v>
      </c>
      <c r="N698" s="2" t="s">
        <v>5614</v>
      </c>
      <c r="O698" s="2"/>
      <c r="P698" s="2" t="s">
        <v>37</v>
      </c>
      <c r="Q698" s="4" t="n">
        <v>2834</v>
      </c>
      <c r="R698" s="2" t="s">
        <v>38</v>
      </c>
      <c r="S698" s="2" t="s">
        <v>39</v>
      </c>
      <c r="T698" s="2" t="s">
        <v>40</v>
      </c>
      <c r="U698" s="2" t="s">
        <v>5615</v>
      </c>
      <c r="V698" s="2"/>
      <c r="W698" s="2" t="s">
        <v>107</v>
      </c>
      <c r="X698" s="2" t="s">
        <v>43</v>
      </c>
      <c r="Y698" s="2" t="s">
        <v>37</v>
      </c>
      <c r="Z698" s="2" t="s">
        <v>44</v>
      </c>
      <c r="AA698" s="2"/>
      <c r="AB698" s="2"/>
      <c r="AC698" s="2" t="s">
        <v>5616</v>
      </c>
      <c r="AD698" s="2" t="s">
        <v>46</v>
      </c>
    </row>
    <row r="699" customFormat="false" ht="15.7" hidden="false" customHeight="true" outlineLevel="0" collapsed="false">
      <c r="A699" s="2"/>
      <c r="B699" s="3" t="n">
        <f aca="false">DATE(2007,7,6)</f>
        <v>0</v>
      </c>
      <c r="C699" s="3" t="n">
        <v>39269</v>
      </c>
      <c r="D699" s="2" t="s">
        <v>5617</v>
      </c>
      <c r="F699" s="2" t="s">
        <v>5618</v>
      </c>
      <c r="G699" s="2" t="s">
        <v>5619</v>
      </c>
      <c r="H699" s="2" t="s">
        <v>63</v>
      </c>
      <c r="I699" s="2" t="s">
        <v>1080</v>
      </c>
      <c r="J699" s="2" t="s">
        <v>35</v>
      </c>
      <c r="K699" s="2" t="s">
        <v>5617</v>
      </c>
      <c r="L699" s="2" t="s">
        <v>1080</v>
      </c>
      <c r="M699" s="2" t="s">
        <v>63</v>
      </c>
      <c r="N699" s="2" t="s">
        <v>5620</v>
      </c>
      <c r="O699" s="2"/>
      <c r="P699" s="2" t="s">
        <v>79</v>
      </c>
      <c r="Q699" s="4" t="n">
        <v>6794</v>
      </c>
      <c r="R699" s="2" t="s">
        <v>2201</v>
      </c>
      <c r="S699" s="2" t="s">
        <v>39</v>
      </c>
      <c r="T699" s="2" t="s">
        <v>40</v>
      </c>
      <c r="U699" s="2" t="s">
        <v>5621</v>
      </c>
      <c r="V699" s="2"/>
      <c r="W699" s="2" t="s">
        <v>94</v>
      </c>
      <c r="X699" s="2" t="s">
        <v>43</v>
      </c>
      <c r="Y699" s="2" t="s">
        <v>37</v>
      </c>
      <c r="Z699" s="2" t="s">
        <v>44</v>
      </c>
      <c r="AA699" s="2" t="s">
        <v>5622</v>
      </c>
      <c r="AB699" s="2"/>
      <c r="AC699" s="2" t="s">
        <v>5623</v>
      </c>
      <c r="AD699" s="2" t="s">
        <v>46</v>
      </c>
    </row>
    <row r="700" customFormat="false" ht="15.7" hidden="false" customHeight="true" outlineLevel="0" collapsed="false">
      <c r="A700" s="2"/>
      <c r="B700" s="3" t="n">
        <f aca="false">DATE(2007,7,9)</f>
        <v>0</v>
      </c>
      <c r="C700" s="3" t="n">
        <v>39272</v>
      </c>
      <c r="D700" s="2" t="s">
        <v>5624</v>
      </c>
      <c r="F700" s="2" t="s">
        <v>5625</v>
      </c>
      <c r="G700" s="2" t="s">
        <v>5626</v>
      </c>
      <c r="H700" s="2" t="s">
        <v>5627</v>
      </c>
      <c r="I700" s="2" t="s">
        <v>568</v>
      </c>
      <c r="J700" s="2" t="s">
        <v>65</v>
      </c>
      <c r="K700" s="2" t="s">
        <v>5624</v>
      </c>
      <c r="L700" s="2" t="s">
        <v>568</v>
      </c>
      <c r="M700" s="2" t="s">
        <v>5627</v>
      </c>
      <c r="N700" s="2" t="s">
        <v>5628</v>
      </c>
      <c r="O700" s="2"/>
      <c r="P700" s="2" t="s">
        <v>37</v>
      </c>
      <c r="Q700" s="4" t="n">
        <v>8731</v>
      </c>
      <c r="R700" s="2" t="s">
        <v>136</v>
      </c>
      <c r="S700" s="2" t="s">
        <v>39</v>
      </c>
      <c r="T700" s="2" t="s">
        <v>40</v>
      </c>
      <c r="U700" s="2" t="s">
        <v>5629</v>
      </c>
      <c r="V700" s="2"/>
      <c r="W700" s="2" t="s">
        <v>42</v>
      </c>
      <c r="X700" s="2" t="s">
        <v>43</v>
      </c>
      <c r="Y700" s="2" t="s">
        <v>37</v>
      </c>
      <c r="Z700" s="2" t="s">
        <v>44</v>
      </c>
      <c r="AA700" s="2"/>
      <c r="AB700" s="2"/>
      <c r="AC700" s="2" t="s">
        <v>5630</v>
      </c>
      <c r="AD700" s="2" t="s">
        <v>46</v>
      </c>
    </row>
    <row r="701" customFormat="false" ht="15.7" hidden="false" customHeight="true" outlineLevel="0" collapsed="false">
      <c r="A701" s="2"/>
      <c r="B701" s="3" t="n">
        <f aca="false">DATE(2007,7,9)</f>
        <v>0</v>
      </c>
      <c r="C701" s="3" t="n">
        <v>39272</v>
      </c>
      <c r="D701" s="2" t="s">
        <v>5631</v>
      </c>
      <c r="F701" s="2" t="s">
        <v>5632</v>
      </c>
      <c r="G701" s="2" t="s">
        <v>5633</v>
      </c>
      <c r="H701" s="2" t="s">
        <v>5634</v>
      </c>
      <c r="I701" s="2" t="s">
        <v>51</v>
      </c>
      <c r="J701" s="2" t="s">
        <v>5635</v>
      </c>
      <c r="K701" s="2" t="s">
        <v>5631</v>
      </c>
      <c r="L701" s="2" t="s">
        <v>51</v>
      </c>
      <c r="M701" s="2" t="s">
        <v>5634</v>
      </c>
      <c r="N701" s="2" t="s">
        <v>5636</v>
      </c>
      <c r="O701" s="2"/>
      <c r="P701" s="2" t="s">
        <v>37</v>
      </c>
      <c r="Q701" s="4" t="n">
        <v>8731</v>
      </c>
      <c r="R701" s="2" t="s">
        <v>56</v>
      </c>
      <c r="S701" s="2" t="s">
        <v>92</v>
      </c>
      <c r="T701" s="2" t="s">
        <v>40</v>
      </c>
      <c r="U701" s="2" t="s">
        <v>5637</v>
      </c>
      <c r="V701" s="2"/>
      <c r="W701" s="2" t="s">
        <v>42</v>
      </c>
      <c r="X701" s="2" t="s">
        <v>43</v>
      </c>
      <c r="Y701" s="2" t="s">
        <v>37</v>
      </c>
      <c r="Z701" s="2" t="s">
        <v>44</v>
      </c>
      <c r="AA701" s="2"/>
      <c r="AB701" s="2"/>
      <c r="AC701" s="2" t="s">
        <v>5638</v>
      </c>
      <c r="AD701" s="2" t="s">
        <v>46</v>
      </c>
    </row>
    <row r="702" customFormat="false" ht="15.7" hidden="false" customHeight="true" outlineLevel="0" collapsed="false">
      <c r="A702" s="2"/>
      <c r="B702" s="3" t="n">
        <f aca="false">DATE(2007,7,10)</f>
        <v>0</v>
      </c>
      <c r="C702" s="3" t="n">
        <v>39273</v>
      </c>
      <c r="D702" s="2" t="s">
        <v>5639</v>
      </c>
      <c r="F702" s="2" t="s">
        <v>5640</v>
      </c>
      <c r="G702" s="2" t="s">
        <v>5641</v>
      </c>
      <c r="H702" s="2" t="s">
        <v>684</v>
      </c>
      <c r="I702" s="2" t="s">
        <v>51</v>
      </c>
      <c r="J702" s="2" t="s">
        <v>1761</v>
      </c>
      <c r="K702" s="2" t="s">
        <v>5639</v>
      </c>
      <c r="L702" s="2" t="s">
        <v>51</v>
      </c>
      <c r="M702" s="2" t="s">
        <v>684</v>
      </c>
      <c r="N702" s="2" t="s">
        <v>5642</v>
      </c>
      <c r="O702" s="2"/>
      <c r="P702" s="2" t="s">
        <v>37</v>
      </c>
      <c r="Q702" s="4" t="n">
        <v>8731</v>
      </c>
      <c r="R702" s="2" t="s">
        <v>56</v>
      </c>
      <c r="S702" s="2" t="s">
        <v>92</v>
      </c>
      <c r="T702" s="2" t="s">
        <v>40</v>
      </c>
      <c r="U702" s="2" t="s">
        <v>5643</v>
      </c>
      <c r="V702" s="2"/>
      <c r="W702" s="2" t="s">
        <v>42</v>
      </c>
      <c r="X702" s="2" t="s">
        <v>43</v>
      </c>
      <c r="Y702" s="2" t="s">
        <v>37</v>
      </c>
      <c r="Z702" s="2" t="s">
        <v>44</v>
      </c>
      <c r="AA702" s="2"/>
      <c r="AB702" s="2"/>
      <c r="AC702" s="2" t="s">
        <v>5644</v>
      </c>
      <c r="AD702" s="2" t="s">
        <v>46</v>
      </c>
    </row>
    <row r="703" customFormat="false" ht="15.7" hidden="false" customHeight="true" outlineLevel="0" collapsed="false">
      <c r="A703" s="2"/>
      <c r="B703" s="3" t="n">
        <f aca="false">DATE(2007,7,11)</f>
        <v>0</v>
      </c>
      <c r="C703" s="3" t="n">
        <v>39274</v>
      </c>
      <c r="D703" s="2" t="s">
        <v>5645</v>
      </c>
      <c r="F703" s="2" t="s">
        <v>999</v>
      </c>
      <c r="G703" s="2" t="s">
        <v>5646</v>
      </c>
      <c r="H703" s="2" t="s">
        <v>762</v>
      </c>
      <c r="I703" s="2" t="s">
        <v>5647</v>
      </c>
      <c r="J703" s="2" t="s">
        <v>35</v>
      </c>
      <c r="K703" s="2" t="s">
        <v>5648</v>
      </c>
      <c r="L703" s="2" t="s">
        <v>5647</v>
      </c>
      <c r="M703" s="2" t="s">
        <v>762</v>
      </c>
      <c r="N703" s="2" t="s">
        <v>5649</v>
      </c>
      <c r="O703" s="2" t="s">
        <v>5650</v>
      </c>
      <c r="P703" s="2" t="s">
        <v>37</v>
      </c>
      <c r="Q703" s="4" t="n">
        <v>8731</v>
      </c>
      <c r="R703" s="2" t="s">
        <v>450</v>
      </c>
      <c r="S703" s="2" t="s">
        <v>39</v>
      </c>
      <c r="T703" s="2" t="s">
        <v>40</v>
      </c>
      <c r="U703" s="2" t="s">
        <v>5651</v>
      </c>
      <c r="V703" s="2"/>
      <c r="W703" s="2" t="s">
        <v>42</v>
      </c>
      <c r="X703" s="2" t="s">
        <v>46</v>
      </c>
      <c r="Y703" s="2" t="s">
        <v>37</v>
      </c>
      <c r="Z703" s="2" t="s">
        <v>362</v>
      </c>
      <c r="AA703" s="2"/>
      <c r="AB703" s="2" t="s">
        <v>5652</v>
      </c>
      <c r="AC703" s="2" t="s">
        <v>5653</v>
      </c>
      <c r="AD703" s="2" t="s">
        <v>46</v>
      </c>
    </row>
    <row r="704" customFormat="false" ht="15.7" hidden="false" customHeight="true" outlineLevel="0" collapsed="false">
      <c r="A704" s="2"/>
      <c r="B704" s="3" t="n">
        <f aca="false">DATE(2007,7,11)</f>
        <v>0</v>
      </c>
      <c r="C704" s="3" t="n">
        <v>39274</v>
      </c>
      <c r="D704" s="2" t="s">
        <v>5654</v>
      </c>
      <c r="F704" s="2" t="s">
        <v>5655</v>
      </c>
      <c r="G704" s="2" t="s">
        <v>5656</v>
      </c>
      <c r="H704" s="2" t="s">
        <v>5657</v>
      </c>
      <c r="I704" s="2" t="s">
        <v>51</v>
      </c>
      <c r="J704" s="2" t="s">
        <v>5658</v>
      </c>
      <c r="K704" s="2" t="s">
        <v>5654</v>
      </c>
      <c r="L704" s="2" t="s">
        <v>51</v>
      </c>
      <c r="M704" s="2" t="s">
        <v>5657</v>
      </c>
      <c r="N704" s="2" t="s">
        <v>5659</v>
      </c>
      <c r="O704" s="2"/>
      <c r="P704" s="2" t="s">
        <v>37</v>
      </c>
      <c r="Q704" s="4" t="n">
        <v>9511</v>
      </c>
      <c r="R704" s="2" t="s">
        <v>56</v>
      </c>
      <c r="S704" s="2" t="s">
        <v>3429</v>
      </c>
      <c r="T704" s="2" t="s">
        <v>40</v>
      </c>
      <c r="U704" s="2" t="s">
        <v>5660</v>
      </c>
      <c r="V704" s="2"/>
      <c r="W704" s="2" t="s">
        <v>3465</v>
      </c>
      <c r="X704" s="2" t="s">
        <v>43</v>
      </c>
      <c r="Y704" s="2" t="s">
        <v>37</v>
      </c>
      <c r="Z704" s="2" t="s">
        <v>44</v>
      </c>
      <c r="AA704" s="2"/>
      <c r="AB704" s="2"/>
      <c r="AC704" s="2" t="s">
        <v>5661</v>
      </c>
      <c r="AD704" s="2" t="s">
        <v>46</v>
      </c>
    </row>
    <row r="705" customFormat="false" ht="15.7" hidden="false" customHeight="true" outlineLevel="0" collapsed="false">
      <c r="A705" s="2"/>
      <c r="B705" s="3" t="n">
        <f aca="false">DATE(2007,7,12)</f>
        <v>0</v>
      </c>
      <c r="C705" s="3" t="n">
        <v>39275</v>
      </c>
      <c r="D705" s="2" t="s">
        <v>5662</v>
      </c>
      <c r="F705" s="2" t="s">
        <v>5663</v>
      </c>
      <c r="G705" s="2" t="s">
        <v>5664</v>
      </c>
      <c r="H705" s="2" t="s">
        <v>5665</v>
      </c>
      <c r="I705" s="2" t="s">
        <v>51</v>
      </c>
      <c r="J705" s="2" t="s">
        <v>3258</v>
      </c>
      <c r="K705" s="2" t="s">
        <v>5666</v>
      </c>
      <c r="L705" s="2" t="s">
        <v>51</v>
      </c>
      <c r="M705" s="2" t="s">
        <v>1020</v>
      </c>
      <c r="N705" s="2" t="s">
        <v>5667</v>
      </c>
      <c r="O705" s="2"/>
      <c r="P705" s="2" t="s">
        <v>37</v>
      </c>
      <c r="Q705" s="4" t="n">
        <v>8731</v>
      </c>
      <c r="R705" s="2" t="s">
        <v>56</v>
      </c>
      <c r="S705" s="2" t="s">
        <v>92</v>
      </c>
      <c r="T705" s="2" t="s">
        <v>40</v>
      </c>
      <c r="U705" s="2" t="s">
        <v>5668</v>
      </c>
      <c r="V705" s="2"/>
      <c r="W705" s="2" t="s">
        <v>42</v>
      </c>
      <c r="X705" s="2" t="s">
        <v>43</v>
      </c>
      <c r="Y705" s="2" t="s">
        <v>37</v>
      </c>
      <c r="Z705" s="2" t="s">
        <v>44</v>
      </c>
      <c r="AA705" s="2"/>
      <c r="AB705" s="2"/>
      <c r="AC705" s="2" t="s">
        <v>5669</v>
      </c>
      <c r="AD705" s="2" t="s">
        <v>46</v>
      </c>
    </row>
    <row r="706" customFormat="false" ht="15.7" hidden="false" customHeight="true" outlineLevel="0" collapsed="false">
      <c r="A706" s="2"/>
      <c r="B706" s="3" t="n">
        <f aca="false">DATE(2007,7,12)</f>
        <v>0</v>
      </c>
      <c r="C706" s="3" t="n">
        <v>39275</v>
      </c>
      <c r="D706" s="2" t="s">
        <v>5670</v>
      </c>
      <c r="F706" s="2" t="s">
        <v>5671</v>
      </c>
      <c r="G706" s="2" t="s">
        <v>5672</v>
      </c>
      <c r="H706" s="2" t="s">
        <v>63</v>
      </c>
      <c r="I706" s="2" t="s">
        <v>51</v>
      </c>
      <c r="J706" s="2" t="s">
        <v>828</v>
      </c>
      <c r="K706" s="2" t="s">
        <v>5670</v>
      </c>
      <c r="L706" s="2" t="s">
        <v>51</v>
      </c>
      <c r="M706" s="2" t="s">
        <v>63</v>
      </c>
      <c r="N706" s="2" t="s">
        <v>5673</v>
      </c>
      <c r="O706" s="2"/>
      <c r="P706" s="2" t="s">
        <v>37</v>
      </c>
      <c r="Q706" s="4" t="n">
        <v>8731</v>
      </c>
      <c r="R706" s="2" t="s">
        <v>56</v>
      </c>
      <c r="S706" s="2" t="s">
        <v>80</v>
      </c>
      <c r="T706" s="2" t="s">
        <v>40</v>
      </c>
      <c r="U706" s="2" t="s">
        <v>5674</v>
      </c>
      <c r="V706" s="2"/>
      <c r="W706" s="2" t="s">
        <v>42</v>
      </c>
      <c r="X706" s="2" t="s">
        <v>43</v>
      </c>
      <c r="Y706" s="2" t="s">
        <v>37</v>
      </c>
      <c r="Z706" s="2" t="s">
        <v>44</v>
      </c>
      <c r="AA706" s="2"/>
      <c r="AB706" s="2"/>
      <c r="AC706" s="2" t="s">
        <v>5675</v>
      </c>
      <c r="AD706" s="2" t="s">
        <v>46</v>
      </c>
    </row>
    <row r="707" customFormat="false" ht="15.7" hidden="false" customHeight="true" outlineLevel="0" collapsed="false">
      <c r="A707" s="2"/>
      <c r="B707" s="3" t="n">
        <f aca="false">DATE(2007,7,16)</f>
        <v>0</v>
      </c>
      <c r="C707" s="3" t="n">
        <v>39279</v>
      </c>
      <c r="D707" s="2" t="s">
        <v>5676</v>
      </c>
      <c r="F707" s="2" t="s">
        <v>5677</v>
      </c>
      <c r="G707" s="2" t="s">
        <v>5678</v>
      </c>
      <c r="H707" s="2" t="s">
        <v>305</v>
      </c>
      <c r="I707" s="2" t="s">
        <v>5679</v>
      </c>
      <c r="J707" s="2" t="s">
        <v>35</v>
      </c>
      <c r="K707" s="2" t="s">
        <v>5676</v>
      </c>
      <c r="L707" s="2" t="s">
        <v>5679</v>
      </c>
      <c r="M707" s="2" t="s">
        <v>305</v>
      </c>
      <c r="N707" s="2" t="s">
        <v>5680</v>
      </c>
      <c r="O707" s="2"/>
      <c r="P707" s="2" t="s">
        <v>79</v>
      </c>
      <c r="Q707" s="4" t="n">
        <v>6794</v>
      </c>
      <c r="R707" s="2" t="s">
        <v>136</v>
      </c>
      <c r="S707" s="2" t="s">
        <v>39</v>
      </c>
      <c r="T707" s="2" t="s">
        <v>40</v>
      </c>
      <c r="U707" s="2" t="s">
        <v>5681</v>
      </c>
      <c r="V707" s="2"/>
      <c r="W707" s="2" t="s">
        <v>82</v>
      </c>
      <c r="X707" s="2" t="s">
        <v>43</v>
      </c>
      <c r="Y707" s="2" t="s">
        <v>37</v>
      </c>
      <c r="Z707" s="2" t="s">
        <v>44</v>
      </c>
      <c r="AA707" s="2" t="s">
        <v>5682</v>
      </c>
      <c r="AB707" s="2"/>
      <c r="AC707" s="2" t="s">
        <v>5683</v>
      </c>
      <c r="AD707" s="2" t="s">
        <v>46</v>
      </c>
    </row>
    <row r="708" customFormat="false" ht="15.7" hidden="false" customHeight="true" outlineLevel="0" collapsed="false">
      <c r="A708" s="2"/>
      <c r="B708" s="3" t="n">
        <f aca="false">DATE(2007,7,16)</f>
        <v>0</v>
      </c>
      <c r="C708" s="3" t="n">
        <v>39279</v>
      </c>
      <c r="D708" s="2" t="s">
        <v>5684</v>
      </c>
      <c r="F708" s="2" t="s">
        <v>5685</v>
      </c>
      <c r="G708" s="2" t="s">
        <v>5686</v>
      </c>
      <c r="H708" s="2" t="s">
        <v>5687</v>
      </c>
      <c r="I708" s="2" t="s">
        <v>51</v>
      </c>
      <c r="J708" s="2" t="s">
        <v>5688</v>
      </c>
      <c r="K708" s="2" t="s">
        <v>5684</v>
      </c>
      <c r="L708" s="2" t="s">
        <v>51</v>
      </c>
      <c r="M708" s="2" t="s">
        <v>5687</v>
      </c>
      <c r="N708" s="2" t="s">
        <v>5689</v>
      </c>
      <c r="O708" s="2"/>
      <c r="P708" s="2" t="s">
        <v>37</v>
      </c>
      <c r="Q708" s="4" t="n">
        <v>8731</v>
      </c>
      <c r="R708" s="2" t="s">
        <v>56</v>
      </c>
      <c r="S708" s="2" t="s">
        <v>5690</v>
      </c>
      <c r="T708" s="2" t="s">
        <v>40</v>
      </c>
      <c r="U708" s="2" t="s">
        <v>5691</v>
      </c>
      <c r="V708" s="2"/>
      <c r="W708" s="2" t="s">
        <v>42</v>
      </c>
      <c r="X708" s="2" t="s">
        <v>43</v>
      </c>
      <c r="Y708" s="2" t="s">
        <v>37</v>
      </c>
      <c r="Z708" s="2" t="s">
        <v>44</v>
      </c>
      <c r="AA708" s="2"/>
      <c r="AB708" s="2"/>
      <c r="AC708" s="2" t="s">
        <v>5692</v>
      </c>
      <c r="AD708" s="2" t="s">
        <v>46</v>
      </c>
    </row>
    <row r="709" customFormat="false" ht="15.7" hidden="false" customHeight="true" outlineLevel="0" collapsed="false">
      <c r="A709" s="2"/>
      <c r="B709" s="3" t="n">
        <f aca="false">DATE(2007,7,18)</f>
        <v>0</v>
      </c>
      <c r="C709" s="3" t="n">
        <v>39281</v>
      </c>
      <c r="D709" s="2" t="s">
        <v>5693</v>
      </c>
      <c r="F709" s="2" t="s">
        <v>5694</v>
      </c>
      <c r="G709" s="2" t="s">
        <v>5695</v>
      </c>
      <c r="H709" s="2" t="s">
        <v>5696</v>
      </c>
      <c r="I709" s="2" t="s">
        <v>5173</v>
      </c>
      <c r="J709" s="2" t="s">
        <v>35</v>
      </c>
      <c r="K709" s="2" t="s">
        <v>5693</v>
      </c>
      <c r="L709" s="2" t="s">
        <v>5173</v>
      </c>
      <c r="M709" s="2" t="s">
        <v>5696</v>
      </c>
      <c r="N709" s="2" t="s">
        <v>5697</v>
      </c>
      <c r="O709" s="2"/>
      <c r="P709" s="2" t="s">
        <v>37</v>
      </c>
      <c r="Q709" s="4" t="n">
        <v>8731</v>
      </c>
      <c r="R709" s="2" t="s">
        <v>136</v>
      </c>
      <c r="S709" s="2" t="s">
        <v>39</v>
      </c>
      <c r="T709" s="2" t="s">
        <v>40</v>
      </c>
      <c r="U709" s="2" t="s">
        <v>5698</v>
      </c>
      <c r="V709" s="2"/>
      <c r="W709" s="2" t="s">
        <v>42</v>
      </c>
      <c r="X709" s="2" t="s">
        <v>43</v>
      </c>
      <c r="Y709" s="2" t="s">
        <v>37</v>
      </c>
      <c r="Z709" s="2" t="s">
        <v>44</v>
      </c>
      <c r="AA709" s="2"/>
      <c r="AB709" s="2"/>
      <c r="AC709" s="2" t="s">
        <v>5699</v>
      </c>
      <c r="AD709" s="2" t="s">
        <v>46</v>
      </c>
    </row>
    <row r="710" customFormat="false" ht="15.7" hidden="false" customHeight="true" outlineLevel="0" collapsed="false">
      <c r="A710" s="2"/>
      <c r="B710" s="3" t="n">
        <f aca="false">DATE(2007,7,19)</f>
        <v>0</v>
      </c>
      <c r="C710" s="3" t="n">
        <v>39282</v>
      </c>
      <c r="D710" s="2" t="s">
        <v>5700</v>
      </c>
      <c r="F710" s="2" t="s">
        <v>5701</v>
      </c>
      <c r="G710" s="2" t="s">
        <v>5702</v>
      </c>
      <c r="H710" s="2" t="s">
        <v>170</v>
      </c>
      <c r="I710" s="2" t="s">
        <v>1673</v>
      </c>
      <c r="J710" s="2" t="s">
        <v>35</v>
      </c>
      <c r="K710" s="2" t="s">
        <v>5700</v>
      </c>
      <c r="L710" s="2" t="s">
        <v>1673</v>
      </c>
      <c r="M710" s="2" t="s">
        <v>170</v>
      </c>
      <c r="N710" s="2" t="s">
        <v>5703</v>
      </c>
      <c r="O710" s="2"/>
      <c r="P710" s="2" t="s">
        <v>37</v>
      </c>
      <c r="Q710" s="4" t="n">
        <v>8731</v>
      </c>
      <c r="R710" s="2" t="s">
        <v>5704</v>
      </c>
      <c r="S710" s="2" t="s">
        <v>39</v>
      </c>
      <c r="T710" s="2" t="s">
        <v>403</v>
      </c>
      <c r="U710" s="2" t="s">
        <v>5705</v>
      </c>
      <c r="V710" s="2"/>
      <c r="W710" s="2" t="s">
        <v>42</v>
      </c>
      <c r="X710" s="2" t="s">
        <v>46</v>
      </c>
      <c r="Y710" s="2" t="s">
        <v>37</v>
      </c>
      <c r="Z710" s="2" t="s">
        <v>5706</v>
      </c>
      <c r="AA710" s="2"/>
      <c r="AB710" s="2"/>
      <c r="AC710" s="2" t="s">
        <v>5707</v>
      </c>
      <c r="AD710" s="2" t="s">
        <v>46</v>
      </c>
    </row>
    <row r="711" customFormat="false" ht="15.7" hidden="false" customHeight="true" outlineLevel="0" collapsed="false">
      <c r="A711" s="2"/>
      <c r="B711" s="3" t="n">
        <f aca="false">DATE(2007,7,23)</f>
        <v>0</v>
      </c>
      <c r="C711" s="3" t="n">
        <v>39286</v>
      </c>
      <c r="D711" s="2" t="s">
        <v>5708</v>
      </c>
      <c r="F711" s="2" t="s">
        <v>1172</v>
      </c>
      <c r="G711" s="2" t="s">
        <v>5709</v>
      </c>
      <c r="H711" s="2" t="s">
        <v>63</v>
      </c>
      <c r="I711" s="2" t="s">
        <v>219</v>
      </c>
      <c r="J711" s="2" t="s">
        <v>65</v>
      </c>
      <c r="K711" s="2" t="s">
        <v>5708</v>
      </c>
      <c r="L711" s="2" t="s">
        <v>219</v>
      </c>
      <c r="M711" s="2" t="s">
        <v>63</v>
      </c>
      <c r="N711" s="2" t="s">
        <v>5710</v>
      </c>
      <c r="O711" s="2"/>
      <c r="P711" s="2" t="s">
        <v>79</v>
      </c>
      <c r="Q711" s="4" t="n">
        <v>6794</v>
      </c>
      <c r="R711" s="2" t="s">
        <v>136</v>
      </c>
      <c r="S711" s="2" t="s">
        <v>39</v>
      </c>
      <c r="T711" s="2" t="s">
        <v>40</v>
      </c>
      <c r="U711" s="2" t="s">
        <v>5711</v>
      </c>
      <c r="V711" s="2"/>
      <c r="W711" s="2" t="s">
        <v>82</v>
      </c>
      <c r="X711" s="2" t="s">
        <v>43</v>
      </c>
      <c r="Y711" s="2" t="s">
        <v>37</v>
      </c>
      <c r="Z711" s="2" t="s">
        <v>44</v>
      </c>
      <c r="AA711" s="2"/>
      <c r="AB711" s="2"/>
      <c r="AC711" s="2" t="s">
        <v>5712</v>
      </c>
      <c r="AD711" s="2" t="s">
        <v>46</v>
      </c>
    </row>
    <row r="712" customFormat="false" ht="15.7" hidden="false" customHeight="true" outlineLevel="0" collapsed="false">
      <c r="A712" s="2"/>
      <c r="B712" s="3" t="n">
        <f aca="false">DATE(2007,7,24)</f>
        <v>0</v>
      </c>
      <c r="C712" s="3" t="n">
        <v>39287</v>
      </c>
      <c r="D712" s="2" t="s">
        <v>5713</v>
      </c>
      <c r="F712" s="2" t="s">
        <v>5714</v>
      </c>
      <c r="G712" s="2" t="s">
        <v>5715</v>
      </c>
      <c r="H712" s="2" t="s">
        <v>5716</v>
      </c>
      <c r="I712" s="2" t="s">
        <v>180</v>
      </c>
      <c r="J712" s="2" t="s">
        <v>795</v>
      </c>
      <c r="K712" s="2" t="s">
        <v>5717</v>
      </c>
      <c r="L712" s="2" t="s">
        <v>180</v>
      </c>
      <c r="M712" s="2" t="s">
        <v>5716</v>
      </c>
      <c r="N712" s="2" t="s">
        <v>5718</v>
      </c>
      <c r="O712" s="2"/>
      <c r="P712" s="2" t="s">
        <v>37</v>
      </c>
      <c r="Q712" s="4" t="n">
        <v>3674</v>
      </c>
      <c r="R712" s="2" t="s">
        <v>56</v>
      </c>
      <c r="S712" s="2" t="s">
        <v>507</v>
      </c>
      <c r="T712" s="2" t="s">
        <v>40</v>
      </c>
      <c r="U712" s="2" t="s">
        <v>5719</v>
      </c>
      <c r="V712" s="2"/>
      <c r="W712" s="2" t="s">
        <v>107</v>
      </c>
      <c r="X712" s="2" t="s">
        <v>43</v>
      </c>
      <c r="Y712" s="2" t="s">
        <v>37</v>
      </c>
      <c r="Z712" s="2" t="s">
        <v>44</v>
      </c>
      <c r="AA712" s="2"/>
      <c r="AB712" s="2"/>
      <c r="AC712" s="2" t="s">
        <v>5720</v>
      </c>
      <c r="AD712" s="2" t="s">
        <v>46</v>
      </c>
    </row>
    <row r="713" customFormat="false" ht="15.7" hidden="false" customHeight="true" outlineLevel="0" collapsed="false">
      <c r="A713" s="2"/>
      <c r="B713" s="3" t="n">
        <f aca="false">DATE(2007,7,25)</f>
        <v>0</v>
      </c>
      <c r="C713" s="3" t="n">
        <v>39288</v>
      </c>
      <c r="D713" s="2" t="s">
        <v>5721</v>
      </c>
      <c r="F713" s="2" t="s">
        <v>5722</v>
      </c>
      <c r="G713" s="2" t="s">
        <v>5723</v>
      </c>
      <c r="H713" s="2" t="s">
        <v>5724</v>
      </c>
      <c r="I713" s="2" t="s">
        <v>296</v>
      </c>
      <c r="J713" s="2" t="s">
        <v>5725</v>
      </c>
      <c r="K713" s="2" t="s">
        <v>5721</v>
      </c>
      <c r="L713" s="2" t="s">
        <v>296</v>
      </c>
      <c r="M713" s="2" t="s">
        <v>5724</v>
      </c>
      <c r="N713" s="2" t="s">
        <v>5726</v>
      </c>
      <c r="O713" s="2"/>
      <c r="P713" s="2" t="s">
        <v>37</v>
      </c>
      <c r="Q713" s="4" t="n">
        <v>8731</v>
      </c>
      <c r="R713" s="2" t="s">
        <v>136</v>
      </c>
      <c r="S713" s="2" t="s">
        <v>39</v>
      </c>
      <c r="T713" s="2" t="s">
        <v>40</v>
      </c>
      <c r="U713" s="2" t="s">
        <v>5727</v>
      </c>
      <c r="V713" s="2"/>
      <c r="W713" s="2" t="s">
        <v>42</v>
      </c>
      <c r="X713" s="2" t="s">
        <v>43</v>
      </c>
      <c r="Y713" s="2" t="s">
        <v>37</v>
      </c>
      <c r="Z713" s="2" t="s">
        <v>44</v>
      </c>
      <c r="AA713" s="2"/>
      <c r="AB713" s="2"/>
      <c r="AC713" s="2" t="s">
        <v>5728</v>
      </c>
      <c r="AD713" s="2" t="s">
        <v>46</v>
      </c>
    </row>
    <row r="714" customFormat="false" ht="15.7" hidden="false" customHeight="true" outlineLevel="0" collapsed="false">
      <c r="A714" s="2"/>
      <c r="B714" s="3" t="n">
        <f aca="false">DATE(2007,7,26)</f>
        <v>0</v>
      </c>
      <c r="C714" s="3" t="n">
        <v>39289</v>
      </c>
      <c r="D714" s="2" t="s">
        <v>5729</v>
      </c>
      <c r="F714" s="2" t="s">
        <v>5730</v>
      </c>
      <c r="G714" s="2" t="s">
        <v>5731</v>
      </c>
      <c r="H714" s="2" t="s">
        <v>5732</v>
      </c>
      <c r="I714" s="2" t="s">
        <v>965</v>
      </c>
      <c r="J714" s="2" t="s">
        <v>795</v>
      </c>
      <c r="K714" s="2" t="s">
        <v>5733</v>
      </c>
      <c r="L714" s="2" t="s">
        <v>965</v>
      </c>
      <c r="M714" s="2" t="s">
        <v>5734</v>
      </c>
      <c r="N714" s="2" t="s">
        <v>5735</v>
      </c>
      <c r="O714" s="2"/>
      <c r="P714" s="2" t="s">
        <v>37</v>
      </c>
      <c r="Q714" s="4" t="n">
        <v>8731</v>
      </c>
      <c r="R714" s="2" t="s">
        <v>136</v>
      </c>
      <c r="S714" s="2" t="s">
        <v>39</v>
      </c>
      <c r="T714" s="2" t="s">
        <v>403</v>
      </c>
      <c r="U714" s="2" t="s">
        <v>5736</v>
      </c>
      <c r="V714" s="2"/>
      <c r="W714" s="2" t="s">
        <v>42</v>
      </c>
      <c r="X714" s="2" t="s">
        <v>43</v>
      </c>
      <c r="Y714" s="2" t="s">
        <v>37</v>
      </c>
      <c r="Z714" s="2" t="s">
        <v>44</v>
      </c>
      <c r="AA714" s="2" t="s">
        <v>5737</v>
      </c>
      <c r="AB714" s="2"/>
      <c r="AC714" s="2" t="s">
        <v>5738</v>
      </c>
      <c r="AD714" s="2" t="s">
        <v>46</v>
      </c>
    </row>
    <row r="715" customFormat="false" ht="15.7" hidden="false" customHeight="true" outlineLevel="0" collapsed="false">
      <c r="A715" s="2"/>
      <c r="B715" s="3" t="n">
        <f aca="false">DATE(2007,7,26)</f>
        <v>0</v>
      </c>
      <c r="C715" s="3" t="n">
        <v>39289</v>
      </c>
      <c r="D715" s="2" t="s">
        <v>5739</v>
      </c>
      <c r="F715" s="2" t="s">
        <v>5740</v>
      </c>
      <c r="G715" s="2" t="s">
        <v>5741</v>
      </c>
      <c r="H715" s="2" t="s">
        <v>5742</v>
      </c>
      <c r="I715" s="2" t="s">
        <v>670</v>
      </c>
      <c r="J715" s="2" t="s">
        <v>5743</v>
      </c>
      <c r="K715" s="2" t="s">
        <v>5739</v>
      </c>
      <c r="L715" s="2" t="s">
        <v>670</v>
      </c>
      <c r="M715" s="2" t="s">
        <v>5742</v>
      </c>
      <c r="N715" s="2" t="s">
        <v>5744</v>
      </c>
      <c r="O715" s="2"/>
      <c r="P715" s="2" t="s">
        <v>37</v>
      </c>
      <c r="Q715" s="4" t="n">
        <v>8731</v>
      </c>
      <c r="R715" s="2" t="s">
        <v>56</v>
      </c>
      <c r="S715" s="2" t="s">
        <v>3510</v>
      </c>
      <c r="T715" s="2" t="s">
        <v>40</v>
      </c>
      <c r="U715" s="2" t="s">
        <v>5745</v>
      </c>
      <c r="V715" s="2"/>
      <c r="W715" s="2" t="s">
        <v>42</v>
      </c>
      <c r="X715" s="2" t="s">
        <v>43</v>
      </c>
      <c r="Y715" s="2" t="s">
        <v>37</v>
      </c>
      <c r="Z715" s="2" t="s">
        <v>44</v>
      </c>
      <c r="AA715" s="2"/>
      <c r="AB715" s="2"/>
      <c r="AC715" s="2" t="s">
        <v>5746</v>
      </c>
      <c r="AD715" s="2" t="s">
        <v>46</v>
      </c>
    </row>
    <row r="716" customFormat="false" ht="15.7" hidden="false" customHeight="true" outlineLevel="0" collapsed="false">
      <c r="A716" s="2"/>
      <c r="B716" s="3" t="n">
        <f aca="false">DATE(2007,7,26)</f>
        <v>0</v>
      </c>
      <c r="C716" s="3" t="n">
        <v>39289</v>
      </c>
      <c r="D716" s="2" t="s">
        <v>5747</v>
      </c>
      <c r="F716" s="2" t="s">
        <v>5748</v>
      </c>
      <c r="G716" s="2" t="s">
        <v>5749</v>
      </c>
      <c r="H716" s="2" t="s">
        <v>4594</v>
      </c>
      <c r="I716" s="2" t="s">
        <v>2294</v>
      </c>
      <c r="J716" s="2" t="s">
        <v>35</v>
      </c>
      <c r="K716" s="2" t="s">
        <v>5747</v>
      </c>
      <c r="L716" s="2" t="s">
        <v>2294</v>
      </c>
      <c r="M716" s="2" t="s">
        <v>4594</v>
      </c>
      <c r="N716" s="2" t="s">
        <v>5750</v>
      </c>
      <c r="O716" s="2"/>
      <c r="P716" s="2" t="s">
        <v>37</v>
      </c>
      <c r="Q716" s="4" t="n">
        <v>8731</v>
      </c>
      <c r="R716" s="2" t="s">
        <v>450</v>
      </c>
      <c r="S716" s="2" t="s">
        <v>39</v>
      </c>
      <c r="T716" s="2" t="s">
        <v>403</v>
      </c>
      <c r="U716" s="2" t="s">
        <v>5751</v>
      </c>
      <c r="V716" s="2"/>
      <c r="W716" s="2" t="s">
        <v>42</v>
      </c>
      <c r="X716" s="2" t="s">
        <v>43</v>
      </c>
      <c r="Y716" s="2" t="s">
        <v>37</v>
      </c>
      <c r="Z716" s="2" t="s">
        <v>44</v>
      </c>
      <c r="AA716" s="2"/>
      <c r="AB716" s="2"/>
      <c r="AC716" s="2" t="s">
        <v>5752</v>
      </c>
      <c r="AD716" s="2" t="s">
        <v>46</v>
      </c>
    </row>
    <row r="717" customFormat="false" ht="15.7" hidden="false" customHeight="true" outlineLevel="0" collapsed="false">
      <c r="A717" s="2"/>
      <c r="B717" s="3" t="n">
        <f aca="false">DATE(2007,7,27)</f>
        <v>0</v>
      </c>
      <c r="C717" s="3" t="n">
        <v>39290</v>
      </c>
      <c r="D717" s="2" t="s">
        <v>5753</v>
      </c>
      <c r="F717" s="2" t="s">
        <v>5754</v>
      </c>
      <c r="G717" s="2" t="s">
        <v>5755</v>
      </c>
      <c r="H717" s="2" t="s">
        <v>130</v>
      </c>
      <c r="I717" s="2" t="s">
        <v>330</v>
      </c>
      <c r="J717" s="2" t="s">
        <v>900</v>
      </c>
      <c r="K717" s="2" t="s">
        <v>5753</v>
      </c>
      <c r="L717" s="2" t="s">
        <v>330</v>
      </c>
      <c r="M717" s="2" t="s">
        <v>130</v>
      </c>
      <c r="N717" s="2" t="s">
        <v>5756</v>
      </c>
      <c r="O717" s="2"/>
      <c r="P717" s="2" t="s">
        <v>37</v>
      </c>
      <c r="Q717" s="4" t="n">
        <v>8731</v>
      </c>
      <c r="R717" s="2" t="s">
        <v>136</v>
      </c>
      <c r="S717" s="2" t="s">
        <v>39</v>
      </c>
      <c r="T717" s="2" t="s">
        <v>40</v>
      </c>
      <c r="U717" s="2" t="s">
        <v>5757</v>
      </c>
      <c r="V717" s="2"/>
      <c r="W717" s="2" t="s">
        <v>138</v>
      </c>
      <c r="X717" s="2" t="s">
        <v>43</v>
      </c>
      <c r="Y717" s="2" t="s">
        <v>37</v>
      </c>
      <c r="Z717" s="2" t="s">
        <v>44</v>
      </c>
      <c r="AA717" s="2" t="s">
        <v>5758</v>
      </c>
      <c r="AB717" s="2"/>
      <c r="AC717" s="2" t="s">
        <v>5759</v>
      </c>
      <c r="AD717" s="2" t="s">
        <v>46</v>
      </c>
    </row>
    <row r="718" customFormat="false" ht="15.7" hidden="false" customHeight="true" outlineLevel="0" collapsed="false">
      <c r="A718" s="2"/>
      <c r="B718" s="3" t="n">
        <f aca="false">DATE(2007,7,31)</f>
        <v>0</v>
      </c>
      <c r="C718" s="3" t="n">
        <v>39294</v>
      </c>
      <c r="D718" s="2" t="s">
        <v>5760</v>
      </c>
      <c r="F718" s="2" t="s">
        <v>5761</v>
      </c>
      <c r="G718" s="2" t="s">
        <v>5762</v>
      </c>
      <c r="H718" s="2" t="s">
        <v>5389</v>
      </c>
      <c r="I718" s="2" t="s">
        <v>51</v>
      </c>
      <c r="J718" s="2" t="s">
        <v>5763</v>
      </c>
      <c r="K718" s="2" t="s">
        <v>5760</v>
      </c>
      <c r="L718" s="2" t="s">
        <v>51</v>
      </c>
      <c r="M718" s="2" t="s">
        <v>5389</v>
      </c>
      <c r="N718" s="2" t="s">
        <v>5764</v>
      </c>
      <c r="O718" s="2"/>
      <c r="P718" s="2" t="s">
        <v>37</v>
      </c>
      <c r="Q718" s="4" t="n">
        <v>8731</v>
      </c>
      <c r="R718" s="2" t="s">
        <v>136</v>
      </c>
      <c r="S718" s="2" t="s">
        <v>39</v>
      </c>
      <c r="T718" s="2" t="s">
        <v>40</v>
      </c>
      <c r="U718" s="2" t="s">
        <v>5765</v>
      </c>
      <c r="V718" s="2"/>
      <c r="W718" s="2" t="s">
        <v>42</v>
      </c>
      <c r="X718" s="2" t="s">
        <v>43</v>
      </c>
      <c r="Y718" s="2" t="s">
        <v>37</v>
      </c>
      <c r="Z718" s="2" t="s">
        <v>44</v>
      </c>
      <c r="AA718" s="2"/>
      <c r="AB718" s="2"/>
      <c r="AC718" s="2" t="s">
        <v>5766</v>
      </c>
      <c r="AD718" s="2" t="s">
        <v>46</v>
      </c>
    </row>
    <row r="719" customFormat="false" ht="15.7" hidden="false" customHeight="true" outlineLevel="0" collapsed="false">
      <c r="A719" s="2"/>
      <c r="B719" s="3" t="n">
        <f aca="false">DATE(2007,8,1)</f>
        <v>0</v>
      </c>
      <c r="C719" s="3" t="n">
        <v>39295</v>
      </c>
      <c r="D719" s="2" t="s">
        <v>5767</v>
      </c>
      <c r="F719" s="2" t="s">
        <v>5768</v>
      </c>
      <c r="G719" s="2" t="s">
        <v>5769</v>
      </c>
      <c r="H719" s="2" t="s">
        <v>5770</v>
      </c>
      <c r="I719" s="2" t="s">
        <v>5771</v>
      </c>
      <c r="J719" s="2" t="s">
        <v>35</v>
      </c>
      <c r="K719" s="2" t="s">
        <v>5772</v>
      </c>
      <c r="L719" s="2" t="s">
        <v>5771</v>
      </c>
      <c r="M719" s="2" t="s">
        <v>368</v>
      </c>
      <c r="N719" s="2" t="s">
        <v>5773</v>
      </c>
      <c r="O719" s="2"/>
      <c r="P719" s="2" t="s">
        <v>37</v>
      </c>
      <c r="Q719" s="4" t="n">
        <v>8731</v>
      </c>
      <c r="R719" s="2" t="s">
        <v>5774</v>
      </c>
      <c r="S719" s="2" t="s">
        <v>39</v>
      </c>
      <c r="T719" s="2" t="s">
        <v>40</v>
      </c>
      <c r="U719" s="2" t="s">
        <v>5775</v>
      </c>
      <c r="V719" s="2"/>
      <c r="W719" s="2" t="s">
        <v>42</v>
      </c>
      <c r="X719" s="2" t="s">
        <v>43</v>
      </c>
      <c r="Y719" s="2" t="s">
        <v>37</v>
      </c>
      <c r="Z719" s="2" t="s">
        <v>44</v>
      </c>
      <c r="AA719" s="2"/>
      <c r="AB719" s="2"/>
      <c r="AC719" s="2" t="s">
        <v>5776</v>
      </c>
      <c r="AD719" s="2" t="s">
        <v>46</v>
      </c>
    </row>
    <row r="720" customFormat="false" ht="15.7" hidden="false" customHeight="true" outlineLevel="0" collapsed="false">
      <c r="A720" s="2"/>
      <c r="B720" s="3" t="n">
        <f aca="false">DATE(2007,8,2)</f>
        <v>0</v>
      </c>
      <c r="C720" s="3" t="n">
        <v>39296</v>
      </c>
      <c r="D720" s="2" t="s">
        <v>5777</v>
      </c>
      <c r="F720" s="2" t="s">
        <v>5778</v>
      </c>
      <c r="G720" s="2" t="s">
        <v>5779</v>
      </c>
      <c r="H720" s="2" t="s">
        <v>5780</v>
      </c>
      <c r="I720" s="2" t="s">
        <v>51</v>
      </c>
      <c r="J720" s="2" t="s">
        <v>3854</v>
      </c>
      <c r="K720" s="2" t="s">
        <v>5777</v>
      </c>
      <c r="L720" s="2" t="s">
        <v>51</v>
      </c>
      <c r="M720" s="2" t="s">
        <v>5780</v>
      </c>
      <c r="N720" s="2" t="s">
        <v>5781</v>
      </c>
      <c r="O720" s="2"/>
      <c r="P720" s="2" t="s">
        <v>37</v>
      </c>
      <c r="Q720" s="4" t="n">
        <v>8731</v>
      </c>
      <c r="R720" s="2" t="s">
        <v>56</v>
      </c>
      <c r="S720" s="2" t="s">
        <v>92</v>
      </c>
      <c r="T720" s="2" t="s">
        <v>40</v>
      </c>
      <c r="U720" s="2" t="s">
        <v>5782</v>
      </c>
      <c r="V720" s="2"/>
      <c r="W720" s="2" t="s">
        <v>42</v>
      </c>
      <c r="X720" s="2" t="s">
        <v>43</v>
      </c>
      <c r="Y720" s="2" t="s">
        <v>37</v>
      </c>
      <c r="Z720" s="2" t="s">
        <v>44</v>
      </c>
      <c r="AA720" s="2"/>
      <c r="AB720" s="2"/>
      <c r="AC720" s="2" t="s">
        <v>5783</v>
      </c>
      <c r="AD720" s="2" t="s">
        <v>46</v>
      </c>
    </row>
    <row r="721" customFormat="false" ht="15.7" hidden="false" customHeight="true" outlineLevel="0" collapsed="false">
      <c r="A721" s="2"/>
      <c r="B721" s="3" t="n">
        <f aca="false">DATE(2007,8,2)</f>
        <v>0</v>
      </c>
      <c r="C721" s="3" t="n">
        <v>39296</v>
      </c>
      <c r="D721" s="2" t="s">
        <v>5784</v>
      </c>
      <c r="F721" s="2" t="s">
        <v>5785</v>
      </c>
      <c r="G721" s="2" t="s">
        <v>5786</v>
      </c>
      <c r="H721" s="2" t="s">
        <v>4561</v>
      </c>
      <c r="I721" s="2" t="s">
        <v>51</v>
      </c>
      <c r="J721" s="2" t="s">
        <v>5787</v>
      </c>
      <c r="K721" s="2" t="s">
        <v>5788</v>
      </c>
      <c r="L721" s="2" t="s">
        <v>131</v>
      </c>
      <c r="M721" s="2" t="s">
        <v>4561</v>
      </c>
      <c r="N721" s="2" t="s">
        <v>5789</v>
      </c>
      <c r="O721" s="2"/>
      <c r="P721" s="2" t="s">
        <v>37</v>
      </c>
      <c r="Q721" s="4" t="n">
        <v>8731</v>
      </c>
      <c r="R721" s="2" t="s">
        <v>56</v>
      </c>
      <c r="S721" s="2" t="s">
        <v>57</v>
      </c>
      <c r="T721" s="2" t="s">
        <v>40</v>
      </c>
      <c r="U721" s="2" t="s">
        <v>5790</v>
      </c>
      <c r="V721" s="2"/>
      <c r="W721" s="2" t="s">
        <v>42</v>
      </c>
      <c r="X721" s="2" t="s">
        <v>43</v>
      </c>
      <c r="Y721" s="2" t="s">
        <v>37</v>
      </c>
      <c r="Z721" s="2" t="s">
        <v>44</v>
      </c>
      <c r="AA721" s="2"/>
      <c r="AB721" s="2"/>
      <c r="AC721" s="2" t="s">
        <v>5791</v>
      </c>
      <c r="AD721" s="2" t="s">
        <v>46</v>
      </c>
    </row>
    <row r="722" customFormat="false" ht="15.7" hidden="false" customHeight="true" outlineLevel="0" collapsed="false">
      <c r="A722" s="2"/>
      <c r="B722" s="3" t="n">
        <f aca="false">DATE(2007,8,3)</f>
        <v>0</v>
      </c>
      <c r="C722" s="3" t="n">
        <v>39297</v>
      </c>
      <c r="D722" s="2" t="s">
        <v>5792</v>
      </c>
      <c r="F722" s="2" t="s">
        <v>1254</v>
      </c>
      <c r="G722" s="2" t="s">
        <v>5793</v>
      </c>
      <c r="H722" s="2" t="s">
        <v>305</v>
      </c>
      <c r="I722" s="2" t="s">
        <v>51</v>
      </c>
      <c r="J722" s="2" t="s">
        <v>504</v>
      </c>
      <c r="K722" s="2" t="s">
        <v>5792</v>
      </c>
      <c r="L722" s="2" t="s">
        <v>51</v>
      </c>
      <c r="M722" s="2" t="s">
        <v>305</v>
      </c>
      <c r="N722" s="2" t="s">
        <v>5794</v>
      </c>
      <c r="O722" s="2"/>
      <c r="P722" s="2" t="s">
        <v>37</v>
      </c>
      <c r="Q722" s="4" t="n">
        <v>8731</v>
      </c>
      <c r="R722" s="2" t="s">
        <v>56</v>
      </c>
      <c r="S722" s="2" t="s">
        <v>80</v>
      </c>
      <c r="T722" s="2" t="s">
        <v>40</v>
      </c>
      <c r="U722" s="2" t="s">
        <v>5795</v>
      </c>
      <c r="V722" s="2"/>
      <c r="W722" s="2" t="s">
        <v>42</v>
      </c>
      <c r="X722" s="2" t="s">
        <v>43</v>
      </c>
      <c r="Y722" s="2" t="s">
        <v>37</v>
      </c>
      <c r="Z722" s="2" t="s">
        <v>44</v>
      </c>
      <c r="AA722" s="2"/>
      <c r="AB722" s="2"/>
      <c r="AC722" s="2" t="s">
        <v>5796</v>
      </c>
      <c r="AD722" s="2" t="s">
        <v>46</v>
      </c>
    </row>
    <row r="723" customFormat="false" ht="15.7" hidden="false" customHeight="true" outlineLevel="0" collapsed="false">
      <c r="A723" s="2"/>
      <c r="B723" s="3" t="n">
        <f aca="false">DATE(2007,8,6)</f>
        <v>0</v>
      </c>
      <c r="C723" s="3" t="n">
        <v>39300</v>
      </c>
      <c r="D723" s="2" t="s">
        <v>5797</v>
      </c>
      <c r="F723" s="2" t="s">
        <v>5754</v>
      </c>
      <c r="G723" s="2" t="s">
        <v>5798</v>
      </c>
      <c r="H723" s="2" t="s">
        <v>130</v>
      </c>
      <c r="I723" s="2" t="s">
        <v>1867</v>
      </c>
      <c r="J723" s="2" t="s">
        <v>35</v>
      </c>
      <c r="K723" s="2" t="s">
        <v>5797</v>
      </c>
      <c r="L723" s="2" t="s">
        <v>1867</v>
      </c>
      <c r="M723" s="2" t="s">
        <v>130</v>
      </c>
      <c r="N723" s="2" t="s">
        <v>5799</v>
      </c>
      <c r="O723" s="2"/>
      <c r="P723" s="2" t="s">
        <v>79</v>
      </c>
      <c r="Q723" s="4" t="n">
        <v>6794</v>
      </c>
      <c r="R723" s="2" t="s">
        <v>38</v>
      </c>
      <c r="S723" s="2" t="s">
        <v>39</v>
      </c>
      <c r="T723" s="2" t="s">
        <v>40</v>
      </c>
      <c r="U723" s="2" t="s">
        <v>5800</v>
      </c>
      <c r="V723" s="2"/>
      <c r="W723" s="2" t="s">
        <v>253</v>
      </c>
      <c r="X723" s="2" t="s">
        <v>43</v>
      </c>
      <c r="Y723" s="2" t="s">
        <v>37</v>
      </c>
      <c r="Z723" s="2" t="s">
        <v>44</v>
      </c>
      <c r="AA723" s="2"/>
      <c r="AB723" s="2"/>
      <c r="AC723" s="2" t="s">
        <v>5801</v>
      </c>
      <c r="AD723" s="2" t="s">
        <v>46</v>
      </c>
    </row>
    <row r="724" customFormat="false" ht="15.7" hidden="false" customHeight="true" outlineLevel="0" collapsed="false">
      <c r="A724" s="2"/>
      <c r="B724" s="3" t="n">
        <f aca="false">DATE(2007,8,6)</f>
        <v>0</v>
      </c>
      <c r="C724" s="3" t="n">
        <v>39300</v>
      </c>
      <c r="D724" s="2" t="s">
        <v>5802</v>
      </c>
      <c r="F724" s="2" t="s">
        <v>1902</v>
      </c>
      <c r="G724" s="2" t="s">
        <v>5803</v>
      </c>
      <c r="H724" s="2" t="s">
        <v>305</v>
      </c>
      <c r="I724" s="2" t="s">
        <v>51</v>
      </c>
      <c r="J724" s="2" t="s">
        <v>3854</v>
      </c>
      <c r="K724" s="2" t="s">
        <v>5804</v>
      </c>
      <c r="L724" s="2" t="s">
        <v>100</v>
      </c>
      <c r="M724" s="2" t="s">
        <v>1732</v>
      </c>
      <c r="N724" s="2" t="s">
        <v>5805</v>
      </c>
      <c r="O724" s="2"/>
      <c r="P724" s="2" t="s">
        <v>37</v>
      </c>
      <c r="Q724" s="4" t="n">
        <v>8731</v>
      </c>
      <c r="R724" s="2" t="s">
        <v>56</v>
      </c>
      <c r="S724" s="2" t="s">
        <v>92</v>
      </c>
      <c r="T724" s="2" t="s">
        <v>122</v>
      </c>
      <c r="U724" s="2" t="s">
        <v>5806</v>
      </c>
      <c r="V724" s="2"/>
      <c r="W724" s="2" t="s">
        <v>42</v>
      </c>
      <c r="X724" s="2" t="s">
        <v>43</v>
      </c>
      <c r="Y724" s="2" t="s">
        <v>37</v>
      </c>
      <c r="Z724" s="2" t="s">
        <v>44</v>
      </c>
      <c r="AA724" s="2"/>
      <c r="AB724" s="2"/>
      <c r="AC724" s="2" t="s">
        <v>5807</v>
      </c>
      <c r="AD724" s="2" t="s">
        <v>46</v>
      </c>
    </row>
    <row r="725" customFormat="false" ht="15.7" hidden="false" customHeight="true" outlineLevel="0" collapsed="false">
      <c r="A725" s="2"/>
      <c r="B725" s="3" t="n">
        <f aca="false">DATE(2007,8,6)</f>
        <v>0</v>
      </c>
      <c r="C725" s="3" t="n">
        <v>39300</v>
      </c>
      <c r="D725" s="2" t="s">
        <v>5808</v>
      </c>
      <c r="F725" s="2" t="s">
        <v>5809</v>
      </c>
      <c r="G725" s="2" t="s">
        <v>5810</v>
      </c>
      <c r="H725" s="2" t="s">
        <v>5811</v>
      </c>
      <c r="I725" s="2" t="s">
        <v>34</v>
      </c>
      <c r="J725" s="2" t="s">
        <v>35</v>
      </c>
      <c r="K725" s="2" t="s">
        <v>5808</v>
      </c>
      <c r="L725" s="2" t="s">
        <v>34</v>
      </c>
      <c r="M725" s="2" t="s">
        <v>5811</v>
      </c>
      <c r="N725" s="2" t="s">
        <v>5812</v>
      </c>
      <c r="O725" s="2"/>
      <c r="P725" s="2" t="s">
        <v>37</v>
      </c>
      <c r="Q725" s="4" t="n">
        <v>3691</v>
      </c>
      <c r="R725" s="2" t="s">
        <v>38</v>
      </c>
      <c r="S725" s="2" t="s">
        <v>39</v>
      </c>
      <c r="T725" s="2" t="s">
        <v>40</v>
      </c>
      <c r="U725" s="2" t="s">
        <v>5813</v>
      </c>
      <c r="V725" s="2"/>
      <c r="W725" s="2" t="s">
        <v>107</v>
      </c>
      <c r="X725" s="2" t="s">
        <v>43</v>
      </c>
      <c r="Y725" s="2" t="s">
        <v>37</v>
      </c>
      <c r="Z725" s="2" t="s">
        <v>44</v>
      </c>
      <c r="AA725" s="2"/>
      <c r="AB725" s="2"/>
      <c r="AC725" s="2" t="s">
        <v>5814</v>
      </c>
      <c r="AD725" s="2" t="s">
        <v>46</v>
      </c>
    </row>
    <row r="726" customFormat="false" ht="15.7" hidden="false" customHeight="true" outlineLevel="0" collapsed="false">
      <c r="A726" s="2"/>
      <c r="B726" s="3" t="n">
        <f aca="false">DATE(2007,8,6)</f>
        <v>0</v>
      </c>
      <c r="C726" s="3" t="n">
        <v>39300</v>
      </c>
      <c r="D726" s="2" t="s">
        <v>5815</v>
      </c>
      <c r="F726" s="2" t="s">
        <v>5816</v>
      </c>
      <c r="G726" s="2" t="s">
        <v>5817</v>
      </c>
      <c r="H726" s="2" t="s">
        <v>5818</v>
      </c>
      <c r="I726" s="2" t="s">
        <v>5819</v>
      </c>
      <c r="J726" s="2" t="s">
        <v>35</v>
      </c>
      <c r="K726" s="2" t="s">
        <v>5815</v>
      </c>
      <c r="L726" s="2" t="s">
        <v>5819</v>
      </c>
      <c r="M726" s="2" t="s">
        <v>5818</v>
      </c>
      <c r="N726" s="2" t="s">
        <v>5820</v>
      </c>
      <c r="O726" s="2" t="s">
        <v>5821</v>
      </c>
      <c r="P726" s="2" t="s">
        <v>37</v>
      </c>
      <c r="Q726" s="4" t="n">
        <v>2836</v>
      </c>
      <c r="R726" s="2" t="s">
        <v>105</v>
      </c>
      <c r="S726" s="2" t="s">
        <v>39</v>
      </c>
      <c r="T726" s="2" t="s">
        <v>403</v>
      </c>
      <c r="U726" s="2" t="s">
        <v>5822</v>
      </c>
      <c r="V726" s="2"/>
      <c r="W726" s="2" t="s">
        <v>42</v>
      </c>
      <c r="X726" s="2" t="s">
        <v>46</v>
      </c>
      <c r="Y726" s="2" t="s">
        <v>37</v>
      </c>
      <c r="Z726" s="2" t="s">
        <v>5823</v>
      </c>
      <c r="AA726" s="2"/>
      <c r="AB726" s="2" t="s">
        <v>5824</v>
      </c>
      <c r="AC726" s="2" t="s">
        <v>5825</v>
      </c>
      <c r="AD726" s="2" t="s">
        <v>46</v>
      </c>
    </row>
    <row r="727" customFormat="false" ht="15.7" hidden="false" customHeight="true" outlineLevel="0" collapsed="false">
      <c r="A727" s="2"/>
      <c r="B727" s="3" t="n">
        <f aca="false">DATE(2007,8,7)</f>
        <v>0</v>
      </c>
      <c r="C727" s="3" t="n">
        <v>39301</v>
      </c>
      <c r="D727" s="2" t="s">
        <v>5826</v>
      </c>
      <c r="F727" s="2" t="s">
        <v>5827</v>
      </c>
      <c r="G727" s="2" t="s">
        <v>5828</v>
      </c>
      <c r="H727" s="2" t="s">
        <v>63</v>
      </c>
      <c r="I727" s="2" t="s">
        <v>51</v>
      </c>
      <c r="J727" s="2" t="s">
        <v>3045</v>
      </c>
      <c r="K727" s="2" t="s">
        <v>5826</v>
      </c>
      <c r="L727" s="2" t="s">
        <v>51</v>
      </c>
      <c r="M727" s="2" t="s">
        <v>63</v>
      </c>
      <c r="N727" s="2" t="s">
        <v>5829</v>
      </c>
      <c r="O727" s="2"/>
      <c r="P727" s="2" t="s">
        <v>79</v>
      </c>
      <c r="Q727" s="4" t="n">
        <v>6794</v>
      </c>
      <c r="R727" s="2" t="s">
        <v>56</v>
      </c>
      <c r="S727" s="2" t="s">
        <v>80</v>
      </c>
      <c r="T727" s="2" t="s">
        <v>40</v>
      </c>
      <c r="U727" s="2" t="s">
        <v>5830</v>
      </c>
      <c r="V727" s="2"/>
      <c r="W727" s="2" t="s">
        <v>253</v>
      </c>
      <c r="X727" s="2" t="s">
        <v>43</v>
      </c>
      <c r="Y727" s="2" t="s">
        <v>37</v>
      </c>
      <c r="Z727" s="2" t="s">
        <v>44</v>
      </c>
      <c r="AA727" s="2"/>
      <c r="AB727" s="2"/>
      <c r="AC727" s="2" t="s">
        <v>5831</v>
      </c>
      <c r="AD727" s="2" t="s">
        <v>46</v>
      </c>
    </row>
    <row r="728" customFormat="false" ht="15.7" hidden="false" customHeight="true" outlineLevel="0" collapsed="false">
      <c r="A728" s="2"/>
      <c r="B728" s="3" t="n">
        <f aca="false">DATE(2007,8,8)</f>
        <v>0</v>
      </c>
      <c r="C728" s="3" t="n">
        <v>39302</v>
      </c>
      <c r="D728" s="2" t="s">
        <v>5832</v>
      </c>
      <c r="F728" s="2" t="s">
        <v>5833</v>
      </c>
      <c r="G728" s="2" t="s">
        <v>5834</v>
      </c>
      <c r="H728" s="2" t="s">
        <v>5835</v>
      </c>
      <c r="I728" s="2" t="s">
        <v>330</v>
      </c>
      <c r="J728" s="2" t="s">
        <v>5355</v>
      </c>
      <c r="K728" s="2" t="s">
        <v>5836</v>
      </c>
      <c r="L728" s="2" t="s">
        <v>330</v>
      </c>
      <c r="M728" s="2" t="s">
        <v>5837</v>
      </c>
      <c r="N728" s="2" t="s">
        <v>5838</v>
      </c>
      <c r="O728" s="2"/>
      <c r="P728" s="2" t="s">
        <v>37</v>
      </c>
      <c r="Q728" s="4" t="n">
        <v>8731</v>
      </c>
      <c r="R728" s="2" t="s">
        <v>136</v>
      </c>
      <c r="S728" s="2" t="s">
        <v>39</v>
      </c>
      <c r="T728" s="2" t="s">
        <v>40</v>
      </c>
      <c r="U728" s="2" t="s">
        <v>5839</v>
      </c>
      <c r="V728" s="2"/>
      <c r="W728" s="2" t="s">
        <v>42</v>
      </c>
      <c r="X728" s="2" t="s">
        <v>43</v>
      </c>
      <c r="Y728" s="2" t="s">
        <v>37</v>
      </c>
      <c r="Z728" s="2" t="s">
        <v>44</v>
      </c>
      <c r="AA728" s="2"/>
      <c r="AB728" s="2"/>
      <c r="AC728" s="2" t="s">
        <v>5840</v>
      </c>
      <c r="AD728" s="2" t="s">
        <v>46</v>
      </c>
    </row>
    <row r="729" customFormat="false" ht="15.7" hidden="false" customHeight="true" outlineLevel="0" collapsed="false">
      <c r="A729" s="2"/>
      <c r="B729" s="3" t="n">
        <f aca="false">DATE(2007,8,8)</f>
        <v>0</v>
      </c>
      <c r="C729" s="3" t="n">
        <v>39302</v>
      </c>
      <c r="D729" s="2" t="s">
        <v>5841</v>
      </c>
      <c r="F729" s="2" t="s">
        <v>5842</v>
      </c>
      <c r="G729" s="2" t="s">
        <v>5843</v>
      </c>
      <c r="H729" s="2" t="s">
        <v>368</v>
      </c>
      <c r="I729" s="2" t="s">
        <v>51</v>
      </c>
      <c r="J729" s="2" t="s">
        <v>5844</v>
      </c>
      <c r="K729" s="2" t="s">
        <v>5841</v>
      </c>
      <c r="L729" s="2" t="s">
        <v>51</v>
      </c>
      <c r="M729" s="2" t="s">
        <v>368</v>
      </c>
      <c r="N729" s="2" t="s">
        <v>5845</v>
      </c>
      <c r="O729" s="2"/>
      <c r="P729" s="2" t="s">
        <v>37</v>
      </c>
      <c r="Q729" s="4" t="n">
        <v>8731</v>
      </c>
      <c r="R729" s="2" t="s">
        <v>56</v>
      </c>
      <c r="S729" s="2" t="s">
        <v>5846</v>
      </c>
      <c r="T729" s="2" t="s">
        <v>40</v>
      </c>
      <c r="U729" s="2" t="s">
        <v>5847</v>
      </c>
      <c r="V729" s="2"/>
      <c r="W729" s="2" t="s">
        <v>42</v>
      </c>
      <c r="X729" s="2" t="s">
        <v>43</v>
      </c>
      <c r="Y729" s="2" t="s">
        <v>37</v>
      </c>
      <c r="Z729" s="2" t="s">
        <v>44</v>
      </c>
      <c r="AA729" s="2"/>
      <c r="AB729" s="2"/>
      <c r="AC729" s="2" t="s">
        <v>5848</v>
      </c>
      <c r="AD729" s="2" t="s">
        <v>46</v>
      </c>
    </row>
    <row r="730" customFormat="false" ht="15.7" hidden="false" customHeight="true" outlineLevel="0" collapsed="false">
      <c r="A730" s="2"/>
      <c r="B730" s="3" t="n">
        <f aca="false">DATE(2007,8,10)</f>
        <v>0</v>
      </c>
      <c r="C730" s="3" t="n">
        <v>39304</v>
      </c>
      <c r="D730" s="2" t="s">
        <v>5849</v>
      </c>
      <c r="F730" s="2" t="s">
        <v>1260</v>
      </c>
      <c r="G730" s="2" t="s">
        <v>5850</v>
      </c>
      <c r="H730" s="2" t="s">
        <v>130</v>
      </c>
      <c r="I730" s="2" t="s">
        <v>64</v>
      </c>
      <c r="J730" s="2" t="s">
        <v>65</v>
      </c>
      <c r="K730" s="2" t="s">
        <v>5849</v>
      </c>
      <c r="L730" s="2" t="s">
        <v>64</v>
      </c>
      <c r="M730" s="2" t="s">
        <v>130</v>
      </c>
      <c r="N730" s="2" t="s">
        <v>5851</v>
      </c>
      <c r="O730" s="2"/>
      <c r="P730" s="2" t="s">
        <v>79</v>
      </c>
      <c r="Q730" s="4" t="n">
        <v>6794</v>
      </c>
      <c r="R730" s="2" t="s">
        <v>136</v>
      </c>
      <c r="S730" s="2" t="s">
        <v>39</v>
      </c>
      <c r="T730" s="2" t="s">
        <v>40</v>
      </c>
      <c r="U730" s="2" t="s">
        <v>5852</v>
      </c>
      <c r="V730" s="2"/>
      <c r="W730" s="2" t="s">
        <v>253</v>
      </c>
      <c r="X730" s="2" t="s">
        <v>43</v>
      </c>
      <c r="Y730" s="2" t="s">
        <v>37</v>
      </c>
      <c r="Z730" s="2" t="s">
        <v>44</v>
      </c>
      <c r="AA730" s="2"/>
      <c r="AB730" s="2"/>
      <c r="AC730" s="2" t="s">
        <v>5853</v>
      </c>
      <c r="AD730" s="2" t="s">
        <v>46</v>
      </c>
    </row>
    <row r="731" customFormat="false" ht="15.7" hidden="false" customHeight="true" outlineLevel="0" collapsed="false">
      <c r="A731" s="2"/>
      <c r="B731" s="3" t="n">
        <f aca="false">DATE(2007,8,13)</f>
        <v>0</v>
      </c>
      <c r="C731" s="3" t="n">
        <v>39307</v>
      </c>
      <c r="D731" s="2" t="s">
        <v>5854</v>
      </c>
      <c r="F731" s="2" t="s">
        <v>5855</v>
      </c>
      <c r="G731" s="2" t="s">
        <v>5856</v>
      </c>
      <c r="H731" s="2" t="s">
        <v>5857</v>
      </c>
      <c r="I731" s="2" t="s">
        <v>51</v>
      </c>
      <c r="J731" s="2" t="s">
        <v>5858</v>
      </c>
      <c r="K731" s="2" t="s">
        <v>5854</v>
      </c>
      <c r="L731" s="2" t="s">
        <v>51</v>
      </c>
      <c r="M731" s="2" t="s">
        <v>5857</v>
      </c>
      <c r="N731" s="2" t="s">
        <v>5859</v>
      </c>
      <c r="O731" s="2"/>
      <c r="P731" s="2" t="s">
        <v>37</v>
      </c>
      <c r="Q731" s="4" t="n">
        <v>8731</v>
      </c>
      <c r="R731" s="2" t="s">
        <v>5860</v>
      </c>
      <c r="S731" s="2" t="s">
        <v>39</v>
      </c>
      <c r="T731" s="2" t="s">
        <v>40</v>
      </c>
      <c r="U731" s="2" t="s">
        <v>5861</v>
      </c>
      <c r="V731" s="2"/>
      <c r="W731" s="2" t="s">
        <v>42</v>
      </c>
      <c r="X731" s="2" t="s">
        <v>43</v>
      </c>
      <c r="Y731" s="2" t="s">
        <v>37</v>
      </c>
      <c r="Z731" s="2" t="s">
        <v>44</v>
      </c>
      <c r="AA731" s="2"/>
      <c r="AB731" s="2"/>
      <c r="AC731" s="2" t="s">
        <v>5862</v>
      </c>
      <c r="AD731" s="2" t="s">
        <v>46</v>
      </c>
    </row>
    <row r="732" customFormat="false" ht="15.7" hidden="false" customHeight="true" outlineLevel="0" collapsed="false">
      <c r="A732" s="2"/>
      <c r="B732" s="3" t="n">
        <f aca="false">DATE(2007,8,14)</f>
        <v>0</v>
      </c>
      <c r="C732" s="3" t="n">
        <v>39308</v>
      </c>
      <c r="D732" s="2" t="s">
        <v>5863</v>
      </c>
      <c r="F732" s="2" t="s">
        <v>5864</v>
      </c>
      <c r="G732" s="2" t="s">
        <v>5865</v>
      </c>
      <c r="H732" s="2" t="s">
        <v>130</v>
      </c>
      <c r="I732" s="2" t="s">
        <v>51</v>
      </c>
      <c r="J732" s="2" t="s">
        <v>5866</v>
      </c>
      <c r="K732" s="2" t="s">
        <v>5863</v>
      </c>
      <c r="L732" s="2" t="s">
        <v>51</v>
      </c>
      <c r="M732" s="2" t="s">
        <v>130</v>
      </c>
      <c r="N732" s="2" t="s">
        <v>5867</v>
      </c>
      <c r="O732" s="2"/>
      <c r="P732" s="2" t="s">
        <v>79</v>
      </c>
      <c r="Q732" s="4" t="n">
        <v>8731</v>
      </c>
      <c r="R732" s="2" t="s">
        <v>136</v>
      </c>
      <c r="S732" s="2" t="s">
        <v>39</v>
      </c>
      <c r="T732" s="2" t="s">
        <v>40</v>
      </c>
      <c r="U732" s="2" t="s">
        <v>5868</v>
      </c>
      <c r="V732" s="2"/>
      <c r="W732" s="2" t="s">
        <v>3330</v>
      </c>
      <c r="X732" s="2" t="s">
        <v>43</v>
      </c>
      <c r="Y732" s="2" t="s">
        <v>37</v>
      </c>
      <c r="Z732" s="2" t="s">
        <v>44</v>
      </c>
      <c r="AA732" s="2"/>
      <c r="AB732" s="2"/>
      <c r="AC732" s="2" t="s">
        <v>5869</v>
      </c>
      <c r="AD732" s="2" t="s">
        <v>46</v>
      </c>
    </row>
    <row r="733" customFormat="false" ht="15.7" hidden="false" customHeight="true" outlineLevel="0" collapsed="false">
      <c r="A733" s="2"/>
      <c r="B733" s="3" t="n">
        <f aca="false">DATE(2007,8,15)</f>
        <v>0</v>
      </c>
      <c r="C733" s="3" t="n">
        <v>39309</v>
      </c>
      <c r="D733" s="2" t="s">
        <v>5870</v>
      </c>
      <c r="F733" s="2" t="s">
        <v>5871</v>
      </c>
      <c r="G733" s="2" t="s">
        <v>5872</v>
      </c>
      <c r="H733" s="2" t="s">
        <v>5873</v>
      </c>
      <c r="I733" s="2" t="s">
        <v>1740</v>
      </c>
      <c r="J733" s="2" t="s">
        <v>35</v>
      </c>
      <c r="K733" s="2" t="s">
        <v>5874</v>
      </c>
      <c r="L733" s="2" t="s">
        <v>5875</v>
      </c>
      <c r="M733" s="2" t="s">
        <v>5876</v>
      </c>
      <c r="N733" s="2" t="s">
        <v>5877</v>
      </c>
      <c r="O733" s="2"/>
      <c r="P733" s="2" t="s">
        <v>37</v>
      </c>
      <c r="Q733" s="4" t="n">
        <v>8731</v>
      </c>
      <c r="R733" s="2" t="s">
        <v>1448</v>
      </c>
      <c r="S733" s="2" t="s">
        <v>39</v>
      </c>
      <c r="T733" s="2" t="s">
        <v>40</v>
      </c>
      <c r="U733" s="2" t="s">
        <v>5878</v>
      </c>
      <c r="V733" s="2"/>
      <c r="W733" s="2" t="s">
        <v>42</v>
      </c>
      <c r="X733" s="2" t="s">
        <v>43</v>
      </c>
      <c r="Y733" s="2" t="s">
        <v>37</v>
      </c>
      <c r="Z733" s="2" t="s">
        <v>44</v>
      </c>
      <c r="AA733" s="2"/>
      <c r="AB733" s="2"/>
      <c r="AC733" s="2" t="s">
        <v>5879</v>
      </c>
      <c r="AD733" s="2" t="s">
        <v>46</v>
      </c>
    </row>
    <row r="734" customFormat="false" ht="15.7" hidden="false" customHeight="true" outlineLevel="0" collapsed="false">
      <c r="A734" s="2"/>
      <c r="B734" s="3" t="n">
        <f aca="false">DATE(2007,8,17)</f>
        <v>0</v>
      </c>
      <c r="C734" s="3" t="n">
        <v>39311</v>
      </c>
      <c r="D734" s="2" t="s">
        <v>5880</v>
      </c>
      <c r="F734" s="2" t="s">
        <v>3087</v>
      </c>
      <c r="G734" s="2" t="s">
        <v>5881</v>
      </c>
      <c r="H734" s="2" t="s">
        <v>3954</v>
      </c>
      <c r="I734" s="2" t="s">
        <v>51</v>
      </c>
      <c r="J734" s="2" t="s">
        <v>2190</v>
      </c>
      <c r="K734" s="2" t="s">
        <v>5882</v>
      </c>
      <c r="L734" s="2" t="s">
        <v>51</v>
      </c>
      <c r="M734" s="2" t="s">
        <v>5883</v>
      </c>
      <c r="N734" s="2" t="s">
        <v>5884</v>
      </c>
      <c r="O734" s="2"/>
      <c r="P734" s="2" t="s">
        <v>37</v>
      </c>
      <c r="Q734" s="4" t="n">
        <v>8732</v>
      </c>
      <c r="R734" s="2" t="s">
        <v>136</v>
      </c>
      <c r="S734" s="2" t="s">
        <v>39</v>
      </c>
      <c r="T734" s="2" t="s">
        <v>40</v>
      </c>
      <c r="U734" s="2" t="s">
        <v>5885</v>
      </c>
      <c r="V734" s="2"/>
      <c r="W734" s="2" t="s">
        <v>42</v>
      </c>
      <c r="X734" s="2" t="s">
        <v>43</v>
      </c>
      <c r="Y734" s="2" t="s">
        <v>37</v>
      </c>
      <c r="Z734" s="2" t="s">
        <v>44</v>
      </c>
      <c r="AA734" s="2"/>
      <c r="AB734" s="2"/>
      <c r="AC734" s="2" t="s">
        <v>5886</v>
      </c>
      <c r="AD734" s="2" t="s">
        <v>46</v>
      </c>
    </row>
    <row r="735" customFormat="false" ht="15.7" hidden="false" customHeight="true" outlineLevel="0" collapsed="false">
      <c r="A735" s="2"/>
      <c r="B735" s="3" t="n">
        <f aca="false">DATE(2007,8,20)</f>
        <v>0</v>
      </c>
      <c r="C735" s="3" t="n">
        <v>39314</v>
      </c>
      <c r="D735" s="2" t="s">
        <v>5887</v>
      </c>
      <c r="F735" s="2" t="s">
        <v>5888</v>
      </c>
      <c r="G735" s="2" t="s">
        <v>5889</v>
      </c>
      <c r="H735" s="2" t="s">
        <v>5890</v>
      </c>
      <c r="I735" s="2" t="s">
        <v>219</v>
      </c>
      <c r="J735" s="2" t="s">
        <v>575</v>
      </c>
      <c r="K735" s="2" t="s">
        <v>5887</v>
      </c>
      <c r="L735" s="2" t="s">
        <v>219</v>
      </c>
      <c r="M735" s="2" t="s">
        <v>5890</v>
      </c>
      <c r="N735" s="2" t="s">
        <v>5891</v>
      </c>
      <c r="O735" s="2"/>
      <c r="P735" s="2" t="s">
        <v>37</v>
      </c>
      <c r="Q735" s="4" t="n">
        <v>3674</v>
      </c>
      <c r="R735" s="2" t="s">
        <v>136</v>
      </c>
      <c r="S735" s="2" t="s">
        <v>39</v>
      </c>
      <c r="T735" s="2" t="s">
        <v>40</v>
      </c>
      <c r="U735" s="2" t="s">
        <v>5892</v>
      </c>
      <c r="V735" s="2"/>
      <c r="W735" s="2" t="s">
        <v>107</v>
      </c>
      <c r="X735" s="2" t="s">
        <v>43</v>
      </c>
      <c r="Y735" s="2" t="s">
        <v>37</v>
      </c>
      <c r="Z735" s="2" t="s">
        <v>44</v>
      </c>
      <c r="AA735" s="2"/>
      <c r="AB735" s="2"/>
      <c r="AC735" s="2" t="s">
        <v>5893</v>
      </c>
      <c r="AD735" s="2" t="s">
        <v>46</v>
      </c>
    </row>
    <row r="736" customFormat="false" ht="15.7" hidden="false" customHeight="true" outlineLevel="0" collapsed="false">
      <c r="A736" s="2"/>
      <c r="B736" s="3" t="n">
        <f aca="false">DATE(2007,8,21)</f>
        <v>0</v>
      </c>
      <c r="C736" s="3" t="n">
        <v>39315</v>
      </c>
      <c r="D736" s="2" t="s">
        <v>5894</v>
      </c>
      <c r="F736" s="2" t="s">
        <v>3087</v>
      </c>
      <c r="G736" s="2" t="s">
        <v>5895</v>
      </c>
      <c r="H736" s="2" t="s">
        <v>1020</v>
      </c>
      <c r="I736" s="2" t="s">
        <v>538</v>
      </c>
      <c r="J736" s="2" t="s">
        <v>35</v>
      </c>
      <c r="K736" s="2" t="s">
        <v>5896</v>
      </c>
      <c r="L736" s="2" t="s">
        <v>487</v>
      </c>
      <c r="M736" s="2" t="s">
        <v>4867</v>
      </c>
      <c r="N736" s="2" t="s">
        <v>5897</v>
      </c>
      <c r="O736" s="2" t="s">
        <v>5898</v>
      </c>
      <c r="P736" s="2" t="s">
        <v>37</v>
      </c>
      <c r="Q736" s="4" t="n">
        <v>8731</v>
      </c>
      <c r="R736" s="2" t="s">
        <v>450</v>
      </c>
      <c r="S736" s="2" t="s">
        <v>39</v>
      </c>
      <c r="T736" s="2" t="s">
        <v>40</v>
      </c>
      <c r="U736" s="2" t="s">
        <v>5899</v>
      </c>
      <c r="V736" s="2"/>
      <c r="W736" s="2" t="s">
        <v>42</v>
      </c>
      <c r="X736" s="2" t="s">
        <v>46</v>
      </c>
      <c r="Y736" s="2" t="s">
        <v>37</v>
      </c>
      <c r="Z736" s="2" t="s">
        <v>362</v>
      </c>
      <c r="AA736" s="2"/>
      <c r="AB736" s="2" t="s">
        <v>5900</v>
      </c>
      <c r="AC736" s="2" t="s">
        <v>5901</v>
      </c>
      <c r="AD736" s="2" t="s">
        <v>46</v>
      </c>
    </row>
    <row r="737" customFormat="false" ht="15.7" hidden="false" customHeight="true" outlineLevel="0" collapsed="false">
      <c r="A737" s="2"/>
      <c r="B737" s="3" t="n">
        <f aca="false">DATE(2007,8,21)</f>
        <v>0</v>
      </c>
      <c r="C737" s="3" t="n">
        <v>39315</v>
      </c>
      <c r="D737" s="2" t="s">
        <v>5902</v>
      </c>
      <c r="F737" s="2" t="s">
        <v>5903</v>
      </c>
      <c r="G737" s="2" t="s">
        <v>5904</v>
      </c>
      <c r="H737" s="2" t="s">
        <v>5905</v>
      </c>
      <c r="I737" s="2" t="s">
        <v>5906</v>
      </c>
      <c r="J737" s="2" t="s">
        <v>35</v>
      </c>
      <c r="K737" s="2" t="s">
        <v>5907</v>
      </c>
      <c r="L737" s="2" t="s">
        <v>5906</v>
      </c>
      <c r="M737" s="2" t="s">
        <v>5908</v>
      </c>
      <c r="N737" s="2" t="s">
        <v>5909</v>
      </c>
      <c r="O737" s="2"/>
      <c r="P737" s="2" t="s">
        <v>37</v>
      </c>
      <c r="Q737" s="4" t="n">
        <v>3812</v>
      </c>
      <c r="R737" s="2" t="s">
        <v>136</v>
      </c>
      <c r="S737" s="2" t="s">
        <v>39</v>
      </c>
      <c r="T737" s="2" t="s">
        <v>40</v>
      </c>
      <c r="U737" s="2" t="s">
        <v>5910</v>
      </c>
      <c r="V737" s="2"/>
      <c r="W737" s="2" t="s">
        <v>107</v>
      </c>
      <c r="X737" s="2" t="s">
        <v>43</v>
      </c>
      <c r="Y737" s="2" t="s">
        <v>37</v>
      </c>
      <c r="Z737" s="2" t="s">
        <v>44</v>
      </c>
      <c r="AA737" s="2"/>
      <c r="AB737" s="2"/>
      <c r="AC737" s="2" t="s">
        <v>5911</v>
      </c>
      <c r="AD737" s="2" t="s">
        <v>46</v>
      </c>
    </row>
    <row r="738" customFormat="false" ht="15.7" hidden="false" customHeight="true" outlineLevel="0" collapsed="false">
      <c r="A738" s="2"/>
      <c r="B738" s="3" t="n">
        <f aca="false">DATE(2007,8,22)</f>
        <v>0</v>
      </c>
      <c r="C738" s="3" t="n">
        <v>39316</v>
      </c>
      <c r="D738" s="2" t="s">
        <v>5912</v>
      </c>
      <c r="F738" s="2" t="s">
        <v>5913</v>
      </c>
      <c r="G738" s="2" t="s">
        <v>5914</v>
      </c>
      <c r="H738" s="2" t="s">
        <v>5915</v>
      </c>
      <c r="I738" s="2" t="s">
        <v>388</v>
      </c>
      <c r="J738" s="2" t="s">
        <v>101</v>
      </c>
      <c r="K738" s="2" t="s">
        <v>5912</v>
      </c>
      <c r="L738" s="2" t="s">
        <v>388</v>
      </c>
      <c r="M738" s="2" t="s">
        <v>5915</v>
      </c>
      <c r="N738" s="2" t="s">
        <v>5916</v>
      </c>
      <c r="O738" s="2"/>
      <c r="P738" s="2" t="s">
        <v>37</v>
      </c>
      <c r="Q738" s="4" t="n">
        <v>8731</v>
      </c>
      <c r="R738" s="2" t="s">
        <v>56</v>
      </c>
      <c r="S738" s="2" t="s">
        <v>92</v>
      </c>
      <c r="T738" s="2" t="s">
        <v>40</v>
      </c>
      <c r="U738" s="2" t="s">
        <v>5917</v>
      </c>
      <c r="V738" s="2"/>
      <c r="W738" s="2" t="s">
        <v>42</v>
      </c>
      <c r="X738" s="2" t="s">
        <v>43</v>
      </c>
      <c r="Y738" s="2" t="s">
        <v>37</v>
      </c>
      <c r="Z738" s="2" t="s">
        <v>44</v>
      </c>
      <c r="AA738" s="2"/>
      <c r="AB738" s="2"/>
      <c r="AC738" s="2" t="s">
        <v>5918</v>
      </c>
      <c r="AD738" s="2" t="s">
        <v>46</v>
      </c>
    </row>
    <row r="739" customFormat="false" ht="15.7" hidden="false" customHeight="true" outlineLevel="0" collapsed="false">
      <c r="A739" s="2"/>
      <c r="B739" s="3" t="n">
        <f aca="false">DATE(2007,8,22)</f>
        <v>0</v>
      </c>
      <c r="C739" s="3" t="n">
        <v>39316</v>
      </c>
      <c r="D739" s="2" t="s">
        <v>5919</v>
      </c>
      <c r="F739" s="2" t="s">
        <v>5920</v>
      </c>
      <c r="G739" s="2" t="s">
        <v>5921</v>
      </c>
      <c r="H739" s="2" t="s">
        <v>5922</v>
      </c>
      <c r="I739" s="2" t="s">
        <v>51</v>
      </c>
      <c r="J739" s="2" t="s">
        <v>5923</v>
      </c>
      <c r="K739" s="2" t="s">
        <v>5919</v>
      </c>
      <c r="L739" s="2" t="s">
        <v>51</v>
      </c>
      <c r="M739" s="2" t="s">
        <v>5922</v>
      </c>
      <c r="N739" s="2" t="s">
        <v>5924</v>
      </c>
      <c r="O739" s="2"/>
      <c r="P739" s="2" t="s">
        <v>37</v>
      </c>
      <c r="Q739" s="4" t="n">
        <v>8731</v>
      </c>
      <c r="R739" s="2" t="s">
        <v>56</v>
      </c>
      <c r="S739" s="2" t="s">
        <v>92</v>
      </c>
      <c r="T739" s="2" t="s">
        <v>40</v>
      </c>
      <c r="U739" s="2" t="s">
        <v>5925</v>
      </c>
      <c r="V739" s="2"/>
      <c r="W739" s="2" t="s">
        <v>42</v>
      </c>
      <c r="X739" s="2" t="s">
        <v>43</v>
      </c>
      <c r="Y739" s="2" t="s">
        <v>37</v>
      </c>
      <c r="Z739" s="2" t="s">
        <v>44</v>
      </c>
      <c r="AA739" s="2"/>
      <c r="AB739" s="2"/>
      <c r="AC739" s="2" t="s">
        <v>5926</v>
      </c>
      <c r="AD739" s="2" t="s">
        <v>46</v>
      </c>
    </row>
    <row r="740" customFormat="false" ht="15.7" hidden="false" customHeight="true" outlineLevel="0" collapsed="false">
      <c r="A740" s="2"/>
      <c r="B740" s="3" t="n">
        <f aca="false">DATE(2007,8,24)</f>
        <v>0</v>
      </c>
      <c r="C740" s="3" t="n">
        <v>39318</v>
      </c>
      <c r="D740" s="2" t="s">
        <v>5927</v>
      </c>
      <c r="F740" s="2" t="s">
        <v>5928</v>
      </c>
      <c r="G740" s="2" t="s">
        <v>5929</v>
      </c>
      <c r="H740" s="2" t="s">
        <v>3006</v>
      </c>
      <c r="I740" s="2" t="s">
        <v>5930</v>
      </c>
      <c r="J740" s="2" t="s">
        <v>35</v>
      </c>
      <c r="K740" s="2" t="s">
        <v>5927</v>
      </c>
      <c r="L740" s="2" t="s">
        <v>5930</v>
      </c>
      <c r="M740" s="2" t="s">
        <v>3006</v>
      </c>
      <c r="N740" s="2" t="s">
        <v>5931</v>
      </c>
      <c r="O740" s="2"/>
      <c r="P740" s="2" t="s">
        <v>37</v>
      </c>
      <c r="Q740" s="4" t="n">
        <v>8732</v>
      </c>
      <c r="R740" s="2" t="s">
        <v>1402</v>
      </c>
      <c r="S740" s="2" t="s">
        <v>39</v>
      </c>
      <c r="T740" s="2" t="s">
        <v>122</v>
      </c>
      <c r="U740" s="2" t="s">
        <v>5932</v>
      </c>
      <c r="V740" s="2"/>
      <c r="W740" s="2" t="s">
        <v>2636</v>
      </c>
      <c r="X740" s="2" t="s">
        <v>46</v>
      </c>
      <c r="Y740" s="2" t="s">
        <v>37</v>
      </c>
      <c r="Z740" s="2" t="s">
        <v>756</v>
      </c>
      <c r="AA740" s="2"/>
      <c r="AB740" s="2"/>
      <c r="AC740" s="2" t="s">
        <v>5933</v>
      </c>
      <c r="AD740" s="2" t="s">
        <v>46</v>
      </c>
    </row>
    <row r="741" customFormat="false" ht="15.7" hidden="false" customHeight="true" outlineLevel="0" collapsed="false">
      <c r="A741" s="2"/>
      <c r="B741" s="3" t="n">
        <f aca="false">DATE(2007,8,24)</f>
        <v>0</v>
      </c>
      <c r="C741" s="3" t="n">
        <v>39318</v>
      </c>
      <c r="D741" s="2" t="s">
        <v>5934</v>
      </c>
      <c r="F741" s="2" t="s">
        <v>1153</v>
      </c>
      <c r="G741" s="2" t="s">
        <v>5935</v>
      </c>
      <c r="H741" s="2" t="s">
        <v>1101</v>
      </c>
      <c r="I741" s="2" t="s">
        <v>2749</v>
      </c>
      <c r="J741" s="2" t="s">
        <v>625</v>
      </c>
      <c r="K741" s="2" t="s">
        <v>5934</v>
      </c>
      <c r="L741" s="2" t="s">
        <v>2749</v>
      </c>
      <c r="M741" s="2" t="s">
        <v>1101</v>
      </c>
      <c r="N741" s="2" t="s">
        <v>5936</v>
      </c>
      <c r="O741" s="2"/>
      <c r="P741" s="2" t="s">
        <v>37</v>
      </c>
      <c r="Q741" s="4" t="n">
        <v>8731</v>
      </c>
      <c r="R741" s="2" t="s">
        <v>136</v>
      </c>
      <c r="S741" s="2" t="s">
        <v>39</v>
      </c>
      <c r="T741" s="2" t="s">
        <v>40</v>
      </c>
      <c r="U741" s="2" t="s">
        <v>5937</v>
      </c>
      <c r="V741" s="2"/>
      <c r="W741" s="2" t="s">
        <v>42</v>
      </c>
      <c r="X741" s="2" t="s">
        <v>43</v>
      </c>
      <c r="Y741" s="2" t="s">
        <v>37</v>
      </c>
      <c r="Z741" s="2" t="s">
        <v>44</v>
      </c>
      <c r="AA741" s="2"/>
      <c r="AB741" s="2"/>
      <c r="AC741" s="2" t="s">
        <v>5938</v>
      </c>
      <c r="AD741" s="2" t="s">
        <v>46</v>
      </c>
    </row>
    <row r="742" customFormat="false" ht="15.7" hidden="false" customHeight="true" outlineLevel="0" collapsed="false">
      <c r="A742" s="2"/>
      <c r="B742" s="3" t="n">
        <f aca="false">DATE(2007,8,27)</f>
        <v>0</v>
      </c>
      <c r="C742" s="3" t="n">
        <v>39321</v>
      </c>
      <c r="D742" s="2" t="s">
        <v>5939</v>
      </c>
      <c r="F742" s="2" t="s">
        <v>5940</v>
      </c>
      <c r="G742" s="2" t="s">
        <v>5941</v>
      </c>
      <c r="H742" s="2" t="s">
        <v>3500</v>
      </c>
      <c r="I742" s="2" t="s">
        <v>34</v>
      </c>
      <c r="J742" s="2" t="s">
        <v>35</v>
      </c>
      <c r="K742" s="2" t="s">
        <v>5942</v>
      </c>
      <c r="L742" s="2" t="s">
        <v>34</v>
      </c>
      <c r="M742" s="2" t="s">
        <v>3500</v>
      </c>
      <c r="N742" s="2" t="s">
        <v>5943</v>
      </c>
      <c r="O742" s="2"/>
      <c r="P742" s="2" t="s">
        <v>37</v>
      </c>
      <c r="Q742" s="4" t="n">
        <v>8731</v>
      </c>
      <c r="R742" s="2" t="s">
        <v>38</v>
      </c>
      <c r="S742" s="2" t="s">
        <v>39</v>
      </c>
      <c r="T742" s="2" t="s">
        <v>403</v>
      </c>
      <c r="U742" s="2" t="s">
        <v>5944</v>
      </c>
      <c r="V742" s="2"/>
      <c r="W742" s="2" t="s">
        <v>42</v>
      </c>
      <c r="X742" s="2" t="s">
        <v>43</v>
      </c>
      <c r="Y742" s="2" t="s">
        <v>37</v>
      </c>
      <c r="Z742" s="2" t="s">
        <v>44</v>
      </c>
      <c r="AA742" s="2"/>
      <c r="AB742" s="2"/>
      <c r="AC742" s="2" t="s">
        <v>5945</v>
      </c>
      <c r="AD742" s="2" t="s">
        <v>46</v>
      </c>
    </row>
    <row r="743" customFormat="false" ht="15.7" hidden="false" customHeight="true" outlineLevel="0" collapsed="false">
      <c r="A743" s="2"/>
      <c r="B743" s="3" t="n">
        <f aca="false">DATE(2007,8,28)</f>
        <v>0</v>
      </c>
      <c r="C743" s="3" t="n">
        <v>39322</v>
      </c>
      <c r="D743" s="2" t="s">
        <v>5946</v>
      </c>
      <c r="F743" s="2" t="s">
        <v>5947</v>
      </c>
      <c r="G743" s="2" t="s">
        <v>5948</v>
      </c>
      <c r="H743" s="2" t="s">
        <v>3469</v>
      </c>
      <c r="I743" s="2" t="s">
        <v>88</v>
      </c>
      <c r="J743" s="2" t="s">
        <v>65</v>
      </c>
      <c r="K743" s="2" t="s">
        <v>5949</v>
      </c>
      <c r="L743" s="2" t="s">
        <v>100</v>
      </c>
      <c r="M743" s="2" t="s">
        <v>1943</v>
      </c>
      <c r="N743" s="2" t="s">
        <v>5950</v>
      </c>
      <c r="O743" s="2"/>
      <c r="P743" s="2" t="s">
        <v>37</v>
      </c>
      <c r="Q743" s="4" t="n">
        <v>8731</v>
      </c>
      <c r="R743" s="2" t="s">
        <v>136</v>
      </c>
      <c r="S743" s="2" t="s">
        <v>39</v>
      </c>
      <c r="T743" s="2" t="s">
        <v>40</v>
      </c>
      <c r="U743" s="2" t="s">
        <v>5951</v>
      </c>
      <c r="V743" s="2"/>
      <c r="W743" s="2" t="s">
        <v>42</v>
      </c>
      <c r="X743" s="2" t="s">
        <v>43</v>
      </c>
      <c r="Y743" s="2" t="s">
        <v>37</v>
      </c>
      <c r="Z743" s="2" t="s">
        <v>44</v>
      </c>
      <c r="AA743" s="2"/>
      <c r="AB743" s="2"/>
      <c r="AC743" s="2" t="s">
        <v>5952</v>
      </c>
      <c r="AD743" s="2" t="s">
        <v>46</v>
      </c>
    </row>
    <row r="744" customFormat="false" ht="15.7" hidden="false" customHeight="true" outlineLevel="0" collapsed="false">
      <c r="A744" s="2"/>
      <c r="B744" s="3" t="n">
        <f aca="false">DATE(2007,8,28)</f>
        <v>0</v>
      </c>
      <c r="C744" s="3" t="n">
        <v>39322</v>
      </c>
      <c r="D744" s="2" t="s">
        <v>5953</v>
      </c>
      <c r="F744" s="2" t="s">
        <v>5954</v>
      </c>
      <c r="G744" s="2" t="s">
        <v>5955</v>
      </c>
      <c r="H744" s="2" t="s">
        <v>130</v>
      </c>
      <c r="I744" s="2" t="s">
        <v>51</v>
      </c>
      <c r="J744" s="2" t="s">
        <v>4804</v>
      </c>
      <c r="K744" s="2" t="s">
        <v>5956</v>
      </c>
      <c r="L744" s="2" t="s">
        <v>51</v>
      </c>
      <c r="M744" s="2" t="s">
        <v>130</v>
      </c>
      <c r="N744" s="2" t="s">
        <v>5957</v>
      </c>
      <c r="O744" s="2"/>
      <c r="P744" s="2" t="s">
        <v>79</v>
      </c>
      <c r="Q744" s="4" t="n">
        <v>8731</v>
      </c>
      <c r="R744" s="2" t="s">
        <v>56</v>
      </c>
      <c r="S744" s="2" t="s">
        <v>92</v>
      </c>
      <c r="T744" s="2" t="s">
        <v>40</v>
      </c>
      <c r="U744" s="2" t="s">
        <v>5958</v>
      </c>
      <c r="V744" s="2"/>
      <c r="W744" s="2" t="s">
        <v>1050</v>
      </c>
      <c r="X744" s="2" t="s">
        <v>43</v>
      </c>
      <c r="Y744" s="2" t="s">
        <v>37</v>
      </c>
      <c r="Z744" s="2" t="s">
        <v>44</v>
      </c>
      <c r="AA744" s="2" t="s">
        <v>5959</v>
      </c>
      <c r="AB744" s="2"/>
      <c r="AC744" s="2" t="s">
        <v>5960</v>
      </c>
      <c r="AD744" s="2" t="s">
        <v>46</v>
      </c>
    </row>
    <row r="745" customFormat="false" ht="15.7" hidden="false" customHeight="true" outlineLevel="0" collapsed="false">
      <c r="A745" s="2"/>
      <c r="B745" s="3" t="n">
        <f aca="false">DATE(2007,8,28)</f>
        <v>0</v>
      </c>
      <c r="C745" s="3" t="n">
        <v>39322</v>
      </c>
      <c r="D745" s="2" t="s">
        <v>5961</v>
      </c>
      <c r="F745" s="2" t="s">
        <v>5962</v>
      </c>
      <c r="G745" s="2" t="s">
        <v>5963</v>
      </c>
      <c r="H745" s="2" t="s">
        <v>5964</v>
      </c>
      <c r="I745" s="2" t="s">
        <v>330</v>
      </c>
      <c r="J745" s="2" t="s">
        <v>258</v>
      </c>
      <c r="K745" s="2" t="s">
        <v>5961</v>
      </c>
      <c r="L745" s="2" t="s">
        <v>330</v>
      </c>
      <c r="M745" s="2" t="s">
        <v>5964</v>
      </c>
      <c r="N745" s="2" t="s">
        <v>5965</v>
      </c>
      <c r="O745" s="2"/>
      <c r="P745" s="2" t="s">
        <v>37</v>
      </c>
      <c r="Q745" s="4" t="n">
        <v>8731</v>
      </c>
      <c r="R745" s="2" t="s">
        <v>56</v>
      </c>
      <c r="S745" s="2" t="s">
        <v>251</v>
      </c>
      <c r="T745" s="2" t="s">
        <v>40</v>
      </c>
      <c r="U745" s="2" t="s">
        <v>5966</v>
      </c>
      <c r="V745" s="2"/>
      <c r="W745" s="2" t="s">
        <v>42</v>
      </c>
      <c r="X745" s="2" t="s">
        <v>43</v>
      </c>
      <c r="Y745" s="2" t="s">
        <v>37</v>
      </c>
      <c r="Z745" s="2" t="s">
        <v>44</v>
      </c>
      <c r="AA745" s="2"/>
      <c r="AB745" s="2"/>
      <c r="AC745" s="2" t="s">
        <v>5967</v>
      </c>
      <c r="AD745" s="2" t="s">
        <v>46</v>
      </c>
    </row>
    <row r="746" customFormat="false" ht="15.7" hidden="false" customHeight="true" outlineLevel="0" collapsed="false">
      <c r="A746" s="2"/>
      <c r="B746" s="3" t="n">
        <f aca="false">DATE(2007,8,29)</f>
        <v>0</v>
      </c>
      <c r="C746" s="3" t="n">
        <v>39323</v>
      </c>
      <c r="D746" s="2" t="s">
        <v>5968</v>
      </c>
      <c r="F746" s="2" t="s">
        <v>5969</v>
      </c>
      <c r="G746" s="2" t="s">
        <v>5970</v>
      </c>
      <c r="H746" s="2" t="s">
        <v>3500</v>
      </c>
      <c r="I746" s="2" t="s">
        <v>5971</v>
      </c>
      <c r="J746" s="2" t="s">
        <v>35</v>
      </c>
      <c r="K746" s="2" t="s">
        <v>5972</v>
      </c>
      <c r="L746" s="2" t="s">
        <v>4089</v>
      </c>
      <c r="M746" s="2" t="s">
        <v>1976</v>
      </c>
      <c r="N746" s="2" t="s">
        <v>5973</v>
      </c>
      <c r="O746" s="2" t="s">
        <v>5974</v>
      </c>
      <c r="P746" s="2" t="s">
        <v>37</v>
      </c>
      <c r="Q746" s="4" t="n">
        <v>8731</v>
      </c>
      <c r="R746" s="2" t="s">
        <v>450</v>
      </c>
      <c r="S746" s="2" t="s">
        <v>39</v>
      </c>
      <c r="T746" s="2" t="s">
        <v>122</v>
      </c>
      <c r="U746" s="2" t="s">
        <v>5975</v>
      </c>
      <c r="V746" s="2"/>
      <c r="W746" s="2" t="s">
        <v>42</v>
      </c>
      <c r="X746" s="2" t="s">
        <v>46</v>
      </c>
      <c r="Y746" s="2" t="s">
        <v>37</v>
      </c>
      <c r="Z746" s="2" t="s">
        <v>5976</v>
      </c>
      <c r="AA746" s="2"/>
      <c r="AB746" s="2" t="s">
        <v>5977</v>
      </c>
      <c r="AC746" s="2" t="s">
        <v>5978</v>
      </c>
      <c r="AD746" s="2" t="s">
        <v>46</v>
      </c>
    </row>
    <row r="747" customFormat="false" ht="15.7" hidden="false" customHeight="true" outlineLevel="0" collapsed="false">
      <c r="A747" s="2"/>
      <c r="B747" s="3" t="n">
        <f aca="false">DATE(2007,8,29)</f>
        <v>0</v>
      </c>
      <c r="C747" s="3" t="n">
        <v>39323</v>
      </c>
      <c r="D747" s="2" t="s">
        <v>5979</v>
      </c>
      <c r="F747" s="2" t="s">
        <v>5980</v>
      </c>
      <c r="G747" s="2" t="s">
        <v>5981</v>
      </c>
      <c r="H747" s="2" t="s">
        <v>5982</v>
      </c>
      <c r="I747" s="2" t="s">
        <v>670</v>
      </c>
      <c r="J747" s="2" t="s">
        <v>65</v>
      </c>
      <c r="K747" s="2" t="s">
        <v>5979</v>
      </c>
      <c r="L747" s="2" t="s">
        <v>670</v>
      </c>
      <c r="M747" s="2" t="s">
        <v>5982</v>
      </c>
      <c r="N747" s="2" t="s">
        <v>5983</v>
      </c>
      <c r="O747" s="2"/>
      <c r="P747" s="2" t="s">
        <v>37</v>
      </c>
      <c r="Q747" s="4" t="n">
        <v>8731</v>
      </c>
      <c r="R747" s="2" t="s">
        <v>402</v>
      </c>
      <c r="S747" s="2" t="s">
        <v>39</v>
      </c>
      <c r="T747" s="2" t="s">
        <v>40</v>
      </c>
      <c r="U747" s="2" t="s">
        <v>5984</v>
      </c>
      <c r="V747" s="2"/>
      <c r="W747" s="2" t="s">
        <v>42</v>
      </c>
      <c r="X747" s="2" t="s">
        <v>43</v>
      </c>
      <c r="Y747" s="2" t="s">
        <v>37</v>
      </c>
      <c r="Z747" s="2" t="s">
        <v>44</v>
      </c>
      <c r="AA747" s="2"/>
      <c r="AB747" s="2"/>
      <c r="AC747" s="2" t="s">
        <v>5985</v>
      </c>
      <c r="AD747" s="2" t="s">
        <v>46</v>
      </c>
    </row>
    <row r="748" customFormat="false" ht="15.7" hidden="false" customHeight="true" outlineLevel="0" collapsed="false">
      <c r="A748" s="2"/>
      <c r="B748" s="3" t="n">
        <f aca="false">DATE(2007,8,31)</f>
        <v>0</v>
      </c>
      <c r="C748" s="3" t="n">
        <v>39325</v>
      </c>
      <c r="D748" s="2" t="s">
        <v>5986</v>
      </c>
      <c r="F748" s="2" t="s">
        <v>5987</v>
      </c>
      <c r="G748" s="2" t="s">
        <v>5988</v>
      </c>
      <c r="H748" s="2" t="s">
        <v>5989</v>
      </c>
      <c r="I748" s="2" t="s">
        <v>5990</v>
      </c>
      <c r="J748" s="2" t="s">
        <v>35</v>
      </c>
      <c r="K748" s="2" t="s">
        <v>5991</v>
      </c>
      <c r="L748" s="2" t="s">
        <v>5990</v>
      </c>
      <c r="M748" s="2" t="s">
        <v>5992</v>
      </c>
      <c r="N748" s="2" t="s">
        <v>5993</v>
      </c>
      <c r="O748" s="2"/>
      <c r="P748" s="2" t="s">
        <v>37</v>
      </c>
      <c r="Q748" s="4" t="n">
        <v>8731</v>
      </c>
      <c r="R748" s="2" t="s">
        <v>3154</v>
      </c>
      <c r="S748" s="2" t="s">
        <v>39</v>
      </c>
      <c r="T748" s="2" t="s">
        <v>40</v>
      </c>
      <c r="U748" s="2" t="s">
        <v>5994</v>
      </c>
      <c r="V748" s="2"/>
      <c r="W748" s="2" t="s">
        <v>42</v>
      </c>
      <c r="X748" s="2" t="s">
        <v>43</v>
      </c>
      <c r="Y748" s="2" t="s">
        <v>37</v>
      </c>
      <c r="Z748" s="2" t="s">
        <v>44</v>
      </c>
      <c r="AA748" s="2"/>
      <c r="AB748" s="2"/>
      <c r="AC748" s="2" t="s">
        <v>5995</v>
      </c>
      <c r="AD748" s="2" t="s">
        <v>46</v>
      </c>
    </row>
    <row r="749" customFormat="false" ht="15.7" hidden="false" customHeight="true" outlineLevel="0" collapsed="false">
      <c r="A749" s="2"/>
      <c r="B749" s="3" t="n">
        <f aca="false">DATE(2007,8,31)</f>
        <v>0</v>
      </c>
      <c r="C749" s="3" t="n">
        <v>39325</v>
      </c>
      <c r="D749" s="2" t="s">
        <v>5996</v>
      </c>
      <c r="F749" s="2" t="s">
        <v>5997</v>
      </c>
      <c r="G749" s="2" t="s">
        <v>5998</v>
      </c>
      <c r="H749" s="2" t="s">
        <v>2857</v>
      </c>
      <c r="I749" s="2" t="s">
        <v>5999</v>
      </c>
      <c r="J749" s="2" t="s">
        <v>65</v>
      </c>
      <c r="K749" s="2" t="s">
        <v>5996</v>
      </c>
      <c r="L749" s="2" t="s">
        <v>5999</v>
      </c>
      <c r="M749" s="2" t="s">
        <v>2857</v>
      </c>
      <c r="N749" s="2" t="s">
        <v>6000</v>
      </c>
      <c r="O749" s="2"/>
      <c r="P749" s="2" t="s">
        <v>37</v>
      </c>
      <c r="Q749" s="4" t="n">
        <v>8731</v>
      </c>
      <c r="R749" s="2" t="s">
        <v>136</v>
      </c>
      <c r="S749" s="2" t="s">
        <v>39</v>
      </c>
      <c r="T749" s="2" t="s">
        <v>40</v>
      </c>
      <c r="U749" s="2" t="s">
        <v>6001</v>
      </c>
      <c r="V749" s="2"/>
      <c r="W749" s="2" t="s">
        <v>42</v>
      </c>
      <c r="X749" s="2" t="s">
        <v>43</v>
      </c>
      <c r="Y749" s="2" t="s">
        <v>37</v>
      </c>
      <c r="Z749" s="2" t="s">
        <v>44</v>
      </c>
      <c r="AA749" s="2"/>
      <c r="AB749" s="2"/>
      <c r="AC749" s="2" t="s">
        <v>6002</v>
      </c>
      <c r="AD749" s="2" t="s">
        <v>46</v>
      </c>
    </row>
    <row r="750" customFormat="false" ht="15.7" hidden="false" customHeight="true" outlineLevel="0" collapsed="false">
      <c r="A750" s="2"/>
      <c r="B750" s="3" t="n">
        <f aca="false">DATE(2007,9,4)</f>
        <v>0</v>
      </c>
      <c r="C750" s="3" t="n">
        <v>39329</v>
      </c>
      <c r="D750" s="2" t="s">
        <v>6003</v>
      </c>
      <c r="F750" s="2" t="s">
        <v>6004</v>
      </c>
      <c r="G750" s="2" t="s">
        <v>6005</v>
      </c>
      <c r="H750" s="2" t="s">
        <v>5477</v>
      </c>
      <c r="I750" s="2" t="s">
        <v>51</v>
      </c>
      <c r="J750" s="2" t="s">
        <v>6006</v>
      </c>
      <c r="K750" s="2" t="s">
        <v>6007</v>
      </c>
      <c r="L750" s="2" t="s">
        <v>51</v>
      </c>
      <c r="M750" s="2" t="s">
        <v>6008</v>
      </c>
      <c r="N750" s="2" t="s">
        <v>6009</v>
      </c>
      <c r="O750" s="2"/>
      <c r="P750" s="2" t="s">
        <v>37</v>
      </c>
      <c r="Q750" s="4" t="n">
        <v>8731</v>
      </c>
      <c r="R750" s="2" t="s">
        <v>56</v>
      </c>
      <c r="S750" s="2" t="s">
        <v>92</v>
      </c>
      <c r="T750" s="2" t="s">
        <v>40</v>
      </c>
      <c r="U750" s="2" t="s">
        <v>6010</v>
      </c>
      <c r="V750" s="2"/>
      <c r="W750" s="2" t="s">
        <v>42</v>
      </c>
      <c r="X750" s="2" t="s">
        <v>43</v>
      </c>
      <c r="Y750" s="2" t="s">
        <v>37</v>
      </c>
      <c r="Z750" s="2" t="s">
        <v>44</v>
      </c>
      <c r="AA750" s="2"/>
      <c r="AB750" s="2"/>
      <c r="AC750" s="2" t="s">
        <v>6011</v>
      </c>
      <c r="AD750" s="2" t="s">
        <v>46</v>
      </c>
    </row>
    <row r="751" customFormat="false" ht="15.7" hidden="false" customHeight="true" outlineLevel="0" collapsed="false">
      <c r="A751" s="2"/>
      <c r="B751" s="3" t="n">
        <f aca="false">DATE(2007,9,5)</f>
        <v>0</v>
      </c>
      <c r="C751" s="3" t="n">
        <v>39330</v>
      </c>
      <c r="D751" s="2" t="s">
        <v>6012</v>
      </c>
      <c r="F751" s="2" t="s">
        <v>6013</v>
      </c>
      <c r="G751" s="2" t="s">
        <v>6014</v>
      </c>
      <c r="H751" s="2" t="s">
        <v>6015</v>
      </c>
      <c r="I751" s="2" t="s">
        <v>540</v>
      </c>
      <c r="J751" s="2" t="s">
        <v>35</v>
      </c>
      <c r="K751" s="2" t="s">
        <v>6016</v>
      </c>
      <c r="L751" s="2" t="s">
        <v>540</v>
      </c>
      <c r="M751" s="2" t="s">
        <v>6017</v>
      </c>
      <c r="N751" s="2" t="s">
        <v>6018</v>
      </c>
      <c r="O751" s="2"/>
      <c r="P751" s="2" t="s">
        <v>37</v>
      </c>
      <c r="Q751" s="4" t="n">
        <v>8731</v>
      </c>
      <c r="R751" s="2" t="s">
        <v>1448</v>
      </c>
      <c r="S751" s="2" t="s">
        <v>39</v>
      </c>
      <c r="T751" s="2" t="s">
        <v>40</v>
      </c>
      <c r="U751" s="2" t="s">
        <v>6019</v>
      </c>
      <c r="V751" s="2"/>
      <c r="W751" s="2" t="s">
        <v>42</v>
      </c>
      <c r="X751" s="2" t="s">
        <v>43</v>
      </c>
      <c r="Y751" s="2" t="s">
        <v>37</v>
      </c>
      <c r="Z751" s="2" t="s">
        <v>44</v>
      </c>
      <c r="AA751" s="2"/>
      <c r="AB751" s="2"/>
      <c r="AC751" s="2" t="s">
        <v>6020</v>
      </c>
      <c r="AD751" s="2" t="s">
        <v>46</v>
      </c>
    </row>
    <row r="752" customFormat="false" ht="15.7" hidden="false" customHeight="true" outlineLevel="0" collapsed="false">
      <c r="A752" s="2"/>
      <c r="B752" s="3" t="n">
        <f aca="false">DATE(2007,9,5)</f>
        <v>0</v>
      </c>
      <c r="C752" s="3" t="n">
        <v>39330</v>
      </c>
      <c r="D752" s="2" t="s">
        <v>6021</v>
      </c>
      <c r="F752" s="2" t="s">
        <v>6022</v>
      </c>
      <c r="G752" s="2" t="s">
        <v>6023</v>
      </c>
      <c r="H752" s="2" t="s">
        <v>130</v>
      </c>
      <c r="I752" s="2" t="s">
        <v>6024</v>
      </c>
      <c r="J752" s="2" t="s">
        <v>35</v>
      </c>
      <c r="K752" s="2" t="s">
        <v>6025</v>
      </c>
      <c r="L752" s="2" t="s">
        <v>6024</v>
      </c>
      <c r="M752" s="2" t="s">
        <v>130</v>
      </c>
      <c r="N752" s="2" t="s">
        <v>6026</v>
      </c>
      <c r="O752" s="2"/>
      <c r="P752" s="2" t="s">
        <v>37</v>
      </c>
      <c r="Q752" s="4" t="n">
        <v>8731</v>
      </c>
      <c r="R752" s="2" t="s">
        <v>136</v>
      </c>
      <c r="S752" s="2" t="s">
        <v>39</v>
      </c>
      <c r="T752" s="2" t="s">
        <v>40</v>
      </c>
      <c r="U752" s="2" t="s">
        <v>6027</v>
      </c>
      <c r="V752" s="2"/>
      <c r="W752" s="2" t="s">
        <v>42</v>
      </c>
      <c r="X752" s="2" t="s">
        <v>43</v>
      </c>
      <c r="Y752" s="2" t="s">
        <v>37</v>
      </c>
      <c r="Z752" s="2" t="s">
        <v>44</v>
      </c>
      <c r="AA752" s="2" t="s">
        <v>6028</v>
      </c>
      <c r="AB752" s="2"/>
      <c r="AC752" s="2" t="s">
        <v>6029</v>
      </c>
      <c r="AD752" s="2" t="s">
        <v>46</v>
      </c>
    </row>
    <row r="753" customFormat="false" ht="15.7" hidden="false" customHeight="true" outlineLevel="0" collapsed="false">
      <c r="A753" s="2"/>
      <c r="B753" s="3" t="n">
        <f aca="false">DATE(2007,9,6)</f>
        <v>0</v>
      </c>
      <c r="C753" s="3" t="n">
        <v>39331</v>
      </c>
      <c r="D753" s="2" t="s">
        <v>6030</v>
      </c>
      <c r="F753" s="2" t="s">
        <v>6031</v>
      </c>
      <c r="G753" s="2" t="s">
        <v>6032</v>
      </c>
      <c r="H753" s="2" t="s">
        <v>6033</v>
      </c>
      <c r="I753" s="2" t="s">
        <v>51</v>
      </c>
      <c r="J753" s="2" t="s">
        <v>6034</v>
      </c>
      <c r="K753" s="2" t="s">
        <v>6030</v>
      </c>
      <c r="L753" s="2" t="s">
        <v>51</v>
      </c>
      <c r="M753" s="2" t="s">
        <v>6033</v>
      </c>
      <c r="N753" s="2" t="s">
        <v>6035</v>
      </c>
      <c r="O753" s="2" t="s">
        <v>6036</v>
      </c>
      <c r="P753" s="2" t="s">
        <v>37</v>
      </c>
      <c r="Q753" s="4" t="n">
        <v>2836</v>
      </c>
      <c r="R753" s="2" t="s">
        <v>56</v>
      </c>
      <c r="S753" s="2" t="s">
        <v>315</v>
      </c>
      <c r="T753" s="2" t="s">
        <v>40</v>
      </c>
      <c r="U753" s="2" t="s">
        <v>6037</v>
      </c>
      <c r="V753" s="2"/>
      <c r="W753" s="2" t="s">
        <v>2209</v>
      </c>
      <c r="X753" s="2" t="s">
        <v>46</v>
      </c>
      <c r="Y753" s="2" t="s">
        <v>37</v>
      </c>
      <c r="Z753" s="2" t="s">
        <v>362</v>
      </c>
      <c r="AA753" s="2"/>
      <c r="AB753" s="2" t="s">
        <v>6038</v>
      </c>
      <c r="AC753" s="2" t="s">
        <v>6039</v>
      </c>
      <c r="AD753" s="2" t="s">
        <v>46</v>
      </c>
    </row>
    <row r="754" customFormat="false" ht="15.7" hidden="false" customHeight="true" outlineLevel="0" collapsed="false">
      <c r="A754" s="2"/>
      <c r="B754" s="3" t="n">
        <f aca="false">DATE(2007,9,7)</f>
        <v>0</v>
      </c>
      <c r="C754" s="3" t="n">
        <v>39332</v>
      </c>
      <c r="D754" s="2" t="s">
        <v>6040</v>
      </c>
      <c r="F754" s="2" t="s">
        <v>6041</v>
      </c>
      <c r="G754" s="2" t="s">
        <v>6042</v>
      </c>
      <c r="H754" s="2" t="s">
        <v>63</v>
      </c>
      <c r="I754" s="2" t="s">
        <v>51</v>
      </c>
      <c r="J754" s="2" t="s">
        <v>3045</v>
      </c>
      <c r="K754" s="2" t="s">
        <v>6040</v>
      </c>
      <c r="L754" s="2" t="s">
        <v>51</v>
      </c>
      <c r="M754" s="2" t="s">
        <v>63</v>
      </c>
      <c r="N754" s="2" t="s">
        <v>6043</v>
      </c>
      <c r="O754" s="2" t="s">
        <v>6044</v>
      </c>
      <c r="P754" s="2" t="s">
        <v>37</v>
      </c>
      <c r="Q754" s="4" t="n">
        <v>2834</v>
      </c>
      <c r="R754" s="2" t="s">
        <v>56</v>
      </c>
      <c r="S754" s="2" t="s">
        <v>92</v>
      </c>
      <c r="T754" s="2" t="s">
        <v>40</v>
      </c>
      <c r="U754" s="2" t="s">
        <v>6045</v>
      </c>
      <c r="V754" s="2"/>
      <c r="W754" s="2" t="s">
        <v>107</v>
      </c>
      <c r="X754" s="2" t="s">
        <v>46</v>
      </c>
      <c r="Y754" s="2" t="s">
        <v>37</v>
      </c>
      <c r="Z754" s="2" t="s">
        <v>362</v>
      </c>
      <c r="AA754" s="2"/>
      <c r="AB754" s="2" t="s">
        <v>6046</v>
      </c>
      <c r="AC754" s="2" t="s">
        <v>6047</v>
      </c>
      <c r="AD754" s="2" t="s">
        <v>46</v>
      </c>
    </row>
    <row r="755" customFormat="false" ht="15.7" hidden="false" customHeight="true" outlineLevel="0" collapsed="false">
      <c r="A755" s="2"/>
      <c r="B755" s="3" t="n">
        <f aca="false">DATE(2007,9,8)</f>
        <v>0</v>
      </c>
      <c r="C755" s="3" t="n">
        <v>39333</v>
      </c>
      <c r="D755" s="2" t="s">
        <v>6048</v>
      </c>
      <c r="F755" s="2" t="s">
        <v>6049</v>
      </c>
      <c r="G755" s="2" t="s">
        <v>6050</v>
      </c>
      <c r="H755" s="2" t="s">
        <v>6051</v>
      </c>
      <c r="I755" s="2" t="s">
        <v>51</v>
      </c>
      <c r="J755" s="2" t="s">
        <v>560</v>
      </c>
      <c r="K755" s="2" t="s">
        <v>6048</v>
      </c>
      <c r="L755" s="2" t="s">
        <v>51</v>
      </c>
      <c r="M755" s="2" t="s">
        <v>6051</v>
      </c>
      <c r="N755" s="2" t="s">
        <v>6052</v>
      </c>
      <c r="O755" s="2"/>
      <c r="P755" s="2" t="s">
        <v>37</v>
      </c>
      <c r="Q755" s="4" t="n">
        <v>8731</v>
      </c>
      <c r="R755" s="2" t="s">
        <v>56</v>
      </c>
      <c r="S755" s="2" t="s">
        <v>92</v>
      </c>
      <c r="T755" s="2" t="s">
        <v>403</v>
      </c>
      <c r="U755" s="2" t="s">
        <v>6053</v>
      </c>
      <c r="V755" s="2"/>
      <c r="W755" s="2" t="s">
        <v>42</v>
      </c>
      <c r="X755" s="2" t="s">
        <v>43</v>
      </c>
      <c r="Y755" s="2" t="s">
        <v>37</v>
      </c>
      <c r="Z755" s="2" t="s">
        <v>44</v>
      </c>
      <c r="AA755" s="2"/>
      <c r="AB755" s="2"/>
      <c r="AC755" s="2" t="s">
        <v>6054</v>
      </c>
      <c r="AD755" s="2" t="s">
        <v>46</v>
      </c>
    </row>
    <row r="756" customFormat="false" ht="15.7" hidden="false" customHeight="true" outlineLevel="0" collapsed="false">
      <c r="A756" s="2"/>
      <c r="B756" s="3" t="n">
        <f aca="false">DATE(2007,9,10)</f>
        <v>0</v>
      </c>
      <c r="C756" s="3" t="n">
        <v>39335</v>
      </c>
      <c r="D756" s="2" t="s">
        <v>6055</v>
      </c>
      <c r="F756" s="2" t="s">
        <v>6056</v>
      </c>
      <c r="G756" s="2" t="s">
        <v>6057</v>
      </c>
      <c r="H756" s="2" t="s">
        <v>5080</v>
      </c>
      <c r="I756" s="2" t="s">
        <v>51</v>
      </c>
      <c r="J756" s="2" t="s">
        <v>5565</v>
      </c>
      <c r="K756" s="2" t="s">
        <v>6055</v>
      </c>
      <c r="L756" s="2" t="s">
        <v>51</v>
      </c>
      <c r="M756" s="2" t="s">
        <v>5080</v>
      </c>
      <c r="N756" s="2" t="s">
        <v>6058</v>
      </c>
      <c r="O756" s="2"/>
      <c r="P756" s="2" t="s">
        <v>37</v>
      </c>
      <c r="Q756" s="4" t="n">
        <v>8731</v>
      </c>
      <c r="R756" s="2" t="s">
        <v>56</v>
      </c>
      <c r="S756" s="2" t="s">
        <v>92</v>
      </c>
      <c r="T756" s="2" t="s">
        <v>40</v>
      </c>
      <c r="U756" s="2" t="s">
        <v>6059</v>
      </c>
      <c r="V756" s="2"/>
      <c r="W756" s="2" t="s">
        <v>42</v>
      </c>
      <c r="X756" s="2" t="s">
        <v>43</v>
      </c>
      <c r="Y756" s="2" t="s">
        <v>37</v>
      </c>
      <c r="Z756" s="2" t="s">
        <v>44</v>
      </c>
      <c r="AA756" s="2"/>
      <c r="AB756" s="2"/>
      <c r="AC756" s="2" t="s">
        <v>6060</v>
      </c>
      <c r="AD756" s="2" t="s">
        <v>46</v>
      </c>
    </row>
    <row r="757" customFormat="false" ht="15.7" hidden="false" customHeight="true" outlineLevel="0" collapsed="false">
      <c r="A757" s="2"/>
      <c r="B757" s="3" t="n">
        <f aca="false">DATE(2007,9,10)</f>
        <v>0</v>
      </c>
      <c r="C757" s="3" t="n">
        <v>39335</v>
      </c>
      <c r="D757" s="2" t="s">
        <v>6061</v>
      </c>
      <c r="F757" s="2" t="s">
        <v>6062</v>
      </c>
      <c r="G757" s="2" t="s">
        <v>6063</v>
      </c>
      <c r="H757" s="2" t="s">
        <v>3230</v>
      </c>
      <c r="I757" s="2" t="s">
        <v>4179</v>
      </c>
      <c r="J757" s="2" t="s">
        <v>132</v>
      </c>
      <c r="K757" s="2" t="s">
        <v>6061</v>
      </c>
      <c r="L757" s="2" t="s">
        <v>4179</v>
      </c>
      <c r="M757" s="2" t="s">
        <v>3230</v>
      </c>
      <c r="N757" s="2" t="s">
        <v>6064</v>
      </c>
      <c r="O757" s="2"/>
      <c r="P757" s="2" t="s">
        <v>37</v>
      </c>
      <c r="Q757" s="4" t="n">
        <v>7372</v>
      </c>
      <c r="R757" s="2" t="s">
        <v>56</v>
      </c>
      <c r="S757" s="2" t="s">
        <v>92</v>
      </c>
      <c r="T757" s="2" t="s">
        <v>40</v>
      </c>
      <c r="U757" s="2" t="s">
        <v>6065</v>
      </c>
      <c r="V757" s="2"/>
      <c r="W757" s="2" t="s">
        <v>6066</v>
      </c>
      <c r="X757" s="2" t="s">
        <v>43</v>
      </c>
      <c r="Y757" s="2" t="s">
        <v>37</v>
      </c>
      <c r="Z757" s="2" t="s">
        <v>44</v>
      </c>
      <c r="AA757" s="2"/>
      <c r="AB757" s="2"/>
      <c r="AC757" s="2" t="s">
        <v>6067</v>
      </c>
      <c r="AD757" s="2" t="s">
        <v>46</v>
      </c>
    </row>
    <row r="758" customFormat="false" ht="15.7" hidden="false" customHeight="true" outlineLevel="0" collapsed="false">
      <c r="A758" s="2"/>
      <c r="B758" s="3" t="n">
        <f aca="false">DATE(2007,9,10)</f>
        <v>0</v>
      </c>
      <c r="C758" s="3" t="n">
        <v>39335</v>
      </c>
      <c r="D758" s="2" t="s">
        <v>1051</v>
      </c>
      <c r="F758" s="2" t="s">
        <v>1052</v>
      </c>
      <c r="G758" s="2" t="s">
        <v>1053</v>
      </c>
      <c r="H758" s="2" t="s">
        <v>63</v>
      </c>
      <c r="I758" s="2" t="s">
        <v>88</v>
      </c>
      <c r="J758" s="2" t="s">
        <v>65</v>
      </c>
      <c r="K758" s="2" t="s">
        <v>1051</v>
      </c>
      <c r="L758" s="2" t="s">
        <v>88</v>
      </c>
      <c r="M758" s="2" t="s">
        <v>63</v>
      </c>
      <c r="N758" s="2" t="s">
        <v>1054</v>
      </c>
      <c r="O758" s="2"/>
      <c r="P758" s="2" t="s">
        <v>37</v>
      </c>
      <c r="Q758" s="4" t="n">
        <v>8731</v>
      </c>
      <c r="R758" s="2" t="s">
        <v>136</v>
      </c>
      <c r="S758" s="2" t="s">
        <v>39</v>
      </c>
      <c r="T758" s="2" t="s">
        <v>40</v>
      </c>
      <c r="U758" s="2" t="s">
        <v>6068</v>
      </c>
      <c r="V758" s="2"/>
      <c r="W758" s="2" t="s">
        <v>42</v>
      </c>
      <c r="X758" s="2" t="s">
        <v>43</v>
      </c>
      <c r="Y758" s="2" t="s">
        <v>37</v>
      </c>
      <c r="Z758" s="2" t="s">
        <v>44</v>
      </c>
      <c r="AA758" s="2"/>
      <c r="AB758" s="2"/>
      <c r="AC758" s="2" t="s">
        <v>1057</v>
      </c>
      <c r="AD758" s="2" t="s">
        <v>46</v>
      </c>
    </row>
    <row r="759" customFormat="false" ht="15.7" hidden="false" customHeight="true" outlineLevel="0" collapsed="false">
      <c r="A759" s="2"/>
      <c r="B759" s="3" t="n">
        <f aca="false">DATE(2007,9,11)</f>
        <v>0</v>
      </c>
      <c r="C759" s="3" t="n">
        <v>39336</v>
      </c>
      <c r="D759" s="2" t="s">
        <v>6069</v>
      </c>
      <c r="F759" s="2" t="s">
        <v>6070</v>
      </c>
      <c r="G759" s="2" t="s">
        <v>6071</v>
      </c>
      <c r="H759" s="2" t="s">
        <v>6072</v>
      </c>
      <c r="I759" s="2" t="s">
        <v>51</v>
      </c>
      <c r="J759" s="2" t="s">
        <v>5923</v>
      </c>
      <c r="K759" s="2" t="s">
        <v>6069</v>
      </c>
      <c r="L759" s="2" t="s">
        <v>51</v>
      </c>
      <c r="M759" s="2" t="s">
        <v>6072</v>
      </c>
      <c r="N759" s="2" t="s">
        <v>6073</v>
      </c>
      <c r="O759" s="2"/>
      <c r="P759" s="2" t="s">
        <v>37</v>
      </c>
      <c r="Q759" s="4" t="n">
        <v>8731</v>
      </c>
      <c r="R759" s="2" t="s">
        <v>56</v>
      </c>
      <c r="S759" s="2" t="s">
        <v>92</v>
      </c>
      <c r="T759" s="2" t="s">
        <v>40</v>
      </c>
      <c r="U759" s="2" t="s">
        <v>6074</v>
      </c>
      <c r="V759" s="2"/>
      <c r="W759" s="2" t="s">
        <v>42</v>
      </c>
      <c r="X759" s="2" t="s">
        <v>43</v>
      </c>
      <c r="Y759" s="2" t="s">
        <v>37</v>
      </c>
      <c r="Z759" s="2" t="s">
        <v>44</v>
      </c>
      <c r="AA759" s="2"/>
      <c r="AB759" s="2"/>
      <c r="AC759" s="2" t="s">
        <v>6075</v>
      </c>
      <c r="AD759" s="2" t="s">
        <v>46</v>
      </c>
    </row>
    <row r="760" customFormat="false" ht="15.7" hidden="false" customHeight="true" outlineLevel="0" collapsed="false">
      <c r="A760" s="2"/>
      <c r="B760" s="3" t="n">
        <f aca="false">DATE(2007,9,12)</f>
        <v>0</v>
      </c>
      <c r="C760" s="3" t="n">
        <v>39337</v>
      </c>
      <c r="D760" s="2" t="s">
        <v>6076</v>
      </c>
      <c r="F760" s="2" t="s">
        <v>256</v>
      </c>
      <c r="G760" s="2" t="s">
        <v>6077</v>
      </c>
      <c r="H760" s="2" t="s">
        <v>170</v>
      </c>
      <c r="I760" s="2" t="s">
        <v>6078</v>
      </c>
      <c r="J760" s="2" t="s">
        <v>35</v>
      </c>
      <c r="K760" s="2" t="s">
        <v>6079</v>
      </c>
      <c r="L760" s="2" t="s">
        <v>3103</v>
      </c>
      <c r="M760" s="2" t="s">
        <v>305</v>
      </c>
      <c r="N760" s="2" t="s">
        <v>6080</v>
      </c>
      <c r="O760" s="2"/>
      <c r="P760" s="2" t="s">
        <v>37</v>
      </c>
      <c r="Q760" s="4" t="n">
        <v>8731</v>
      </c>
      <c r="R760" s="2" t="s">
        <v>136</v>
      </c>
      <c r="S760" s="2" t="s">
        <v>39</v>
      </c>
      <c r="T760" s="2" t="s">
        <v>40</v>
      </c>
      <c r="U760" s="2" t="s">
        <v>6081</v>
      </c>
      <c r="V760" s="2"/>
      <c r="W760" s="2" t="s">
        <v>42</v>
      </c>
      <c r="X760" s="2" t="s">
        <v>43</v>
      </c>
      <c r="Y760" s="2" t="s">
        <v>37</v>
      </c>
      <c r="Z760" s="2" t="s">
        <v>44</v>
      </c>
      <c r="AA760" s="2"/>
      <c r="AB760" s="2"/>
      <c r="AC760" s="2" t="s">
        <v>6082</v>
      </c>
      <c r="AD760" s="2" t="s">
        <v>46</v>
      </c>
    </row>
    <row r="761" customFormat="false" ht="15.7" hidden="false" customHeight="true" outlineLevel="0" collapsed="false">
      <c r="A761" s="2"/>
      <c r="B761" s="3" t="n">
        <f aca="false">DATE(2007,9,13)</f>
        <v>0</v>
      </c>
      <c r="C761" s="3" t="n">
        <v>39338</v>
      </c>
      <c r="D761" s="2" t="s">
        <v>6083</v>
      </c>
      <c r="F761" s="2" t="s">
        <v>4035</v>
      </c>
      <c r="G761" s="2" t="s">
        <v>6084</v>
      </c>
      <c r="H761" s="2" t="s">
        <v>2857</v>
      </c>
      <c r="I761" s="2" t="s">
        <v>4037</v>
      </c>
      <c r="J761" s="2" t="s">
        <v>65</v>
      </c>
      <c r="K761" s="2" t="s">
        <v>6083</v>
      </c>
      <c r="L761" s="2" t="s">
        <v>4037</v>
      </c>
      <c r="M761" s="2" t="s">
        <v>2857</v>
      </c>
      <c r="N761" s="2" t="s">
        <v>6085</v>
      </c>
      <c r="O761" s="2"/>
      <c r="P761" s="2" t="s">
        <v>37</v>
      </c>
      <c r="Q761" s="4" t="n">
        <v>3674</v>
      </c>
      <c r="R761" s="2" t="s">
        <v>136</v>
      </c>
      <c r="S761" s="2" t="s">
        <v>39</v>
      </c>
      <c r="T761" s="2" t="s">
        <v>40</v>
      </c>
      <c r="U761" s="2" t="s">
        <v>6086</v>
      </c>
      <c r="V761" s="2"/>
      <c r="W761" s="2" t="s">
        <v>107</v>
      </c>
      <c r="X761" s="2" t="s">
        <v>43</v>
      </c>
      <c r="Y761" s="2" t="s">
        <v>37</v>
      </c>
      <c r="Z761" s="2" t="s">
        <v>44</v>
      </c>
      <c r="AA761" s="2"/>
      <c r="AB761" s="2"/>
      <c r="AC761" s="2" t="s">
        <v>6087</v>
      </c>
      <c r="AD761" s="2" t="s">
        <v>46</v>
      </c>
    </row>
    <row r="762" customFormat="false" ht="15.7" hidden="false" customHeight="true" outlineLevel="0" collapsed="false">
      <c r="A762" s="2"/>
      <c r="B762" s="3" t="n">
        <f aca="false">DATE(2007,9,13)</f>
        <v>0</v>
      </c>
      <c r="C762" s="3" t="n">
        <v>39338</v>
      </c>
      <c r="D762" s="2" t="s">
        <v>6088</v>
      </c>
      <c r="F762" s="2" t="s">
        <v>6089</v>
      </c>
      <c r="G762" s="2" t="s">
        <v>6090</v>
      </c>
      <c r="H762" s="2" t="s">
        <v>6091</v>
      </c>
      <c r="I762" s="2" t="s">
        <v>6092</v>
      </c>
      <c r="J762" s="2" t="s">
        <v>35</v>
      </c>
      <c r="K762" s="2" t="s">
        <v>6088</v>
      </c>
      <c r="L762" s="2" t="s">
        <v>6092</v>
      </c>
      <c r="M762" s="2" t="s">
        <v>6091</v>
      </c>
      <c r="N762" s="2" t="s">
        <v>6093</v>
      </c>
      <c r="O762" s="2"/>
      <c r="P762" s="2" t="s">
        <v>37</v>
      </c>
      <c r="Q762" s="4" t="n">
        <v>2869</v>
      </c>
      <c r="R762" s="2" t="s">
        <v>136</v>
      </c>
      <c r="S762" s="2" t="s">
        <v>39</v>
      </c>
      <c r="T762" s="2" t="s">
        <v>403</v>
      </c>
      <c r="U762" s="2" t="s">
        <v>6094</v>
      </c>
      <c r="V762" s="2"/>
      <c r="W762" s="2" t="s">
        <v>107</v>
      </c>
      <c r="X762" s="2" t="s">
        <v>43</v>
      </c>
      <c r="Y762" s="2" t="s">
        <v>37</v>
      </c>
      <c r="Z762" s="2" t="s">
        <v>44</v>
      </c>
      <c r="AA762" s="2"/>
      <c r="AB762" s="2"/>
      <c r="AC762" s="2" t="s">
        <v>6095</v>
      </c>
      <c r="AD762" s="2" t="s">
        <v>46</v>
      </c>
    </row>
    <row r="763" customFormat="false" ht="15.7" hidden="false" customHeight="true" outlineLevel="0" collapsed="false">
      <c r="A763" s="2"/>
      <c r="B763" s="3" t="n">
        <f aca="false">DATE(2007,9,13)</f>
        <v>0</v>
      </c>
      <c r="C763" s="3" t="n">
        <v>39338</v>
      </c>
      <c r="D763" s="2" t="s">
        <v>6096</v>
      </c>
      <c r="F763" s="2" t="s">
        <v>6097</v>
      </c>
      <c r="G763" s="2" t="s">
        <v>6098</v>
      </c>
      <c r="H763" s="2" t="s">
        <v>2835</v>
      </c>
      <c r="I763" s="2" t="s">
        <v>2294</v>
      </c>
      <c r="J763" s="2" t="s">
        <v>35</v>
      </c>
      <c r="K763" s="2" t="s">
        <v>6096</v>
      </c>
      <c r="L763" s="2" t="s">
        <v>2294</v>
      </c>
      <c r="M763" s="2" t="s">
        <v>2835</v>
      </c>
      <c r="N763" s="2" t="s">
        <v>6099</v>
      </c>
      <c r="O763" s="2"/>
      <c r="P763" s="2" t="s">
        <v>37</v>
      </c>
      <c r="Q763" s="4" t="n">
        <v>8731</v>
      </c>
      <c r="R763" s="2" t="s">
        <v>450</v>
      </c>
      <c r="S763" s="2" t="s">
        <v>39</v>
      </c>
      <c r="T763" s="2" t="s">
        <v>40</v>
      </c>
      <c r="U763" s="2" t="s">
        <v>6100</v>
      </c>
      <c r="V763" s="2"/>
      <c r="W763" s="2" t="s">
        <v>42</v>
      </c>
      <c r="X763" s="2" t="s">
        <v>43</v>
      </c>
      <c r="Y763" s="2" t="s">
        <v>37</v>
      </c>
      <c r="Z763" s="2" t="s">
        <v>44</v>
      </c>
      <c r="AA763" s="2"/>
      <c r="AB763" s="2"/>
      <c r="AC763" s="2" t="s">
        <v>6101</v>
      </c>
      <c r="AD763" s="2" t="s">
        <v>46</v>
      </c>
    </row>
    <row r="764" customFormat="false" ht="15.7" hidden="false" customHeight="true" outlineLevel="0" collapsed="false">
      <c r="A764" s="2"/>
      <c r="B764" s="3" t="n">
        <f aca="false">DATE(2007,9,13)</f>
        <v>0</v>
      </c>
      <c r="C764" s="3" t="n">
        <v>39338</v>
      </c>
      <c r="D764" s="2" t="s">
        <v>6102</v>
      </c>
      <c r="F764" s="2" t="s">
        <v>6103</v>
      </c>
      <c r="G764" s="2" t="s">
        <v>6104</v>
      </c>
      <c r="H764" s="2" t="s">
        <v>6105</v>
      </c>
      <c r="I764" s="2" t="s">
        <v>88</v>
      </c>
      <c r="J764" s="2" t="s">
        <v>65</v>
      </c>
      <c r="K764" s="2" t="s">
        <v>6102</v>
      </c>
      <c r="L764" s="2" t="s">
        <v>88</v>
      </c>
      <c r="M764" s="2" t="s">
        <v>6105</v>
      </c>
      <c r="N764" s="2" t="s">
        <v>6106</v>
      </c>
      <c r="O764" s="2"/>
      <c r="P764" s="2" t="s">
        <v>37</v>
      </c>
      <c r="Q764" s="4" t="n">
        <v>8731</v>
      </c>
      <c r="R764" s="2" t="s">
        <v>136</v>
      </c>
      <c r="S764" s="2" t="s">
        <v>39</v>
      </c>
      <c r="T764" s="2" t="s">
        <v>40</v>
      </c>
      <c r="U764" s="2" t="s">
        <v>6107</v>
      </c>
      <c r="V764" s="2"/>
      <c r="W764" s="2" t="s">
        <v>42</v>
      </c>
      <c r="X764" s="2" t="s">
        <v>43</v>
      </c>
      <c r="Y764" s="2" t="s">
        <v>37</v>
      </c>
      <c r="Z764" s="2" t="s">
        <v>44</v>
      </c>
      <c r="AA764" s="2"/>
      <c r="AB764" s="2"/>
      <c r="AC764" s="2" t="s">
        <v>6108</v>
      </c>
      <c r="AD764" s="2" t="s">
        <v>46</v>
      </c>
    </row>
    <row r="765" customFormat="false" ht="15.7" hidden="false" customHeight="true" outlineLevel="0" collapsed="false">
      <c r="A765" s="2"/>
      <c r="B765" s="3" t="n">
        <f aca="false">DATE(2007,9,17)</f>
        <v>0</v>
      </c>
      <c r="C765" s="3" t="n">
        <v>39342</v>
      </c>
      <c r="D765" s="2" t="s">
        <v>6109</v>
      </c>
      <c r="F765" s="2" t="s">
        <v>6110</v>
      </c>
      <c r="G765" s="2" t="s">
        <v>6111</v>
      </c>
      <c r="H765" s="2" t="s">
        <v>6112</v>
      </c>
      <c r="I765" s="2" t="s">
        <v>568</v>
      </c>
      <c r="J765" s="2" t="s">
        <v>575</v>
      </c>
      <c r="K765" s="2" t="s">
        <v>6109</v>
      </c>
      <c r="L765" s="2" t="s">
        <v>568</v>
      </c>
      <c r="M765" s="2" t="s">
        <v>6112</v>
      </c>
      <c r="N765" s="2" t="s">
        <v>6113</v>
      </c>
      <c r="O765" s="2"/>
      <c r="P765" s="2" t="s">
        <v>37</v>
      </c>
      <c r="Q765" s="4" t="n">
        <v>8731</v>
      </c>
      <c r="R765" s="2" t="s">
        <v>136</v>
      </c>
      <c r="S765" s="2" t="s">
        <v>39</v>
      </c>
      <c r="T765" s="2" t="s">
        <v>40</v>
      </c>
      <c r="U765" s="2" t="s">
        <v>6114</v>
      </c>
      <c r="V765" s="2"/>
      <c r="W765" s="2" t="s">
        <v>42</v>
      </c>
      <c r="X765" s="2" t="s">
        <v>43</v>
      </c>
      <c r="Y765" s="2" t="s">
        <v>37</v>
      </c>
      <c r="Z765" s="2" t="s">
        <v>44</v>
      </c>
      <c r="AA765" s="2"/>
      <c r="AB765" s="2"/>
      <c r="AC765" s="2" t="s">
        <v>6115</v>
      </c>
      <c r="AD765" s="2" t="s">
        <v>46</v>
      </c>
    </row>
    <row r="766" customFormat="false" ht="15.7" hidden="false" customHeight="true" outlineLevel="0" collapsed="false">
      <c r="A766" s="2"/>
      <c r="B766" s="3" t="n">
        <f aca="false">DATE(2007,9,17)</f>
        <v>0</v>
      </c>
      <c r="C766" s="3" t="n">
        <v>39342</v>
      </c>
      <c r="D766" s="2" t="s">
        <v>6116</v>
      </c>
      <c r="F766" s="2" t="s">
        <v>6117</v>
      </c>
      <c r="G766" s="2" t="s">
        <v>6118</v>
      </c>
      <c r="H766" s="2" t="s">
        <v>130</v>
      </c>
      <c r="I766" s="2" t="s">
        <v>51</v>
      </c>
      <c r="J766" s="2" t="s">
        <v>77</v>
      </c>
      <c r="K766" s="2" t="s">
        <v>6116</v>
      </c>
      <c r="L766" s="2" t="s">
        <v>51</v>
      </c>
      <c r="M766" s="2" t="s">
        <v>130</v>
      </c>
      <c r="N766" s="2" t="s">
        <v>6119</v>
      </c>
      <c r="O766" s="2"/>
      <c r="P766" s="2" t="s">
        <v>37</v>
      </c>
      <c r="Q766" s="4" t="n">
        <v>8731</v>
      </c>
      <c r="R766" s="2" t="s">
        <v>56</v>
      </c>
      <c r="S766" s="2" t="s">
        <v>315</v>
      </c>
      <c r="T766" s="2" t="s">
        <v>40</v>
      </c>
      <c r="U766" s="2" t="s">
        <v>6120</v>
      </c>
      <c r="V766" s="2"/>
      <c r="W766" s="2" t="s">
        <v>138</v>
      </c>
      <c r="X766" s="2" t="s">
        <v>43</v>
      </c>
      <c r="Y766" s="2" t="s">
        <v>37</v>
      </c>
      <c r="Z766" s="2" t="s">
        <v>44</v>
      </c>
      <c r="AA766" s="2"/>
      <c r="AB766" s="2"/>
      <c r="AC766" s="2" t="s">
        <v>6121</v>
      </c>
      <c r="AD766" s="2" t="s">
        <v>46</v>
      </c>
    </row>
    <row r="767" customFormat="false" ht="15.7" hidden="false" customHeight="true" outlineLevel="0" collapsed="false">
      <c r="A767" s="2"/>
      <c r="B767" s="3" t="n">
        <f aca="false">DATE(2007,9,18)</f>
        <v>0</v>
      </c>
      <c r="C767" s="3" t="n">
        <v>39343</v>
      </c>
      <c r="D767" s="2" t="s">
        <v>6122</v>
      </c>
      <c r="F767" s="2" t="s">
        <v>6123</v>
      </c>
      <c r="G767" s="2" t="s">
        <v>6124</v>
      </c>
      <c r="H767" s="2" t="s">
        <v>6125</v>
      </c>
      <c r="I767" s="2" t="s">
        <v>51</v>
      </c>
      <c r="J767" s="2" t="s">
        <v>6126</v>
      </c>
      <c r="K767" s="2" t="s">
        <v>6127</v>
      </c>
      <c r="L767" s="2" t="s">
        <v>131</v>
      </c>
      <c r="M767" s="2" t="s">
        <v>6128</v>
      </c>
      <c r="N767" s="2" t="s">
        <v>6129</v>
      </c>
      <c r="O767" s="2"/>
      <c r="P767" s="2" t="s">
        <v>37</v>
      </c>
      <c r="Q767" s="4" t="n">
        <v>8731</v>
      </c>
      <c r="R767" s="2" t="s">
        <v>56</v>
      </c>
      <c r="S767" s="2" t="s">
        <v>315</v>
      </c>
      <c r="T767" s="2" t="s">
        <v>403</v>
      </c>
      <c r="U767" s="2" t="s">
        <v>6130</v>
      </c>
      <c r="V767" s="2"/>
      <c r="W767" s="2" t="s">
        <v>697</v>
      </c>
      <c r="X767" s="2" t="s">
        <v>46</v>
      </c>
      <c r="Y767" s="2" t="s">
        <v>37</v>
      </c>
      <c r="Z767" s="2" t="s">
        <v>362</v>
      </c>
      <c r="AA767" s="2"/>
      <c r="AB767" s="2"/>
      <c r="AC767" s="2" t="s">
        <v>6131</v>
      </c>
      <c r="AD767" s="2" t="s">
        <v>46</v>
      </c>
    </row>
    <row r="768" customFormat="false" ht="15.7" hidden="false" customHeight="true" outlineLevel="0" collapsed="false">
      <c r="A768" s="2"/>
      <c r="B768" s="3" t="n">
        <f aca="false">DATE(2007,9,18)</f>
        <v>0</v>
      </c>
      <c r="C768" s="3" t="n">
        <v>39343</v>
      </c>
      <c r="D768" s="2" t="s">
        <v>6132</v>
      </c>
      <c r="F768" s="2" t="s">
        <v>4786</v>
      </c>
      <c r="G768" s="2" t="s">
        <v>6133</v>
      </c>
      <c r="H768" s="2" t="s">
        <v>63</v>
      </c>
      <c r="I768" s="2" t="s">
        <v>6134</v>
      </c>
      <c r="J768" s="2" t="s">
        <v>625</v>
      </c>
      <c r="K768" s="2" t="s">
        <v>6135</v>
      </c>
      <c r="L768" s="2" t="s">
        <v>6134</v>
      </c>
      <c r="M768" s="2" t="s">
        <v>1770</v>
      </c>
      <c r="N768" s="2" t="s">
        <v>6136</v>
      </c>
      <c r="O768" s="2"/>
      <c r="P768" s="2" t="s">
        <v>37</v>
      </c>
      <c r="Q768" s="4" t="n">
        <v>2834</v>
      </c>
      <c r="R768" s="2" t="s">
        <v>56</v>
      </c>
      <c r="S768" s="2" t="s">
        <v>80</v>
      </c>
      <c r="T768" s="2" t="s">
        <v>40</v>
      </c>
      <c r="U768" s="2" t="s">
        <v>6137</v>
      </c>
      <c r="V768" s="2"/>
      <c r="W768" s="2" t="s">
        <v>107</v>
      </c>
      <c r="X768" s="2" t="s">
        <v>43</v>
      </c>
      <c r="Y768" s="2" t="s">
        <v>37</v>
      </c>
      <c r="Z768" s="2" t="s">
        <v>44</v>
      </c>
      <c r="AA768" s="2"/>
      <c r="AB768" s="2"/>
      <c r="AC768" s="2" t="s">
        <v>6138</v>
      </c>
      <c r="AD768" s="2" t="s">
        <v>46</v>
      </c>
    </row>
    <row r="769" customFormat="false" ht="15.7" hidden="false" customHeight="true" outlineLevel="0" collapsed="false">
      <c r="A769" s="2"/>
      <c r="B769" s="3" t="n">
        <f aca="false">DATE(2007,9,18)</f>
        <v>0</v>
      </c>
      <c r="C769" s="3" t="n">
        <v>39343</v>
      </c>
      <c r="D769" s="2" t="s">
        <v>6139</v>
      </c>
      <c r="F769" s="2" t="s">
        <v>6140</v>
      </c>
      <c r="G769" s="2" t="s">
        <v>6141</v>
      </c>
      <c r="H769" s="2" t="s">
        <v>762</v>
      </c>
      <c r="I769" s="2" t="s">
        <v>51</v>
      </c>
      <c r="J769" s="2" t="s">
        <v>171</v>
      </c>
      <c r="K769" s="2" t="s">
        <v>6142</v>
      </c>
      <c r="L769" s="2" t="s">
        <v>664</v>
      </c>
      <c r="M769" s="2" t="s">
        <v>4803</v>
      </c>
      <c r="N769" s="2" t="s">
        <v>6143</v>
      </c>
      <c r="O769" s="2"/>
      <c r="P769" s="2" t="s">
        <v>37</v>
      </c>
      <c r="Q769" s="4" t="n">
        <v>8731</v>
      </c>
      <c r="R769" s="2" t="s">
        <v>56</v>
      </c>
      <c r="S769" s="2" t="s">
        <v>92</v>
      </c>
      <c r="T769" s="2" t="s">
        <v>40</v>
      </c>
      <c r="U769" s="2" t="s">
        <v>6144</v>
      </c>
      <c r="V769" s="2"/>
      <c r="W769" s="2" t="s">
        <v>42</v>
      </c>
      <c r="X769" s="2" t="s">
        <v>43</v>
      </c>
      <c r="Y769" s="2" t="s">
        <v>37</v>
      </c>
      <c r="Z769" s="2" t="s">
        <v>44</v>
      </c>
      <c r="AA769" s="2"/>
      <c r="AB769" s="2"/>
      <c r="AC769" s="2" t="s">
        <v>6145</v>
      </c>
      <c r="AD769" s="2" t="s">
        <v>46</v>
      </c>
    </row>
    <row r="770" customFormat="false" ht="15.7" hidden="false" customHeight="true" outlineLevel="0" collapsed="false">
      <c r="A770" s="2"/>
      <c r="B770" s="3" t="n">
        <f aca="false">DATE(2007,9,18)</f>
        <v>0</v>
      </c>
      <c r="C770" s="3" t="n">
        <v>39343</v>
      </c>
      <c r="D770" s="2" t="s">
        <v>6146</v>
      </c>
      <c r="F770" s="2" t="s">
        <v>6147</v>
      </c>
      <c r="G770" s="2" t="s">
        <v>6148</v>
      </c>
      <c r="H770" s="2" t="s">
        <v>305</v>
      </c>
      <c r="I770" s="2" t="s">
        <v>51</v>
      </c>
      <c r="J770" s="2" t="s">
        <v>6149</v>
      </c>
      <c r="K770" s="2" t="s">
        <v>6146</v>
      </c>
      <c r="L770" s="2" t="s">
        <v>51</v>
      </c>
      <c r="M770" s="2" t="s">
        <v>305</v>
      </c>
      <c r="N770" s="2" t="s">
        <v>6150</v>
      </c>
      <c r="O770" s="2"/>
      <c r="P770" s="2" t="s">
        <v>37</v>
      </c>
      <c r="Q770" s="4" t="n">
        <v>8731</v>
      </c>
      <c r="R770" s="2" t="s">
        <v>56</v>
      </c>
      <c r="S770" s="2" t="s">
        <v>6151</v>
      </c>
      <c r="T770" s="2" t="s">
        <v>40</v>
      </c>
      <c r="U770" s="2" t="s">
        <v>6152</v>
      </c>
      <c r="V770" s="2"/>
      <c r="W770" s="2" t="s">
        <v>42</v>
      </c>
      <c r="X770" s="2" t="s">
        <v>43</v>
      </c>
      <c r="Y770" s="2" t="s">
        <v>37</v>
      </c>
      <c r="Z770" s="2" t="s">
        <v>44</v>
      </c>
      <c r="AA770" s="2"/>
      <c r="AB770" s="2"/>
      <c r="AC770" s="2" t="s">
        <v>6153</v>
      </c>
      <c r="AD770" s="2" t="s">
        <v>46</v>
      </c>
    </row>
    <row r="771" customFormat="false" ht="15.7" hidden="false" customHeight="true" outlineLevel="0" collapsed="false">
      <c r="A771" s="2"/>
      <c r="B771" s="3" t="n">
        <f aca="false">DATE(2007,9,19)</f>
        <v>0</v>
      </c>
      <c r="C771" s="3" t="n">
        <v>39344</v>
      </c>
      <c r="D771" s="2" t="s">
        <v>6154</v>
      </c>
      <c r="F771" s="2" t="s">
        <v>6155</v>
      </c>
      <c r="G771" s="2" t="s">
        <v>6156</v>
      </c>
      <c r="H771" s="2" t="s">
        <v>6157</v>
      </c>
      <c r="I771" s="2" t="s">
        <v>664</v>
      </c>
      <c r="J771" s="2" t="s">
        <v>132</v>
      </c>
      <c r="K771" s="2" t="s">
        <v>6154</v>
      </c>
      <c r="L771" s="2" t="s">
        <v>664</v>
      </c>
      <c r="M771" s="2" t="s">
        <v>6157</v>
      </c>
      <c r="N771" s="2" t="s">
        <v>6158</v>
      </c>
      <c r="O771" s="2"/>
      <c r="P771" s="2" t="s">
        <v>37</v>
      </c>
      <c r="Q771" s="4" t="n">
        <v>8731</v>
      </c>
      <c r="R771" s="2" t="s">
        <v>136</v>
      </c>
      <c r="S771" s="2" t="s">
        <v>39</v>
      </c>
      <c r="T771" s="2" t="s">
        <v>40</v>
      </c>
      <c r="U771" s="2" t="s">
        <v>6159</v>
      </c>
      <c r="V771" s="2"/>
      <c r="W771" s="2" t="s">
        <v>697</v>
      </c>
      <c r="X771" s="2" t="s">
        <v>43</v>
      </c>
      <c r="Y771" s="2" t="s">
        <v>37</v>
      </c>
      <c r="Z771" s="2" t="s">
        <v>44</v>
      </c>
      <c r="AA771" s="2"/>
      <c r="AB771" s="2"/>
      <c r="AC771" s="2" t="s">
        <v>6160</v>
      </c>
      <c r="AD771" s="2" t="s">
        <v>46</v>
      </c>
    </row>
    <row r="772" customFormat="false" ht="15.7" hidden="false" customHeight="true" outlineLevel="0" collapsed="false">
      <c r="A772" s="2"/>
      <c r="B772" s="3" t="n">
        <f aca="false">DATE(2007,9,19)</f>
        <v>0</v>
      </c>
      <c r="C772" s="3" t="n">
        <v>39344</v>
      </c>
      <c r="D772" s="2" t="s">
        <v>6161</v>
      </c>
      <c r="F772" s="2" t="s">
        <v>4260</v>
      </c>
      <c r="G772" s="2" t="s">
        <v>6162</v>
      </c>
      <c r="H772" s="2" t="s">
        <v>130</v>
      </c>
      <c r="I772" s="2" t="s">
        <v>51</v>
      </c>
      <c r="J772" s="2" t="s">
        <v>3250</v>
      </c>
      <c r="K772" s="2" t="s">
        <v>6161</v>
      </c>
      <c r="L772" s="2" t="s">
        <v>51</v>
      </c>
      <c r="M772" s="2" t="s">
        <v>130</v>
      </c>
      <c r="N772" s="2" t="s">
        <v>6163</v>
      </c>
      <c r="O772" s="2"/>
      <c r="P772" s="2" t="s">
        <v>37</v>
      </c>
      <c r="Q772" s="4" t="n">
        <v>8731</v>
      </c>
      <c r="R772" s="2" t="s">
        <v>56</v>
      </c>
      <c r="S772" s="2" t="s">
        <v>92</v>
      </c>
      <c r="T772" s="2" t="s">
        <v>40</v>
      </c>
      <c r="U772" s="2" t="s">
        <v>6164</v>
      </c>
      <c r="V772" s="2"/>
      <c r="W772" s="2" t="s">
        <v>42</v>
      </c>
      <c r="X772" s="2" t="s">
        <v>43</v>
      </c>
      <c r="Y772" s="2" t="s">
        <v>37</v>
      </c>
      <c r="Z772" s="2" t="s">
        <v>44</v>
      </c>
      <c r="AA772" s="2"/>
      <c r="AB772" s="2"/>
      <c r="AC772" s="2" t="s">
        <v>6165</v>
      </c>
      <c r="AD772" s="2" t="s">
        <v>46</v>
      </c>
    </row>
    <row r="773" customFormat="false" ht="15.7" hidden="false" customHeight="true" outlineLevel="0" collapsed="false">
      <c r="A773" s="2"/>
      <c r="B773" s="3" t="n">
        <f aca="false">DATE(2007,9,20)</f>
        <v>0</v>
      </c>
      <c r="C773" s="3" t="n">
        <v>39345</v>
      </c>
      <c r="D773" s="2" t="s">
        <v>6166</v>
      </c>
      <c r="F773" s="2" t="s">
        <v>6167</v>
      </c>
      <c r="G773" s="2" t="s">
        <v>6168</v>
      </c>
      <c r="H773" s="2" t="s">
        <v>6169</v>
      </c>
      <c r="I773" s="2" t="s">
        <v>202</v>
      </c>
      <c r="J773" s="2" t="s">
        <v>6170</v>
      </c>
      <c r="K773" s="2" t="s">
        <v>6166</v>
      </c>
      <c r="L773" s="2" t="s">
        <v>202</v>
      </c>
      <c r="M773" s="2" t="s">
        <v>6169</v>
      </c>
      <c r="N773" s="2" t="s">
        <v>6171</v>
      </c>
      <c r="O773" s="2"/>
      <c r="P773" s="2" t="s">
        <v>37</v>
      </c>
      <c r="Q773" s="4" t="n">
        <v>8731</v>
      </c>
      <c r="R773" s="2" t="s">
        <v>136</v>
      </c>
      <c r="S773" s="2" t="s">
        <v>39</v>
      </c>
      <c r="T773" s="2" t="s">
        <v>40</v>
      </c>
      <c r="U773" s="2" t="s">
        <v>6172</v>
      </c>
      <c r="V773" s="2"/>
      <c r="W773" s="2" t="s">
        <v>42</v>
      </c>
      <c r="X773" s="2" t="s">
        <v>43</v>
      </c>
      <c r="Y773" s="2" t="s">
        <v>37</v>
      </c>
      <c r="Z773" s="2" t="s">
        <v>44</v>
      </c>
      <c r="AA773" s="2"/>
      <c r="AB773" s="2"/>
      <c r="AC773" s="2" t="s">
        <v>6173</v>
      </c>
      <c r="AD773" s="2" t="s">
        <v>46</v>
      </c>
    </row>
    <row r="774" customFormat="false" ht="15.7" hidden="false" customHeight="true" outlineLevel="0" collapsed="false">
      <c r="A774" s="2"/>
      <c r="B774" s="3" t="n">
        <f aca="false">DATE(2007,9,20)</f>
        <v>0</v>
      </c>
      <c r="C774" s="3" t="n">
        <v>39345</v>
      </c>
      <c r="D774" s="2" t="s">
        <v>6174</v>
      </c>
      <c r="F774" s="2" t="s">
        <v>6175</v>
      </c>
      <c r="G774" s="2" t="s">
        <v>6176</v>
      </c>
      <c r="H774" s="2" t="s">
        <v>762</v>
      </c>
      <c r="I774" s="2" t="s">
        <v>51</v>
      </c>
      <c r="J774" s="2" t="s">
        <v>2338</v>
      </c>
      <c r="K774" s="2" t="s">
        <v>6174</v>
      </c>
      <c r="L774" s="2" t="s">
        <v>51</v>
      </c>
      <c r="M774" s="2" t="s">
        <v>762</v>
      </c>
      <c r="N774" s="2" t="s">
        <v>6177</v>
      </c>
      <c r="O774" s="2"/>
      <c r="P774" s="2" t="s">
        <v>37</v>
      </c>
      <c r="Q774" s="4" t="n">
        <v>8731</v>
      </c>
      <c r="R774" s="2" t="s">
        <v>136</v>
      </c>
      <c r="S774" s="2" t="s">
        <v>39</v>
      </c>
      <c r="T774" s="2" t="s">
        <v>40</v>
      </c>
      <c r="U774" s="2" t="s">
        <v>6178</v>
      </c>
      <c r="V774" s="2"/>
      <c r="W774" s="2" t="s">
        <v>42</v>
      </c>
      <c r="X774" s="2" t="s">
        <v>43</v>
      </c>
      <c r="Y774" s="2" t="s">
        <v>37</v>
      </c>
      <c r="Z774" s="2" t="s">
        <v>44</v>
      </c>
      <c r="AA774" s="2"/>
      <c r="AB774" s="2"/>
      <c r="AC774" s="2" t="s">
        <v>6179</v>
      </c>
      <c r="AD774" s="2" t="s">
        <v>46</v>
      </c>
    </row>
    <row r="775" customFormat="false" ht="15.7" hidden="false" customHeight="true" outlineLevel="0" collapsed="false">
      <c r="A775" s="2"/>
      <c r="B775" s="3" t="n">
        <f aca="false">DATE(2007,9,20)</f>
        <v>0</v>
      </c>
      <c r="C775" s="3" t="n">
        <v>39345</v>
      </c>
      <c r="D775" s="2" t="s">
        <v>6180</v>
      </c>
      <c r="F775" s="2" t="s">
        <v>6181</v>
      </c>
      <c r="G775" s="2" t="s">
        <v>6182</v>
      </c>
      <c r="H775" s="2" t="s">
        <v>6183</v>
      </c>
      <c r="I775" s="2" t="s">
        <v>664</v>
      </c>
      <c r="J775" s="2" t="s">
        <v>132</v>
      </c>
      <c r="K775" s="2" t="s">
        <v>6184</v>
      </c>
      <c r="L775" s="2" t="s">
        <v>664</v>
      </c>
      <c r="M775" s="2" t="s">
        <v>6185</v>
      </c>
      <c r="N775" s="2" t="s">
        <v>6186</v>
      </c>
      <c r="O775" s="2"/>
      <c r="P775" s="2" t="s">
        <v>37</v>
      </c>
      <c r="Q775" s="4" t="n">
        <v>8731</v>
      </c>
      <c r="R775" s="2" t="s">
        <v>136</v>
      </c>
      <c r="S775" s="2" t="s">
        <v>39</v>
      </c>
      <c r="T775" s="2" t="s">
        <v>40</v>
      </c>
      <c r="U775" s="2" t="s">
        <v>6187</v>
      </c>
      <c r="V775" s="2"/>
      <c r="W775" s="2" t="s">
        <v>697</v>
      </c>
      <c r="X775" s="2" t="s">
        <v>43</v>
      </c>
      <c r="Y775" s="2" t="s">
        <v>37</v>
      </c>
      <c r="Z775" s="2" t="s">
        <v>44</v>
      </c>
      <c r="AA775" s="2"/>
      <c r="AB775" s="2"/>
      <c r="AC775" s="2" t="s">
        <v>6188</v>
      </c>
      <c r="AD775" s="2" t="s">
        <v>46</v>
      </c>
    </row>
    <row r="776" customFormat="false" ht="15.7" hidden="false" customHeight="true" outlineLevel="0" collapsed="false">
      <c r="A776" s="2"/>
      <c r="B776" s="3" t="n">
        <f aca="false">DATE(2007,9,20)</f>
        <v>0</v>
      </c>
      <c r="C776" s="3" t="n">
        <v>39345</v>
      </c>
      <c r="D776" s="2" t="s">
        <v>6189</v>
      </c>
      <c r="F776" s="2" t="s">
        <v>6190</v>
      </c>
      <c r="G776" s="2" t="s">
        <v>6191</v>
      </c>
      <c r="H776" s="2" t="s">
        <v>478</v>
      </c>
      <c r="I776" s="2" t="s">
        <v>1080</v>
      </c>
      <c r="J776" s="2" t="s">
        <v>35</v>
      </c>
      <c r="K776" s="2" t="s">
        <v>6189</v>
      </c>
      <c r="L776" s="2" t="s">
        <v>1080</v>
      </c>
      <c r="M776" s="2" t="s">
        <v>478</v>
      </c>
      <c r="N776" s="2" t="s">
        <v>6192</v>
      </c>
      <c r="O776" s="2"/>
      <c r="P776" s="2" t="s">
        <v>37</v>
      </c>
      <c r="Q776" s="4" t="n">
        <v>8731</v>
      </c>
      <c r="R776" s="2" t="s">
        <v>2201</v>
      </c>
      <c r="S776" s="2" t="s">
        <v>39</v>
      </c>
      <c r="T776" s="2" t="s">
        <v>403</v>
      </c>
      <c r="U776" s="2" t="s">
        <v>6193</v>
      </c>
      <c r="V776" s="2"/>
      <c r="W776" s="2" t="s">
        <v>2475</v>
      </c>
      <c r="X776" s="2" t="s">
        <v>43</v>
      </c>
      <c r="Y776" s="2" t="s">
        <v>37</v>
      </c>
      <c r="Z776" s="2" t="s">
        <v>44</v>
      </c>
      <c r="AA776" s="2" t="s">
        <v>6194</v>
      </c>
      <c r="AB776" s="2"/>
      <c r="AC776" s="2" t="s">
        <v>6195</v>
      </c>
      <c r="AD776" s="2" t="s">
        <v>46</v>
      </c>
    </row>
    <row r="777" customFormat="false" ht="15.7" hidden="false" customHeight="true" outlineLevel="0" collapsed="false">
      <c r="A777" s="2"/>
      <c r="B777" s="3" t="n">
        <f aca="false">DATE(2007,9,21)</f>
        <v>0</v>
      </c>
      <c r="C777" s="3" t="n">
        <v>39346</v>
      </c>
      <c r="D777" s="2" t="s">
        <v>6196</v>
      </c>
      <c r="F777" s="2" t="s">
        <v>6197</v>
      </c>
      <c r="G777" s="2" t="s">
        <v>6198</v>
      </c>
      <c r="H777" s="2" t="s">
        <v>3500</v>
      </c>
      <c r="I777" s="2" t="s">
        <v>6199</v>
      </c>
      <c r="J777" s="2" t="s">
        <v>35</v>
      </c>
      <c r="K777" s="2" t="s">
        <v>6200</v>
      </c>
      <c r="L777" s="2" t="s">
        <v>6199</v>
      </c>
      <c r="M777" s="2" t="s">
        <v>3500</v>
      </c>
      <c r="N777" s="2" t="s">
        <v>6201</v>
      </c>
      <c r="O777" s="2"/>
      <c r="P777" s="2" t="s">
        <v>37</v>
      </c>
      <c r="Q777" s="4" t="n">
        <v>3711</v>
      </c>
      <c r="R777" s="2" t="s">
        <v>6202</v>
      </c>
      <c r="S777" s="2" t="s">
        <v>39</v>
      </c>
      <c r="T777" s="2" t="s">
        <v>40</v>
      </c>
      <c r="U777" s="2" t="s">
        <v>6203</v>
      </c>
      <c r="V777" s="2"/>
      <c r="W777" s="2" t="s">
        <v>107</v>
      </c>
      <c r="X777" s="2" t="s">
        <v>43</v>
      </c>
      <c r="Y777" s="2" t="s">
        <v>37</v>
      </c>
      <c r="Z777" s="2" t="s">
        <v>44</v>
      </c>
      <c r="AA777" s="2"/>
      <c r="AB777" s="2"/>
      <c r="AC777" s="2" t="s">
        <v>6204</v>
      </c>
      <c r="AD777" s="2" t="s">
        <v>46</v>
      </c>
    </row>
    <row r="778" customFormat="false" ht="15.7" hidden="false" customHeight="true" outlineLevel="0" collapsed="false">
      <c r="A778" s="2"/>
      <c r="B778" s="3" t="n">
        <f aca="false">DATE(2007,9,22)</f>
        <v>0</v>
      </c>
      <c r="C778" s="3" t="n">
        <v>39347</v>
      </c>
      <c r="D778" s="2" t="s">
        <v>6205</v>
      </c>
      <c r="F778" s="2" t="s">
        <v>6206</v>
      </c>
      <c r="G778" s="2" t="s">
        <v>6207</v>
      </c>
      <c r="H778" s="2" t="s">
        <v>6208</v>
      </c>
      <c r="I778" s="2" t="s">
        <v>6209</v>
      </c>
      <c r="J778" s="2" t="s">
        <v>35</v>
      </c>
      <c r="K778" s="2" t="s">
        <v>6205</v>
      </c>
      <c r="L778" s="2" t="s">
        <v>6209</v>
      </c>
      <c r="M778" s="2" t="s">
        <v>6208</v>
      </c>
      <c r="N778" s="2" t="s">
        <v>6210</v>
      </c>
      <c r="O778" s="2" t="s">
        <v>6211</v>
      </c>
      <c r="P778" s="2" t="s">
        <v>37</v>
      </c>
      <c r="Q778" s="4" t="n">
        <v>8731</v>
      </c>
      <c r="R778" s="2" t="s">
        <v>450</v>
      </c>
      <c r="S778" s="2" t="s">
        <v>39</v>
      </c>
      <c r="T778" s="2" t="s">
        <v>40</v>
      </c>
      <c r="U778" s="2" t="s">
        <v>6212</v>
      </c>
      <c r="V778" s="2"/>
      <c r="W778" s="2" t="s">
        <v>3235</v>
      </c>
      <c r="X778" s="2" t="s">
        <v>46</v>
      </c>
      <c r="Y778" s="2" t="s">
        <v>37</v>
      </c>
      <c r="Z778" s="2" t="s">
        <v>2732</v>
      </c>
      <c r="AA778" s="2" t="s">
        <v>6213</v>
      </c>
      <c r="AB778" s="2" t="s">
        <v>6214</v>
      </c>
      <c r="AC778" s="2" t="s">
        <v>6215</v>
      </c>
      <c r="AD778" s="2" t="s">
        <v>46</v>
      </c>
    </row>
    <row r="779" customFormat="false" ht="15.7" hidden="false" customHeight="true" outlineLevel="0" collapsed="false">
      <c r="A779" s="2"/>
      <c r="B779" s="3" t="n">
        <f aca="false">DATE(2007,9,24)</f>
        <v>0</v>
      </c>
      <c r="C779" s="3" t="n">
        <v>39349</v>
      </c>
      <c r="D779" s="2" t="s">
        <v>6216</v>
      </c>
      <c r="F779" s="2" t="s">
        <v>6217</v>
      </c>
      <c r="G779" s="2" t="s">
        <v>6218</v>
      </c>
      <c r="H779" s="2" t="s">
        <v>6219</v>
      </c>
      <c r="I779" s="2" t="s">
        <v>5298</v>
      </c>
      <c r="J779" s="2" t="s">
        <v>35</v>
      </c>
      <c r="K779" s="2" t="s">
        <v>6220</v>
      </c>
      <c r="L779" s="2" t="s">
        <v>5298</v>
      </c>
      <c r="M779" s="2" t="s">
        <v>6221</v>
      </c>
      <c r="N779" s="2" t="s">
        <v>6222</v>
      </c>
      <c r="O779" s="2"/>
      <c r="P779" s="2" t="s">
        <v>37</v>
      </c>
      <c r="Q779" s="4" t="n">
        <v>2869</v>
      </c>
      <c r="R779" s="2" t="s">
        <v>5704</v>
      </c>
      <c r="S779" s="2" t="s">
        <v>39</v>
      </c>
      <c r="T779" s="2" t="s">
        <v>403</v>
      </c>
      <c r="U779" s="2" t="s">
        <v>6223</v>
      </c>
      <c r="V779" s="2"/>
      <c r="W779" s="2" t="s">
        <v>107</v>
      </c>
      <c r="X779" s="2" t="s">
        <v>46</v>
      </c>
      <c r="Y779" s="2" t="s">
        <v>37</v>
      </c>
      <c r="Z779" s="2" t="s">
        <v>362</v>
      </c>
      <c r="AA779" s="2"/>
      <c r="AB779" s="2"/>
      <c r="AC779" s="2" t="s">
        <v>6224</v>
      </c>
      <c r="AD779" s="2" t="s">
        <v>46</v>
      </c>
    </row>
    <row r="780" customFormat="false" ht="15.7" hidden="false" customHeight="true" outlineLevel="0" collapsed="false">
      <c r="A780" s="2"/>
      <c r="B780" s="3" t="n">
        <f aca="false">DATE(2007,9,24)</f>
        <v>0</v>
      </c>
      <c r="C780" s="3" t="n">
        <v>39349</v>
      </c>
      <c r="D780" s="2" t="s">
        <v>6225</v>
      </c>
      <c r="F780" s="2" t="s">
        <v>3101</v>
      </c>
      <c r="G780" s="2" t="s">
        <v>6226</v>
      </c>
      <c r="H780" s="2" t="s">
        <v>170</v>
      </c>
      <c r="I780" s="2" t="s">
        <v>51</v>
      </c>
      <c r="J780" s="2" t="s">
        <v>6227</v>
      </c>
      <c r="K780" s="2" t="s">
        <v>6225</v>
      </c>
      <c r="L780" s="2" t="s">
        <v>51</v>
      </c>
      <c r="M780" s="2" t="s">
        <v>170</v>
      </c>
      <c r="N780" s="2" t="s">
        <v>6228</v>
      </c>
      <c r="O780" s="2"/>
      <c r="P780" s="2" t="s">
        <v>37</v>
      </c>
      <c r="Q780" s="4" t="n">
        <v>8731</v>
      </c>
      <c r="R780" s="2" t="s">
        <v>56</v>
      </c>
      <c r="S780" s="2" t="s">
        <v>481</v>
      </c>
      <c r="T780" s="2" t="s">
        <v>403</v>
      </c>
      <c r="U780" s="2" t="s">
        <v>6229</v>
      </c>
      <c r="V780" s="2"/>
      <c r="W780" s="2" t="s">
        <v>42</v>
      </c>
      <c r="X780" s="2" t="s">
        <v>43</v>
      </c>
      <c r="Y780" s="2" t="s">
        <v>37</v>
      </c>
      <c r="Z780" s="2" t="s">
        <v>44</v>
      </c>
      <c r="AA780" s="2"/>
      <c r="AB780" s="2"/>
      <c r="AC780" s="2" t="s">
        <v>6230</v>
      </c>
      <c r="AD780" s="2" t="s">
        <v>46</v>
      </c>
    </row>
    <row r="781" customFormat="false" ht="15.7" hidden="false" customHeight="true" outlineLevel="0" collapsed="false">
      <c r="A781" s="2"/>
      <c r="B781" s="3" t="n">
        <f aca="false">DATE(2007,9,24)</f>
        <v>0</v>
      </c>
      <c r="C781" s="3" t="n">
        <v>39349</v>
      </c>
      <c r="D781" s="2" t="s">
        <v>6231</v>
      </c>
      <c r="F781" s="2" t="s">
        <v>6232</v>
      </c>
      <c r="G781" s="2" t="s">
        <v>6233</v>
      </c>
      <c r="H781" s="2" t="s">
        <v>6234</v>
      </c>
      <c r="I781" s="2" t="s">
        <v>51</v>
      </c>
      <c r="J781" s="2" t="s">
        <v>3176</v>
      </c>
      <c r="K781" s="2" t="s">
        <v>6235</v>
      </c>
      <c r="L781" s="2" t="s">
        <v>51</v>
      </c>
      <c r="M781" s="2" t="s">
        <v>6236</v>
      </c>
      <c r="N781" s="2" t="s">
        <v>6237</v>
      </c>
      <c r="O781" s="2"/>
      <c r="P781" s="2" t="s">
        <v>37</v>
      </c>
      <c r="Q781" s="4" t="n">
        <v>8731</v>
      </c>
      <c r="R781" s="2" t="s">
        <v>56</v>
      </c>
      <c r="S781" s="2" t="s">
        <v>788</v>
      </c>
      <c r="T781" s="2" t="s">
        <v>40</v>
      </c>
      <c r="U781" s="2" t="s">
        <v>6238</v>
      </c>
      <c r="V781" s="2"/>
      <c r="W781" s="2" t="s">
        <v>697</v>
      </c>
      <c r="X781" s="2" t="s">
        <v>43</v>
      </c>
      <c r="Y781" s="2" t="s">
        <v>37</v>
      </c>
      <c r="Z781" s="2" t="s">
        <v>44</v>
      </c>
      <c r="AA781" s="2"/>
      <c r="AB781" s="2"/>
      <c r="AC781" s="2" t="s">
        <v>6239</v>
      </c>
      <c r="AD781" s="2" t="s">
        <v>46</v>
      </c>
    </row>
    <row r="782" customFormat="false" ht="15.7" hidden="false" customHeight="true" outlineLevel="0" collapsed="false">
      <c r="A782" s="2"/>
      <c r="B782" s="3" t="n">
        <f aca="false">DATE(2007,9,25)</f>
        <v>0</v>
      </c>
      <c r="C782" s="3" t="n">
        <v>39350</v>
      </c>
      <c r="D782" s="2" t="s">
        <v>6240</v>
      </c>
      <c r="F782" s="2" t="s">
        <v>6241</v>
      </c>
      <c r="G782" s="2" t="s">
        <v>6242</v>
      </c>
      <c r="H782" s="2" t="s">
        <v>6243</v>
      </c>
      <c r="I782" s="2" t="s">
        <v>965</v>
      </c>
      <c r="J782" s="2" t="s">
        <v>132</v>
      </c>
      <c r="K782" s="2" t="s">
        <v>6244</v>
      </c>
      <c r="L782" s="2" t="s">
        <v>6245</v>
      </c>
      <c r="M782" s="2" t="s">
        <v>6246</v>
      </c>
      <c r="N782" s="2" t="s">
        <v>6247</v>
      </c>
      <c r="O782" s="2"/>
      <c r="P782" s="2" t="s">
        <v>37</v>
      </c>
      <c r="Q782" s="4" t="n">
        <v>8731</v>
      </c>
      <c r="R782" s="2" t="s">
        <v>136</v>
      </c>
      <c r="S782" s="2" t="s">
        <v>39</v>
      </c>
      <c r="T782" s="2" t="s">
        <v>40</v>
      </c>
      <c r="U782" s="2" t="s">
        <v>6248</v>
      </c>
      <c r="V782" s="2"/>
      <c r="W782" s="2" t="s">
        <v>42</v>
      </c>
      <c r="X782" s="2" t="s">
        <v>43</v>
      </c>
      <c r="Y782" s="2" t="s">
        <v>37</v>
      </c>
      <c r="Z782" s="2" t="s">
        <v>44</v>
      </c>
      <c r="AA782" s="2"/>
      <c r="AB782" s="2"/>
      <c r="AC782" s="2" t="s">
        <v>6249</v>
      </c>
      <c r="AD782" s="2" t="s">
        <v>46</v>
      </c>
    </row>
    <row r="783" customFormat="false" ht="15.7" hidden="false" customHeight="true" outlineLevel="0" collapsed="false">
      <c r="A783" s="2"/>
      <c r="B783" s="3" t="n">
        <f aca="false">DATE(2007,9,26)</f>
        <v>0</v>
      </c>
      <c r="C783" s="3" t="n">
        <v>39351</v>
      </c>
      <c r="D783" s="2" t="s">
        <v>6250</v>
      </c>
      <c r="F783" s="2" t="s">
        <v>6251</v>
      </c>
      <c r="G783" s="2" t="s">
        <v>6252</v>
      </c>
      <c r="H783" s="2" t="s">
        <v>6253</v>
      </c>
      <c r="I783" s="2" t="s">
        <v>3103</v>
      </c>
      <c r="J783" s="2" t="s">
        <v>1413</v>
      </c>
      <c r="K783" s="2" t="s">
        <v>6250</v>
      </c>
      <c r="L783" s="2" t="s">
        <v>3103</v>
      </c>
      <c r="M783" s="2" t="s">
        <v>6253</v>
      </c>
      <c r="N783" s="2" t="s">
        <v>6254</v>
      </c>
      <c r="O783" s="2"/>
      <c r="P783" s="2" t="s">
        <v>37</v>
      </c>
      <c r="Q783" s="4" t="n">
        <v>8731</v>
      </c>
      <c r="R783" s="2" t="s">
        <v>136</v>
      </c>
      <c r="S783" s="2" t="s">
        <v>39</v>
      </c>
      <c r="T783" s="2" t="s">
        <v>40</v>
      </c>
      <c r="U783" s="2" t="s">
        <v>6255</v>
      </c>
      <c r="V783" s="2"/>
      <c r="W783" s="2" t="s">
        <v>42</v>
      </c>
      <c r="X783" s="2" t="s">
        <v>43</v>
      </c>
      <c r="Y783" s="2" t="s">
        <v>37</v>
      </c>
      <c r="Z783" s="2" t="s">
        <v>44</v>
      </c>
      <c r="AA783" s="2"/>
      <c r="AB783" s="2"/>
      <c r="AC783" s="2" t="s">
        <v>6256</v>
      </c>
      <c r="AD783" s="2" t="s">
        <v>46</v>
      </c>
    </row>
    <row r="784" customFormat="false" ht="15.7" hidden="false" customHeight="true" outlineLevel="0" collapsed="false">
      <c r="A784" s="2"/>
      <c r="B784" s="3" t="n">
        <f aca="false">DATE(2007,9,26)</f>
        <v>0</v>
      </c>
      <c r="C784" s="3" t="n">
        <v>39351</v>
      </c>
      <c r="D784" s="2" t="s">
        <v>6257</v>
      </c>
      <c r="F784" s="2" t="s">
        <v>6258</v>
      </c>
      <c r="G784" s="2" t="s">
        <v>6259</v>
      </c>
      <c r="H784" s="2" t="s">
        <v>6260</v>
      </c>
      <c r="I784" s="2" t="s">
        <v>1645</v>
      </c>
      <c r="J784" s="2" t="s">
        <v>35</v>
      </c>
      <c r="K784" s="2" t="s">
        <v>6261</v>
      </c>
      <c r="L784" s="2" t="s">
        <v>1645</v>
      </c>
      <c r="M784" s="2" t="s">
        <v>6262</v>
      </c>
      <c r="N784" s="2" t="s">
        <v>6263</v>
      </c>
      <c r="O784" s="2"/>
      <c r="P784" s="2" t="s">
        <v>37</v>
      </c>
      <c r="Q784" s="4" t="n">
        <v>8731</v>
      </c>
      <c r="R784" s="2" t="s">
        <v>1402</v>
      </c>
      <c r="S784" s="2" t="s">
        <v>39</v>
      </c>
      <c r="T784" s="2" t="s">
        <v>40</v>
      </c>
      <c r="U784" s="2" t="s">
        <v>6264</v>
      </c>
      <c r="V784" s="2"/>
      <c r="W784" s="2" t="s">
        <v>42</v>
      </c>
      <c r="X784" s="2" t="s">
        <v>43</v>
      </c>
      <c r="Y784" s="2" t="s">
        <v>37</v>
      </c>
      <c r="Z784" s="2" t="s">
        <v>44</v>
      </c>
      <c r="AA784" s="2" t="s">
        <v>6265</v>
      </c>
      <c r="AB784" s="2"/>
      <c r="AC784" s="2" t="s">
        <v>6266</v>
      </c>
      <c r="AD784" s="2" t="s">
        <v>46</v>
      </c>
    </row>
    <row r="785" customFormat="false" ht="15.7" hidden="false" customHeight="true" outlineLevel="0" collapsed="false">
      <c r="A785" s="2"/>
      <c r="B785" s="3" t="n">
        <f aca="false">DATE(2007,9,27)</f>
        <v>0</v>
      </c>
      <c r="C785" s="3" t="n">
        <v>39352</v>
      </c>
      <c r="D785" s="2" t="s">
        <v>6267</v>
      </c>
      <c r="F785" s="2" t="s">
        <v>6268</v>
      </c>
      <c r="G785" s="2" t="s">
        <v>6269</v>
      </c>
      <c r="H785" s="2" t="s">
        <v>6270</v>
      </c>
      <c r="I785" s="2" t="s">
        <v>51</v>
      </c>
      <c r="J785" s="2" t="s">
        <v>6271</v>
      </c>
      <c r="K785" s="2" t="s">
        <v>6267</v>
      </c>
      <c r="L785" s="2" t="s">
        <v>51</v>
      </c>
      <c r="M785" s="2" t="s">
        <v>6270</v>
      </c>
      <c r="N785" s="2" t="s">
        <v>6272</v>
      </c>
      <c r="O785" s="2"/>
      <c r="P785" s="2" t="s">
        <v>37</v>
      </c>
      <c r="Q785" s="4" t="n">
        <v>8731</v>
      </c>
      <c r="R785" s="2" t="s">
        <v>136</v>
      </c>
      <c r="S785" s="2" t="s">
        <v>39</v>
      </c>
      <c r="T785" s="2" t="s">
        <v>40</v>
      </c>
      <c r="U785" s="2" t="s">
        <v>6273</v>
      </c>
      <c r="V785" s="2"/>
      <c r="W785" s="2" t="s">
        <v>42</v>
      </c>
      <c r="X785" s="2" t="s">
        <v>43</v>
      </c>
      <c r="Y785" s="2" t="s">
        <v>37</v>
      </c>
      <c r="Z785" s="2" t="s">
        <v>44</v>
      </c>
      <c r="AA785" s="2"/>
      <c r="AB785" s="2"/>
      <c r="AC785" s="2" t="s">
        <v>6274</v>
      </c>
      <c r="AD785" s="2" t="s">
        <v>46</v>
      </c>
    </row>
    <row r="786" customFormat="false" ht="15.7" hidden="false" customHeight="true" outlineLevel="0" collapsed="false">
      <c r="A786" s="2"/>
      <c r="B786" s="3" t="n">
        <f aca="false">DATE(2007,9,27)</f>
        <v>0</v>
      </c>
      <c r="C786" s="3" t="n">
        <v>39352</v>
      </c>
      <c r="D786" s="2" t="s">
        <v>6275</v>
      </c>
      <c r="F786" s="2" t="s">
        <v>6276</v>
      </c>
      <c r="G786" s="2" t="s">
        <v>6277</v>
      </c>
      <c r="H786" s="2" t="s">
        <v>6278</v>
      </c>
      <c r="I786" s="2" t="s">
        <v>257</v>
      </c>
      <c r="J786" s="2" t="s">
        <v>1891</v>
      </c>
      <c r="K786" s="2" t="s">
        <v>6275</v>
      </c>
      <c r="L786" s="2" t="s">
        <v>257</v>
      </c>
      <c r="M786" s="2" t="s">
        <v>6278</v>
      </c>
      <c r="N786" s="2" t="s">
        <v>6279</v>
      </c>
      <c r="O786" s="2"/>
      <c r="P786" s="2" t="s">
        <v>37</v>
      </c>
      <c r="Q786" s="4" t="n">
        <v>8731</v>
      </c>
      <c r="R786" s="2" t="s">
        <v>136</v>
      </c>
      <c r="S786" s="2" t="s">
        <v>39</v>
      </c>
      <c r="T786" s="2" t="s">
        <v>673</v>
      </c>
      <c r="U786" s="2" t="s">
        <v>6280</v>
      </c>
      <c r="V786" s="2"/>
      <c r="W786" s="2" t="s">
        <v>138</v>
      </c>
      <c r="X786" s="2" t="s">
        <v>43</v>
      </c>
      <c r="Y786" s="2" t="s">
        <v>37</v>
      </c>
      <c r="Z786" s="2" t="s">
        <v>44</v>
      </c>
      <c r="AA786" s="2"/>
      <c r="AB786" s="2"/>
      <c r="AC786" s="2" t="s">
        <v>6281</v>
      </c>
      <c r="AD786" s="2" t="s">
        <v>46</v>
      </c>
    </row>
    <row r="787" customFormat="false" ht="15.7" hidden="false" customHeight="true" outlineLevel="0" collapsed="false">
      <c r="A787" s="2"/>
      <c r="B787" s="3" t="n">
        <f aca="false">DATE(2007,10,1)</f>
        <v>0</v>
      </c>
      <c r="C787" s="3" t="n">
        <v>39356</v>
      </c>
      <c r="D787" s="2" t="s">
        <v>6282</v>
      </c>
      <c r="F787" s="2" t="s">
        <v>6283</v>
      </c>
      <c r="G787" s="2" t="s">
        <v>6284</v>
      </c>
      <c r="H787" s="2" t="s">
        <v>6285</v>
      </c>
      <c r="I787" s="2" t="s">
        <v>51</v>
      </c>
      <c r="J787" s="2" t="s">
        <v>3176</v>
      </c>
      <c r="K787" s="2" t="s">
        <v>6286</v>
      </c>
      <c r="L787" s="2" t="s">
        <v>51</v>
      </c>
      <c r="M787" s="2" t="s">
        <v>6287</v>
      </c>
      <c r="N787" s="2" t="s">
        <v>6288</v>
      </c>
      <c r="O787" s="2"/>
      <c r="P787" s="2" t="s">
        <v>37</v>
      </c>
      <c r="Q787" s="4" t="n">
        <v>8731</v>
      </c>
      <c r="R787" s="2" t="s">
        <v>56</v>
      </c>
      <c r="S787" s="2" t="s">
        <v>788</v>
      </c>
      <c r="T787" s="2" t="s">
        <v>40</v>
      </c>
      <c r="U787" s="2" t="s">
        <v>6289</v>
      </c>
      <c r="V787" s="2"/>
      <c r="W787" s="2" t="s">
        <v>697</v>
      </c>
      <c r="X787" s="2" t="s">
        <v>43</v>
      </c>
      <c r="Y787" s="2" t="s">
        <v>37</v>
      </c>
      <c r="Z787" s="2" t="s">
        <v>44</v>
      </c>
      <c r="AA787" s="2"/>
      <c r="AB787" s="2"/>
      <c r="AC787" s="2" t="s">
        <v>6290</v>
      </c>
      <c r="AD787" s="2" t="s">
        <v>46</v>
      </c>
    </row>
    <row r="788" customFormat="false" ht="15.7" hidden="false" customHeight="true" outlineLevel="0" collapsed="false">
      <c r="A788" s="2"/>
      <c r="B788" s="3" t="n">
        <f aca="false">DATE(2007,10,2)</f>
        <v>0</v>
      </c>
      <c r="C788" s="3" t="n">
        <v>39357</v>
      </c>
      <c r="D788" s="2" t="s">
        <v>6291</v>
      </c>
      <c r="F788" s="2" t="s">
        <v>6292</v>
      </c>
      <c r="G788" s="2" t="s">
        <v>6293</v>
      </c>
      <c r="H788" s="2" t="s">
        <v>6294</v>
      </c>
      <c r="I788" s="2" t="s">
        <v>51</v>
      </c>
      <c r="J788" s="2" t="s">
        <v>5658</v>
      </c>
      <c r="K788" s="2" t="s">
        <v>6295</v>
      </c>
      <c r="L788" s="2" t="s">
        <v>180</v>
      </c>
      <c r="M788" s="2" t="s">
        <v>6296</v>
      </c>
      <c r="N788" s="2" t="s">
        <v>6297</v>
      </c>
      <c r="O788" s="2"/>
      <c r="P788" s="2" t="s">
        <v>37</v>
      </c>
      <c r="Q788" s="4" t="n">
        <v>8731</v>
      </c>
      <c r="R788" s="2" t="s">
        <v>56</v>
      </c>
      <c r="S788" s="2" t="s">
        <v>92</v>
      </c>
      <c r="T788" s="2" t="s">
        <v>40</v>
      </c>
      <c r="U788" s="2" t="s">
        <v>6298</v>
      </c>
      <c r="V788" s="2"/>
      <c r="W788" s="2" t="s">
        <v>42</v>
      </c>
      <c r="X788" s="2" t="s">
        <v>43</v>
      </c>
      <c r="Y788" s="2" t="s">
        <v>37</v>
      </c>
      <c r="Z788" s="2" t="s">
        <v>44</v>
      </c>
      <c r="AA788" s="2"/>
      <c r="AB788" s="2"/>
      <c r="AC788" s="2" t="s">
        <v>6299</v>
      </c>
      <c r="AD788" s="2" t="s">
        <v>46</v>
      </c>
    </row>
    <row r="789" customFormat="false" ht="15.7" hidden="false" customHeight="true" outlineLevel="0" collapsed="false">
      <c r="A789" s="2"/>
      <c r="B789" s="3" t="n">
        <f aca="false">DATE(2007,10,3)</f>
        <v>0</v>
      </c>
      <c r="C789" s="3" t="n">
        <v>39358</v>
      </c>
      <c r="D789" s="2" t="s">
        <v>6300</v>
      </c>
      <c r="F789" s="2" t="s">
        <v>6301</v>
      </c>
      <c r="G789" s="2" t="s">
        <v>6302</v>
      </c>
      <c r="H789" s="2" t="s">
        <v>1020</v>
      </c>
      <c r="I789" s="2" t="s">
        <v>51</v>
      </c>
      <c r="J789" s="2" t="s">
        <v>6303</v>
      </c>
      <c r="K789" s="2" t="s">
        <v>6304</v>
      </c>
      <c r="L789" s="2" t="s">
        <v>51</v>
      </c>
      <c r="M789" s="2" t="s">
        <v>6305</v>
      </c>
      <c r="N789" s="2" t="s">
        <v>6306</v>
      </c>
      <c r="O789" s="2"/>
      <c r="P789" s="2" t="s">
        <v>37</v>
      </c>
      <c r="Q789" s="4" t="n">
        <v>8731</v>
      </c>
      <c r="R789" s="2" t="s">
        <v>56</v>
      </c>
      <c r="S789" s="2" t="s">
        <v>251</v>
      </c>
      <c r="T789" s="2" t="s">
        <v>40</v>
      </c>
      <c r="U789" s="2" t="s">
        <v>6307</v>
      </c>
      <c r="V789" s="2"/>
      <c r="W789" s="2" t="s">
        <v>4505</v>
      </c>
      <c r="X789" s="2" t="s">
        <v>43</v>
      </c>
      <c r="Y789" s="2" t="s">
        <v>37</v>
      </c>
      <c r="Z789" s="2" t="s">
        <v>44</v>
      </c>
      <c r="AA789" s="2"/>
      <c r="AB789" s="2"/>
      <c r="AC789" s="2" t="s">
        <v>6308</v>
      </c>
      <c r="AD789" s="2" t="s">
        <v>46</v>
      </c>
    </row>
    <row r="790" customFormat="false" ht="15.7" hidden="false" customHeight="true" outlineLevel="0" collapsed="false">
      <c r="A790" s="2"/>
      <c r="B790" s="3" t="n">
        <f aca="false">DATE(2007,10,3)</f>
        <v>0</v>
      </c>
      <c r="C790" s="3" t="n">
        <v>39358</v>
      </c>
      <c r="D790" s="2" t="s">
        <v>6309</v>
      </c>
      <c r="F790" s="2" t="s">
        <v>6310</v>
      </c>
      <c r="G790" s="2" t="s">
        <v>6311</v>
      </c>
      <c r="H790" s="2" t="s">
        <v>523</v>
      </c>
      <c r="I790" s="2" t="s">
        <v>1904</v>
      </c>
      <c r="J790" s="2" t="s">
        <v>900</v>
      </c>
      <c r="K790" s="2" t="s">
        <v>6309</v>
      </c>
      <c r="L790" s="2" t="s">
        <v>1904</v>
      </c>
      <c r="M790" s="2" t="s">
        <v>523</v>
      </c>
      <c r="N790" s="2" t="s">
        <v>6312</v>
      </c>
      <c r="O790" s="2"/>
      <c r="P790" s="2" t="s">
        <v>37</v>
      </c>
      <c r="Q790" s="4" t="n">
        <v>8731</v>
      </c>
      <c r="R790" s="2" t="s">
        <v>450</v>
      </c>
      <c r="S790" s="2" t="s">
        <v>39</v>
      </c>
      <c r="T790" s="2" t="s">
        <v>403</v>
      </c>
      <c r="U790" s="2" t="s">
        <v>6313</v>
      </c>
      <c r="V790" s="2"/>
      <c r="W790" s="2" t="s">
        <v>42</v>
      </c>
      <c r="X790" s="2" t="s">
        <v>46</v>
      </c>
      <c r="Y790" s="2" t="s">
        <v>37</v>
      </c>
      <c r="Z790" s="2" t="s">
        <v>1639</v>
      </c>
      <c r="AA790" s="2"/>
      <c r="AB790" s="2"/>
      <c r="AC790" s="2" t="s">
        <v>6314</v>
      </c>
      <c r="AD790" s="2" t="s">
        <v>46</v>
      </c>
    </row>
    <row r="791" customFormat="false" ht="15.7" hidden="false" customHeight="true" outlineLevel="0" collapsed="false">
      <c r="A791" s="2"/>
      <c r="B791" s="3" t="n">
        <f aca="false">DATE(2007,10,4)</f>
        <v>0</v>
      </c>
      <c r="C791" s="3" t="n">
        <v>39359</v>
      </c>
      <c r="D791" s="2" t="s">
        <v>6315</v>
      </c>
      <c r="F791" s="2" t="s">
        <v>6316</v>
      </c>
      <c r="G791" s="2" t="s">
        <v>6317</v>
      </c>
      <c r="H791" s="2" t="s">
        <v>6318</v>
      </c>
      <c r="I791" s="2" t="s">
        <v>1415</v>
      </c>
      <c r="J791" s="2" t="s">
        <v>6170</v>
      </c>
      <c r="K791" s="2" t="s">
        <v>6315</v>
      </c>
      <c r="L791" s="2" t="s">
        <v>1415</v>
      </c>
      <c r="M791" s="2" t="s">
        <v>6318</v>
      </c>
      <c r="N791" s="2" t="s">
        <v>6319</v>
      </c>
      <c r="O791" s="2"/>
      <c r="P791" s="2" t="s">
        <v>37</v>
      </c>
      <c r="Q791" s="4" t="n">
        <v>8731</v>
      </c>
      <c r="R791" s="2" t="s">
        <v>136</v>
      </c>
      <c r="S791" s="2" t="s">
        <v>39</v>
      </c>
      <c r="T791" s="2" t="s">
        <v>40</v>
      </c>
      <c r="U791" s="2" t="s">
        <v>6320</v>
      </c>
      <c r="V791" s="2"/>
      <c r="W791" s="2" t="s">
        <v>42</v>
      </c>
      <c r="X791" s="2" t="s">
        <v>43</v>
      </c>
      <c r="Y791" s="2" t="s">
        <v>37</v>
      </c>
      <c r="Z791" s="2" t="s">
        <v>44</v>
      </c>
      <c r="AA791" s="2"/>
      <c r="AB791" s="2"/>
      <c r="AC791" s="2" t="s">
        <v>6321</v>
      </c>
      <c r="AD791" s="2" t="s">
        <v>46</v>
      </c>
    </row>
    <row r="792" customFormat="false" ht="15.7" hidden="false" customHeight="true" outlineLevel="0" collapsed="false">
      <c r="A792" s="2"/>
      <c r="B792" s="3" t="n">
        <f aca="false">DATE(2007,10,5)</f>
        <v>0</v>
      </c>
      <c r="C792" s="3" t="n">
        <v>39360</v>
      </c>
      <c r="D792" s="2" t="s">
        <v>6322</v>
      </c>
      <c r="F792" s="2" t="s">
        <v>6323</v>
      </c>
      <c r="G792" s="2" t="s">
        <v>6324</v>
      </c>
      <c r="H792" s="2" t="s">
        <v>3954</v>
      </c>
      <c r="I792" s="2" t="s">
        <v>51</v>
      </c>
      <c r="J792" s="2" t="s">
        <v>786</v>
      </c>
      <c r="K792" s="2" t="s">
        <v>6325</v>
      </c>
      <c r="L792" s="2" t="s">
        <v>6326</v>
      </c>
      <c r="M792" s="2" t="s">
        <v>6327</v>
      </c>
      <c r="N792" s="2" t="s">
        <v>6328</v>
      </c>
      <c r="O792" s="2"/>
      <c r="P792" s="2" t="s">
        <v>79</v>
      </c>
      <c r="Q792" s="4" t="n">
        <v>7373</v>
      </c>
      <c r="R792" s="2" t="s">
        <v>56</v>
      </c>
      <c r="S792" s="2" t="s">
        <v>92</v>
      </c>
      <c r="T792" s="2" t="s">
        <v>40</v>
      </c>
      <c r="U792" s="2" t="s">
        <v>6329</v>
      </c>
      <c r="V792" s="2"/>
      <c r="W792" s="2" t="s">
        <v>6330</v>
      </c>
      <c r="X792" s="2" t="s">
        <v>43</v>
      </c>
      <c r="Y792" s="2" t="s">
        <v>37</v>
      </c>
      <c r="Z792" s="2" t="s">
        <v>44</v>
      </c>
      <c r="AA792" s="2"/>
      <c r="AB792" s="2"/>
      <c r="AC792" s="2" t="s">
        <v>6331</v>
      </c>
      <c r="AD792" s="2" t="s">
        <v>46</v>
      </c>
    </row>
    <row r="793" customFormat="false" ht="15.7" hidden="false" customHeight="true" outlineLevel="0" collapsed="false">
      <c r="A793" s="2"/>
      <c r="B793" s="3" t="n">
        <f aca="false">DATE(2007,10,8)</f>
        <v>0</v>
      </c>
      <c r="C793" s="3" t="n">
        <v>39363</v>
      </c>
      <c r="D793" s="2" t="s">
        <v>6332</v>
      </c>
      <c r="F793" s="2" t="s">
        <v>6333</v>
      </c>
      <c r="G793" s="2" t="s">
        <v>6334</v>
      </c>
      <c r="H793" s="2" t="s">
        <v>6335</v>
      </c>
      <c r="I793" s="2" t="s">
        <v>685</v>
      </c>
      <c r="J793" s="2" t="s">
        <v>35</v>
      </c>
      <c r="K793" s="2" t="s">
        <v>6332</v>
      </c>
      <c r="L793" s="2" t="s">
        <v>685</v>
      </c>
      <c r="M793" s="2" t="s">
        <v>6335</v>
      </c>
      <c r="N793" s="2" t="s">
        <v>6336</v>
      </c>
      <c r="O793" s="2"/>
      <c r="P793" s="2" t="s">
        <v>37</v>
      </c>
      <c r="Q793" s="4" t="n">
        <v>8731</v>
      </c>
      <c r="R793" s="2" t="s">
        <v>688</v>
      </c>
      <c r="S793" s="2" t="s">
        <v>39</v>
      </c>
      <c r="T793" s="2" t="s">
        <v>40</v>
      </c>
      <c r="U793" s="2" t="s">
        <v>6337</v>
      </c>
      <c r="V793" s="2"/>
      <c r="W793" s="2" t="s">
        <v>3130</v>
      </c>
      <c r="X793" s="2" t="s">
        <v>43</v>
      </c>
      <c r="Y793" s="2" t="s">
        <v>37</v>
      </c>
      <c r="Z793" s="2" t="s">
        <v>44</v>
      </c>
      <c r="AA793" s="2"/>
      <c r="AB793" s="2"/>
      <c r="AC793" s="2" t="s">
        <v>6338</v>
      </c>
      <c r="AD793" s="2" t="s">
        <v>46</v>
      </c>
    </row>
    <row r="794" customFormat="false" ht="15.7" hidden="false" customHeight="true" outlineLevel="0" collapsed="false">
      <c r="A794" s="2"/>
      <c r="B794" s="3" t="n">
        <f aca="false">DATE(2007,10,8)</f>
        <v>0</v>
      </c>
      <c r="C794" s="3" t="n">
        <v>39363</v>
      </c>
      <c r="D794" s="2" t="s">
        <v>6339</v>
      </c>
      <c r="F794" s="2" t="s">
        <v>6340</v>
      </c>
      <c r="G794" s="2" t="s">
        <v>6341</v>
      </c>
      <c r="H794" s="2" t="s">
        <v>130</v>
      </c>
      <c r="I794" s="2" t="s">
        <v>388</v>
      </c>
      <c r="J794" s="2" t="s">
        <v>65</v>
      </c>
      <c r="K794" s="2" t="s">
        <v>6339</v>
      </c>
      <c r="L794" s="2" t="s">
        <v>388</v>
      </c>
      <c r="M794" s="2" t="s">
        <v>130</v>
      </c>
      <c r="N794" s="2" t="s">
        <v>6342</v>
      </c>
      <c r="O794" s="2"/>
      <c r="P794" s="2" t="s">
        <v>79</v>
      </c>
      <c r="Q794" s="4" t="n">
        <v>8731</v>
      </c>
      <c r="R794" s="2" t="s">
        <v>136</v>
      </c>
      <c r="S794" s="2" t="s">
        <v>39</v>
      </c>
      <c r="T794" s="2" t="s">
        <v>40</v>
      </c>
      <c r="U794" s="2" t="s">
        <v>6343</v>
      </c>
      <c r="V794" s="2"/>
      <c r="W794" s="2" t="s">
        <v>6344</v>
      </c>
      <c r="X794" s="2" t="s">
        <v>43</v>
      </c>
      <c r="Y794" s="2" t="s">
        <v>37</v>
      </c>
      <c r="Z794" s="2" t="s">
        <v>44</v>
      </c>
      <c r="AA794" s="2" t="s">
        <v>6345</v>
      </c>
      <c r="AB794" s="2"/>
      <c r="AC794" s="2" t="s">
        <v>6346</v>
      </c>
      <c r="AD794" s="2" t="s">
        <v>46</v>
      </c>
    </row>
    <row r="795" customFormat="false" ht="15.7" hidden="false" customHeight="true" outlineLevel="0" collapsed="false">
      <c r="A795" s="2"/>
      <c r="B795" s="3" t="n">
        <f aca="false">DATE(2007,10,8)</f>
        <v>0</v>
      </c>
      <c r="C795" s="3" t="n">
        <v>39363</v>
      </c>
      <c r="D795" s="2" t="s">
        <v>6347</v>
      </c>
      <c r="F795" s="2" t="s">
        <v>6348</v>
      </c>
      <c r="G795" s="2" t="s">
        <v>6349</v>
      </c>
      <c r="H795" s="2" t="s">
        <v>63</v>
      </c>
      <c r="I795" s="2" t="s">
        <v>685</v>
      </c>
      <c r="J795" s="2" t="s">
        <v>35</v>
      </c>
      <c r="K795" s="2" t="s">
        <v>6347</v>
      </c>
      <c r="L795" s="2" t="s">
        <v>685</v>
      </c>
      <c r="M795" s="2" t="s">
        <v>63</v>
      </c>
      <c r="N795" s="2" t="s">
        <v>6350</v>
      </c>
      <c r="O795" s="2"/>
      <c r="P795" s="2" t="s">
        <v>37</v>
      </c>
      <c r="Q795" s="4" t="n">
        <v>8731</v>
      </c>
      <c r="R795" s="2" t="s">
        <v>688</v>
      </c>
      <c r="S795" s="2" t="s">
        <v>39</v>
      </c>
      <c r="T795" s="2" t="s">
        <v>40</v>
      </c>
      <c r="U795" s="2" t="s">
        <v>6351</v>
      </c>
      <c r="V795" s="2"/>
      <c r="W795" s="2" t="s">
        <v>42</v>
      </c>
      <c r="X795" s="2" t="s">
        <v>43</v>
      </c>
      <c r="Y795" s="2" t="s">
        <v>37</v>
      </c>
      <c r="Z795" s="2" t="s">
        <v>44</v>
      </c>
      <c r="AA795" s="2"/>
      <c r="AB795" s="2"/>
      <c r="AC795" s="2" t="s">
        <v>6352</v>
      </c>
      <c r="AD795" s="2" t="s">
        <v>46</v>
      </c>
    </row>
    <row r="796" customFormat="false" ht="15.7" hidden="false" customHeight="true" outlineLevel="0" collapsed="false">
      <c r="A796" s="2"/>
      <c r="B796" s="3" t="n">
        <f aca="false">DATE(2007,10,9)</f>
        <v>0</v>
      </c>
      <c r="C796" s="3" t="n">
        <v>39364</v>
      </c>
      <c r="D796" s="2" t="s">
        <v>6353</v>
      </c>
      <c r="F796" s="2" t="s">
        <v>6354</v>
      </c>
      <c r="G796" s="2" t="s">
        <v>6355</v>
      </c>
      <c r="H796" s="2" t="s">
        <v>1101</v>
      </c>
      <c r="I796" s="2" t="s">
        <v>51</v>
      </c>
      <c r="J796" s="2" t="s">
        <v>1482</v>
      </c>
      <c r="K796" s="2" t="s">
        <v>6353</v>
      </c>
      <c r="L796" s="2" t="s">
        <v>51</v>
      </c>
      <c r="M796" s="2" t="s">
        <v>1101</v>
      </c>
      <c r="N796" s="2" t="s">
        <v>6356</v>
      </c>
      <c r="O796" s="2"/>
      <c r="P796" s="2" t="s">
        <v>37</v>
      </c>
      <c r="Q796" s="4" t="n">
        <v>8731</v>
      </c>
      <c r="R796" s="2" t="s">
        <v>56</v>
      </c>
      <c r="S796" s="2" t="s">
        <v>1484</v>
      </c>
      <c r="T796" s="2" t="s">
        <v>40</v>
      </c>
      <c r="U796" s="2" t="s">
        <v>6357</v>
      </c>
      <c r="V796" s="2"/>
      <c r="W796" s="2" t="s">
        <v>42</v>
      </c>
      <c r="X796" s="2" t="s">
        <v>43</v>
      </c>
      <c r="Y796" s="2" t="s">
        <v>37</v>
      </c>
      <c r="Z796" s="2" t="s">
        <v>44</v>
      </c>
      <c r="AA796" s="2"/>
      <c r="AB796" s="2"/>
      <c r="AC796" s="2" t="s">
        <v>6358</v>
      </c>
      <c r="AD796" s="2" t="s">
        <v>46</v>
      </c>
    </row>
    <row r="797" customFormat="false" ht="15.7" hidden="false" customHeight="true" outlineLevel="0" collapsed="false">
      <c r="A797" s="2"/>
      <c r="B797" s="3" t="n">
        <f aca="false">DATE(2007,10,10)</f>
        <v>0</v>
      </c>
      <c r="C797" s="3" t="n">
        <v>39365</v>
      </c>
      <c r="D797" s="2" t="s">
        <v>6359</v>
      </c>
      <c r="F797" s="2" t="s">
        <v>6360</v>
      </c>
      <c r="G797" s="2" t="s">
        <v>6361</v>
      </c>
      <c r="H797" s="2" t="s">
        <v>6362</v>
      </c>
      <c r="I797" s="2" t="s">
        <v>6363</v>
      </c>
      <c r="J797" s="2" t="s">
        <v>3276</v>
      </c>
      <c r="K797" s="2" t="s">
        <v>6364</v>
      </c>
      <c r="L797" s="2" t="s">
        <v>6363</v>
      </c>
      <c r="M797" s="2" t="s">
        <v>6365</v>
      </c>
      <c r="N797" s="2" t="s">
        <v>6366</v>
      </c>
      <c r="O797" s="2"/>
      <c r="P797" s="2" t="s">
        <v>37</v>
      </c>
      <c r="Q797" s="4" t="n">
        <v>8731</v>
      </c>
      <c r="R797" s="2" t="s">
        <v>1402</v>
      </c>
      <c r="S797" s="2" t="s">
        <v>39</v>
      </c>
      <c r="T797" s="2" t="s">
        <v>40</v>
      </c>
      <c r="U797" s="2" t="s">
        <v>6367</v>
      </c>
      <c r="V797" s="2"/>
      <c r="W797" s="2" t="s">
        <v>42</v>
      </c>
      <c r="X797" s="2" t="s">
        <v>43</v>
      </c>
      <c r="Y797" s="2" t="s">
        <v>37</v>
      </c>
      <c r="Z797" s="2" t="s">
        <v>916</v>
      </c>
      <c r="AA797" s="2"/>
      <c r="AB797" s="2"/>
      <c r="AC797" s="2" t="s">
        <v>6368</v>
      </c>
      <c r="AD797" s="2" t="s">
        <v>46</v>
      </c>
    </row>
    <row r="798" customFormat="false" ht="15.7" hidden="false" customHeight="true" outlineLevel="0" collapsed="false">
      <c r="A798" s="2"/>
      <c r="B798" s="3" t="n">
        <f aca="false">DATE(2007,10,11)</f>
        <v>0</v>
      </c>
      <c r="C798" s="3" t="n">
        <v>39366</v>
      </c>
      <c r="D798" s="2" t="s">
        <v>6369</v>
      </c>
      <c r="F798" s="2" t="s">
        <v>6370</v>
      </c>
      <c r="G798" s="2" t="s">
        <v>6371</v>
      </c>
      <c r="H798" s="2" t="s">
        <v>6372</v>
      </c>
      <c r="I798" s="2" t="s">
        <v>51</v>
      </c>
      <c r="J798" s="2" t="s">
        <v>6373</v>
      </c>
      <c r="K798" s="2" t="s">
        <v>6369</v>
      </c>
      <c r="L798" s="2" t="s">
        <v>51</v>
      </c>
      <c r="M798" s="2" t="s">
        <v>6372</v>
      </c>
      <c r="N798" s="2" t="s">
        <v>6374</v>
      </c>
      <c r="O798" s="2"/>
      <c r="P798" s="2" t="s">
        <v>37</v>
      </c>
      <c r="Q798" s="4" t="n">
        <v>8731</v>
      </c>
      <c r="R798" s="2" t="s">
        <v>56</v>
      </c>
      <c r="S798" s="2" t="s">
        <v>92</v>
      </c>
      <c r="T798" s="2" t="s">
        <v>40</v>
      </c>
      <c r="U798" s="2" t="s">
        <v>6375</v>
      </c>
      <c r="V798" s="2"/>
      <c r="W798" s="2" t="s">
        <v>42</v>
      </c>
      <c r="X798" s="2" t="s">
        <v>43</v>
      </c>
      <c r="Y798" s="2" t="s">
        <v>37</v>
      </c>
      <c r="Z798" s="2" t="s">
        <v>44</v>
      </c>
      <c r="AA798" s="2"/>
      <c r="AB798" s="2"/>
      <c r="AC798" s="2" t="s">
        <v>6376</v>
      </c>
      <c r="AD798" s="2" t="s">
        <v>46</v>
      </c>
    </row>
    <row r="799" customFormat="false" ht="15.7" hidden="false" customHeight="true" outlineLevel="0" collapsed="false">
      <c r="A799" s="2"/>
      <c r="B799" s="3" t="n">
        <f aca="false">DATE(2007,10,16)</f>
        <v>0</v>
      </c>
      <c r="C799" s="3" t="n">
        <v>39371</v>
      </c>
      <c r="D799" s="2" t="s">
        <v>6377</v>
      </c>
      <c r="F799" s="2" t="s">
        <v>6378</v>
      </c>
      <c r="G799" s="2" t="s">
        <v>6379</v>
      </c>
      <c r="H799" s="2" t="s">
        <v>6380</v>
      </c>
      <c r="I799" s="2" t="s">
        <v>51</v>
      </c>
      <c r="J799" s="2" t="s">
        <v>6381</v>
      </c>
      <c r="K799" s="2" t="s">
        <v>6377</v>
      </c>
      <c r="L799" s="2" t="s">
        <v>51</v>
      </c>
      <c r="M799" s="2" t="s">
        <v>6380</v>
      </c>
      <c r="N799" s="2" t="s">
        <v>6382</v>
      </c>
      <c r="O799" s="2"/>
      <c r="P799" s="2" t="s">
        <v>37</v>
      </c>
      <c r="Q799" s="4" t="n">
        <v>8731</v>
      </c>
      <c r="R799" s="2" t="s">
        <v>56</v>
      </c>
      <c r="S799" s="2" t="s">
        <v>380</v>
      </c>
      <c r="T799" s="2" t="s">
        <v>673</v>
      </c>
      <c r="U799" s="2" t="s">
        <v>6383</v>
      </c>
      <c r="V799" s="2"/>
      <c r="W799" s="2" t="s">
        <v>138</v>
      </c>
      <c r="X799" s="2" t="s">
        <v>46</v>
      </c>
      <c r="Y799" s="2" t="s">
        <v>37</v>
      </c>
      <c r="Z799" s="2" t="s">
        <v>362</v>
      </c>
      <c r="AA799" s="2"/>
      <c r="AB799" s="2"/>
      <c r="AC799" s="2" t="s">
        <v>6384</v>
      </c>
      <c r="AD799" s="2" t="s">
        <v>46</v>
      </c>
    </row>
    <row r="800" customFormat="false" ht="15.7" hidden="false" customHeight="true" outlineLevel="0" collapsed="false">
      <c r="A800" s="2"/>
      <c r="B800" s="3" t="n">
        <f aca="false">DATE(2007,10,17)</f>
        <v>0</v>
      </c>
      <c r="C800" s="3" t="n">
        <v>39372</v>
      </c>
      <c r="D800" s="2" t="s">
        <v>6385</v>
      </c>
      <c r="F800" s="2" t="s">
        <v>6386</v>
      </c>
      <c r="G800" s="2" t="s">
        <v>6387</v>
      </c>
      <c r="H800" s="2" t="s">
        <v>6388</v>
      </c>
      <c r="I800" s="2" t="s">
        <v>6389</v>
      </c>
      <c r="J800" s="2" t="s">
        <v>6390</v>
      </c>
      <c r="K800" s="2" t="s">
        <v>6385</v>
      </c>
      <c r="L800" s="2" t="s">
        <v>6389</v>
      </c>
      <c r="M800" s="2" t="s">
        <v>6388</v>
      </c>
      <c r="N800" s="2" t="s">
        <v>6391</v>
      </c>
      <c r="O800" s="2"/>
      <c r="P800" s="2" t="s">
        <v>37</v>
      </c>
      <c r="Q800" s="4" t="n">
        <v>8731</v>
      </c>
      <c r="R800" s="2" t="s">
        <v>38</v>
      </c>
      <c r="S800" s="2" t="s">
        <v>39</v>
      </c>
      <c r="T800" s="2" t="s">
        <v>40</v>
      </c>
      <c r="U800" s="2" t="s">
        <v>6392</v>
      </c>
      <c r="V800" s="2"/>
      <c r="W800" s="2" t="s">
        <v>138</v>
      </c>
      <c r="X800" s="2" t="s">
        <v>43</v>
      </c>
      <c r="Y800" s="2" t="s">
        <v>37</v>
      </c>
      <c r="Z800" s="2" t="s">
        <v>916</v>
      </c>
      <c r="AA800" s="2"/>
      <c r="AB800" s="2"/>
      <c r="AC800" s="2" t="s">
        <v>6393</v>
      </c>
      <c r="AD800" s="2" t="s">
        <v>46</v>
      </c>
    </row>
    <row r="801" customFormat="false" ht="15.7" hidden="false" customHeight="true" outlineLevel="0" collapsed="false">
      <c r="A801" s="2"/>
      <c r="B801" s="3" t="n">
        <f aca="false">DATE(2007,10,18)</f>
        <v>0</v>
      </c>
      <c r="C801" s="3" t="n">
        <v>39373</v>
      </c>
      <c r="D801" s="2" t="s">
        <v>6394</v>
      </c>
      <c r="F801" s="2" t="s">
        <v>6395</v>
      </c>
      <c r="G801" s="2" t="s">
        <v>6396</v>
      </c>
      <c r="H801" s="2" t="s">
        <v>130</v>
      </c>
      <c r="I801" s="2" t="s">
        <v>51</v>
      </c>
      <c r="J801" s="2" t="s">
        <v>6397</v>
      </c>
      <c r="K801" s="2" t="s">
        <v>6394</v>
      </c>
      <c r="L801" s="2" t="s">
        <v>51</v>
      </c>
      <c r="M801" s="2" t="s">
        <v>130</v>
      </c>
      <c r="N801" s="2" t="s">
        <v>6398</v>
      </c>
      <c r="O801" s="2"/>
      <c r="P801" s="2" t="s">
        <v>37</v>
      </c>
      <c r="Q801" s="4" t="n">
        <v>8731</v>
      </c>
      <c r="R801" s="2" t="s">
        <v>56</v>
      </c>
      <c r="S801" s="2" t="s">
        <v>92</v>
      </c>
      <c r="T801" s="2" t="s">
        <v>40</v>
      </c>
      <c r="U801" s="2" t="s">
        <v>6399</v>
      </c>
      <c r="V801" s="2"/>
      <c r="W801" s="2" t="s">
        <v>42</v>
      </c>
      <c r="X801" s="2" t="s">
        <v>43</v>
      </c>
      <c r="Y801" s="2" t="s">
        <v>37</v>
      </c>
      <c r="Z801" s="2" t="s">
        <v>44</v>
      </c>
      <c r="AA801" s="2"/>
      <c r="AB801" s="2"/>
      <c r="AC801" s="2" t="s">
        <v>6400</v>
      </c>
      <c r="AD801" s="2" t="s">
        <v>46</v>
      </c>
    </row>
    <row r="802" customFormat="false" ht="15.7" hidden="false" customHeight="true" outlineLevel="0" collapsed="false">
      <c r="A802" s="2"/>
      <c r="B802" s="3" t="n">
        <f aca="false">DATE(2007,10,19)</f>
        <v>0</v>
      </c>
      <c r="C802" s="3" t="n">
        <v>39374</v>
      </c>
      <c r="D802" s="2" t="s">
        <v>6401</v>
      </c>
      <c r="F802" s="2" t="s">
        <v>6402</v>
      </c>
      <c r="G802" s="2" t="s">
        <v>6403</v>
      </c>
      <c r="H802" s="2" t="s">
        <v>6404</v>
      </c>
      <c r="I802" s="2" t="s">
        <v>51</v>
      </c>
      <c r="J802" s="2" t="s">
        <v>6405</v>
      </c>
      <c r="K802" s="2" t="s">
        <v>6406</v>
      </c>
      <c r="L802" s="2" t="s">
        <v>180</v>
      </c>
      <c r="M802" s="2" t="s">
        <v>6407</v>
      </c>
      <c r="N802" s="2" t="s">
        <v>6408</v>
      </c>
      <c r="O802" s="2"/>
      <c r="P802" s="2" t="s">
        <v>79</v>
      </c>
      <c r="Q802" s="4" t="n">
        <v>6794</v>
      </c>
      <c r="R802" s="2" t="s">
        <v>56</v>
      </c>
      <c r="S802" s="2" t="s">
        <v>315</v>
      </c>
      <c r="T802" s="2" t="s">
        <v>40</v>
      </c>
      <c r="U802" s="2" t="s">
        <v>6409</v>
      </c>
      <c r="V802" s="2"/>
      <c r="W802" s="2" t="s">
        <v>82</v>
      </c>
      <c r="X802" s="2" t="s">
        <v>43</v>
      </c>
      <c r="Y802" s="2" t="s">
        <v>37</v>
      </c>
      <c r="Z802" s="2" t="s">
        <v>44</v>
      </c>
      <c r="AA802" s="2"/>
      <c r="AB802" s="2"/>
      <c r="AC802" s="2" t="s">
        <v>6410</v>
      </c>
      <c r="AD802" s="2" t="s">
        <v>46</v>
      </c>
    </row>
    <row r="803" customFormat="false" ht="15.7" hidden="false" customHeight="true" outlineLevel="0" collapsed="false">
      <c r="A803" s="2"/>
      <c r="B803" s="3" t="n">
        <f aca="false">DATE(2007,10,22)</f>
        <v>0</v>
      </c>
      <c r="C803" s="3" t="n">
        <v>39377</v>
      </c>
      <c r="D803" s="2" t="s">
        <v>6411</v>
      </c>
      <c r="F803" s="2" t="s">
        <v>6412</v>
      </c>
      <c r="G803" s="2" t="s">
        <v>6413</v>
      </c>
      <c r="H803" s="2" t="s">
        <v>6414</v>
      </c>
      <c r="I803" s="2" t="s">
        <v>296</v>
      </c>
      <c r="J803" s="2" t="s">
        <v>155</v>
      </c>
      <c r="K803" s="2" t="s">
        <v>6415</v>
      </c>
      <c r="L803" s="2" t="s">
        <v>296</v>
      </c>
      <c r="M803" s="2" t="s">
        <v>6416</v>
      </c>
      <c r="N803" s="2" t="s">
        <v>6417</v>
      </c>
      <c r="O803" s="2"/>
      <c r="P803" s="2" t="s">
        <v>37</v>
      </c>
      <c r="Q803" s="4" t="n">
        <v>8731</v>
      </c>
      <c r="R803" s="2" t="s">
        <v>136</v>
      </c>
      <c r="S803" s="2" t="s">
        <v>39</v>
      </c>
      <c r="T803" s="2" t="s">
        <v>40</v>
      </c>
      <c r="U803" s="2" t="s">
        <v>6418</v>
      </c>
      <c r="V803" s="2"/>
      <c r="W803" s="2" t="s">
        <v>42</v>
      </c>
      <c r="X803" s="2" t="s">
        <v>43</v>
      </c>
      <c r="Y803" s="2" t="s">
        <v>37</v>
      </c>
      <c r="Z803" s="2" t="s">
        <v>44</v>
      </c>
      <c r="AA803" s="2"/>
      <c r="AB803" s="2"/>
      <c r="AC803" s="2" t="s">
        <v>6419</v>
      </c>
      <c r="AD803" s="2" t="s">
        <v>46</v>
      </c>
    </row>
    <row r="804" customFormat="false" ht="15.7" hidden="false" customHeight="true" outlineLevel="0" collapsed="false">
      <c r="A804" s="2"/>
      <c r="B804" s="3" t="n">
        <f aca="false">DATE(2007,10,22)</f>
        <v>0</v>
      </c>
      <c r="C804" s="3" t="n">
        <v>39377</v>
      </c>
      <c r="D804" s="2" t="s">
        <v>6420</v>
      </c>
      <c r="F804" s="2" t="s">
        <v>6421</v>
      </c>
      <c r="G804" s="2" t="s">
        <v>6422</v>
      </c>
      <c r="H804" s="2" t="s">
        <v>2553</v>
      </c>
      <c r="I804" s="2" t="s">
        <v>6423</v>
      </c>
      <c r="J804" s="2" t="s">
        <v>35</v>
      </c>
      <c r="K804" s="2" t="s">
        <v>6420</v>
      </c>
      <c r="L804" s="2" t="s">
        <v>6423</v>
      </c>
      <c r="M804" s="2" t="s">
        <v>2553</v>
      </c>
      <c r="N804" s="2" t="s">
        <v>6424</v>
      </c>
      <c r="O804" s="2"/>
      <c r="P804" s="2" t="s">
        <v>37</v>
      </c>
      <c r="Q804" s="4" t="n">
        <v>8731</v>
      </c>
      <c r="R804" s="2" t="s">
        <v>136</v>
      </c>
      <c r="S804" s="2" t="s">
        <v>39</v>
      </c>
      <c r="T804" s="2" t="s">
        <v>40</v>
      </c>
      <c r="U804" s="2" t="s">
        <v>6425</v>
      </c>
      <c r="V804" s="2"/>
      <c r="W804" s="2" t="s">
        <v>42</v>
      </c>
      <c r="X804" s="2" t="s">
        <v>43</v>
      </c>
      <c r="Y804" s="2" t="s">
        <v>37</v>
      </c>
      <c r="Z804" s="2" t="s">
        <v>44</v>
      </c>
      <c r="AA804" s="2"/>
      <c r="AB804" s="2"/>
      <c r="AC804" s="2" t="s">
        <v>6426</v>
      </c>
      <c r="AD804" s="2" t="s">
        <v>46</v>
      </c>
    </row>
    <row r="805" customFormat="false" ht="15.7" hidden="false" customHeight="true" outlineLevel="0" collapsed="false">
      <c r="A805" s="2"/>
      <c r="B805" s="3" t="n">
        <f aca="false">DATE(2007,10,22)</f>
        <v>0</v>
      </c>
      <c r="C805" s="3" t="n">
        <v>39377</v>
      </c>
      <c r="D805" s="2" t="s">
        <v>6427</v>
      </c>
      <c r="F805" s="2" t="s">
        <v>6428</v>
      </c>
      <c r="G805" s="2" t="s">
        <v>6429</v>
      </c>
      <c r="H805" s="2" t="s">
        <v>4315</v>
      </c>
      <c r="I805" s="2" t="s">
        <v>6430</v>
      </c>
      <c r="J805" s="2" t="s">
        <v>35</v>
      </c>
      <c r="K805" s="2" t="s">
        <v>6427</v>
      </c>
      <c r="L805" s="2" t="s">
        <v>6430</v>
      </c>
      <c r="M805" s="2" t="s">
        <v>4315</v>
      </c>
      <c r="N805" s="2" t="s">
        <v>6431</v>
      </c>
      <c r="O805" s="2"/>
      <c r="P805" s="2" t="s">
        <v>37</v>
      </c>
      <c r="Q805" s="4" t="n">
        <v>8731</v>
      </c>
      <c r="R805" s="2" t="s">
        <v>136</v>
      </c>
      <c r="S805" s="2" t="s">
        <v>39</v>
      </c>
      <c r="T805" s="2" t="s">
        <v>40</v>
      </c>
      <c r="U805" s="2" t="s">
        <v>6432</v>
      </c>
      <c r="V805" s="2"/>
      <c r="W805" s="2" t="s">
        <v>42</v>
      </c>
      <c r="X805" s="2" t="s">
        <v>43</v>
      </c>
      <c r="Y805" s="2" t="s">
        <v>37</v>
      </c>
      <c r="Z805" s="2" t="s">
        <v>44</v>
      </c>
      <c r="AA805" s="2"/>
      <c r="AB805" s="2"/>
      <c r="AC805" s="2" t="s">
        <v>6433</v>
      </c>
      <c r="AD805" s="2" t="s">
        <v>46</v>
      </c>
    </row>
    <row r="806" customFormat="false" ht="15.7" hidden="false" customHeight="true" outlineLevel="0" collapsed="false">
      <c r="A806" s="2"/>
      <c r="B806" s="3" t="n">
        <f aca="false">DATE(2007,10,23)</f>
        <v>0</v>
      </c>
      <c r="C806" s="3" t="n">
        <v>39378</v>
      </c>
      <c r="D806" s="2" t="s">
        <v>6434</v>
      </c>
      <c r="F806" s="2" t="s">
        <v>6435</v>
      </c>
      <c r="G806" s="2" t="s">
        <v>6436</v>
      </c>
      <c r="H806" s="2" t="s">
        <v>130</v>
      </c>
      <c r="I806" s="2" t="s">
        <v>388</v>
      </c>
      <c r="J806" s="2" t="s">
        <v>625</v>
      </c>
      <c r="K806" s="2" t="s">
        <v>6434</v>
      </c>
      <c r="L806" s="2" t="s">
        <v>388</v>
      </c>
      <c r="M806" s="2" t="s">
        <v>130</v>
      </c>
      <c r="N806" s="2" t="s">
        <v>6437</v>
      </c>
      <c r="O806" s="2"/>
      <c r="P806" s="2" t="s">
        <v>37</v>
      </c>
      <c r="Q806" s="4" t="n">
        <v>8731</v>
      </c>
      <c r="R806" s="2" t="s">
        <v>136</v>
      </c>
      <c r="S806" s="2" t="s">
        <v>39</v>
      </c>
      <c r="T806" s="2" t="s">
        <v>40</v>
      </c>
      <c r="U806" s="2" t="s">
        <v>6438</v>
      </c>
      <c r="V806" s="2"/>
      <c r="W806" s="2" t="s">
        <v>42</v>
      </c>
      <c r="X806" s="2" t="s">
        <v>43</v>
      </c>
      <c r="Y806" s="2" t="s">
        <v>37</v>
      </c>
      <c r="Z806" s="2" t="s">
        <v>44</v>
      </c>
      <c r="AA806" s="2"/>
      <c r="AB806" s="2"/>
      <c r="AC806" s="2" t="s">
        <v>6439</v>
      </c>
      <c r="AD806" s="2" t="s">
        <v>46</v>
      </c>
    </row>
    <row r="807" customFormat="false" ht="15.7" hidden="false" customHeight="true" outlineLevel="0" collapsed="false">
      <c r="A807" s="2"/>
      <c r="B807" s="3" t="n">
        <f aca="false">DATE(2007,10,24)</f>
        <v>0</v>
      </c>
      <c r="C807" s="3" t="n">
        <v>39379</v>
      </c>
      <c r="D807" s="2" t="s">
        <v>6440</v>
      </c>
      <c r="F807" s="2" t="s">
        <v>6441</v>
      </c>
      <c r="G807" s="2" t="s">
        <v>6442</v>
      </c>
      <c r="H807" s="2" t="s">
        <v>305</v>
      </c>
      <c r="I807" s="2" t="s">
        <v>858</v>
      </c>
      <c r="J807" s="2" t="s">
        <v>35</v>
      </c>
      <c r="K807" s="2" t="s">
        <v>6443</v>
      </c>
      <c r="L807" s="2" t="s">
        <v>1412</v>
      </c>
      <c r="M807" s="2" t="s">
        <v>305</v>
      </c>
      <c r="N807" s="2" t="s">
        <v>6444</v>
      </c>
      <c r="O807" s="2"/>
      <c r="P807" s="2" t="s">
        <v>37</v>
      </c>
      <c r="Q807" s="4" t="n">
        <v>8731</v>
      </c>
      <c r="R807" s="2" t="s">
        <v>5704</v>
      </c>
      <c r="S807" s="2" t="s">
        <v>39</v>
      </c>
      <c r="T807" s="2" t="s">
        <v>40</v>
      </c>
      <c r="U807" s="2" t="s">
        <v>6445</v>
      </c>
      <c r="V807" s="2"/>
      <c r="W807" s="2" t="s">
        <v>42</v>
      </c>
      <c r="X807" s="2" t="s">
        <v>43</v>
      </c>
      <c r="Y807" s="2" t="s">
        <v>37</v>
      </c>
      <c r="Z807" s="2" t="s">
        <v>44</v>
      </c>
      <c r="AA807" s="2"/>
      <c r="AB807" s="2"/>
      <c r="AC807" s="2" t="s">
        <v>6446</v>
      </c>
      <c r="AD807" s="2" t="s">
        <v>46</v>
      </c>
    </row>
    <row r="808" customFormat="false" ht="15.7" hidden="false" customHeight="true" outlineLevel="0" collapsed="false">
      <c r="A808" s="2"/>
      <c r="B808" s="3" t="n">
        <f aca="false">DATE(2007,10,25)</f>
        <v>0</v>
      </c>
      <c r="C808" s="3" t="n">
        <v>39380</v>
      </c>
      <c r="D808" s="2" t="s">
        <v>6447</v>
      </c>
      <c r="F808" s="2" t="s">
        <v>6448</v>
      </c>
      <c r="G808" s="2" t="s">
        <v>6449</v>
      </c>
      <c r="H808" s="2" t="s">
        <v>6450</v>
      </c>
      <c r="I808" s="2" t="s">
        <v>3267</v>
      </c>
      <c r="J808" s="2" t="s">
        <v>795</v>
      </c>
      <c r="K808" s="2" t="s">
        <v>6447</v>
      </c>
      <c r="L808" s="2" t="s">
        <v>3267</v>
      </c>
      <c r="M808" s="2" t="s">
        <v>6450</v>
      </c>
      <c r="N808" s="2" t="s">
        <v>6451</v>
      </c>
      <c r="O808" s="2"/>
      <c r="P808" s="2" t="s">
        <v>37</v>
      </c>
      <c r="Q808" s="4" t="n">
        <v>8731</v>
      </c>
      <c r="R808" s="2" t="s">
        <v>136</v>
      </c>
      <c r="S808" s="2" t="s">
        <v>39</v>
      </c>
      <c r="T808" s="2" t="s">
        <v>40</v>
      </c>
      <c r="U808" s="2" t="s">
        <v>6452</v>
      </c>
      <c r="V808" s="2"/>
      <c r="W808" s="2" t="s">
        <v>42</v>
      </c>
      <c r="X808" s="2" t="s">
        <v>43</v>
      </c>
      <c r="Y808" s="2" t="s">
        <v>37</v>
      </c>
      <c r="Z808" s="2" t="s">
        <v>44</v>
      </c>
      <c r="AA808" s="2"/>
      <c r="AB808" s="2"/>
      <c r="AC808" s="2" t="s">
        <v>6453</v>
      </c>
      <c r="AD808" s="2" t="s">
        <v>46</v>
      </c>
    </row>
    <row r="809" customFormat="false" ht="15.7" hidden="false" customHeight="true" outlineLevel="0" collapsed="false">
      <c r="A809" s="2"/>
      <c r="B809" s="3" t="n">
        <f aca="false">DATE(2007,10,29)</f>
        <v>0</v>
      </c>
      <c r="C809" s="3" t="n">
        <v>39384</v>
      </c>
      <c r="D809" s="2" t="s">
        <v>6454</v>
      </c>
      <c r="F809" s="2" t="s">
        <v>6455</v>
      </c>
      <c r="G809" s="2" t="s">
        <v>6456</v>
      </c>
      <c r="H809" s="2" t="s">
        <v>2857</v>
      </c>
      <c r="I809" s="2" t="s">
        <v>369</v>
      </c>
      <c r="J809" s="2" t="s">
        <v>35</v>
      </c>
      <c r="K809" s="2" t="s">
        <v>6457</v>
      </c>
      <c r="L809" s="2" t="s">
        <v>3336</v>
      </c>
      <c r="M809" s="2" t="s">
        <v>6458</v>
      </c>
      <c r="N809" s="2" t="s">
        <v>6459</v>
      </c>
      <c r="O809" s="2"/>
      <c r="P809" s="2" t="s">
        <v>37</v>
      </c>
      <c r="Q809" s="4" t="n">
        <v>3674</v>
      </c>
      <c r="R809" s="2" t="s">
        <v>105</v>
      </c>
      <c r="S809" s="2" t="s">
        <v>39</v>
      </c>
      <c r="T809" s="2" t="s">
        <v>40</v>
      </c>
      <c r="U809" s="2" t="s">
        <v>6460</v>
      </c>
      <c r="V809" s="2"/>
      <c r="W809" s="2" t="s">
        <v>107</v>
      </c>
      <c r="X809" s="2" t="s">
        <v>43</v>
      </c>
      <c r="Y809" s="2" t="s">
        <v>37</v>
      </c>
      <c r="Z809" s="2" t="s">
        <v>44</v>
      </c>
      <c r="AA809" s="2"/>
      <c r="AB809" s="2"/>
      <c r="AC809" s="2" t="s">
        <v>6461</v>
      </c>
      <c r="AD809" s="2" t="s">
        <v>46</v>
      </c>
    </row>
    <row r="810" customFormat="false" ht="15.7" hidden="false" customHeight="true" outlineLevel="0" collapsed="false">
      <c r="A810" s="2"/>
      <c r="B810" s="3" t="n">
        <f aca="false">DATE(2007,10,30)</f>
        <v>0</v>
      </c>
      <c r="C810" s="3" t="n">
        <v>39385</v>
      </c>
      <c r="D810" s="2" t="s">
        <v>6462</v>
      </c>
      <c r="F810" s="2" t="s">
        <v>5677</v>
      </c>
      <c r="G810" s="2" t="s">
        <v>6463</v>
      </c>
      <c r="H810" s="2" t="s">
        <v>305</v>
      </c>
      <c r="I810" s="2" t="s">
        <v>6464</v>
      </c>
      <c r="J810" s="2" t="s">
        <v>35</v>
      </c>
      <c r="K810" s="2" t="s">
        <v>6462</v>
      </c>
      <c r="L810" s="2" t="s">
        <v>6464</v>
      </c>
      <c r="M810" s="2" t="s">
        <v>305</v>
      </c>
      <c r="N810" s="2" t="s">
        <v>6465</v>
      </c>
      <c r="O810" s="2"/>
      <c r="P810" s="2" t="s">
        <v>37</v>
      </c>
      <c r="Q810" s="4" t="n">
        <v>8731</v>
      </c>
      <c r="R810" s="2" t="s">
        <v>136</v>
      </c>
      <c r="S810" s="2" t="s">
        <v>39</v>
      </c>
      <c r="T810" s="2" t="s">
        <v>40</v>
      </c>
      <c r="U810" s="2" t="s">
        <v>6466</v>
      </c>
      <c r="V810" s="2"/>
      <c r="W810" s="2" t="s">
        <v>42</v>
      </c>
      <c r="X810" s="2" t="s">
        <v>43</v>
      </c>
      <c r="Y810" s="2" t="s">
        <v>37</v>
      </c>
      <c r="Z810" s="2" t="s">
        <v>44</v>
      </c>
      <c r="AA810" s="2"/>
      <c r="AB810" s="2"/>
      <c r="AC810" s="2" t="s">
        <v>6467</v>
      </c>
      <c r="AD810" s="2" t="s">
        <v>46</v>
      </c>
    </row>
    <row r="811" customFormat="false" ht="15.7" hidden="false" customHeight="true" outlineLevel="0" collapsed="false">
      <c r="A811" s="2"/>
      <c r="B811" s="3" t="n">
        <f aca="false">DATE(2007,10,31)</f>
        <v>0</v>
      </c>
      <c r="C811" s="3" t="n">
        <v>39386</v>
      </c>
      <c r="D811" s="2" t="s">
        <v>6468</v>
      </c>
      <c r="F811" s="2" t="s">
        <v>6469</v>
      </c>
      <c r="G811" s="2" t="s">
        <v>6470</v>
      </c>
      <c r="H811" s="2" t="s">
        <v>130</v>
      </c>
      <c r="I811" s="2" t="s">
        <v>51</v>
      </c>
      <c r="J811" s="2" t="s">
        <v>6471</v>
      </c>
      <c r="K811" s="2" t="s">
        <v>6468</v>
      </c>
      <c r="L811" s="2" t="s">
        <v>51</v>
      </c>
      <c r="M811" s="2" t="s">
        <v>130</v>
      </c>
      <c r="N811" s="2" t="s">
        <v>6472</v>
      </c>
      <c r="O811" s="2"/>
      <c r="P811" s="2" t="s">
        <v>37</v>
      </c>
      <c r="Q811" s="4" t="n">
        <v>8731</v>
      </c>
      <c r="R811" s="2" t="s">
        <v>136</v>
      </c>
      <c r="S811" s="2" t="s">
        <v>39</v>
      </c>
      <c r="T811" s="2" t="s">
        <v>40</v>
      </c>
      <c r="U811" s="2" t="s">
        <v>6473</v>
      </c>
      <c r="V811" s="2"/>
      <c r="W811" s="2" t="s">
        <v>42</v>
      </c>
      <c r="X811" s="2" t="s">
        <v>43</v>
      </c>
      <c r="Y811" s="2" t="s">
        <v>37</v>
      </c>
      <c r="Z811" s="2" t="s">
        <v>44</v>
      </c>
      <c r="AA811" s="2"/>
      <c r="AB811" s="2"/>
      <c r="AC811" s="2" t="s">
        <v>6474</v>
      </c>
      <c r="AD811" s="2" t="s">
        <v>46</v>
      </c>
    </row>
    <row r="812" customFormat="false" ht="15.7" hidden="false" customHeight="true" outlineLevel="0" collapsed="false">
      <c r="A812" s="2"/>
      <c r="B812" s="3" t="n">
        <f aca="false">DATE(2007,11,1)</f>
        <v>0</v>
      </c>
      <c r="C812" s="3" t="n">
        <v>39387</v>
      </c>
      <c r="D812" s="2" t="s">
        <v>6475</v>
      </c>
      <c r="F812" s="2" t="s">
        <v>6476</v>
      </c>
      <c r="G812" s="2" t="s">
        <v>6477</v>
      </c>
      <c r="H812" s="2" t="s">
        <v>2832</v>
      </c>
      <c r="I812" s="2" t="s">
        <v>154</v>
      </c>
      <c r="J812" s="2" t="s">
        <v>65</v>
      </c>
      <c r="K812" s="2" t="s">
        <v>6475</v>
      </c>
      <c r="L812" s="2" t="s">
        <v>154</v>
      </c>
      <c r="M812" s="2" t="s">
        <v>2832</v>
      </c>
      <c r="N812" s="2" t="s">
        <v>6478</v>
      </c>
      <c r="O812" s="2" t="s">
        <v>6479</v>
      </c>
      <c r="P812" s="2" t="s">
        <v>37</v>
      </c>
      <c r="Q812" s="4" t="n">
        <v>8731</v>
      </c>
      <c r="R812" s="2" t="s">
        <v>2508</v>
      </c>
      <c r="S812" s="2" t="s">
        <v>39</v>
      </c>
      <c r="T812" s="2" t="s">
        <v>40</v>
      </c>
      <c r="U812" s="2" t="s">
        <v>6480</v>
      </c>
      <c r="V812" s="2"/>
      <c r="W812" s="2" t="s">
        <v>42</v>
      </c>
      <c r="X812" s="2" t="s">
        <v>46</v>
      </c>
      <c r="Y812" s="2" t="s">
        <v>37</v>
      </c>
      <c r="Z812" s="2" t="s">
        <v>362</v>
      </c>
      <c r="AA812" s="2"/>
      <c r="AB812" s="4" t="n">
        <v>497217</v>
      </c>
      <c r="AC812" s="2" t="s">
        <v>6481</v>
      </c>
      <c r="AD812" s="2" t="s">
        <v>46</v>
      </c>
    </row>
    <row r="813" customFormat="false" ht="15.7" hidden="false" customHeight="true" outlineLevel="0" collapsed="false">
      <c r="A813" s="2"/>
      <c r="B813" s="3" t="n">
        <f aca="false">DATE(2007,11,1)</f>
        <v>0</v>
      </c>
      <c r="C813" s="3" t="n">
        <v>39387</v>
      </c>
      <c r="D813" s="2" t="s">
        <v>6482</v>
      </c>
      <c r="F813" s="2" t="s">
        <v>6483</v>
      </c>
      <c r="G813" s="2" t="s">
        <v>6484</v>
      </c>
      <c r="H813" s="2" t="s">
        <v>130</v>
      </c>
      <c r="I813" s="2" t="s">
        <v>51</v>
      </c>
      <c r="J813" s="2" t="s">
        <v>1834</v>
      </c>
      <c r="K813" s="2" t="s">
        <v>6482</v>
      </c>
      <c r="L813" s="2" t="s">
        <v>51</v>
      </c>
      <c r="M813" s="2" t="s">
        <v>130</v>
      </c>
      <c r="N813" s="2" t="s">
        <v>6485</v>
      </c>
      <c r="O813" s="2"/>
      <c r="P813" s="2" t="s">
        <v>37</v>
      </c>
      <c r="Q813" s="4" t="n">
        <v>8731</v>
      </c>
      <c r="R813" s="2" t="s">
        <v>56</v>
      </c>
      <c r="S813" s="2" t="s">
        <v>92</v>
      </c>
      <c r="T813" s="2" t="s">
        <v>40</v>
      </c>
      <c r="U813" s="2" t="s">
        <v>6486</v>
      </c>
      <c r="V813" s="2"/>
      <c r="W813" s="2" t="s">
        <v>42</v>
      </c>
      <c r="X813" s="2" t="s">
        <v>43</v>
      </c>
      <c r="Y813" s="2" t="s">
        <v>37</v>
      </c>
      <c r="Z813" s="2" t="s">
        <v>44</v>
      </c>
      <c r="AA813" s="2"/>
      <c r="AB813" s="2"/>
      <c r="AC813" s="2" t="s">
        <v>6487</v>
      </c>
      <c r="AD813" s="2" t="s">
        <v>46</v>
      </c>
    </row>
    <row r="814" customFormat="false" ht="15.7" hidden="false" customHeight="true" outlineLevel="0" collapsed="false">
      <c r="A814" s="2"/>
      <c r="B814" s="3" t="n">
        <f aca="false">DATE(2007,11,1)</f>
        <v>0</v>
      </c>
      <c r="C814" s="3" t="n">
        <v>39387</v>
      </c>
      <c r="D814" s="2" t="s">
        <v>6488</v>
      </c>
      <c r="F814" s="2" t="s">
        <v>6489</v>
      </c>
      <c r="G814" s="2" t="s">
        <v>6490</v>
      </c>
      <c r="H814" s="2" t="s">
        <v>63</v>
      </c>
      <c r="I814" s="2" t="s">
        <v>219</v>
      </c>
      <c r="J814" s="2" t="s">
        <v>65</v>
      </c>
      <c r="K814" s="2" t="s">
        <v>6488</v>
      </c>
      <c r="L814" s="2" t="s">
        <v>219</v>
      </c>
      <c r="M814" s="2" t="s">
        <v>63</v>
      </c>
      <c r="N814" s="2" t="s">
        <v>6491</v>
      </c>
      <c r="O814" s="2"/>
      <c r="P814" s="2" t="s">
        <v>37</v>
      </c>
      <c r="Q814" s="4" t="n">
        <v>8731</v>
      </c>
      <c r="R814" s="2" t="s">
        <v>38</v>
      </c>
      <c r="S814" s="2" t="s">
        <v>39</v>
      </c>
      <c r="T814" s="2" t="s">
        <v>40</v>
      </c>
      <c r="U814" s="2" t="s">
        <v>6492</v>
      </c>
      <c r="V814" s="2"/>
      <c r="W814" s="2" t="s">
        <v>42</v>
      </c>
      <c r="X814" s="2" t="s">
        <v>43</v>
      </c>
      <c r="Y814" s="2" t="s">
        <v>37</v>
      </c>
      <c r="Z814" s="2" t="s">
        <v>44</v>
      </c>
      <c r="AA814" s="2"/>
      <c r="AB814" s="2"/>
      <c r="AC814" s="2" t="s">
        <v>6493</v>
      </c>
      <c r="AD814" s="2" t="s">
        <v>46</v>
      </c>
    </row>
    <row r="815" customFormat="false" ht="15.7" hidden="false" customHeight="true" outlineLevel="0" collapsed="false">
      <c r="A815" s="2"/>
      <c r="B815" s="3" t="n">
        <f aca="false">DATE(2007,11,2)</f>
        <v>0</v>
      </c>
      <c r="C815" s="3" t="n">
        <v>39388</v>
      </c>
      <c r="D815" s="2" t="s">
        <v>6494</v>
      </c>
      <c r="F815" s="2" t="s">
        <v>999</v>
      </c>
      <c r="G815" s="2" t="s">
        <v>6495</v>
      </c>
      <c r="H815" s="2" t="s">
        <v>762</v>
      </c>
      <c r="I815" s="2" t="s">
        <v>51</v>
      </c>
      <c r="J815" s="2" t="s">
        <v>4151</v>
      </c>
      <c r="K815" s="2" t="s">
        <v>6494</v>
      </c>
      <c r="L815" s="2" t="s">
        <v>51</v>
      </c>
      <c r="M815" s="2" t="s">
        <v>762</v>
      </c>
      <c r="N815" s="2" t="s">
        <v>6496</v>
      </c>
      <c r="O815" s="2"/>
      <c r="P815" s="2" t="s">
        <v>37</v>
      </c>
      <c r="Q815" s="4" t="n">
        <v>8731</v>
      </c>
      <c r="R815" s="2" t="s">
        <v>56</v>
      </c>
      <c r="S815" s="2" t="s">
        <v>92</v>
      </c>
      <c r="T815" s="2" t="s">
        <v>40</v>
      </c>
      <c r="U815" s="2" t="s">
        <v>6497</v>
      </c>
      <c r="V815" s="2"/>
      <c r="W815" s="2" t="s">
        <v>42</v>
      </c>
      <c r="X815" s="2" t="s">
        <v>43</v>
      </c>
      <c r="Y815" s="2" t="s">
        <v>37</v>
      </c>
      <c r="Z815" s="2" t="s">
        <v>44</v>
      </c>
      <c r="AA815" s="2"/>
      <c r="AB815" s="2"/>
      <c r="AC815" s="2" t="s">
        <v>6498</v>
      </c>
      <c r="AD815" s="2" t="s">
        <v>46</v>
      </c>
    </row>
    <row r="816" customFormat="false" ht="15.7" hidden="false" customHeight="true" outlineLevel="0" collapsed="false">
      <c r="A816" s="2"/>
      <c r="B816" s="3" t="n">
        <f aca="false">DATE(2007,11,3)</f>
        <v>0</v>
      </c>
      <c r="C816" s="3" t="n">
        <v>39389</v>
      </c>
      <c r="D816" s="2" t="s">
        <v>6499</v>
      </c>
      <c r="F816" s="2" t="s">
        <v>6500</v>
      </c>
      <c r="G816" s="2" t="s">
        <v>6501</v>
      </c>
      <c r="H816" s="2" t="s">
        <v>170</v>
      </c>
      <c r="I816" s="2" t="s">
        <v>1904</v>
      </c>
      <c r="J816" s="2" t="s">
        <v>488</v>
      </c>
      <c r="K816" s="2" t="s">
        <v>6502</v>
      </c>
      <c r="L816" s="2" t="s">
        <v>1904</v>
      </c>
      <c r="M816" s="2" t="s">
        <v>1770</v>
      </c>
      <c r="N816" s="2" t="s">
        <v>6503</v>
      </c>
      <c r="O816" s="2"/>
      <c r="P816" s="2" t="s">
        <v>37</v>
      </c>
      <c r="Q816" s="4" t="n">
        <v>8731</v>
      </c>
      <c r="R816" s="2" t="s">
        <v>136</v>
      </c>
      <c r="S816" s="2" t="s">
        <v>39</v>
      </c>
      <c r="T816" s="2" t="s">
        <v>40</v>
      </c>
      <c r="U816" s="2" t="s">
        <v>6504</v>
      </c>
      <c r="V816" s="2"/>
      <c r="W816" s="2" t="s">
        <v>42</v>
      </c>
      <c r="X816" s="2" t="s">
        <v>43</v>
      </c>
      <c r="Y816" s="2" t="s">
        <v>37</v>
      </c>
      <c r="Z816" s="2" t="s">
        <v>44</v>
      </c>
      <c r="AA816" s="2"/>
      <c r="AB816" s="2"/>
      <c r="AC816" s="2" t="s">
        <v>6505</v>
      </c>
      <c r="AD816" s="2" t="s">
        <v>46</v>
      </c>
    </row>
    <row r="817" customFormat="false" ht="15.7" hidden="false" customHeight="true" outlineLevel="0" collapsed="false">
      <c r="A817" s="2"/>
      <c r="B817" s="3" t="n">
        <f aca="false">DATE(2007,11,5)</f>
        <v>0</v>
      </c>
      <c r="C817" s="3" t="n">
        <v>39391</v>
      </c>
      <c r="D817" s="2" t="s">
        <v>6506</v>
      </c>
      <c r="F817" s="2" t="s">
        <v>6507</v>
      </c>
      <c r="G817" s="2" t="s">
        <v>6508</v>
      </c>
      <c r="H817" s="2" t="s">
        <v>1943</v>
      </c>
      <c r="I817" s="2" t="s">
        <v>821</v>
      </c>
      <c r="J817" s="2" t="s">
        <v>671</v>
      </c>
      <c r="K817" s="2" t="s">
        <v>6506</v>
      </c>
      <c r="L817" s="2" t="s">
        <v>821</v>
      </c>
      <c r="M817" s="2" t="s">
        <v>1943</v>
      </c>
      <c r="N817" s="2" t="s">
        <v>6509</v>
      </c>
      <c r="O817" s="2"/>
      <c r="P817" s="2" t="s">
        <v>37</v>
      </c>
      <c r="Q817" s="4" t="n">
        <v>8731</v>
      </c>
      <c r="R817" s="2" t="s">
        <v>136</v>
      </c>
      <c r="S817" s="2" t="s">
        <v>39</v>
      </c>
      <c r="T817" s="2" t="s">
        <v>40</v>
      </c>
      <c r="U817" s="2" t="s">
        <v>6510</v>
      </c>
      <c r="V817" s="2"/>
      <c r="W817" s="2" t="s">
        <v>42</v>
      </c>
      <c r="X817" s="2" t="s">
        <v>43</v>
      </c>
      <c r="Y817" s="2" t="s">
        <v>37</v>
      </c>
      <c r="Z817" s="2" t="s">
        <v>44</v>
      </c>
      <c r="AA817" s="2"/>
      <c r="AB817" s="2"/>
      <c r="AC817" s="2" t="s">
        <v>6511</v>
      </c>
      <c r="AD817" s="2" t="s">
        <v>46</v>
      </c>
    </row>
    <row r="818" customFormat="false" ht="15.7" hidden="false" customHeight="true" outlineLevel="0" collapsed="false">
      <c r="A818" s="2"/>
      <c r="B818" s="3" t="n">
        <f aca="false">DATE(2007,11,5)</f>
        <v>0</v>
      </c>
      <c r="C818" s="3" t="n">
        <v>39391</v>
      </c>
      <c r="D818" s="2" t="s">
        <v>6512</v>
      </c>
      <c r="F818" s="2" t="s">
        <v>5489</v>
      </c>
      <c r="G818" s="2" t="s">
        <v>6513</v>
      </c>
      <c r="H818" s="2" t="s">
        <v>130</v>
      </c>
      <c r="I818" s="2" t="s">
        <v>724</v>
      </c>
      <c r="J818" s="2" t="s">
        <v>1807</v>
      </c>
      <c r="K818" s="2" t="s">
        <v>6512</v>
      </c>
      <c r="L818" s="2" t="s">
        <v>724</v>
      </c>
      <c r="M818" s="2" t="s">
        <v>130</v>
      </c>
      <c r="N818" s="2" t="s">
        <v>6514</v>
      </c>
      <c r="O818" s="2"/>
      <c r="P818" s="2" t="s">
        <v>79</v>
      </c>
      <c r="Q818" s="4" t="n">
        <v>8731</v>
      </c>
      <c r="R818" s="2" t="s">
        <v>136</v>
      </c>
      <c r="S818" s="2" t="s">
        <v>39</v>
      </c>
      <c r="T818" s="2" t="s">
        <v>1036</v>
      </c>
      <c r="U818" s="2" t="s">
        <v>6515</v>
      </c>
      <c r="V818" s="2"/>
      <c r="W818" s="2" t="s">
        <v>1050</v>
      </c>
      <c r="X818" s="2" t="s">
        <v>43</v>
      </c>
      <c r="Y818" s="2" t="s">
        <v>37</v>
      </c>
      <c r="Z818" s="2" t="s">
        <v>44</v>
      </c>
      <c r="AA818" s="2"/>
      <c r="AB818" s="2"/>
      <c r="AC818" s="2" t="s">
        <v>6516</v>
      </c>
      <c r="AD818" s="2" t="s">
        <v>46</v>
      </c>
    </row>
    <row r="819" customFormat="false" ht="15.7" hidden="false" customHeight="true" outlineLevel="0" collapsed="false">
      <c r="A819" s="2"/>
      <c r="B819" s="3" t="n">
        <f aca="false">DATE(2007,11,8)</f>
        <v>0</v>
      </c>
      <c r="C819" s="3" t="n">
        <v>39394</v>
      </c>
      <c r="D819" s="2" t="s">
        <v>6517</v>
      </c>
      <c r="F819" s="2" t="s">
        <v>6518</v>
      </c>
      <c r="G819" s="2" t="s">
        <v>6519</v>
      </c>
      <c r="H819" s="2" t="s">
        <v>6520</v>
      </c>
      <c r="I819" s="2" t="s">
        <v>5298</v>
      </c>
      <c r="J819" s="2" t="s">
        <v>35</v>
      </c>
      <c r="K819" s="2" t="s">
        <v>6521</v>
      </c>
      <c r="L819" s="2" t="s">
        <v>1673</v>
      </c>
      <c r="M819" s="2" t="s">
        <v>6522</v>
      </c>
      <c r="N819" s="2" t="s">
        <v>6523</v>
      </c>
      <c r="O819" s="2"/>
      <c r="P819" s="2" t="s">
        <v>37</v>
      </c>
      <c r="Q819" s="4" t="n">
        <v>3674</v>
      </c>
      <c r="R819" s="2" t="s">
        <v>136</v>
      </c>
      <c r="S819" s="2" t="s">
        <v>39</v>
      </c>
      <c r="T819" s="2" t="s">
        <v>40</v>
      </c>
      <c r="U819" s="2" t="s">
        <v>6524</v>
      </c>
      <c r="V819" s="2"/>
      <c r="W819" s="2" t="s">
        <v>107</v>
      </c>
      <c r="X819" s="2" t="s">
        <v>43</v>
      </c>
      <c r="Y819" s="2" t="s">
        <v>37</v>
      </c>
      <c r="Z819" s="2" t="s">
        <v>44</v>
      </c>
      <c r="AA819" s="2"/>
      <c r="AB819" s="2"/>
      <c r="AC819" s="2" t="s">
        <v>6525</v>
      </c>
      <c r="AD819" s="2" t="s">
        <v>46</v>
      </c>
    </row>
    <row r="820" customFormat="false" ht="15.7" hidden="false" customHeight="true" outlineLevel="0" collapsed="false">
      <c r="A820" s="2"/>
      <c r="B820" s="3" t="n">
        <f aca="false">DATE(2007,11,9)</f>
        <v>0</v>
      </c>
      <c r="C820" s="3" t="n">
        <v>39395</v>
      </c>
      <c r="D820" s="2" t="s">
        <v>6526</v>
      </c>
      <c r="F820" s="2" t="s">
        <v>6527</v>
      </c>
      <c r="G820" s="2" t="s">
        <v>6528</v>
      </c>
      <c r="H820" s="2" t="s">
        <v>6529</v>
      </c>
      <c r="I820" s="2" t="s">
        <v>670</v>
      </c>
      <c r="J820" s="2" t="s">
        <v>1456</v>
      </c>
      <c r="K820" s="2" t="s">
        <v>6530</v>
      </c>
      <c r="L820" s="2" t="s">
        <v>670</v>
      </c>
      <c r="M820" s="2" t="s">
        <v>6531</v>
      </c>
      <c r="N820" s="2" t="s">
        <v>6532</v>
      </c>
      <c r="O820" s="2"/>
      <c r="P820" s="2" t="s">
        <v>37</v>
      </c>
      <c r="Q820" s="4" t="n">
        <v>8731</v>
      </c>
      <c r="R820" s="2" t="s">
        <v>402</v>
      </c>
      <c r="S820" s="2" t="s">
        <v>39</v>
      </c>
      <c r="T820" s="2" t="s">
        <v>40</v>
      </c>
      <c r="U820" s="2" t="s">
        <v>6533</v>
      </c>
      <c r="V820" s="2"/>
      <c r="W820" s="2" t="s">
        <v>42</v>
      </c>
      <c r="X820" s="2" t="s">
        <v>43</v>
      </c>
      <c r="Y820" s="2" t="s">
        <v>37</v>
      </c>
      <c r="Z820" s="2" t="s">
        <v>44</v>
      </c>
      <c r="AA820" s="2"/>
      <c r="AB820" s="2"/>
      <c r="AC820" s="2" t="s">
        <v>6534</v>
      </c>
      <c r="AD820" s="2" t="s">
        <v>46</v>
      </c>
    </row>
    <row r="821" customFormat="false" ht="15.7" hidden="false" customHeight="true" outlineLevel="0" collapsed="false">
      <c r="A821" s="2"/>
      <c r="B821" s="3" t="n">
        <f aca="false">DATE(2007,11,10)</f>
        <v>0</v>
      </c>
      <c r="C821" s="3" t="n">
        <v>39396</v>
      </c>
      <c r="D821" s="2" t="s">
        <v>6535</v>
      </c>
      <c r="F821" s="2" t="s">
        <v>6536</v>
      </c>
      <c r="G821" s="2" t="s">
        <v>6537</v>
      </c>
      <c r="H821" s="2" t="s">
        <v>6538</v>
      </c>
      <c r="I821" s="2" t="s">
        <v>51</v>
      </c>
      <c r="J821" s="2" t="s">
        <v>6539</v>
      </c>
      <c r="K821" s="2" t="s">
        <v>6535</v>
      </c>
      <c r="L821" s="2" t="s">
        <v>51</v>
      </c>
      <c r="M821" s="2" t="s">
        <v>6538</v>
      </c>
      <c r="N821" s="2" t="s">
        <v>6540</v>
      </c>
      <c r="O821" s="2" t="s">
        <v>6541</v>
      </c>
      <c r="P821" s="2" t="s">
        <v>37</v>
      </c>
      <c r="Q821" s="4" t="n">
        <v>3674</v>
      </c>
      <c r="R821" s="2" t="s">
        <v>56</v>
      </c>
      <c r="S821" s="2" t="s">
        <v>1484</v>
      </c>
      <c r="T821" s="2" t="s">
        <v>40</v>
      </c>
      <c r="U821" s="2" t="s">
        <v>6542</v>
      </c>
      <c r="V821" s="2"/>
      <c r="W821" s="2" t="s">
        <v>107</v>
      </c>
      <c r="X821" s="2" t="s">
        <v>46</v>
      </c>
      <c r="Y821" s="2" t="s">
        <v>37</v>
      </c>
      <c r="Z821" s="2" t="s">
        <v>362</v>
      </c>
      <c r="AA821" s="2"/>
      <c r="AB821" s="2" t="s">
        <v>6543</v>
      </c>
      <c r="AC821" s="2" t="s">
        <v>6544</v>
      </c>
      <c r="AD821" s="2" t="s">
        <v>46</v>
      </c>
    </row>
    <row r="822" customFormat="false" ht="15.7" hidden="false" customHeight="true" outlineLevel="0" collapsed="false">
      <c r="A822" s="2"/>
      <c r="B822" s="3" t="n">
        <f aca="false">DATE(2007,11,12)</f>
        <v>0</v>
      </c>
      <c r="C822" s="3" t="n">
        <v>39398</v>
      </c>
      <c r="D822" s="2" t="s">
        <v>6545</v>
      </c>
      <c r="F822" s="2" t="s">
        <v>6546</v>
      </c>
      <c r="G822" s="2" t="s">
        <v>6547</v>
      </c>
      <c r="H822" s="2" t="s">
        <v>1027</v>
      </c>
      <c r="I822" s="2" t="s">
        <v>1439</v>
      </c>
      <c r="J822" s="2" t="s">
        <v>35</v>
      </c>
      <c r="K822" s="2" t="s">
        <v>6548</v>
      </c>
      <c r="L822" s="2" t="s">
        <v>1439</v>
      </c>
      <c r="M822" s="2" t="s">
        <v>1027</v>
      </c>
      <c r="N822" s="2" t="s">
        <v>6549</v>
      </c>
      <c r="O822" s="2"/>
      <c r="P822" s="2" t="s">
        <v>37</v>
      </c>
      <c r="Q822" s="4" t="n">
        <v>8731</v>
      </c>
      <c r="R822" s="2" t="s">
        <v>136</v>
      </c>
      <c r="S822" s="2" t="s">
        <v>39</v>
      </c>
      <c r="T822" s="2" t="s">
        <v>40</v>
      </c>
      <c r="U822" s="2" t="s">
        <v>6550</v>
      </c>
      <c r="V822" s="2"/>
      <c r="W822" s="2" t="s">
        <v>42</v>
      </c>
      <c r="X822" s="2" t="s">
        <v>43</v>
      </c>
      <c r="Y822" s="2" t="s">
        <v>37</v>
      </c>
      <c r="Z822" s="2" t="s">
        <v>44</v>
      </c>
      <c r="AA822" s="2"/>
      <c r="AB822" s="2"/>
      <c r="AC822" s="2" t="s">
        <v>6551</v>
      </c>
      <c r="AD822" s="2" t="s">
        <v>46</v>
      </c>
    </row>
    <row r="823" customFormat="false" ht="15.7" hidden="false" customHeight="true" outlineLevel="0" collapsed="false">
      <c r="A823" s="2"/>
      <c r="B823" s="3" t="n">
        <f aca="false">DATE(2007,11,12)</f>
        <v>0</v>
      </c>
      <c r="C823" s="3" t="n">
        <v>39398</v>
      </c>
      <c r="D823" s="2" t="s">
        <v>6552</v>
      </c>
      <c r="F823" s="2" t="s">
        <v>6553</v>
      </c>
      <c r="G823" s="2" t="s">
        <v>6554</v>
      </c>
      <c r="H823" s="2" t="s">
        <v>6555</v>
      </c>
      <c r="I823" s="2" t="s">
        <v>2466</v>
      </c>
      <c r="J823" s="2" t="s">
        <v>966</v>
      </c>
      <c r="K823" s="2" t="s">
        <v>6556</v>
      </c>
      <c r="L823" s="2" t="s">
        <v>227</v>
      </c>
      <c r="M823" s="2" t="s">
        <v>63</v>
      </c>
      <c r="N823" s="2" t="s">
        <v>6557</v>
      </c>
      <c r="O823" s="2"/>
      <c r="P823" s="2" t="s">
        <v>37</v>
      </c>
      <c r="Q823" s="4" t="n">
        <v>8731</v>
      </c>
      <c r="R823" s="2" t="s">
        <v>136</v>
      </c>
      <c r="S823" s="2" t="s">
        <v>39</v>
      </c>
      <c r="T823" s="2" t="s">
        <v>40</v>
      </c>
      <c r="U823" s="2" t="s">
        <v>6558</v>
      </c>
      <c r="V823" s="2"/>
      <c r="W823" s="2" t="s">
        <v>42</v>
      </c>
      <c r="X823" s="2" t="s">
        <v>43</v>
      </c>
      <c r="Y823" s="2" t="s">
        <v>37</v>
      </c>
      <c r="Z823" s="2" t="s">
        <v>44</v>
      </c>
      <c r="AA823" s="2"/>
      <c r="AB823" s="2"/>
      <c r="AC823" s="2" t="s">
        <v>6559</v>
      </c>
      <c r="AD823" s="2" t="s">
        <v>46</v>
      </c>
    </row>
    <row r="824" customFormat="false" ht="15.7" hidden="false" customHeight="true" outlineLevel="0" collapsed="false">
      <c r="A824" s="2"/>
      <c r="B824" s="3" t="n">
        <f aca="false">DATE(2007,11,12)</f>
        <v>0</v>
      </c>
      <c r="C824" s="3" t="n">
        <v>39398</v>
      </c>
      <c r="D824" s="2" t="s">
        <v>6560</v>
      </c>
      <c r="F824" s="2" t="s">
        <v>6561</v>
      </c>
      <c r="G824" s="2" t="s">
        <v>6562</v>
      </c>
      <c r="H824" s="2" t="s">
        <v>6563</v>
      </c>
      <c r="I824" s="2" t="s">
        <v>51</v>
      </c>
      <c r="J824" s="2" t="s">
        <v>2190</v>
      </c>
      <c r="K824" s="2" t="s">
        <v>6564</v>
      </c>
      <c r="L824" s="2" t="s">
        <v>51</v>
      </c>
      <c r="M824" s="2" t="s">
        <v>6563</v>
      </c>
      <c r="N824" s="2" t="s">
        <v>6565</v>
      </c>
      <c r="O824" s="2"/>
      <c r="P824" s="2" t="s">
        <v>37</v>
      </c>
      <c r="Q824" s="4" t="n">
        <v>3826</v>
      </c>
      <c r="R824" s="2" t="s">
        <v>56</v>
      </c>
      <c r="S824" s="2" t="s">
        <v>80</v>
      </c>
      <c r="T824" s="2" t="s">
        <v>40</v>
      </c>
      <c r="U824" s="2" t="s">
        <v>6566</v>
      </c>
      <c r="V824" s="2"/>
      <c r="W824" s="2" t="s">
        <v>1801</v>
      </c>
      <c r="X824" s="2" t="s">
        <v>43</v>
      </c>
      <c r="Y824" s="2" t="s">
        <v>37</v>
      </c>
      <c r="Z824" s="2" t="s">
        <v>44</v>
      </c>
      <c r="AA824" s="2"/>
      <c r="AB824" s="2"/>
      <c r="AC824" s="2" t="s">
        <v>6567</v>
      </c>
      <c r="AD824" s="2" t="s">
        <v>46</v>
      </c>
    </row>
    <row r="825" customFormat="false" ht="15.7" hidden="false" customHeight="true" outlineLevel="0" collapsed="false">
      <c r="A825" s="2"/>
      <c r="B825" s="3" t="n">
        <f aca="false">DATE(2007,11,12)</f>
        <v>0</v>
      </c>
      <c r="C825" s="3" t="n">
        <v>39398</v>
      </c>
      <c r="D825" s="2" t="s">
        <v>6568</v>
      </c>
      <c r="F825" s="2" t="s">
        <v>3626</v>
      </c>
      <c r="G825" s="2" t="s">
        <v>6569</v>
      </c>
      <c r="H825" s="2" t="s">
        <v>63</v>
      </c>
      <c r="I825" s="2" t="s">
        <v>131</v>
      </c>
      <c r="J825" s="2" t="s">
        <v>795</v>
      </c>
      <c r="K825" s="2" t="s">
        <v>6568</v>
      </c>
      <c r="L825" s="2" t="s">
        <v>131</v>
      </c>
      <c r="M825" s="2" t="s">
        <v>63</v>
      </c>
      <c r="N825" s="2" t="s">
        <v>6570</v>
      </c>
      <c r="O825" s="2"/>
      <c r="P825" s="2" t="s">
        <v>37</v>
      </c>
      <c r="Q825" s="4" t="n">
        <v>8731</v>
      </c>
      <c r="R825" s="2" t="s">
        <v>136</v>
      </c>
      <c r="S825" s="2" t="s">
        <v>39</v>
      </c>
      <c r="T825" s="2" t="s">
        <v>40</v>
      </c>
      <c r="U825" s="2" t="s">
        <v>6571</v>
      </c>
      <c r="V825" s="2"/>
      <c r="W825" s="2" t="s">
        <v>42</v>
      </c>
      <c r="X825" s="2" t="s">
        <v>43</v>
      </c>
      <c r="Y825" s="2" t="s">
        <v>37</v>
      </c>
      <c r="Z825" s="2" t="s">
        <v>44</v>
      </c>
      <c r="AA825" s="2"/>
      <c r="AB825" s="2"/>
      <c r="AC825" s="2" t="s">
        <v>6572</v>
      </c>
      <c r="AD825" s="2" t="s">
        <v>46</v>
      </c>
    </row>
    <row r="826" customFormat="false" ht="15.7" hidden="false" customHeight="true" outlineLevel="0" collapsed="false">
      <c r="A826" s="2"/>
      <c r="B826" s="3" t="n">
        <f aca="false">DATE(2007,11,13)</f>
        <v>0</v>
      </c>
      <c r="C826" s="3" t="n">
        <v>39399</v>
      </c>
      <c r="D826" s="2" t="s">
        <v>6573</v>
      </c>
      <c r="F826" s="2" t="s">
        <v>6574</v>
      </c>
      <c r="G826" s="2" t="s">
        <v>6575</v>
      </c>
      <c r="H826" s="2" t="s">
        <v>170</v>
      </c>
      <c r="I826" s="2" t="s">
        <v>3016</v>
      </c>
      <c r="J826" s="2" t="s">
        <v>35</v>
      </c>
      <c r="K826" s="2" t="s">
        <v>6576</v>
      </c>
      <c r="L826" s="2" t="s">
        <v>3016</v>
      </c>
      <c r="M826" s="2" t="s">
        <v>63</v>
      </c>
      <c r="N826" s="2" t="s">
        <v>6577</v>
      </c>
      <c r="O826" s="2"/>
      <c r="P826" s="2" t="s">
        <v>37</v>
      </c>
      <c r="Q826" s="4" t="n">
        <v>8731</v>
      </c>
      <c r="R826" s="2" t="s">
        <v>136</v>
      </c>
      <c r="S826" s="2" t="s">
        <v>39</v>
      </c>
      <c r="T826" s="2" t="s">
        <v>40</v>
      </c>
      <c r="U826" s="2" t="s">
        <v>6578</v>
      </c>
      <c r="V826" s="2"/>
      <c r="W826" s="2" t="s">
        <v>138</v>
      </c>
      <c r="X826" s="2" t="s">
        <v>43</v>
      </c>
      <c r="Y826" s="2" t="s">
        <v>37</v>
      </c>
      <c r="Z826" s="2" t="s">
        <v>44</v>
      </c>
      <c r="AA826" s="2"/>
      <c r="AB826" s="2"/>
      <c r="AC826" s="2" t="s">
        <v>6579</v>
      </c>
      <c r="AD826" s="2" t="s">
        <v>46</v>
      </c>
    </row>
    <row r="827" customFormat="false" ht="15.7" hidden="false" customHeight="true" outlineLevel="0" collapsed="false">
      <c r="A827" s="2"/>
      <c r="B827" s="3" t="n">
        <f aca="false">DATE(2007,11,14)</f>
        <v>0</v>
      </c>
      <c r="C827" s="3" t="n">
        <v>39400</v>
      </c>
      <c r="D827" s="2" t="s">
        <v>6580</v>
      </c>
      <c r="F827" s="2" t="s">
        <v>6581</v>
      </c>
      <c r="G827" s="2" t="s">
        <v>6582</v>
      </c>
      <c r="H827" s="2" t="s">
        <v>1101</v>
      </c>
      <c r="I827" s="2" t="s">
        <v>6583</v>
      </c>
      <c r="J827" s="2" t="s">
        <v>35</v>
      </c>
      <c r="K827" s="2" t="s">
        <v>6584</v>
      </c>
      <c r="L827" s="2" t="s">
        <v>6583</v>
      </c>
      <c r="M827" s="2" t="s">
        <v>6585</v>
      </c>
      <c r="N827" s="2" t="s">
        <v>6586</v>
      </c>
      <c r="O827" s="2" t="s">
        <v>6587</v>
      </c>
      <c r="P827" s="2" t="s">
        <v>37</v>
      </c>
      <c r="Q827" s="4" t="n">
        <v>8731</v>
      </c>
      <c r="R827" s="2" t="s">
        <v>5774</v>
      </c>
      <c r="S827" s="2" t="s">
        <v>39</v>
      </c>
      <c r="T827" s="2" t="s">
        <v>40</v>
      </c>
      <c r="U827" s="2" t="s">
        <v>6588</v>
      </c>
      <c r="V827" s="2"/>
      <c r="W827" s="2" t="s">
        <v>42</v>
      </c>
      <c r="X827" s="2" t="s">
        <v>46</v>
      </c>
      <c r="Y827" s="2" t="s">
        <v>37</v>
      </c>
      <c r="Z827" s="2" t="s">
        <v>362</v>
      </c>
      <c r="AA827" s="2"/>
      <c r="AB827" s="2" t="s">
        <v>6589</v>
      </c>
      <c r="AC827" s="2" t="s">
        <v>6590</v>
      </c>
      <c r="AD827" s="2" t="s">
        <v>46</v>
      </c>
    </row>
    <row r="828" customFormat="false" ht="15.7" hidden="false" customHeight="true" outlineLevel="0" collapsed="false">
      <c r="A828" s="2"/>
      <c r="B828" s="3" t="n">
        <f aca="false">DATE(2007,11,15)</f>
        <v>0</v>
      </c>
      <c r="C828" s="3" t="n">
        <v>39401</v>
      </c>
      <c r="D828" s="2" t="s">
        <v>6591</v>
      </c>
      <c r="F828" s="2" t="s">
        <v>6592</v>
      </c>
      <c r="G828" s="2" t="s">
        <v>6593</v>
      </c>
      <c r="H828" s="2" t="s">
        <v>6594</v>
      </c>
      <c r="I828" s="2" t="s">
        <v>51</v>
      </c>
      <c r="J828" s="2" t="s">
        <v>6595</v>
      </c>
      <c r="K828" s="2" t="s">
        <v>6596</v>
      </c>
      <c r="L828" s="2" t="s">
        <v>51</v>
      </c>
      <c r="M828" s="2" t="s">
        <v>6597</v>
      </c>
      <c r="N828" s="2" t="s">
        <v>6598</v>
      </c>
      <c r="O828" s="2"/>
      <c r="P828" s="2" t="s">
        <v>37</v>
      </c>
      <c r="Q828" s="4" t="n">
        <v>3714</v>
      </c>
      <c r="R828" s="2" t="s">
        <v>56</v>
      </c>
      <c r="S828" s="2" t="s">
        <v>92</v>
      </c>
      <c r="T828" s="2" t="s">
        <v>40</v>
      </c>
      <c r="U828" s="2" t="s">
        <v>6599</v>
      </c>
      <c r="V828" s="2"/>
      <c r="W828" s="2" t="s">
        <v>107</v>
      </c>
      <c r="X828" s="2" t="s">
        <v>43</v>
      </c>
      <c r="Y828" s="2" t="s">
        <v>37</v>
      </c>
      <c r="Z828" s="2" t="s">
        <v>44</v>
      </c>
      <c r="AA828" s="2"/>
      <c r="AB828" s="2"/>
      <c r="AC828" s="2" t="s">
        <v>6600</v>
      </c>
      <c r="AD828" s="2" t="s">
        <v>46</v>
      </c>
    </row>
    <row r="829" customFormat="false" ht="15.7" hidden="false" customHeight="true" outlineLevel="0" collapsed="false">
      <c r="A829" s="2"/>
      <c r="B829" s="3" t="n">
        <f aca="false">DATE(2007,11,15)</f>
        <v>0</v>
      </c>
      <c r="C829" s="3" t="n">
        <v>39401</v>
      </c>
      <c r="D829" s="2" t="s">
        <v>6601</v>
      </c>
      <c r="F829" s="2" t="s">
        <v>4654</v>
      </c>
      <c r="G829" s="2" t="s">
        <v>6602</v>
      </c>
      <c r="H829" s="2" t="s">
        <v>1101</v>
      </c>
      <c r="I829" s="2" t="s">
        <v>965</v>
      </c>
      <c r="J829" s="2" t="s">
        <v>331</v>
      </c>
      <c r="K829" s="2" t="s">
        <v>6603</v>
      </c>
      <c r="L829" s="2" t="s">
        <v>965</v>
      </c>
      <c r="M829" s="2" t="s">
        <v>6604</v>
      </c>
      <c r="N829" s="2" t="s">
        <v>6605</v>
      </c>
      <c r="O829" s="2"/>
      <c r="P829" s="2" t="s">
        <v>37</v>
      </c>
      <c r="Q829" s="4" t="n">
        <v>8731</v>
      </c>
      <c r="R829" s="2" t="s">
        <v>136</v>
      </c>
      <c r="S829" s="2" t="s">
        <v>39</v>
      </c>
      <c r="T829" s="2" t="s">
        <v>40</v>
      </c>
      <c r="U829" s="2" t="s">
        <v>6606</v>
      </c>
      <c r="V829" s="2"/>
      <c r="W829" s="2" t="s">
        <v>42</v>
      </c>
      <c r="X829" s="2" t="s">
        <v>43</v>
      </c>
      <c r="Y829" s="2" t="s">
        <v>37</v>
      </c>
      <c r="Z829" s="2" t="s">
        <v>44</v>
      </c>
      <c r="AA829" s="2"/>
      <c r="AB829" s="2"/>
      <c r="AC829" s="2" t="s">
        <v>6607</v>
      </c>
      <c r="AD829" s="2" t="s">
        <v>46</v>
      </c>
    </row>
    <row r="830" customFormat="false" ht="15.7" hidden="false" customHeight="true" outlineLevel="0" collapsed="false">
      <c r="A830" s="2"/>
      <c r="B830" s="3" t="n">
        <f aca="false">DATE(2007,11,19)</f>
        <v>0</v>
      </c>
      <c r="C830" s="3" t="n">
        <v>39405</v>
      </c>
      <c r="D830" s="2" t="s">
        <v>6608</v>
      </c>
      <c r="F830" s="2" t="s">
        <v>6609</v>
      </c>
      <c r="G830" s="2" t="s">
        <v>6610</v>
      </c>
      <c r="H830" s="2" t="s">
        <v>1101</v>
      </c>
      <c r="I830" s="2" t="s">
        <v>1431</v>
      </c>
      <c r="J830" s="2" t="s">
        <v>65</v>
      </c>
      <c r="K830" s="2" t="s">
        <v>6611</v>
      </c>
      <c r="L830" s="2" t="s">
        <v>1431</v>
      </c>
      <c r="M830" s="2" t="s">
        <v>6612</v>
      </c>
      <c r="N830" s="2" t="s">
        <v>6613</v>
      </c>
      <c r="O830" s="2"/>
      <c r="P830" s="2" t="s">
        <v>37</v>
      </c>
      <c r="Q830" s="4" t="n">
        <v>8731</v>
      </c>
      <c r="R830" s="2" t="s">
        <v>136</v>
      </c>
      <c r="S830" s="2" t="s">
        <v>39</v>
      </c>
      <c r="T830" s="2" t="s">
        <v>40</v>
      </c>
      <c r="U830" s="2" t="s">
        <v>6614</v>
      </c>
      <c r="V830" s="2"/>
      <c r="W830" s="2" t="s">
        <v>42</v>
      </c>
      <c r="X830" s="2" t="s">
        <v>43</v>
      </c>
      <c r="Y830" s="2" t="s">
        <v>37</v>
      </c>
      <c r="Z830" s="2" t="s">
        <v>44</v>
      </c>
      <c r="AA830" s="2"/>
      <c r="AB830" s="2"/>
      <c r="AC830" s="2" t="s">
        <v>6615</v>
      </c>
      <c r="AD830" s="2" t="s">
        <v>46</v>
      </c>
    </row>
    <row r="831" customFormat="false" ht="15.7" hidden="false" customHeight="true" outlineLevel="0" collapsed="false">
      <c r="A831" s="2"/>
      <c r="B831" s="3" t="n">
        <f aca="false">DATE(2007,11,19)</f>
        <v>0</v>
      </c>
      <c r="C831" s="3" t="n">
        <v>39405</v>
      </c>
      <c r="D831" s="2" t="s">
        <v>6616</v>
      </c>
      <c r="F831" s="2" t="s">
        <v>6617</v>
      </c>
      <c r="G831" s="2" t="s">
        <v>6618</v>
      </c>
      <c r="H831" s="2" t="s">
        <v>170</v>
      </c>
      <c r="I831" s="2" t="s">
        <v>51</v>
      </c>
      <c r="J831" s="2" t="s">
        <v>6619</v>
      </c>
      <c r="K831" s="2" t="s">
        <v>6620</v>
      </c>
      <c r="L831" s="2" t="s">
        <v>51</v>
      </c>
      <c r="M831" s="2" t="s">
        <v>5080</v>
      </c>
      <c r="N831" s="2" t="s">
        <v>6621</v>
      </c>
      <c r="O831" s="2"/>
      <c r="P831" s="2" t="s">
        <v>37</v>
      </c>
      <c r="Q831" s="4" t="n">
        <v>8731</v>
      </c>
      <c r="R831" s="2" t="s">
        <v>56</v>
      </c>
      <c r="S831" s="2" t="s">
        <v>92</v>
      </c>
      <c r="T831" s="2" t="s">
        <v>40</v>
      </c>
      <c r="U831" s="2" t="s">
        <v>6622</v>
      </c>
      <c r="V831" s="2"/>
      <c r="W831" s="2" t="s">
        <v>42</v>
      </c>
      <c r="X831" s="2" t="s">
        <v>43</v>
      </c>
      <c r="Y831" s="2" t="s">
        <v>37</v>
      </c>
      <c r="Z831" s="2" t="s">
        <v>44</v>
      </c>
      <c r="AA831" s="2"/>
      <c r="AB831" s="2"/>
      <c r="AC831" s="2" t="s">
        <v>6623</v>
      </c>
      <c r="AD831" s="2" t="s">
        <v>46</v>
      </c>
    </row>
    <row r="832" customFormat="false" ht="15.7" hidden="false" customHeight="true" outlineLevel="0" collapsed="false">
      <c r="A832" s="2"/>
      <c r="B832" s="3" t="n">
        <f aca="false">DATE(2007,11,20)</f>
        <v>0</v>
      </c>
      <c r="C832" s="3" t="n">
        <v>39406</v>
      </c>
      <c r="D832" s="2" t="s">
        <v>6624</v>
      </c>
      <c r="F832" s="2" t="s">
        <v>6625</v>
      </c>
      <c r="G832" s="2" t="s">
        <v>6626</v>
      </c>
      <c r="H832" s="2" t="s">
        <v>130</v>
      </c>
      <c r="I832" s="2" t="s">
        <v>741</v>
      </c>
      <c r="J832" s="2" t="s">
        <v>35</v>
      </c>
      <c r="K832" s="2" t="s">
        <v>6624</v>
      </c>
      <c r="L832" s="2" t="s">
        <v>741</v>
      </c>
      <c r="M832" s="2" t="s">
        <v>130</v>
      </c>
      <c r="N832" s="2" t="s">
        <v>6627</v>
      </c>
      <c r="O832" s="2" t="s">
        <v>6628</v>
      </c>
      <c r="P832" s="2" t="s">
        <v>37</v>
      </c>
      <c r="Q832" s="4" t="n">
        <v>2834</v>
      </c>
      <c r="R832" s="2" t="s">
        <v>6629</v>
      </c>
      <c r="S832" s="2" t="s">
        <v>39</v>
      </c>
      <c r="T832" s="2" t="s">
        <v>40</v>
      </c>
      <c r="U832" s="2" t="s">
        <v>6630</v>
      </c>
      <c r="V832" s="2"/>
      <c r="W832" s="2" t="s">
        <v>755</v>
      </c>
      <c r="X832" s="2" t="s">
        <v>46</v>
      </c>
      <c r="Y832" s="2" t="s">
        <v>37</v>
      </c>
      <c r="Z832" s="2" t="s">
        <v>362</v>
      </c>
      <c r="AA832" s="2"/>
      <c r="AB832" s="2" t="s">
        <v>6631</v>
      </c>
      <c r="AC832" s="2" t="s">
        <v>6632</v>
      </c>
      <c r="AD832" s="2" t="s">
        <v>46</v>
      </c>
    </row>
    <row r="833" customFormat="false" ht="15.7" hidden="false" customHeight="true" outlineLevel="0" collapsed="false">
      <c r="A833" s="2"/>
      <c r="B833" s="3" t="n">
        <f aca="false">DATE(2007,11,20)</f>
        <v>0</v>
      </c>
      <c r="C833" s="3" t="n">
        <v>39406</v>
      </c>
      <c r="D833" s="2" t="s">
        <v>6633</v>
      </c>
      <c r="F833" s="2" t="s">
        <v>6634</v>
      </c>
      <c r="G833" s="2" t="s">
        <v>6635</v>
      </c>
      <c r="H833" s="2" t="s">
        <v>6636</v>
      </c>
      <c r="I833" s="2" t="s">
        <v>741</v>
      </c>
      <c r="J833" s="2" t="s">
        <v>35</v>
      </c>
      <c r="K833" s="2" t="s">
        <v>6624</v>
      </c>
      <c r="L833" s="2" t="s">
        <v>741</v>
      </c>
      <c r="M833" s="2" t="s">
        <v>130</v>
      </c>
      <c r="N833" s="2" t="s">
        <v>6637</v>
      </c>
      <c r="O833" s="2" t="s">
        <v>6638</v>
      </c>
      <c r="P833" s="2" t="s">
        <v>37</v>
      </c>
      <c r="Q833" s="4" t="n">
        <v>2834</v>
      </c>
      <c r="R833" s="2" t="s">
        <v>450</v>
      </c>
      <c r="S833" s="2" t="s">
        <v>39</v>
      </c>
      <c r="T833" s="2" t="s">
        <v>40</v>
      </c>
      <c r="U833" s="2" t="s">
        <v>6639</v>
      </c>
      <c r="V833" s="2"/>
      <c r="W833" s="2" t="s">
        <v>755</v>
      </c>
      <c r="X833" s="2" t="s">
        <v>46</v>
      </c>
      <c r="Y833" s="2" t="s">
        <v>37</v>
      </c>
      <c r="Z833" s="2" t="s">
        <v>987</v>
      </c>
      <c r="AA833" s="2"/>
      <c r="AB833" s="2" t="s">
        <v>6640</v>
      </c>
      <c r="AC833" s="2" t="s">
        <v>6641</v>
      </c>
      <c r="AD833" s="2" t="s">
        <v>46</v>
      </c>
    </row>
    <row r="834" customFormat="false" ht="15.7" hidden="false" customHeight="true" outlineLevel="0" collapsed="false">
      <c r="A834" s="2"/>
      <c r="B834" s="3" t="n">
        <f aca="false">DATE(2007,11,20)</f>
        <v>0</v>
      </c>
      <c r="C834" s="3" t="n">
        <v>39406</v>
      </c>
      <c r="D834" s="2" t="s">
        <v>6642</v>
      </c>
      <c r="F834" s="2" t="s">
        <v>6643</v>
      </c>
      <c r="G834" s="2" t="s">
        <v>6644</v>
      </c>
      <c r="H834" s="2" t="s">
        <v>63</v>
      </c>
      <c r="I834" s="2" t="s">
        <v>88</v>
      </c>
      <c r="J834" s="2" t="s">
        <v>625</v>
      </c>
      <c r="K834" s="2" t="s">
        <v>6642</v>
      </c>
      <c r="L834" s="2" t="s">
        <v>88</v>
      </c>
      <c r="M834" s="2" t="s">
        <v>63</v>
      </c>
      <c r="N834" s="2" t="s">
        <v>6645</v>
      </c>
      <c r="O834" s="2"/>
      <c r="P834" s="2" t="s">
        <v>37</v>
      </c>
      <c r="Q834" s="4" t="n">
        <v>8731</v>
      </c>
      <c r="R834" s="2" t="s">
        <v>136</v>
      </c>
      <c r="S834" s="2" t="s">
        <v>39</v>
      </c>
      <c r="T834" s="2" t="s">
        <v>40</v>
      </c>
      <c r="U834" s="2" t="s">
        <v>6646</v>
      </c>
      <c r="V834" s="2"/>
      <c r="W834" s="2" t="s">
        <v>42</v>
      </c>
      <c r="X834" s="2" t="s">
        <v>43</v>
      </c>
      <c r="Y834" s="2" t="s">
        <v>37</v>
      </c>
      <c r="Z834" s="2" t="s">
        <v>44</v>
      </c>
      <c r="AA834" s="2"/>
      <c r="AB834" s="2"/>
      <c r="AC834" s="2" t="s">
        <v>6647</v>
      </c>
      <c r="AD834" s="2" t="s">
        <v>46</v>
      </c>
    </row>
    <row r="835" customFormat="false" ht="15.7" hidden="false" customHeight="true" outlineLevel="0" collapsed="false">
      <c r="A835" s="2"/>
      <c r="B835" s="3" t="n">
        <f aca="false">DATE(2007,11,20)</f>
        <v>0</v>
      </c>
      <c r="C835" s="3" t="n">
        <v>39406</v>
      </c>
      <c r="D835" s="2" t="s">
        <v>6648</v>
      </c>
      <c r="F835" s="2" t="s">
        <v>6649</v>
      </c>
      <c r="G835" s="2" t="s">
        <v>6650</v>
      </c>
      <c r="H835" s="2" t="s">
        <v>6651</v>
      </c>
      <c r="I835" s="2" t="s">
        <v>821</v>
      </c>
      <c r="J835" s="2" t="s">
        <v>625</v>
      </c>
      <c r="K835" s="2" t="s">
        <v>6648</v>
      </c>
      <c r="L835" s="2" t="s">
        <v>821</v>
      </c>
      <c r="M835" s="2" t="s">
        <v>6651</v>
      </c>
      <c r="N835" s="2" t="s">
        <v>6652</v>
      </c>
      <c r="O835" s="2"/>
      <c r="P835" s="2" t="s">
        <v>37</v>
      </c>
      <c r="Q835" s="4" t="n">
        <v>3721</v>
      </c>
      <c r="R835" s="2" t="s">
        <v>450</v>
      </c>
      <c r="S835" s="2" t="s">
        <v>39</v>
      </c>
      <c r="T835" s="2" t="s">
        <v>403</v>
      </c>
      <c r="U835" s="2" t="s">
        <v>6653</v>
      </c>
      <c r="V835" s="2"/>
      <c r="W835" s="2" t="s">
        <v>107</v>
      </c>
      <c r="X835" s="2" t="s">
        <v>43</v>
      </c>
      <c r="Y835" s="2" t="s">
        <v>37</v>
      </c>
      <c r="Z835" s="2" t="s">
        <v>44</v>
      </c>
      <c r="AA835" s="2"/>
      <c r="AB835" s="2"/>
      <c r="AC835" s="2" t="s">
        <v>6654</v>
      </c>
      <c r="AD835" s="2" t="s">
        <v>46</v>
      </c>
    </row>
    <row r="836" customFormat="false" ht="15.7" hidden="false" customHeight="true" outlineLevel="0" collapsed="false">
      <c r="A836" s="2"/>
      <c r="B836" s="3" t="n">
        <f aca="false">DATE(2007,11,20)</f>
        <v>0</v>
      </c>
      <c r="C836" s="3" t="n">
        <v>39406</v>
      </c>
      <c r="D836" s="2" t="s">
        <v>6655</v>
      </c>
      <c r="F836" s="2" t="s">
        <v>347</v>
      </c>
      <c r="G836" s="2" t="s">
        <v>6656</v>
      </c>
      <c r="H836" s="2" t="s">
        <v>63</v>
      </c>
      <c r="I836" s="2" t="s">
        <v>6657</v>
      </c>
      <c r="J836" s="2" t="s">
        <v>35</v>
      </c>
      <c r="K836" s="2" t="s">
        <v>6655</v>
      </c>
      <c r="L836" s="2" t="s">
        <v>6657</v>
      </c>
      <c r="M836" s="2" t="s">
        <v>63</v>
      </c>
      <c r="N836" s="2" t="s">
        <v>6658</v>
      </c>
      <c r="O836" s="2"/>
      <c r="P836" s="2" t="s">
        <v>37</v>
      </c>
      <c r="Q836" s="4" t="n">
        <v>8731</v>
      </c>
      <c r="R836" s="2" t="s">
        <v>136</v>
      </c>
      <c r="S836" s="2" t="s">
        <v>39</v>
      </c>
      <c r="T836" s="2" t="s">
        <v>403</v>
      </c>
      <c r="U836" s="2" t="s">
        <v>6659</v>
      </c>
      <c r="V836" s="2"/>
      <c r="W836" s="2" t="s">
        <v>42</v>
      </c>
      <c r="X836" s="2" t="s">
        <v>43</v>
      </c>
      <c r="Y836" s="2" t="s">
        <v>37</v>
      </c>
      <c r="Z836" s="2" t="s">
        <v>44</v>
      </c>
      <c r="AA836" s="2"/>
      <c r="AB836" s="2"/>
      <c r="AC836" s="2" t="s">
        <v>6660</v>
      </c>
      <c r="AD836" s="2" t="s">
        <v>46</v>
      </c>
    </row>
    <row r="837" customFormat="false" ht="15.7" hidden="false" customHeight="true" outlineLevel="0" collapsed="false">
      <c r="A837" s="2"/>
      <c r="B837" s="3" t="n">
        <f aca="false">DATE(2007,11,20)</f>
        <v>0</v>
      </c>
      <c r="C837" s="3" t="n">
        <v>39406</v>
      </c>
      <c r="D837" s="2" t="s">
        <v>6661</v>
      </c>
      <c r="F837" s="2" t="s">
        <v>6662</v>
      </c>
      <c r="G837" s="2" t="s">
        <v>6663</v>
      </c>
      <c r="H837" s="2" t="s">
        <v>63</v>
      </c>
      <c r="I837" s="2" t="s">
        <v>51</v>
      </c>
      <c r="J837" s="2" t="s">
        <v>6664</v>
      </c>
      <c r="K837" s="2" t="s">
        <v>6661</v>
      </c>
      <c r="L837" s="2" t="s">
        <v>51</v>
      </c>
      <c r="M837" s="2" t="s">
        <v>63</v>
      </c>
      <c r="N837" s="2" t="s">
        <v>6665</v>
      </c>
      <c r="O837" s="2"/>
      <c r="P837" s="2" t="s">
        <v>37</v>
      </c>
      <c r="Q837" s="4" t="n">
        <v>2834</v>
      </c>
      <c r="R837" s="2" t="s">
        <v>136</v>
      </c>
      <c r="S837" s="2" t="s">
        <v>39</v>
      </c>
      <c r="T837" s="2" t="s">
        <v>40</v>
      </c>
      <c r="U837" s="2" t="s">
        <v>6666</v>
      </c>
      <c r="V837" s="2"/>
      <c r="W837" s="2" t="s">
        <v>6667</v>
      </c>
      <c r="X837" s="2" t="s">
        <v>43</v>
      </c>
      <c r="Y837" s="2" t="s">
        <v>37</v>
      </c>
      <c r="Z837" s="2" t="s">
        <v>44</v>
      </c>
      <c r="AA837" s="2"/>
      <c r="AB837" s="2"/>
      <c r="AC837" s="2" t="s">
        <v>6668</v>
      </c>
      <c r="AD837" s="2" t="s">
        <v>46</v>
      </c>
    </row>
    <row r="838" customFormat="false" ht="15.7" hidden="false" customHeight="true" outlineLevel="0" collapsed="false">
      <c r="A838" s="2"/>
      <c r="B838" s="3" t="n">
        <f aca="false">DATE(2007,11,20)</f>
        <v>0</v>
      </c>
      <c r="C838" s="3" t="n">
        <v>39406</v>
      </c>
      <c r="D838" s="2" t="s">
        <v>6669</v>
      </c>
      <c r="F838" s="2" t="s">
        <v>6670</v>
      </c>
      <c r="G838" s="2" t="s">
        <v>6671</v>
      </c>
      <c r="H838" s="2" t="s">
        <v>1027</v>
      </c>
      <c r="I838" s="2" t="s">
        <v>568</v>
      </c>
      <c r="J838" s="2" t="s">
        <v>203</v>
      </c>
      <c r="K838" s="2" t="s">
        <v>6672</v>
      </c>
      <c r="L838" s="2" t="s">
        <v>6673</v>
      </c>
      <c r="M838" s="2" t="s">
        <v>3761</v>
      </c>
      <c r="N838" s="2" t="s">
        <v>6674</v>
      </c>
      <c r="O838" s="2"/>
      <c r="P838" s="2" t="s">
        <v>37</v>
      </c>
      <c r="Q838" s="4" t="n">
        <v>8731</v>
      </c>
      <c r="R838" s="2" t="s">
        <v>136</v>
      </c>
      <c r="S838" s="2" t="s">
        <v>39</v>
      </c>
      <c r="T838" s="2" t="s">
        <v>40</v>
      </c>
      <c r="U838" s="2" t="s">
        <v>6675</v>
      </c>
      <c r="V838" s="2"/>
      <c r="W838" s="2" t="s">
        <v>42</v>
      </c>
      <c r="X838" s="2" t="s">
        <v>43</v>
      </c>
      <c r="Y838" s="2" t="s">
        <v>37</v>
      </c>
      <c r="Z838" s="2" t="s">
        <v>44</v>
      </c>
      <c r="AA838" s="2"/>
      <c r="AB838" s="2"/>
      <c r="AC838" s="2" t="s">
        <v>6676</v>
      </c>
      <c r="AD838" s="2" t="s">
        <v>46</v>
      </c>
    </row>
    <row r="839" customFormat="false" ht="15.7" hidden="false" customHeight="true" outlineLevel="0" collapsed="false">
      <c r="A839" s="2"/>
      <c r="B839" s="3" t="n">
        <f aca="false">DATE(2007,11,20)</f>
        <v>0</v>
      </c>
      <c r="C839" s="3" t="n">
        <v>39406</v>
      </c>
      <c r="D839" s="2" t="s">
        <v>6677</v>
      </c>
      <c r="F839" s="2" t="s">
        <v>6678</v>
      </c>
      <c r="G839" s="2" t="s">
        <v>6679</v>
      </c>
      <c r="H839" s="2" t="s">
        <v>6680</v>
      </c>
      <c r="I839" s="2" t="s">
        <v>2590</v>
      </c>
      <c r="J839" s="2" t="s">
        <v>35</v>
      </c>
      <c r="K839" s="2" t="s">
        <v>6681</v>
      </c>
      <c r="L839" s="2" t="s">
        <v>2590</v>
      </c>
      <c r="M839" s="2" t="s">
        <v>6682</v>
      </c>
      <c r="N839" s="2" t="s">
        <v>6683</v>
      </c>
      <c r="O839" s="2"/>
      <c r="P839" s="2" t="s">
        <v>37</v>
      </c>
      <c r="Q839" s="4" t="n">
        <v>3714</v>
      </c>
      <c r="R839" s="2" t="s">
        <v>402</v>
      </c>
      <c r="S839" s="2" t="s">
        <v>39</v>
      </c>
      <c r="T839" s="2" t="s">
        <v>40</v>
      </c>
      <c r="U839" s="2" t="s">
        <v>6684</v>
      </c>
      <c r="V839" s="2"/>
      <c r="W839" s="2" t="s">
        <v>107</v>
      </c>
      <c r="X839" s="2" t="s">
        <v>43</v>
      </c>
      <c r="Y839" s="2" t="s">
        <v>37</v>
      </c>
      <c r="Z839" s="2" t="s">
        <v>44</v>
      </c>
      <c r="AA839" s="2"/>
      <c r="AB839" s="2"/>
      <c r="AC839" s="2" t="s">
        <v>6685</v>
      </c>
      <c r="AD839" s="2" t="s">
        <v>46</v>
      </c>
    </row>
    <row r="840" customFormat="false" ht="15.7" hidden="false" customHeight="true" outlineLevel="0" collapsed="false">
      <c r="A840" s="2"/>
      <c r="B840" s="3" t="n">
        <f aca="false">DATE(2007,11,20)</f>
        <v>0</v>
      </c>
      <c r="C840" s="3" t="n">
        <v>39406</v>
      </c>
      <c r="D840" s="2" t="s">
        <v>6686</v>
      </c>
      <c r="F840" s="2" t="s">
        <v>6687</v>
      </c>
      <c r="G840" s="2" t="s">
        <v>6688</v>
      </c>
      <c r="H840" s="2" t="s">
        <v>1101</v>
      </c>
      <c r="I840" s="2" t="s">
        <v>321</v>
      </c>
      <c r="J840" s="2" t="s">
        <v>35</v>
      </c>
      <c r="K840" s="2" t="s">
        <v>6686</v>
      </c>
      <c r="L840" s="2" t="s">
        <v>321</v>
      </c>
      <c r="M840" s="2" t="s">
        <v>1101</v>
      </c>
      <c r="N840" s="2" t="s">
        <v>6689</v>
      </c>
      <c r="O840" s="2"/>
      <c r="P840" s="2" t="s">
        <v>79</v>
      </c>
      <c r="Q840" s="4" t="n">
        <v>6794</v>
      </c>
      <c r="R840" s="2" t="s">
        <v>136</v>
      </c>
      <c r="S840" s="2" t="s">
        <v>39</v>
      </c>
      <c r="T840" s="2" t="s">
        <v>40</v>
      </c>
      <c r="U840" s="2" t="s">
        <v>6690</v>
      </c>
      <c r="V840" s="2"/>
      <c r="W840" s="2" t="s">
        <v>82</v>
      </c>
      <c r="X840" s="2" t="s">
        <v>43</v>
      </c>
      <c r="Y840" s="2" t="s">
        <v>37</v>
      </c>
      <c r="Z840" s="2" t="s">
        <v>44</v>
      </c>
      <c r="AA840" s="2"/>
      <c r="AB840" s="2"/>
      <c r="AC840" s="2" t="s">
        <v>6691</v>
      </c>
      <c r="AD840" s="2" t="s">
        <v>46</v>
      </c>
    </row>
    <row r="841" customFormat="false" ht="15.7" hidden="false" customHeight="true" outlineLevel="0" collapsed="false">
      <c r="A841" s="2"/>
      <c r="B841" s="3" t="n">
        <f aca="false">DATE(2007,11,21)</f>
        <v>0</v>
      </c>
      <c r="C841" s="3" t="n">
        <v>39407</v>
      </c>
      <c r="D841" s="2" t="s">
        <v>6692</v>
      </c>
      <c r="F841" s="2" t="s">
        <v>6693</v>
      </c>
      <c r="G841" s="2" t="s">
        <v>6694</v>
      </c>
      <c r="H841" s="2" t="s">
        <v>6695</v>
      </c>
      <c r="I841" s="2" t="s">
        <v>51</v>
      </c>
      <c r="J841" s="2" t="s">
        <v>6696</v>
      </c>
      <c r="K841" s="2" t="s">
        <v>6697</v>
      </c>
      <c r="L841" s="2" t="s">
        <v>51</v>
      </c>
      <c r="M841" s="2" t="s">
        <v>6698</v>
      </c>
      <c r="N841" s="2" t="s">
        <v>6699</v>
      </c>
      <c r="O841" s="2"/>
      <c r="P841" s="2" t="s">
        <v>37</v>
      </c>
      <c r="Q841" s="4" t="n">
        <v>8731</v>
      </c>
      <c r="R841" s="2" t="s">
        <v>136</v>
      </c>
      <c r="S841" s="2" t="s">
        <v>39</v>
      </c>
      <c r="T841" s="2" t="s">
        <v>40</v>
      </c>
      <c r="U841" s="2" t="s">
        <v>6700</v>
      </c>
      <c r="V841" s="2"/>
      <c r="W841" s="2" t="s">
        <v>42</v>
      </c>
      <c r="X841" s="2" t="s">
        <v>43</v>
      </c>
      <c r="Y841" s="2" t="s">
        <v>37</v>
      </c>
      <c r="Z841" s="2" t="s">
        <v>44</v>
      </c>
      <c r="AA841" s="2"/>
      <c r="AB841" s="2"/>
      <c r="AC841" s="2" t="s">
        <v>6701</v>
      </c>
      <c r="AD841" s="2" t="s">
        <v>46</v>
      </c>
    </row>
    <row r="842" customFormat="false" ht="15.7" hidden="false" customHeight="true" outlineLevel="0" collapsed="false">
      <c r="A842" s="2"/>
      <c r="B842" s="3" t="n">
        <f aca="false">DATE(2007,11,21)</f>
        <v>0</v>
      </c>
      <c r="C842" s="3" t="n">
        <v>39407</v>
      </c>
      <c r="D842" s="2" t="s">
        <v>6702</v>
      </c>
      <c r="F842" s="2" t="s">
        <v>6703</v>
      </c>
      <c r="G842" s="2" t="s">
        <v>6704</v>
      </c>
      <c r="H842" s="2" t="s">
        <v>6705</v>
      </c>
      <c r="I842" s="2" t="s">
        <v>1645</v>
      </c>
      <c r="J842" s="2" t="s">
        <v>35</v>
      </c>
      <c r="K842" s="2" t="s">
        <v>6702</v>
      </c>
      <c r="L842" s="2" t="s">
        <v>1645</v>
      </c>
      <c r="M842" s="2" t="s">
        <v>6705</v>
      </c>
      <c r="N842" s="2" t="s">
        <v>6706</v>
      </c>
      <c r="O842" s="2"/>
      <c r="P842" s="2" t="s">
        <v>37</v>
      </c>
      <c r="Q842" s="4" t="n">
        <v>3823</v>
      </c>
      <c r="R842" s="2" t="s">
        <v>1402</v>
      </c>
      <c r="S842" s="2" t="s">
        <v>39</v>
      </c>
      <c r="T842" s="2" t="s">
        <v>40</v>
      </c>
      <c r="U842" s="2" t="s">
        <v>6707</v>
      </c>
      <c r="V842" s="2"/>
      <c r="W842" s="2" t="s">
        <v>107</v>
      </c>
      <c r="X842" s="2" t="s">
        <v>46</v>
      </c>
      <c r="Y842" s="2" t="s">
        <v>37</v>
      </c>
      <c r="Z842" s="2" t="s">
        <v>2732</v>
      </c>
      <c r="AA842" s="2" t="s">
        <v>6708</v>
      </c>
      <c r="AB842" s="2"/>
      <c r="AC842" s="2" t="s">
        <v>6709</v>
      </c>
      <c r="AD842" s="2" t="s">
        <v>46</v>
      </c>
    </row>
    <row r="843" customFormat="false" ht="15.7" hidden="false" customHeight="true" outlineLevel="0" collapsed="false">
      <c r="A843" s="2"/>
      <c r="B843" s="3" t="n">
        <f aca="false">DATE(2007,11,23)</f>
        <v>0</v>
      </c>
      <c r="C843" s="3" t="n">
        <v>39409</v>
      </c>
      <c r="D843" s="2" t="s">
        <v>6710</v>
      </c>
      <c r="F843" s="2" t="s">
        <v>6711</v>
      </c>
      <c r="G843" s="2" t="s">
        <v>6712</v>
      </c>
      <c r="H843" s="2" t="s">
        <v>6713</v>
      </c>
      <c r="I843" s="2" t="s">
        <v>6714</v>
      </c>
      <c r="J843" s="2" t="s">
        <v>116</v>
      </c>
      <c r="K843" s="2" t="s">
        <v>6715</v>
      </c>
      <c r="L843" s="2" t="s">
        <v>6716</v>
      </c>
      <c r="M843" s="2" t="s">
        <v>6717</v>
      </c>
      <c r="N843" s="2" t="s">
        <v>6718</v>
      </c>
      <c r="O843" s="2" t="s">
        <v>6719</v>
      </c>
      <c r="P843" s="2" t="s">
        <v>37</v>
      </c>
      <c r="Q843" s="4" t="n">
        <v>3714</v>
      </c>
      <c r="R843" s="2" t="s">
        <v>6720</v>
      </c>
      <c r="S843" s="2" t="s">
        <v>39</v>
      </c>
      <c r="T843" s="2" t="s">
        <v>40</v>
      </c>
      <c r="U843" s="2" t="s">
        <v>6721</v>
      </c>
      <c r="V843" s="2"/>
      <c r="W843" s="2" t="s">
        <v>755</v>
      </c>
      <c r="X843" s="2" t="s">
        <v>46</v>
      </c>
      <c r="Y843" s="2" t="s">
        <v>37</v>
      </c>
      <c r="Z843" s="2" t="s">
        <v>6722</v>
      </c>
      <c r="AA843" s="2" t="s">
        <v>6723</v>
      </c>
      <c r="AB843" s="2" t="s">
        <v>6724</v>
      </c>
      <c r="AC843" s="2" t="s">
        <v>6725</v>
      </c>
      <c r="AD843" s="2" t="s">
        <v>46</v>
      </c>
    </row>
    <row r="844" customFormat="false" ht="15.7" hidden="false" customHeight="true" outlineLevel="0" collapsed="false">
      <c r="A844" s="2"/>
      <c r="B844" s="3" t="n">
        <f aca="false">DATE(2007,11,26)</f>
        <v>0</v>
      </c>
      <c r="C844" s="3" t="n">
        <v>39412</v>
      </c>
      <c r="D844" s="2" t="s">
        <v>6726</v>
      </c>
      <c r="F844" s="2" t="s">
        <v>6727</v>
      </c>
      <c r="G844" s="2" t="s">
        <v>6728</v>
      </c>
      <c r="H844" s="2" t="s">
        <v>6729</v>
      </c>
      <c r="I844" s="2" t="s">
        <v>131</v>
      </c>
      <c r="J844" s="2" t="s">
        <v>6730</v>
      </c>
      <c r="K844" s="2" t="s">
        <v>6731</v>
      </c>
      <c r="L844" s="2" t="s">
        <v>131</v>
      </c>
      <c r="M844" s="2" t="s">
        <v>6732</v>
      </c>
      <c r="N844" s="2" t="s">
        <v>6733</v>
      </c>
      <c r="O844" s="2"/>
      <c r="P844" s="2" t="s">
        <v>37</v>
      </c>
      <c r="Q844" s="4" t="n">
        <v>8731</v>
      </c>
      <c r="R844" s="2" t="s">
        <v>136</v>
      </c>
      <c r="S844" s="2" t="s">
        <v>39</v>
      </c>
      <c r="T844" s="2" t="s">
        <v>40</v>
      </c>
      <c r="U844" s="2" t="s">
        <v>6734</v>
      </c>
      <c r="V844" s="2"/>
      <c r="W844" s="2" t="s">
        <v>42</v>
      </c>
      <c r="X844" s="2" t="s">
        <v>43</v>
      </c>
      <c r="Y844" s="2" t="s">
        <v>37</v>
      </c>
      <c r="Z844" s="2" t="s">
        <v>44</v>
      </c>
      <c r="AA844" s="2"/>
      <c r="AB844" s="2"/>
      <c r="AC844" s="2" t="s">
        <v>6735</v>
      </c>
      <c r="AD844" s="2" t="s">
        <v>46</v>
      </c>
    </row>
    <row r="845" customFormat="false" ht="15.7" hidden="false" customHeight="true" outlineLevel="0" collapsed="false">
      <c r="A845" s="2"/>
      <c r="B845" s="3" t="n">
        <f aca="false">DATE(2007,11,27)</f>
        <v>0</v>
      </c>
      <c r="C845" s="3" t="n">
        <v>39413</v>
      </c>
      <c r="D845" s="2" t="s">
        <v>6736</v>
      </c>
      <c r="F845" s="2" t="s">
        <v>6737</v>
      </c>
      <c r="G845" s="2" t="s">
        <v>6738</v>
      </c>
      <c r="H845" s="2" t="s">
        <v>130</v>
      </c>
      <c r="I845" s="2" t="s">
        <v>435</v>
      </c>
      <c r="J845" s="2" t="s">
        <v>132</v>
      </c>
      <c r="K845" s="2" t="s">
        <v>6736</v>
      </c>
      <c r="L845" s="2" t="s">
        <v>435</v>
      </c>
      <c r="M845" s="2" t="s">
        <v>130</v>
      </c>
      <c r="N845" s="2" t="s">
        <v>6739</v>
      </c>
      <c r="O845" s="2"/>
      <c r="P845" s="2" t="s">
        <v>37</v>
      </c>
      <c r="Q845" s="4" t="n">
        <v>8731</v>
      </c>
      <c r="R845" s="2" t="s">
        <v>136</v>
      </c>
      <c r="S845" s="2" t="s">
        <v>39</v>
      </c>
      <c r="T845" s="2" t="s">
        <v>40</v>
      </c>
      <c r="U845" s="2" t="s">
        <v>6740</v>
      </c>
      <c r="V845" s="2"/>
      <c r="W845" s="2" t="s">
        <v>42</v>
      </c>
      <c r="X845" s="2" t="s">
        <v>43</v>
      </c>
      <c r="Y845" s="2" t="s">
        <v>37</v>
      </c>
      <c r="Z845" s="2" t="s">
        <v>44</v>
      </c>
      <c r="AA845" s="2"/>
      <c r="AB845" s="2"/>
      <c r="AC845" s="2" t="s">
        <v>6741</v>
      </c>
      <c r="AD845" s="2" t="s">
        <v>46</v>
      </c>
    </row>
    <row r="846" customFormat="false" ht="15.7" hidden="false" customHeight="true" outlineLevel="0" collapsed="false">
      <c r="A846" s="2"/>
      <c r="B846" s="3" t="n">
        <f aca="false">DATE(2007,11,27)</f>
        <v>0</v>
      </c>
      <c r="C846" s="3" t="n">
        <v>39413</v>
      </c>
      <c r="D846" s="2" t="s">
        <v>6742</v>
      </c>
      <c r="F846" s="2" t="s">
        <v>1501</v>
      </c>
      <c r="G846" s="2" t="s">
        <v>6743</v>
      </c>
      <c r="H846" s="2" t="s">
        <v>305</v>
      </c>
      <c r="I846" s="2" t="s">
        <v>51</v>
      </c>
      <c r="J846" s="2" t="s">
        <v>171</v>
      </c>
      <c r="K846" s="2" t="s">
        <v>6744</v>
      </c>
      <c r="L846" s="2" t="s">
        <v>51</v>
      </c>
      <c r="M846" s="2" t="s">
        <v>130</v>
      </c>
      <c r="N846" s="2" t="s">
        <v>6745</v>
      </c>
      <c r="O846" s="2"/>
      <c r="P846" s="2" t="s">
        <v>37</v>
      </c>
      <c r="Q846" s="4" t="n">
        <v>8731</v>
      </c>
      <c r="R846" s="2" t="s">
        <v>56</v>
      </c>
      <c r="S846" s="2" t="s">
        <v>92</v>
      </c>
      <c r="T846" s="2" t="s">
        <v>40</v>
      </c>
      <c r="U846" s="2" t="s">
        <v>6746</v>
      </c>
      <c r="V846" s="2"/>
      <c r="W846" s="2" t="s">
        <v>42</v>
      </c>
      <c r="X846" s="2" t="s">
        <v>43</v>
      </c>
      <c r="Y846" s="2" t="s">
        <v>37</v>
      </c>
      <c r="Z846" s="2" t="s">
        <v>44</v>
      </c>
      <c r="AA846" s="2"/>
      <c r="AB846" s="2"/>
      <c r="AC846" s="2" t="s">
        <v>6747</v>
      </c>
      <c r="AD846" s="2" t="s">
        <v>46</v>
      </c>
    </row>
    <row r="847" customFormat="false" ht="15.7" hidden="false" customHeight="true" outlineLevel="0" collapsed="false">
      <c r="A847" s="2"/>
      <c r="B847" s="3" t="n">
        <f aca="false">DATE(2007,11,27)</f>
        <v>0</v>
      </c>
      <c r="C847" s="3" t="n">
        <v>39413</v>
      </c>
      <c r="D847" s="2" t="s">
        <v>6748</v>
      </c>
      <c r="F847" s="2" t="s">
        <v>709</v>
      </c>
      <c r="G847" s="2" t="s">
        <v>6749</v>
      </c>
      <c r="H847" s="2" t="s">
        <v>130</v>
      </c>
      <c r="I847" s="2" t="s">
        <v>51</v>
      </c>
      <c r="J847" s="2" t="s">
        <v>6750</v>
      </c>
      <c r="K847" s="2" t="s">
        <v>6748</v>
      </c>
      <c r="L847" s="2" t="s">
        <v>51</v>
      </c>
      <c r="M847" s="2" t="s">
        <v>130</v>
      </c>
      <c r="N847" s="2" t="s">
        <v>6751</v>
      </c>
      <c r="O847" s="2"/>
      <c r="P847" s="2" t="s">
        <v>37</v>
      </c>
      <c r="Q847" s="4" t="n">
        <v>8731</v>
      </c>
      <c r="R847" s="2" t="s">
        <v>56</v>
      </c>
      <c r="S847" s="2" t="s">
        <v>92</v>
      </c>
      <c r="T847" s="2" t="s">
        <v>40</v>
      </c>
      <c r="U847" s="2" t="s">
        <v>6752</v>
      </c>
      <c r="V847" s="2"/>
      <c r="W847" s="2" t="s">
        <v>42</v>
      </c>
      <c r="X847" s="2" t="s">
        <v>43</v>
      </c>
      <c r="Y847" s="2" t="s">
        <v>37</v>
      </c>
      <c r="Z847" s="2" t="s">
        <v>44</v>
      </c>
      <c r="AA847" s="2"/>
      <c r="AB847" s="2"/>
      <c r="AC847" s="2" t="s">
        <v>6753</v>
      </c>
      <c r="AD847" s="2" t="s">
        <v>46</v>
      </c>
    </row>
    <row r="848" customFormat="false" ht="15.7" hidden="false" customHeight="true" outlineLevel="0" collapsed="false">
      <c r="A848" s="2"/>
      <c r="B848" s="3" t="n">
        <f aca="false">DATE(2007,11,29)</f>
        <v>0</v>
      </c>
      <c r="C848" s="3" t="n">
        <v>39415</v>
      </c>
      <c r="D848" s="2" t="s">
        <v>6754</v>
      </c>
      <c r="F848" s="2" t="s">
        <v>6755</v>
      </c>
      <c r="G848" s="2" t="s">
        <v>6756</v>
      </c>
      <c r="H848" s="2" t="s">
        <v>6757</v>
      </c>
      <c r="I848" s="2" t="s">
        <v>51</v>
      </c>
      <c r="J848" s="2" t="s">
        <v>6758</v>
      </c>
      <c r="K848" s="2" t="s">
        <v>6754</v>
      </c>
      <c r="L848" s="2" t="s">
        <v>51</v>
      </c>
      <c r="M848" s="2" t="s">
        <v>6757</v>
      </c>
      <c r="N848" s="2" t="s">
        <v>6759</v>
      </c>
      <c r="O848" s="2"/>
      <c r="P848" s="2" t="s">
        <v>37</v>
      </c>
      <c r="Q848" s="4" t="n">
        <v>8734</v>
      </c>
      <c r="R848" s="2" t="s">
        <v>56</v>
      </c>
      <c r="S848" s="2" t="s">
        <v>931</v>
      </c>
      <c r="T848" s="2" t="s">
        <v>40</v>
      </c>
      <c r="U848" s="2" t="s">
        <v>6760</v>
      </c>
      <c r="V848" s="2"/>
      <c r="W848" s="2" t="s">
        <v>42</v>
      </c>
      <c r="X848" s="2" t="s">
        <v>43</v>
      </c>
      <c r="Y848" s="2" t="s">
        <v>37</v>
      </c>
      <c r="Z848" s="2" t="s">
        <v>44</v>
      </c>
      <c r="AA848" s="2"/>
      <c r="AB848" s="2"/>
      <c r="AC848" s="2" t="s">
        <v>6761</v>
      </c>
      <c r="AD848" s="2" t="s">
        <v>46</v>
      </c>
    </row>
    <row r="849" customFormat="false" ht="15.7" hidden="false" customHeight="true" outlineLevel="0" collapsed="false">
      <c r="A849" s="2"/>
      <c r="B849" s="3" t="n">
        <f aca="false">DATE(2007,11,29)</f>
        <v>0</v>
      </c>
      <c r="C849" s="3" t="n">
        <v>39415</v>
      </c>
      <c r="D849" s="2" t="s">
        <v>6762</v>
      </c>
      <c r="F849" s="2" t="s">
        <v>6763</v>
      </c>
      <c r="G849" s="2" t="s">
        <v>6764</v>
      </c>
      <c r="H849" s="2" t="s">
        <v>130</v>
      </c>
      <c r="I849" s="2" t="s">
        <v>965</v>
      </c>
      <c r="J849" s="2" t="s">
        <v>795</v>
      </c>
      <c r="K849" s="2" t="s">
        <v>6762</v>
      </c>
      <c r="L849" s="2" t="s">
        <v>965</v>
      </c>
      <c r="M849" s="2" t="s">
        <v>130</v>
      </c>
      <c r="N849" s="2" t="s">
        <v>6765</v>
      </c>
      <c r="O849" s="2"/>
      <c r="P849" s="2" t="s">
        <v>37</v>
      </c>
      <c r="Q849" s="4" t="n">
        <v>8731</v>
      </c>
      <c r="R849" s="2" t="s">
        <v>136</v>
      </c>
      <c r="S849" s="2" t="s">
        <v>39</v>
      </c>
      <c r="T849" s="2" t="s">
        <v>40</v>
      </c>
      <c r="U849" s="2" t="s">
        <v>6766</v>
      </c>
      <c r="V849" s="2"/>
      <c r="W849" s="2" t="s">
        <v>6767</v>
      </c>
      <c r="X849" s="2" t="s">
        <v>43</v>
      </c>
      <c r="Y849" s="2" t="s">
        <v>37</v>
      </c>
      <c r="Z849" s="2" t="s">
        <v>44</v>
      </c>
      <c r="AA849" s="2" t="s">
        <v>6768</v>
      </c>
      <c r="AB849" s="2"/>
      <c r="AC849" s="2" t="s">
        <v>6769</v>
      </c>
      <c r="AD849" s="2" t="s">
        <v>46</v>
      </c>
    </row>
    <row r="850" customFormat="false" ht="15.7" hidden="false" customHeight="true" outlineLevel="0" collapsed="false">
      <c r="A850" s="2"/>
      <c r="B850" s="3" t="n">
        <f aca="false">DATE(2007,11,30)</f>
        <v>0</v>
      </c>
      <c r="C850" s="3" t="n">
        <v>39416</v>
      </c>
      <c r="D850" s="2" t="s">
        <v>6770</v>
      </c>
      <c r="F850" s="2" t="s">
        <v>6546</v>
      </c>
      <c r="G850" s="2" t="s">
        <v>6771</v>
      </c>
      <c r="H850" s="2" t="s">
        <v>1027</v>
      </c>
      <c r="I850" s="2" t="s">
        <v>6772</v>
      </c>
      <c r="J850" s="2" t="s">
        <v>65</v>
      </c>
      <c r="K850" s="2" t="s">
        <v>6773</v>
      </c>
      <c r="L850" s="2" t="s">
        <v>6772</v>
      </c>
      <c r="M850" s="2" t="s">
        <v>4833</v>
      </c>
      <c r="N850" s="2" t="s">
        <v>6774</v>
      </c>
      <c r="O850" s="2"/>
      <c r="P850" s="2" t="s">
        <v>37</v>
      </c>
      <c r="Q850" s="4" t="n">
        <v>8731</v>
      </c>
      <c r="R850" s="2" t="s">
        <v>136</v>
      </c>
      <c r="S850" s="2" t="s">
        <v>39</v>
      </c>
      <c r="T850" s="2" t="s">
        <v>40</v>
      </c>
      <c r="U850" s="2" t="s">
        <v>6775</v>
      </c>
      <c r="V850" s="2"/>
      <c r="W850" s="2" t="s">
        <v>42</v>
      </c>
      <c r="X850" s="2" t="s">
        <v>43</v>
      </c>
      <c r="Y850" s="2" t="s">
        <v>37</v>
      </c>
      <c r="Z850" s="2" t="s">
        <v>44</v>
      </c>
      <c r="AA850" s="2"/>
      <c r="AB850" s="2"/>
      <c r="AC850" s="2" t="s">
        <v>6776</v>
      </c>
      <c r="AD850" s="2" t="s">
        <v>46</v>
      </c>
    </row>
    <row r="851" customFormat="false" ht="15.7" hidden="false" customHeight="true" outlineLevel="0" collapsed="false">
      <c r="A851" s="2"/>
      <c r="B851" s="3" t="n">
        <f aca="false">DATE(2007,12,2)</f>
        <v>0</v>
      </c>
      <c r="C851" s="3" t="n">
        <v>39418</v>
      </c>
      <c r="D851" s="2" t="s">
        <v>6777</v>
      </c>
      <c r="F851" s="2" t="s">
        <v>1664</v>
      </c>
      <c r="G851" s="2" t="s">
        <v>6778</v>
      </c>
      <c r="H851" s="2" t="s">
        <v>130</v>
      </c>
      <c r="I851" s="2" t="s">
        <v>1287</v>
      </c>
      <c r="J851" s="2" t="s">
        <v>35</v>
      </c>
      <c r="K851" s="2" t="s">
        <v>6777</v>
      </c>
      <c r="L851" s="2" t="s">
        <v>1287</v>
      </c>
      <c r="M851" s="2" t="s">
        <v>130</v>
      </c>
      <c r="N851" s="2" t="s">
        <v>6779</v>
      </c>
      <c r="O851" s="2"/>
      <c r="P851" s="2" t="s">
        <v>37</v>
      </c>
      <c r="Q851" s="4" t="n">
        <v>8731</v>
      </c>
      <c r="R851" s="2" t="s">
        <v>105</v>
      </c>
      <c r="S851" s="2" t="s">
        <v>39</v>
      </c>
      <c r="T851" s="2" t="s">
        <v>40</v>
      </c>
      <c r="U851" s="2" t="s">
        <v>6780</v>
      </c>
      <c r="V851" s="2"/>
      <c r="W851" s="2" t="s">
        <v>42</v>
      </c>
      <c r="X851" s="2" t="s">
        <v>43</v>
      </c>
      <c r="Y851" s="2" t="s">
        <v>37</v>
      </c>
      <c r="Z851" s="2" t="s">
        <v>44</v>
      </c>
      <c r="AA851" s="2"/>
      <c r="AB851" s="2"/>
      <c r="AC851" s="2" t="s">
        <v>6781</v>
      </c>
      <c r="AD851" s="2" t="s">
        <v>46</v>
      </c>
    </row>
    <row r="852" customFormat="false" ht="15.7" hidden="false" customHeight="true" outlineLevel="0" collapsed="false">
      <c r="A852" s="2"/>
      <c r="B852" s="3" t="n">
        <f aca="false">DATE(2007,12,3)</f>
        <v>0</v>
      </c>
      <c r="C852" s="3" t="n">
        <v>39419</v>
      </c>
      <c r="D852" s="2" t="s">
        <v>6782</v>
      </c>
      <c r="F852" s="2" t="s">
        <v>1138</v>
      </c>
      <c r="G852" s="2" t="s">
        <v>6783</v>
      </c>
      <c r="H852" s="2" t="s">
        <v>305</v>
      </c>
      <c r="I852" s="2" t="s">
        <v>51</v>
      </c>
      <c r="J852" s="2" t="s">
        <v>2190</v>
      </c>
      <c r="K852" s="2" t="s">
        <v>6782</v>
      </c>
      <c r="L852" s="2" t="s">
        <v>51</v>
      </c>
      <c r="M852" s="2" t="s">
        <v>305</v>
      </c>
      <c r="N852" s="2" t="s">
        <v>6784</v>
      </c>
      <c r="O852" s="2"/>
      <c r="P852" s="2" t="s">
        <v>37</v>
      </c>
      <c r="Q852" s="4" t="n">
        <v>8731</v>
      </c>
      <c r="R852" s="2" t="s">
        <v>56</v>
      </c>
      <c r="S852" s="2" t="s">
        <v>92</v>
      </c>
      <c r="T852" s="2" t="s">
        <v>40</v>
      </c>
      <c r="U852" s="2" t="s">
        <v>6785</v>
      </c>
      <c r="V852" s="2"/>
      <c r="W852" s="2" t="s">
        <v>42</v>
      </c>
      <c r="X852" s="2" t="s">
        <v>43</v>
      </c>
      <c r="Y852" s="2" t="s">
        <v>37</v>
      </c>
      <c r="Z852" s="2" t="s">
        <v>44</v>
      </c>
      <c r="AA852" s="2"/>
      <c r="AB852" s="2"/>
      <c r="AC852" s="2" t="s">
        <v>6786</v>
      </c>
      <c r="AD852" s="2" t="s">
        <v>46</v>
      </c>
    </row>
    <row r="853" customFormat="false" ht="15.7" hidden="false" customHeight="true" outlineLevel="0" collapsed="false">
      <c r="A853" s="2"/>
      <c r="B853" s="3" t="n">
        <f aca="false">DATE(2007,12,3)</f>
        <v>0</v>
      </c>
      <c r="C853" s="3" t="n">
        <v>39419</v>
      </c>
      <c r="D853" s="2" t="s">
        <v>6787</v>
      </c>
      <c r="F853" s="2" t="s">
        <v>999</v>
      </c>
      <c r="G853" s="2" t="s">
        <v>6788</v>
      </c>
      <c r="H853" s="2" t="s">
        <v>762</v>
      </c>
      <c r="I853" s="2" t="s">
        <v>51</v>
      </c>
      <c r="J853" s="2" t="s">
        <v>171</v>
      </c>
      <c r="K853" s="2" t="s">
        <v>6787</v>
      </c>
      <c r="L853" s="2" t="s">
        <v>51</v>
      </c>
      <c r="M853" s="2" t="s">
        <v>762</v>
      </c>
      <c r="N853" s="2" t="s">
        <v>6789</v>
      </c>
      <c r="O853" s="2"/>
      <c r="P853" s="2" t="s">
        <v>37</v>
      </c>
      <c r="Q853" s="4" t="n">
        <v>8731</v>
      </c>
      <c r="R853" s="2" t="s">
        <v>56</v>
      </c>
      <c r="S853" s="2" t="s">
        <v>92</v>
      </c>
      <c r="T853" s="2" t="s">
        <v>40</v>
      </c>
      <c r="U853" s="2" t="s">
        <v>6790</v>
      </c>
      <c r="V853" s="2"/>
      <c r="W853" s="2" t="s">
        <v>42</v>
      </c>
      <c r="X853" s="2" t="s">
        <v>43</v>
      </c>
      <c r="Y853" s="2" t="s">
        <v>37</v>
      </c>
      <c r="Z853" s="2" t="s">
        <v>44</v>
      </c>
      <c r="AA853" s="2"/>
      <c r="AB853" s="2"/>
      <c r="AC853" s="2" t="s">
        <v>6791</v>
      </c>
      <c r="AD853" s="2" t="s">
        <v>46</v>
      </c>
    </row>
    <row r="854" customFormat="false" ht="15.7" hidden="false" customHeight="true" outlineLevel="0" collapsed="false">
      <c r="A854" s="2"/>
      <c r="B854" s="3" t="n">
        <f aca="false">DATE(2007,12,3)</f>
        <v>0</v>
      </c>
      <c r="C854" s="3" t="n">
        <v>39419</v>
      </c>
      <c r="D854" s="2" t="s">
        <v>6792</v>
      </c>
      <c r="F854" s="2" t="s">
        <v>6793</v>
      </c>
      <c r="G854" s="2" t="s">
        <v>6794</v>
      </c>
      <c r="H854" s="2" t="s">
        <v>6008</v>
      </c>
      <c r="I854" s="2" t="s">
        <v>670</v>
      </c>
      <c r="J854" s="2" t="s">
        <v>1413</v>
      </c>
      <c r="K854" s="2" t="s">
        <v>6792</v>
      </c>
      <c r="L854" s="2" t="s">
        <v>670</v>
      </c>
      <c r="M854" s="2" t="s">
        <v>6008</v>
      </c>
      <c r="N854" s="2" t="s">
        <v>6795</v>
      </c>
      <c r="O854" s="2"/>
      <c r="P854" s="2" t="s">
        <v>37</v>
      </c>
      <c r="Q854" s="4" t="n">
        <v>8731</v>
      </c>
      <c r="R854" s="2" t="s">
        <v>402</v>
      </c>
      <c r="S854" s="2" t="s">
        <v>39</v>
      </c>
      <c r="T854" s="2" t="s">
        <v>40</v>
      </c>
      <c r="U854" s="2" t="s">
        <v>6796</v>
      </c>
      <c r="V854" s="2"/>
      <c r="W854" s="2" t="s">
        <v>42</v>
      </c>
      <c r="X854" s="2" t="s">
        <v>46</v>
      </c>
      <c r="Y854" s="2" t="s">
        <v>37</v>
      </c>
      <c r="Z854" s="2" t="s">
        <v>362</v>
      </c>
      <c r="AA854" s="2"/>
      <c r="AB854" s="2"/>
      <c r="AC854" s="2" t="s">
        <v>6797</v>
      </c>
      <c r="AD854" s="2" t="s">
        <v>46</v>
      </c>
    </row>
    <row r="855" customFormat="false" ht="15.7" hidden="false" customHeight="true" outlineLevel="0" collapsed="false">
      <c r="A855" s="2"/>
      <c r="B855" s="3" t="n">
        <f aca="false">DATE(2007,12,3)</f>
        <v>0</v>
      </c>
      <c r="C855" s="3" t="n">
        <v>39419</v>
      </c>
      <c r="D855" s="2" t="s">
        <v>6798</v>
      </c>
      <c r="F855" s="2" t="s">
        <v>6799</v>
      </c>
      <c r="G855" s="2" t="s">
        <v>6800</v>
      </c>
      <c r="H855" s="2" t="s">
        <v>305</v>
      </c>
      <c r="I855" s="2" t="s">
        <v>1415</v>
      </c>
      <c r="J855" s="2" t="s">
        <v>514</v>
      </c>
      <c r="K855" s="2" t="s">
        <v>6801</v>
      </c>
      <c r="L855" s="2" t="s">
        <v>2150</v>
      </c>
      <c r="M855" s="2" t="s">
        <v>523</v>
      </c>
      <c r="N855" s="2" t="s">
        <v>6802</v>
      </c>
      <c r="O855" s="2"/>
      <c r="P855" s="2" t="s">
        <v>79</v>
      </c>
      <c r="Q855" s="4" t="n">
        <v>6794</v>
      </c>
      <c r="R855" s="2" t="s">
        <v>136</v>
      </c>
      <c r="S855" s="2" t="s">
        <v>39</v>
      </c>
      <c r="T855" s="2" t="s">
        <v>40</v>
      </c>
      <c r="U855" s="2" t="s">
        <v>6803</v>
      </c>
      <c r="V855" s="2"/>
      <c r="W855" s="2" t="s">
        <v>72</v>
      </c>
      <c r="X855" s="2" t="s">
        <v>43</v>
      </c>
      <c r="Y855" s="2" t="s">
        <v>37</v>
      </c>
      <c r="Z855" s="2" t="s">
        <v>44</v>
      </c>
      <c r="AA855" s="2"/>
      <c r="AB855" s="2"/>
      <c r="AC855" s="2" t="s">
        <v>6804</v>
      </c>
      <c r="AD855" s="2" t="s">
        <v>46</v>
      </c>
    </row>
    <row r="856" customFormat="false" ht="15.7" hidden="false" customHeight="true" outlineLevel="0" collapsed="false">
      <c r="A856" s="2"/>
      <c r="B856" s="3" t="n">
        <f aca="false">DATE(2007,12,3)</f>
        <v>0</v>
      </c>
      <c r="C856" s="3" t="n">
        <v>39419</v>
      </c>
      <c r="D856" s="2" t="s">
        <v>6805</v>
      </c>
      <c r="F856" s="2" t="s">
        <v>6806</v>
      </c>
      <c r="G856" s="2" t="s">
        <v>6807</v>
      </c>
      <c r="H856" s="2" t="s">
        <v>130</v>
      </c>
      <c r="I856" s="2" t="s">
        <v>435</v>
      </c>
      <c r="J856" s="2" t="s">
        <v>4616</v>
      </c>
      <c r="K856" s="2" t="s">
        <v>6805</v>
      </c>
      <c r="L856" s="2" t="s">
        <v>435</v>
      </c>
      <c r="M856" s="2" t="s">
        <v>130</v>
      </c>
      <c r="N856" s="2" t="s">
        <v>6808</v>
      </c>
      <c r="O856" s="2"/>
      <c r="P856" s="2" t="s">
        <v>37</v>
      </c>
      <c r="Q856" s="4" t="n">
        <v>8731</v>
      </c>
      <c r="R856" s="2" t="s">
        <v>136</v>
      </c>
      <c r="S856" s="2" t="s">
        <v>39</v>
      </c>
      <c r="T856" s="2" t="s">
        <v>40</v>
      </c>
      <c r="U856" s="2" t="s">
        <v>6809</v>
      </c>
      <c r="V856" s="2"/>
      <c r="W856" s="2" t="s">
        <v>42</v>
      </c>
      <c r="X856" s="2" t="s">
        <v>43</v>
      </c>
      <c r="Y856" s="2" t="s">
        <v>37</v>
      </c>
      <c r="Z856" s="2" t="s">
        <v>44</v>
      </c>
      <c r="AA856" s="2"/>
      <c r="AB856" s="2"/>
      <c r="AC856" s="2" t="s">
        <v>6810</v>
      </c>
      <c r="AD856" s="2" t="s">
        <v>46</v>
      </c>
    </row>
    <row r="857" customFormat="false" ht="15.7" hidden="false" customHeight="true" outlineLevel="0" collapsed="false">
      <c r="A857" s="2"/>
      <c r="B857" s="3" t="n">
        <f aca="false">DATE(2007,12,3)</f>
        <v>0</v>
      </c>
      <c r="C857" s="3" t="n">
        <v>39419</v>
      </c>
      <c r="D857" s="2" t="s">
        <v>6811</v>
      </c>
      <c r="F857" s="2" t="s">
        <v>6812</v>
      </c>
      <c r="G857" s="2" t="s">
        <v>6813</v>
      </c>
      <c r="H857" s="2" t="s">
        <v>3814</v>
      </c>
      <c r="I857" s="2" t="s">
        <v>6814</v>
      </c>
      <c r="J857" s="2" t="s">
        <v>35</v>
      </c>
      <c r="K857" s="2" t="s">
        <v>6815</v>
      </c>
      <c r="L857" s="2" t="s">
        <v>6814</v>
      </c>
      <c r="M857" s="2" t="s">
        <v>2779</v>
      </c>
      <c r="N857" s="2" t="s">
        <v>6816</v>
      </c>
      <c r="O857" s="2"/>
      <c r="P857" s="2" t="s">
        <v>37</v>
      </c>
      <c r="Q857" s="4" t="n">
        <v>8731</v>
      </c>
      <c r="R857" s="2" t="s">
        <v>3154</v>
      </c>
      <c r="S857" s="2" t="s">
        <v>39</v>
      </c>
      <c r="T857" s="2" t="s">
        <v>403</v>
      </c>
      <c r="U857" s="2" t="s">
        <v>6817</v>
      </c>
      <c r="V857" s="2"/>
      <c r="W857" s="2" t="s">
        <v>42</v>
      </c>
      <c r="X857" s="2" t="s">
        <v>46</v>
      </c>
      <c r="Y857" s="2" t="s">
        <v>37</v>
      </c>
      <c r="Z857" s="2" t="s">
        <v>362</v>
      </c>
      <c r="AA857" s="2"/>
      <c r="AB857" s="2"/>
      <c r="AC857" s="2" t="s">
        <v>6818</v>
      </c>
      <c r="AD857" s="2" t="s">
        <v>46</v>
      </c>
    </row>
    <row r="858" customFormat="false" ht="15.7" hidden="false" customHeight="true" outlineLevel="0" collapsed="false">
      <c r="A858" s="2"/>
      <c r="B858" s="3" t="n">
        <f aca="false">DATE(2007,12,3)</f>
        <v>0</v>
      </c>
      <c r="C858" s="3" t="n">
        <v>39419</v>
      </c>
      <c r="D858" s="2" t="s">
        <v>6819</v>
      </c>
      <c r="F858" s="2" t="s">
        <v>6820</v>
      </c>
      <c r="G858" s="2" t="s">
        <v>6821</v>
      </c>
      <c r="H858" s="2" t="s">
        <v>523</v>
      </c>
      <c r="I858" s="2" t="s">
        <v>51</v>
      </c>
      <c r="J858" s="2" t="s">
        <v>171</v>
      </c>
      <c r="K858" s="2" t="s">
        <v>6822</v>
      </c>
      <c r="L858" s="2" t="s">
        <v>51</v>
      </c>
      <c r="M858" s="2" t="s">
        <v>762</v>
      </c>
      <c r="N858" s="2" t="s">
        <v>6823</v>
      </c>
      <c r="O858" s="2"/>
      <c r="P858" s="2" t="s">
        <v>79</v>
      </c>
      <c r="Q858" s="4" t="n">
        <v>6794</v>
      </c>
      <c r="R858" s="2" t="s">
        <v>56</v>
      </c>
      <c r="S858" s="2" t="s">
        <v>92</v>
      </c>
      <c r="T858" s="2" t="s">
        <v>40</v>
      </c>
      <c r="U858" s="2" t="s">
        <v>6824</v>
      </c>
      <c r="V858" s="2"/>
      <c r="W858" s="2" t="s">
        <v>206</v>
      </c>
      <c r="X858" s="2" t="s">
        <v>43</v>
      </c>
      <c r="Y858" s="2" t="s">
        <v>37</v>
      </c>
      <c r="Z858" s="2" t="s">
        <v>44</v>
      </c>
      <c r="AA858" s="2"/>
      <c r="AB858" s="2"/>
      <c r="AC858" s="2" t="s">
        <v>6825</v>
      </c>
      <c r="AD858" s="2" t="s">
        <v>46</v>
      </c>
    </row>
    <row r="859" customFormat="false" ht="15.7" hidden="false" customHeight="true" outlineLevel="0" collapsed="false">
      <c r="A859" s="2"/>
      <c r="B859" s="3" t="n">
        <f aca="false">DATE(2007,12,4)</f>
        <v>0</v>
      </c>
      <c r="C859" s="3" t="n">
        <v>39420</v>
      </c>
      <c r="D859" s="2" t="s">
        <v>6826</v>
      </c>
      <c r="F859" s="2" t="s">
        <v>6827</v>
      </c>
      <c r="G859" s="2" t="s">
        <v>6828</v>
      </c>
      <c r="H859" s="2" t="s">
        <v>6829</v>
      </c>
      <c r="I859" s="2" t="s">
        <v>821</v>
      </c>
      <c r="J859" s="2" t="s">
        <v>1807</v>
      </c>
      <c r="K859" s="2" t="s">
        <v>6826</v>
      </c>
      <c r="L859" s="2" t="s">
        <v>821</v>
      </c>
      <c r="M859" s="2" t="s">
        <v>6829</v>
      </c>
      <c r="N859" s="2" t="s">
        <v>6830</v>
      </c>
      <c r="O859" s="2"/>
      <c r="P859" s="2" t="s">
        <v>37</v>
      </c>
      <c r="Q859" s="4" t="n">
        <v>8732</v>
      </c>
      <c r="R859" s="2" t="s">
        <v>450</v>
      </c>
      <c r="S859" s="2" t="s">
        <v>39</v>
      </c>
      <c r="T859" s="2" t="s">
        <v>40</v>
      </c>
      <c r="U859" s="2" t="s">
        <v>6831</v>
      </c>
      <c r="V859" s="2"/>
      <c r="W859" s="2" t="s">
        <v>42</v>
      </c>
      <c r="X859" s="2" t="s">
        <v>43</v>
      </c>
      <c r="Y859" s="2" t="s">
        <v>37</v>
      </c>
      <c r="Z859" s="2" t="s">
        <v>44</v>
      </c>
      <c r="AA859" s="2" t="s">
        <v>6832</v>
      </c>
      <c r="AB859" s="2"/>
      <c r="AC859" s="2" t="s">
        <v>6833</v>
      </c>
      <c r="AD859" s="2" t="s">
        <v>46</v>
      </c>
    </row>
    <row r="860" customFormat="false" ht="15.7" hidden="false" customHeight="true" outlineLevel="0" collapsed="false">
      <c r="A860" s="2"/>
      <c r="B860" s="3" t="n">
        <f aca="false">DATE(2007,12,5)</f>
        <v>0</v>
      </c>
      <c r="C860" s="3" t="n">
        <v>39421</v>
      </c>
      <c r="D860" s="2" t="s">
        <v>6834</v>
      </c>
      <c r="F860" s="2" t="s">
        <v>6835</v>
      </c>
      <c r="G860" s="2" t="s">
        <v>6836</v>
      </c>
      <c r="H860" s="2" t="s">
        <v>6837</v>
      </c>
      <c r="I860" s="2" t="s">
        <v>6838</v>
      </c>
      <c r="J860" s="2" t="s">
        <v>35</v>
      </c>
      <c r="K860" s="2" t="s">
        <v>6839</v>
      </c>
      <c r="L860" s="2" t="s">
        <v>6838</v>
      </c>
      <c r="M860" s="2" t="s">
        <v>6837</v>
      </c>
      <c r="N860" s="2" t="s">
        <v>6840</v>
      </c>
      <c r="O860" s="2"/>
      <c r="P860" s="2" t="s">
        <v>37</v>
      </c>
      <c r="Q860" s="4" t="n">
        <v>8731</v>
      </c>
      <c r="R860" s="2" t="s">
        <v>402</v>
      </c>
      <c r="S860" s="2" t="s">
        <v>39</v>
      </c>
      <c r="T860" s="2" t="s">
        <v>403</v>
      </c>
      <c r="U860" s="2" t="s">
        <v>6841</v>
      </c>
      <c r="V860" s="2"/>
      <c r="W860" s="2" t="s">
        <v>6842</v>
      </c>
      <c r="X860" s="2" t="s">
        <v>46</v>
      </c>
      <c r="Y860" s="2" t="s">
        <v>37</v>
      </c>
      <c r="Z860" s="2" t="s">
        <v>362</v>
      </c>
      <c r="AA860" s="2"/>
      <c r="AB860" s="2"/>
      <c r="AC860" s="2" t="s">
        <v>6843</v>
      </c>
      <c r="AD860" s="2" t="s">
        <v>46</v>
      </c>
    </row>
    <row r="861" customFormat="false" ht="15.7" hidden="false" customHeight="true" outlineLevel="0" collapsed="false">
      <c r="A861" s="2"/>
      <c r="B861" s="3" t="n">
        <f aca="false">DATE(2007,12,6)</f>
        <v>0</v>
      </c>
      <c r="C861" s="3" t="n">
        <v>39422</v>
      </c>
      <c r="D861" s="2" t="s">
        <v>6844</v>
      </c>
      <c r="F861" s="2" t="s">
        <v>6845</v>
      </c>
      <c r="G861" s="2" t="s">
        <v>6846</v>
      </c>
      <c r="H861" s="2" t="s">
        <v>5818</v>
      </c>
      <c r="I861" s="2" t="s">
        <v>6847</v>
      </c>
      <c r="J861" s="2" t="s">
        <v>35</v>
      </c>
      <c r="K861" s="2" t="s">
        <v>6848</v>
      </c>
      <c r="L861" s="2" t="s">
        <v>6847</v>
      </c>
      <c r="M861" s="2" t="s">
        <v>134</v>
      </c>
      <c r="N861" s="2" t="s">
        <v>6849</v>
      </c>
      <c r="O861" s="2"/>
      <c r="P861" s="2" t="s">
        <v>37</v>
      </c>
      <c r="Q861" s="4" t="n">
        <v>8731</v>
      </c>
      <c r="R861" s="2" t="s">
        <v>450</v>
      </c>
      <c r="S861" s="2" t="s">
        <v>39</v>
      </c>
      <c r="T861" s="2" t="s">
        <v>40</v>
      </c>
      <c r="U861" s="2" t="s">
        <v>6850</v>
      </c>
      <c r="V861" s="2"/>
      <c r="W861" s="2" t="s">
        <v>42</v>
      </c>
      <c r="X861" s="2" t="s">
        <v>43</v>
      </c>
      <c r="Y861" s="2" t="s">
        <v>37</v>
      </c>
      <c r="Z861" s="2" t="s">
        <v>44</v>
      </c>
      <c r="AA861" s="2"/>
      <c r="AB861" s="2"/>
      <c r="AC861" s="2" t="s">
        <v>6851</v>
      </c>
      <c r="AD861" s="2" t="s">
        <v>46</v>
      </c>
    </row>
    <row r="862" customFormat="false" ht="15.7" hidden="false" customHeight="true" outlineLevel="0" collapsed="false">
      <c r="A862" s="2"/>
      <c r="B862" s="3" t="n">
        <f aca="false">DATE(2007,12,10)</f>
        <v>0</v>
      </c>
      <c r="C862" s="3" t="n">
        <v>39426</v>
      </c>
      <c r="D862" s="2" t="s">
        <v>6852</v>
      </c>
      <c r="F862" s="2" t="s">
        <v>6853</v>
      </c>
      <c r="G862" s="2" t="s">
        <v>6854</v>
      </c>
      <c r="H862" s="2" t="s">
        <v>63</v>
      </c>
      <c r="I862" s="2" t="s">
        <v>6423</v>
      </c>
      <c r="J862" s="2" t="s">
        <v>35</v>
      </c>
      <c r="K862" s="2" t="s">
        <v>6852</v>
      </c>
      <c r="L862" s="2" t="s">
        <v>6423</v>
      </c>
      <c r="M862" s="2" t="s">
        <v>63</v>
      </c>
      <c r="N862" s="2" t="s">
        <v>6855</v>
      </c>
      <c r="O862" s="2"/>
      <c r="P862" s="2" t="s">
        <v>79</v>
      </c>
      <c r="Q862" s="4" t="n">
        <v>8731</v>
      </c>
      <c r="R862" s="2" t="s">
        <v>136</v>
      </c>
      <c r="S862" s="2" t="s">
        <v>39</v>
      </c>
      <c r="T862" s="2" t="s">
        <v>403</v>
      </c>
      <c r="U862" s="2" t="s">
        <v>6856</v>
      </c>
      <c r="V862" s="2"/>
      <c r="W862" s="2" t="s">
        <v>1050</v>
      </c>
      <c r="X862" s="2" t="s">
        <v>43</v>
      </c>
      <c r="Y862" s="2" t="s">
        <v>37</v>
      </c>
      <c r="Z862" s="2" t="s">
        <v>44</v>
      </c>
      <c r="AA862" s="2" t="s">
        <v>6857</v>
      </c>
      <c r="AB862" s="2"/>
      <c r="AC862" s="2" t="s">
        <v>6858</v>
      </c>
      <c r="AD862" s="2" t="s">
        <v>46</v>
      </c>
    </row>
    <row r="863" customFormat="false" ht="15.7" hidden="false" customHeight="true" outlineLevel="0" collapsed="false">
      <c r="A863" s="2"/>
      <c r="B863" s="3" t="n">
        <f aca="false">DATE(2007,12,10)</f>
        <v>0</v>
      </c>
      <c r="C863" s="3" t="n">
        <v>39426</v>
      </c>
      <c r="D863" s="2" t="s">
        <v>6859</v>
      </c>
      <c r="F863" s="2" t="s">
        <v>999</v>
      </c>
      <c r="G863" s="2" t="s">
        <v>6860</v>
      </c>
      <c r="H863" s="2" t="s">
        <v>762</v>
      </c>
      <c r="I863" s="2" t="s">
        <v>670</v>
      </c>
      <c r="J863" s="2" t="s">
        <v>625</v>
      </c>
      <c r="K863" s="2" t="s">
        <v>6859</v>
      </c>
      <c r="L863" s="2" t="s">
        <v>670</v>
      </c>
      <c r="M863" s="2" t="s">
        <v>762</v>
      </c>
      <c r="N863" s="2" t="s">
        <v>6861</v>
      </c>
      <c r="O863" s="2"/>
      <c r="P863" s="2" t="s">
        <v>37</v>
      </c>
      <c r="Q863" s="4" t="n">
        <v>8731</v>
      </c>
      <c r="R863" s="2" t="s">
        <v>402</v>
      </c>
      <c r="S863" s="2" t="s">
        <v>39</v>
      </c>
      <c r="T863" s="2" t="s">
        <v>403</v>
      </c>
      <c r="U863" s="2" t="s">
        <v>6862</v>
      </c>
      <c r="V863" s="2"/>
      <c r="W863" s="2" t="s">
        <v>6863</v>
      </c>
      <c r="X863" s="2" t="s">
        <v>43</v>
      </c>
      <c r="Y863" s="2" t="s">
        <v>37</v>
      </c>
      <c r="Z863" s="2" t="s">
        <v>44</v>
      </c>
      <c r="AA863" s="2"/>
      <c r="AB863" s="2"/>
      <c r="AC863" s="2" t="s">
        <v>6864</v>
      </c>
      <c r="AD863" s="2" t="s">
        <v>46</v>
      </c>
    </row>
    <row r="864" customFormat="false" ht="15.7" hidden="false" customHeight="true" outlineLevel="0" collapsed="false">
      <c r="A864" s="2"/>
      <c r="B864" s="3" t="n">
        <f aca="false">DATE(2007,12,10)</f>
        <v>0</v>
      </c>
      <c r="C864" s="3" t="n">
        <v>39426</v>
      </c>
      <c r="D864" s="2" t="s">
        <v>6865</v>
      </c>
      <c r="F864" s="2" t="s">
        <v>6866</v>
      </c>
      <c r="G864" s="2" t="s">
        <v>6867</v>
      </c>
      <c r="H864" s="2" t="s">
        <v>3752</v>
      </c>
      <c r="I864" s="2" t="s">
        <v>51</v>
      </c>
      <c r="J864" s="2" t="s">
        <v>6868</v>
      </c>
      <c r="K864" s="2" t="s">
        <v>6869</v>
      </c>
      <c r="L864" s="2" t="s">
        <v>51</v>
      </c>
      <c r="M864" s="2" t="s">
        <v>6870</v>
      </c>
      <c r="N864" s="2" t="s">
        <v>6871</v>
      </c>
      <c r="O864" s="2"/>
      <c r="P864" s="2" t="s">
        <v>37</v>
      </c>
      <c r="Q864" s="4" t="n">
        <v>2836</v>
      </c>
      <c r="R864" s="2" t="s">
        <v>136</v>
      </c>
      <c r="S864" s="2" t="s">
        <v>39</v>
      </c>
      <c r="T864" s="2" t="s">
        <v>40</v>
      </c>
      <c r="U864" s="2" t="s">
        <v>6872</v>
      </c>
      <c r="V864" s="2"/>
      <c r="W864" s="2" t="s">
        <v>1801</v>
      </c>
      <c r="X864" s="2" t="s">
        <v>43</v>
      </c>
      <c r="Y864" s="2" t="s">
        <v>37</v>
      </c>
      <c r="Z864" s="2" t="s">
        <v>44</v>
      </c>
      <c r="AA864" s="2"/>
      <c r="AB864" s="2"/>
      <c r="AC864" s="2" t="s">
        <v>6873</v>
      </c>
      <c r="AD864" s="2" t="s">
        <v>46</v>
      </c>
    </row>
    <row r="865" customFormat="false" ht="15.7" hidden="false" customHeight="true" outlineLevel="0" collapsed="false">
      <c r="A865" s="2"/>
      <c r="B865" s="3" t="n">
        <f aca="false">DATE(2007,12,10)</f>
        <v>0</v>
      </c>
      <c r="C865" s="3" t="n">
        <v>39426</v>
      </c>
      <c r="D865" s="2" t="s">
        <v>6874</v>
      </c>
      <c r="F865" s="2" t="s">
        <v>1599</v>
      </c>
      <c r="G865" s="2" t="s">
        <v>6875</v>
      </c>
      <c r="H865" s="2" t="s">
        <v>1101</v>
      </c>
      <c r="I865" s="2" t="s">
        <v>51</v>
      </c>
      <c r="J865" s="2" t="s">
        <v>3161</v>
      </c>
      <c r="K865" s="2" t="s">
        <v>6874</v>
      </c>
      <c r="L865" s="2" t="s">
        <v>51</v>
      </c>
      <c r="M865" s="2" t="s">
        <v>1101</v>
      </c>
      <c r="N865" s="2" t="s">
        <v>6876</v>
      </c>
      <c r="O865" s="2"/>
      <c r="P865" s="2" t="s">
        <v>37</v>
      </c>
      <c r="Q865" s="4" t="n">
        <v>8731</v>
      </c>
      <c r="R865" s="2" t="s">
        <v>56</v>
      </c>
      <c r="S865" s="2" t="s">
        <v>92</v>
      </c>
      <c r="T865" s="2" t="s">
        <v>40</v>
      </c>
      <c r="U865" s="2" t="s">
        <v>6877</v>
      </c>
      <c r="V865" s="2"/>
      <c r="W865" s="2" t="s">
        <v>42</v>
      </c>
      <c r="X865" s="2" t="s">
        <v>43</v>
      </c>
      <c r="Y865" s="2" t="s">
        <v>37</v>
      </c>
      <c r="Z865" s="2" t="s">
        <v>44</v>
      </c>
      <c r="AA865" s="2"/>
      <c r="AB865" s="2"/>
      <c r="AC865" s="2" t="s">
        <v>6878</v>
      </c>
      <c r="AD865" s="2" t="s">
        <v>46</v>
      </c>
    </row>
    <row r="866" customFormat="false" ht="15.7" hidden="false" customHeight="true" outlineLevel="0" collapsed="false">
      <c r="A866" s="2"/>
      <c r="B866" s="3" t="n">
        <f aca="false">DATE(2007,12,10)</f>
        <v>0</v>
      </c>
      <c r="C866" s="3" t="n">
        <v>39426</v>
      </c>
      <c r="D866" s="2" t="s">
        <v>6879</v>
      </c>
      <c r="F866" s="2" t="s">
        <v>1138</v>
      </c>
      <c r="G866" s="2" t="s">
        <v>6880</v>
      </c>
      <c r="H866" s="2" t="s">
        <v>305</v>
      </c>
      <c r="I866" s="2" t="s">
        <v>330</v>
      </c>
      <c r="J866" s="2" t="s">
        <v>132</v>
      </c>
      <c r="K866" s="2" t="s">
        <v>6879</v>
      </c>
      <c r="L866" s="2" t="s">
        <v>330</v>
      </c>
      <c r="M866" s="2" t="s">
        <v>305</v>
      </c>
      <c r="N866" s="2" t="s">
        <v>6881</v>
      </c>
      <c r="O866" s="2"/>
      <c r="P866" s="2" t="s">
        <v>37</v>
      </c>
      <c r="Q866" s="4" t="n">
        <v>8731</v>
      </c>
      <c r="R866" s="2" t="s">
        <v>136</v>
      </c>
      <c r="S866" s="2" t="s">
        <v>39</v>
      </c>
      <c r="T866" s="2" t="s">
        <v>40</v>
      </c>
      <c r="U866" s="2" t="s">
        <v>6882</v>
      </c>
      <c r="V866" s="2"/>
      <c r="W866" s="2" t="s">
        <v>138</v>
      </c>
      <c r="X866" s="2" t="s">
        <v>43</v>
      </c>
      <c r="Y866" s="2" t="s">
        <v>37</v>
      </c>
      <c r="Z866" s="2" t="s">
        <v>44</v>
      </c>
      <c r="AA866" s="2"/>
      <c r="AB866" s="2"/>
      <c r="AC866" s="2" t="s">
        <v>6883</v>
      </c>
      <c r="AD866" s="2" t="s">
        <v>46</v>
      </c>
    </row>
    <row r="867" customFormat="false" ht="15.7" hidden="false" customHeight="true" outlineLevel="0" collapsed="false">
      <c r="A867" s="2"/>
      <c r="B867" s="3" t="n">
        <f aca="false">DATE(2007,12,10)</f>
        <v>0</v>
      </c>
      <c r="C867" s="3" t="n">
        <v>39426</v>
      </c>
      <c r="D867" s="2" t="s">
        <v>6865</v>
      </c>
      <c r="F867" s="2" t="s">
        <v>6866</v>
      </c>
      <c r="G867" s="2" t="s">
        <v>6867</v>
      </c>
      <c r="H867" s="2" t="s">
        <v>3752</v>
      </c>
      <c r="I867" s="2" t="s">
        <v>51</v>
      </c>
      <c r="J867" s="2" t="s">
        <v>6868</v>
      </c>
      <c r="K867" s="2" t="s">
        <v>6869</v>
      </c>
      <c r="L867" s="2" t="s">
        <v>51</v>
      </c>
      <c r="M867" s="2" t="s">
        <v>6870</v>
      </c>
      <c r="N867" s="2" t="s">
        <v>6884</v>
      </c>
      <c r="O867" s="2"/>
      <c r="P867" s="2" t="s">
        <v>37</v>
      </c>
      <c r="Q867" s="4" t="n">
        <v>8731</v>
      </c>
      <c r="R867" s="2" t="s">
        <v>136</v>
      </c>
      <c r="S867" s="2" t="s">
        <v>39</v>
      </c>
      <c r="T867" s="2" t="s">
        <v>40</v>
      </c>
      <c r="U867" s="2" t="s">
        <v>6885</v>
      </c>
      <c r="V867" s="2"/>
      <c r="W867" s="2" t="s">
        <v>138</v>
      </c>
      <c r="X867" s="2" t="s">
        <v>43</v>
      </c>
      <c r="Y867" s="2" t="s">
        <v>37</v>
      </c>
      <c r="Z867" s="2" t="s">
        <v>44</v>
      </c>
      <c r="AA867" s="2"/>
      <c r="AB867" s="2"/>
      <c r="AC867" s="2" t="s">
        <v>6873</v>
      </c>
      <c r="AD867" s="2" t="s">
        <v>46</v>
      </c>
    </row>
    <row r="868" customFormat="false" ht="15.7" hidden="false" customHeight="true" outlineLevel="0" collapsed="false">
      <c r="A868" s="2"/>
      <c r="B868" s="3" t="n">
        <f aca="false">DATE(2007,12,11)</f>
        <v>0</v>
      </c>
      <c r="C868" s="3" t="n">
        <v>39427</v>
      </c>
      <c r="D868" s="2" t="s">
        <v>6886</v>
      </c>
      <c r="F868" s="2" t="s">
        <v>6887</v>
      </c>
      <c r="G868" s="2" t="s">
        <v>6888</v>
      </c>
      <c r="H868" s="2" t="s">
        <v>1020</v>
      </c>
      <c r="I868" s="2" t="s">
        <v>6889</v>
      </c>
      <c r="J868" s="2" t="s">
        <v>35</v>
      </c>
      <c r="K868" s="2" t="s">
        <v>6890</v>
      </c>
      <c r="L868" s="2" t="s">
        <v>6889</v>
      </c>
      <c r="M868" s="2" t="s">
        <v>3823</v>
      </c>
      <c r="N868" s="2" t="s">
        <v>6891</v>
      </c>
      <c r="O868" s="2"/>
      <c r="P868" s="2" t="s">
        <v>37</v>
      </c>
      <c r="Q868" s="4" t="n">
        <v>8731</v>
      </c>
      <c r="R868" s="2" t="s">
        <v>402</v>
      </c>
      <c r="S868" s="2" t="s">
        <v>39</v>
      </c>
      <c r="T868" s="2" t="s">
        <v>40</v>
      </c>
      <c r="U868" s="2" t="s">
        <v>6892</v>
      </c>
      <c r="V868" s="2"/>
      <c r="W868" s="2" t="s">
        <v>42</v>
      </c>
      <c r="X868" s="2" t="s">
        <v>43</v>
      </c>
      <c r="Y868" s="2" t="s">
        <v>37</v>
      </c>
      <c r="Z868" s="2" t="s">
        <v>44</v>
      </c>
      <c r="AA868" s="2"/>
      <c r="AB868" s="2"/>
      <c r="AC868" s="2" t="s">
        <v>6893</v>
      </c>
      <c r="AD868" s="2" t="s">
        <v>46</v>
      </c>
    </row>
    <row r="869" customFormat="false" ht="15.7" hidden="false" customHeight="true" outlineLevel="0" collapsed="false">
      <c r="A869" s="2"/>
      <c r="B869" s="3" t="n">
        <f aca="false">DATE(2007,12,11)</f>
        <v>0</v>
      </c>
      <c r="C869" s="3" t="n">
        <v>39427</v>
      </c>
      <c r="D869" s="2" t="s">
        <v>6894</v>
      </c>
      <c r="F869" s="2" t="s">
        <v>6895</v>
      </c>
      <c r="G869" s="2" t="s">
        <v>6896</v>
      </c>
      <c r="H869" s="2" t="s">
        <v>6897</v>
      </c>
      <c r="I869" s="2" t="s">
        <v>685</v>
      </c>
      <c r="J869" s="2" t="s">
        <v>35</v>
      </c>
      <c r="K869" s="2" t="s">
        <v>6894</v>
      </c>
      <c r="L869" s="2" t="s">
        <v>685</v>
      </c>
      <c r="M869" s="2" t="s">
        <v>6897</v>
      </c>
      <c r="N869" s="2" t="s">
        <v>6898</v>
      </c>
      <c r="O869" s="2" t="s">
        <v>6899</v>
      </c>
      <c r="P869" s="2" t="s">
        <v>37</v>
      </c>
      <c r="Q869" s="4" t="n">
        <v>7374</v>
      </c>
      <c r="R869" s="2" t="s">
        <v>688</v>
      </c>
      <c r="S869" s="2" t="s">
        <v>39</v>
      </c>
      <c r="T869" s="2" t="s">
        <v>40</v>
      </c>
      <c r="U869" s="2" t="s">
        <v>6900</v>
      </c>
      <c r="V869" s="2"/>
      <c r="W869" s="2" t="s">
        <v>6901</v>
      </c>
      <c r="X869" s="2" t="s">
        <v>46</v>
      </c>
      <c r="Y869" s="2" t="s">
        <v>37</v>
      </c>
      <c r="Z869" s="2" t="s">
        <v>362</v>
      </c>
      <c r="AA869" s="2"/>
      <c r="AB869" s="2" t="s">
        <v>6902</v>
      </c>
      <c r="AC869" s="2" t="s">
        <v>6903</v>
      </c>
      <c r="AD869" s="2" t="s">
        <v>46</v>
      </c>
    </row>
    <row r="870" customFormat="false" ht="15.7" hidden="false" customHeight="true" outlineLevel="0" collapsed="false">
      <c r="A870" s="2"/>
      <c r="B870" s="3" t="n">
        <f aca="false">DATE(2007,12,11)</f>
        <v>0</v>
      </c>
      <c r="C870" s="3" t="n">
        <v>39427</v>
      </c>
      <c r="D870" s="2" t="s">
        <v>6904</v>
      </c>
      <c r="F870" s="2" t="s">
        <v>6905</v>
      </c>
      <c r="G870" s="2" t="s">
        <v>6906</v>
      </c>
      <c r="H870" s="2" t="s">
        <v>153</v>
      </c>
      <c r="I870" s="2" t="s">
        <v>202</v>
      </c>
      <c r="J870" s="2" t="s">
        <v>625</v>
      </c>
      <c r="K870" s="2" t="s">
        <v>6904</v>
      </c>
      <c r="L870" s="2" t="s">
        <v>202</v>
      </c>
      <c r="M870" s="2" t="s">
        <v>153</v>
      </c>
      <c r="N870" s="2" t="s">
        <v>6907</v>
      </c>
      <c r="O870" s="2"/>
      <c r="P870" s="2" t="s">
        <v>37</v>
      </c>
      <c r="Q870" s="4" t="n">
        <v>8731</v>
      </c>
      <c r="R870" s="2" t="s">
        <v>136</v>
      </c>
      <c r="S870" s="2" t="s">
        <v>39</v>
      </c>
      <c r="T870" s="2" t="s">
        <v>40</v>
      </c>
      <c r="U870" s="2" t="s">
        <v>6908</v>
      </c>
      <c r="V870" s="2"/>
      <c r="W870" s="2" t="s">
        <v>42</v>
      </c>
      <c r="X870" s="2" t="s">
        <v>43</v>
      </c>
      <c r="Y870" s="2" t="s">
        <v>37</v>
      </c>
      <c r="Z870" s="2" t="s">
        <v>44</v>
      </c>
      <c r="AA870" s="2"/>
      <c r="AB870" s="2"/>
      <c r="AC870" s="2" t="s">
        <v>6909</v>
      </c>
      <c r="AD870" s="2" t="s">
        <v>46</v>
      </c>
    </row>
    <row r="871" customFormat="false" ht="15.7" hidden="false" customHeight="true" outlineLevel="0" collapsed="false">
      <c r="A871" s="2"/>
      <c r="B871" s="3" t="n">
        <f aca="false">DATE(2007,12,12)</f>
        <v>0</v>
      </c>
      <c r="C871" s="3" t="n">
        <v>39428</v>
      </c>
      <c r="D871" s="2" t="s">
        <v>6910</v>
      </c>
      <c r="F871" s="2" t="s">
        <v>6911</v>
      </c>
      <c r="G871" s="2" t="s">
        <v>6912</v>
      </c>
      <c r="H871" s="2" t="s">
        <v>6913</v>
      </c>
      <c r="I871" s="2" t="s">
        <v>51</v>
      </c>
      <c r="J871" s="2" t="s">
        <v>6914</v>
      </c>
      <c r="K871" s="2" t="s">
        <v>6910</v>
      </c>
      <c r="L871" s="2" t="s">
        <v>51</v>
      </c>
      <c r="M871" s="2" t="s">
        <v>6913</v>
      </c>
      <c r="N871" s="2" t="s">
        <v>6915</v>
      </c>
      <c r="O871" s="2"/>
      <c r="P871" s="2" t="s">
        <v>37</v>
      </c>
      <c r="Q871" s="4" t="n">
        <v>8731</v>
      </c>
      <c r="R871" s="2" t="s">
        <v>56</v>
      </c>
      <c r="S871" s="2" t="s">
        <v>92</v>
      </c>
      <c r="T871" s="2" t="s">
        <v>40</v>
      </c>
      <c r="U871" s="2" t="s">
        <v>6916</v>
      </c>
      <c r="V871" s="2"/>
      <c r="W871" s="2" t="s">
        <v>42</v>
      </c>
      <c r="X871" s="2" t="s">
        <v>43</v>
      </c>
      <c r="Y871" s="2" t="s">
        <v>37</v>
      </c>
      <c r="Z871" s="2" t="s">
        <v>44</v>
      </c>
      <c r="AA871" s="2"/>
      <c r="AB871" s="2"/>
      <c r="AC871" s="2" t="s">
        <v>6917</v>
      </c>
      <c r="AD871" s="2" t="s">
        <v>46</v>
      </c>
    </row>
    <row r="872" customFormat="false" ht="15.7" hidden="false" customHeight="true" outlineLevel="0" collapsed="false">
      <c r="A872" s="2"/>
      <c r="B872" s="3" t="n">
        <f aca="false">DATE(2007,12,12)</f>
        <v>0</v>
      </c>
      <c r="C872" s="3" t="n">
        <v>39428</v>
      </c>
      <c r="D872" s="2" t="s">
        <v>6918</v>
      </c>
      <c r="F872" s="2" t="s">
        <v>6919</v>
      </c>
      <c r="G872" s="2" t="s">
        <v>6920</v>
      </c>
      <c r="H872" s="2" t="s">
        <v>170</v>
      </c>
      <c r="I872" s="2" t="s">
        <v>180</v>
      </c>
      <c r="J872" s="2" t="s">
        <v>132</v>
      </c>
      <c r="K872" s="2" t="s">
        <v>6921</v>
      </c>
      <c r="L872" s="2" t="s">
        <v>3885</v>
      </c>
      <c r="M872" s="2" t="s">
        <v>63</v>
      </c>
      <c r="N872" s="2" t="s">
        <v>6922</v>
      </c>
      <c r="O872" s="2"/>
      <c r="P872" s="2" t="s">
        <v>37</v>
      </c>
      <c r="Q872" s="4" t="n">
        <v>8731</v>
      </c>
      <c r="R872" s="2" t="s">
        <v>136</v>
      </c>
      <c r="S872" s="2" t="s">
        <v>39</v>
      </c>
      <c r="T872" s="2" t="s">
        <v>40</v>
      </c>
      <c r="U872" s="2" t="s">
        <v>6923</v>
      </c>
      <c r="V872" s="2"/>
      <c r="W872" s="2" t="s">
        <v>42</v>
      </c>
      <c r="X872" s="2" t="s">
        <v>43</v>
      </c>
      <c r="Y872" s="2" t="s">
        <v>37</v>
      </c>
      <c r="Z872" s="2" t="s">
        <v>44</v>
      </c>
      <c r="AA872" s="2"/>
      <c r="AB872" s="2"/>
      <c r="AC872" s="2" t="s">
        <v>6924</v>
      </c>
      <c r="AD872" s="2" t="s">
        <v>46</v>
      </c>
    </row>
    <row r="873" customFormat="false" ht="15.7" hidden="false" customHeight="true" outlineLevel="0" collapsed="false">
      <c r="A873" s="2"/>
      <c r="B873" s="3" t="n">
        <f aca="false">DATE(2007,12,12)</f>
        <v>0</v>
      </c>
      <c r="C873" s="3" t="n">
        <v>39428</v>
      </c>
      <c r="D873" s="2" t="s">
        <v>6918</v>
      </c>
      <c r="F873" s="2" t="s">
        <v>6919</v>
      </c>
      <c r="G873" s="2" t="s">
        <v>6920</v>
      </c>
      <c r="H873" s="2" t="s">
        <v>170</v>
      </c>
      <c r="I873" s="2" t="s">
        <v>180</v>
      </c>
      <c r="J873" s="2" t="s">
        <v>132</v>
      </c>
      <c r="K873" s="2" t="s">
        <v>6921</v>
      </c>
      <c r="L873" s="2" t="s">
        <v>3885</v>
      </c>
      <c r="M873" s="2" t="s">
        <v>63</v>
      </c>
      <c r="N873" s="2" t="s">
        <v>6925</v>
      </c>
      <c r="O873" s="2"/>
      <c r="P873" s="2" t="s">
        <v>79</v>
      </c>
      <c r="Q873" s="4" t="n">
        <v>8731</v>
      </c>
      <c r="R873" s="2" t="s">
        <v>136</v>
      </c>
      <c r="S873" s="2" t="s">
        <v>39</v>
      </c>
      <c r="T873" s="2" t="s">
        <v>40</v>
      </c>
      <c r="U873" s="2" t="s">
        <v>6926</v>
      </c>
      <c r="V873" s="2"/>
      <c r="W873" s="2" t="s">
        <v>6927</v>
      </c>
      <c r="X873" s="2" t="s">
        <v>43</v>
      </c>
      <c r="Y873" s="2" t="s">
        <v>37</v>
      </c>
      <c r="Z873" s="2" t="s">
        <v>44</v>
      </c>
      <c r="AA873" s="2"/>
      <c r="AB873" s="2"/>
      <c r="AC873" s="2" t="s">
        <v>6924</v>
      </c>
      <c r="AD873" s="2" t="s">
        <v>46</v>
      </c>
    </row>
    <row r="874" customFormat="false" ht="15.7" hidden="false" customHeight="true" outlineLevel="0" collapsed="false">
      <c r="A874" s="2"/>
      <c r="B874" s="3" t="n">
        <f aca="false">DATE(2007,12,13)</f>
        <v>0</v>
      </c>
      <c r="C874" s="3" t="n">
        <v>39429</v>
      </c>
      <c r="D874" s="2" t="s">
        <v>6928</v>
      </c>
      <c r="F874" s="2" t="s">
        <v>6929</v>
      </c>
      <c r="G874" s="2" t="s">
        <v>6930</v>
      </c>
      <c r="H874" s="2" t="s">
        <v>523</v>
      </c>
      <c r="I874" s="2" t="s">
        <v>685</v>
      </c>
      <c r="J874" s="2" t="s">
        <v>35</v>
      </c>
      <c r="K874" s="2" t="s">
        <v>6928</v>
      </c>
      <c r="L874" s="2" t="s">
        <v>685</v>
      </c>
      <c r="M874" s="2" t="s">
        <v>523</v>
      </c>
      <c r="N874" s="2" t="s">
        <v>6931</v>
      </c>
      <c r="O874" s="2"/>
      <c r="P874" s="2" t="s">
        <v>37</v>
      </c>
      <c r="Q874" s="4" t="n">
        <v>8731</v>
      </c>
      <c r="R874" s="2" t="s">
        <v>688</v>
      </c>
      <c r="S874" s="2" t="s">
        <v>39</v>
      </c>
      <c r="T874" s="2" t="s">
        <v>40</v>
      </c>
      <c r="U874" s="2" t="s">
        <v>6932</v>
      </c>
      <c r="V874" s="2"/>
      <c r="W874" s="2" t="s">
        <v>42</v>
      </c>
      <c r="X874" s="2" t="s">
        <v>43</v>
      </c>
      <c r="Y874" s="2" t="s">
        <v>37</v>
      </c>
      <c r="Z874" s="2" t="s">
        <v>44</v>
      </c>
      <c r="AA874" s="2"/>
      <c r="AB874" s="2"/>
      <c r="AC874" s="2" t="s">
        <v>6933</v>
      </c>
      <c r="AD874" s="2" t="s">
        <v>46</v>
      </c>
    </row>
    <row r="875" customFormat="false" ht="15.7" hidden="false" customHeight="true" outlineLevel="0" collapsed="false">
      <c r="A875" s="2"/>
      <c r="B875" s="3" t="n">
        <f aca="false">DATE(2007,12,13)</f>
        <v>0</v>
      </c>
      <c r="C875" s="3" t="n">
        <v>39429</v>
      </c>
      <c r="D875" s="2" t="s">
        <v>6934</v>
      </c>
      <c r="F875" s="2" t="s">
        <v>6935</v>
      </c>
      <c r="G875" s="2" t="s">
        <v>6936</v>
      </c>
      <c r="H875" s="2" t="s">
        <v>6937</v>
      </c>
      <c r="I875" s="2" t="s">
        <v>219</v>
      </c>
      <c r="J875" s="2" t="s">
        <v>514</v>
      </c>
      <c r="K875" s="2" t="s">
        <v>6934</v>
      </c>
      <c r="L875" s="2" t="s">
        <v>219</v>
      </c>
      <c r="M875" s="2" t="s">
        <v>6937</v>
      </c>
      <c r="N875" s="2" t="s">
        <v>6938</v>
      </c>
      <c r="O875" s="2"/>
      <c r="P875" s="2" t="s">
        <v>37</v>
      </c>
      <c r="Q875" s="4" t="n">
        <v>8731</v>
      </c>
      <c r="R875" s="2" t="s">
        <v>136</v>
      </c>
      <c r="S875" s="2" t="s">
        <v>39</v>
      </c>
      <c r="T875" s="2" t="s">
        <v>40</v>
      </c>
      <c r="U875" s="2" t="s">
        <v>6939</v>
      </c>
      <c r="V875" s="2"/>
      <c r="W875" s="2" t="s">
        <v>42</v>
      </c>
      <c r="X875" s="2" t="s">
        <v>43</v>
      </c>
      <c r="Y875" s="2" t="s">
        <v>37</v>
      </c>
      <c r="Z875" s="2" t="s">
        <v>44</v>
      </c>
      <c r="AA875" s="2"/>
      <c r="AB875" s="2"/>
      <c r="AC875" s="2" t="s">
        <v>6940</v>
      </c>
      <c r="AD875" s="2" t="s">
        <v>46</v>
      </c>
    </row>
    <row r="876" customFormat="false" ht="15.7" hidden="false" customHeight="true" outlineLevel="0" collapsed="false">
      <c r="A876" s="2"/>
      <c r="B876" s="3" t="n">
        <f aca="false">DATE(2007,12,13)</f>
        <v>0</v>
      </c>
      <c r="C876" s="3" t="n">
        <v>39429</v>
      </c>
      <c r="D876" s="2" t="s">
        <v>6941</v>
      </c>
      <c r="F876" s="2" t="s">
        <v>6942</v>
      </c>
      <c r="G876" s="2" t="s">
        <v>6943</v>
      </c>
      <c r="H876" s="2" t="s">
        <v>6944</v>
      </c>
      <c r="I876" s="2" t="s">
        <v>6945</v>
      </c>
      <c r="J876" s="2" t="s">
        <v>35</v>
      </c>
      <c r="K876" s="2" t="s">
        <v>6941</v>
      </c>
      <c r="L876" s="2" t="s">
        <v>6945</v>
      </c>
      <c r="M876" s="2" t="s">
        <v>6944</v>
      </c>
      <c r="N876" s="2" t="s">
        <v>6946</v>
      </c>
      <c r="O876" s="2"/>
      <c r="P876" s="2" t="s">
        <v>37</v>
      </c>
      <c r="Q876" s="4" t="n">
        <v>8731</v>
      </c>
      <c r="R876" s="2" t="s">
        <v>136</v>
      </c>
      <c r="S876" s="2" t="s">
        <v>39</v>
      </c>
      <c r="T876" s="2" t="s">
        <v>40</v>
      </c>
      <c r="U876" s="2" t="s">
        <v>6947</v>
      </c>
      <c r="V876" s="2"/>
      <c r="W876" s="2" t="s">
        <v>42</v>
      </c>
      <c r="X876" s="2" t="s">
        <v>43</v>
      </c>
      <c r="Y876" s="2" t="s">
        <v>37</v>
      </c>
      <c r="Z876" s="2" t="s">
        <v>44</v>
      </c>
      <c r="AA876" s="2"/>
      <c r="AB876" s="2"/>
      <c r="AC876" s="2" t="s">
        <v>6948</v>
      </c>
      <c r="AD876" s="2" t="s">
        <v>46</v>
      </c>
    </row>
    <row r="877" customFormat="false" ht="15.7" hidden="false" customHeight="true" outlineLevel="0" collapsed="false">
      <c r="A877" s="2"/>
      <c r="B877" s="3" t="n">
        <f aca="false">DATE(2007,12,13)</f>
        <v>0</v>
      </c>
      <c r="C877" s="3" t="n">
        <v>39429</v>
      </c>
      <c r="D877" s="2" t="s">
        <v>6949</v>
      </c>
      <c r="F877" s="2" t="s">
        <v>6950</v>
      </c>
      <c r="G877" s="2" t="s">
        <v>6951</v>
      </c>
      <c r="H877" s="2" t="s">
        <v>6952</v>
      </c>
      <c r="I877" s="2" t="s">
        <v>388</v>
      </c>
      <c r="J877" s="2" t="s">
        <v>1456</v>
      </c>
      <c r="K877" s="2" t="s">
        <v>6949</v>
      </c>
      <c r="L877" s="2" t="s">
        <v>388</v>
      </c>
      <c r="M877" s="2" t="s">
        <v>6952</v>
      </c>
      <c r="N877" s="2" t="s">
        <v>6953</v>
      </c>
      <c r="O877" s="2"/>
      <c r="P877" s="2" t="s">
        <v>37</v>
      </c>
      <c r="Q877" s="4" t="n">
        <v>8099</v>
      </c>
      <c r="R877" s="2" t="s">
        <v>2201</v>
      </c>
      <c r="S877" s="2" t="s">
        <v>39</v>
      </c>
      <c r="T877" s="2" t="s">
        <v>673</v>
      </c>
      <c r="U877" s="2" t="s">
        <v>6954</v>
      </c>
      <c r="V877" s="2"/>
      <c r="W877" s="2" t="s">
        <v>6955</v>
      </c>
      <c r="X877" s="2" t="s">
        <v>43</v>
      </c>
      <c r="Y877" s="2" t="s">
        <v>37</v>
      </c>
      <c r="Z877" s="2" t="s">
        <v>44</v>
      </c>
      <c r="AA877" s="2"/>
      <c r="AB877" s="2"/>
      <c r="AC877" s="2" t="s">
        <v>6956</v>
      </c>
      <c r="AD877" s="2" t="s">
        <v>46</v>
      </c>
    </row>
    <row r="878" customFormat="false" ht="15.7" hidden="false" customHeight="true" outlineLevel="0" collapsed="false">
      <c r="A878" s="2"/>
      <c r="B878" s="3" t="n">
        <f aca="false">DATE(2007,12,14)</f>
        <v>0</v>
      </c>
      <c r="C878" s="3" t="n">
        <v>39430</v>
      </c>
      <c r="D878" s="2" t="s">
        <v>6957</v>
      </c>
      <c r="F878" s="2" t="s">
        <v>2970</v>
      </c>
      <c r="G878" s="2" t="s">
        <v>6958</v>
      </c>
      <c r="H878" s="2" t="s">
        <v>63</v>
      </c>
      <c r="I878" s="2" t="s">
        <v>388</v>
      </c>
      <c r="J878" s="2" t="s">
        <v>203</v>
      </c>
      <c r="K878" s="2" t="s">
        <v>6957</v>
      </c>
      <c r="L878" s="2" t="s">
        <v>388</v>
      </c>
      <c r="M878" s="2" t="s">
        <v>63</v>
      </c>
      <c r="N878" s="2" t="s">
        <v>6959</v>
      </c>
      <c r="O878" s="2"/>
      <c r="P878" s="2" t="s">
        <v>79</v>
      </c>
      <c r="Q878" s="4" t="n">
        <v>8731</v>
      </c>
      <c r="R878" s="2" t="s">
        <v>136</v>
      </c>
      <c r="S878" s="2" t="s">
        <v>39</v>
      </c>
      <c r="T878" s="2" t="s">
        <v>40</v>
      </c>
      <c r="U878" s="2" t="s">
        <v>6960</v>
      </c>
      <c r="V878" s="2"/>
      <c r="W878" s="2" t="s">
        <v>1050</v>
      </c>
      <c r="X878" s="2" t="s">
        <v>43</v>
      </c>
      <c r="Y878" s="2" t="s">
        <v>37</v>
      </c>
      <c r="Z878" s="2" t="s">
        <v>44</v>
      </c>
      <c r="AA878" s="2" t="s">
        <v>6961</v>
      </c>
      <c r="AB878" s="2"/>
      <c r="AC878" s="2" t="s">
        <v>6962</v>
      </c>
      <c r="AD878" s="2" t="s">
        <v>46</v>
      </c>
    </row>
    <row r="879" customFormat="false" ht="15.7" hidden="false" customHeight="true" outlineLevel="0" collapsed="false">
      <c r="A879" s="2"/>
      <c r="B879" s="3" t="n">
        <f aca="false">DATE(2007,12,17)</f>
        <v>0</v>
      </c>
      <c r="C879" s="3" t="n">
        <v>39433</v>
      </c>
      <c r="D879" s="2" t="s">
        <v>6963</v>
      </c>
      <c r="F879" s="2" t="s">
        <v>6964</v>
      </c>
      <c r="G879" s="2" t="s">
        <v>6965</v>
      </c>
      <c r="H879" s="2" t="s">
        <v>1020</v>
      </c>
      <c r="I879" s="2" t="s">
        <v>568</v>
      </c>
      <c r="J879" s="2" t="s">
        <v>514</v>
      </c>
      <c r="K879" s="2" t="s">
        <v>6966</v>
      </c>
      <c r="L879" s="2" t="s">
        <v>4753</v>
      </c>
      <c r="M879" s="2" t="s">
        <v>523</v>
      </c>
      <c r="N879" s="2" t="s">
        <v>6967</v>
      </c>
      <c r="O879" s="2"/>
      <c r="P879" s="2" t="s">
        <v>37</v>
      </c>
      <c r="Q879" s="4" t="n">
        <v>8731</v>
      </c>
      <c r="R879" s="2" t="s">
        <v>136</v>
      </c>
      <c r="S879" s="2" t="s">
        <v>39</v>
      </c>
      <c r="T879" s="2" t="s">
        <v>40</v>
      </c>
      <c r="U879" s="2" t="s">
        <v>6968</v>
      </c>
      <c r="V879" s="2"/>
      <c r="W879" s="2" t="s">
        <v>42</v>
      </c>
      <c r="X879" s="2" t="s">
        <v>43</v>
      </c>
      <c r="Y879" s="2" t="s">
        <v>37</v>
      </c>
      <c r="Z879" s="2" t="s">
        <v>44</v>
      </c>
      <c r="AA879" s="2"/>
      <c r="AB879" s="2"/>
      <c r="AC879" s="2" t="s">
        <v>6969</v>
      </c>
      <c r="AD879" s="2" t="s">
        <v>46</v>
      </c>
    </row>
    <row r="880" customFormat="false" ht="15.7" hidden="false" customHeight="true" outlineLevel="0" collapsed="false">
      <c r="A880" s="2"/>
      <c r="B880" s="3" t="n">
        <f aca="false">DATE(2007,12,17)</f>
        <v>0</v>
      </c>
      <c r="C880" s="3" t="n">
        <v>39433</v>
      </c>
      <c r="D880" s="2" t="s">
        <v>6970</v>
      </c>
      <c r="F880" s="2" t="s">
        <v>6971</v>
      </c>
      <c r="G880" s="2" t="s">
        <v>6972</v>
      </c>
      <c r="H880" s="2" t="s">
        <v>63</v>
      </c>
      <c r="I880" s="2" t="s">
        <v>51</v>
      </c>
      <c r="J880" s="2" t="s">
        <v>3135</v>
      </c>
      <c r="K880" s="2" t="s">
        <v>6970</v>
      </c>
      <c r="L880" s="2" t="s">
        <v>51</v>
      </c>
      <c r="M880" s="2" t="s">
        <v>63</v>
      </c>
      <c r="N880" s="2" t="s">
        <v>6973</v>
      </c>
      <c r="O880" s="2"/>
      <c r="P880" s="2" t="s">
        <v>37</v>
      </c>
      <c r="Q880" s="4" t="n">
        <v>8731</v>
      </c>
      <c r="R880" s="2" t="s">
        <v>56</v>
      </c>
      <c r="S880" s="2" t="s">
        <v>92</v>
      </c>
      <c r="T880" s="2" t="s">
        <v>40</v>
      </c>
      <c r="U880" s="2" t="s">
        <v>6974</v>
      </c>
      <c r="V880" s="2"/>
      <c r="W880" s="2" t="s">
        <v>42</v>
      </c>
      <c r="X880" s="2" t="s">
        <v>43</v>
      </c>
      <c r="Y880" s="2" t="s">
        <v>37</v>
      </c>
      <c r="Z880" s="2" t="s">
        <v>44</v>
      </c>
      <c r="AA880" s="2"/>
      <c r="AB880" s="2"/>
      <c r="AC880" s="2" t="s">
        <v>6975</v>
      </c>
      <c r="AD880" s="2" t="s">
        <v>46</v>
      </c>
    </row>
    <row r="881" customFormat="false" ht="15.7" hidden="false" customHeight="true" outlineLevel="0" collapsed="false">
      <c r="A881" s="2"/>
      <c r="B881" s="3" t="n">
        <f aca="false">DATE(2007,12,17)</f>
        <v>0</v>
      </c>
      <c r="C881" s="3" t="n">
        <v>39433</v>
      </c>
      <c r="D881" s="2" t="s">
        <v>6819</v>
      </c>
      <c r="F881" s="2" t="s">
        <v>6820</v>
      </c>
      <c r="G881" s="2" t="s">
        <v>6821</v>
      </c>
      <c r="H881" s="2" t="s">
        <v>523</v>
      </c>
      <c r="I881" s="2" t="s">
        <v>51</v>
      </c>
      <c r="J881" s="2" t="s">
        <v>171</v>
      </c>
      <c r="K881" s="2" t="s">
        <v>6822</v>
      </c>
      <c r="L881" s="2" t="s">
        <v>51</v>
      </c>
      <c r="M881" s="2" t="s">
        <v>762</v>
      </c>
      <c r="N881" s="2" t="s">
        <v>6976</v>
      </c>
      <c r="O881" s="2"/>
      <c r="P881" s="2" t="s">
        <v>79</v>
      </c>
      <c r="Q881" s="4" t="n">
        <v>6794</v>
      </c>
      <c r="R881" s="2" t="s">
        <v>56</v>
      </c>
      <c r="S881" s="2" t="s">
        <v>92</v>
      </c>
      <c r="T881" s="2" t="s">
        <v>40</v>
      </c>
      <c r="U881" s="2" t="s">
        <v>6977</v>
      </c>
      <c r="V881" s="2"/>
      <c r="W881" s="2" t="s">
        <v>253</v>
      </c>
      <c r="X881" s="2" t="s">
        <v>43</v>
      </c>
      <c r="Y881" s="2" t="s">
        <v>37</v>
      </c>
      <c r="Z881" s="2" t="s">
        <v>44</v>
      </c>
      <c r="AA881" s="2"/>
      <c r="AB881" s="2"/>
      <c r="AC881" s="2" t="s">
        <v>6825</v>
      </c>
      <c r="AD881" s="2" t="s">
        <v>46</v>
      </c>
    </row>
    <row r="882" customFormat="false" ht="15.7" hidden="false" customHeight="true" outlineLevel="0" collapsed="false">
      <c r="A882" s="2"/>
      <c r="B882" s="3" t="n">
        <f aca="false">DATE(2007,12,17)</f>
        <v>0</v>
      </c>
      <c r="C882" s="3" t="n">
        <v>39433</v>
      </c>
      <c r="D882" s="2" t="s">
        <v>6978</v>
      </c>
      <c r="F882" s="2" t="s">
        <v>3594</v>
      </c>
      <c r="G882" s="2" t="s">
        <v>6979</v>
      </c>
      <c r="H882" s="2" t="s">
        <v>170</v>
      </c>
      <c r="I882" s="2" t="s">
        <v>330</v>
      </c>
      <c r="J882" s="2" t="s">
        <v>132</v>
      </c>
      <c r="K882" s="2" t="s">
        <v>6978</v>
      </c>
      <c r="L882" s="2" t="s">
        <v>330</v>
      </c>
      <c r="M882" s="2" t="s">
        <v>170</v>
      </c>
      <c r="N882" s="2" t="s">
        <v>6980</v>
      </c>
      <c r="O882" s="2"/>
      <c r="P882" s="2" t="s">
        <v>37</v>
      </c>
      <c r="Q882" s="4" t="n">
        <v>8731</v>
      </c>
      <c r="R882" s="2" t="s">
        <v>136</v>
      </c>
      <c r="S882" s="2" t="s">
        <v>39</v>
      </c>
      <c r="T882" s="2" t="s">
        <v>40</v>
      </c>
      <c r="U882" s="2" t="s">
        <v>6981</v>
      </c>
      <c r="V882" s="2"/>
      <c r="W882" s="2" t="s">
        <v>42</v>
      </c>
      <c r="X882" s="2" t="s">
        <v>43</v>
      </c>
      <c r="Y882" s="2" t="s">
        <v>37</v>
      </c>
      <c r="Z882" s="2" t="s">
        <v>44</v>
      </c>
      <c r="AA882" s="2"/>
      <c r="AB882" s="2"/>
      <c r="AC882" s="2" t="s">
        <v>6982</v>
      </c>
      <c r="AD882" s="2" t="s">
        <v>46</v>
      </c>
    </row>
    <row r="883" customFormat="false" ht="15.7" hidden="false" customHeight="true" outlineLevel="0" collapsed="false">
      <c r="A883" s="2"/>
      <c r="B883" s="3" t="n">
        <f aca="false">DATE(2007,12,18)</f>
        <v>0</v>
      </c>
      <c r="C883" s="3" t="n">
        <v>39434</v>
      </c>
      <c r="D883" s="2" t="s">
        <v>6983</v>
      </c>
      <c r="F883" s="2" t="s">
        <v>3930</v>
      </c>
      <c r="G883" s="2" t="s">
        <v>6984</v>
      </c>
      <c r="H883" s="2" t="s">
        <v>63</v>
      </c>
      <c r="I883" s="2" t="s">
        <v>51</v>
      </c>
      <c r="J883" s="2" t="s">
        <v>1834</v>
      </c>
      <c r="K883" s="2" t="s">
        <v>6983</v>
      </c>
      <c r="L883" s="2" t="s">
        <v>51</v>
      </c>
      <c r="M883" s="2" t="s">
        <v>63</v>
      </c>
      <c r="N883" s="2" t="s">
        <v>6985</v>
      </c>
      <c r="O883" s="2"/>
      <c r="P883" s="2" t="s">
        <v>37</v>
      </c>
      <c r="Q883" s="4" t="n">
        <v>8731</v>
      </c>
      <c r="R883" s="2" t="s">
        <v>56</v>
      </c>
      <c r="S883" s="2" t="s">
        <v>92</v>
      </c>
      <c r="T883" s="2" t="s">
        <v>40</v>
      </c>
      <c r="U883" s="2" t="s">
        <v>6986</v>
      </c>
      <c r="V883" s="2"/>
      <c r="W883" s="2" t="s">
        <v>42</v>
      </c>
      <c r="X883" s="2" t="s">
        <v>43</v>
      </c>
      <c r="Y883" s="2" t="s">
        <v>37</v>
      </c>
      <c r="Z883" s="2" t="s">
        <v>44</v>
      </c>
      <c r="AA883" s="2"/>
      <c r="AB883" s="2"/>
      <c r="AC883" s="2" t="s">
        <v>6987</v>
      </c>
      <c r="AD883" s="2" t="s">
        <v>46</v>
      </c>
    </row>
    <row r="884" customFormat="false" ht="15.7" hidden="false" customHeight="true" outlineLevel="0" collapsed="false">
      <c r="A884" s="2"/>
      <c r="B884" s="3" t="n">
        <f aca="false">DATE(2007,12,19)</f>
        <v>0</v>
      </c>
      <c r="C884" s="3" t="n">
        <v>39435</v>
      </c>
      <c r="D884" s="2" t="s">
        <v>6988</v>
      </c>
      <c r="F884" s="2" t="s">
        <v>6989</v>
      </c>
      <c r="G884" s="2" t="s">
        <v>6990</v>
      </c>
      <c r="H884" s="2" t="s">
        <v>6991</v>
      </c>
      <c r="I884" s="2" t="s">
        <v>51</v>
      </c>
      <c r="J884" s="2" t="s">
        <v>2793</v>
      </c>
      <c r="K884" s="2" t="s">
        <v>6988</v>
      </c>
      <c r="L884" s="2" t="s">
        <v>51</v>
      </c>
      <c r="M884" s="2" t="s">
        <v>6991</v>
      </c>
      <c r="N884" s="2" t="s">
        <v>6992</v>
      </c>
      <c r="O884" s="2"/>
      <c r="P884" s="2" t="s">
        <v>37</v>
      </c>
      <c r="Q884" s="4" t="n">
        <v>8731</v>
      </c>
      <c r="R884" s="2" t="s">
        <v>56</v>
      </c>
      <c r="S884" s="2" t="s">
        <v>92</v>
      </c>
      <c r="T884" s="2" t="s">
        <v>40</v>
      </c>
      <c r="U884" s="2" t="s">
        <v>6993</v>
      </c>
      <c r="V884" s="2"/>
      <c r="W884" s="2" t="s">
        <v>42</v>
      </c>
      <c r="X884" s="2" t="s">
        <v>43</v>
      </c>
      <c r="Y884" s="2" t="s">
        <v>37</v>
      </c>
      <c r="Z884" s="2" t="s">
        <v>44</v>
      </c>
      <c r="AA884" s="2"/>
      <c r="AB884" s="2"/>
      <c r="AC884" s="2" t="s">
        <v>6994</v>
      </c>
      <c r="AD884" s="2" t="s">
        <v>46</v>
      </c>
    </row>
    <row r="885" customFormat="false" ht="15.7" hidden="false" customHeight="true" outlineLevel="0" collapsed="false">
      <c r="A885" s="2"/>
      <c r="B885" s="3" t="n">
        <f aca="false">DATE(2007,12,19)</f>
        <v>0</v>
      </c>
      <c r="C885" s="3" t="n">
        <v>39435</v>
      </c>
      <c r="D885" s="2" t="s">
        <v>6995</v>
      </c>
      <c r="F885" s="2" t="s">
        <v>4736</v>
      </c>
      <c r="G885" s="2" t="s">
        <v>6996</v>
      </c>
      <c r="H885" s="2" t="s">
        <v>523</v>
      </c>
      <c r="I885" s="2" t="s">
        <v>1645</v>
      </c>
      <c r="J885" s="2" t="s">
        <v>35</v>
      </c>
      <c r="K885" s="2" t="s">
        <v>6995</v>
      </c>
      <c r="L885" s="2" t="s">
        <v>1645</v>
      </c>
      <c r="M885" s="2" t="s">
        <v>523</v>
      </c>
      <c r="N885" s="2" t="s">
        <v>6997</v>
      </c>
      <c r="O885" s="2"/>
      <c r="P885" s="2" t="s">
        <v>37</v>
      </c>
      <c r="Q885" s="4" t="n">
        <v>2834</v>
      </c>
      <c r="R885" s="2" t="s">
        <v>1402</v>
      </c>
      <c r="S885" s="2" t="s">
        <v>39</v>
      </c>
      <c r="T885" s="2" t="s">
        <v>40</v>
      </c>
      <c r="U885" s="2" t="s">
        <v>6998</v>
      </c>
      <c r="V885" s="2"/>
      <c r="W885" s="2" t="s">
        <v>107</v>
      </c>
      <c r="X885" s="2" t="s">
        <v>43</v>
      </c>
      <c r="Y885" s="2" t="s">
        <v>37</v>
      </c>
      <c r="Z885" s="2" t="s">
        <v>44</v>
      </c>
      <c r="AA885" s="2"/>
      <c r="AB885" s="2"/>
      <c r="AC885" s="2" t="s">
        <v>6999</v>
      </c>
      <c r="AD885" s="2" t="s">
        <v>46</v>
      </c>
    </row>
    <row r="886" customFormat="false" ht="15.7" hidden="false" customHeight="true" outlineLevel="0" collapsed="false">
      <c r="A886" s="2"/>
      <c r="B886" s="3" t="n">
        <f aca="false">DATE(2007,12,19)</f>
        <v>0</v>
      </c>
      <c r="C886" s="3" t="n">
        <v>39435</v>
      </c>
      <c r="D886" s="2" t="s">
        <v>7000</v>
      </c>
      <c r="F886" s="2" t="s">
        <v>7001</v>
      </c>
      <c r="G886" s="2" t="s">
        <v>7002</v>
      </c>
      <c r="H886" s="2" t="s">
        <v>1101</v>
      </c>
      <c r="I886" s="2" t="s">
        <v>670</v>
      </c>
      <c r="J886" s="2" t="s">
        <v>1807</v>
      </c>
      <c r="K886" s="2" t="s">
        <v>7000</v>
      </c>
      <c r="L886" s="2" t="s">
        <v>670</v>
      </c>
      <c r="M886" s="2" t="s">
        <v>1101</v>
      </c>
      <c r="N886" s="2" t="s">
        <v>7003</v>
      </c>
      <c r="O886" s="2"/>
      <c r="P886" s="2" t="s">
        <v>37</v>
      </c>
      <c r="Q886" s="4" t="n">
        <v>8731</v>
      </c>
      <c r="R886" s="2" t="s">
        <v>402</v>
      </c>
      <c r="S886" s="2" t="s">
        <v>39</v>
      </c>
      <c r="T886" s="2" t="s">
        <v>403</v>
      </c>
      <c r="U886" s="2" t="s">
        <v>7004</v>
      </c>
      <c r="V886" s="2"/>
      <c r="W886" s="2" t="s">
        <v>42</v>
      </c>
      <c r="X886" s="2" t="s">
        <v>46</v>
      </c>
      <c r="Y886" s="2" t="s">
        <v>37</v>
      </c>
      <c r="Z886" s="2" t="s">
        <v>362</v>
      </c>
      <c r="AA886" s="2"/>
      <c r="AB886" s="2"/>
      <c r="AC886" s="2" t="s">
        <v>7005</v>
      </c>
      <c r="AD886" s="2" t="s">
        <v>46</v>
      </c>
    </row>
    <row r="887" customFormat="false" ht="15.7" hidden="false" customHeight="true" outlineLevel="0" collapsed="false">
      <c r="A887" s="2"/>
      <c r="B887" s="3" t="n">
        <f aca="false">DATE(2007,12,19)</f>
        <v>0</v>
      </c>
      <c r="C887" s="3" t="n">
        <v>39435</v>
      </c>
      <c r="D887" s="2" t="s">
        <v>7006</v>
      </c>
      <c r="F887" s="2" t="s">
        <v>7007</v>
      </c>
      <c r="G887" s="2" t="s">
        <v>7008</v>
      </c>
      <c r="H887" s="2" t="s">
        <v>3249</v>
      </c>
      <c r="I887" s="2" t="s">
        <v>5771</v>
      </c>
      <c r="J887" s="2" t="s">
        <v>35</v>
      </c>
      <c r="K887" s="2" t="s">
        <v>7006</v>
      </c>
      <c r="L887" s="2" t="s">
        <v>5771</v>
      </c>
      <c r="M887" s="2" t="s">
        <v>3249</v>
      </c>
      <c r="N887" s="2" t="s">
        <v>7009</v>
      </c>
      <c r="O887" s="2"/>
      <c r="P887" s="2" t="s">
        <v>37</v>
      </c>
      <c r="Q887" s="4" t="n">
        <v>8731</v>
      </c>
      <c r="R887" s="2" t="s">
        <v>5774</v>
      </c>
      <c r="S887" s="2" t="s">
        <v>39</v>
      </c>
      <c r="T887" s="2" t="s">
        <v>40</v>
      </c>
      <c r="U887" s="2" t="s">
        <v>7010</v>
      </c>
      <c r="V887" s="2"/>
      <c r="W887" s="2" t="s">
        <v>138</v>
      </c>
      <c r="X887" s="2" t="s">
        <v>43</v>
      </c>
      <c r="Y887" s="2" t="s">
        <v>37</v>
      </c>
      <c r="Z887" s="2" t="s">
        <v>44</v>
      </c>
      <c r="AA887" s="2"/>
      <c r="AB887" s="2"/>
      <c r="AC887" s="2" t="s">
        <v>7011</v>
      </c>
      <c r="AD887" s="2" t="s">
        <v>46</v>
      </c>
    </row>
    <row r="888" customFormat="false" ht="15.7" hidden="false" customHeight="true" outlineLevel="0" collapsed="false">
      <c r="A888" s="2"/>
      <c r="B888" s="3" t="n">
        <f aca="false">DATE(2007,12,19)</f>
        <v>0</v>
      </c>
      <c r="C888" s="3" t="n">
        <v>39435</v>
      </c>
      <c r="D888" s="2" t="s">
        <v>7012</v>
      </c>
      <c r="F888" s="2" t="s">
        <v>2814</v>
      </c>
      <c r="G888" s="2" t="s">
        <v>7013</v>
      </c>
      <c r="H888" s="2" t="s">
        <v>1770</v>
      </c>
      <c r="I888" s="2" t="s">
        <v>7014</v>
      </c>
      <c r="J888" s="2" t="s">
        <v>35</v>
      </c>
      <c r="K888" s="2" t="s">
        <v>7012</v>
      </c>
      <c r="L888" s="2" t="s">
        <v>7014</v>
      </c>
      <c r="M888" s="2" t="s">
        <v>1770</v>
      </c>
      <c r="N888" s="2" t="s">
        <v>7015</v>
      </c>
      <c r="O888" s="2"/>
      <c r="P888" s="2" t="s">
        <v>37</v>
      </c>
      <c r="Q888" s="4" t="n">
        <v>8731</v>
      </c>
      <c r="R888" s="2" t="s">
        <v>1448</v>
      </c>
      <c r="S888" s="2" t="s">
        <v>39</v>
      </c>
      <c r="T888" s="2" t="s">
        <v>40</v>
      </c>
      <c r="U888" s="2" t="s">
        <v>7016</v>
      </c>
      <c r="V888" s="2"/>
      <c r="W888" s="2" t="s">
        <v>42</v>
      </c>
      <c r="X888" s="2" t="s">
        <v>43</v>
      </c>
      <c r="Y888" s="2" t="s">
        <v>37</v>
      </c>
      <c r="Z888" s="2" t="s">
        <v>44</v>
      </c>
      <c r="AA888" s="2"/>
      <c r="AB888" s="2"/>
      <c r="AC888" s="2" t="s">
        <v>7017</v>
      </c>
      <c r="AD888" s="2" t="s">
        <v>46</v>
      </c>
    </row>
    <row r="889" customFormat="false" ht="15.7" hidden="false" customHeight="true" outlineLevel="0" collapsed="false">
      <c r="A889" s="2"/>
      <c r="B889" s="3" t="n">
        <f aca="false">DATE(2007,12,19)</f>
        <v>0</v>
      </c>
      <c r="C889" s="3" t="n">
        <v>39435</v>
      </c>
      <c r="D889" s="2" t="s">
        <v>7018</v>
      </c>
      <c r="F889" s="2" t="s">
        <v>1138</v>
      </c>
      <c r="G889" s="2" t="s">
        <v>7019</v>
      </c>
      <c r="H889" s="2" t="s">
        <v>305</v>
      </c>
      <c r="I889" s="2" t="s">
        <v>7020</v>
      </c>
      <c r="J889" s="2" t="s">
        <v>35</v>
      </c>
      <c r="K889" s="2" t="s">
        <v>7018</v>
      </c>
      <c r="L889" s="2" t="s">
        <v>7020</v>
      </c>
      <c r="M889" s="2" t="s">
        <v>305</v>
      </c>
      <c r="N889" s="2" t="s">
        <v>7021</v>
      </c>
      <c r="O889" s="2"/>
      <c r="P889" s="2" t="s">
        <v>37</v>
      </c>
      <c r="Q889" s="4" t="n">
        <v>8731</v>
      </c>
      <c r="R889" s="2" t="s">
        <v>136</v>
      </c>
      <c r="S889" s="2" t="s">
        <v>39</v>
      </c>
      <c r="T889" s="2" t="s">
        <v>40</v>
      </c>
      <c r="U889" s="2" t="s">
        <v>7022</v>
      </c>
      <c r="V889" s="2"/>
      <c r="W889" s="2" t="s">
        <v>42</v>
      </c>
      <c r="X889" s="2" t="s">
        <v>43</v>
      </c>
      <c r="Y889" s="2" t="s">
        <v>37</v>
      </c>
      <c r="Z889" s="2" t="s">
        <v>44</v>
      </c>
      <c r="AA889" s="2" t="s">
        <v>7023</v>
      </c>
      <c r="AB889" s="2"/>
      <c r="AC889" s="2" t="s">
        <v>7024</v>
      </c>
      <c r="AD889" s="2" t="s">
        <v>46</v>
      </c>
    </row>
    <row r="890" customFormat="false" ht="15.7" hidden="false" customHeight="true" outlineLevel="0" collapsed="false">
      <c r="A890" s="2"/>
      <c r="B890" s="3" t="n">
        <f aca="false">DATE(2007,12,20)</f>
        <v>0</v>
      </c>
      <c r="C890" s="3" t="n">
        <v>39436</v>
      </c>
      <c r="D890" s="2" t="s">
        <v>7025</v>
      </c>
      <c r="F890" s="2" t="s">
        <v>4191</v>
      </c>
      <c r="G890" s="2" t="s">
        <v>7026</v>
      </c>
      <c r="H890" s="2" t="s">
        <v>63</v>
      </c>
      <c r="I890" s="2" t="s">
        <v>7027</v>
      </c>
      <c r="J890" s="2" t="s">
        <v>35</v>
      </c>
      <c r="K890" s="2" t="s">
        <v>7025</v>
      </c>
      <c r="L890" s="2" t="s">
        <v>7027</v>
      </c>
      <c r="M890" s="2" t="s">
        <v>63</v>
      </c>
      <c r="N890" s="2" t="s">
        <v>7028</v>
      </c>
      <c r="O890" s="2"/>
      <c r="P890" s="2" t="s">
        <v>37</v>
      </c>
      <c r="Q890" s="4" t="n">
        <v>8731</v>
      </c>
      <c r="R890" s="2" t="s">
        <v>136</v>
      </c>
      <c r="S890" s="2" t="s">
        <v>39</v>
      </c>
      <c r="T890" s="2" t="s">
        <v>40</v>
      </c>
      <c r="U890" s="2" t="s">
        <v>7029</v>
      </c>
      <c r="V890" s="2"/>
      <c r="W890" s="2" t="s">
        <v>42</v>
      </c>
      <c r="X890" s="2" t="s">
        <v>43</v>
      </c>
      <c r="Y890" s="2" t="s">
        <v>37</v>
      </c>
      <c r="Z890" s="2" t="s">
        <v>44</v>
      </c>
      <c r="AA890" s="2"/>
      <c r="AB890" s="2"/>
      <c r="AC890" s="2" t="s">
        <v>7030</v>
      </c>
      <c r="AD890" s="2" t="s">
        <v>46</v>
      </c>
    </row>
    <row r="891" customFormat="false" ht="15.7" hidden="false" customHeight="true" outlineLevel="0" collapsed="false">
      <c r="A891" s="2"/>
      <c r="B891" s="3" t="n">
        <f aca="false">DATE(2007,12,20)</f>
        <v>0</v>
      </c>
      <c r="C891" s="3" t="n">
        <v>39436</v>
      </c>
      <c r="D891" s="2" t="s">
        <v>7031</v>
      </c>
      <c r="F891" s="2" t="s">
        <v>7032</v>
      </c>
      <c r="G891" s="2" t="s">
        <v>7033</v>
      </c>
      <c r="H891" s="2" t="s">
        <v>5080</v>
      </c>
      <c r="I891" s="2" t="s">
        <v>51</v>
      </c>
      <c r="J891" s="2" t="s">
        <v>7034</v>
      </c>
      <c r="K891" s="2" t="s">
        <v>7035</v>
      </c>
      <c r="L891" s="2" t="s">
        <v>51</v>
      </c>
      <c r="M891" s="2" t="s">
        <v>7036</v>
      </c>
      <c r="N891" s="2" t="s">
        <v>7037</v>
      </c>
      <c r="O891" s="2"/>
      <c r="P891" s="2" t="s">
        <v>37</v>
      </c>
      <c r="Q891" s="4" t="n">
        <v>8731</v>
      </c>
      <c r="R891" s="2" t="s">
        <v>56</v>
      </c>
      <c r="S891" s="2" t="s">
        <v>92</v>
      </c>
      <c r="T891" s="2" t="s">
        <v>40</v>
      </c>
      <c r="U891" s="2" t="s">
        <v>7038</v>
      </c>
      <c r="V891" s="2"/>
      <c r="W891" s="2" t="s">
        <v>42</v>
      </c>
      <c r="X891" s="2" t="s">
        <v>43</v>
      </c>
      <c r="Y891" s="2" t="s">
        <v>37</v>
      </c>
      <c r="Z891" s="2" t="s">
        <v>44</v>
      </c>
      <c r="AA891" s="2"/>
      <c r="AB891" s="2"/>
      <c r="AC891" s="2" t="s">
        <v>7039</v>
      </c>
      <c r="AD891" s="2" t="s">
        <v>46</v>
      </c>
    </row>
    <row r="892" customFormat="false" ht="15.7" hidden="false" customHeight="true" outlineLevel="0" collapsed="false">
      <c r="A892" s="2"/>
      <c r="B892" s="3" t="n">
        <f aca="false">DATE(2007,12,20)</f>
        <v>0</v>
      </c>
      <c r="C892" s="3" t="n">
        <v>39436</v>
      </c>
      <c r="D892" s="2" t="s">
        <v>7040</v>
      </c>
      <c r="F892" s="2" t="s">
        <v>7041</v>
      </c>
      <c r="G892" s="2" t="s">
        <v>7042</v>
      </c>
      <c r="H892" s="2" t="s">
        <v>5716</v>
      </c>
      <c r="I892" s="2" t="s">
        <v>51</v>
      </c>
      <c r="J892" s="2" t="s">
        <v>7043</v>
      </c>
      <c r="K892" s="2" t="s">
        <v>7044</v>
      </c>
      <c r="L892" s="2" t="s">
        <v>6326</v>
      </c>
      <c r="M892" s="2" t="s">
        <v>7045</v>
      </c>
      <c r="N892" s="2" t="s">
        <v>7046</v>
      </c>
      <c r="O892" s="2"/>
      <c r="P892" s="2" t="s">
        <v>37</v>
      </c>
      <c r="Q892" s="4" t="n">
        <v>8731</v>
      </c>
      <c r="R892" s="2" t="s">
        <v>56</v>
      </c>
      <c r="S892" s="2" t="s">
        <v>92</v>
      </c>
      <c r="T892" s="2" t="s">
        <v>40</v>
      </c>
      <c r="U892" s="2" t="s">
        <v>7047</v>
      </c>
      <c r="V892" s="2"/>
      <c r="W892" s="2" t="s">
        <v>42</v>
      </c>
      <c r="X892" s="2" t="s">
        <v>43</v>
      </c>
      <c r="Y892" s="2" t="s">
        <v>37</v>
      </c>
      <c r="Z892" s="2" t="s">
        <v>44</v>
      </c>
      <c r="AA892" s="2"/>
      <c r="AB892" s="2"/>
      <c r="AC892" s="2" t="s">
        <v>7048</v>
      </c>
      <c r="AD892" s="2" t="s">
        <v>46</v>
      </c>
    </row>
    <row r="893" customFormat="false" ht="15.7" hidden="false" customHeight="true" outlineLevel="0" collapsed="false">
      <c r="A893" s="2"/>
      <c r="B893" s="3" t="n">
        <f aca="false">DATE(2007,12,20)</f>
        <v>0</v>
      </c>
      <c r="C893" s="3" t="n">
        <v>39436</v>
      </c>
      <c r="D893" s="2" t="s">
        <v>7049</v>
      </c>
      <c r="F893" s="2" t="s">
        <v>7050</v>
      </c>
      <c r="G893" s="2" t="s">
        <v>7051</v>
      </c>
      <c r="H893" s="2" t="s">
        <v>170</v>
      </c>
      <c r="I893" s="2" t="s">
        <v>296</v>
      </c>
      <c r="J893" s="2" t="s">
        <v>203</v>
      </c>
      <c r="K893" s="2" t="s">
        <v>7049</v>
      </c>
      <c r="L893" s="2" t="s">
        <v>296</v>
      </c>
      <c r="M893" s="2" t="s">
        <v>170</v>
      </c>
      <c r="N893" s="2" t="s">
        <v>7052</v>
      </c>
      <c r="O893" s="2"/>
      <c r="P893" s="2" t="s">
        <v>79</v>
      </c>
      <c r="Q893" s="4" t="n">
        <v>6794</v>
      </c>
      <c r="R893" s="2" t="s">
        <v>136</v>
      </c>
      <c r="S893" s="2" t="s">
        <v>39</v>
      </c>
      <c r="T893" s="2" t="s">
        <v>40</v>
      </c>
      <c r="U893" s="2" t="s">
        <v>7053</v>
      </c>
      <c r="V893" s="2"/>
      <c r="W893" s="2" t="s">
        <v>253</v>
      </c>
      <c r="X893" s="2" t="s">
        <v>43</v>
      </c>
      <c r="Y893" s="2" t="s">
        <v>37</v>
      </c>
      <c r="Z893" s="2" t="s">
        <v>44</v>
      </c>
      <c r="AA893" s="2" t="s">
        <v>7054</v>
      </c>
      <c r="AB893" s="2"/>
      <c r="AC893" s="2" t="s">
        <v>7055</v>
      </c>
      <c r="AD893" s="2" t="s">
        <v>46</v>
      </c>
    </row>
    <row r="894" customFormat="false" ht="15.7" hidden="false" customHeight="true" outlineLevel="0" collapsed="false">
      <c r="A894" s="2"/>
      <c r="B894" s="3" t="n">
        <f aca="false">DATE(2007,12,21)</f>
        <v>0</v>
      </c>
      <c r="C894" s="3" t="n">
        <v>39437</v>
      </c>
      <c r="D894" s="2" t="s">
        <v>7056</v>
      </c>
      <c r="F894" s="2" t="s">
        <v>7057</v>
      </c>
      <c r="G894" s="2" t="s">
        <v>7058</v>
      </c>
      <c r="H894" s="2" t="s">
        <v>4124</v>
      </c>
      <c r="I894" s="2" t="s">
        <v>34</v>
      </c>
      <c r="J894" s="2" t="s">
        <v>35</v>
      </c>
      <c r="K894" s="2" t="s">
        <v>7056</v>
      </c>
      <c r="L894" s="2" t="s">
        <v>34</v>
      </c>
      <c r="M894" s="2" t="s">
        <v>4124</v>
      </c>
      <c r="N894" s="2" t="s">
        <v>7059</v>
      </c>
      <c r="O894" s="2"/>
      <c r="P894" s="2" t="s">
        <v>37</v>
      </c>
      <c r="Q894" s="4" t="n">
        <v>8731</v>
      </c>
      <c r="R894" s="2" t="s">
        <v>38</v>
      </c>
      <c r="S894" s="2" t="s">
        <v>39</v>
      </c>
      <c r="T894" s="2" t="s">
        <v>40</v>
      </c>
      <c r="U894" s="2" t="s">
        <v>7060</v>
      </c>
      <c r="V894" s="2"/>
      <c r="W894" s="2" t="s">
        <v>744</v>
      </c>
      <c r="X894" s="2" t="s">
        <v>43</v>
      </c>
      <c r="Y894" s="2" t="s">
        <v>37</v>
      </c>
      <c r="Z894" s="2" t="s">
        <v>44</v>
      </c>
      <c r="AA894" s="2"/>
      <c r="AB894" s="2"/>
      <c r="AC894" s="2" t="s">
        <v>7061</v>
      </c>
      <c r="AD894" s="2" t="s">
        <v>46</v>
      </c>
    </row>
    <row r="895" customFormat="false" ht="15.7" hidden="false" customHeight="true" outlineLevel="0" collapsed="false">
      <c r="A895" s="2"/>
      <c r="B895" s="3" t="n">
        <f aca="false">DATE(2007,12,21)</f>
        <v>0</v>
      </c>
      <c r="C895" s="3" t="n">
        <v>39437</v>
      </c>
      <c r="D895" s="2" t="s">
        <v>7062</v>
      </c>
      <c r="F895" s="2" t="s">
        <v>7063</v>
      </c>
      <c r="G895" s="2" t="s">
        <v>7064</v>
      </c>
      <c r="H895" s="2" t="s">
        <v>7065</v>
      </c>
      <c r="I895" s="2" t="s">
        <v>7066</v>
      </c>
      <c r="J895" s="2" t="s">
        <v>35</v>
      </c>
      <c r="K895" s="2" t="s">
        <v>7062</v>
      </c>
      <c r="L895" s="2" t="s">
        <v>7066</v>
      </c>
      <c r="M895" s="2" t="s">
        <v>7065</v>
      </c>
      <c r="N895" s="2" t="s">
        <v>7067</v>
      </c>
      <c r="O895" s="2"/>
      <c r="P895" s="2" t="s">
        <v>37</v>
      </c>
      <c r="Q895" s="4" t="n">
        <v>8731</v>
      </c>
      <c r="R895" s="2" t="s">
        <v>7068</v>
      </c>
      <c r="S895" s="2" t="s">
        <v>39</v>
      </c>
      <c r="T895" s="2" t="s">
        <v>403</v>
      </c>
      <c r="U895" s="2" t="s">
        <v>7069</v>
      </c>
      <c r="V895" s="2"/>
      <c r="W895" s="2" t="s">
        <v>42</v>
      </c>
      <c r="X895" s="2" t="s">
        <v>46</v>
      </c>
      <c r="Y895" s="2" t="s">
        <v>37</v>
      </c>
      <c r="Z895" s="2" t="s">
        <v>1639</v>
      </c>
      <c r="AA895" s="2" t="s">
        <v>7070</v>
      </c>
      <c r="AB895" s="2"/>
      <c r="AC895" s="2" t="s">
        <v>7071</v>
      </c>
      <c r="AD895" s="2" t="s">
        <v>46</v>
      </c>
    </row>
    <row r="896" customFormat="false" ht="15.7" hidden="false" customHeight="true" outlineLevel="0" collapsed="false">
      <c r="A896" s="2"/>
      <c r="B896" s="3" t="n">
        <f aca="false">DATE(2007,12,25)</f>
        <v>0</v>
      </c>
      <c r="C896" s="3" t="n">
        <v>39441</v>
      </c>
      <c r="D896" s="2" t="s">
        <v>7072</v>
      </c>
      <c r="F896" s="2" t="s">
        <v>7073</v>
      </c>
      <c r="G896" s="2" t="s">
        <v>7074</v>
      </c>
      <c r="H896" s="2" t="s">
        <v>7075</v>
      </c>
      <c r="I896" s="2" t="s">
        <v>3265</v>
      </c>
      <c r="J896" s="2" t="s">
        <v>1897</v>
      </c>
      <c r="K896" s="2" t="s">
        <v>7072</v>
      </c>
      <c r="L896" s="2" t="s">
        <v>3265</v>
      </c>
      <c r="M896" s="2" t="s">
        <v>7075</v>
      </c>
      <c r="N896" s="2" t="s">
        <v>7076</v>
      </c>
      <c r="O896" s="2"/>
      <c r="P896" s="2" t="s">
        <v>37</v>
      </c>
      <c r="Q896" s="4" t="n">
        <v>8731</v>
      </c>
      <c r="R896" s="2" t="s">
        <v>402</v>
      </c>
      <c r="S896" s="2" t="s">
        <v>39</v>
      </c>
      <c r="T896" s="2" t="s">
        <v>403</v>
      </c>
      <c r="U896" s="2" t="s">
        <v>7077</v>
      </c>
      <c r="V896" s="2"/>
      <c r="W896" s="2" t="s">
        <v>42</v>
      </c>
      <c r="X896" s="2" t="s">
        <v>46</v>
      </c>
      <c r="Y896" s="2" t="s">
        <v>37</v>
      </c>
      <c r="Z896" s="2" t="s">
        <v>362</v>
      </c>
      <c r="AA896" s="2" t="s">
        <v>7078</v>
      </c>
      <c r="AB896" s="2"/>
      <c r="AC896" s="2" t="s">
        <v>7079</v>
      </c>
      <c r="AD896" s="2" t="s">
        <v>46</v>
      </c>
    </row>
    <row r="897" customFormat="false" ht="15.7" hidden="false" customHeight="true" outlineLevel="0" collapsed="false">
      <c r="A897" s="2"/>
      <c r="B897" s="3" t="n">
        <f aca="false">DATE(2007,12,26)</f>
        <v>0</v>
      </c>
      <c r="C897" s="3" t="n">
        <v>39442</v>
      </c>
      <c r="D897" s="2" t="s">
        <v>7080</v>
      </c>
      <c r="F897" s="2" t="s">
        <v>7081</v>
      </c>
      <c r="G897" s="2" t="s">
        <v>7082</v>
      </c>
      <c r="H897" s="2" t="s">
        <v>7083</v>
      </c>
      <c r="I897" s="2" t="s">
        <v>51</v>
      </c>
      <c r="J897" s="2" t="s">
        <v>7084</v>
      </c>
      <c r="K897" s="2" t="s">
        <v>7085</v>
      </c>
      <c r="L897" s="2" t="s">
        <v>51</v>
      </c>
      <c r="M897" s="2" t="s">
        <v>7086</v>
      </c>
      <c r="N897" s="2" t="s">
        <v>7087</v>
      </c>
      <c r="O897" s="2"/>
      <c r="P897" s="2" t="s">
        <v>37</v>
      </c>
      <c r="Q897" s="4" t="n">
        <v>8731</v>
      </c>
      <c r="R897" s="2" t="s">
        <v>56</v>
      </c>
      <c r="S897" s="2" t="s">
        <v>92</v>
      </c>
      <c r="T897" s="2" t="s">
        <v>40</v>
      </c>
      <c r="U897" s="2" t="s">
        <v>7088</v>
      </c>
      <c r="V897" s="2"/>
      <c r="W897" s="2" t="s">
        <v>42</v>
      </c>
      <c r="X897" s="2" t="s">
        <v>43</v>
      </c>
      <c r="Y897" s="2" t="s">
        <v>37</v>
      </c>
      <c r="Z897" s="2" t="s">
        <v>44</v>
      </c>
      <c r="AA897" s="2"/>
      <c r="AB897" s="2"/>
      <c r="AC897" s="2" t="s">
        <v>7089</v>
      </c>
      <c r="AD897" s="2" t="s">
        <v>46</v>
      </c>
    </row>
    <row r="898" customFormat="false" ht="15.7" hidden="false" customHeight="true" outlineLevel="0" collapsed="false">
      <c r="A898" s="2"/>
      <c r="B898" s="3" t="n">
        <f aca="false">DATE(2007,12,26)</f>
        <v>0</v>
      </c>
      <c r="C898" s="3" t="n">
        <v>39442</v>
      </c>
      <c r="D898" s="2" t="s">
        <v>7090</v>
      </c>
      <c r="F898" s="2" t="s">
        <v>7091</v>
      </c>
      <c r="G898" s="2" t="s">
        <v>7092</v>
      </c>
      <c r="H898" s="2" t="s">
        <v>7093</v>
      </c>
      <c r="I898" s="2" t="s">
        <v>3223</v>
      </c>
      <c r="J898" s="2" t="s">
        <v>116</v>
      </c>
      <c r="K898" s="2" t="s">
        <v>7090</v>
      </c>
      <c r="L898" s="2" t="s">
        <v>3223</v>
      </c>
      <c r="M898" s="2" t="s">
        <v>7093</v>
      </c>
      <c r="N898" s="2" t="s">
        <v>7094</v>
      </c>
      <c r="O898" s="2"/>
      <c r="P898" s="2" t="s">
        <v>37</v>
      </c>
      <c r="Q898" s="4" t="n">
        <v>8731</v>
      </c>
      <c r="R898" s="2" t="s">
        <v>402</v>
      </c>
      <c r="S898" s="2" t="s">
        <v>39</v>
      </c>
      <c r="T898" s="2" t="s">
        <v>403</v>
      </c>
      <c r="U898" s="2" t="s">
        <v>7095</v>
      </c>
      <c r="V898" s="2"/>
      <c r="W898" s="2" t="s">
        <v>697</v>
      </c>
      <c r="X898" s="2" t="s">
        <v>46</v>
      </c>
      <c r="Y898" s="2" t="s">
        <v>37</v>
      </c>
      <c r="Z898" s="2" t="s">
        <v>7096</v>
      </c>
      <c r="AA898" s="2"/>
      <c r="AB898" s="2"/>
      <c r="AC898" s="2" t="s">
        <v>7097</v>
      </c>
      <c r="AD898" s="2" t="s">
        <v>46</v>
      </c>
    </row>
    <row r="899" customFormat="false" ht="15.7" hidden="false" customHeight="true" outlineLevel="0" collapsed="false">
      <c r="A899" s="2"/>
      <c r="B899" s="3" t="n">
        <f aca="false">DATE(2007,12,26)</f>
        <v>0</v>
      </c>
      <c r="C899" s="3" t="n">
        <v>39442</v>
      </c>
      <c r="D899" s="2" t="s">
        <v>7098</v>
      </c>
      <c r="F899" s="2" t="s">
        <v>7099</v>
      </c>
      <c r="G899" s="2" t="s">
        <v>7100</v>
      </c>
      <c r="H899" s="2" t="s">
        <v>130</v>
      </c>
      <c r="I899" s="2" t="s">
        <v>664</v>
      </c>
      <c r="J899" s="2" t="s">
        <v>7101</v>
      </c>
      <c r="K899" s="2" t="s">
        <v>7098</v>
      </c>
      <c r="L899" s="2" t="s">
        <v>664</v>
      </c>
      <c r="M899" s="2" t="s">
        <v>130</v>
      </c>
      <c r="N899" s="2" t="s">
        <v>7102</v>
      </c>
      <c r="O899" s="2"/>
      <c r="P899" s="2" t="s">
        <v>37</v>
      </c>
      <c r="Q899" s="4" t="n">
        <v>8731</v>
      </c>
      <c r="R899" s="2" t="s">
        <v>136</v>
      </c>
      <c r="S899" s="2" t="s">
        <v>39</v>
      </c>
      <c r="T899" s="2" t="s">
        <v>40</v>
      </c>
      <c r="U899" s="2" t="s">
        <v>7103</v>
      </c>
      <c r="V899" s="2"/>
      <c r="W899" s="2" t="s">
        <v>42</v>
      </c>
      <c r="X899" s="2" t="s">
        <v>43</v>
      </c>
      <c r="Y899" s="2" t="s">
        <v>37</v>
      </c>
      <c r="Z899" s="2" t="s">
        <v>44</v>
      </c>
      <c r="AA899" s="2"/>
      <c r="AB899" s="2"/>
      <c r="AC899" s="2" t="s">
        <v>7104</v>
      </c>
      <c r="AD899" s="2" t="s">
        <v>46</v>
      </c>
    </row>
    <row r="900" customFormat="false" ht="15.7" hidden="false" customHeight="true" outlineLevel="0" collapsed="false">
      <c r="A900" s="2"/>
      <c r="B900" s="3" t="n">
        <f aca="false">DATE(2007,12,27)</f>
        <v>0</v>
      </c>
      <c r="C900" s="3" t="n">
        <v>39443</v>
      </c>
      <c r="D900" s="2" t="s">
        <v>7105</v>
      </c>
      <c r="F900" s="2" t="s">
        <v>7106</v>
      </c>
      <c r="G900" s="2" t="s">
        <v>7107</v>
      </c>
      <c r="H900" s="2" t="s">
        <v>130</v>
      </c>
      <c r="I900" s="2" t="s">
        <v>51</v>
      </c>
      <c r="J900" s="2" t="s">
        <v>6303</v>
      </c>
      <c r="K900" s="2" t="s">
        <v>7105</v>
      </c>
      <c r="L900" s="2" t="s">
        <v>51</v>
      </c>
      <c r="M900" s="2" t="s">
        <v>130</v>
      </c>
      <c r="N900" s="2" t="s">
        <v>7108</v>
      </c>
      <c r="O900" s="2"/>
      <c r="P900" s="2" t="s">
        <v>79</v>
      </c>
      <c r="Q900" s="4" t="n">
        <v>6794</v>
      </c>
      <c r="R900" s="2" t="s">
        <v>56</v>
      </c>
      <c r="S900" s="2" t="s">
        <v>92</v>
      </c>
      <c r="T900" s="2" t="s">
        <v>40</v>
      </c>
      <c r="U900" s="2" t="s">
        <v>7109</v>
      </c>
      <c r="V900" s="2"/>
      <c r="W900" s="2" t="s">
        <v>82</v>
      </c>
      <c r="X900" s="2" t="s">
        <v>43</v>
      </c>
      <c r="Y900" s="2" t="s">
        <v>37</v>
      </c>
      <c r="Z900" s="2" t="s">
        <v>44</v>
      </c>
      <c r="AA900" s="2"/>
      <c r="AB900" s="2"/>
      <c r="AC900" s="2" t="s">
        <v>7110</v>
      </c>
      <c r="AD900" s="2" t="s">
        <v>46</v>
      </c>
    </row>
    <row r="901" customFormat="false" ht="15.7" hidden="false" customHeight="true" outlineLevel="0" collapsed="false">
      <c r="A901" s="2"/>
      <c r="B901" s="3" t="n">
        <f aca="false">DATE(2007,12,27)</f>
        <v>0</v>
      </c>
      <c r="C901" s="3" t="n">
        <v>39443</v>
      </c>
      <c r="D901" s="2" t="s">
        <v>7111</v>
      </c>
      <c r="F901" s="2" t="s">
        <v>7112</v>
      </c>
      <c r="G901" s="2" t="s">
        <v>7113</v>
      </c>
      <c r="H901" s="2" t="s">
        <v>1770</v>
      </c>
      <c r="I901" s="2" t="s">
        <v>7114</v>
      </c>
      <c r="J901" s="2" t="s">
        <v>35</v>
      </c>
      <c r="K901" s="2" t="s">
        <v>7115</v>
      </c>
      <c r="L901" s="2" t="s">
        <v>7116</v>
      </c>
      <c r="M901" s="2" t="s">
        <v>3840</v>
      </c>
      <c r="N901" s="2" t="s">
        <v>7117</v>
      </c>
      <c r="O901" s="2"/>
      <c r="P901" s="2" t="s">
        <v>37</v>
      </c>
      <c r="Q901" s="4" t="n">
        <v>8731</v>
      </c>
      <c r="R901" s="2" t="s">
        <v>136</v>
      </c>
      <c r="S901" s="2" t="s">
        <v>39</v>
      </c>
      <c r="T901" s="2" t="s">
        <v>40</v>
      </c>
      <c r="U901" s="2" t="s">
        <v>7118</v>
      </c>
      <c r="V901" s="2"/>
      <c r="W901" s="2" t="s">
        <v>42</v>
      </c>
      <c r="X901" s="2" t="s">
        <v>43</v>
      </c>
      <c r="Y901" s="2" t="s">
        <v>37</v>
      </c>
      <c r="Z901" s="2" t="s">
        <v>44</v>
      </c>
      <c r="AA901" s="2"/>
      <c r="AB901" s="2"/>
      <c r="AC901" s="2" t="s">
        <v>7119</v>
      </c>
      <c r="AD901" s="2" t="s">
        <v>46</v>
      </c>
    </row>
    <row r="902" customFormat="false" ht="15.7" hidden="false" customHeight="true" outlineLevel="0" collapsed="false">
      <c r="A902" s="2"/>
      <c r="B902" s="3" t="n">
        <f aca="false">DATE(2007,12,31)</f>
        <v>0</v>
      </c>
      <c r="C902" s="3" t="n">
        <v>39447</v>
      </c>
      <c r="D902" s="2" t="s">
        <v>7120</v>
      </c>
      <c r="F902" s="2" t="s">
        <v>7121</v>
      </c>
      <c r="G902" s="2" t="s">
        <v>7122</v>
      </c>
      <c r="H902" s="2" t="s">
        <v>6008</v>
      </c>
      <c r="I902" s="2" t="s">
        <v>51</v>
      </c>
      <c r="J902" s="2" t="s">
        <v>7123</v>
      </c>
      <c r="K902" s="2" t="s">
        <v>7120</v>
      </c>
      <c r="L902" s="2" t="s">
        <v>51</v>
      </c>
      <c r="M902" s="2" t="s">
        <v>6008</v>
      </c>
      <c r="N902" s="2" t="s">
        <v>7124</v>
      </c>
      <c r="O902" s="2" t="s">
        <v>7125</v>
      </c>
      <c r="P902" s="2" t="s">
        <v>37</v>
      </c>
      <c r="Q902" s="4" t="n">
        <v>8731</v>
      </c>
      <c r="R902" s="2" t="s">
        <v>402</v>
      </c>
      <c r="S902" s="2" t="s">
        <v>39</v>
      </c>
      <c r="T902" s="2" t="s">
        <v>40</v>
      </c>
      <c r="U902" s="2" t="s">
        <v>7126</v>
      </c>
      <c r="V902" s="2"/>
      <c r="W902" s="2" t="s">
        <v>697</v>
      </c>
      <c r="X902" s="2" t="s">
        <v>46</v>
      </c>
      <c r="Y902" s="2" t="s">
        <v>37</v>
      </c>
      <c r="Z902" s="2" t="s">
        <v>362</v>
      </c>
      <c r="AA902" s="2"/>
      <c r="AB902" s="2" t="s">
        <v>7127</v>
      </c>
      <c r="AC902" s="2" t="s">
        <v>7128</v>
      </c>
      <c r="AD902" s="2" t="s">
        <v>46</v>
      </c>
    </row>
    <row r="903" customFormat="false" ht="15.7" hidden="false" customHeight="true" outlineLevel="0" collapsed="false">
      <c r="A903" s="2"/>
      <c r="B903" s="3" t="n">
        <f aca="false">DATE(2008,1,1)</f>
        <v>0</v>
      </c>
      <c r="C903" s="3" t="n">
        <v>39448</v>
      </c>
      <c r="D903" s="2" t="s">
        <v>7129</v>
      </c>
      <c r="F903" s="2" t="s">
        <v>7130</v>
      </c>
      <c r="G903" s="2" t="s">
        <v>7131</v>
      </c>
      <c r="H903" s="2" t="s">
        <v>7132</v>
      </c>
      <c r="I903" s="2" t="s">
        <v>51</v>
      </c>
      <c r="J903" s="2" t="s">
        <v>7133</v>
      </c>
      <c r="K903" s="2" t="s">
        <v>7134</v>
      </c>
      <c r="L903" s="2" t="s">
        <v>51</v>
      </c>
      <c r="M903" s="2" t="s">
        <v>7135</v>
      </c>
      <c r="N903" s="2" t="s">
        <v>7136</v>
      </c>
      <c r="O903" s="2" t="s">
        <v>7137</v>
      </c>
      <c r="P903" s="2" t="s">
        <v>37</v>
      </c>
      <c r="Q903" s="4" t="n">
        <v>3845</v>
      </c>
      <c r="R903" s="2" t="s">
        <v>56</v>
      </c>
      <c r="S903" s="2" t="s">
        <v>251</v>
      </c>
      <c r="T903" s="2" t="s">
        <v>40</v>
      </c>
      <c r="U903" s="2" t="s">
        <v>7138</v>
      </c>
      <c r="V903" s="2"/>
      <c r="W903" s="2" t="s">
        <v>42</v>
      </c>
      <c r="X903" s="2" t="s">
        <v>46</v>
      </c>
      <c r="Y903" s="2" t="s">
        <v>37</v>
      </c>
      <c r="Z903" s="2" t="s">
        <v>362</v>
      </c>
      <c r="AA903" s="2"/>
      <c r="AB903" s="2" t="s">
        <v>7139</v>
      </c>
      <c r="AC903" s="2" t="s">
        <v>7140</v>
      </c>
      <c r="AD903" s="2" t="s">
        <v>46</v>
      </c>
    </row>
    <row r="904" customFormat="false" ht="15.7" hidden="false" customHeight="true" outlineLevel="0" collapsed="false">
      <c r="A904" s="2"/>
      <c r="B904" s="3" t="n">
        <f aca="false">DATE(2008,1,1)</f>
        <v>0</v>
      </c>
      <c r="C904" s="3" t="n">
        <v>39448</v>
      </c>
      <c r="D904" s="2" t="s">
        <v>7141</v>
      </c>
      <c r="F904" s="2" t="s">
        <v>7142</v>
      </c>
      <c r="G904" s="2" t="s">
        <v>7143</v>
      </c>
      <c r="H904" s="2" t="s">
        <v>7144</v>
      </c>
      <c r="I904" s="2" t="s">
        <v>51</v>
      </c>
      <c r="J904" s="2" t="s">
        <v>7145</v>
      </c>
      <c r="K904" s="2" t="s">
        <v>7141</v>
      </c>
      <c r="L904" s="2" t="s">
        <v>51</v>
      </c>
      <c r="M904" s="2" t="s">
        <v>7144</v>
      </c>
      <c r="N904" s="2" t="s">
        <v>7146</v>
      </c>
      <c r="O904" s="2"/>
      <c r="P904" s="2" t="s">
        <v>37</v>
      </c>
      <c r="Q904" s="4" t="n">
        <v>2087</v>
      </c>
      <c r="R904" s="2" t="s">
        <v>7147</v>
      </c>
      <c r="S904" s="2" t="s">
        <v>7148</v>
      </c>
      <c r="T904" s="2" t="s">
        <v>40</v>
      </c>
      <c r="U904" s="2" t="s">
        <v>7149</v>
      </c>
      <c r="V904" s="2"/>
      <c r="W904" s="2" t="s">
        <v>7150</v>
      </c>
      <c r="X904" s="2" t="s">
        <v>43</v>
      </c>
      <c r="Y904" s="2" t="s">
        <v>79</v>
      </c>
      <c r="Z904" s="2" t="s">
        <v>44</v>
      </c>
      <c r="AA904" s="2"/>
      <c r="AB904" s="2"/>
      <c r="AC904" s="2" t="s">
        <v>7151</v>
      </c>
      <c r="AD904" s="2" t="s">
        <v>46</v>
      </c>
    </row>
    <row r="905" customFormat="false" ht="15.7" hidden="false" customHeight="true" outlineLevel="0" collapsed="false">
      <c r="A905" s="2"/>
      <c r="B905" s="3" t="n">
        <f aca="false">DATE(2008,1,2)</f>
        <v>0</v>
      </c>
      <c r="C905" s="3" t="n">
        <v>39449</v>
      </c>
      <c r="D905" s="2" t="s">
        <v>7152</v>
      </c>
      <c r="F905" s="2" t="s">
        <v>319</v>
      </c>
      <c r="G905" s="2" t="s">
        <v>7153</v>
      </c>
      <c r="H905" s="2" t="s">
        <v>305</v>
      </c>
      <c r="I905" s="2" t="s">
        <v>3470</v>
      </c>
      <c r="J905" s="2" t="s">
        <v>625</v>
      </c>
      <c r="K905" s="2" t="s">
        <v>7152</v>
      </c>
      <c r="L905" s="2" t="s">
        <v>3470</v>
      </c>
      <c r="M905" s="2" t="s">
        <v>305</v>
      </c>
      <c r="N905" s="2" t="s">
        <v>7154</v>
      </c>
      <c r="O905" s="2"/>
      <c r="P905" s="2" t="s">
        <v>37</v>
      </c>
      <c r="Q905" s="4" t="n">
        <v>8731</v>
      </c>
      <c r="R905" s="2" t="s">
        <v>296</v>
      </c>
      <c r="S905" s="2" t="s">
        <v>3000</v>
      </c>
      <c r="T905" s="2" t="s">
        <v>40</v>
      </c>
      <c r="U905" s="2" t="s">
        <v>7155</v>
      </c>
      <c r="V905" s="2"/>
      <c r="W905" s="2" t="s">
        <v>42</v>
      </c>
      <c r="X905" s="2" t="s">
        <v>43</v>
      </c>
      <c r="Y905" s="2" t="s">
        <v>79</v>
      </c>
      <c r="Z905" s="2" t="s">
        <v>44</v>
      </c>
      <c r="AA905" s="2"/>
      <c r="AB905" s="2"/>
      <c r="AC905" s="2" t="s">
        <v>7156</v>
      </c>
      <c r="AD905" s="2" t="s">
        <v>46</v>
      </c>
    </row>
    <row r="906" customFormat="false" ht="15.7" hidden="false" customHeight="true" outlineLevel="0" collapsed="false">
      <c r="A906" s="2"/>
      <c r="B906" s="3" t="n">
        <f aca="false">DATE(2008,1,3)</f>
        <v>0</v>
      </c>
      <c r="C906" s="3" t="n">
        <v>39450</v>
      </c>
      <c r="D906" s="2" t="s">
        <v>7157</v>
      </c>
      <c r="F906" s="2" t="s">
        <v>1138</v>
      </c>
      <c r="G906" s="2" t="s">
        <v>7158</v>
      </c>
      <c r="H906" s="2" t="s">
        <v>305</v>
      </c>
      <c r="I906" s="2" t="s">
        <v>51</v>
      </c>
      <c r="J906" s="2" t="s">
        <v>2190</v>
      </c>
      <c r="K906" s="2" t="s">
        <v>7157</v>
      </c>
      <c r="L906" s="2" t="s">
        <v>51</v>
      </c>
      <c r="M906" s="2" t="s">
        <v>305</v>
      </c>
      <c r="N906" s="2" t="s">
        <v>7159</v>
      </c>
      <c r="O906" s="2"/>
      <c r="P906" s="2" t="s">
        <v>37</v>
      </c>
      <c r="Q906" s="4" t="n">
        <v>8731</v>
      </c>
      <c r="R906" s="2" t="s">
        <v>56</v>
      </c>
      <c r="S906" s="2" t="s">
        <v>92</v>
      </c>
      <c r="T906" s="2" t="s">
        <v>403</v>
      </c>
      <c r="U906" s="2" t="s">
        <v>7160</v>
      </c>
      <c r="V906" s="2"/>
      <c r="W906" s="2" t="s">
        <v>42</v>
      </c>
      <c r="X906" s="2" t="s">
        <v>46</v>
      </c>
      <c r="Y906" s="2" t="s">
        <v>37</v>
      </c>
      <c r="Z906" s="2" t="s">
        <v>362</v>
      </c>
      <c r="AA906" s="2"/>
      <c r="AB906" s="2"/>
      <c r="AC906" s="2" t="s">
        <v>7161</v>
      </c>
      <c r="AD906" s="2" t="s">
        <v>46</v>
      </c>
    </row>
    <row r="907" customFormat="false" ht="15.7" hidden="false" customHeight="true" outlineLevel="0" collapsed="false">
      <c r="A907" s="2"/>
      <c r="B907" s="3" t="n">
        <f aca="false">DATE(2008,1,3)</f>
        <v>0</v>
      </c>
      <c r="C907" s="3" t="n">
        <v>39450</v>
      </c>
      <c r="D907" s="2" t="s">
        <v>7162</v>
      </c>
      <c r="F907" s="2" t="s">
        <v>7163</v>
      </c>
      <c r="G907" s="2" t="s">
        <v>7164</v>
      </c>
      <c r="H907" s="2" t="s">
        <v>762</v>
      </c>
      <c r="I907" s="2" t="s">
        <v>7165</v>
      </c>
      <c r="J907" s="2" t="s">
        <v>35</v>
      </c>
      <c r="K907" s="2" t="s">
        <v>7166</v>
      </c>
      <c r="L907" s="2" t="s">
        <v>7165</v>
      </c>
      <c r="M907" s="2" t="s">
        <v>523</v>
      </c>
      <c r="N907" s="2" t="s">
        <v>7167</v>
      </c>
      <c r="O907" s="2"/>
      <c r="P907" s="2" t="s">
        <v>37</v>
      </c>
      <c r="Q907" s="4" t="n">
        <v>8731</v>
      </c>
      <c r="R907" s="2" t="s">
        <v>136</v>
      </c>
      <c r="S907" s="2" t="s">
        <v>39</v>
      </c>
      <c r="T907" s="2" t="s">
        <v>40</v>
      </c>
      <c r="U907" s="2" t="s">
        <v>7168</v>
      </c>
      <c r="V907" s="2"/>
      <c r="W907" s="2" t="s">
        <v>42</v>
      </c>
      <c r="X907" s="2" t="s">
        <v>43</v>
      </c>
      <c r="Y907" s="2" t="s">
        <v>37</v>
      </c>
      <c r="Z907" s="2" t="s">
        <v>44</v>
      </c>
      <c r="AA907" s="2"/>
      <c r="AB907" s="2"/>
      <c r="AC907" s="2" t="s">
        <v>7169</v>
      </c>
      <c r="AD907" s="2" t="s">
        <v>46</v>
      </c>
    </row>
    <row r="908" customFormat="false" ht="15.7" hidden="false" customHeight="true" outlineLevel="0" collapsed="false">
      <c r="A908" s="2"/>
      <c r="B908" s="3" t="n">
        <f aca="false">DATE(2008,1,3)</f>
        <v>0</v>
      </c>
      <c r="C908" s="3" t="n">
        <v>39450</v>
      </c>
      <c r="D908" s="2" t="s">
        <v>7170</v>
      </c>
      <c r="F908" s="2" t="s">
        <v>7171</v>
      </c>
      <c r="G908" s="2" t="s">
        <v>7172</v>
      </c>
      <c r="H908" s="2" t="s">
        <v>7173</v>
      </c>
      <c r="I908" s="2" t="s">
        <v>88</v>
      </c>
      <c r="J908" s="2" t="s">
        <v>65</v>
      </c>
      <c r="K908" s="2" t="s">
        <v>7174</v>
      </c>
      <c r="L908" s="2" t="s">
        <v>88</v>
      </c>
      <c r="M908" s="2" t="s">
        <v>1034</v>
      </c>
      <c r="N908" s="2" t="s">
        <v>7175</v>
      </c>
      <c r="O908" s="2"/>
      <c r="P908" s="2" t="s">
        <v>37</v>
      </c>
      <c r="Q908" s="4" t="n">
        <v>8731</v>
      </c>
      <c r="R908" s="2" t="s">
        <v>136</v>
      </c>
      <c r="S908" s="2" t="s">
        <v>39</v>
      </c>
      <c r="T908" s="2" t="s">
        <v>2444</v>
      </c>
      <c r="U908" s="2" t="s">
        <v>7176</v>
      </c>
      <c r="V908" s="2"/>
      <c r="W908" s="2" t="s">
        <v>744</v>
      </c>
      <c r="X908" s="2" t="s">
        <v>43</v>
      </c>
      <c r="Y908" s="2" t="s">
        <v>37</v>
      </c>
      <c r="Z908" s="2" t="s">
        <v>44</v>
      </c>
      <c r="AA908" s="2"/>
      <c r="AB908" s="2"/>
      <c r="AC908" s="2" t="s">
        <v>7177</v>
      </c>
      <c r="AD908" s="2" t="s">
        <v>46</v>
      </c>
    </row>
    <row r="909" customFormat="false" ht="15.7" hidden="false" customHeight="true" outlineLevel="0" collapsed="false">
      <c r="A909" s="2"/>
      <c r="B909" s="3" t="n">
        <f aca="false">DATE(2008,1,4)</f>
        <v>0</v>
      </c>
      <c r="C909" s="3" t="n">
        <v>39451</v>
      </c>
      <c r="D909" s="2" t="s">
        <v>7178</v>
      </c>
      <c r="F909" s="2" t="s">
        <v>7179</v>
      </c>
      <c r="G909" s="2" t="s">
        <v>7180</v>
      </c>
      <c r="H909" s="2" t="s">
        <v>7181</v>
      </c>
      <c r="I909" s="2" t="s">
        <v>7182</v>
      </c>
      <c r="J909" s="2" t="s">
        <v>35</v>
      </c>
      <c r="K909" s="2" t="s">
        <v>7183</v>
      </c>
      <c r="L909" s="2" t="s">
        <v>7182</v>
      </c>
      <c r="M909" s="2" t="s">
        <v>7184</v>
      </c>
      <c r="N909" s="2" t="s">
        <v>7185</v>
      </c>
      <c r="O909" s="2"/>
      <c r="P909" s="2" t="s">
        <v>37</v>
      </c>
      <c r="Q909" s="4" t="n">
        <v>8731</v>
      </c>
      <c r="R909" s="2" t="s">
        <v>2165</v>
      </c>
      <c r="S909" s="2" t="s">
        <v>39</v>
      </c>
      <c r="T909" s="2" t="s">
        <v>40</v>
      </c>
      <c r="U909" s="2" t="s">
        <v>7186</v>
      </c>
      <c r="V909" s="2"/>
      <c r="W909" s="2" t="s">
        <v>42</v>
      </c>
      <c r="X909" s="2" t="s">
        <v>43</v>
      </c>
      <c r="Y909" s="2" t="s">
        <v>37</v>
      </c>
      <c r="Z909" s="2" t="s">
        <v>44</v>
      </c>
      <c r="AA909" s="2"/>
      <c r="AB909" s="2"/>
      <c r="AC909" s="2" t="s">
        <v>7187</v>
      </c>
      <c r="AD909" s="2" t="s">
        <v>46</v>
      </c>
    </row>
    <row r="910" customFormat="false" ht="15.7" hidden="false" customHeight="true" outlineLevel="0" collapsed="false">
      <c r="A910" s="2"/>
      <c r="B910" s="3" t="n">
        <f aca="false">DATE(2008,1,6)</f>
        <v>0</v>
      </c>
      <c r="C910" s="3" t="n">
        <v>39453</v>
      </c>
      <c r="D910" s="2" t="s">
        <v>7188</v>
      </c>
      <c r="F910" s="2" t="s">
        <v>7189</v>
      </c>
      <c r="G910" s="2" t="s">
        <v>7190</v>
      </c>
      <c r="H910" s="2" t="s">
        <v>4122</v>
      </c>
      <c r="I910" s="2" t="s">
        <v>51</v>
      </c>
      <c r="J910" s="2" t="s">
        <v>178</v>
      </c>
      <c r="K910" s="2" t="s">
        <v>7191</v>
      </c>
      <c r="L910" s="2" t="s">
        <v>664</v>
      </c>
      <c r="M910" s="2" t="s">
        <v>4122</v>
      </c>
      <c r="N910" s="2" t="s">
        <v>7192</v>
      </c>
      <c r="O910" s="2"/>
      <c r="P910" s="2" t="s">
        <v>37</v>
      </c>
      <c r="Q910" s="4" t="n">
        <v>8731</v>
      </c>
      <c r="R910" s="2" t="s">
        <v>56</v>
      </c>
      <c r="S910" s="2" t="s">
        <v>92</v>
      </c>
      <c r="T910" s="2" t="s">
        <v>40</v>
      </c>
      <c r="U910" s="2" t="s">
        <v>7193</v>
      </c>
      <c r="V910" s="2"/>
      <c r="W910" s="2" t="s">
        <v>42</v>
      </c>
      <c r="X910" s="2" t="s">
        <v>43</v>
      </c>
      <c r="Y910" s="2" t="s">
        <v>37</v>
      </c>
      <c r="Z910" s="2" t="s">
        <v>44</v>
      </c>
      <c r="AA910" s="2"/>
      <c r="AB910" s="2"/>
      <c r="AC910" s="2" t="s">
        <v>7194</v>
      </c>
      <c r="AD910" s="2" t="s">
        <v>46</v>
      </c>
    </row>
    <row r="911" customFormat="false" ht="15.7" hidden="false" customHeight="true" outlineLevel="0" collapsed="false">
      <c r="A911" s="2"/>
      <c r="B911" s="3" t="n">
        <f aca="false">DATE(2008,1,6)</f>
        <v>0</v>
      </c>
      <c r="C911" s="3" t="n">
        <v>39453</v>
      </c>
      <c r="D911" s="2" t="s">
        <v>7195</v>
      </c>
      <c r="F911" s="2" t="s">
        <v>7196</v>
      </c>
      <c r="G911" s="2" t="s">
        <v>7197</v>
      </c>
      <c r="H911" s="2" t="s">
        <v>7198</v>
      </c>
      <c r="I911" s="2" t="s">
        <v>51</v>
      </c>
      <c r="J911" s="2" t="s">
        <v>7199</v>
      </c>
      <c r="K911" s="2" t="s">
        <v>7200</v>
      </c>
      <c r="L911" s="2" t="s">
        <v>1544</v>
      </c>
      <c r="M911" s="2" t="s">
        <v>7201</v>
      </c>
      <c r="N911" s="2" t="s">
        <v>7202</v>
      </c>
      <c r="O911" s="2"/>
      <c r="P911" s="2" t="s">
        <v>37</v>
      </c>
      <c r="Q911" s="4" t="n">
        <v>8731</v>
      </c>
      <c r="R911" s="2" t="s">
        <v>56</v>
      </c>
      <c r="S911" s="2" t="s">
        <v>92</v>
      </c>
      <c r="T911" s="2" t="s">
        <v>40</v>
      </c>
      <c r="U911" s="2" t="s">
        <v>7203</v>
      </c>
      <c r="V911" s="2"/>
      <c r="W911" s="2" t="s">
        <v>42</v>
      </c>
      <c r="X911" s="2" t="s">
        <v>43</v>
      </c>
      <c r="Y911" s="2" t="s">
        <v>37</v>
      </c>
      <c r="Z911" s="2" t="s">
        <v>44</v>
      </c>
      <c r="AA911" s="2"/>
      <c r="AB911" s="2"/>
      <c r="AC911" s="2" t="s">
        <v>7204</v>
      </c>
      <c r="AD911" s="2" t="s">
        <v>46</v>
      </c>
    </row>
    <row r="912" customFormat="false" ht="15.7" hidden="false" customHeight="true" outlineLevel="0" collapsed="false">
      <c r="A912" s="2"/>
      <c r="B912" s="3" t="n">
        <f aca="false">DATE(2008,1,7)</f>
        <v>0</v>
      </c>
      <c r="C912" s="3" t="n">
        <v>39454</v>
      </c>
      <c r="D912" s="2" t="s">
        <v>7205</v>
      </c>
      <c r="F912" s="2" t="s">
        <v>5604</v>
      </c>
      <c r="G912" s="2" t="s">
        <v>7206</v>
      </c>
      <c r="H912" s="2" t="s">
        <v>898</v>
      </c>
      <c r="I912" s="2" t="s">
        <v>664</v>
      </c>
      <c r="J912" s="2" t="s">
        <v>795</v>
      </c>
      <c r="K912" s="2" t="s">
        <v>7205</v>
      </c>
      <c r="L912" s="2" t="s">
        <v>664</v>
      </c>
      <c r="M912" s="2" t="s">
        <v>898</v>
      </c>
      <c r="N912" s="2" t="s">
        <v>7207</v>
      </c>
      <c r="O912" s="2"/>
      <c r="P912" s="2" t="s">
        <v>79</v>
      </c>
      <c r="Q912" s="4" t="n">
        <v>6794</v>
      </c>
      <c r="R912" s="2" t="s">
        <v>136</v>
      </c>
      <c r="S912" s="2" t="s">
        <v>39</v>
      </c>
      <c r="T912" s="2" t="s">
        <v>40</v>
      </c>
      <c r="U912" s="2" t="s">
        <v>7208</v>
      </c>
      <c r="V912" s="2"/>
      <c r="W912" s="2" t="s">
        <v>253</v>
      </c>
      <c r="X912" s="2" t="s">
        <v>43</v>
      </c>
      <c r="Y912" s="2" t="s">
        <v>37</v>
      </c>
      <c r="Z912" s="2" t="s">
        <v>44</v>
      </c>
      <c r="AA912" s="2" t="s">
        <v>7209</v>
      </c>
      <c r="AB912" s="2"/>
      <c r="AC912" s="2" t="s">
        <v>7210</v>
      </c>
      <c r="AD912" s="2" t="s">
        <v>46</v>
      </c>
    </row>
    <row r="913" customFormat="false" ht="15.7" hidden="false" customHeight="true" outlineLevel="0" collapsed="false">
      <c r="A913" s="2"/>
      <c r="B913" s="3" t="n">
        <f aca="false">DATE(2008,1,7)</f>
        <v>0</v>
      </c>
      <c r="C913" s="3" t="n">
        <v>39454</v>
      </c>
      <c r="D913" s="2" t="s">
        <v>7211</v>
      </c>
      <c r="F913" s="2" t="s">
        <v>3852</v>
      </c>
      <c r="G913" s="2" t="s">
        <v>7212</v>
      </c>
      <c r="H913" s="2" t="s">
        <v>63</v>
      </c>
      <c r="I913" s="2" t="s">
        <v>51</v>
      </c>
      <c r="J913" s="2" t="s">
        <v>3854</v>
      </c>
      <c r="K913" s="2" t="s">
        <v>7211</v>
      </c>
      <c r="L913" s="2" t="s">
        <v>51</v>
      </c>
      <c r="M913" s="2" t="s">
        <v>63</v>
      </c>
      <c r="N913" s="2" t="s">
        <v>7213</v>
      </c>
      <c r="O913" s="2"/>
      <c r="P913" s="2" t="s">
        <v>37</v>
      </c>
      <c r="Q913" s="4" t="n">
        <v>8731</v>
      </c>
      <c r="R913" s="2" t="s">
        <v>56</v>
      </c>
      <c r="S913" s="2" t="s">
        <v>92</v>
      </c>
      <c r="T913" s="2" t="s">
        <v>40</v>
      </c>
      <c r="U913" s="2" t="s">
        <v>7214</v>
      </c>
      <c r="V913" s="2"/>
      <c r="W913" s="2" t="s">
        <v>42</v>
      </c>
      <c r="X913" s="2" t="s">
        <v>43</v>
      </c>
      <c r="Y913" s="2" t="s">
        <v>37</v>
      </c>
      <c r="Z913" s="2" t="s">
        <v>44</v>
      </c>
      <c r="AA913" s="2"/>
      <c r="AB913" s="2"/>
      <c r="AC913" s="2" t="s">
        <v>7215</v>
      </c>
      <c r="AD913" s="2" t="s">
        <v>46</v>
      </c>
    </row>
    <row r="914" customFormat="false" ht="15.7" hidden="false" customHeight="true" outlineLevel="0" collapsed="false">
      <c r="A914" s="2"/>
      <c r="B914" s="3" t="n">
        <f aca="false">DATE(2008,1,7)</f>
        <v>0</v>
      </c>
      <c r="C914" s="3" t="n">
        <v>39454</v>
      </c>
      <c r="D914" s="2" t="s">
        <v>7216</v>
      </c>
      <c r="F914" s="2" t="s">
        <v>7217</v>
      </c>
      <c r="G914" s="2" t="s">
        <v>7218</v>
      </c>
      <c r="H914" s="2" t="s">
        <v>7219</v>
      </c>
      <c r="I914" s="2" t="s">
        <v>330</v>
      </c>
      <c r="J914" s="2" t="s">
        <v>3385</v>
      </c>
      <c r="K914" s="2" t="s">
        <v>7216</v>
      </c>
      <c r="L914" s="2" t="s">
        <v>330</v>
      </c>
      <c r="M914" s="2" t="s">
        <v>7219</v>
      </c>
      <c r="N914" s="2" t="s">
        <v>7220</v>
      </c>
      <c r="O914" s="2"/>
      <c r="P914" s="2" t="s">
        <v>37</v>
      </c>
      <c r="Q914" s="4" t="n">
        <v>8731</v>
      </c>
      <c r="R914" s="2" t="s">
        <v>136</v>
      </c>
      <c r="S914" s="2" t="s">
        <v>39</v>
      </c>
      <c r="T914" s="2" t="s">
        <v>40</v>
      </c>
      <c r="U914" s="2" t="s">
        <v>7221</v>
      </c>
      <c r="V914" s="2"/>
      <c r="W914" s="2" t="s">
        <v>4505</v>
      </c>
      <c r="X914" s="2" t="s">
        <v>43</v>
      </c>
      <c r="Y914" s="2" t="s">
        <v>37</v>
      </c>
      <c r="Z914" s="2" t="s">
        <v>44</v>
      </c>
      <c r="AA914" s="2"/>
      <c r="AB914" s="2"/>
      <c r="AC914" s="2" t="s">
        <v>7222</v>
      </c>
      <c r="AD914" s="2" t="s">
        <v>46</v>
      </c>
    </row>
    <row r="915" customFormat="false" ht="15.7" hidden="false" customHeight="true" outlineLevel="0" collapsed="false">
      <c r="A915" s="2"/>
      <c r="B915" s="3" t="n">
        <f aca="false">DATE(2008,1,7)</f>
        <v>0</v>
      </c>
      <c r="C915" s="3" t="n">
        <v>39454</v>
      </c>
      <c r="D915" s="2" t="s">
        <v>7223</v>
      </c>
      <c r="F915" s="2" t="s">
        <v>7224</v>
      </c>
      <c r="G915" s="2" t="s">
        <v>7225</v>
      </c>
      <c r="H915" s="2" t="s">
        <v>7226</v>
      </c>
      <c r="I915" s="2" t="s">
        <v>330</v>
      </c>
      <c r="J915" s="2" t="s">
        <v>228</v>
      </c>
      <c r="K915" s="2" t="s">
        <v>7223</v>
      </c>
      <c r="L915" s="2" t="s">
        <v>330</v>
      </c>
      <c r="M915" s="2" t="s">
        <v>7226</v>
      </c>
      <c r="N915" s="2" t="s">
        <v>7227</v>
      </c>
      <c r="O915" s="2"/>
      <c r="P915" s="2" t="s">
        <v>37</v>
      </c>
      <c r="Q915" s="4" t="n">
        <v>8731</v>
      </c>
      <c r="R915" s="2" t="s">
        <v>136</v>
      </c>
      <c r="S915" s="2" t="s">
        <v>39</v>
      </c>
      <c r="T915" s="2" t="s">
        <v>40</v>
      </c>
      <c r="U915" s="2" t="s">
        <v>7228</v>
      </c>
      <c r="V915" s="2"/>
      <c r="W915" s="2" t="s">
        <v>42</v>
      </c>
      <c r="X915" s="2" t="s">
        <v>43</v>
      </c>
      <c r="Y915" s="2" t="s">
        <v>37</v>
      </c>
      <c r="Z915" s="2" t="s">
        <v>44</v>
      </c>
      <c r="AA915" s="2"/>
      <c r="AB915" s="2"/>
      <c r="AC915" s="2" t="s">
        <v>7229</v>
      </c>
      <c r="AD915" s="2" t="s">
        <v>46</v>
      </c>
    </row>
    <row r="916" customFormat="false" ht="15.7" hidden="false" customHeight="true" outlineLevel="0" collapsed="false">
      <c r="A916" s="2"/>
      <c r="B916" s="3" t="n">
        <f aca="false">DATE(2008,1,7)</f>
        <v>0</v>
      </c>
      <c r="C916" s="3" t="n">
        <v>39454</v>
      </c>
      <c r="D916" s="2" t="s">
        <v>7230</v>
      </c>
      <c r="F916" s="2" t="s">
        <v>256</v>
      </c>
      <c r="G916" s="2" t="s">
        <v>7231</v>
      </c>
      <c r="H916" s="2" t="s">
        <v>170</v>
      </c>
      <c r="I916" s="2" t="s">
        <v>51</v>
      </c>
      <c r="J916" s="2" t="s">
        <v>1697</v>
      </c>
      <c r="K916" s="2" t="s">
        <v>7230</v>
      </c>
      <c r="L916" s="2" t="s">
        <v>51</v>
      </c>
      <c r="M916" s="2" t="s">
        <v>170</v>
      </c>
      <c r="N916" s="2" t="s">
        <v>7232</v>
      </c>
      <c r="O916" s="2"/>
      <c r="P916" s="2" t="s">
        <v>37</v>
      </c>
      <c r="Q916" s="4" t="n">
        <v>8731</v>
      </c>
      <c r="R916" s="2" t="s">
        <v>56</v>
      </c>
      <c r="S916" s="2" t="s">
        <v>92</v>
      </c>
      <c r="T916" s="2" t="s">
        <v>40</v>
      </c>
      <c r="U916" s="2" t="s">
        <v>7233</v>
      </c>
      <c r="V916" s="2"/>
      <c r="W916" s="2" t="s">
        <v>42</v>
      </c>
      <c r="X916" s="2" t="s">
        <v>43</v>
      </c>
      <c r="Y916" s="2" t="s">
        <v>37</v>
      </c>
      <c r="Z916" s="2" t="s">
        <v>44</v>
      </c>
      <c r="AA916" s="2"/>
      <c r="AB916" s="2"/>
      <c r="AC916" s="2" t="s">
        <v>7234</v>
      </c>
      <c r="AD916" s="2" t="s">
        <v>46</v>
      </c>
    </row>
    <row r="917" customFormat="false" ht="15.7" hidden="false" customHeight="true" outlineLevel="0" collapsed="false">
      <c r="A917" s="2"/>
      <c r="B917" s="3" t="n">
        <f aca="false">DATE(2008,1,7)</f>
        <v>0</v>
      </c>
      <c r="C917" s="3" t="n">
        <v>39454</v>
      </c>
      <c r="D917" s="2" t="s">
        <v>7235</v>
      </c>
      <c r="F917" s="2" t="s">
        <v>7236</v>
      </c>
      <c r="G917" s="2" t="s">
        <v>7237</v>
      </c>
      <c r="H917" s="2" t="s">
        <v>5982</v>
      </c>
      <c r="I917" s="2" t="s">
        <v>51</v>
      </c>
      <c r="J917" s="2" t="s">
        <v>560</v>
      </c>
      <c r="K917" s="2" t="s">
        <v>7235</v>
      </c>
      <c r="L917" s="2" t="s">
        <v>51</v>
      </c>
      <c r="M917" s="2" t="s">
        <v>5982</v>
      </c>
      <c r="N917" s="2" t="s">
        <v>7238</v>
      </c>
      <c r="O917" s="2"/>
      <c r="P917" s="2" t="s">
        <v>37</v>
      </c>
      <c r="Q917" s="4" t="n">
        <v>3663</v>
      </c>
      <c r="R917" s="2" t="s">
        <v>56</v>
      </c>
      <c r="S917" s="2" t="s">
        <v>92</v>
      </c>
      <c r="T917" s="2" t="s">
        <v>40</v>
      </c>
      <c r="U917" s="2" t="s">
        <v>7239</v>
      </c>
      <c r="V917" s="2"/>
      <c r="W917" s="2" t="s">
        <v>107</v>
      </c>
      <c r="X917" s="2" t="s">
        <v>43</v>
      </c>
      <c r="Y917" s="2" t="s">
        <v>37</v>
      </c>
      <c r="Z917" s="2" t="s">
        <v>44</v>
      </c>
      <c r="AA917" s="2"/>
      <c r="AB917" s="2"/>
      <c r="AC917" s="2" t="s">
        <v>7240</v>
      </c>
      <c r="AD917" s="2" t="s">
        <v>46</v>
      </c>
    </row>
    <row r="918" customFormat="false" ht="15.7" hidden="false" customHeight="true" outlineLevel="0" collapsed="false">
      <c r="A918" s="2"/>
      <c r="B918" s="3" t="n">
        <f aca="false">DATE(2008,1,7)</f>
        <v>0</v>
      </c>
      <c r="C918" s="3" t="n">
        <v>39454</v>
      </c>
      <c r="D918" s="2" t="s">
        <v>7241</v>
      </c>
      <c r="F918" s="2" t="s">
        <v>7242</v>
      </c>
      <c r="G918" s="2" t="s">
        <v>7243</v>
      </c>
      <c r="H918" s="2" t="s">
        <v>7244</v>
      </c>
      <c r="I918" s="2" t="s">
        <v>51</v>
      </c>
      <c r="J918" s="2" t="s">
        <v>4151</v>
      </c>
      <c r="K918" s="2" t="s">
        <v>7245</v>
      </c>
      <c r="L918" s="2" t="s">
        <v>51</v>
      </c>
      <c r="M918" s="2" t="s">
        <v>7246</v>
      </c>
      <c r="N918" s="2" t="s">
        <v>7247</v>
      </c>
      <c r="O918" s="2"/>
      <c r="P918" s="2" t="s">
        <v>37</v>
      </c>
      <c r="Q918" s="4" t="n">
        <v>8731</v>
      </c>
      <c r="R918" s="2" t="s">
        <v>56</v>
      </c>
      <c r="S918" s="2" t="s">
        <v>92</v>
      </c>
      <c r="T918" s="2" t="s">
        <v>40</v>
      </c>
      <c r="U918" s="2" t="s">
        <v>7248</v>
      </c>
      <c r="V918" s="2"/>
      <c r="W918" s="2" t="s">
        <v>42</v>
      </c>
      <c r="X918" s="2" t="s">
        <v>43</v>
      </c>
      <c r="Y918" s="2" t="s">
        <v>37</v>
      </c>
      <c r="Z918" s="2" t="s">
        <v>44</v>
      </c>
      <c r="AA918" s="2"/>
      <c r="AB918" s="2"/>
      <c r="AC918" s="2" t="s">
        <v>7249</v>
      </c>
      <c r="AD918" s="2" t="s">
        <v>46</v>
      </c>
    </row>
    <row r="919" customFormat="false" ht="15.7" hidden="false" customHeight="true" outlineLevel="0" collapsed="false">
      <c r="A919" s="2"/>
      <c r="B919" s="3" t="n">
        <f aca="false">DATE(2008,1,7)</f>
        <v>0</v>
      </c>
      <c r="C919" s="3" t="n">
        <v>39454</v>
      </c>
      <c r="D919" s="2" t="s">
        <v>7250</v>
      </c>
      <c r="F919" s="2" t="s">
        <v>7251</v>
      </c>
      <c r="G919" s="2" t="s">
        <v>7252</v>
      </c>
      <c r="H919" s="2" t="s">
        <v>2650</v>
      </c>
      <c r="I919" s="2" t="s">
        <v>219</v>
      </c>
      <c r="J919" s="2" t="s">
        <v>65</v>
      </c>
      <c r="K919" s="2" t="s">
        <v>7250</v>
      </c>
      <c r="L919" s="2" t="s">
        <v>219</v>
      </c>
      <c r="M919" s="2" t="s">
        <v>2650</v>
      </c>
      <c r="N919" s="2" t="s">
        <v>7253</v>
      </c>
      <c r="O919" s="2"/>
      <c r="P919" s="2" t="s">
        <v>37</v>
      </c>
      <c r="Q919" s="4" t="n">
        <v>8731</v>
      </c>
      <c r="R919" s="2" t="s">
        <v>136</v>
      </c>
      <c r="S919" s="2" t="s">
        <v>39</v>
      </c>
      <c r="T919" s="2" t="s">
        <v>40</v>
      </c>
      <c r="U919" s="2" t="s">
        <v>7254</v>
      </c>
      <c r="V919" s="2"/>
      <c r="W919" s="2" t="s">
        <v>42</v>
      </c>
      <c r="X919" s="2" t="s">
        <v>43</v>
      </c>
      <c r="Y919" s="2" t="s">
        <v>37</v>
      </c>
      <c r="Z919" s="2" t="s">
        <v>44</v>
      </c>
      <c r="AA919" s="2"/>
      <c r="AB919" s="2"/>
      <c r="AC919" s="2" t="s">
        <v>7255</v>
      </c>
      <c r="AD919" s="2" t="s">
        <v>46</v>
      </c>
    </row>
    <row r="920" customFormat="false" ht="15.7" hidden="false" customHeight="true" outlineLevel="0" collapsed="false">
      <c r="A920" s="2"/>
      <c r="B920" s="3" t="n">
        <f aca="false">DATE(2008,1,7)</f>
        <v>0</v>
      </c>
      <c r="C920" s="3" t="n">
        <v>39454</v>
      </c>
      <c r="D920" s="2" t="s">
        <v>7256</v>
      </c>
      <c r="F920" s="2" t="s">
        <v>7257</v>
      </c>
      <c r="G920" s="2" t="s">
        <v>7258</v>
      </c>
      <c r="H920" s="2" t="s">
        <v>63</v>
      </c>
      <c r="I920" s="2" t="s">
        <v>51</v>
      </c>
      <c r="J920" s="2" t="s">
        <v>3045</v>
      </c>
      <c r="K920" s="2" t="s">
        <v>7256</v>
      </c>
      <c r="L920" s="2" t="s">
        <v>51</v>
      </c>
      <c r="M920" s="2" t="s">
        <v>63</v>
      </c>
      <c r="N920" s="2" t="s">
        <v>7259</v>
      </c>
      <c r="O920" s="2"/>
      <c r="P920" s="2" t="s">
        <v>79</v>
      </c>
      <c r="Q920" s="4" t="n">
        <v>6794</v>
      </c>
      <c r="R920" s="2" t="s">
        <v>56</v>
      </c>
      <c r="S920" s="2" t="s">
        <v>92</v>
      </c>
      <c r="T920" s="2" t="s">
        <v>40</v>
      </c>
      <c r="U920" s="2" t="s">
        <v>7260</v>
      </c>
      <c r="V920" s="2"/>
      <c r="W920" s="2" t="s">
        <v>253</v>
      </c>
      <c r="X920" s="2" t="s">
        <v>43</v>
      </c>
      <c r="Y920" s="2" t="s">
        <v>37</v>
      </c>
      <c r="Z920" s="2" t="s">
        <v>44</v>
      </c>
      <c r="AA920" s="2" t="s">
        <v>7261</v>
      </c>
      <c r="AB920" s="2"/>
      <c r="AC920" s="2" t="s">
        <v>7262</v>
      </c>
      <c r="AD920" s="2" t="s">
        <v>46</v>
      </c>
    </row>
    <row r="921" customFormat="false" ht="15.7" hidden="false" customHeight="true" outlineLevel="0" collapsed="false">
      <c r="A921" s="2"/>
      <c r="B921" s="3" t="n">
        <f aca="false">DATE(2008,1,7)</f>
        <v>0</v>
      </c>
      <c r="C921" s="3" t="n">
        <v>39454</v>
      </c>
      <c r="D921" s="2" t="s">
        <v>7263</v>
      </c>
      <c r="F921" s="2" t="s">
        <v>2170</v>
      </c>
      <c r="G921" s="2" t="s">
        <v>7264</v>
      </c>
      <c r="H921" s="2" t="s">
        <v>130</v>
      </c>
      <c r="I921" s="2" t="s">
        <v>487</v>
      </c>
      <c r="J921" s="2" t="s">
        <v>132</v>
      </c>
      <c r="K921" s="2" t="s">
        <v>7263</v>
      </c>
      <c r="L921" s="2" t="s">
        <v>487</v>
      </c>
      <c r="M921" s="2" t="s">
        <v>130</v>
      </c>
      <c r="N921" s="2" t="s">
        <v>7265</v>
      </c>
      <c r="O921" s="2"/>
      <c r="P921" s="2" t="s">
        <v>79</v>
      </c>
      <c r="Q921" s="4" t="n">
        <v>6794</v>
      </c>
      <c r="R921" s="2" t="s">
        <v>56</v>
      </c>
      <c r="S921" s="2" t="s">
        <v>2265</v>
      </c>
      <c r="T921" s="2" t="s">
        <v>40</v>
      </c>
      <c r="U921" s="2" t="s">
        <v>7266</v>
      </c>
      <c r="V921" s="2"/>
      <c r="W921" s="2" t="s">
        <v>4844</v>
      </c>
      <c r="X921" s="2" t="s">
        <v>43</v>
      </c>
      <c r="Y921" s="2" t="s">
        <v>37</v>
      </c>
      <c r="Z921" s="2" t="s">
        <v>44</v>
      </c>
      <c r="AA921" s="2"/>
      <c r="AB921" s="2"/>
      <c r="AC921" s="2" t="s">
        <v>7267</v>
      </c>
      <c r="AD921" s="2" t="s">
        <v>46</v>
      </c>
    </row>
    <row r="922" customFormat="false" ht="15.7" hidden="false" customHeight="true" outlineLevel="0" collapsed="false">
      <c r="A922" s="2"/>
      <c r="B922" s="3" t="n">
        <f aca="false">DATE(2008,1,8)</f>
        <v>0</v>
      </c>
      <c r="C922" s="3" t="n">
        <v>39455</v>
      </c>
      <c r="D922" s="2" t="s">
        <v>7268</v>
      </c>
      <c r="F922" s="2" t="s">
        <v>7269</v>
      </c>
      <c r="G922" s="2" t="s">
        <v>7270</v>
      </c>
      <c r="H922" s="2" t="s">
        <v>7271</v>
      </c>
      <c r="I922" s="2" t="s">
        <v>7272</v>
      </c>
      <c r="J922" s="2" t="s">
        <v>35</v>
      </c>
      <c r="K922" s="2" t="s">
        <v>7268</v>
      </c>
      <c r="L922" s="2" t="s">
        <v>7272</v>
      </c>
      <c r="M922" s="2" t="s">
        <v>7271</v>
      </c>
      <c r="N922" s="2" t="s">
        <v>7273</v>
      </c>
      <c r="O922" s="2"/>
      <c r="P922" s="2" t="s">
        <v>37</v>
      </c>
      <c r="Q922" s="4" t="n">
        <v>8731</v>
      </c>
      <c r="R922" s="2" t="s">
        <v>402</v>
      </c>
      <c r="S922" s="2" t="s">
        <v>39</v>
      </c>
      <c r="T922" s="2" t="s">
        <v>403</v>
      </c>
      <c r="U922" s="2" t="s">
        <v>7274</v>
      </c>
      <c r="V922" s="2"/>
      <c r="W922" s="2" t="s">
        <v>7275</v>
      </c>
      <c r="X922" s="2" t="s">
        <v>46</v>
      </c>
      <c r="Y922" s="2" t="s">
        <v>37</v>
      </c>
      <c r="Z922" s="2" t="s">
        <v>362</v>
      </c>
      <c r="AA922" s="2"/>
      <c r="AB922" s="2"/>
      <c r="AC922" s="2" t="s">
        <v>7276</v>
      </c>
      <c r="AD922" s="2" t="s">
        <v>46</v>
      </c>
    </row>
    <row r="923" customFormat="false" ht="15.7" hidden="false" customHeight="true" outlineLevel="0" collapsed="false">
      <c r="A923" s="2"/>
      <c r="B923" s="3" t="n">
        <f aca="false">DATE(2008,1,8)</f>
        <v>0</v>
      </c>
      <c r="C923" s="3" t="n">
        <v>39455</v>
      </c>
      <c r="D923" s="2" t="s">
        <v>7277</v>
      </c>
      <c r="F923" s="2" t="s">
        <v>7278</v>
      </c>
      <c r="G923" s="2" t="s">
        <v>7279</v>
      </c>
      <c r="H923" s="2" t="s">
        <v>7280</v>
      </c>
      <c r="I923" s="2" t="s">
        <v>51</v>
      </c>
      <c r="J923" s="2" t="s">
        <v>7281</v>
      </c>
      <c r="K923" s="2" t="s">
        <v>7277</v>
      </c>
      <c r="L923" s="2" t="s">
        <v>51</v>
      </c>
      <c r="M923" s="2" t="s">
        <v>7280</v>
      </c>
      <c r="N923" s="2" t="s">
        <v>7282</v>
      </c>
      <c r="O923" s="2"/>
      <c r="P923" s="2" t="s">
        <v>79</v>
      </c>
      <c r="Q923" s="4" t="n">
        <v>6794</v>
      </c>
      <c r="R923" s="2" t="s">
        <v>56</v>
      </c>
      <c r="S923" s="2" t="s">
        <v>92</v>
      </c>
      <c r="T923" s="2" t="s">
        <v>40</v>
      </c>
      <c r="U923" s="2" t="s">
        <v>7283</v>
      </c>
      <c r="V923" s="2"/>
      <c r="W923" s="2" t="s">
        <v>82</v>
      </c>
      <c r="X923" s="2" t="s">
        <v>43</v>
      </c>
      <c r="Y923" s="2" t="s">
        <v>37</v>
      </c>
      <c r="Z923" s="2" t="s">
        <v>44</v>
      </c>
      <c r="AA923" s="2"/>
      <c r="AB923" s="2"/>
      <c r="AC923" s="2" t="s">
        <v>7284</v>
      </c>
      <c r="AD923" s="2" t="s">
        <v>46</v>
      </c>
    </row>
    <row r="924" customFormat="false" ht="15.7" hidden="false" customHeight="true" outlineLevel="0" collapsed="false">
      <c r="A924" s="2"/>
      <c r="B924" s="3" t="n">
        <f aca="false">DATE(2008,1,8)</f>
        <v>0</v>
      </c>
      <c r="C924" s="3" t="n">
        <v>39455</v>
      </c>
      <c r="D924" s="2" t="s">
        <v>7285</v>
      </c>
      <c r="F924" s="2" t="s">
        <v>7286</v>
      </c>
      <c r="G924" s="2" t="s">
        <v>7287</v>
      </c>
      <c r="H924" s="2" t="s">
        <v>7288</v>
      </c>
      <c r="I924" s="2" t="s">
        <v>3265</v>
      </c>
      <c r="J924" s="2" t="s">
        <v>966</v>
      </c>
      <c r="K924" s="2" t="s">
        <v>7289</v>
      </c>
      <c r="L924" s="2" t="s">
        <v>3265</v>
      </c>
      <c r="M924" s="2" t="s">
        <v>7290</v>
      </c>
      <c r="N924" s="2" t="s">
        <v>7291</v>
      </c>
      <c r="O924" s="2" t="s">
        <v>7292</v>
      </c>
      <c r="P924" s="2" t="s">
        <v>37</v>
      </c>
      <c r="Q924" s="4" t="n">
        <v>8731</v>
      </c>
      <c r="R924" s="2" t="s">
        <v>402</v>
      </c>
      <c r="S924" s="2" t="s">
        <v>39</v>
      </c>
      <c r="T924" s="2" t="s">
        <v>40</v>
      </c>
      <c r="U924" s="2" t="s">
        <v>7293</v>
      </c>
      <c r="V924" s="2"/>
      <c r="W924" s="2" t="s">
        <v>42</v>
      </c>
      <c r="X924" s="2" t="s">
        <v>46</v>
      </c>
      <c r="Y924" s="2" t="s">
        <v>37</v>
      </c>
      <c r="Z924" s="2" t="s">
        <v>2565</v>
      </c>
      <c r="AA924" s="2" t="s">
        <v>7294</v>
      </c>
      <c r="AB924" s="2" t="s">
        <v>7295</v>
      </c>
      <c r="AC924" s="2" t="s">
        <v>7296</v>
      </c>
      <c r="AD924" s="2" t="s">
        <v>46</v>
      </c>
    </row>
    <row r="925" customFormat="false" ht="15.7" hidden="false" customHeight="true" outlineLevel="0" collapsed="false">
      <c r="A925" s="2"/>
      <c r="B925" s="3" t="n">
        <f aca="false">DATE(2008,1,8)</f>
        <v>0</v>
      </c>
      <c r="C925" s="3" t="n">
        <v>39455</v>
      </c>
      <c r="D925" s="2" t="s">
        <v>7297</v>
      </c>
      <c r="F925" s="2" t="s">
        <v>7298</v>
      </c>
      <c r="G925" s="2" t="s">
        <v>7299</v>
      </c>
      <c r="H925" s="2" t="s">
        <v>7300</v>
      </c>
      <c r="I925" s="2" t="s">
        <v>131</v>
      </c>
      <c r="J925" s="2" t="s">
        <v>1897</v>
      </c>
      <c r="K925" s="2" t="s">
        <v>7301</v>
      </c>
      <c r="L925" s="2" t="s">
        <v>131</v>
      </c>
      <c r="M925" s="2" t="s">
        <v>7302</v>
      </c>
      <c r="N925" s="2" t="s">
        <v>7303</v>
      </c>
      <c r="O925" s="2"/>
      <c r="P925" s="2" t="s">
        <v>37</v>
      </c>
      <c r="Q925" s="4" t="n">
        <v>8731</v>
      </c>
      <c r="R925" s="2" t="s">
        <v>56</v>
      </c>
      <c r="S925" s="2" t="s">
        <v>931</v>
      </c>
      <c r="T925" s="2" t="s">
        <v>40</v>
      </c>
      <c r="U925" s="2" t="s">
        <v>7304</v>
      </c>
      <c r="V925" s="2"/>
      <c r="W925" s="2" t="s">
        <v>42</v>
      </c>
      <c r="X925" s="2" t="s">
        <v>43</v>
      </c>
      <c r="Y925" s="2" t="s">
        <v>37</v>
      </c>
      <c r="Z925" s="2" t="s">
        <v>44</v>
      </c>
      <c r="AA925" s="2"/>
      <c r="AB925" s="2"/>
      <c r="AC925" s="2" t="s">
        <v>7305</v>
      </c>
      <c r="AD925" s="2" t="s">
        <v>46</v>
      </c>
    </row>
    <row r="926" customFormat="false" ht="15.7" hidden="false" customHeight="true" outlineLevel="0" collapsed="false">
      <c r="A926" s="2"/>
      <c r="B926" s="3" t="n">
        <f aca="false">DATE(2008,1,8)</f>
        <v>0</v>
      </c>
      <c r="C926" s="3" t="n">
        <v>39455</v>
      </c>
      <c r="D926" s="2" t="s">
        <v>7306</v>
      </c>
      <c r="F926" s="2" t="s">
        <v>7307</v>
      </c>
      <c r="G926" s="2" t="s">
        <v>7308</v>
      </c>
      <c r="H926" s="2" t="s">
        <v>7309</v>
      </c>
      <c r="I926" s="2" t="s">
        <v>670</v>
      </c>
      <c r="J926" s="2" t="s">
        <v>101</v>
      </c>
      <c r="K926" s="2" t="s">
        <v>7310</v>
      </c>
      <c r="L926" s="2" t="s">
        <v>670</v>
      </c>
      <c r="M926" s="2" t="s">
        <v>7311</v>
      </c>
      <c r="N926" s="2" t="s">
        <v>7312</v>
      </c>
      <c r="O926" s="2"/>
      <c r="P926" s="2" t="s">
        <v>37</v>
      </c>
      <c r="Q926" s="4" t="n">
        <v>3827</v>
      </c>
      <c r="R926" s="2" t="s">
        <v>402</v>
      </c>
      <c r="S926" s="2" t="s">
        <v>39</v>
      </c>
      <c r="T926" s="2" t="s">
        <v>403</v>
      </c>
      <c r="U926" s="2" t="s">
        <v>7313</v>
      </c>
      <c r="V926" s="2"/>
      <c r="W926" s="2" t="s">
        <v>755</v>
      </c>
      <c r="X926" s="2" t="s">
        <v>46</v>
      </c>
      <c r="Y926" s="2" t="s">
        <v>37</v>
      </c>
      <c r="Z926" s="2" t="s">
        <v>362</v>
      </c>
      <c r="AA926" s="2" t="s">
        <v>7314</v>
      </c>
      <c r="AB926" s="2"/>
      <c r="AC926" s="2" t="s">
        <v>7315</v>
      </c>
      <c r="AD926" s="2" t="s">
        <v>46</v>
      </c>
    </row>
    <row r="927" customFormat="false" ht="15.7" hidden="false" customHeight="true" outlineLevel="0" collapsed="false">
      <c r="A927" s="2"/>
      <c r="B927" s="3" t="n">
        <f aca="false">DATE(2008,1,9)</f>
        <v>0</v>
      </c>
      <c r="C927" s="3" t="n">
        <v>39456</v>
      </c>
      <c r="D927" s="2" t="s">
        <v>7316</v>
      </c>
      <c r="F927" s="2" t="s">
        <v>7317</v>
      </c>
      <c r="G927" s="2" t="s">
        <v>7318</v>
      </c>
      <c r="H927" s="2" t="s">
        <v>170</v>
      </c>
      <c r="I927" s="2" t="s">
        <v>3312</v>
      </c>
      <c r="J927" s="2" t="s">
        <v>132</v>
      </c>
      <c r="K927" s="2" t="s">
        <v>7319</v>
      </c>
      <c r="L927" s="2" t="s">
        <v>7320</v>
      </c>
      <c r="M927" s="2" t="s">
        <v>4926</v>
      </c>
      <c r="N927" s="2" t="s">
        <v>7321</v>
      </c>
      <c r="O927" s="2"/>
      <c r="P927" s="2" t="s">
        <v>37</v>
      </c>
      <c r="Q927" s="4" t="n">
        <v>8731</v>
      </c>
      <c r="R927" s="2" t="s">
        <v>136</v>
      </c>
      <c r="S927" s="2" t="s">
        <v>39</v>
      </c>
      <c r="T927" s="2" t="s">
        <v>40</v>
      </c>
      <c r="U927" s="2" t="s">
        <v>7322</v>
      </c>
      <c r="V927" s="2"/>
      <c r="W927" s="2" t="s">
        <v>42</v>
      </c>
      <c r="X927" s="2" t="s">
        <v>43</v>
      </c>
      <c r="Y927" s="2" t="s">
        <v>37</v>
      </c>
      <c r="Z927" s="2" t="s">
        <v>44</v>
      </c>
      <c r="AA927" s="2"/>
      <c r="AB927" s="2"/>
      <c r="AC927" s="2" t="s">
        <v>7323</v>
      </c>
      <c r="AD927" s="2" t="s">
        <v>46</v>
      </c>
    </row>
    <row r="928" customFormat="false" ht="15.7" hidden="false" customHeight="true" outlineLevel="0" collapsed="false">
      <c r="A928" s="2"/>
      <c r="B928" s="3" t="n">
        <f aca="false">DATE(2008,1,9)</f>
        <v>0</v>
      </c>
      <c r="C928" s="3" t="n">
        <v>39456</v>
      </c>
      <c r="D928" s="2" t="s">
        <v>7324</v>
      </c>
      <c r="F928" s="2" t="s">
        <v>7325</v>
      </c>
      <c r="G928" s="2" t="s">
        <v>7326</v>
      </c>
      <c r="H928" s="2" t="s">
        <v>387</v>
      </c>
      <c r="I928" s="2" t="s">
        <v>7327</v>
      </c>
      <c r="J928" s="2" t="s">
        <v>1456</v>
      </c>
      <c r="K928" s="2" t="s">
        <v>7328</v>
      </c>
      <c r="L928" s="2" t="s">
        <v>7327</v>
      </c>
      <c r="M928" s="2" t="s">
        <v>7329</v>
      </c>
      <c r="N928" s="2" t="s">
        <v>7330</v>
      </c>
      <c r="O928" s="2"/>
      <c r="P928" s="2" t="s">
        <v>37</v>
      </c>
      <c r="Q928" s="4" t="n">
        <v>8731</v>
      </c>
      <c r="R928" s="2" t="s">
        <v>136</v>
      </c>
      <c r="S928" s="2" t="s">
        <v>39</v>
      </c>
      <c r="T928" s="2" t="s">
        <v>40</v>
      </c>
      <c r="U928" s="2" t="s">
        <v>7331</v>
      </c>
      <c r="V928" s="2"/>
      <c r="W928" s="2" t="s">
        <v>42</v>
      </c>
      <c r="X928" s="2" t="s">
        <v>43</v>
      </c>
      <c r="Y928" s="2" t="s">
        <v>37</v>
      </c>
      <c r="Z928" s="2" t="s">
        <v>44</v>
      </c>
      <c r="AA928" s="2"/>
      <c r="AB928" s="2"/>
      <c r="AC928" s="2" t="s">
        <v>7332</v>
      </c>
      <c r="AD928" s="2" t="s">
        <v>46</v>
      </c>
    </row>
    <row r="929" customFormat="false" ht="15.7" hidden="false" customHeight="true" outlineLevel="0" collapsed="false">
      <c r="A929" s="2"/>
      <c r="B929" s="3" t="n">
        <f aca="false">DATE(2008,1,9)</f>
        <v>0</v>
      </c>
      <c r="C929" s="3" t="n">
        <v>39456</v>
      </c>
      <c r="D929" s="2" t="s">
        <v>7333</v>
      </c>
      <c r="F929" s="2" t="s">
        <v>7334</v>
      </c>
      <c r="G929" s="2" t="s">
        <v>7335</v>
      </c>
      <c r="H929" s="2" t="s">
        <v>7336</v>
      </c>
      <c r="I929" s="2" t="s">
        <v>7337</v>
      </c>
      <c r="J929" s="2" t="s">
        <v>3198</v>
      </c>
      <c r="K929" s="2" t="s">
        <v>7338</v>
      </c>
      <c r="L929" s="2" t="s">
        <v>3197</v>
      </c>
      <c r="M929" s="2" t="s">
        <v>7339</v>
      </c>
      <c r="N929" s="2" t="s">
        <v>7340</v>
      </c>
      <c r="O929" s="2"/>
      <c r="P929" s="2" t="s">
        <v>37</v>
      </c>
      <c r="Q929" s="4" t="n">
        <v>2999</v>
      </c>
      <c r="R929" s="2" t="s">
        <v>136</v>
      </c>
      <c r="S929" s="2" t="s">
        <v>39</v>
      </c>
      <c r="T929" s="2" t="s">
        <v>403</v>
      </c>
      <c r="U929" s="2" t="s">
        <v>7341</v>
      </c>
      <c r="V929" s="2"/>
      <c r="W929" s="2" t="s">
        <v>107</v>
      </c>
      <c r="X929" s="2" t="s">
        <v>43</v>
      </c>
      <c r="Y929" s="2" t="s">
        <v>37</v>
      </c>
      <c r="Z929" s="2" t="s">
        <v>916</v>
      </c>
      <c r="AA929" s="2"/>
      <c r="AB929" s="2"/>
      <c r="AC929" s="2" t="s">
        <v>7342</v>
      </c>
      <c r="AD929" s="2" t="s">
        <v>46</v>
      </c>
    </row>
    <row r="930" customFormat="false" ht="15.7" hidden="false" customHeight="true" outlineLevel="0" collapsed="false">
      <c r="A930" s="2"/>
      <c r="B930" s="3" t="n">
        <f aca="false">DATE(2008,1,9)</f>
        <v>0</v>
      </c>
      <c r="C930" s="3" t="n">
        <v>39456</v>
      </c>
      <c r="D930" s="2" t="s">
        <v>7343</v>
      </c>
      <c r="F930" s="2" t="s">
        <v>7344</v>
      </c>
      <c r="G930" s="2" t="s">
        <v>7345</v>
      </c>
      <c r="H930" s="2" t="s">
        <v>4369</v>
      </c>
      <c r="I930" s="2" t="s">
        <v>410</v>
      </c>
      <c r="J930" s="2" t="s">
        <v>331</v>
      </c>
      <c r="K930" s="2" t="s">
        <v>7343</v>
      </c>
      <c r="L930" s="2" t="s">
        <v>410</v>
      </c>
      <c r="M930" s="2" t="s">
        <v>4369</v>
      </c>
      <c r="N930" s="2" t="s">
        <v>7346</v>
      </c>
      <c r="O930" s="2"/>
      <c r="P930" s="2" t="s">
        <v>37</v>
      </c>
      <c r="Q930" s="4" t="n">
        <v>8731</v>
      </c>
      <c r="R930" s="2" t="s">
        <v>136</v>
      </c>
      <c r="S930" s="2" t="s">
        <v>39</v>
      </c>
      <c r="T930" s="2" t="s">
        <v>40</v>
      </c>
      <c r="U930" s="2" t="s">
        <v>7347</v>
      </c>
      <c r="V930" s="2"/>
      <c r="W930" s="2" t="s">
        <v>773</v>
      </c>
      <c r="X930" s="2" t="s">
        <v>43</v>
      </c>
      <c r="Y930" s="2" t="s">
        <v>37</v>
      </c>
      <c r="Z930" s="2" t="s">
        <v>44</v>
      </c>
      <c r="AA930" s="2"/>
      <c r="AB930" s="2"/>
      <c r="AC930" s="2" t="s">
        <v>7348</v>
      </c>
      <c r="AD930" s="2" t="s">
        <v>46</v>
      </c>
    </row>
    <row r="931" customFormat="false" ht="15.7" hidden="false" customHeight="true" outlineLevel="0" collapsed="false">
      <c r="A931" s="2"/>
      <c r="B931" s="3" t="n">
        <f aca="false">DATE(2008,1,9)</f>
        <v>0</v>
      </c>
      <c r="C931" s="3" t="n">
        <v>39456</v>
      </c>
      <c r="D931" s="2" t="s">
        <v>7349</v>
      </c>
      <c r="F931" s="2" t="s">
        <v>7350</v>
      </c>
      <c r="G931" s="2" t="s">
        <v>7351</v>
      </c>
      <c r="H931" s="2" t="s">
        <v>7352</v>
      </c>
      <c r="I931" s="2" t="s">
        <v>51</v>
      </c>
      <c r="J931" s="2" t="s">
        <v>7353</v>
      </c>
      <c r="K931" s="2" t="s">
        <v>7349</v>
      </c>
      <c r="L931" s="2" t="s">
        <v>51</v>
      </c>
      <c r="M931" s="2" t="s">
        <v>7352</v>
      </c>
      <c r="N931" s="2" t="s">
        <v>7354</v>
      </c>
      <c r="O931" s="2"/>
      <c r="P931" s="2" t="s">
        <v>37</v>
      </c>
      <c r="Q931" s="4" t="n">
        <v>8731</v>
      </c>
      <c r="R931" s="2" t="s">
        <v>56</v>
      </c>
      <c r="S931" s="2" t="s">
        <v>92</v>
      </c>
      <c r="T931" s="2" t="s">
        <v>40</v>
      </c>
      <c r="U931" s="2" t="s">
        <v>7355</v>
      </c>
      <c r="V931" s="2"/>
      <c r="W931" s="2" t="s">
        <v>42</v>
      </c>
      <c r="X931" s="2" t="s">
        <v>43</v>
      </c>
      <c r="Y931" s="2" t="s">
        <v>37</v>
      </c>
      <c r="Z931" s="2" t="s">
        <v>44</v>
      </c>
      <c r="AA931" s="2"/>
      <c r="AB931" s="2"/>
      <c r="AC931" s="2" t="s">
        <v>7356</v>
      </c>
      <c r="AD931" s="2" t="s">
        <v>46</v>
      </c>
    </row>
    <row r="932" customFormat="false" ht="15.7" hidden="false" customHeight="true" outlineLevel="0" collapsed="false">
      <c r="A932" s="2"/>
      <c r="B932" s="3" t="n">
        <f aca="false">DATE(2008,1,10)</f>
        <v>0</v>
      </c>
      <c r="C932" s="3" t="n">
        <v>39457</v>
      </c>
      <c r="D932" s="2" t="s">
        <v>7357</v>
      </c>
      <c r="F932" s="2" t="s">
        <v>7358</v>
      </c>
      <c r="G932" s="2" t="s">
        <v>7359</v>
      </c>
      <c r="H932" s="2" t="s">
        <v>814</v>
      </c>
      <c r="I932" s="2" t="s">
        <v>7360</v>
      </c>
      <c r="J932" s="2" t="s">
        <v>331</v>
      </c>
      <c r="K932" s="2" t="s">
        <v>7357</v>
      </c>
      <c r="L932" s="2" t="s">
        <v>7360</v>
      </c>
      <c r="M932" s="2" t="s">
        <v>814</v>
      </c>
      <c r="N932" s="2" t="s">
        <v>7361</v>
      </c>
      <c r="O932" s="2"/>
      <c r="P932" s="2" t="s">
        <v>37</v>
      </c>
      <c r="Q932" s="4" t="n">
        <v>8731</v>
      </c>
      <c r="R932" s="2" t="s">
        <v>136</v>
      </c>
      <c r="S932" s="2" t="s">
        <v>39</v>
      </c>
      <c r="T932" s="2" t="s">
        <v>40</v>
      </c>
      <c r="U932" s="2" t="s">
        <v>7362</v>
      </c>
      <c r="V932" s="2"/>
      <c r="W932" s="2" t="s">
        <v>42</v>
      </c>
      <c r="X932" s="2" t="s">
        <v>43</v>
      </c>
      <c r="Y932" s="2" t="s">
        <v>37</v>
      </c>
      <c r="Z932" s="2" t="s">
        <v>44</v>
      </c>
      <c r="AA932" s="2"/>
      <c r="AB932" s="2"/>
      <c r="AC932" s="2" t="s">
        <v>7363</v>
      </c>
      <c r="AD932" s="2" t="s">
        <v>46</v>
      </c>
    </row>
    <row r="933" customFormat="false" ht="15.7" hidden="false" customHeight="true" outlineLevel="0" collapsed="false">
      <c r="A933" s="2"/>
      <c r="B933" s="3" t="n">
        <f aca="false">DATE(2008,1,10)</f>
        <v>0</v>
      </c>
      <c r="C933" s="3" t="n">
        <v>39457</v>
      </c>
      <c r="D933" s="2" t="s">
        <v>7364</v>
      </c>
      <c r="F933" s="2" t="s">
        <v>7365</v>
      </c>
      <c r="G933" s="2" t="s">
        <v>7366</v>
      </c>
      <c r="H933" s="2" t="s">
        <v>7367</v>
      </c>
      <c r="I933" s="2" t="s">
        <v>6134</v>
      </c>
      <c r="J933" s="2" t="s">
        <v>3452</v>
      </c>
      <c r="K933" s="2" t="s">
        <v>7364</v>
      </c>
      <c r="L933" s="2" t="s">
        <v>6134</v>
      </c>
      <c r="M933" s="2" t="s">
        <v>7367</v>
      </c>
      <c r="N933" s="2" t="s">
        <v>7368</v>
      </c>
      <c r="O933" s="2" t="s">
        <v>7369</v>
      </c>
      <c r="P933" s="2" t="s">
        <v>37</v>
      </c>
      <c r="Q933" s="4" t="n">
        <v>8731</v>
      </c>
      <c r="R933" s="2" t="s">
        <v>56</v>
      </c>
      <c r="S933" s="2" t="s">
        <v>771</v>
      </c>
      <c r="T933" s="2" t="s">
        <v>40</v>
      </c>
      <c r="U933" s="2" t="s">
        <v>7370</v>
      </c>
      <c r="V933" s="2"/>
      <c r="W933" s="2" t="s">
        <v>42</v>
      </c>
      <c r="X933" s="2" t="s">
        <v>46</v>
      </c>
      <c r="Y933" s="2" t="s">
        <v>37</v>
      </c>
      <c r="Z933" s="2" t="s">
        <v>362</v>
      </c>
      <c r="AA933" s="2"/>
      <c r="AB933" s="2" t="s">
        <v>7371</v>
      </c>
      <c r="AC933" s="2" t="s">
        <v>7372</v>
      </c>
      <c r="AD933" s="2" t="s">
        <v>46</v>
      </c>
    </row>
    <row r="934" customFormat="false" ht="15.7" hidden="false" customHeight="true" outlineLevel="0" collapsed="false">
      <c r="A934" s="2"/>
      <c r="B934" s="3" t="n">
        <f aca="false">DATE(2008,1,10)</f>
        <v>0</v>
      </c>
      <c r="C934" s="3" t="n">
        <v>39457</v>
      </c>
      <c r="D934" s="2" t="s">
        <v>7364</v>
      </c>
      <c r="F934" s="2" t="s">
        <v>7365</v>
      </c>
      <c r="G934" s="2" t="s">
        <v>7366</v>
      </c>
      <c r="H934" s="2" t="s">
        <v>7367</v>
      </c>
      <c r="I934" s="2" t="s">
        <v>6134</v>
      </c>
      <c r="J934" s="2" t="s">
        <v>3452</v>
      </c>
      <c r="K934" s="2" t="s">
        <v>7364</v>
      </c>
      <c r="L934" s="2" t="s">
        <v>6134</v>
      </c>
      <c r="M934" s="2" t="s">
        <v>7367</v>
      </c>
      <c r="N934" s="2" t="s">
        <v>7373</v>
      </c>
      <c r="O934" s="2" t="s">
        <v>7374</v>
      </c>
      <c r="P934" s="2" t="s">
        <v>37</v>
      </c>
      <c r="Q934" s="4" t="n">
        <v>8731</v>
      </c>
      <c r="R934" s="2" t="s">
        <v>56</v>
      </c>
      <c r="S934" s="2" t="s">
        <v>771</v>
      </c>
      <c r="T934" s="2" t="s">
        <v>40</v>
      </c>
      <c r="U934" s="2" t="s">
        <v>7375</v>
      </c>
      <c r="V934" s="2"/>
      <c r="W934" s="2" t="s">
        <v>42</v>
      </c>
      <c r="X934" s="2" t="s">
        <v>46</v>
      </c>
      <c r="Y934" s="2" t="s">
        <v>37</v>
      </c>
      <c r="Z934" s="2" t="s">
        <v>2080</v>
      </c>
      <c r="AA934" s="2"/>
      <c r="AB934" s="2" t="s">
        <v>7376</v>
      </c>
      <c r="AC934" s="2" t="s">
        <v>7372</v>
      </c>
      <c r="AD934" s="2" t="s">
        <v>46</v>
      </c>
    </row>
    <row r="935" customFormat="false" ht="15.7" hidden="false" customHeight="true" outlineLevel="0" collapsed="false">
      <c r="A935" s="2"/>
      <c r="B935" s="3" t="n">
        <f aca="false">DATE(2008,1,11)</f>
        <v>0</v>
      </c>
      <c r="C935" s="3" t="n">
        <v>39458</v>
      </c>
      <c r="D935" s="2" t="s">
        <v>7377</v>
      </c>
      <c r="F935" s="2" t="s">
        <v>7378</v>
      </c>
      <c r="G935" s="2" t="s">
        <v>7379</v>
      </c>
      <c r="H935" s="2" t="s">
        <v>7380</v>
      </c>
      <c r="I935" s="2" t="s">
        <v>7381</v>
      </c>
      <c r="J935" s="2" t="s">
        <v>116</v>
      </c>
      <c r="K935" s="2" t="s">
        <v>7382</v>
      </c>
      <c r="L935" s="2" t="s">
        <v>7383</v>
      </c>
      <c r="M935" s="2" t="s">
        <v>7384</v>
      </c>
      <c r="N935" s="2" t="s">
        <v>7385</v>
      </c>
      <c r="O935" s="2"/>
      <c r="P935" s="2" t="s">
        <v>37</v>
      </c>
      <c r="Q935" s="2" t="s">
        <v>7386</v>
      </c>
      <c r="R935" s="2" t="s">
        <v>402</v>
      </c>
      <c r="S935" s="2" t="s">
        <v>39</v>
      </c>
      <c r="T935" s="2" t="s">
        <v>403</v>
      </c>
      <c r="U935" s="2" t="s">
        <v>7387</v>
      </c>
      <c r="V935" s="2"/>
      <c r="W935" s="2" t="s">
        <v>7388</v>
      </c>
      <c r="X935" s="2" t="s">
        <v>46</v>
      </c>
      <c r="Y935" s="2" t="s">
        <v>37</v>
      </c>
      <c r="Z935" s="2" t="s">
        <v>7389</v>
      </c>
      <c r="AA935" s="2" t="s">
        <v>7390</v>
      </c>
      <c r="AB935" s="2"/>
      <c r="AC935" s="2" t="s">
        <v>7391</v>
      </c>
      <c r="AD935" s="2" t="s">
        <v>46</v>
      </c>
    </row>
    <row r="936" customFormat="false" ht="15.7" hidden="false" customHeight="true" outlineLevel="0" collapsed="false">
      <c r="A936" s="2"/>
      <c r="B936" s="3" t="n">
        <f aca="false">DATE(2008,1,14)</f>
        <v>0</v>
      </c>
      <c r="C936" s="3" t="n">
        <v>39461</v>
      </c>
      <c r="D936" s="2" t="s">
        <v>7392</v>
      </c>
      <c r="F936" s="2" t="s">
        <v>7393</v>
      </c>
      <c r="G936" s="2" t="s">
        <v>7394</v>
      </c>
      <c r="H936" s="2" t="s">
        <v>7395</v>
      </c>
      <c r="I936" s="2" t="s">
        <v>64</v>
      </c>
      <c r="J936" s="2" t="s">
        <v>65</v>
      </c>
      <c r="K936" s="2" t="s">
        <v>7396</v>
      </c>
      <c r="L936" s="2" t="s">
        <v>5102</v>
      </c>
      <c r="M936" s="2" t="s">
        <v>7397</v>
      </c>
      <c r="N936" s="2" t="s">
        <v>7398</v>
      </c>
      <c r="O936" s="2"/>
      <c r="P936" s="2" t="s">
        <v>37</v>
      </c>
      <c r="Q936" s="4" t="n">
        <v>3433</v>
      </c>
      <c r="R936" s="2" t="s">
        <v>136</v>
      </c>
      <c r="S936" s="2" t="s">
        <v>39</v>
      </c>
      <c r="T936" s="2" t="s">
        <v>40</v>
      </c>
      <c r="U936" s="2" t="s">
        <v>7399</v>
      </c>
      <c r="V936" s="2"/>
      <c r="W936" s="2" t="s">
        <v>107</v>
      </c>
      <c r="X936" s="2" t="s">
        <v>43</v>
      </c>
      <c r="Y936" s="2" t="s">
        <v>37</v>
      </c>
      <c r="Z936" s="2" t="s">
        <v>44</v>
      </c>
      <c r="AA936" s="2" t="s">
        <v>7400</v>
      </c>
      <c r="AB936" s="2"/>
      <c r="AC936" s="2" t="s">
        <v>7401</v>
      </c>
      <c r="AD936" s="2" t="s">
        <v>46</v>
      </c>
    </row>
    <row r="937" customFormat="false" ht="15.7" hidden="false" customHeight="true" outlineLevel="0" collapsed="false">
      <c r="A937" s="2"/>
      <c r="B937" s="3" t="n">
        <f aca="false">DATE(2008,1,14)</f>
        <v>0</v>
      </c>
      <c r="C937" s="3" t="n">
        <v>39461</v>
      </c>
      <c r="D937" s="2" t="s">
        <v>7402</v>
      </c>
      <c r="F937" s="2" t="s">
        <v>7403</v>
      </c>
      <c r="G937" s="2" t="s">
        <v>7404</v>
      </c>
      <c r="H937" s="2" t="s">
        <v>5724</v>
      </c>
      <c r="I937" s="2" t="s">
        <v>4179</v>
      </c>
      <c r="J937" s="2" t="s">
        <v>1897</v>
      </c>
      <c r="K937" s="2" t="s">
        <v>7402</v>
      </c>
      <c r="L937" s="2" t="s">
        <v>4179</v>
      </c>
      <c r="M937" s="2" t="s">
        <v>5724</v>
      </c>
      <c r="N937" s="2" t="s">
        <v>7405</v>
      </c>
      <c r="O937" s="2"/>
      <c r="P937" s="2" t="s">
        <v>37</v>
      </c>
      <c r="Q937" s="4" t="n">
        <v>8731</v>
      </c>
      <c r="R937" s="2" t="s">
        <v>136</v>
      </c>
      <c r="S937" s="2" t="s">
        <v>39</v>
      </c>
      <c r="T937" s="2" t="s">
        <v>40</v>
      </c>
      <c r="U937" s="2" t="s">
        <v>7406</v>
      </c>
      <c r="V937" s="2"/>
      <c r="W937" s="2" t="s">
        <v>42</v>
      </c>
      <c r="X937" s="2" t="s">
        <v>43</v>
      </c>
      <c r="Y937" s="2" t="s">
        <v>37</v>
      </c>
      <c r="Z937" s="2" t="s">
        <v>44</v>
      </c>
      <c r="AA937" s="2"/>
      <c r="AB937" s="2"/>
      <c r="AC937" s="2" t="s">
        <v>7407</v>
      </c>
      <c r="AD937" s="2" t="s">
        <v>46</v>
      </c>
    </row>
    <row r="938" customFormat="false" ht="15.7" hidden="false" customHeight="true" outlineLevel="0" collapsed="false">
      <c r="A938" s="2"/>
      <c r="B938" s="3" t="n">
        <f aca="false">DATE(2008,1,14)</f>
        <v>0</v>
      </c>
      <c r="C938" s="3" t="n">
        <v>39461</v>
      </c>
      <c r="D938" s="2" t="s">
        <v>7408</v>
      </c>
      <c r="F938" s="2" t="s">
        <v>7409</v>
      </c>
      <c r="G938" s="2" t="s">
        <v>7410</v>
      </c>
      <c r="H938" s="2" t="s">
        <v>7411</v>
      </c>
      <c r="I938" s="2" t="s">
        <v>5990</v>
      </c>
      <c r="J938" s="2" t="s">
        <v>35</v>
      </c>
      <c r="K938" s="2" t="s">
        <v>7412</v>
      </c>
      <c r="L938" s="2" t="s">
        <v>3150</v>
      </c>
      <c r="M938" s="2" t="s">
        <v>7411</v>
      </c>
      <c r="N938" s="2" t="s">
        <v>7413</v>
      </c>
      <c r="O938" s="2" t="s">
        <v>7414</v>
      </c>
      <c r="P938" s="2" t="s">
        <v>37</v>
      </c>
      <c r="Q938" s="4" t="n">
        <v>4953</v>
      </c>
      <c r="R938" s="2" t="s">
        <v>3154</v>
      </c>
      <c r="S938" s="2" t="s">
        <v>39</v>
      </c>
      <c r="T938" s="2" t="s">
        <v>40</v>
      </c>
      <c r="U938" s="2" t="s">
        <v>7415</v>
      </c>
      <c r="V938" s="2"/>
      <c r="W938" s="2" t="s">
        <v>7416</v>
      </c>
      <c r="X938" s="2" t="s">
        <v>46</v>
      </c>
      <c r="Y938" s="2" t="s">
        <v>37</v>
      </c>
      <c r="Z938" s="2" t="s">
        <v>362</v>
      </c>
      <c r="AA938" s="2"/>
      <c r="AB938" s="2" t="s">
        <v>7417</v>
      </c>
      <c r="AC938" s="2" t="s">
        <v>7418</v>
      </c>
      <c r="AD938" s="2" t="s">
        <v>46</v>
      </c>
    </row>
    <row r="939" customFormat="false" ht="15.7" hidden="false" customHeight="true" outlineLevel="0" collapsed="false">
      <c r="A939" s="2"/>
      <c r="B939" s="3" t="n">
        <f aca="false">DATE(2008,1,14)</f>
        <v>0</v>
      </c>
      <c r="C939" s="3" t="n">
        <v>39461</v>
      </c>
      <c r="D939" s="2" t="s">
        <v>7419</v>
      </c>
      <c r="F939" s="2" t="s">
        <v>7420</v>
      </c>
      <c r="G939" s="2" t="s">
        <v>7421</v>
      </c>
      <c r="H939" s="2" t="s">
        <v>7422</v>
      </c>
      <c r="I939" s="2" t="s">
        <v>330</v>
      </c>
      <c r="J939" s="2" t="s">
        <v>4616</v>
      </c>
      <c r="K939" s="2" t="s">
        <v>7423</v>
      </c>
      <c r="L939" s="2" t="s">
        <v>330</v>
      </c>
      <c r="M939" s="2" t="s">
        <v>7422</v>
      </c>
      <c r="N939" s="2" t="s">
        <v>7424</v>
      </c>
      <c r="O939" s="2"/>
      <c r="P939" s="2" t="s">
        <v>37</v>
      </c>
      <c r="Q939" s="4" t="n">
        <v>8731</v>
      </c>
      <c r="R939" s="2" t="s">
        <v>136</v>
      </c>
      <c r="S939" s="2" t="s">
        <v>39</v>
      </c>
      <c r="T939" s="2" t="s">
        <v>40</v>
      </c>
      <c r="U939" s="2" t="s">
        <v>7425</v>
      </c>
      <c r="V939" s="2"/>
      <c r="W939" s="2" t="s">
        <v>42</v>
      </c>
      <c r="X939" s="2" t="s">
        <v>43</v>
      </c>
      <c r="Y939" s="2" t="s">
        <v>37</v>
      </c>
      <c r="Z939" s="2" t="s">
        <v>44</v>
      </c>
      <c r="AA939" s="2"/>
      <c r="AB939" s="2"/>
      <c r="AC939" s="2" t="s">
        <v>7426</v>
      </c>
      <c r="AD939" s="2" t="s">
        <v>46</v>
      </c>
    </row>
    <row r="940" customFormat="false" ht="15.7" hidden="false" customHeight="true" outlineLevel="0" collapsed="false">
      <c r="A940" s="2"/>
      <c r="B940" s="3" t="n">
        <f aca="false">DATE(2008,1,15)</f>
        <v>0</v>
      </c>
      <c r="C940" s="3" t="n">
        <v>39462</v>
      </c>
      <c r="D940" s="2" t="s">
        <v>7427</v>
      </c>
      <c r="F940" s="2" t="s">
        <v>7428</v>
      </c>
      <c r="G940" s="2" t="s">
        <v>7429</v>
      </c>
      <c r="H940" s="2" t="s">
        <v>3230</v>
      </c>
      <c r="I940" s="2" t="s">
        <v>154</v>
      </c>
      <c r="J940" s="2" t="s">
        <v>514</v>
      </c>
      <c r="K940" s="2" t="s">
        <v>7430</v>
      </c>
      <c r="L940" s="2" t="s">
        <v>3336</v>
      </c>
      <c r="M940" s="2" t="s">
        <v>7431</v>
      </c>
      <c r="N940" s="2" t="s">
        <v>7432</v>
      </c>
      <c r="O940" s="2"/>
      <c r="P940" s="2" t="s">
        <v>37</v>
      </c>
      <c r="Q940" s="4" t="n">
        <v>8731</v>
      </c>
      <c r="R940" s="2" t="s">
        <v>136</v>
      </c>
      <c r="S940" s="2" t="s">
        <v>39</v>
      </c>
      <c r="T940" s="2" t="s">
        <v>40</v>
      </c>
      <c r="U940" s="2" t="s">
        <v>7433</v>
      </c>
      <c r="V940" s="2"/>
      <c r="W940" s="2" t="s">
        <v>138</v>
      </c>
      <c r="X940" s="2" t="s">
        <v>43</v>
      </c>
      <c r="Y940" s="2" t="s">
        <v>37</v>
      </c>
      <c r="Z940" s="2" t="s">
        <v>44</v>
      </c>
      <c r="AA940" s="2"/>
      <c r="AB940" s="2"/>
      <c r="AC940" s="2" t="s">
        <v>7434</v>
      </c>
      <c r="AD940" s="2" t="s">
        <v>46</v>
      </c>
    </row>
    <row r="941" customFormat="false" ht="15.7" hidden="false" customHeight="true" outlineLevel="0" collapsed="false">
      <c r="A941" s="2"/>
      <c r="B941" s="3" t="n">
        <f aca="false">DATE(2008,1,15)</f>
        <v>0</v>
      </c>
      <c r="C941" s="3" t="n">
        <v>39462</v>
      </c>
      <c r="D941" s="2" t="s">
        <v>7435</v>
      </c>
      <c r="F941" s="2" t="s">
        <v>7436</v>
      </c>
      <c r="G941" s="2" t="s">
        <v>7437</v>
      </c>
      <c r="H941" s="2" t="s">
        <v>541</v>
      </c>
      <c r="I941" s="2" t="s">
        <v>568</v>
      </c>
      <c r="J941" s="2" t="s">
        <v>65</v>
      </c>
      <c r="K941" s="2" t="s">
        <v>7438</v>
      </c>
      <c r="L941" s="2" t="s">
        <v>568</v>
      </c>
      <c r="M941" s="2" t="s">
        <v>1943</v>
      </c>
      <c r="N941" s="2" t="s">
        <v>7439</v>
      </c>
      <c r="O941" s="2"/>
      <c r="P941" s="2" t="s">
        <v>37</v>
      </c>
      <c r="Q941" s="4" t="n">
        <v>5047</v>
      </c>
      <c r="R941" s="2" t="s">
        <v>136</v>
      </c>
      <c r="S941" s="2" t="s">
        <v>39</v>
      </c>
      <c r="T941" s="2" t="s">
        <v>40</v>
      </c>
      <c r="U941" s="2" t="s">
        <v>7440</v>
      </c>
      <c r="V941" s="2"/>
      <c r="W941" s="2" t="s">
        <v>3244</v>
      </c>
      <c r="X941" s="2" t="s">
        <v>43</v>
      </c>
      <c r="Y941" s="2" t="s">
        <v>37</v>
      </c>
      <c r="Z941" s="2" t="s">
        <v>44</v>
      </c>
      <c r="AA941" s="2"/>
      <c r="AB941" s="2"/>
      <c r="AC941" s="2" t="s">
        <v>7441</v>
      </c>
      <c r="AD941" s="2" t="s">
        <v>46</v>
      </c>
    </row>
    <row r="942" customFormat="false" ht="15.7" hidden="false" customHeight="true" outlineLevel="0" collapsed="false">
      <c r="A942" s="2"/>
      <c r="B942" s="3" t="n">
        <f aca="false">DATE(2008,1,16)</f>
        <v>0</v>
      </c>
      <c r="C942" s="3" t="n">
        <v>39463</v>
      </c>
      <c r="D942" s="2" t="s">
        <v>7442</v>
      </c>
      <c r="F942" s="2" t="s">
        <v>7443</v>
      </c>
      <c r="G942" s="2" t="s">
        <v>7444</v>
      </c>
      <c r="H942" s="2" t="s">
        <v>1473</v>
      </c>
      <c r="I942" s="2" t="s">
        <v>7445</v>
      </c>
      <c r="J942" s="2" t="s">
        <v>35</v>
      </c>
      <c r="K942" s="2" t="s">
        <v>7446</v>
      </c>
      <c r="L942" s="2" t="s">
        <v>7445</v>
      </c>
      <c r="M942" s="2" t="s">
        <v>7447</v>
      </c>
      <c r="N942" s="2" t="s">
        <v>7448</v>
      </c>
      <c r="O942" s="2"/>
      <c r="P942" s="2" t="s">
        <v>37</v>
      </c>
      <c r="Q942" s="4" t="n">
        <v>8731</v>
      </c>
      <c r="R942" s="2" t="s">
        <v>38</v>
      </c>
      <c r="S942" s="2" t="s">
        <v>39</v>
      </c>
      <c r="T942" s="2" t="s">
        <v>40</v>
      </c>
      <c r="U942" s="2" t="s">
        <v>7449</v>
      </c>
      <c r="V942" s="2"/>
      <c r="W942" s="2" t="s">
        <v>42</v>
      </c>
      <c r="X942" s="2" t="s">
        <v>43</v>
      </c>
      <c r="Y942" s="2" t="s">
        <v>37</v>
      </c>
      <c r="Z942" s="2" t="s">
        <v>44</v>
      </c>
      <c r="AA942" s="2"/>
      <c r="AB942" s="2"/>
      <c r="AC942" s="2" t="s">
        <v>7450</v>
      </c>
      <c r="AD942" s="2" t="s">
        <v>46</v>
      </c>
    </row>
    <row r="943" customFormat="false" ht="15.7" hidden="false" customHeight="true" outlineLevel="0" collapsed="false">
      <c r="A943" s="2"/>
      <c r="B943" s="3" t="n">
        <f aca="false">DATE(2008,1,17)</f>
        <v>0</v>
      </c>
      <c r="C943" s="3" t="n">
        <v>39464</v>
      </c>
      <c r="D943" s="2" t="s">
        <v>7451</v>
      </c>
      <c r="F943" s="2" t="s">
        <v>7452</v>
      </c>
      <c r="G943" s="2" t="s">
        <v>7453</v>
      </c>
      <c r="H943" s="2" t="s">
        <v>7454</v>
      </c>
      <c r="I943" s="2" t="s">
        <v>180</v>
      </c>
      <c r="J943" s="2" t="s">
        <v>1891</v>
      </c>
      <c r="K943" s="2" t="s">
        <v>7455</v>
      </c>
      <c r="L943" s="2" t="s">
        <v>180</v>
      </c>
      <c r="M943" s="2" t="s">
        <v>734</v>
      </c>
      <c r="N943" s="2" t="s">
        <v>7456</v>
      </c>
      <c r="O943" s="2"/>
      <c r="P943" s="2" t="s">
        <v>37</v>
      </c>
      <c r="Q943" s="4" t="n">
        <v>8731</v>
      </c>
      <c r="R943" s="2" t="s">
        <v>136</v>
      </c>
      <c r="S943" s="2" t="s">
        <v>39</v>
      </c>
      <c r="T943" s="2" t="s">
        <v>673</v>
      </c>
      <c r="U943" s="2" t="s">
        <v>7457</v>
      </c>
      <c r="V943" s="2"/>
      <c r="W943" s="2" t="s">
        <v>42</v>
      </c>
      <c r="X943" s="2" t="s">
        <v>43</v>
      </c>
      <c r="Y943" s="2" t="s">
        <v>37</v>
      </c>
      <c r="Z943" s="2" t="s">
        <v>44</v>
      </c>
      <c r="AA943" s="2"/>
      <c r="AB943" s="2"/>
      <c r="AC943" s="2" t="s">
        <v>7458</v>
      </c>
      <c r="AD943" s="2" t="s">
        <v>46</v>
      </c>
    </row>
    <row r="944" customFormat="false" ht="15.7" hidden="false" customHeight="true" outlineLevel="0" collapsed="false">
      <c r="A944" s="2"/>
      <c r="B944" s="3" t="n">
        <f aca="false">DATE(2008,1,21)</f>
        <v>0</v>
      </c>
      <c r="C944" s="3" t="n">
        <v>39468</v>
      </c>
      <c r="D944" s="2" t="s">
        <v>7459</v>
      </c>
      <c r="F944" s="2" t="s">
        <v>7460</v>
      </c>
      <c r="G944" s="2" t="s">
        <v>7461</v>
      </c>
      <c r="H944" s="2" t="s">
        <v>5007</v>
      </c>
      <c r="I944" s="2" t="s">
        <v>51</v>
      </c>
      <c r="J944" s="2" t="s">
        <v>7462</v>
      </c>
      <c r="K944" s="2" t="s">
        <v>7463</v>
      </c>
      <c r="L944" s="2" t="s">
        <v>1412</v>
      </c>
      <c r="M944" s="2" t="s">
        <v>5007</v>
      </c>
      <c r="N944" s="2" t="s">
        <v>7464</v>
      </c>
      <c r="O944" s="2"/>
      <c r="P944" s="2" t="s">
        <v>37</v>
      </c>
      <c r="Q944" s="4" t="n">
        <v>8731</v>
      </c>
      <c r="R944" s="2" t="s">
        <v>56</v>
      </c>
      <c r="S944" s="2" t="s">
        <v>92</v>
      </c>
      <c r="T944" s="2" t="s">
        <v>40</v>
      </c>
      <c r="U944" s="2" t="s">
        <v>7465</v>
      </c>
      <c r="V944" s="2"/>
      <c r="W944" s="2" t="s">
        <v>42</v>
      </c>
      <c r="X944" s="2" t="s">
        <v>43</v>
      </c>
      <c r="Y944" s="2" t="s">
        <v>37</v>
      </c>
      <c r="Z944" s="2" t="s">
        <v>44</v>
      </c>
      <c r="AA944" s="2"/>
      <c r="AB944" s="2"/>
      <c r="AC944" s="2" t="s">
        <v>7466</v>
      </c>
      <c r="AD944" s="2" t="s">
        <v>46</v>
      </c>
    </row>
    <row r="945" customFormat="false" ht="15.7" hidden="false" customHeight="true" outlineLevel="0" collapsed="false">
      <c r="A945" s="2"/>
      <c r="B945" s="3" t="n">
        <f aca="false">DATE(2008,1,22)</f>
        <v>0</v>
      </c>
      <c r="C945" s="3" t="n">
        <v>39469</v>
      </c>
      <c r="D945" s="2" t="s">
        <v>7467</v>
      </c>
      <c r="F945" s="2" t="s">
        <v>7468</v>
      </c>
      <c r="G945" s="2" t="s">
        <v>7469</v>
      </c>
      <c r="H945" s="2" t="s">
        <v>1770</v>
      </c>
      <c r="I945" s="2" t="s">
        <v>51</v>
      </c>
      <c r="J945" s="2" t="s">
        <v>3176</v>
      </c>
      <c r="K945" s="2" t="s">
        <v>7470</v>
      </c>
      <c r="L945" s="2" t="s">
        <v>51</v>
      </c>
      <c r="M945" s="2" t="s">
        <v>7471</v>
      </c>
      <c r="N945" s="2" t="s">
        <v>7472</v>
      </c>
      <c r="O945" s="2"/>
      <c r="P945" s="2" t="s">
        <v>37</v>
      </c>
      <c r="Q945" s="4" t="n">
        <v>8731</v>
      </c>
      <c r="R945" s="2" t="s">
        <v>56</v>
      </c>
      <c r="S945" s="2" t="s">
        <v>92</v>
      </c>
      <c r="T945" s="2" t="s">
        <v>40</v>
      </c>
      <c r="U945" s="2" t="s">
        <v>7473</v>
      </c>
      <c r="V945" s="2"/>
      <c r="W945" s="2" t="s">
        <v>42</v>
      </c>
      <c r="X945" s="2" t="s">
        <v>43</v>
      </c>
      <c r="Y945" s="2" t="s">
        <v>37</v>
      </c>
      <c r="Z945" s="2" t="s">
        <v>44</v>
      </c>
      <c r="AA945" s="2"/>
      <c r="AB945" s="2"/>
      <c r="AC945" s="2" t="s">
        <v>7474</v>
      </c>
      <c r="AD945" s="2" t="s">
        <v>46</v>
      </c>
    </row>
    <row r="946" customFormat="false" ht="15.7" hidden="false" customHeight="true" outlineLevel="0" collapsed="false">
      <c r="A946" s="2"/>
      <c r="B946" s="3" t="n">
        <f aca="false">DATE(2008,1,22)</f>
        <v>0</v>
      </c>
      <c r="C946" s="3" t="n">
        <v>39469</v>
      </c>
      <c r="D946" s="2" t="s">
        <v>7475</v>
      </c>
      <c r="F946" s="2" t="s">
        <v>7476</v>
      </c>
      <c r="G946" s="2" t="s">
        <v>7477</v>
      </c>
      <c r="H946" s="2" t="s">
        <v>305</v>
      </c>
      <c r="I946" s="2" t="s">
        <v>296</v>
      </c>
      <c r="J946" s="2" t="s">
        <v>3452</v>
      </c>
      <c r="K946" s="2" t="s">
        <v>7475</v>
      </c>
      <c r="L946" s="2" t="s">
        <v>296</v>
      </c>
      <c r="M946" s="2" t="s">
        <v>305</v>
      </c>
      <c r="N946" s="2" t="s">
        <v>7478</v>
      </c>
      <c r="O946" s="2"/>
      <c r="P946" s="2" t="s">
        <v>37</v>
      </c>
      <c r="Q946" s="4" t="n">
        <v>2834</v>
      </c>
      <c r="R946" s="2" t="s">
        <v>56</v>
      </c>
      <c r="S946" s="2" t="s">
        <v>771</v>
      </c>
      <c r="T946" s="2" t="s">
        <v>673</v>
      </c>
      <c r="U946" s="2" t="s">
        <v>7479</v>
      </c>
      <c r="V946" s="2"/>
      <c r="W946" s="2" t="s">
        <v>107</v>
      </c>
      <c r="X946" s="2" t="s">
        <v>43</v>
      </c>
      <c r="Y946" s="2" t="s">
        <v>37</v>
      </c>
      <c r="Z946" s="2" t="s">
        <v>44</v>
      </c>
      <c r="AA946" s="2"/>
      <c r="AB946" s="2"/>
      <c r="AC946" s="2" t="s">
        <v>7480</v>
      </c>
      <c r="AD946" s="2" t="s">
        <v>46</v>
      </c>
    </row>
    <row r="947" customFormat="false" ht="15.7" hidden="false" customHeight="true" outlineLevel="0" collapsed="false">
      <c r="A947" s="2"/>
      <c r="B947" s="3" t="n">
        <f aca="false">DATE(2008,1,22)</f>
        <v>0</v>
      </c>
      <c r="C947" s="3" t="n">
        <v>39469</v>
      </c>
      <c r="D947" s="2" t="s">
        <v>7481</v>
      </c>
      <c r="F947" s="2" t="s">
        <v>7482</v>
      </c>
      <c r="G947" s="2" t="s">
        <v>7483</v>
      </c>
      <c r="H947" s="2" t="s">
        <v>7484</v>
      </c>
      <c r="I947" s="2" t="s">
        <v>51</v>
      </c>
      <c r="J947" s="2" t="s">
        <v>7485</v>
      </c>
      <c r="K947" s="2" t="s">
        <v>7481</v>
      </c>
      <c r="L947" s="2" t="s">
        <v>51</v>
      </c>
      <c r="M947" s="2" t="s">
        <v>7484</v>
      </c>
      <c r="N947" s="2" t="s">
        <v>7486</v>
      </c>
      <c r="O947" s="2"/>
      <c r="P947" s="2" t="s">
        <v>37</v>
      </c>
      <c r="Q947" s="4" t="n">
        <v>2834</v>
      </c>
      <c r="R947" s="2" t="s">
        <v>56</v>
      </c>
      <c r="S947" s="2" t="s">
        <v>507</v>
      </c>
      <c r="T947" s="2" t="s">
        <v>40</v>
      </c>
      <c r="U947" s="2" t="s">
        <v>7487</v>
      </c>
      <c r="V947" s="2"/>
      <c r="W947" s="2" t="s">
        <v>1801</v>
      </c>
      <c r="X947" s="2" t="s">
        <v>43</v>
      </c>
      <c r="Y947" s="2" t="s">
        <v>37</v>
      </c>
      <c r="Z947" s="2" t="s">
        <v>44</v>
      </c>
      <c r="AA947" s="2"/>
      <c r="AB947" s="2"/>
      <c r="AC947" s="2" t="s">
        <v>7488</v>
      </c>
      <c r="AD947" s="2" t="s">
        <v>46</v>
      </c>
    </row>
    <row r="948" customFormat="false" ht="15.7" hidden="false" customHeight="true" outlineLevel="0" collapsed="false">
      <c r="A948" s="2"/>
      <c r="B948" s="3" t="n">
        <f aca="false">DATE(2008,1,22)</f>
        <v>0</v>
      </c>
      <c r="C948" s="3" t="n">
        <v>39469</v>
      </c>
      <c r="D948" s="2" t="s">
        <v>7489</v>
      </c>
      <c r="F948" s="2" t="s">
        <v>7490</v>
      </c>
      <c r="G948" s="2" t="s">
        <v>7491</v>
      </c>
      <c r="H948" s="2" t="s">
        <v>7492</v>
      </c>
      <c r="I948" s="2" t="s">
        <v>7493</v>
      </c>
      <c r="J948" s="2" t="s">
        <v>7494</v>
      </c>
      <c r="K948" s="2" t="s">
        <v>7495</v>
      </c>
      <c r="L948" s="2" t="s">
        <v>7493</v>
      </c>
      <c r="M948" s="2" t="s">
        <v>7496</v>
      </c>
      <c r="N948" s="2" t="s">
        <v>7497</v>
      </c>
      <c r="O948" s="2"/>
      <c r="P948" s="2" t="s">
        <v>37</v>
      </c>
      <c r="Q948" s="4" t="n">
        <v>8731</v>
      </c>
      <c r="R948" s="2" t="s">
        <v>5774</v>
      </c>
      <c r="S948" s="2" t="s">
        <v>39</v>
      </c>
      <c r="T948" s="2" t="s">
        <v>40</v>
      </c>
      <c r="U948" s="2" t="s">
        <v>7498</v>
      </c>
      <c r="V948" s="2"/>
      <c r="W948" s="2" t="s">
        <v>42</v>
      </c>
      <c r="X948" s="2" t="s">
        <v>46</v>
      </c>
      <c r="Y948" s="2" t="s">
        <v>37</v>
      </c>
      <c r="Z948" s="2" t="s">
        <v>452</v>
      </c>
      <c r="AA948" s="2"/>
      <c r="AB948" s="2"/>
      <c r="AC948" s="2" t="s">
        <v>7499</v>
      </c>
      <c r="AD948" s="2" t="s">
        <v>46</v>
      </c>
    </row>
    <row r="949" customFormat="false" ht="15.7" hidden="false" customHeight="true" outlineLevel="0" collapsed="false">
      <c r="A949" s="2"/>
      <c r="B949" s="3" t="n">
        <f aca="false">DATE(2008,1,23)</f>
        <v>0</v>
      </c>
      <c r="C949" s="3" t="n">
        <v>39470</v>
      </c>
      <c r="D949" s="2" t="s">
        <v>7500</v>
      </c>
      <c r="F949" s="2" t="s">
        <v>7501</v>
      </c>
      <c r="G949" s="2" t="s">
        <v>7502</v>
      </c>
      <c r="H949" s="2" t="s">
        <v>7503</v>
      </c>
      <c r="I949" s="2" t="s">
        <v>51</v>
      </c>
      <c r="J949" s="2" t="s">
        <v>7504</v>
      </c>
      <c r="K949" s="2" t="s">
        <v>7500</v>
      </c>
      <c r="L949" s="2" t="s">
        <v>51</v>
      </c>
      <c r="M949" s="2" t="s">
        <v>7503</v>
      </c>
      <c r="N949" s="2" t="s">
        <v>7505</v>
      </c>
      <c r="O949" s="2"/>
      <c r="P949" s="2" t="s">
        <v>37</v>
      </c>
      <c r="Q949" s="4" t="n">
        <v>8731</v>
      </c>
      <c r="R949" s="2" t="s">
        <v>56</v>
      </c>
      <c r="S949" s="2" t="s">
        <v>92</v>
      </c>
      <c r="T949" s="2" t="s">
        <v>40</v>
      </c>
      <c r="U949" s="2" t="s">
        <v>7506</v>
      </c>
      <c r="V949" s="2"/>
      <c r="W949" s="2" t="s">
        <v>42</v>
      </c>
      <c r="X949" s="2" t="s">
        <v>43</v>
      </c>
      <c r="Y949" s="2" t="s">
        <v>37</v>
      </c>
      <c r="Z949" s="2" t="s">
        <v>44</v>
      </c>
      <c r="AA949" s="2"/>
      <c r="AB949" s="2"/>
      <c r="AC949" s="2" t="s">
        <v>7507</v>
      </c>
      <c r="AD949" s="2" t="s">
        <v>46</v>
      </c>
    </row>
    <row r="950" customFormat="false" ht="15.7" hidden="false" customHeight="true" outlineLevel="0" collapsed="false">
      <c r="A950" s="2"/>
      <c r="B950" s="3" t="n">
        <f aca="false">DATE(2008,1,24)</f>
        <v>0</v>
      </c>
      <c r="C950" s="3" t="n">
        <v>39471</v>
      </c>
      <c r="D950" s="2" t="s">
        <v>7508</v>
      </c>
      <c r="F950" s="2" t="s">
        <v>7509</v>
      </c>
      <c r="G950" s="2" t="s">
        <v>7510</v>
      </c>
      <c r="H950" s="2" t="s">
        <v>7511</v>
      </c>
      <c r="I950" s="2" t="s">
        <v>3821</v>
      </c>
      <c r="J950" s="2" t="s">
        <v>35</v>
      </c>
      <c r="K950" s="2" t="s">
        <v>7512</v>
      </c>
      <c r="L950" s="2" t="s">
        <v>7513</v>
      </c>
      <c r="M950" s="2" t="s">
        <v>7514</v>
      </c>
      <c r="N950" s="2" t="s">
        <v>7515</v>
      </c>
      <c r="O950" s="2"/>
      <c r="P950" s="2" t="s">
        <v>37</v>
      </c>
      <c r="Q950" s="4" t="n">
        <v>8731</v>
      </c>
      <c r="R950" s="2" t="s">
        <v>136</v>
      </c>
      <c r="S950" s="2" t="s">
        <v>39</v>
      </c>
      <c r="T950" s="2" t="s">
        <v>40</v>
      </c>
      <c r="U950" s="2" t="s">
        <v>7516</v>
      </c>
      <c r="V950" s="2"/>
      <c r="W950" s="2" t="s">
        <v>42</v>
      </c>
      <c r="X950" s="2" t="s">
        <v>43</v>
      </c>
      <c r="Y950" s="2" t="s">
        <v>37</v>
      </c>
      <c r="Z950" s="2" t="s">
        <v>44</v>
      </c>
      <c r="AA950" s="2"/>
      <c r="AB950" s="2"/>
      <c r="AC950" s="2" t="s">
        <v>7517</v>
      </c>
      <c r="AD950" s="2" t="s">
        <v>46</v>
      </c>
    </row>
    <row r="951" customFormat="false" ht="15.7" hidden="false" customHeight="true" outlineLevel="0" collapsed="false">
      <c r="A951" s="2"/>
      <c r="B951" s="3" t="n">
        <f aca="false">DATE(2008,1,24)</f>
        <v>0</v>
      </c>
      <c r="C951" s="3" t="n">
        <v>39471</v>
      </c>
      <c r="D951" s="2" t="s">
        <v>7518</v>
      </c>
      <c r="F951" s="2" t="s">
        <v>7519</v>
      </c>
      <c r="G951" s="2" t="s">
        <v>7520</v>
      </c>
      <c r="H951" s="2" t="s">
        <v>7521</v>
      </c>
      <c r="I951" s="2" t="s">
        <v>5102</v>
      </c>
      <c r="J951" s="2" t="s">
        <v>35</v>
      </c>
      <c r="K951" s="2" t="s">
        <v>7518</v>
      </c>
      <c r="L951" s="2" t="s">
        <v>5102</v>
      </c>
      <c r="M951" s="2" t="s">
        <v>7521</v>
      </c>
      <c r="N951" s="2" t="s">
        <v>7522</v>
      </c>
      <c r="O951" s="2"/>
      <c r="P951" s="2" t="s">
        <v>37</v>
      </c>
      <c r="Q951" s="4" t="n">
        <v>8731</v>
      </c>
      <c r="R951" s="2" t="s">
        <v>70</v>
      </c>
      <c r="S951" s="2" t="s">
        <v>39</v>
      </c>
      <c r="T951" s="2" t="s">
        <v>40</v>
      </c>
      <c r="U951" s="2" t="s">
        <v>7523</v>
      </c>
      <c r="V951" s="2"/>
      <c r="W951" s="2" t="s">
        <v>42</v>
      </c>
      <c r="X951" s="2" t="s">
        <v>43</v>
      </c>
      <c r="Y951" s="2" t="s">
        <v>37</v>
      </c>
      <c r="Z951" s="2" t="s">
        <v>44</v>
      </c>
      <c r="AA951" s="2"/>
      <c r="AB951" s="2"/>
      <c r="AC951" s="2" t="s">
        <v>7524</v>
      </c>
      <c r="AD951" s="2" t="s">
        <v>46</v>
      </c>
    </row>
    <row r="952" customFormat="false" ht="15.7" hidden="false" customHeight="true" outlineLevel="0" collapsed="false">
      <c r="A952" s="2"/>
      <c r="B952" s="3" t="n">
        <f aca="false">DATE(2008,1,24)</f>
        <v>0</v>
      </c>
      <c r="C952" s="3" t="n">
        <v>39471</v>
      </c>
      <c r="D952" s="2" t="s">
        <v>7525</v>
      </c>
      <c r="F952" s="2" t="s">
        <v>7526</v>
      </c>
      <c r="G952" s="2" t="s">
        <v>7527</v>
      </c>
      <c r="H952" s="2" t="s">
        <v>7528</v>
      </c>
      <c r="I952" s="2" t="s">
        <v>3125</v>
      </c>
      <c r="J952" s="2" t="s">
        <v>7101</v>
      </c>
      <c r="K952" s="2" t="s">
        <v>7529</v>
      </c>
      <c r="L952" s="2" t="s">
        <v>7530</v>
      </c>
      <c r="M952" s="2" t="s">
        <v>4926</v>
      </c>
      <c r="N952" s="2" t="s">
        <v>7531</v>
      </c>
      <c r="O952" s="2"/>
      <c r="P952" s="2" t="s">
        <v>37</v>
      </c>
      <c r="Q952" s="4" t="n">
        <v>8731</v>
      </c>
      <c r="R952" s="2" t="s">
        <v>2118</v>
      </c>
      <c r="S952" s="2" t="s">
        <v>39</v>
      </c>
      <c r="T952" s="2" t="s">
        <v>40</v>
      </c>
      <c r="U952" s="2" t="s">
        <v>7532</v>
      </c>
      <c r="V952" s="2"/>
      <c r="W952" s="2" t="s">
        <v>42</v>
      </c>
      <c r="X952" s="2" t="s">
        <v>43</v>
      </c>
      <c r="Y952" s="2" t="s">
        <v>37</v>
      </c>
      <c r="Z952" s="2" t="s">
        <v>44</v>
      </c>
      <c r="AA952" s="2"/>
      <c r="AB952" s="2"/>
      <c r="AC952" s="2" t="s">
        <v>7533</v>
      </c>
      <c r="AD952" s="2" t="s">
        <v>46</v>
      </c>
    </row>
    <row r="953" customFormat="false" ht="15.7" hidden="false" customHeight="true" outlineLevel="0" collapsed="false">
      <c r="A953" s="2"/>
      <c r="B953" s="3" t="n">
        <f aca="false">DATE(2008,1,25)</f>
        <v>0</v>
      </c>
      <c r="C953" s="3" t="n">
        <v>39472</v>
      </c>
      <c r="D953" s="2" t="s">
        <v>7534</v>
      </c>
      <c r="F953" s="2" t="s">
        <v>7535</v>
      </c>
      <c r="G953" s="2" t="s">
        <v>7536</v>
      </c>
      <c r="H953" s="2" t="s">
        <v>130</v>
      </c>
      <c r="I953" s="2" t="s">
        <v>4753</v>
      </c>
      <c r="J953" s="2" t="s">
        <v>35</v>
      </c>
      <c r="K953" s="2" t="s">
        <v>7534</v>
      </c>
      <c r="L953" s="2" t="s">
        <v>4753</v>
      </c>
      <c r="M953" s="2" t="s">
        <v>130</v>
      </c>
      <c r="N953" s="2" t="s">
        <v>7537</v>
      </c>
      <c r="O953" s="2"/>
      <c r="P953" s="2" t="s">
        <v>37</v>
      </c>
      <c r="Q953" s="4" t="n">
        <v>8731</v>
      </c>
      <c r="R953" s="2" t="s">
        <v>136</v>
      </c>
      <c r="S953" s="2" t="s">
        <v>39</v>
      </c>
      <c r="T953" s="2" t="s">
        <v>40</v>
      </c>
      <c r="U953" s="2" t="s">
        <v>7538</v>
      </c>
      <c r="V953" s="2"/>
      <c r="W953" s="2" t="s">
        <v>42</v>
      </c>
      <c r="X953" s="2" t="s">
        <v>43</v>
      </c>
      <c r="Y953" s="2" t="s">
        <v>37</v>
      </c>
      <c r="Z953" s="2" t="s">
        <v>44</v>
      </c>
      <c r="AA953" s="2"/>
      <c r="AB953" s="2"/>
      <c r="AC953" s="2" t="s">
        <v>7539</v>
      </c>
      <c r="AD953" s="2" t="s">
        <v>46</v>
      </c>
    </row>
    <row r="954" customFormat="false" ht="15.7" hidden="false" customHeight="true" outlineLevel="0" collapsed="false">
      <c r="A954" s="2"/>
      <c r="B954" s="3" t="n">
        <f aca="false">DATE(2008,1,28)</f>
        <v>0</v>
      </c>
      <c r="C954" s="3" t="n">
        <v>39475</v>
      </c>
      <c r="D954" s="2" t="s">
        <v>7540</v>
      </c>
      <c r="F954" s="2" t="s">
        <v>7541</v>
      </c>
      <c r="G954" s="2" t="s">
        <v>7542</v>
      </c>
      <c r="H954" s="2" t="s">
        <v>7543</v>
      </c>
      <c r="I954" s="2" t="s">
        <v>2466</v>
      </c>
      <c r="J954" s="2" t="s">
        <v>7101</v>
      </c>
      <c r="K954" s="2" t="s">
        <v>7540</v>
      </c>
      <c r="L954" s="2" t="s">
        <v>2466</v>
      </c>
      <c r="M954" s="2" t="s">
        <v>7544</v>
      </c>
      <c r="N954" s="2" t="s">
        <v>7545</v>
      </c>
      <c r="O954" s="2"/>
      <c r="P954" s="2" t="s">
        <v>37</v>
      </c>
      <c r="Q954" s="4" t="n">
        <v>8731</v>
      </c>
      <c r="R954" s="2" t="s">
        <v>136</v>
      </c>
      <c r="S954" s="2" t="s">
        <v>39</v>
      </c>
      <c r="T954" s="2" t="s">
        <v>40</v>
      </c>
      <c r="U954" s="2" t="s">
        <v>7546</v>
      </c>
      <c r="V954" s="2"/>
      <c r="W954" s="2" t="s">
        <v>42</v>
      </c>
      <c r="X954" s="2" t="s">
        <v>43</v>
      </c>
      <c r="Y954" s="2" t="s">
        <v>37</v>
      </c>
      <c r="Z954" s="2" t="s">
        <v>44</v>
      </c>
      <c r="AA954" s="2"/>
      <c r="AB954" s="2"/>
      <c r="AC954" s="2" t="s">
        <v>7547</v>
      </c>
      <c r="AD954" s="2" t="s">
        <v>46</v>
      </c>
    </row>
    <row r="955" customFormat="false" ht="15.7" hidden="false" customHeight="true" outlineLevel="0" collapsed="false">
      <c r="A955" s="2"/>
      <c r="B955" s="3" t="n">
        <f aca="false">DATE(2008,1,28)</f>
        <v>0</v>
      </c>
      <c r="C955" s="3" t="n">
        <v>39475</v>
      </c>
      <c r="D955" s="2" t="s">
        <v>7548</v>
      </c>
      <c r="F955" s="2" t="s">
        <v>7549</v>
      </c>
      <c r="G955" s="2" t="s">
        <v>7550</v>
      </c>
      <c r="H955" s="2" t="s">
        <v>387</v>
      </c>
      <c r="I955" s="2" t="s">
        <v>51</v>
      </c>
      <c r="J955" s="2" t="s">
        <v>3258</v>
      </c>
      <c r="K955" s="2" t="s">
        <v>7551</v>
      </c>
      <c r="L955" s="2" t="s">
        <v>51</v>
      </c>
      <c r="M955" s="2" t="s">
        <v>2779</v>
      </c>
      <c r="N955" s="2" t="s">
        <v>7552</v>
      </c>
      <c r="O955" s="2"/>
      <c r="P955" s="2" t="s">
        <v>79</v>
      </c>
      <c r="Q955" s="4" t="n">
        <v>6794</v>
      </c>
      <c r="R955" s="2" t="s">
        <v>56</v>
      </c>
      <c r="S955" s="2" t="s">
        <v>7553</v>
      </c>
      <c r="T955" s="2" t="s">
        <v>122</v>
      </c>
      <c r="U955" s="2" t="s">
        <v>7554</v>
      </c>
      <c r="V955" s="2"/>
      <c r="W955" s="2" t="s">
        <v>7555</v>
      </c>
      <c r="X955" s="2" t="s">
        <v>43</v>
      </c>
      <c r="Y955" s="2" t="s">
        <v>37</v>
      </c>
      <c r="Z955" s="2" t="s">
        <v>44</v>
      </c>
      <c r="AA955" s="2"/>
      <c r="AB955" s="2"/>
      <c r="AC955" s="2" t="s">
        <v>7556</v>
      </c>
      <c r="AD955" s="2" t="s">
        <v>46</v>
      </c>
    </row>
    <row r="956" customFormat="false" ht="15.7" hidden="false" customHeight="true" outlineLevel="0" collapsed="false">
      <c r="A956" s="2"/>
      <c r="B956" s="3" t="n">
        <f aca="false">DATE(2008,1,30)</f>
        <v>0</v>
      </c>
      <c r="C956" s="3" t="n">
        <v>39477</v>
      </c>
      <c r="D956" s="2" t="s">
        <v>7557</v>
      </c>
      <c r="F956" s="2" t="s">
        <v>7558</v>
      </c>
      <c r="G956" s="2" t="s">
        <v>7559</v>
      </c>
      <c r="H956" s="2" t="s">
        <v>523</v>
      </c>
      <c r="I956" s="2" t="s">
        <v>7560</v>
      </c>
      <c r="J956" s="2" t="s">
        <v>35</v>
      </c>
      <c r="K956" s="2" t="s">
        <v>7557</v>
      </c>
      <c r="L956" s="2" t="s">
        <v>7560</v>
      </c>
      <c r="M956" s="2" t="s">
        <v>523</v>
      </c>
      <c r="N956" s="2" t="s">
        <v>7561</v>
      </c>
      <c r="O956" s="2"/>
      <c r="P956" s="2" t="s">
        <v>37</v>
      </c>
      <c r="Q956" s="4" t="n">
        <v>8731</v>
      </c>
      <c r="R956" s="2" t="s">
        <v>136</v>
      </c>
      <c r="S956" s="2" t="s">
        <v>39</v>
      </c>
      <c r="T956" s="2" t="s">
        <v>40</v>
      </c>
      <c r="U956" s="2" t="s">
        <v>7562</v>
      </c>
      <c r="V956" s="2"/>
      <c r="W956" s="2" t="s">
        <v>42</v>
      </c>
      <c r="X956" s="2" t="s">
        <v>43</v>
      </c>
      <c r="Y956" s="2" t="s">
        <v>37</v>
      </c>
      <c r="Z956" s="2" t="s">
        <v>44</v>
      </c>
      <c r="AA956" s="2"/>
      <c r="AB956" s="2"/>
      <c r="AC956" s="2" t="s">
        <v>7563</v>
      </c>
      <c r="AD956" s="2" t="s">
        <v>46</v>
      </c>
    </row>
    <row r="957" customFormat="false" ht="15.7" hidden="false" customHeight="true" outlineLevel="0" collapsed="false">
      <c r="A957" s="2"/>
      <c r="B957" s="3" t="n">
        <f aca="false">DATE(2008,1,30)</f>
        <v>0</v>
      </c>
      <c r="C957" s="3" t="n">
        <v>39477</v>
      </c>
      <c r="D957" s="2" t="s">
        <v>7564</v>
      </c>
      <c r="F957" s="2" t="s">
        <v>7565</v>
      </c>
      <c r="G957" s="2" t="s">
        <v>7566</v>
      </c>
      <c r="H957" s="2" t="s">
        <v>7567</v>
      </c>
      <c r="I957" s="2" t="s">
        <v>51</v>
      </c>
      <c r="J957" s="2" t="s">
        <v>7568</v>
      </c>
      <c r="K957" s="2" t="s">
        <v>7569</v>
      </c>
      <c r="L957" s="2" t="s">
        <v>51</v>
      </c>
      <c r="M957" s="2" t="s">
        <v>5164</v>
      </c>
      <c r="N957" s="2" t="s">
        <v>7570</v>
      </c>
      <c r="O957" s="2"/>
      <c r="P957" s="2" t="s">
        <v>37</v>
      </c>
      <c r="Q957" s="4" t="n">
        <v>8731</v>
      </c>
      <c r="R957" s="2" t="s">
        <v>56</v>
      </c>
      <c r="S957" s="2" t="s">
        <v>2265</v>
      </c>
      <c r="T957" s="2" t="s">
        <v>40</v>
      </c>
      <c r="U957" s="2" t="s">
        <v>7571</v>
      </c>
      <c r="V957" s="2"/>
      <c r="W957" s="2" t="s">
        <v>42</v>
      </c>
      <c r="X957" s="2" t="s">
        <v>43</v>
      </c>
      <c r="Y957" s="2" t="s">
        <v>37</v>
      </c>
      <c r="Z957" s="2" t="s">
        <v>44</v>
      </c>
      <c r="AA957" s="2"/>
      <c r="AB957" s="2"/>
      <c r="AC957" s="2" t="s">
        <v>7572</v>
      </c>
      <c r="AD957" s="2" t="s">
        <v>46</v>
      </c>
    </row>
    <row r="958" customFormat="false" ht="15.7" hidden="false" customHeight="true" outlineLevel="0" collapsed="false">
      <c r="A958" s="2"/>
      <c r="B958" s="3" t="n">
        <f aca="false">DATE(2008,1,30)</f>
        <v>0</v>
      </c>
      <c r="C958" s="3" t="n">
        <v>39477</v>
      </c>
      <c r="D958" s="2" t="s">
        <v>7573</v>
      </c>
      <c r="F958" s="2" t="s">
        <v>7574</v>
      </c>
      <c r="G958" s="2" t="s">
        <v>7575</v>
      </c>
      <c r="H958" s="2" t="s">
        <v>541</v>
      </c>
      <c r="I958" s="2" t="s">
        <v>7576</v>
      </c>
      <c r="J958" s="2" t="s">
        <v>35</v>
      </c>
      <c r="K958" s="2" t="s">
        <v>7577</v>
      </c>
      <c r="L958" s="2" t="s">
        <v>7576</v>
      </c>
      <c r="M958" s="2" t="s">
        <v>3313</v>
      </c>
      <c r="N958" s="2" t="s">
        <v>7578</v>
      </c>
      <c r="O958" s="2"/>
      <c r="P958" s="2" t="s">
        <v>37</v>
      </c>
      <c r="Q958" s="4" t="n">
        <v>2835</v>
      </c>
      <c r="R958" s="2" t="s">
        <v>402</v>
      </c>
      <c r="S958" s="2" t="s">
        <v>39</v>
      </c>
      <c r="T958" s="2" t="s">
        <v>403</v>
      </c>
      <c r="U958" s="2" t="s">
        <v>7579</v>
      </c>
      <c r="V958" s="2"/>
      <c r="W958" s="2" t="s">
        <v>755</v>
      </c>
      <c r="X958" s="2" t="s">
        <v>46</v>
      </c>
      <c r="Y958" s="2" t="s">
        <v>37</v>
      </c>
      <c r="Z958" s="2" t="s">
        <v>2732</v>
      </c>
      <c r="AA958" s="2"/>
      <c r="AB958" s="2"/>
      <c r="AC958" s="2" t="s">
        <v>7580</v>
      </c>
      <c r="AD958" s="2" t="s">
        <v>46</v>
      </c>
    </row>
    <row r="959" customFormat="false" ht="15.7" hidden="false" customHeight="true" outlineLevel="0" collapsed="false">
      <c r="A959" s="2"/>
      <c r="B959" s="3" t="n">
        <f aca="false">DATE(2008,1,30)</f>
        <v>0</v>
      </c>
      <c r="C959" s="3" t="n">
        <v>39477</v>
      </c>
      <c r="D959" s="2" t="s">
        <v>7581</v>
      </c>
      <c r="F959" s="2" t="s">
        <v>7582</v>
      </c>
      <c r="G959" s="2" t="s">
        <v>7583</v>
      </c>
      <c r="H959" s="2" t="s">
        <v>4124</v>
      </c>
      <c r="I959" s="2" t="s">
        <v>34</v>
      </c>
      <c r="J959" s="2" t="s">
        <v>35</v>
      </c>
      <c r="K959" s="2" t="s">
        <v>7581</v>
      </c>
      <c r="L959" s="2" t="s">
        <v>34</v>
      </c>
      <c r="M959" s="2" t="s">
        <v>4124</v>
      </c>
      <c r="N959" s="2" t="s">
        <v>7584</v>
      </c>
      <c r="O959" s="2"/>
      <c r="P959" s="2" t="s">
        <v>37</v>
      </c>
      <c r="Q959" s="4" t="n">
        <v>3651</v>
      </c>
      <c r="R959" s="2" t="s">
        <v>38</v>
      </c>
      <c r="S959" s="2" t="s">
        <v>39</v>
      </c>
      <c r="T959" s="2" t="s">
        <v>40</v>
      </c>
      <c r="U959" s="2" t="s">
        <v>7585</v>
      </c>
      <c r="V959" s="2"/>
      <c r="W959" s="2" t="s">
        <v>107</v>
      </c>
      <c r="X959" s="2" t="s">
        <v>43</v>
      </c>
      <c r="Y959" s="2" t="s">
        <v>37</v>
      </c>
      <c r="Z959" s="2" t="s">
        <v>44</v>
      </c>
      <c r="AA959" s="2"/>
      <c r="AB959" s="2"/>
      <c r="AC959" s="2" t="s">
        <v>7586</v>
      </c>
      <c r="AD959" s="2" t="s">
        <v>46</v>
      </c>
    </row>
    <row r="960" customFormat="false" ht="15.7" hidden="false" customHeight="true" outlineLevel="0" collapsed="false">
      <c r="A960" s="2"/>
      <c r="B960" s="3" t="n">
        <f aca="false">DATE(2008,1,31)</f>
        <v>0</v>
      </c>
      <c r="C960" s="3" t="n">
        <v>39478</v>
      </c>
      <c r="D960" s="2" t="s">
        <v>7587</v>
      </c>
      <c r="F960" s="2" t="s">
        <v>6609</v>
      </c>
      <c r="G960" s="2" t="s">
        <v>7588</v>
      </c>
      <c r="H960" s="2" t="s">
        <v>1101</v>
      </c>
      <c r="I960" s="2" t="s">
        <v>388</v>
      </c>
      <c r="J960" s="2" t="s">
        <v>625</v>
      </c>
      <c r="K960" s="2" t="s">
        <v>7589</v>
      </c>
      <c r="L960" s="2" t="s">
        <v>388</v>
      </c>
      <c r="M960" s="2" t="s">
        <v>1020</v>
      </c>
      <c r="N960" s="2" t="s">
        <v>7590</v>
      </c>
      <c r="O960" s="2"/>
      <c r="P960" s="2" t="s">
        <v>37</v>
      </c>
      <c r="Q960" s="4" t="n">
        <v>8731</v>
      </c>
      <c r="R960" s="2" t="s">
        <v>136</v>
      </c>
      <c r="S960" s="2" t="s">
        <v>39</v>
      </c>
      <c r="T960" s="2" t="s">
        <v>40</v>
      </c>
      <c r="U960" s="2" t="s">
        <v>7591</v>
      </c>
      <c r="V960" s="2"/>
      <c r="W960" s="2" t="s">
        <v>42</v>
      </c>
      <c r="X960" s="2" t="s">
        <v>43</v>
      </c>
      <c r="Y960" s="2" t="s">
        <v>37</v>
      </c>
      <c r="Z960" s="2" t="s">
        <v>44</v>
      </c>
      <c r="AA960" s="2"/>
      <c r="AB960" s="2"/>
      <c r="AC960" s="2" t="s">
        <v>7592</v>
      </c>
      <c r="AD960" s="2" t="s">
        <v>46</v>
      </c>
    </row>
    <row r="961" customFormat="false" ht="15.7" hidden="false" customHeight="true" outlineLevel="0" collapsed="false">
      <c r="A961" s="2"/>
      <c r="B961" s="3" t="n">
        <f aca="false">DATE(2008,2,1)</f>
        <v>0</v>
      </c>
      <c r="C961" s="3" t="n">
        <v>39479</v>
      </c>
      <c r="D961" s="2" t="s">
        <v>7593</v>
      </c>
      <c r="F961" s="2" t="s">
        <v>7594</v>
      </c>
      <c r="G961" s="2" t="s">
        <v>7595</v>
      </c>
      <c r="H961" s="2" t="s">
        <v>7596</v>
      </c>
      <c r="I961" s="2" t="s">
        <v>670</v>
      </c>
      <c r="J961" s="2" t="s">
        <v>514</v>
      </c>
      <c r="K961" s="2" t="s">
        <v>7597</v>
      </c>
      <c r="L961" s="2" t="s">
        <v>7576</v>
      </c>
      <c r="M961" s="2" t="s">
        <v>1732</v>
      </c>
      <c r="N961" s="2" t="s">
        <v>7598</v>
      </c>
      <c r="O961" s="2"/>
      <c r="P961" s="2" t="s">
        <v>37</v>
      </c>
      <c r="Q961" s="4" t="n">
        <v>8731</v>
      </c>
      <c r="R961" s="2" t="s">
        <v>136</v>
      </c>
      <c r="S961" s="2" t="s">
        <v>39</v>
      </c>
      <c r="T961" s="2" t="s">
        <v>40</v>
      </c>
      <c r="U961" s="2" t="s">
        <v>7599</v>
      </c>
      <c r="V961" s="2"/>
      <c r="W961" s="2" t="s">
        <v>42</v>
      </c>
      <c r="X961" s="2" t="s">
        <v>43</v>
      </c>
      <c r="Y961" s="2" t="s">
        <v>37</v>
      </c>
      <c r="Z961" s="2" t="s">
        <v>44</v>
      </c>
      <c r="AA961" s="2"/>
      <c r="AB961" s="2"/>
      <c r="AC961" s="2" t="s">
        <v>7600</v>
      </c>
      <c r="AD961" s="2" t="s">
        <v>46</v>
      </c>
    </row>
    <row r="962" customFormat="false" ht="15.7" hidden="false" customHeight="true" outlineLevel="0" collapsed="false">
      <c r="A962" s="2"/>
      <c r="B962" s="3" t="n">
        <f aca="false">DATE(2008,2,1)</f>
        <v>0</v>
      </c>
      <c r="C962" s="3" t="n">
        <v>39479</v>
      </c>
      <c r="D962" s="2" t="s">
        <v>7601</v>
      </c>
      <c r="F962" s="2" t="s">
        <v>1501</v>
      </c>
      <c r="G962" s="2" t="s">
        <v>7602</v>
      </c>
      <c r="H962" s="2" t="s">
        <v>170</v>
      </c>
      <c r="I962" s="2" t="s">
        <v>7603</v>
      </c>
      <c r="J962" s="2" t="s">
        <v>35</v>
      </c>
      <c r="K962" s="2" t="s">
        <v>7601</v>
      </c>
      <c r="L962" s="2" t="s">
        <v>7603</v>
      </c>
      <c r="M962" s="2" t="s">
        <v>170</v>
      </c>
      <c r="N962" s="2" t="s">
        <v>7604</v>
      </c>
      <c r="O962" s="2"/>
      <c r="P962" s="2" t="s">
        <v>37</v>
      </c>
      <c r="Q962" s="4" t="n">
        <v>8731</v>
      </c>
      <c r="R962" s="2" t="s">
        <v>136</v>
      </c>
      <c r="S962" s="2" t="s">
        <v>39</v>
      </c>
      <c r="T962" s="2" t="s">
        <v>40</v>
      </c>
      <c r="U962" s="2" t="s">
        <v>7605</v>
      </c>
      <c r="V962" s="2"/>
      <c r="W962" s="2" t="s">
        <v>42</v>
      </c>
      <c r="X962" s="2" t="s">
        <v>43</v>
      </c>
      <c r="Y962" s="2" t="s">
        <v>37</v>
      </c>
      <c r="Z962" s="2" t="s">
        <v>44</v>
      </c>
      <c r="AA962" s="2"/>
      <c r="AB962" s="2"/>
      <c r="AC962" s="2" t="s">
        <v>7606</v>
      </c>
      <c r="AD962" s="2" t="s">
        <v>46</v>
      </c>
    </row>
    <row r="963" customFormat="false" ht="15.7" hidden="false" customHeight="true" outlineLevel="0" collapsed="false">
      <c r="A963" s="2"/>
      <c r="B963" s="3" t="n">
        <f aca="false">DATE(2008,2,4)</f>
        <v>0</v>
      </c>
      <c r="C963" s="3" t="n">
        <v>39482</v>
      </c>
      <c r="D963" s="2" t="s">
        <v>7607</v>
      </c>
      <c r="F963" s="2" t="s">
        <v>256</v>
      </c>
      <c r="G963" s="2" t="s">
        <v>7608</v>
      </c>
      <c r="H963" s="2" t="s">
        <v>170</v>
      </c>
      <c r="I963" s="2" t="s">
        <v>51</v>
      </c>
      <c r="J963" s="2" t="s">
        <v>7609</v>
      </c>
      <c r="K963" s="2" t="s">
        <v>7607</v>
      </c>
      <c r="L963" s="2" t="s">
        <v>51</v>
      </c>
      <c r="M963" s="2" t="s">
        <v>170</v>
      </c>
      <c r="N963" s="2" t="s">
        <v>7610</v>
      </c>
      <c r="O963" s="2"/>
      <c r="P963" s="2" t="s">
        <v>37</v>
      </c>
      <c r="Q963" s="4" t="n">
        <v>8731</v>
      </c>
      <c r="R963" s="2" t="s">
        <v>56</v>
      </c>
      <c r="S963" s="2" t="s">
        <v>92</v>
      </c>
      <c r="T963" s="2" t="s">
        <v>40</v>
      </c>
      <c r="U963" s="2" t="s">
        <v>7611</v>
      </c>
      <c r="V963" s="2"/>
      <c r="W963" s="2" t="s">
        <v>42</v>
      </c>
      <c r="X963" s="2" t="s">
        <v>43</v>
      </c>
      <c r="Y963" s="2" t="s">
        <v>37</v>
      </c>
      <c r="Z963" s="2" t="s">
        <v>44</v>
      </c>
      <c r="AA963" s="2"/>
      <c r="AB963" s="2"/>
      <c r="AC963" s="2" t="s">
        <v>7612</v>
      </c>
      <c r="AD963" s="2" t="s">
        <v>46</v>
      </c>
    </row>
    <row r="964" customFormat="false" ht="15.7" hidden="false" customHeight="true" outlineLevel="0" collapsed="false">
      <c r="A964" s="2"/>
      <c r="B964" s="3" t="n">
        <f aca="false">DATE(2008,2,4)</f>
        <v>0</v>
      </c>
      <c r="C964" s="3" t="n">
        <v>39482</v>
      </c>
      <c r="D964" s="2" t="s">
        <v>7613</v>
      </c>
      <c r="F964" s="2" t="s">
        <v>7614</v>
      </c>
      <c r="G964" s="2" t="s">
        <v>7615</v>
      </c>
      <c r="H964" s="2" t="s">
        <v>63</v>
      </c>
      <c r="I964" s="2" t="s">
        <v>219</v>
      </c>
      <c r="J964" s="2" t="s">
        <v>65</v>
      </c>
      <c r="K964" s="2" t="s">
        <v>7613</v>
      </c>
      <c r="L964" s="2" t="s">
        <v>219</v>
      </c>
      <c r="M964" s="2" t="s">
        <v>63</v>
      </c>
      <c r="N964" s="2" t="s">
        <v>7616</v>
      </c>
      <c r="O964" s="2"/>
      <c r="P964" s="2" t="s">
        <v>37</v>
      </c>
      <c r="Q964" s="4" t="n">
        <v>2834</v>
      </c>
      <c r="R964" s="2" t="s">
        <v>7617</v>
      </c>
      <c r="S964" s="2" t="s">
        <v>5334</v>
      </c>
      <c r="T964" s="2" t="s">
        <v>40</v>
      </c>
      <c r="U964" s="2" t="s">
        <v>7618</v>
      </c>
      <c r="V964" s="2"/>
      <c r="W964" s="2" t="s">
        <v>1801</v>
      </c>
      <c r="X964" s="2" t="s">
        <v>43</v>
      </c>
      <c r="Y964" s="2" t="s">
        <v>79</v>
      </c>
      <c r="Z964" s="2" t="s">
        <v>44</v>
      </c>
      <c r="AA964" s="2" t="s">
        <v>7619</v>
      </c>
      <c r="AB964" s="2"/>
      <c r="AC964" s="2" t="s">
        <v>7620</v>
      </c>
      <c r="AD964" s="2" t="s">
        <v>46</v>
      </c>
    </row>
    <row r="965" customFormat="false" ht="15.7" hidden="false" customHeight="true" outlineLevel="0" collapsed="false">
      <c r="A965" s="2"/>
      <c r="B965" s="3" t="n">
        <f aca="false">DATE(2008,2,4)</f>
        <v>0</v>
      </c>
      <c r="C965" s="3" t="n">
        <v>39482</v>
      </c>
      <c r="D965" s="2" t="s">
        <v>7621</v>
      </c>
      <c r="F965" s="2" t="s">
        <v>7622</v>
      </c>
      <c r="G965" s="2" t="s">
        <v>7623</v>
      </c>
      <c r="H965" s="2" t="s">
        <v>130</v>
      </c>
      <c r="I965" s="2" t="s">
        <v>330</v>
      </c>
      <c r="J965" s="2" t="s">
        <v>132</v>
      </c>
      <c r="K965" s="2" t="s">
        <v>7621</v>
      </c>
      <c r="L965" s="2" t="s">
        <v>330</v>
      </c>
      <c r="M965" s="2" t="s">
        <v>130</v>
      </c>
      <c r="N965" s="2" t="s">
        <v>7624</v>
      </c>
      <c r="O965" s="2"/>
      <c r="P965" s="2" t="s">
        <v>79</v>
      </c>
      <c r="Q965" s="4" t="n">
        <v>6794</v>
      </c>
      <c r="R965" s="2" t="s">
        <v>136</v>
      </c>
      <c r="S965" s="2" t="s">
        <v>39</v>
      </c>
      <c r="T965" s="2" t="s">
        <v>40</v>
      </c>
      <c r="U965" s="2" t="s">
        <v>7625</v>
      </c>
      <c r="V965" s="2"/>
      <c r="W965" s="2" t="s">
        <v>7626</v>
      </c>
      <c r="X965" s="2" t="s">
        <v>43</v>
      </c>
      <c r="Y965" s="2" t="s">
        <v>37</v>
      </c>
      <c r="Z965" s="2" t="s">
        <v>44</v>
      </c>
      <c r="AA965" s="2" t="s">
        <v>7627</v>
      </c>
      <c r="AB965" s="2"/>
      <c r="AC965" s="2" t="s">
        <v>7628</v>
      </c>
      <c r="AD965" s="2" t="s">
        <v>46</v>
      </c>
    </row>
    <row r="966" customFormat="false" ht="15.7" hidden="false" customHeight="true" outlineLevel="0" collapsed="false">
      <c r="A966" s="2"/>
      <c r="B966" s="3" t="n">
        <f aca="false">DATE(2008,2,6)</f>
        <v>0</v>
      </c>
      <c r="C966" s="3" t="n">
        <v>39484</v>
      </c>
      <c r="D966" s="2" t="s">
        <v>7629</v>
      </c>
      <c r="F966" s="2" t="s">
        <v>7630</v>
      </c>
      <c r="G966" s="2" t="s">
        <v>7631</v>
      </c>
      <c r="H966" s="2" t="s">
        <v>130</v>
      </c>
      <c r="I966" s="2" t="s">
        <v>388</v>
      </c>
      <c r="J966" s="2" t="s">
        <v>1807</v>
      </c>
      <c r="K966" s="2" t="s">
        <v>7629</v>
      </c>
      <c r="L966" s="2" t="s">
        <v>388</v>
      </c>
      <c r="M966" s="2" t="s">
        <v>130</v>
      </c>
      <c r="N966" s="2" t="s">
        <v>7632</v>
      </c>
      <c r="O966" s="2"/>
      <c r="P966" s="2" t="s">
        <v>79</v>
      </c>
      <c r="Q966" s="4" t="n">
        <v>6794</v>
      </c>
      <c r="R966" s="2" t="s">
        <v>136</v>
      </c>
      <c r="S966" s="2" t="s">
        <v>39</v>
      </c>
      <c r="T966" s="2" t="s">
        <v>40</v>
      </c>
      <c r="U966" s="2" t="s">
        <v>7633</v>
      </c>
      <c r="V966" s="2"/>
      <c r="W966" s="2" t="s">
        <v>4844</v>
      </c>
      <c r="X966" s="2" t="s">
        <v>43</v>
      </c>
      <c r="Y966" s="2" t="s">
        <v>37</v>
      </c>
      <c r="Z966" s="2" t="s">
        <v>44</v>
      </c>
      <c r="AA966" s="2"/>
      <c r="AB966" s="2"/>
      <c r="AC966" s="2" t="s">
        <v>7634</v>
      </c>
      <c r="AD966" s="2" t="s">
        <v>46</v>
      </c>
    </row>
    <row r="967" customFormat="false" ht="15.7" hidden="false" customHeight="true" outlineLevel="0" collapsed="false">
      <c r="A967" s="2"/>
      <c r="B967" s="3" t="n">
        <f aca="false">DATE(2008,2,6)</f>
        <v>0</v>
      </c>
      <c r="C967" s="3" t="n">
        <v>39484</v>
      </c>
      <c r="D967" s="2" t="s">
        <v>7635</v>
      </c>
      <c r="F967" s="2" t="s">
        <v>4293</v>
      </c>
      <c r="G967" s="2" t="s">
        <v>7636</v>
      </c>
      <c r="H967" s="2" t="s">
        <v>387</v>
      </c>
      <c r="I967" s="2" t="s">
        <v>51</v>
      </c>
      <c r="J967" s="2" t="s">
        <v>4804</v>
      </c>
      <c r="K967" s="2" t="s">
        <v>7635</v>
      </c>
      <c r="L967" s="2" t="s">
        <v>51</v>
      </c>
      <c r="M967" s="2" t="s">
        <v>387</v>
      </c>
      <c r="N967" s="2" t="s">
        <v>7637</v>
      </c>
      <c r="O967" s="2"/>
      <c r="P967" s="2" t="s">
        <v>37</v>
      </c>
      <c r="Q967" s="4" t="n">
        <v>8731</v>
      </c>
      <c r="R967" s="2" t="s">
        <v>56</v>
      </c>
      <c r="S967" s="2" t="s">
        <v>92</v>
      </c>
      <c r="T967" s="2" t="s">
        <v>40</v>
      </c>
      <c r="U967" s="2" t="s">
        <v>7638</v>
      </c>
      <c r="V967" s="2"/>
      <c r="W967" s="2" t="s">
        <v>42</v>
      </c>
      <c r="X967" s="2" t="s">
        <v>43</v>
      </c>
      <c r="Y967" s="2" t="s">
        <v>37</v>
      </c>
      <c r="Z967" s="2" t="s">
        <v>44</v>
      </c>
      <c r="AA967" s="2"/>
      <c r="AB967" s="2"/>
      <c r="AC967" s="2" t="s">
        <v>7639</v>
      </c>
      <c r="AD967" s="2" t="s">
        <v>46</v>
      </c>
    </row>
    <row r="968" customFormat="false" ht="15.7" hidden="false" customHeight="true" outlineLevel="0" collapsed="false">
      <c r="A968" s="2"/>
      <c r="B968" s="3" t="n">
        <f aca="false">DATE(2008,2,6)</f>
        <v>0</v>
      </c>
      <c r="C968" s="3" t="n">
        <v>39484</v>
      </c>
      <c r="D968" s="2" t="s">
        <v>7640</v>
      </c>
      <c r="F968" s="2" t="s">
        <v>7641</v>
      </c>
      <c r="G968" s="2" t="s">
        <v>7642</v>
      </c>
      <c r="H968" s="2" t="s">
        <v>2857</v>
      </c>
      <c r="I968" s="2" t="s">
        <v>664</v>
      </c>
      <c r="J968" s="2" t="s">
        <v>132</v>
      </c>
      <c r="K968" s="2" t="s">
        <v>7643</v>
      </c>
      <c r="L968" s="2" t="s">
        <v>664</v>
      </c>
      <c r="M968" s="2" t="s">
        <v>7644</v>
      </c>
      <c r="N968" s="2" t="s">
        <v>7645</v>
      </c>
      <c r="O968" s="2"/>
      <c r="P968" s="2" t="s">
        <v>37</v>
      </c>
      <c r="Q968" s="4" t="n">
        <v>8731</v>
      </c>
      <c r="R968" s="2" t="s">
        <v>136</v>
      </c>
      <c r="S968" s="2" t="s">
        <v>39</v>
      </c>
      <c r="T968" s="2" t="s">
        <v>40</v>
      </c>
      <c r="U968" s="2" t="s">
        <v>7646</v>
      </c>
      <c r="V968" s="2"/>
      <c r="W968" s="2" t="s">
        <v>42</v>
      </c>
      <c r="X968" s="2" t="s">
        <v>43</v>
      </c>
      <c r="Y968" s="2" t="s">
        <v>37</v>
      </c>
      <c r="Z968" s="2" t="s">
        <v>44</v>
      </c>
      <c r="AA968" s="2"/>
      <c r="AB968" s="2"/>
      <c r="AC968" s="2" t="s">
        <v>7647</v>
      </c>
      <c r="AD968" s="2" t="s">
        <v>46</v>
      </c>
    </row>
    <row r="969" customFormat="false" ht="15.7" hidden="false" customHeight="true" outlineLevel="0" collapsed="false">
      <c r="A969" s="2"/>
      <c r="B969" s="3" t="n">
        <f aca="false">DATE(2008,2,7)</f>
        <v>0</v>
      </c>
      <c r="C969" s="3" t="n">
        <v>39485</v>
      </c>
      <c r="D969" s="2" t="s">
        <v>7648</v>
      </c>
      <c r="F969" s="2" t="s">
        <v>7649</v>
      </c>
      <c r="G969" s="2" t="s">
        <v>7650</v>
      </c>
      <c r="H969" s="2" t="s">
        <v>63</v>
      </c>
      <c r="I969" s="2" t="s">
        <v>51</v>
      </c>
      <c r="J969" s="2" t="s">
        <v>187</v>
      </c>
      <c r="K969" s="2" t="s">
        <v>7648</v>
      </c>
      <c r="L969" s="2" t="s">
        <v>51</v>
      </c>
      <c r="M969" s="2" t="s">
        <v>63</v>
      </c>
      <c r="N969" s="2" t="s">
        <v>7651</v>
      </c>
      <c r="O969" s="2"/>
      <c r="P969" s="2" t="s">
        <v>37</v>
      </c>
      <c r="Q969" s="4" t="n">
        <v>8731</v>
      </c>
      <c r="R969" s="2" t="s">
        <v>56</v>
      </c>
      <c r="S969" s="2" t="s">
        <v>92</v>
      </c>
      <c r="T969" s="2" t="s">
        <v>40</v>
      </c>
      <c r="U969" s="2" t="s">
        <v>7652</v>
      </c>
      <c r="V969" s="2"/>
      <c r="W969" s="2" t="s">
        <v>42</v>
      </c>
      <c r="X969" s="2" t="s">
        <v>43</v>
      </c>
      <c r="Y969" s="2" t="s">
        <v>37</v>
      </c>
      <c r="Z969" s="2" t="s">
        <v>44</v>
      </c>
      <c r="AA969" s="2"/>
      <c r="AB969" s="2"/>
      <c r="AC969" s="2" t="s">
        <v>7653</v>
      </c>
      <c r="AD969" s="2" t="s">
        <v>46</v>
      </c>
    </row>
    <row r="970" customFormat="false" ht="15.7" hidden="false" customHeight="true" outlineLevel="0" collapsed="false">
      <c r="A970" s="2"/>
      <c r="B970" s="3" t="n">
        <f aca="false">DATE(2008,2,8)</f>
        <v>0</v>
      </c>
      <c r="C970" s="3" t="n">
        <v>39486</v>
      </c>
      <c r="D970" s="2" t="s">
        <v>7654</v>
      </c>
      <c r="F970" s="2" t="s">
        <v>7655</v>
      </c>
      <c r="G970" s="2" t="s">
        <v>7656</v>
      </c>
      <c r="H970" s="2" t="s">
        <v>3954</v>
      </c>
      <c r="I970" s="2" t="s">
        <v>821</v>
      </c>
      <c r="J970" s="2" t="s">
        <v>1983</v>
      </c>
      <c r="K970" s="2" t="s">
        <v>7657</v>
      </c>
      <c r="L970" s="2" t="s">
        <v>1080</v>
      </c>
      <c r="M970" s="2" t="s">
        <v>7658</v>
      </c>
      <c r="N970" s="2" t="s">
        <v>7659</v>
      </c>
      <c r="O970" s="2"/>
      <c r="P970" s="2" t="s">
        <v>37</v>
      </c>
      <c r="Q970" s="4" t="n">
        <v>8733</v>
      </c>
      <c r="R970" s="2" t="s">
        <v>450</v>
      </c>
      <c r="S970" s="2" t="s">
        <v>39</v>
      </c>
      <c r="T970" s="2" t="s">
        <v>403</v>
      </c>
      <c r="U970" s="2" t="s">
        <v>7660</v>
      </c>
      <c r="V970" s="2"/>
      <c r="W970" s="2" t="s">
        <v>42</v>
      </c>
      <c r="X970" s="2" t="s">
        <v>46</v>
      </c>
      <c r="Y970" s="2" t="s">
        <v>37</v>
      </c>
      <c r="Z970" s="2" t="s">
        <v>362</v>
      </c>
      <c r="AA970" s="2"/>
      <c r="AB970" s="2"/>
      <c r="AC970" s="2" t="s">
        <v>7661</v>
      </c>
      <c r="AD970" s="2" t="s">
        <v>46</v>
      </c>
    </row>
    <row r="971" customFormat="false" ht="15.7" hidden="false" customHeight="true" outlineLevel="0" collapsed="false">
      <c r="A971" s="2"/>
      <c r="B971" s="3" t="n">
        <f aca="false">DATE(2008,2,11)</f>
        <v>0</v>
      </c>
      <c r="C971" s="3" t="n">
        <v>39489</v>
      </c>
      <c r="D971" s="2" t="s">
        <v>7662</v>
      </c>
      <c r="F971" s="2" t="s">
        <v>6793</v>
      </c>
      <c r="G971" s="2" t="s">
        <v>7663</v>
      </c>
      <c r="H971" s="2" t="s">
        <v>6008</v>
      </c>
      <c r="I971" s="2" t="s">
        <v>51</v>
      </c>
      <c r="J971" s="2" t="s">
        <v>2263</v>
      </c>
      <c r="K971" s="2" t="s">
        <v>7662</v>
      </c>
      <c r="L971" s="2" t="s">
        <v>51</v>
      </c>
      <c r="M971" s="2" t="s">
        <v>6008</v>
      </c>
      <c r="N971" s="2" t="s">
        <v>7664</v>
      </c>
      <c r="O971" s="2"/>
      <c r="P971" s="2" t="s">
        <v>37</v>
      </c>
      <c r="Q971" s="4" t="n">
        <v>8731</v>
      </c>
      <c r="R971" s="2" t="s">
        <v>56</v>
      </c>
      <c r="S971" s="2" t="s">
        <v>315</v>
      </c>
      <c r="T971" s="2" t="s">
        <v>40</v>
      </c>
      <c r="U971" s="2" t="s">
        <v>7665</v>
      </c>
      <c r="V971" s="2"/>
      <c r="W971" s="2" t="s">
        <v>42</v>
      </c>
      <c r="X971" s="2" t="s">
        <v>43</v>
      </c>
      <c r="Y971" s="2" t="s">
        <v>37</v>
      </c>
      <c r="Z971" s="2" t="s">
        <v>44</v>
      </c>
      <c r="AA971" s="2"/>
      <c r="AB971" s="2"/>
      <c r="AC971" s="2" t="s">
        <v>7666</v>
      </c>
      <c r="AD971" s="2" t="s">
        <v>46</v>
      </c>
    </row>
    <row r="972" customFormat="false" ht="15.7" hidden="false" customHeight="true" outlineLevel="0" collapsed="false">
      <c r="A972" s="2"/>
      <c r="B972" s="3" t="n">
        <f aca="false">DATE(2008,2,11)</f>
        <v>0</v>
      </c>
      <c r="C972" s="3" t="n">
        <v>39489</v>
      </c>
      <c r="D972" s="2" t="s">
        <v>7667</v>
      </c>
      <c r="F972" s="2" t="s">
        <v>7668</v>
      </c>
      <c r="G972" s="2" t="s">
        <v>7669</v>
      </c>
      <c r="H972" s="2" t="s">
        <v>6246</v>
      </c>
      <c r="I972" s="2" t="s">
        <v>7670</v>
      </c>
      <c r="J972" s="2" t="s">
        <v>35</v>
      </c>
      <c r="K972" s="2" t="s">
        <v>7667</v>
      </c>
      <c r="L972" s="2" t="s">
        <v>7670</v>
      </c>
      <c r="M972" s="2" t="s">
        <v>6246</v>
      </c>
      <c r="N972" s="2" t="s">
        <v>7671</v>
      </c>
      <c r="O972" s="2"/>
      <c r="P972" s="2" t="s">
        <v>37</v>
      </c>
      <c r="Q972" s="4" t="n">
        <v>8731</v>
      </c>
      <c r="R972" s="2" t="s">
        <v>136</v>
      </c>
      <c r="S972" s="2" t="s">
        <v>39</v>
      </c>
      <c r="T972" s="2" t="s">
        <v>40</v>
      </c>
      <c r="U972" s="2" t="s">
        <v>7672</v>
      </c>
      <c r="V972" s="2"/>
      <c r="W972" s="2" t="s">
        <v>42</v>
      </c>
      <c r="X972" s="2" t="s">
        <v>43</v>
      </c>
      <c r="Y972" s="2" t="s">
        <v>37</v>
      </c>
      <c r="Z972" s="2" t="s">
        <v>44</v>
      </c>
      <c r="AA972" s="2"/>
      <c r="AB972" s="2"/>
      <c r="AC972" s="2" t="s">
        <v>7673</v>
      </c>
      <c r="AD972" s="2" t="s">
        <v>46</v>
      </c>
    </row>
    <row r="973" customFormat="false" ht="15.7" hidden="false" customHeight="true" outlineLevel="0" collapsed="false">
      <c r="A973" s="2"/>
      <c r="B973" s="3" t="n">
        <f aca="false">DATE(2008,2,11)</f>
        <v>0</v>
      </c>
      <c r="C973" s="3" t="n">
        <v>39489</v>
      </c>
      <c r="D973" s="2" t="s">
        <v>7674</v>
      </c>
      <c r="F973" s="2" t="s">
        <v>7675</v>
      </c>
      <c r="G973" s="2" t="s">
        <v>7676</v>
      </c>
      <c r="H973" s="2" t="s">
        <v>478</v>
      </c>
      <c r="I973" s="2" t="s">
        <v>51</v>
      </c>
      <c r="J973" s="2" t="s">
        <v>1593</v>
      </c>
      <c r="K973" s="2" t="s">
        <v>7674</v>
      </c>
      <c r="L973" s="2" t="s">
        <v>51</v>
      </c>
      <c r="M973" s="2" t="s">
        <v>478</v>
      </c>
      <c r="N973" s="2" t="s">
        <v>7677</v>
      </c>
      <c r="O973" s="2"/>
      <c r="P973" s="2" t="s">
        <v>37</v>
      </c>
      <c r="Q973" s="4" t="n">
        <v>8731</v>
      </c>
      <c r="R973" s="2" t="s">
        <v>136</v>
      </c>
      <c r="S973" s="2" t="s">
        <v>39</v>
      </c>
      <c r="T973" s="2" t="s">
        <v>40</v>
      </c>
      <c r="U973" s="2" t="s">
        <v>7678</v>
      </c>
      <c r="V973" s="2"/>
      <c r="W973" s="2" t="s">
        <v>42</v>
      </c>
      <c r="X973" s="2" t="s">
        <v>43</v>
      </c>
      <c r="Y973" s="2" t="s">
        <v>37</v>
      </c>
      <c r="Z973" s="2" t="s">
        <v>44</v>
      </c>
      <c r="AA973" s="2"/>
      <c r="AB973" s="2"/>
      <c r="AC973" s="2" t="s">
        <v>7679</v>
      </c>
      <c r="AD973" s="2" t="s">
        <v>46</v>
      </c>
    </row>
    <row r="974" customFormat="false" ht="15.7" hidden="false" customHeight="true" outlineLevel="0" collapsed="false">
      <c r="A974" s="2"/>
      <c r="B974" s="3" t="n">
        <f aca="false">DATE(2008,2,12)</f>
        <v>0</v>
      </c>
      <c r="C974" s="3" t="n">
        <v>39490</v>
      </c>
      <c r="D974" s="2" t="s">
        <v>7680</v>
      </c>
      <c r="F974" s="2" t="s">
        <v>7681</v>
      </c>
      <c r="G974" s="2" t="s">
        <v>7682</v>
      </c>
      <c r="H974" s="2" t="s">
        <v>7683</v>
      </c>
      <c r="I974" s="2" t="s">
        <v>6245</v>
      </c>
      <c r="J974" s="2" t="s">
        <v>35</v>
      </c>
      <c r="K974" s="2" t="s">
        <v>7680</v>
      </c>
      <c r="L974" s="2" t="s">
        <v>6245</v>
      </c>
      <c r="M974" s="2" t="s">
        <v>7683</v>
      </c>
      <c r="N974" s="2" t="s">
        <v>7684</v>
      </c>
      <c r="O974" s="2"/>
      <c r="P974" s="2" t="s">
        <v>37</v>
      </c>
      <c r="Q974" s="4" t="n">
        <v>8731</v>
      </c>
      <c r="R974" s="2" t="s">
        <v>136</v>
      </c>
      <c r="S974" s="2" t="s">
        <v>39</v>
      </c>
      <c r="T974" s="2" t="s">
        <v>40</v>
      </c>
      <c r="U974" s="2" t="s">
        <v>7685</v>
      </c>
      <c r="V974" s="2"/>
      <c r="W974" s="2" t="s">
        <v>7686</v>
      </c>
      <c r="X974" s="2" t="s">
        <v>43</v>
      </c>
      <c r="Y974" s="2" t="s">
        <v>37</v>
      </c>
      <c r="Z974" s="2" t="s">
        <v>44</v>
      </c>
      <c r="AA974" s="2"/>
      <c r="AB974" s="2"/>
      <c r="AC974" s="2" t="s">
        <v>7687</v>
      </c>
      <c r="AD974" s="2" t="s">
        <v>46</v>
      </c>
    </row>
    <row r="975" customFormat="false" ht="15.7" hidden="false" customHeight="true" outlineLevel="0" collapsed="false">
      <c r="A975" s="2"/>
      <c r="B975" s="3" t="n">
        <f aca="false">DATE(2008,2,13)</f>
        <v>0</v>
      </c>
      <c r="C975" s="3" t="n">
        <v>39491</v>
      </c>
      <c r="D975" s="2" t="s">
        <v>7688</v>
      </c>
      <c r="F975" s="2" t="s">
        <v>7689</v>
      </c>
      <c r="G975" s="2" t="s">
        <v>7690</v>
      </c>
      <c r="H975" s="2" t="s">
        <v>7691</v>
      </c>
      <c r="I975" s="2" t="s">
        <v>965</v>
      </c>
      <c r="J975" s="2" t="s">
        <v>1897</v>
      </c>
      <c r="K975" s="2" t="s">
        <v>7688</v>
      </c>
      <c r="L975" s="2" t="s">
        <v>965</v>
      </c>
      <c r="M975" s="2" t="s">
        <v>7691</v>
      </c>
      <c r="N975" s="2" t="s">
        <v>7692</v>
      </c>
      <c r="O975" s="2"/>
      <c r="P975" s="2" t="s">
        <v>37</v>
      </c>
      <c r="Q975" s="4" t="n">
        <v>8731</v>
      </c>
      <c r="R975" s="2" t="s">
        <v>136</v>
      </c>
      <c r="S975" s="2" t="s">
        <v>39</v>
      </c>
      <c r="T975" s="2" t="s">
        <v>40</v>
      </c>
      <c r="U975" s="2" t="s">
        <v>7693</v>
      </c>
      <c r="V975" s="2"/>
      <c r="W975" s="2" t="s">
        <v>42</v>
      </c>
      <c r="X975" s="2" t="s">
        <v>43</v>
      </c>
      <c r="Y975" s="2" t="s">
        <v>37</v>
      </c>
      <c r="Z975" s="2" t="s">
        <v>44</v>
      </c>
      <c r="AA975" s="2"/>
      <c r="AB975" s="2"/>
      <c r="AC975" s="2" t="s">
        <v>7694</v>
      </c>
      <c r="AD975" s="2" t="s">
        <v>46</v>
      </c>
    </row>
    <row r="976" customFormat="false" ht="15.7" hidden="false" customHeight="true" outlineLevel="0" collapsed="false">
      <c r="A976" s="2"/>
      <c r="B976" s="3" t="n">
        <f aca="false">DATE(2008,2,14)</f>
        <v>0</v>
      </c>
      <c r="C976" s="3" t="n">
        <v>39492</v>
      </c>
      <c r="D976" s="2" t="s">
        <v>7695</v>
      </c>
      <c r="F976" s="2" t="s">
        <v>7696</v>
      </c>
      <c r="G976" s="2" t="s">
        <v>7697</v>
      </c>
      <c r="H976" s="2" t="s">
        <v>7698</v>
      </c>
      <c r="I976" s="2" t="s">
        <v>1080</v>
      </c>
      <c r="J976" s="2" t="s">
        <v>35</v>
      </c>
      <c r="K976" s="2" t="s">
        <v>7695</v>
      </c>
      <c r="L976" s="2" t="s">
        <v>1080</v>
      </c>
      <c r="M976" s="2" t="s">
        <v>7698</v>
      </c>
      <c r="N976" s="2" t="s">
        <v>7699</v>
      </c>
      <c r="O976" s="2"/>
      <c r="P976" s="2" t="s">
        <v>37</v>
      </c>
      <c r="Q976" s="4" t="n">
        <v>8731</v>
      </c>
      <c r="R976" s="2" t="s">
        <v>2201</v>
      </c>
      <c r="S976" s="2" t="s">
        <v>39</v>
      </c>
      <c r="T976" s="2" t="s">
        <v>40</v>
      </c>
      <c r="U976" s="2" t="s">
        <v>7700</v>
      </c>
      <c r="V976" s="2"/>
      <c r="W976" s="2" t="s">
        <v>42</v>
      </c>
      <c r="X976" s="2" t="s">
        <v>43</v>
      </c>
      <c r="Y976" s="2" t="s">
        <v>37</v>
      </c>
      <c r="Z976" s="2" t="s">
        <v>44</v>
      </c>
      <c r="AA976" s="2"/>
      <c r="AB976" s="2"/>
      <c r="AC976" s="2" t="s">
        <v>7701</v>
      </c>
      <c r="AD976" s="2" t="s">
        <v>46</v>
      </c>
    </row>
    <row r="977" customFormat="false" ht="15.7" hidden="false" customHeight="true" outlineLevel="0" collapsed="false">
      <c r="A977" s="2"/>
      <c r="B977" s="3" t="n">
        <f aca="false">DATE(2008,2,14)</f>
        <v>0</v>
      </c>
      <c r="C977" s="3" t="n">
        <v>39492</v>
      </c>
      <c r="D977" s="2" t="s">
        <v>7702</v>
      </c>
      <c r="F977" s="2" t="s">
        <v>7703</v>
      </c>
      <c r="G977" s="2" t="s">
        <v>7704</v>
      </c>
      <c r="H977" s="2" t="s">
        <v>170</v>
      </c>
      <c r="I977" s="2" t="s">
        <v>7705</v>
      </c>
      <c r="J977" s="2" t="s">
        <v>35</v>
      </c>
      <c r="K977" s="2" t="s">
        <v>7706</v>
      </c>
      <c r="L977" s="2" t="s">
        <v>7705</v>
      </c>
      <c r="M977" s="2" t="s">
        <v>63</v>
      </c>
      <c r="N977" s="2" t="s">
        <v>7707</v>
      </c>
      <c r="O977" s="2"/>
      <c r="P977" s="2" t="s">
        <v>79</v>
      </c>
      <c r="Q977" s="4" t="n">
        <v>8731</v>
      </c>
      <c r="R977" s="2" t="s">
        <v>136</v>
      </c>
      <c r="S977" s="2" t="s">
        <v>39</v>
      </c>
      <c r="T977" s="2" t="s">
        <v>40</v>
      </c>
      <c r="U977" s="2" t="s">
        <v>7708</v>
      </c>
      <c r="V977" s="2"/>
      <c r="W977" s="2" t="s">
        <v>1050</v>
      </c>
      <c r="X977" s="2" t="s">
        <v>43</v>
      </c>
      <c r="Y977" s="2" t="s">
        <v>37</v>
      </c>
      <c r="Z977" s="2" t="s">
        <v>44</v>
      </c>
      <c r="AA977" s="2"/>
      <c r="AB977" s="2"/>
      <c r="AC977" s="2" t="s">
        <v>7709</v>
      </c>
      <c r="AD977" s="2" t="s">
        <v>46</v>
      </c>
    </row>
    <row r="978" customFormat="false" ht="15.7" hidden="false" customHeight="true" outlineLevel="0" collapsed="false">
      <c r="A978" s="2"/>
      <c r="B978" s="3" t="n">
        <f aca="false">DATE(2008,2,15)</f>
        <v>0</v>
      </c>
      <c r="C978" s="3" t="n">
        <v>39493</v>
      </c>
      <c r="D978" s="2" t="s">
        <v>7710</v>
      </c>
      <c r="F978" s="2" t="s">
        <v>7711</v>
      </c>
      <c r="G978" s="2" t="s">
        <v>7712</v>
      </c>
      <c r="H978" s="2" t="s">
        <v>1027</v>
      </c>
      <c r="I978" s="2" t="s">
        <v>1904</v>
      </c>
      <c r="J978" s="2" t="s">
        <v>7101</v>
      </c>
      <c r="K978" s="2" t="s">
        <v>7713</v>
      </c>
      <c r="L978" s="2" t="s">
        <v>1904</v>
      </c>
      <c r="M978" s="2" t="s">
        <v>130</v>
      </c>
      <c r="N978" s="2" t="s">
        <v>7714</v>
      </c>
      <c r="O978" s="2"/>
      <c r="P978" s="2" t="s">
        <v>37</v>
      </c>
      <c r="Q978" s="4" t="n">
        <v>8731</v>
      </c>
      <c r="R978" s="2" t="s">
        <v>136</v>
      </c>
      <c r="S978" s="2" t="s">
        <v>39</v>
      </c>
      <c r="T978" s="2" t="s">
        <v>40</v>
      </c>
      <c r="U978" s="2" t="s">
        <v>7715</v>
      </c>
      <c r="V978" s="2"/>
      <c r="W978" s="2" t="s">
        <v>42</v>
      </c>
      <c r="X978" s="2" t="s">
        <v>43</v>
      </c>
      <c r="Y978" s="2" t="s">
        <v>37</v>
      </c>
      <c r="Z978" s="2" t="s">
        <v>44</v>
      </c>
      <c r="AA978" s="2"/>
      <c r="AB978" s="2"/>
      <c r="AC978" s="2" t="s">
        <v>7716</v>
      </c>
      <c r="AD978" s="2" t="s">
        <v>46</v>
      </c>
    </row>
    <row r="979" customFormat="false" ht="15.7" hidden="false" customHeight="true" outlineLevel="0" collapsed="false">
      <c r="A979" s="2"/>
      <c r="B979" s="3" t="n">
        <f aca="false">DATE(2008,2,15)</f>
        <v>0</v>
      </c>
      <c r="C979" s="3" t="n">
        <v>39493</v>
      </c>
      <c r="D979" s="2" t="s">
        <v>7717</v>
      </c>
      <c r="F979" s="2" t="s">
        <v>7718</v>
      </c>
      <c r="G979" s="2" t="s">
        <v>7719</v>
      </c>
      <c r="H979" s="2" t="s">
        <v>7720</v>
      </c>
      <c r="I979" s="2" t="s">
        <v>5647</v>
      </c>
      <c r="J979" s="2" t="s">
        <v>35</v>
      </c>
      <c r="K979" s="2" t="s">
        <v>7721</v>
      </c>
      <c r="L979" s="2" t="s">
        <v>5647</v>
      </c>
      <c r="M979" s="2" t="s">
        <v>7722</v>
      </c>
      <c r="N979" s="2" t="s">
        <v>7723</v>
      </c>
      <c r="O979" s="2"/>
      <c r="P979" s="2" t="s">
        <v>37</v>
      </c>
      <c r="Q979" s="4" t="n">
        <v>3714</v>
      </c>
      <c r="R979" s="2" t="s">
        <v>450</v>
      </c>
      <c r="S979" s="2" t="s">
        <v>39</v>
      </c>
      <c r="T979" s="2" t="s">
        <v>403</v>
      </c>
      <c r="U979" s="2" t="s">
        <v>7724</v>
      </c>
      <c r="V979" s="2"/>
      <c r="W979" s="2" t="s">
        <v>755</v>
      </c>
      <c r="X979" s="2" t="s">
        <v>46</v>
      </c>
      <c r="Y979" s="2" t="s">
        <v>37</v>
      </c>
      <c r="Z979" s="2" t="s">
        <v>987</v>
      </c>
      <c r="AA979" s="2"/>
      <c r="AB979" s="2"/>
      <c r="AC979" s="2" t="s">
        <v>7725</v>
      </c>
      <c r="AD979" s="2" t="s">
        <v>46</v>
      </c>
    </row>
    <row r="980" customFormat="false" ht="15.7" hidden="false" customHeight="true" outlineLevel="0" collapsed="false">
      <c r="A980" s="2"/>
      <c r="B980" s="3" t="n">
        <f aca="false">DATE(2008,2,17)</f>
        <v>0</v>
      </c>
      <c r="C980" s="3" t="n">
        <v>39495</v>
      </c>
      <c r="D980" s="2" t="s">
        <v>7726</v>
      </c>
      <c r="F980" s="2" t="s">
        <v>7727</v>
      </c>
      <c r="G980" s="2" t="s">
        <v>7728</v>
      </c>
      <c r="H980" s="2" t="s">
        <v>5510</v>
      </c>
      <c r="I980" s="2" t="s">
        <v>3847</v>
      </c>
      <c r="J980" s="2" t="s">
        <v>35</v>
      </c>
      <c r="K980" s="2" t="s">
        <v>7729</v>
      </c>
      <c r="L980" s="2" t="s">
        <v>3847</v>
      </c>
      <c r="M980" s="2" t="s">
        <v>5164</v>
      </c>
      <c r="N980" s="2" t="s">
        <v>7730</v>
      </c>
      <c r="O980" s="2"/>
      <c r="P980" s="2" t="s">
        <v>37</v>
      </c>
      <c r="Q980" s="4" t="n">
        <v>3812</v>
      </c>
      <c r="R980" s="2" t="s">
        <v>450</v>
      </c>
      <c r="S980" s="2" t="s">
        <v>39</v>
      </c>
      <c r="T980" s="2" t="s">
        <v>403</v>
      </c>
      <c r="U980" s="2" t="s">
        <v>7731</v>
      </c>
      <c r="V980" s="2"/>
      <c r="W980" s="2" t="s">
        <v>107</v>
      </c>
      <c r="X980" s="2" t="s">
        <v>46</v>
      </c>
      <c r="Y980" s="2" t="s">
        <v>37</v>
      </c>
      <c r="Z980" s="2" t="s">
        <v>362</v>
      </c>
      <c r="AA980" s="2"/>
      <c r="AB980" s="2"/>
      <c r="AC980" s="2" t="s">
        <v>7732</v>
      </c>
      <c r="AD980" s="2" t="s">
        <v>46</v>
      </c>
    </row>
    <row r="981" customFormat="false" ht="15.7" hidden="false" customHeight="true" outlineLevel="0" collapsed="false">
      <c r="A981" s="2"/>
      <c r="B981" s="3" t="n">
        <f aca="false">DATE(2008,2,17)</f>
        <v>0</v>
      </c>
      <c r="C981" s="3" t="n">
        <v>39495</v>
      </c>
      <c r="D981" s="2" t="s">
        <v>7733</v>
      </c>
      <c r="F981" s="2" t="s">
        <v>7734</v>
      </c>
      <c r="G981" s="2" t="s">
        <v>7735</v>
      </c>
      <c r="H981" s="2" t="s">
        <v>7736</v>
      </c>
      <c r="I981" s="2" t="s">
        <v>7737</v>
      </c>
      <c r="J981" s="2" t="s">
        <v>35</v>
      </c>
      <c r="K981" s="2" t="s">
        <v>7733</v>
      </c>
      <c r="L981" s="2" t="s">
        <v>7737</v>
      </c>
      <c r="M981" s="2" t="s">
        <v>7736</v>
      </c>
      <c r="N981" s="2" t="s">
        <v>7738</v>
      </c>
      <c r="O981" s="2"/>
      <c r="P981" s="2" t="s">
        <v>37</v>
      </c>
      <c r="Q981" s="4" t="n">
        <v>8731</v>
      </c>
      <c r="R981" s="2" t="s">
        <v>136</v>
      </c>
      <c r="S981" s="2" t="s">
        <v>39</v>
      </c>
      <c r="T981" s="2" t="s">
        <v>40</v>
      </c>
      <c r="U981" s="2" t="s">
        <v>7739</v>
      </c>
      <c r="V981" s="2"/>
      <c r="W981" s="2" t="s">
        <v>42</v>
      </c>
      <c r="X981" s="2" t="s">
        <v>43</v>
      </c>
      <c r="Y981" s="2" t="s">
        <v>37</v>
      </c>
      <c r="Z981" s="2" t="s">
        <v>44</v>
      </c>
      <c r="AA981" s="2"/>
      <c r="AB981" s="2"/>
      <c r="AC981" s="2" t="s">
        <v>7740</v>
      </c>
      <c r="AD981" s="2" t="s">
        <v>46</v>
      </c>
    </row>
    <row r="982" customFormat="false" ht="15.7" hidden="false" customHeight="true" outlineLevel="0" collapsed="false">
      <c r="A982" s="2"/>
      <c r="B982" s="3" t="n">
        <f aca="false">DATE(2008,2,18)</f>
        <v>0</v>
      </c>
      <c r="C982" s="3" t="n">
        <v>39496</v>
      </c>
      <c r="D982" s="2" t="s">
        <v>7741</v>
      </c>
      <c r="F982" s="2" t="s">
        <v>7742</v>
      </c>
      <c r="G982" s="2" t="s">
        <v>7743</v>
      </c>
      <c r="H982" s="2" t="s">
        <v>7744</v>
      </c>
      <c r="I982" s="2" t="s">
        <v>2916</v>
      </c>
      <c r="J982" s="2" t="s">
        <v>116</v>
      </c>
      <c r="K982" s="2" t="s">
        <v>7741</v>
      </c>
      <c r="L982" s="2" t="s">
        <v>2916</v>
      </c>
      <c r="M982" s="2" t="s">
        <v>7744</v>
      </c>
      <c r="N982" s="2" t="s">
        <v>7745</v>
      </c>
      <c r="O982" s="2" t="s">
        <v>7746</v>
      </c>
      <c r="P982" s="2" t="s">
        <v>37</v>
      </c>
      <c r="Q982" s="4" t="n">
        <v>6282</v>
      </c>
      <c r="R982" s="2" t="s">
        <v>38</v>
      </c>
      <c r="S982" s="2" t="s">
        <v>39</v>
      </c>
      <c r="T982" s="2" t="s">
        <v>40</v>
      </c>
      <c r="U982" s="2" t="s">
        <v>7747</v>
      </c>
      <c r="V982" s="2"/>
      <c r="W982" s="2" t="s">
        <v>7748</v>
      </c>
      <c r="X982" s="2" t="s">
        <v>46</v>
      </c>
      <c r="Y982" s="2" t="s">
        <v>37</v>
      </c>
      <c r="Z982" s="2" t="s">
        <v>7749</v>
      </c>
      <c r="AA982" s="2" t="s">
        <v>7750</v>
      </c>
      <c r="AB982" s="2" t="s">
        <v>7751</v>
      </c>
      <c r="AC982" s="2" t="s">
        <v>7752</v>
      </c>
      <c r="AD982" s="2" t="s">
        <v>46</v>
      </c>
    </row>
    <row r="983" customFormat="false" ht="15.7" hidden="false" customHeight="true" outlineLevel="0" collapsed="false">
      <c r="A983" s="2"/>
      <c r="B983" s="3" t="n">
        <f aca="false">DATE(2008,2,18)</f>
        <v>0</v>
      </c>
      <c r="C983" s="3" t="n">
        <v>39496</v>
      </c>
      <c r="D983" s="2" t="s">
        <v>7753</v>
      </c>
      <c r="F983" s="2" t="s">
        <v>7754</v>
      </c>
      <c r="G983" s="2" t="s">
        <v>7755</v>
      </c>
      <c r="H983" s="2" t="s">
        <v>7756</v>
      </c>
      <c r="I983" s="2" t="s">
        <v>2727</v>
      </c>
      <c r="J983" s="2" t="s">
        <v>35</v>
      </c>
      <c r="K983" s="2" t="s">
        <v>7757</v>
      </c>
      <c r="L983" s="2" t="s">
        <v>2727</v>
      </c>
      <c r="M983" s="2" t="s">
        <v>7756</v>
      </c>
      <c r="N983" s="2" t="s">
        <v>7758</v>
      </c>
      <c r="O983" s="2"/>
      <c r="P983" s="2" t="s">
        <v>37</v>
      </c>
      <c r="Q983" s="4" t="n">
        <v>8731</v>
      </c>
      <c r="R983" s="2" t="s">
        <v>402</v>
      </c>
      <c r="S983" s="2" t="s">
        <v>39</v>
      </c>
      <c r="T983" s="2" t="s">
        <v>40</v>
      </c>
      <c r="U983" s="2" t="s">
        <v>7759</v>
      </c>
      <c r="V983" s="2"/>
      <c r="W983" s="2" t="s">
        <v>42</v>
      </c>
      <c r="X983" s="2" t="s">
        <v>46</v>
      </c>
      <c r="Y983" s="2" t="s">
        <v>37</v>
      </c>
      <c r="Z983" s="2" t="s">
        <v>987</v>
      </c>
      <c r="AA983" s="2"/>
      <c r="AB983" s="2"/>
      <c r="AC983" s="2" t="s">
        <v>7760</v>
      </c>
      <c r="AD983" s="2" t="s">
        <v>46</v>
      </c>
    </row>
    <row r="984" customFormat="false" ht="15.7" hidden="false" customHeight="true" outlineLevel="0" collapsed="false">
      <c r="A984" s="2"/>
      <c r="B984" s="3" t="n">
        <f aca="false">DATE(2008,2,19)</f>
        <v>0</v>
      </c>
      <c r="C984" s="3" t="n">
        <v>39497</v>
      </c>
      <c r="D984" s="2" t="s">
        <v>7761</v>
      </c>
      <c r="F984" s="2" t="s">
        <v>7762</v>
      </c>
      <c r="G984" s="2" t="s">
        <v>7763</v>
      </c>
      <c r="H984" s="2" t="s">
        <v>2857</v>
      </c>
      <c r="I984" s="2" t="s">
        <v>154</v>
      </c>
      <c r="J984" s="2" t="s">
        <v>65</v>
      </c>
      <c r="K984" s="2" t="s">
        <v>7761</v>
      </c>
      <c r="L984" s="2" t="s">
        <v>154</v>
      </c>
      <c r="M984" s="2" t="s">
        <v>2857</v>
      </c>
      <c r="N984" s="2" t="s">
        <v>7764</v>
      </c>
      <c r="O984" s="2"/>
      <c r="P984" s="2" t="s">
        <v>79</v>
      </c>
      <c r="Q984" s="4" t="n">
        <v>6794</v>
      </c>
      <c r="R984" s="2" t="s">
        <v>136</v>
      </c>
      <c r="S984" s="2" t="s">
        <v>39</v>
      </c>
      <c r="T984" s="2" t="s">
        <v>40</v>
      </c>
      <c r="U984" s="2" t="s">
        <v>7765</v>
      </c>
      <c r="V984" s="2"/>
      <c r="W984" s="2" t="s">
        <v>82</v>
      </c>
      <c r="X984" s="2" t="s">
        <v>43</v>
      </c>
      <c r="Y984" s="2" t="s">
        <v>37</v>
      </c>
      <c r="Z984" s="2" t="s">
        <v>44</v>
      </c>
      <c r="AA984" s="2"/>
      <c r="AB984" s="2"/>
      <c r="AC984" s="2" t="s">
        <v>7766</v>
      </c>
      <c r="AD984" s="2" t="s">
        <v>46</v>
      </c>
    </row>
    <row r="985" customFormat="false" ht="15.7" hidden="false" customHeight="true" outlineLevel="0" collapsed="false">
      <c r="A985" s="2"/>
      <c r="B985" s="3" t="n">
        <f aca="false">DATE(2008,2,19)</f>
        <v>0</v>
      </c>
      <c r="C985" s="3" t="n">
        <v>39497</v>
      </c>
      <c r="D985" s="2" t="s">
        <v>7767</v>
      </c>
      <c r="F985" s="2" t="s">
        <v>7768</v>
      </c>
      <c r="G985" s="2" t="s">
        <v>7769</v>
      </c>
      <c r="H985" s="2" t="s">
        <v>7770</v>
      </c>
      <c r="I985" s="2" t="s">
        <v>7771</v>
      </c>
      <c r="J985" s="2" t="s">
        <v>116</v>
      </c>
      <c r="K985" s="2" t="s">
        <v>7772</v>
      </c>
      <c r="L985" s="2" t="s">
        <v>7771</v>
      </c>
      <c r="M985" s="2" t="s">
        <v>7773</v>
      </c>
      <c r="N985" s="2" t="s">
        <v>7774</v>
      </c>
      <c r="O985" s="2"/>
      <c r="P985" s="2" t="s">
        <v>37</v>
      </c>
      <c r="Q985" s="4" t="n">
        <v>8731</v>
      </c>
      <c r="R985" s="2" t="s">
        <v>136</v>
      </c>
      <c r="S985" s="2" t="s">
        <v>39</v>
      </c>
      <c r="T985" s="2" t="s">
        <v>403</v>
      </c>
      <c r="U985" s="2" t="s">
        <v>7775</v>
      </c>
      <c r="V985" s="2"/>
      <c r="W985" s="2" t="s">
        <v>42</v>
      </c>
      <c r="X985" s="2" t="s">
        <v>43</v>
      </c>
      <c r="Y985" s="2" t="s">
        <v>37</v>
      </c>
      <c r="Z985" s="2" t="s">
        <v>916</v>
      </c>
      <c r="AA985" s="2"/>
      <c r="AB985" s="2"/>
      <c r="AC985" s="2" t="s">
        <v>7776</v>
      </c>
      <c r="AD985" s="2" t="s">
        <v>46</v>
      </c>
    </row>
    <row r="986" customFormat="false" ht="15.7" hidden="false" customHeight="true" outlineLevel="0" collapsed="false">
      <c r="A986" s="2"/>
      <c r="B986" s="3" t="n">
        <f aca="false">DATE(2008,2,20)</f>
        <v>0</v>
      </c>
      <c r="C986" s="3" t="n">
        <v>39498</v>
      </c>
      <c r="D986" s="2" t="s">
        <v>7777</v>
      </c>
      <c r="F986" s="2" t="s">
        <v>7778</v>
      </c>
      <c r="G986" s="2" t="s">
        <v>7779</v>
      </c>
      <c r="H986" s="2" t="s">
        <v>7780</v>
      </c>
      <c r="I986" s="2" t="s">
        <v>51</v>
      </c>
      <c r="J986" s="2" t="s">
        <v>5858</v>
      </c>
      <c r="K986" s="2" t="s">
        <v>7777</v>
      </c>
      <c r="L986" s="2" t="s">
        <v>51</v>
      </c>
      <c r="M986" s="2" t="s">
        <v>7780</v>
      </c>
      <c r="N986" s="2" t="s">
        <v>7781</v>
      </c>
      <c r="O986" s="2"/>
      <c r="P986" s="2" t="s">
        <v>37</v>
      </c>
      <c r="Q986" s="4" t="n">
        <v>8731</v>
      </c>
      <c r="R986" s="2" t="s">
        <v>56</v>
      </c>
      <c r="S986" s="2" t="s">
        <v>92</v>
      </c>
      <c r="T986" s="2" t="s">
        <v>40</v>
      </c>
      <c r="U986" s="2" t="s">
        <v>7782</v>
      </c>
      <c r="V986" s="2"/>
      <c r="W986" s="2" t="s">
        <v>42</v>
      </c>
      <c r="X986" s="2" t="s">
        <v>43</v>
      </c>
      <c r="Y986" s="2" t="s">
        <v>37</v>
      </c>
      <c r="Z986" s="2" t="s">
        <v>44</v>
      </c>
      <c r="AA986" s="2"/>
      <c r="AB986" s="2"/>
      <c r="AC986" s="2" t="s">
        <v>7783</v>
      </c>
      <c r="AD986" s="2" t="s">
        <v>46</v>
      </c>
    </row>
    <row r="987" customFormat="false" ht="15.7" hidden="false" customHeight="true" outlineLevel="0" collapsed="false">
      <c r="A987" s="2"/>
      <c r="B987" s="3" t="n">
        <f aca="false">DATE(2008,2,21)</f>
        <v>0</v>
      </c>
      <c r="C987" s="3" t="n">
        <v>39499</v>
      </c>
      <c r="D987" s="2" t="s">
        <v>7784</v>
      </c>
      <c r="F987" s="2" t="s">
        <v>7785</v>
      </c>
      <c r="G987" s="2" t="s">
        <v>7786</v>
      </c>
      <c r="H987" s="2" t="s">
        <v>5005</v>
      </c>
      <c r="I987" s="2" t="s">
        <v>51</v>
      </c>
      <c r="J987" s="2" t="s">
        <v>7787</v>
      </c>
      <c r="K987" s="2" t="s">
        <v>7784</v>
      </c>
      <c r="L987" s="2" t="s">
        <v>51</v>
      </c>
      <c r="M987" s="2" t="s">
        <v>5005</v>
      </c>
      <c r="N987" s="2" t="s">
        <v>7788</v>
      </c>
      <c r="O987" s="2"/>
      <c r="P987" s="2" t="s">
        <v>37</v>
      </c>
      <c r="Q987" s="4" t="n">
        <v>8731</v>
      </c>
      <c r="R987" s="2" t="s">
        <v>56</v>
      </c>
      <c r="S987" s="2" t="s">
        <v>92</v>
      </c>
      <c r="T987" s="2" t="s">
        <v>40</v>
      </c>
      <c r="U987" s="2" t="s">
        <v>7789</v>
      </c>
      <c r="V987" s="2"/>
      <c r="W987" s="2" t="s">
        <v>42</v>
      </c>
      <c r="X987" s="2" t="s">
        <v>43</v>
      </c>
      <c r="Y987" s="2" t="s">
        <v>37</v>
      </c>
      <c r="Z987" s="2" t="s">
        <v>44</v>
      </c>
      <c r="AA987" s="2"/>
      <c r="AB987" s="2"/>
      <c r="AC987" s="2" t="s">
        <v>7790</v>
      </c>
      <c r="AD987" s="2" t="s">
        <v>46</v>
      </c>
    </row>
    <row r="988" customFormat="false" ht="15.7" hidden="false" customHeight="true" outlineLevel="0" collapsed="false">
      <c r="A988" s="2"/>
      <c r="B988" s="3" t="n">
        <f aca="false">DATE(2008,2,27)</f>
        <v>0</v>
      </c>
      <c r="C988" s="3" t="n">
        <v>39505</v>
      </c>
      <c r="D988" s="2" t="s">
        <v>7791</v>
      </c>
      <c r="F988" s="2" t="s">
        <v>7792</v>
      </c>
      <c r="G988" s="2" t="s">
        <v>7793</v>
      </c>
      <c r="H988" s="2" t="s">
        <v>134</v>
      </c>
      <c r="I988" s="2" t="s">
        <v>100</v>
      </c>
      <c r="J988" s="2" t="s">
        <v>6170</v>
      </c>
      <c r="K988" s="2" t="s">
        <v>7791</v>
      </c>
      <c r="L988" s="2" t="s">
        <v>100</v>
      </c>
      <c r="M988" s="2" t="s">
        <v>134</v>
      </c>
      <c r="N988" s="2" t="s">
        <v>7794</v>
      </c>
      <c r="O988" s="2"/>
      <c r="P988" s="2" t="s">
        <v>37</v>
      </c>
      <c r="Q988" s="4" t="n">
        <v>8731</v>
      </c>
      <c r="R988" s="2" t="s">
        <v>136</v>
      </c>
      <c r="S988" s="2" t="s">
        <v>39</v>
      </c>
      <c r="T988" s="2" t="s">
        <v>40</v>
      </c>
      <c r="U988" s="2" t="s">
        <v>7795</v>
      </c>
      <c r="V988" s="2"/>
      <c r="W988" s="2" t="s">
        <v>42</v>
      </c>
      <c r="X988" s="2" t="s">
        <v>43</v>
      </c>
      <c r="Y988" s="2" t="s">
        <v>37</v>
      </c>
      <c r="Z988" s="2" t="s">
        <v>44</v>
      </c>
      <c r="AA988" s="2"/>
      <c r="AB988" s="2"/>
      <c r="AC988" s="2" t="s">
        <v>7796</v>
      </c>
      <c r="AD988" s="2" t="s">
        <v>46</v>
      </c>
    </row>
    <row r="989" customFormat="false" ht="15.7" hidden="false" customHeight="true" outlineLevel="0" collapsed="false">
      <c r="A989" s="2"/>
      <c r="B989" s="3" t="n">
        <f aca="false">DATE(2008,2,28)</f>
        <v>0</v>
      </c>
      <c r="C989" s="3" t="n">
        <v>39506</v>
      </c>
      <c r="D989" s="2" t="s">
        <v>7797</v>
      </c>
      <c r="F989" s="2" t="s">
        <v>7798</v>
      </c>
      <c r="G989" s="2" t="s">
        <v>7799</v>
      </c>
      <c r="H989" s="2" t="s">
        <v>63</v>
      </c>
      <c r="I989" s="2" t="s">
        <v>51</v>
      </c>
      <c r="J989" s="2" t="s">
        <v>828</v>
      </c>
      <c r="K989" s="2" t="s">
        <v>7797</v>
      </c>
      <c r="L989" s="2" t="s">
        <v>51</v>
      </c>
      <c r="M989" s="2" t="s">
        <v>1027</v>
      </c>
      <c r="N989" s="2" t="s">
        <v>7800</v>
      </c>
      <c r="O989" s="2"/>
      <c r="P989" s="2" t="s">
        <v>37</v>
      </c>
      <c r="Q989" s="4" t="n">
        <v>8731</v>
      </c>
      <c r="R989" s="2" t="s">
        <v>56</v>
      </c>
      <c r="S989" s="2" t="s">
        <v>80</v>
      </c>
      <c r="T989" s="2" t="s">
        <v>40</v>
      </c>
      <c r="U989" s="2" t="s">
        <v>7801</v>
      </c>
      <c r="V989" s="2"/>
      <c r="W989" s="2" t="s">
        <v>42</v>
      </c>
      <c r="X989" s="2" t="s">
        <v>43</v>
      </c>
      <c r="Y989" s="2" t="s">
        <v>37</v>
      </c>
      <c r="Z989" s="2" t="s">
        <v>44</v>
      </c>
      <c r="AA989" s="2" t="s">
        <v>7802</v>
      </c>
      <c r="AB989" s="2"/>
      <c r="AC989" s="2" t="s">
        <v>7803</v>
      </c>
      <c r="AD989" s="2" t="s">
        <v>46</v>
      </c>
    </row>
    <row r="990" customFormat="false" ht="15.7" hidden="false" customHeight="true" outlineLevel="0" collapsed="false">
      <c r="A990" s="2"/>
      <c r="B990" s="3" t="n">
        <f aca="false">DATE(2008,3,3)</f>
        <v>0</v>
      </c>
      <c r="C990" s="3" t="n">
        <v>39510</v>
      </c>
      <c r="D990" s="2" t="s">
        <v>7804</v>
      </c>
      <c r="F990" s="2" t="s">
        <v>7805</v>
      </c>
      <c r="G990" s="2" t="s">
        <v>7806</v>
      </c>
      <c r="H990" s="2" t="s">
        <v>7807</v>
      </c>
      <c r="I990" s="2" t="s">
        <v>5990</v>
      </c>
      <c r="J990" s="2" t="s">
        <v>35</v>
      </c>
      <c r="K990" s="2" t="s">
        <v>7804</v>
      </c>
      <c r="L990" s="2" t="s">
        <v>5990</v>
      </c>
      <c r="M990" s="2" t="s">
        <v>7807</v>
      </c>
      <c r="N990" s="2" t="s">
        <v>7808</v>
      </c>
      <c r="O990" s="2"/>
      <c r="P990" s="2" t="s">
        <v>37</v>
      </c>
      <c r="Q990" s="4" t="n">
        <v>3651</v>
      </c>
      <c r="R990" s="2" t="s">
        <v>3154</v>
      </c>
      <c r="S990" s="2" t="s">
        <v>39</v>
      </c>
      <c r="T990" s="2" t="s">
        <v>40</v>
      </c>
      <c r="U990" s="2" t="s">
        <v>7809</v>
      </c>
      <c r="V990" s="2"/>
      <c r="W990" s="2" t="s">
        <v>107</v>
      </c>
      <c r="X990" s="2" t="s">
        <v>43</v>
      </c>
      <c r="Y990" s="2" t="s">
        <v>37</v>
      </c>
      <c r="Z990" s="2" t="s">
        <v>44</v>
      </c>
      <c r="AA990" s="2"/>
      <c r="AB990" s="2"/>
      <c r="AC990" s="2" t="s">
        <v>7810</v>
      </c>
      <c r="AD990" s="2" t="s">
        <v>46</v>
      </c>
    </row>
    <row r="991" customFormat="false" ht="15.7" hidden="false" customHeight="true" outlineLevel="0" collapsed="false">
      <c r="A991" s="2"/>
      <c r="B991" s="3" t="n">
        <f aca="false">DATE(2008,3,3)</f>
        <v>0</v>
      </c>
      <c r="C991" s="3" t="n">
        <v>39510</v>
      </c>
      <c r="D991" s="2" t="s">
        <v>7811</v>
      </c>
      <c r="F991" s="2" t="s">
        <v>7812</v>
      </c>
      <c r="G991" s="2" t="s">
        <v>7813</v>
      </c>
      <c r="H991" s="2" t="s">
        <v>2857</v>
      </c>
      <c r="I991" s="2" t="s">
        <v>7814</v>
      </c>
      <c r="J991" s="2" t="s">
        <v>7815</v>
      </c>
      <c r="K991" s="2" t="s">
        <v>7811</v>
      </c>
      <c r="L991" s="2" t="s">
        <v>7814</v>
      </c>
      <c r="M991" s="2" t="s">
        <v>2857</v>
      </c>
      <c r="N991" s="2" t="s">
        <v>7816</v>
      </c>
      <c r="O991" s="2"/>
      <c r="P991" s="2" t="s">
        <v>37</v>
      </c>
      <c r="Q991" s="4" t="n">
        <v>8731</v>
      </c>
      <c r="R991" s="2" t="s">
        <v>2165</v>
      </c>
      <c r="S991" s="2" t="s">
        <v>39</v>
      </c>
      <c r="T991" s="2" t="s">
        <v>403</v>
      </c>
      <c r="U991" s="2" t="s">
        <v>7817</v>
      </c>
      <c r="V991" s="2"/>
      <c r="W991" s="2" t="s">
        <v>42</v>
      </c>
      <c r="X991" s="2" t="s">
        <v>46</v>
      </c>
      <c r="Y991" s="2" t="s">
        <v>37</v>
      </c>
      <c r="Z991" s="2" t="s">
        <v>362</v>
      </c>
      <c r="AA991" s="2"/>
      <c r="AB991" s="2"/>
      <c r="AC991" s="2" t="s">
        <v>7818</v>
      </c>
      <c r="AD991" s="2" t="s">
        <v>46</v>
      </c>
    </row>
    <row r="992" customFormat="false" ht="15.7" hidden="false" customHeight="true" outlineLevel="0" collapsed="false">
      <c r="A992" s="2"/>
      <c r="B992" s="3" t="n">
        <f aca="false">DATE(2008,3,3)</f>
        <v>0</v>
      </c>
      <c r="C992" s="3" t="n">
        <v>39510</v>
      </c>
      <c r="D992" s="2" t="s">
        <v>7819</v>
      </c>
      <c r="F992" s="2" t="s">
        <v>7820</v>
      </c>
      <c r="G992" s="2" t="s">
        <v>7821</v>
      </c>
      <c r="H992" s="2" t="s">
        <v>130</v>
      </c>
      <c r="I992" s="2" t="s">
        <v>296</v>
      </c>
      <c r="J992" s="2" t="s">
        <v>625</v>
      </c>
      <c r="K992" s="2" t="s">
        <v>7819</v>
      </c>
      <c r="L992" s="2" t="s">
        <v>296</v>
      </c>
      <c r="M992" s="2" t="s">
        <v>130</v>
      </c>
      <c r="N992" s="2" t="s">
        <v>7822</v>
      </c>
      <c r="O992" s="2"/>
      <c r="P992" s="2" t="s">
        <v>37</v>
      </c>
      <c r="Q992" s="4" t="n">
        <v>8731</v>
      </c>
      <c r="R992" s="2" t="s">
        <v>136</v>
      </c>
      <c r="S992" s="2" t="s">
        <v>39</v>
      </c>
      <c r="T992" s="2" t="s">
        <v>40</v>
      </c>
      <c r="U992" s="2" t="s">
        <v>7823</v>
      </c>
      <c r="V992" s="2"/>
      <c r="W992" s="2" t="s">
        <v>42</v>
      </c>
      <c r="X992" s="2" t="s">
        <v>43</v>
      </c>
      <c r="Y992" s="2" t="s">
        <v>37</v>
      </c>
      <c r="Z992" s="2" t="s">
        <v>44</v>
      </c>
      <c r="AA992" s="2"/>
      <c r="AB992" s="2"/>
      <c r="AC992" s="2" t="s">
        <v>7824</v>
      </c>
      <c r="AD992" s="2" t="s">
        <v>46</v>
      </c>
    </row>
    <row r="993" customFormat="false" ht="15.7" hidden="false" customHeight="true" outlineLevel="0" collapsed="false">
      <c r="A993" s="2"/>
      <c r="B993" s="3" t="n">
        <f aca="false">DATE(2008,3,3)</f>
        <v>0</v>
      </c>
      <c r="C993" s="3" t="n">
        <v>39510</v>
      </c>
      <c r="D993" s="2" t="s">
        <v>7825</v>
      </c>
      <c r="F993" s="2" t="s">
        <v>3074</v>
      </c>
      <c r="G993" s="2" t="s">
        <v>7826</v>
      </c>
      <c r="H993" s="2" t="s">
        <v>170</v>
      </c>
      <c r="I993" s="2" t="s">
        <v>2848</v>
      </c>
      <c r="J993" s="2" t="s">
        <v>35</v>
      </c>
      <c r="K993" s="2" t="s">
        <v>7825</v>
      </c>
      <c r="L993" s="2" t="s">
        <v>2848</v>
      </c>
      <c r="M993" s="2" t="s">
        <v>170</v>
      </c>
      <c r="N993" s="2" t="s">
        <v>7827</v>
      </c>
      <c r="O993" s="2"/>
      <c r="P993" s="2" t="s">
        <v>37</v>
      </c>
      <c r="Q993" s="4" t="n">
        <v>8731</v>
      </c>
      <c r="R993" s="2" t="s">
        <v>136</v>
      </c>
      <c r="S993" s="2" t="s">
        <v>39</v>
      </c>
      <c r="T993" s="2" t="s">
        <v>40</v>
      </c>
      <c r="U993" s="2" t="s">
        <v>7828</v>
      </c>
      <c r="V993" s="2"/>
      <c r="W993" s="2" t="s">
        <v>42</v>
      </c>
      <c r="X993" s="2" t="s">
        <v>43</v>
      </c>
      <c r="Y993" s="2" t="s">
        <v>37</v>
      </c>
      <c r="Z993" s="2" t="s">
        <v>44</v>
      </c>
      <c r="AA993" s="2"/>
      <c r="AB993" s="2"/>
      <c r="AC993" s="2" t="s">
        <v>7829</v>
      </c>
      <c r="AD993" s="2" t="s">
        <v>46</v>
      </c>
    </row>
    <row r="994" customFormat="false" ht="15.7" hidden="false" customHeight="true" outlineLevel="0" collapsed="false">
      <c r="A994" s="2"/>
      <c r="B994" s="3" t="n">
        <f aca="false">DATE(2008,3,4)</f>
        <v>0</v>
      </c>
      <c r="C994" s="3" t="n">
        <v>39511</v>
      </c>
      <c r="D994" s="2" t="s">
        <v>7830</v>
      </c>
      <c r="F994" s="2" t="s">
        <v>7831</v>
      </c>
      <c r="G994" s="2" t="s">
        <v>7832</v>
      </c>
      <c r="H994" s="2" t="s">
        <v>387</v>
      </c>
      <c r="I994" s="2" t="s">
        <v>51</v>
      </c>
      <c r="J994" s="2" t="s">
        <v>171</v>
      </c>
      <c r="K994" s="2" t="s">
        <v>7830</v>
      </c>
      <c r="L994" s="2" t="s">
        <v>51</v>
      </c>
      <c r="M994" s="2" t="s">
        <v>387</v>
      </c>
      <c r="N994" s="2" t="s">
        <v>7833</v>
      </c>
      <c r="O994" s="2"/>
      <c r="P994" s="2" t="s">
        <v>79</v>
      </c>
      <c r="Q994" s="4" t="n">
        <v>6794</v>
      </c>
      <c r="R994" s="2" t="s">
        <v>56</v>
      </c>
      <c r="S994" s="2" t="s">
        <v>92</v>
      </c>
      <c r="T994" s="2" t="s">
        <v>40</v>
      </c>
      <c r="U994" s="2" t="s">
        <v>7834</v>
      </c>
      <c r="V994" s="2"/>
      <c r="W994" s="2" t="s">
        <v>82</v>
      </c>
      <c r="X994" s="2" t="s">
        <v>43</v>
      </c>
      <c r="Y994" s="2" t="s">
        <v>37</v>
      </c>
      <c r="Z994" s="2" t="s">
        <v>44</v>
      </c>
      <c r="AA994" s="2"/>
      <c r="AB994" s="2"/>
      <c r="AC994" s="2" t="s">
        <v>7835</v>
      </c>
      <c r="AD994" s="2" t="s">
        <v>46</v>
      </c>
    </row>
    <row r="995" customFormat="false" ht="15.7" hidden="false" customHeight="true" outlineLevel="0" collapsed="false">
      <c r="A995" s="2"/>
      <c r="B995" s="3" t="n">
        <f aca="false">DATE(2008,3,5)</f>
        <v>0</v>
      </c>
      <c r="C995" s="3" t="n">
        <v>39512</v>
      </c>
      <c r="D995" s="2" t="s">
        <v>7836</v>
      </c>
      <c r="F995" s="2" t="s">
        <v>7837</v>
      </c>
      <c r="G995" s="2" t="s">
        <v>7838</v>
      </c>
      <c r="H995" s="2" t="s">
        <v>7839</v>
      </c>
      <c r="I995" s="2" t="s">
        <v>51</v>
      </c>
      <c r="J995" s="2" t="s">
        <v>3999</v>
      </c>
      <c r="K995" s="2" t="s">
        <v>7836</v>
      </c>
      <c r="L995" s="2" t="s">
        <v>51</v>
      </c>
      <c r="M995" s="2" t="s">
        <v>7839</v>
      </c>
      <c r="N995" s="2" t="s">
        <v>7840</v>
      </c>
      <c r="O995" s="2"/>
      <c r="P995" s="2" t="s">
        <v>37</v>
      </c>
      <c r="Q995" s="4" t="n">
        <v>8731</v>
      </c>
      <c r="R995" s="2" t="s">
        <v>56</v>
      </c>
      <c r="S995" s="2" t="s">
        <v>251</v>
      </c>
      <c r="T995" s="2" t="s">
        <v>40</v>
      </c>
      <c r="U995" s="2" t="s">
        <v>7841</v>
      </c>
      <c r="V995" s="2"/>
      <c r="W995" s="2" t="s">
        <v>138</v>
      </c>
      <c r="X995" s="2" t="s">
        <v>43</v>
      </c>
      <c r="Y995" s="2" t="s">
        <v>37</v>
      </c>
      <c r="Z995" s="2" t="s">
        <v>44</v>
      </c>
      <c r="AA995" s="2"/>
      <c r="AB995" s="2"/>
      <c r="AC995" s="2" t="s">
        <v>7842</v>
      </c>
      <c r="AD995" s="2" t="s">
        <v>46</v>
      </c>
    </row>
    <row r="996" customFormat="false" ht="15.7" hidden="false" customHeight="true" outlineLevel="0" collapsed="false">
      <c r="A996" s="2"/>
      <c r="B996" s="3" t="n">
        <f aca="false">DATE(2008,3,5)</f>
        <v>0</v>
      </c>
      <c r="C996" s="3" t="n">
        <v>39512</v>
      </c>
      <c r="D996" s="2" t="s">
        <v>7843</v>
      </c>
      <c r="F996" s="2" t="s">
        <v>7844</v>
      </c>
      <c r="G996" s="2" t="s">
        <v>7845</v>
      </c>
      <c r="H996" s="2" t="s">
        <v>7846</v>
      </c>
      <c r="I996" s="2" t="s">
        <v>2803</v>
      </c>
      <c r="J996" s="2" t="s">
        <v>35</v>
      </c>
      <c r="K996" s="2" t="s">
        <v>7843</v>
      </c>
      <c r="L996" s="2" t="s">
        <v>2803</v>
      </c>
      <c r="M996" s="2" t="s">
        <v>7846</v>
      </c>
      <c r="N996" s="2" t="s">
        <v>7847</v>
      </c>
      <c r="O996" s="2"/>
      <c r="P996" s="2" t="s">
        <v>37</v>
      </c>
      <c r="Q996" s="4" t="n">
        <v>8731</v>
      </c>
      <c r="R996" s="2" t="s">
        <v>136</v>
      </c>
      <c r="S996" s="2" t="s">
        <v>39</v>
      </c>
      <c r="T996" s="2" t="s">
        <v>40</v>
      </c>
      <c r="U996" s="2" t="s">
        <v>7848</v>
      </c>
      <c r="V996" s="2"/>
      <c r="W996" s="2" t="s">
        <v>42</v>
      </c>
      <c r="X996" s="2" t="s">
        <v>43</v>
      </c>
      <c r="Y996" s="2" t="s">
        <v>37</v>
      </c>
      <c r="Z996" s="2" t="s">
        <v>44</v>
      </c>
      <c r="AA996" s="2"/>
      <c r="AB996" s="2"/>
      <c r="AC996" s="2" t="s">
        <v>7849</v>
      </c>
      <c r="AD996" s="2" t="s">
        <v>46</v>
      </c>
    </row>
    <row r="997" customFormat="false" ht="15.7" hidden="false" customHeight="true" outlineLevel="0" collapsed="false">
      <c r="A997" s="2"/>
      <c r="B997" s="3" t="n">
        <f aca="false">DATE(2008,3,5)</f>
        <v>0</v>
      </c>
      <c r="C997" s="3" t="n">
        <v>39512</v>
      </c>
      <c r="D997" s="2" t="s">
        <v>7850</v>
      </c>
      <c r="F997" s="2" t="s">
        <v>7851</v>
      </c>
      <c r="G997" s="2" t="s">
        <v>7852</v>
      </c>
      <c r="H997" s="2" t="s">
        <v>305</v>
      </c>
      <c r="I997" s="2" t="s">
        <v>664</v>
      </c>
      <c r="J997" s="2" t="s">
        <v>132</v>
      </c>
      <c r="K997" s="2" t="s">
        <v>7850</v>
      </c>
      <c r="L997" s="2" t="s">
        <v>664</v>
      </c>
      <c r="M997" s="2" t="s">
        <v>305</v>
      </c>
      <c r="N997" s="2" t="s">
        <v>7853</v>
      </c>
      <c r="O997" s="2"/>
      <c r="P997" s="2" t="s">
        <v>79</v>
      </c>
      <c r="Q997" s="4" t="n">
        <v>6794</v>
      </c>
      <c r="R997" s="2" t="s">
        <v>136</v>
      </c>
      <c r="S997" s="2" t="s">
        <v>39</v>
      </c>
      <c r="T997" s="2" t="s">
        <v>403</v>
      </c>
      <c r="U997" s="2" t="s">
        <v>7854</v>
      </c>
      <c r="V997" s="2"/>
      <c r="W997" s="2" t="s">
        <v>190</v>
      </c>
      <c r="X997" s="2" t="s">
        <v>43</v>
      </c>
      <c r="Y997" s="2" t="s">
        <v>37</v>
      </c>
      <c r="Z997" s="2" t="s">
        <v>44</v>
      </c>
      <c r="AA997" s="2" t="s">
        <v>7855</v>
      </c>
      <c r="AB997" s="2"/>
      <c r="AC997" s="2" t="s">
        <v>7856</v>
      </c>
      <c r="AD997" s="2" t="s">
        <v>46</v>
      </c>
    </row>
    <row r="998" customFormat="false" ht="15.7" hidden="false" customHeight="true" outlineLevel="0" collapsed="false">
      <c r="A998" s="2"/>
      <c r="B998" s="3" t="n">
        <f aca="false">DATE(2008,3,5)</f>
        <v>0</v>
      </c>
      <c r="C998" s="3" t="n">
        <v>39512</v>
      </c>
      <c r="D998" s="2" t="s">
        <v>7857</v>
      </c>
      <c r="F998" s="2" t="s">
        <v>7858</v>
      </c>
      <c r="G998" s="2" t="s">
        <v>7859</v>
      </c>
      <c r="H998" s="2" t="s">
        <v>7860</v>
      </c>
      <c r="I998" s="2" t="s">
        <v>51</v>
      </c>
      <c r="J998" s="2" t="s">
        <v>4919</v>
      </c>
      <c r="K998" s="2" t="s">
        <v>7861</v>
      </c>
      <c r="L998" s="2" t="s">
        <v>51</v>
      </c>
      <c r="M998" s="2" t="s">
        <v>7862</v>
      </c>
      <c r="N998" s="2" t="s">
        <v>7863</v>
      </c>
      <c r="O998" s="2"/>
      <c r="P998" s="2" t="s">
        <v>37</v>
      </c>
      <c r="Q998" s="4" t="n">
        <v>8731</v>
      </c>
      <c r="R998" s="2" t="s">
        <v>56</v>
      </c>
      <c r="S998" s="2" t="s">
        <v>92</v>
      </c>
      <c r="T998" s="2" t="s">
        <v>40</v>
      </c>
      <c r="U998" s="2" t="s">
        <v>7864</v>
      </c>
      <c r="V998" s="2"/>
      <c r="W998" s="2" t="s">
        <v>42</v>
      </c>
      <c r="X998" s="2" t="s">
        <v>43</v>
      </c>
      <c r="Y998" s="2" t="s">
        <v>37</v>
      </c>
      <c r="Z998" s="2" t="s">
        <v>44</v>
      </c>
      <c r="AA998" s="2"/>
      <c r="AB998" s="2"/>
      <c r="AC998" s="2" t="s">
        <v>7865</v>
      </c>
      <c r="AD998" s="2" t="s">
        <v>46</v>
      </c>
    </row>
    <row r="999" customFormat="false" ht="15.7" hidden="false" customHeight="true" outlineLevel="0" collapsed="false">
      <c r="A999" s="2"/>
      <c r="B999" s="3" t="n">
        <f aca="false">DATE(2008,3,5)</f>
        <v>0</v>
      </c>
      <c r="C999" s="3" t="n">
        <v>39512</v>
      </c>
      <c r="D999" s="2" t="s">
        <v>7866</v>
      </c>
      <c r="F999" s="2" t="s">
        <v>7867</v>
      </c>
      <c r="G999" s="2" t="s">
        <v>7868</v>
      </c>
      <c r="H999" s="2" t="s">
        <v>7869</v>
      </c>
      <c r="I999" s="2" t="s">
        <v>51</v>
      </c>
      <c r="J999" s="2" t="s">
        <v>171</v>
      </c>
      <c r="K999" s="2" t="s">
        <v>7870</v>
      </c>
      <c r="L999" s="2" t="s">
        <v>51</v>
      </c>
      <c r="M999" s="2" t="s">
        <v>1020</v>
      </c>
      <c r="N999" s="2" t="s">
        <v>7871</v>
      </c>
      <c r="O999" s="2"/>
      <c r="P999" s="2" t="s">
        <v>37</v>
      </c>
      <c r="Q999" s="4" t="n">
        <v>8731</v>
      </c>
      <c r="R999" s="2" t="s">
        <v>56</v>
      </c>
      <c r="S999" s="2" t="s">
        <v>92</v>
      </c>
      <c r="T999" s="2" t="s">
        <v>40</v>
      </c>
      <c r="U999" s="2" t="s">
        <v>7872</v>
      </c>
      <c r="V999" s="2"/>
      <c r="W999" s="2" t="s">
        <v>42</v>
      </c>
      <c r="X999" s="2" t="s">
        <v>43</v>
      </c>
      <c r="Y999" s="2" t="s">
        <v>37</v>
      </c>
      <c r="Z999" s="2" t="s">
        <v>44</v>
      </c>
      <c r="AA999" s="2"/>
      <c r="AB999" s="2"/>
      <c r="AC999" s="2" t="s">
        <v>7873</v>
      </c>
      <c r="AD999" s="2" t="s">
        <v>46</v>
      </c>
    </row>
    <row r="1000" customFormat="false" ht="15.7" hidden="false" customHeight="true" outlineLevel="0" collapsed="false">
      <c r="A1000" s="2"/>
      <c r="B1000" s="3" t="n">
        <f aca="false">DATE(2008,3,5)</f>
        <v>0</v>
      </c>
      <c r="C1000" s="3" t="n">
        <v>39512</v>
      </c>
      <c r="D1000" s="2" t="s">
        <v>7874</v>
      </c>
      <c r="F1000" s="2" t="s">
        <v>7875</v>
      </c>
      <c r="G1000" s="2" t="s">
        <v>7876</v>
      </c>
      <c r="H1000" s="2" t="s">
        <v>7877</v>
      </c>
      <c r="I1000" s="2" t="s">
        <v>51</v>
      </c>
      <c r="J1000" s="2" t="s">
        <v>2980</v>
      </c>
      <c r="K1000" s="2" t="s">
        <v>7878</v>
      </c>
      <c r="L1000" s="2" t="s">
        <v>965</v>
      </c>
      <c r="M1000" s="2" t="s">
        <v>7879</v>
      </c>
      <c r="N1000" s="2" t="s">
        <v>7880</v>
      </c>
      <c r="O1000" s="2"/>
      <c r="P1000" s="2" t="s">
        <v>37</v>
      </c>
      <c r="Q1000" s="4" t="n">
        <v>8731</v>
      </c>
      <c r="R1000" s="2" t="s">
        <v>56</v>
      </c>
      <c r="S1000" s="2" t="s">
        <v>92</v>
      </c>
      <c r="T1000" s="2" t="s">
        <v>40</v>
      </c>
      <c r="U1000" s="2" t="s">
        <v>7881</v>
      </c>
      <c r="V1000" s="2"/>
      <c r="W1000" s="2" t="s">
        <v>42</v>
      </c>
      <c r="X1000" s="2" t="s">
        <v>43</v>
      </c>
      <c r="Y1000" s="2" t="s">
        <v>37</v>
      </c>
      <c r="Z1000" s="2" t="s">
        <v>44</v>
      </c>
      <c r="AA1000" s="2"/>
      <c r="AB1000" s="2"/>
      <c r="AC1000" s="2" t="s">
        <v>7882</v>
      </c>
      <c r="AD1000" s="2" t="s">
        <v>46</v>
      </c>
    </row>
    <row r="1001" customFormat="false" ht="15.7" hidden="false" customHeight="true" outlineLevel="0" collapsed="false">
      <c r="A1001" s="2"/>
      <c r="B1001" s="3" t="n">
        <f aca="false">DATE(2008,3,6)</f>
        <v>0</v>
      </c>
      <c r="C1001" s="3" t="n">
        <v>39513</v>
      </c>
      <c r="D1001" s="2" t="s">
        <v>7883</v>
      </c>
      <c r="F1001" s="2" t="s">
        <v>7884</v>
      </c>
      <c r="G1001" s="2" t="s">
        <v>7885</v>
      </c>
      <c r="H1001" s="2" t="s">
        <v>130</v>
      </c>
      <c r="I1001" s="2" t="s">
        <v>51</v>
      </c>
      <c r="J1001" s="2" t="s">
        <v>7886</v>
      </c>
      <c r="K1001" s="2" t="s">
        <v>7883</v>
      </c>
      <c r="L1001" s="2" t="s">
        <v>51</v>
      </c>
      <c r="M1001" s="2" t="s">
        <v>130</v>
      </c>
      <c r="N1001" s="2" t="s">
        <v>7887</v>
      </c>
      <c r="O1001" s="2"/>
      <c r="P1001" s="2" t="s">
        <v>37</v>
      </c>
      <c r="Q1001" s="4" t="n">
        <v>8731</v>
      </c>
      <c r="R1001" s="2" t="s">
        <v>56</v>
      </c>
      <c r="S1001" s="2" t="s">
        <v>92</v>
      </c>
      <c r="T1001" s="2" t="s">
        <v>40</v>
      </c>
      <c r="U1001" s="2" t="s">
        <v>7888</v>
      </c>
      <c r="V1001" s="2"/>
      <c r="W1001" s="2" t="s">
        <v>42</v>
      </c>
      <c r="X1001" s="2" t="s">
        <v>43</v>
      </c>
      <c r="Y1001" s="2" t="s">
        <v>37</v>
      </c>
      <c r="Z1001" s="2" t="s">
        <v>44</v>
      </c>
      <c r="AA1001" s="2"/>
      <c r="AB1001" s="2"/>
      <c r="AC1001" s="2" t="s">
        <v>7889</v>
      </c>
      <c r="AD1001" s="2" t="s">
        <v>46</v>
      </c>
    </row>
    <row r="1002" customFormat="false" ht="15.7" hidden="false" customHeight="true" outlineLevel="0" collapsed="false">
      <c r="A1002" s="2"/>
      <c r="B1002" s="3" t="n">
        <f aca="false">DATE(2008,3,6)</f>
        <v>0</v>
      </c>
      <c r="C1002" s="3" t="n">
        <v>39513</v>
      </c>
      <c r="D1002" s="2" t="s">
        <v>7890</v>
      </c>
      <c r="F1002" s="2" t="s">
        <v>200</v>
      </c>
      <c r="G1002" s="2" t="s">
        <v>7891</v>
      </c>
      <c r="H1002" s="2" t="s">
        <v>170</v>
      </c>
      <c r="I1002" s="2" t="s">
        <v>131</v>
      </c>
      <c r="J1002" s="2" t="s">
        <v>132</v>
      </c>
      <c r="K1002" s="2" t="s">
        <v>7890</v>
      </c>
      <c r="L1002" s="2" t="s">
        <v>131</v>
      </c>
      <c r="M1002" s="2" t="s">
        <v>170</v>
      </c>
      <c r="N1002" s="2" t="s">
        <v>7892</v>
      </c>
      <c r="O1002" s="2"/>
      <c r="P1002" s="2" t="s">
        <v>37</v>
      </c>
      <c r="Q1002" s="4" t="n">
        <v>8731</v>
      </c>
      <c r="R1002" s="2" t="s">
        <v>136</v>
      </c>
      <c r="S1002" s="2" t="s">
        <v>39</v>
      </c>
      <c r="T1002" s="2" t="s">
        <v>40</v>
      </c>
      <c r="U1002" s="2" t="s">
        <v>7893</v>
      </c>
      <c r="V1002" s="2"/>
      <c r="W1002" s="2" t="s">
        <v>42</v>
      </c>
      <c r="X1002" s="2" t="s">
        <v>43</v>
      </c>
      <c r="Y1002" s="2" t="s">
        <v>37</v>
      </c>
      <c r="Z1002" s="2" t="s">
        <v>44</v>
      </c>
      <c r="AA1002" s="2"/>
      <c r="AB1002" s="2"/>
      <c r="AC1002" s="2" t="s">
        <v>7894</v>
      </c>
      <c r="AD1002" s="2" t="s">
        <v>46</v>
      </c>
    </row>
    <row r="1003" customFormat="false" ht="15.7" hidden="false" customHeight="true" outlineLevel="0" collapsed="false">
      <c r="A1003" s="2"/>
      <c r="B1003" s="3" t="n">
        <f aca="false">DATE(2008,3,7)</f>
        <v>0</v>
      </c>
      <c r="C1003" s="3" t="n">
        <v>39514</v>
      </c>
      <c r="D1003" s="2" t="s">
        <v>7895</v>
      </c>
      <c r="F1003" s="2" t="s">
        <v>7896</v>
      </c>
      <c r="G1003" s="2" t="s">
        <v>7897</v>
      </c>
      <c r="H1003" s="2" t="s">
        <v>63</v>
      </c>
      <c r="I1003" s="2" t="s">
        <v>219</v>
      </c>
      <c r="J1003" s="2" t="s">
        <v>514</v>
      </c>
      <c r="K1003" s="2" t="s">
        <v>7895</v>
      </c>
      <c r="L1003" s="2" t="s">
        <v>219</v>
      </c>
      <c r="M1003" s="2" t="s">
        <v>63</v>
      </c>
      <c r="N1003" s="2" t="s">
        <v>7898</v>
      </c>
      <c r="O1003" s="2"/>
      <c r="P1003" s="2" t="s">
        <v>79</v>
      </c>
      <c r="Q1003" s="4" t="n">
        <v>6794</v>
      </c>
      <c r="R1003" s="2" t="s">
        <v>136</v>
      </c>
      <c r="S1003" s="2" t="s">
        <v>39</v>
      </c>
      <c r="T1003" s="2" t="s">
        <v>40</v>
      </c>
      <c r="U1003" s="2" t="s">
        <v>7899</v>
      </c>
      <c r="V1003" s="2"/>
      <c r="W1003" s="2" t="s">
        <v>82</v>
      </c>
      <c r="X1003" s="2" t="s">
        <v>43</v>
      </c>
      <c r="Y1003" s="2" t="s">
        <v>37</v>
      </c>
      <c r="Z1003" s="2" t="s">
        <v>44</v>
      </c>
      <c r="AA1003" s="2"/>
      <c r="AB1003" s="2"/>
      <c r="AC1003" s="2" t="s">
        <v>7900</v>
      </c>
      <c r="AD1003" s="2" t="s">
        <v>46</v>
      </c>
    </row>
    <row r="1004" customFormat="false" ht="15.7" hidden="false" customHeight="true" outlineLevel="0" collapsed="false">
      <c r="A1004" s="2"/>
      <c r="B1004" s="3" t="n">
        <f aca="false">DATE(2008,3,10)</f>
        <v>0</v>
      </c>
      <c r="C1004" s="3" t="n">
        <v>39517</v>
      </c>
      <c r="D1004" s="2" t="s">
        <v>7901</v>
      </c>
      <c r="F1004" s="2" t="s">
        <v>7902</v>
      </c>
      <c r="G1004" s="2" t="s">
        <v>7903</v>
      </c>
      <c r="H1004" s="2" t="s">
        <v>305</v>
      </c>
      <c r="I1004" s="2" t="s">
        <v>7904</v>
      </c>
      <c r="J1004" s="2" t="s">
        <v>35</v>
      </c>
      <c r="K1004" s="2" t="s">
        <v>7901</v>
      </c>
      <c r="L1004" s="2" t="s">
        <v>7904</v>
      </c>
      <c r="M1004" s="2" t="s">
        <v>305</v>
      </c>
      <c r="N1004" s="2" t="s">
        <v>7905</v>
      </c>
      <c r="O1004" s="2"/>
      <c r="P1004" s="2" t="s">
        <v>37</v>
      </c>
      <c r="Q1004" s="4" t="n">
        <v>8731</v>
      </c>
      <c r="R1004" s="2" t="s">
        <v>136</v>
      </c>
      <c r="S1004" s="2" t="s">
        <v>39</v>
      </c>
      <c r="T1004" s="2" t="s">
        <v>40</v>
      </c>
      <c r="U1004" s="2" t="s">
        <v>7906</v>
      </c>
      <c r="V1004" s="2"/>
      <c r="W1004" s="2" t="s">
        <v>42</v>
      </c>
      <c r="X1004" s="2" t="s">
        <v>43</v>
      </c>
      <c r="Y1004" s="2" t="s">
        <v>37</v>
      </c>
      <c r="Z1004" s="2" t="s">
        <v>44</v>
      </c>
      <c r="AA1004" s="2"/>
      <c r="AB1004" s="2"/>
      <c r="AC1004" s="2" t="s">
        <v>7907</v>
      </c>
      <c r="AD1004" s="2" t="s">
        <v>46</v>
      </c>
    </row>
    <row r="1005" customFormat="false" ht="15.7" hidden="false" customHeight="true" outlineLevel="0" collapsed="false">
      <c r="A1005" s="2"/>
      <c r="B1005" s="3" t="n">
        <f aca="false">DATE(2008,3,11)</f>
        <v>0</v>
      </c>
      <c r="C1005" s="3" t="n">
        <v>39518</v>
      </c>
      <c r="D1005" s="2" t="s">
        <v>7908</v>
      </c>
      <c r="F1005" s="2" t="s">
        <v>7909</v>
      </c>
      <c r="G1005" s="2" t="s">
        <v>7910</v>
      </c>
      <c r="H1005" s="2" t="s">
        <v>7911</v>
      </c>
      <c r="I1005" s="2" t="s">
        <v>1080</v>
      </c>
      <c r="J1005" s="2" t="s">
        <v>35</v>
      </c>
      <c r="K1005" s="2" t="s">
        <v>7908</v>
      </c>
      <c r="L1005" s="2" t="s">
        <v>1080</v>
      </c>
      <c r="M1005" s="2" t="s">
        <v>7911</v>
      </c>
      <c r="N1005" s="2" t="s">
        <v>7912</v>
      </c>
      <c r="O1005" s="2"/>
      <c r="P1005" s="2" t="s">
        <v>37</v>
      </c>
      <c r="Q1005" s="4" t="n">
        <v>3621</v>
      </c>
      <c r="R1005" s="2" t="s">
        <v>2201</v>
      </c>
      <c r="S1005" s="2" t="s">
        <v>39</v>
      </c>
      <c r="T1005" s="2" t="s">
        <v>403</v>
      </c>
      <c r="U1005" s="2" t="s">
        <v>7913</v>
      </c>
      <c r="V1005" s="2"/>
      <c r="W1005" s="2" t="s">
        <v>107</v>
      </c>
      <c r="X1005" s="2" t="s">
        <v>46</v>
      </c>
      <c r="Y1005" s="2" t="s">
        <v>37</v>
      </c>
      <c r="Z1005" s="2" t="s">
        <v>362</v>
      </c>
      <c r="AA1005" s="2" t="s">
        <v>7914</v>
      </c>
      <c r="AB1005" s="2"/>
      <c r="AC1005" s="2" t="s">
        <v>7915</v>
      </c>
      <c r="AD1005" s="2" t="s">
        <v>46</v>
      </c>
    </row>
    <row r="1006" customFormat="false" ht="15.7" hidden="false" customHeight="true" outlineLevel="0" collapsed="false">
      <c r="A1006" s="2"/>
      <c r="B1006" s="3" t="n">
        <f aca="false">DATE(2008,3,11)</f>
        <v>0</v>
      </c>
      <c r="C1006" s="3" t="n">
        <v>39518</v>
      </c>
      <c r="D1006" s="2" t="s">
        <v>7916</v>
      </c>
      <c r="F1006" s="2" t="s">
        <v>7917</v>
      </c>
      <c r="G1006" s="2" t="s">
        <v>7918</v>
      </c>
      <c r="H1006" s="2" t="s">
        <v>7919</v>
      </c>
      <c r="I1006" s="2" t="s">
        <v>7920</v>
      </c>
      <c r="J1006" s="2" t="s">
        <v>7921</v>
      </c>
      <c r="K1006" s="2" t="s">
        <v>7916</v>
      </c>
      <c r="L1006" s="2" t="s">
        <v>7920</v>
      </c>
      <c r="M1006" s="2" t="s">
        <v>7919</v>
      </c>
      <c r="N1006" s="2" t="s">
        <v>7922</v>
      </c>
      <c r="O1006" s="2"/>
      <c r="P1006" s="2" t="s">
        <v>79</v>
      </c>
      <c r="Q1006" s="4" t="n">
        <v>2834</v>
      </c>
      <c r="R1006" s="2" t="s">
        <v>56</v>
      </c>
      <c r="S1006" s="2" t="s">
        <v>315</v>
      </c>
      <c r="T1006" s="2" t="s">
        <v>403</v>
      </c>
      <c r="U1006" s="2" t="s">
        <v>7923</v>
      </c>
      <c r="V1006" s="2"/>
      <c r="W1006" s="2" t="s">
        <v>7924</v>
      </c>
      <c r="X1006" s="2" t="s">
        <v>46</v>
      </c>
      <c r="Y1006" s="2" t="s">
        <v>37</v>
      </c>
      <c r="Z1006" s="2" t="s">
        <v>452</v>
      </c>
      <c r="AA1006" s="2"/>
      <c r="AB1006" s="2"/>
      <c r="AC1006" s="2" t="s">
        <v>7925</v>
      </c>
      <c r="AD1006" s="2" t="s">
        <v>46</v>
      </c>
    </row>
    <row r="1007" customFormat="false" ht="15.7" hidden="false" customHeight="true" outlineLevel="0" collapsed="false">
      <c r="A1007" s="2"/>
      <c r="B1007" s="3" t="n">
        <f aca="false">DATE(2008,3,11)</f>
        <v>0</v>
      </c>
      <c r="C1007" s="3" t="n">
        <v>39518</v>
      </c>
      <c r="D1007" s="2" t="s">
        <v>7926</v>
      </c>
      <c r="F1007" s="2" t="s">
        <v>7927</v>
      </c>
      <c r="G1007" s="2" t="s">
        <v>7928</v>
      </c>
      <c r="H1007" s="2" t="s">
        <v>7929</v>
      </c>
      <c r="I1007" s="2" t="s">
        <v>2530</v>
      </c>
      <c r="J1007" s="2" t="s">
        <v>7930</v>
      </c>
      <c r="K1007" s="2" t="s">
        <v>7931</v>
      </c>
      <c r="L1007" s="2" t="s">
        <v>2530</v>
      </c>
      <c r="M1007" s="2" t="s">
        <v>7932</v>
      </c>
      <c r="N1007" s="2" t="s">
        <v>7933</v>
      </c>
      <c r="O1007" s="2"/>
      <c r="P1007" s="2" t="s">
        <v>37</v>
      </c>
      <c r="Q1007" s="4" t="n">
        <v>8731</v>
      </c>
      <c r="R1007" s="2" t="s">
        <v>56</v>
      </c>
      <c r="S1007" s="2" t="s">
        <v>977</v>
      </c>
      <c r="T1007" s="2" t="s">
        <v>40</v>
      </c>
      <c r="U1007" s="2" t="s">
        <v>7934</v>
      </c>
      <c r="V1007" s="2"/>
      <c r="W1007" s="2" t="s">
        <v>42</v>
      </c>
      <c r="X1007" s="2" t="s">
        <v>43</v>
      </c>
      <c r="Y1007" s="2" t="s">
        <v>37</v>
      </c>
      <c r="Z1007" s="2" t="s">
        <v>916</v>
      </c>
      <c r="AA1007" s="2"/>
      <c r="AB1007" s="2"/>
      <c r="AC1007" s="2" t="s">
        <v>7935</v>
      </c>
      <c r="AD1007" s="2" t="s">
        <v>46</v>
      </c>
    </row>
    <row r="1008" customFormat="false" ht="15.7" hidden="false" customHeight="true" outlineLevel="0" collapsed="false">
      <c r="A1008" s="2"/>
      <c r="B1008" s="3" t="n">
        <f aca="false">DATE(2008,3,12)</f>
        <v>0</v>
      </c>
      <c r="C1008" s="3" t="n">
        <v>39519</v>
      </c>
      <c r="D1008" s="2" t="s">
        <v>7936</v>
      </c>
      <c r="F1008" s="2" t="s">
        <v>7937</v>
      </c>
      <c r="G1008" s="2" t="s">
        <v>7938</v>
      </c>
      <c r="H1008" s="2" t="s">
        <v>1246</v>
      </c>
      <c r="I1008" s="2" t="s">
        <v>51</v>
      </c>
      <c r="J1008" s="2" t="s">
        <v>4097</v>
      </c>
      <c r="K1008" s="2" t="s">
        <v>7939</v>
      </c>
      <c r="L1008" s="2" t="s">
        <v>51</v>
      </c>
      <c r="M1008" s="2" t="s">
        <v>7940</v>
      </c>
      <c r="N1008" s="2" t="s">
        <v>7941</v>
      </c>
      <c r="O1008" s="2"/>
      <c r="P1008" s="2" t="s">
        <v>37</v>
      </c>
      <c r="Q1008" s="4" t="n">
        <v>8731</v>
      </c>
      <c r="R1008" s="2" t="s">
        <v>56</v>
      </c>
      <c r="S1008" s="2" t="s">
        <v>7942</v>
      </c>
      <c r="T1008" s="2" t="s">
        <v>40</v>
      </c>
      <c r="U1008" s="2" t="s">
        <v>7943</v>
      </c>
      <c r="V1008" s="2"/>
      <c r="W1008" s="2" t="s">
        <v>42</v>
      </c>
      <c r="X1008" s="2" t="s">
        <v>43</v>
      </c>
      <c r="Y1008" s="2" t="s">
        <v>37</v>
      </c>
      <c r="Z1008" s="2" t="s">
        <v>44</v>
      </c>
      <c r="AA1008" s="2"/>
      <c r="AB1008" s="2"/>
      <c r="AC1008" s="2" t="s">
        <v>7944</v>
      </c>
      <c r="AD1008" s="2" t="s">
        <v>46</v>
      </c>
    </row>
    <row r="1009" customFormat="false" ht="15.7" hidden="false" customHeight="true" outlineLevel="0" collapsed="false">
      <c r="A1009" s="2"/>
      <c r="B1009" s="3" t="n">
        <f aca="false">DATE(2008,3,12)</f>
        <v>0</v>
      </c>
      <c r="C1009" s="3" t="n">
        <v>39519</v>
      </c>
      <c r="D1009" s="2" t="s">
        <v>7945</v>
      </c>
      <c r="F1009" s="2" t="s">
        <v>7946</v>
      </c>
      <c r="G1009" s="2" t="s">
        <v>7947</v>
      </c>
      <c r="H1009" s="2" t="s">
        <v>7948</v>
      </c>
      <c r="I1009" s="2" t="s">
        <v>296</v>
      </c>
      <c r="J1009" s="2" t="s">
        <v>65</v>
      </c>
      <c r="K1009" s="2" t="s">
        <v>7945</v>
      </c>
      <c r="L1009" s="2" t="s">
        <v>296</v>
      </c>
      <c r="M1009" s="2" t="s">
        <v>7948</v>
      </c>
      <c r="N1009" s="2" t="s">
        <v>7949</v>
      </c>
      <c r="O1009" s="2"/>
      <c r="P1009" s="2" t="s">
        <v>37</v>
      </c>
      <c r="Q1009" s="4" t="n">
        <v>8731</v>
      </c>
      <c r="R1009" s="2" t="s">
        <v>136</v>
      </c>
      <c r="S1009" s="2" t="s">
        <v>39</v>
      </c>
      <c r="T1009" s="2" t="s">
        <v>40</v>
      </c>
      <c r="U1009" s="2" t="s">
        <v>7950</v>
      </c>
      <c r="V1009" s="2"/>
      <c r="W1009" s="2" t="s">
        <v>42</v>
      </c>
      <c r="X1009" s="2" t="s">
        <v>43</v>
      </c>
      <c r="Y1009" s="2" t="s">
        <v>37</v>
      </c>
      <c r="Z1009" s="2" t="s">
        <v>44</v>
      </c>
      <c r="AA1009" s="2"/>
      <c r="AB1009" s="2"/>
      <c r="AC1009" s="2" t="s">
        <v>7951</v>
      </c>
      <c r="AD1009" s="2" t="s">
        <v>46</v>
      </c>
    </row>
    <row r="1010" customFormat="false" ht="15.7" hidden="false" customHeight="true" outlineLevel="0" collapsed="false">
      <c r="A1010" s="2"/>
      <c r="B1010" s="3" t="n">
        <f aca="false">DATE(2008,3,12)</f>
        <v>0</v>
      </c>
      <c r="C1010" s="3" t="n">
        <v>39519</v>
      </c>
      <c r="D1010" s="2" t="s">
        <v>7952</v>
      </c>
      <c r="F1010" s="2" t="s">
        <v>7953</v>
      </c>
      <c r="G1010" s="2" t="s">
        <v>7954</v>
      </c>
      <c r="H1010" s="2" t="s">
        <v>7955</v>
      </c>
      <c r="I1010" s="2" t="s">
        <v>51</v>
      </c>
      <c r="J1010" s="2" t="s">
        <v>5365</v>
      </c>
      <c r="K1010" s="2" t="s">
        <v>7952</v>
      </c>
      <c r="L1010" s="2" t="s">
        <v>51</v>
      </c>
      <c r="M1010" s="2" t="s">
        <v>7955</v>
      </c>
      <c r="N1010" s="2" t="s">
        <v>7956</v>
      </c>
      <c r="O1010" s="2"/>
      <c r="P1010" s="2" t="s">
        <v>37</v>
      </c>
      <c r="Q1010" s="4" t="n">
        <v>8742</v>
      </c>
      <c r="R1010" s="2" t="s">
        <v>56</v>
      </c>
      <c r="S1010" s="2" t="s">
        <v>92</v>
      </c>
      <c r="T1010" s="2" t="s">
        <v>40</v>
      </c>
      <c r="U1010" s="2" t="s">
        <v>7957</v>
      </c>
      <c r="V1010" s="2"/>
      <c r="W1010" s="2" t="s">
        <v>7958</v>
      </c>
      <c r="X1010" s="2" t="s">
        <v>43</v>
      </c>
      <c r="Y1010" s="2" t="s">
        <v>37</v>
      </c>
      <c r="Z1010" s="2" t="s">
        <v>44</v>
      </c>
      <c r="AA1010" s="2"/>
      <c r="AB1010" s="2"/>
      <c r="AC1010" s="2" t="s">
        <v>7959</v>
      </c>
      <c r="AD1010" s="2" t="s">
        <v>46</v>
      </c>
    </row>
    <row r="1011" customFormat="false" ht="15.7" hidden="false" customHeight="true" outlineLevel="0" collapsed="false">
      <c r="A1011" s="2"/>
      <c r="B1011" s="3" t="n">
        <f aca="false">DATE(2008,3,13)</f>
        <v>0</v>
      </c>
      <c r="C1011" s="3" t="n">
        <v>39520</v>
      </c>
      <c r="D1011" s="2" t="s">
        <v>7960</v>
      </c>
      <c r="F1011" s="2" t="s">
        <v>7961</v>
      </c>
      <c r="G1011" s="2" t="s">
        <v>7962</v>
      </c>
      <c r="H1011" s="2" t="s">
        <v>130</v>
      </c>
      <c r="I1011" s="2" t="s">
        <v>296</v>
      </c>
      <c r="J1011" s="2" t="s">
        <v>7963</v>
      </c>
      <c r="K1011" s="2" t="s">
        <v>7960</v>
      </c>
      <c r="L1011" s="2" t="s">
        <v>296</v>
      </c>
      <c r="M1011" s="2" t="s">
        <v>130</v>
      </c>
      <c r="N1011" s="2" t="s">
        <v>7964</v>
      </c>
      <c r="O1011" s="2"/>
      <c r="P1011" s="2" t="s">
        <v>79</v>
      </c>
      <c r="Q1011" s="4" t="n">
        <v>6794</v>
      </c>
      <c r="R1011" s="2" t="s">
        <v>136</v>
      </c>
      <c r="S1011" s="2" t="s">
        <v>39</v>
      </c>
      <c r="T1011" s="2" t="s">
        <v>40</v>
      </c>
      <c r="U1011" s="2" t="s">
        <v>7965</v>
      </c>
      <c r="V1011" s="2"/>
      <c r="W1011" s="2" t="s">
        <v>72</v>
      </c>
      <c r="X1011" s="2" t="s">
        <v>43</v>
      </c>
      <c r="Y1011" s="2" t="s">
        <v>37</v>
      </c>
      <c r="Z1011" s="2" t="s">
        <v>44</v>
      </c>
      <c r="AA1011" s="2"/>
      <c r="AB1011" s="2"/>
      <c r="AC1011" s="2" t="s">
        <v>7966</v>
      </c>
      <c r="AD1011" s="2" t="s">
        <v>46</v>
      </c>
    </row>
    <row r="1012" customFormat="false" ht="15.7" hidden="false" customHeight="true" outlineLevel="0" collapsed="false">
      <c r="A1012" s="2"/>
      <c r="B1012" s="3" t="n">
        <f aca="false">DATE(2008,3,13)</f>
        <v>0</v>
      </c>
      <c r="C1012" s="3" t="n">
        <v>39520</v>
      </c>
      <c r="D1012" s="2" t="s">
        <v>7967</v>
      </c>
      <c r="F1012" s="2" t="s">
        <v>7968</v>
      </c>
      <c r="G1012" s="2" t="s">
        <v>7969</v>
      </c>
      <c r="H1012" s="2" t="s">
        <v>7970</v>
      </c>
      <c r="I1012" s="2" t="s">
        <v>51</v>
      </c>
      <c r="J1012" s="2" t="s">
        <v>7971</v>
      </c>
      <c r="K1012" s="2" t="s">
        <v>7967</v>
      </c>
      <c r="L1012" s="2" t="s">
        <v>51</v>
      </c>
      <c r="M1012" s="2" t="s">
        <v>7970</v>
      </c>
      <c r="N1012" s="2" t="s">
        <v>7972</v>
      </c>
      <c r="O1012" s="2"/>
      <c r="P1012" s="2" t="s">
        <v>37</v>
      </c>
      <c r="Q1012" s="4" t="n">
        <v>8731</v>
      </c>
      <c r="R1012" s="2" t="s">
        <v>56</v>
      </c>
      <c r="S1012" s="2" t="s">
        <v>315</v>
      </c>
      <c r="T1012" s="2" t="s">
        <v>40</v>
      </c>
      <c r="U1012" s="2" t="s">
        <v>7973</v>
      </c>
      <c r="V1012" s="2"/>
      <c r="W1012" s="2" t="s">
        <v>138</v>
      </c>
      <c r="X1012" s="2" t="s">
        <v>43</v>
      </c>
      <c r="Y1012" s="2" t="s">
        <v>37</v>
      </c>
      <c r="Z1012" s="2" t="s">
        <v>44</v>
      </c>
      <c r="AA1012" s="2"/>
      <c r="AB1012" s="2"/>
      <c r="AC1012" s="2" t="s">
        <v>7974</v>
      </c>
      <c r="AD1012" s="2" t="s">
        <v>46</v>
      </c>
    </row>
    <row r="1013" customFormat="false" ht="15.7" hidden="false" customHeight="true" outlineLevel="0" collapsed="false">
      <c r="A1013" s="2"/>
      <c r="B1013" s="3" t="n">
        <f aca="false">DATE(2008,3,17)</f>
        <v>0</v>
      </c>
      <c r="C1013" s="3" t="n">
        <v>39524</v>
      </c>
      <c r="D1013" s="2" t="s">
        <v>7975</v>
      </c>
      <c r="F1013" s="2" t="s">
        <v>7976</v>
      </c>
      <c r="G1013" s="2" t="s">
        <v>7977</v>
      </c>
      <c r="H1013" s="2" t="s">
        <v>1875</v>
      </c>
      <c r="I1013" s="2" t="s">
        <v>6245</v>
      </c>
      <c r="J1013" s="2" t="s">
        <v>35</v>
      </c>
      <c r="K1013" s="2" t="s">
        <v>7978</v>
      </c>
      <c r="L1013" s="2" t="s">
        <v>6245</v>
      </c>
      <c r="M1013" s="2" t="s">
        <v>5116</v>
      </c>
      <c r="N1013" s="2" t="s">
        <v>7979</v>
      </c>
      <c r="O1013" s="2"/>
      <c r="P1013" s="2" t="s">
        <v>37</v>
      </c>
      <c r="Q1013" s="4" t="n">
        <v>8731</v>
      </c>
      <c r="R1013" s="2" t="s">
        <v>136</v>
      </c>
      <c r="S1013" s="2" t="s">
        <v>39</v>
      </c>
      <c r="T1013" s="2" t="s">
        <v>40</v>
      </c>
      <c r="U1013" s="2" t="s">
        <v>7980</v>
      </c>
      <c r="V1013" s="2"/>
      <c r="W1013" s="2" t="s">
        <v>42</v>
      </c>
      <c r="X1013" s="2" t="s">
        <v>43</v>
      </c>
      <c r="Y1013" s="2" t="s">
        <v>37</v>
      </c>
      <c r="Z1013" s="2" t="s">
        <v>44</v>
      </c>
      <c r="AA1013" s="2"/>
      <c r="AB1013" s="2"/>
      <c r="AC1013" s="2" t="s">
        <v>7981</v>
      </c>
      <c r="AD1013" s="2" t="s">
        <v>46</v>
      </c>
    </row>
    <row r="1014" customFormat="false" ht="15.7" hidden="false" customHeight="true" outlineLevel="0" collapsed="false">
      <c r="A1014" s="2"/>
      <c r="B1014" s="3" t="n">
        <f aca="false">DATE(2008,3,17)</f>
        <v>0</v>
      </c>
      <c r="C1014" s="3" t="n">
        <v>39524</v>
      </c>
      <c r="D1014" s="2" t="s">
        <v>7982</v>
      </c>
      <c r="F1014" s="2" t="s">
        <v>7983</v>
      </c>
      <c r="G1014" s="2" t="s">
        <v>7984</v>
      </c>
      <c r="H1014" s="2" t="s">
        <v>7985</v>
      </c>
      <c r="I1014" s="2" t="s">
        <v>51</v>
      </c>
      <c r="J1014" s="2" t="s">
        <v>187</v>
      </c>
      <c r="K1014" s="2" t="s">
        <v>7982</v>
      </c>
      <c r="L1014" s="2" t="s">
        <v>51</v>
      </c>
      <c r="M1014" s="2" t="s">
        <v>7985</v>
      </c>
      <c r="N1014" s="2" t="s">
        <v>7986</v>
      </c>
      <c r="O1014" s="2"/>
      <c r="P1014" s="2" t="s">
        <v>37</v>
      </c>
      <c r="Q1014" s="4" t="n">
        <v>8731</v>
      </c>
      <c r="R1014" s="2" t="s">
        <v>56</v>
      </c>
      <c r="S1014" s="2" t="s">
        <v>977</v>
      </c>
      <c r="T1014" s="2" t="s">
        <v>40</v>
      </c>
      <c r="U1014" s="2" t="s">
        <v>7987</v>
      </c>
      <c r="V1014" s="2"/>
      <c r="W1014" s="2" t="s">
        <v>42</v>
      </c>
      <c r="X1014" s="2" t="s">
        <v>43</v>
      </c>
      <c r="Y1014" s="2" t="s">
        <v>37</v>
      </c>
      <c r="Z1014" s="2" t="s">
        <v>44</v>
      </c>
      <c r="AA1014" s="2"/>
      <c r="AB1014" s="2"/>
      <c r="AC1014" s="2" t="s">
        <v>7988</v>
      </c>
      <c r="AD1014" s="2" t="s">
        <v>46</v>
      </c>
    </row>
    <row r="1015" customFormat="false" ht="15.7" hidden="false" customHeight="true" outlineLevel="0" collapsed="false">
      <c r="A1015" s="2"/>
      <c r="B1015" s="3" t="n">
        <f aca="false">DATE(2008,3,17)</f>
        <v>0</v>
      </c>
      <c r="C1015" s="3" t="n">
        <v>39524</v>
      </c>
      <c r="D1015" s="2" t="s">
        <v>7989</v>
      </c>
      <c r="F1015" s="2" t="s">
        <v>1260</v>
      </c>
      <c r="G1015" s="2" t="s">
        <v>7990</v>
      </c>
      <c r="H1015" s="2" t="s">
        <v>130</v>
      </c>
      <c r="I1015" s="2" t="s">
        <v>100</v>
      </c>
      <c r="J1015" s="2" t="s">
        <v>65</v>
      </c>
      <c r="K1015" s="2" t="s">
        <v>7989</v>
      </c>
      <c r="L1015" s="2" t="s">
        <v>100</v>
      </c>
      <c r="M1015" s="2" t="s">
        <v>130</v>
      </c>
      <c r="N1015" s="2" t="s">
        <v>7991</v>
      </c>
      <c r="O1015" s="2"/>
      <c r="P1015" s="2" t="s">
        <v>79</v>
      </c>
      <c r="Q1015" s="4" t="n">
        <v>6794</v>
      </c>
      <c r="R1015" s="2" t="s">
        <v>136</v>
      </c>
      <c r="S1015" s="2" t="s">
        <v>39</v>
      </c>
      <c r="T1015" s="2" t="s">
        <v>40</v>
      </c>
      <c r="U1015" s="2" t="s">
        <v>7992</v>
      </c>
      <c r="V1015" s="2"/>
      <c r="W1015" s="2" t="s">
        <v>253</v>
      </c>
      <c r="X1015" s="2" t="s">
        <v>43</v>
      </c>
      <c r="Y1015" s="2" t="s">
        <v>37</v>
      </c>
      <c r="Z1015" s="2" t="s">
        <v>44</v>
      </c>
      <c r="AA1015" s="2"/>
      <c r="AB1015" s="2"/>
      <c r="AC1015" s="2" t="s">
        <v>7993</v>
      </c>
      <c r="AD1015" s="2" t="s">
        <v>46</v>
      </c>
    </row>
    <row r="1016" customFormat="false" ht="15.7" hidden="false" customHeight="true" outlineLevel="0" collapsed="false">
      <c r="A1016" s="2"/>
      <c r="B1016" s="3" t="n">
        <f aca="false">DATE(2008,3,17)</f>
        <v>0</v>
      </c>
      <c r="C1016" s="3" t="n">
        <v>39524</v>
      </c>
      <c r="D1016" s="2" t="s">
        <v>7994</v>
      </c>
      <c r="F1016" s="2" t="s">
        <v>2814</v>
      </c>
      <c r="G1016" s="2" t="s">
        <v>7995</v>
      </c>
      <c r="H1016" s="2" t="s">
        <v>1770</v>
      </c>
      <c r="I1016" s="2" t="s">
        <v>670</v>
      </c>
      <c r="J1016" s="2" t="s">
        <v>514</v>
      </c>
      <c r="K1016" s="2" t="s">
        <v>7996</v>
      </c>
      <c r="L1016" s="2" t="s">
        <v>5999</v>
      </c>
      <c r="M1016" s="2" t="s">
        <v>7997</v>
      </c>
      <c r="N1016" s="2" t="s">
        <v>7998</v>
      </c>
      <c r="O1016" s="2"/>
      <c r="P1016" s="2" t="s">
        <v>37</v>
      </c>
      <c r="Q1016" s="4" t="n">
        <v>8731</v>
      </c>
      <c r="R1016" s="2" t="s">
        <v>402</v>
      </c>
      <c r="S1016" s="2" t="s">
        <v>39</v>
      </c>
      <c r="T1016" s="2" t="s">
        <v>403</v>
      </c>
      <c r="U1016" s="2" t="s">
        <v>7999</v>
      </c>
      <c r="V1016" s="2"/>
      <c r="W1016" s="2" t="s">
        <v>42</v>
      </c>
      <c r="X1016" s="2" t="s">
        <v>46</v>
      </c>
      <c r="Y1016" s="2" t="s">
        <v>37</v>
      </c>
      <c r="Z1016" s="2" t="s">
        <v>8000</v>
      </c>
      <c r="AA1016" s="2"/>
      <c r="AB1016" s="2"/>
      <c r="AC1016" s="2" t="s">
        <v>8001</v>
      </c>
      <c r="AD1016" s="2" t="s">
        <v>46</v>
      </c>
    </row>
    <row r="1017" customFormat="false" ht="15.7" hidden="false" customHeight="true" outlineLevel="0" collapsed="false">
      <c r="A1017" s="2"/>
      <c r="B1017" s="3" t="n">
        <f aca="false">DATE(2008,3,18)</f>
        <v>0</v>
      </c>
      <c r="C1017" s="3" t="n">
        <v>39525</v>
      </c>
      <c r="D1017" s="2" t="s">
        <v>8002</v>
      </c>
      <c r="F1017" s="2" t="s">
        <v>8003</v>
      </c>
      <c r="G1017" s="2" t="s">
        <v>8004</v>
      </c>
      <c r="H1017" s="2" t="s">
        <v>1271</v>
      </c>
      <c r="I1017" s="2" t="s">
        <v>219</v>
      </c>
      <c r="J1017" s="2" t="s">
        <v>4383</v>
      </c>
      <c r="K1017" s="2" t="s">
        <v>8002</v>
      </c>
      <c r="L1017" s="2" t="s">
        <v>219</v>
      </c>
      <c r="M1017" s="2" t="s">
        <v>1271</v>
      </c>
      <c r="N1017" s="2" t="s">
        <v>8005</v>
      </c>
      <c r="O1017" s="2"/>
      <c r="P1017" s="2" t="s">
        <v>79</v>
      </c>
      <c r="Q1017" s="4" t="n">
        <v>6794</v>
      </c>
      <c r="R1017" s="2" t="s">
        <v>136</v>
      </c>
      <c r="S1017" s="2" t="s">
        <v>39</v>
      </c>
      <c r="T1017" s="2" t="s">
        <v>40</v>
      </c>
      <c r="U1017" s="2" t="s">
        <v>8006</v>
      </c>
      <c r="V1017" s="2"/>
      <c r="W1017" s="2" t="s">
        <v>82</v>
      </c>
      <c r="X1017" s="2" t="s">
        <v>43</v>
      </c>
      <c r="Y1017" s="2" t="s">
        <v>37</v>
      </c>
      <c r="Z1017" s="2" t="s">
        <v>44</v>
      </c>
      <c r="AA1017" s="2"/>
      <c r="AB1017" s="2"/>
      <c r="AC1017" s="2" t="s">
        <v>8007</v>
      </c>
      <c r="AD1017" s="2" t="s">
        <v>46</v>
      </c>
    </row>
    <row r="1018" customFormat="false" ht="15.7" hidden="false" customHeight="true" outlineLevel="0" collapsed="false">
      <c r="A1018" s="2"/>
      <c r="B1018" s="3" t="n">
        <f aca="false">DATE(2008,3,18)</f>
        <v>0</v>
      </c>
      <c r="C1018" s="3" t="n">
        <v>39525</v>
      </c>
      <c r="D1018" s="2" t="s">
        <v>8008</v>
      </c>
      <c r="F1018" s="2" t="s">
        <v>256</v>
      </c>
      <c r="G1018" s="2" t="s">
        <v>8009</v>
      </c>
      <c r="H1018" s="2" t="s">
        <v>170</v>
      </c>
      <c r="I1018" s="2" t="s">
        <v>1415</v>
      </c>
      <c r="J1018" s="2" t="s">
        <v>65</v>
      </c>
      <c r="K1018" s="2" t="s">
        <v>8010</v>
      </c>
      <c r="L1018" s="2" t="s">
        <v>1415</v>
      </c>
      <c r="M1018" s="2" t="s">
        <v>1770</v>
      </c>
      <c r="N1018" s="2" t="s">
        <v>8011</v>
      </c>
      <c r="O1018" s="2"/>
      <c r="P1018" s="2" t="s">
        <v>37</v>
      </c>
      <c r="Q1018" s="4" t="n">
        <v>8731</v>
      </c>
      <c r="R1018" s="2" t="s">
        <v>136</v>
      </c>
      <c r="S1018" s="2" t="s">
        <v>39</v>
      </c>
      <c r="T1018" s="2" t="s">
        <v>40</v>
      </c>
      <c r="U1018" s="2" t="s">
        <v>8012</v>
      </c>
      <c r="V1018" s="2"/>
      <c r="W1018" s="2" t="s">
        <v>42</v>
      </c>
      <c r="X1018" s="2" t="s">
        <v>43</v>
      </c>
      <c r="Y1018" s="2" t="s">
        <v>37</v>
      </c>
      <c r="Z1018" s="2" t="s">
        <v>44</v>
      </c>
      <c r="AA1018" s="2"/>
      <c r="AB1018" s="2"/>
      <c r="AC1018" s="2" t="s">
        <v>8013</v>
      </c>
      <c r="AD1018" s="2" t="s">
        <v>46</v>
      </c>
    </row>
    <row r="1019" customFormat="false" ht="15.7" hidden="false" customHeight="true" outlineLevel="0" collapsed="false">
      <c r="A1019" s="2"/>
      <c r="B1019" s="3" t="n">
        <f aca="false">DATE(2008,3,20)</f>
        <v>0</v>
      </c>
      <c r="C1019" s="3" t="n">
        <v>39527</v>
      </c>
      <c r="D1019" s="2" t="s">
        <v>8014</v>
      </c>
      <c r="F1019" s="2" t="s">
        <v>8015</v>
      </c>
      <c r="G1019" s="2" t="s">
        <v>8016</v>
      </c>
      <c r="H1019" s="2" t="s">
        <v>8017</v>
      </c>
      <c r="I1019" s="2" t="s">
        <v>8018</v>
      </c>
      <c r="J1019" s="2" t="s">
        <v>35</v>
      </c>
      <c r="K1019" s="2" t="s">
        <v>8019</v>
      </c>
      <c r="L1019" s="2" t="s">
        <v>5647</v>
      </c>
      <c r="M1019" s="2" t="s">
        <v>8020</v>
      </c>
      <c r="N1019" s="2" t="s">
        <v>8021</v>
      </c>
      <c r="O1019" s="2"/>
      <c r="P1019" s="2" t="s">
        <v>37</v>
      </c>
      <c r="Q1019" s="4" t="n">
        <v>8731</v>
      </c>
      <c r="R1019" s="2" t="s">
        <v>450</v>
      </c>
      <c r="S1019" s="2" t="s">
        <v>39</v>
      </c>
      <c r="T1019" s="2" t="s">
        <v>40</v>
      </c>
      <c r="U1019" s="2" t="s">
        <v>8022</v>
      </c>
      <c r="V1019" s="2"/>
      <c r="W1019" s="2" t="s">
        <v>42</v>
      </c>
      <c r="X1019" s="2" t="s">
        <v>43</v>
      </c>
      <c r="Y1019" s="2" t="s">
        <v>37</v>
      </c>
      <c r="Z1019" s="2" t="s">
        <v>44</v>
      </c>
      <c r="AA1019" s="2"/>
      <c r="AB1019" s="2"/>
      <c r="AC1019" s="2" t="s">
        <v>8023</v>
      </c>
      <c r="AD1019" s="2" t="s">
        <v>46</v>
      </c>
    </row>
    <row r="1020" customFormat="false" ht="15.7" hidden="false" customHeight="true" outlineLevel="0" collapsed="false">
      <c r="A1020" s="2"/>
      <c r="B1020" s="3" t="n">
        <f aca="false">DATE(2008,3,24)</f>
        <v>0</v>
      </c>
      <c r="C1020" s="3" t="n">
        <v>39531</v>
      </c>
      <c r="D1020" s="2" t="s">
        <v>8024</v>
      </c>
      <c r="F1020" s="2" t="s">
        <v>8025</v>
      </c>
      <c r="G1020" s="2" t="s">
        <v>8026</v>
      </c>
      <c r="H1020" s="2" t="s">
        <v>170</v>
      </c>
      <c r="I1020" s="2" t="s">
        <v>51</v>
      </c>
      <c r="J1020" s="2" t="s">
        <v>8027</v>
      </c>
      <c r="K1020" s="2" t="s">
        <v>8028</v>
      </c>
      <c r="L1020" s="2" t="s">
        <v>51</v>
      </c>
      <c r="M1020" s="2" t="s">
        <v>170</v>
      </c>
      <c r="N1020" s="2" t="s">
        <v>8029</v>
      </c>
      <c r="O1020" s="2"/>
      <c r="P1020" s="2" t="s">
        <v>37</v>
      </c>
      <c r="Q1020" s="4" t="n">
        <v>8731</v>
      </c>
      <c r="R1020" s="2" t="s">
        <v>56</v>
      </c>
      <c r="S1020" s="2" t="s">
        <v>92</v>
      </c>
      <c r="T1020" s="2" t="s">
        <v>40</v>
      </c>
      <c r="U1020" s="2" t="s">
        <v>8030</v>
      </c>
      <c r="V1020" s="2"/>
      <c r="W1020" s="2" t="s">
        <v>42</v>
      </c>
      <c r="X1020" s="2" t="s">
        <v>43</v>
      </c>
      <c r="Y1020" s="2" t="s">
        <v>37</v>
      </c>
      <c r="Z1020" s="2" t="s">
        <v>44</v>
      </c>
      <c r="AA1020" s="2"/>
      <c r="AB1020" s="2"/>
      <c r="AC1020" s="2" t="s">
        <v>8031</v>
      </c>
      <c r="AD1020" s="2" t="s">
        <v>46</v>
      </c>
    </row>
    <row r="1021" customFormat="false" ht="15.7" hidden="false" customHeight="true" outlineLevel="0" collapsed="false">
      <c r="A1021" s="2"/>
      <c r="B1021" s="3" t="n">
        <f aca="false">DATE(2008,3,25)</f>
        <v>0</v>
      </c>
      <c r="C1021" s="3" t="n">
        <v>39532</v>
      </c>
      <c r="D1021" s="2" t="s">
        <v>8032</v>
      </c>
      <c r="F1021" s="2" t="s">
        <v>3043</v>
      </c>
      <c r="G1021" s="2" t="s">
        <v>8033</v>
      </c>
      <c r="H1021" s="2" t="s">
        <v>1101</v>
      </c>
      <c r="I1021" s="2" t="s">
        <v>549</v>
      </c>
      <c r="J1021" s="2" t="s">
        <v>966</v>
      </c>
      <c r="K1021" s="2" t="s">
        <v>8032</v>
      </c>
      <c r="L1021" s="2" t="s">
        <v>549</v>
      </c>
      <c r="M1021" s="2" t="s">
        <v>1101</v>
      </c>
      <c r="N1021" s="2" t="s">
        <v>8034</v>
      </c>
      <c r="O1021" s="2"/>
      <c r="P1021" s="2" t="s">
        <v>79</v>
      </c>
      <c r="Q1021" s="4" t="n">
        <v>8731</v>
      </c>
      <c r="R1021" s="2" t="s">
        <v>136</v>
      </c>
      <c r="S1021" s="2" t="s">
        <v>39</v>
      </c>
      <c r="T1021" s="2" t="s">
        <v>40</v>
      </c>
      <c r="U1021" s="2" t="s">
        <v>8035</v>
      </c>
      <c r="V1021" s="2"/>
      <c r="W1021" s="2" t="s">
        <v>1050</v>
      </c>
      <c r="X1021" s="2" t="s">
        <v>43</v>
      </c>
      <c r="Y1021" s="2" t="s">
        <v>37</v>
      </c>
      <c r="Z1021" s="2" t="s">
        <v>44</v>
      </c>
      <c r="AA1021" s="2"/>
      <c r="AB1021" s="2"/>
      <c r="AC1021" s="2" t="s">
        <v>8036</v>
      </c>
      <c r="AD1021" s="2" t="s">
        <v>46</v>
      </c>
    </row>
    <row r="1022" customFormat="false" ht="15.7" hidden="false" customHeight="true" outlineLevel="0" collapsed="false">
      <c r="A1022" s="2"/>
      <c r="B1022" s="3" t="n">
        <f aca="false">DATE(2008,3,25)</f>
        <v>0</v>
      </c>
      <c r="C1022" s="3" t="n">
        <v>39532</v>
      </c>
      <c r="D1022" s="2" t="s">
        <v>8037</v>
      </c>
      <c r="F1022" s="2" t="s">
        <v>8038</v>
      </c>
      <c r="G1022" s="2" t="s">
        <v>8039</v>
      </c>
      <c r="H1022" s="2" t="s">
        <v>2959</v>
      </c>
      <c r="I1022" s="2" t="s">
        <v>51</v>
      </c>
      <c r="J1022" s="2" t="s">
        <v>8040</v>
      </c>
      <c r="K1022" s="2" t="s">
        <v>8041</v>
      </c>
      <c r="L1022" s="2" t="s">
        <v>51</v>
      </c>
      <c r="M1022" s="2" t="s">
        <v>1770</v>
      </c>
      <c r="N1022" s="2" t="s">
        <v>8042</v>
      </c>
      <c r="O1022" s="2"/>
      <c r="P1022" s="2" t="s">
        <v>37</v>
      </c>
      <c r="Q1022" s="4" t="n">
        <v>8731</v>
      </c>
      <c r="R1022" s="2" t="s">
        <v>56</v>
      </c>
      <c r="S1022" s="2" t="s">
        <v>8043</v>
      </c>
      <c r="T1022" s="2" t="s">
        <v>40</v>
      </c>
      <c r="U1022" s="2" t="s">
        <v>8044</v>
      </c>
      <c r="V1022" s="2"/>
      <c r="W1022" s="2" t="s">
        <v>42</v>
      </c>
      <c r="X1022" s="2" t="s">
        <v>43</v>
      </c>
      <c r="Y1022" s="2" t="s">
        <v>37</v>
      </c>
      <c r="Z1022" s="2" t="s">
        <v>44</v>
      </c>
      <c r="AA1022" s="2"/>
      <c r="AB1022" s="2"/>
      <c r="AC1022" s="2" t="s">
        <v>8045</v>
      </c>
      <c r="AD1022" s="2" t="s">
        <v>46</v>
      </c>
    </row>
    <row r="1023" customFormat="false" ht="15.7" hidden="false" customHeight="true" outlineLevel="0" collapsed="false">
      <c r="A1023" s="2"/>
      <c r="B1023" s="3" t="n">
        <f aca="false">DATE(2008,3,26)</f>
        <v>0</v>
      </c>
      <c r="C1023" s="3" t="n">
        <v>39533</v>
      </c>
      <c r="D1023" s="2" t="s">
        <v>8046</v>
      </c>
      <c r="F1023" s="2" t="s">
        <v>8047</v>
      </c>
      <c r="G1023" s="2" t="s">
        <v>8048</v>
      </c>
      <c r="H1023" s="2" t="s">
        <v>8049</v>
      </c>
      <c r="I1023" s="2" t="s">
        <v>549</v>
      </c>
      <c r="J1023" s="2" t="s">
        <v>1341</v>
      </c>
      <c r="K1023" s="2" t="s">
        <v>8046</v>
      </c>
      <c r="L1023" s="2" t="s">
        <v>549</v>
      </c>
      <c r="M1023" s="2" t="s">
        <v>8049</v>
      </c>
      <c r="N1023" s="2" t="s">
        <v>8050</v>
      </c>
      <c r="O1023" s="2"/>
      <c r="P1023" s="2" t="s">
        <v>37</v>
      </c>
      <c r="Q1023" s="4" t="n">
        <v>8731</v>
      </c>
      <c r="R1023" s="2" t="s">
        <v>136</v>
      </c>
      <c r="S1023" s="2" t="s">
        <v>39</v>
      </c>
      <c r="T1023" s="2" t="s">
        <v>40</v>
      </c>
      <c r="U1023" s="2" t="s">
        <v>8051</v>
      </c>
      <c r="V1023" s="2"/>
      <c r="W1023" s="2" t="s">
        <v>697</v>
      </c>
      <c r="X1023" s="2" t="s">
        <v>43</v>
      </c>
      <c r="Y1023" s="2" t="s">
        <v>37</v>
      </c>
      <c r="Z1023" s="2" t="s">
        <v>44</v>
      </c>
      <c r="AA1023" s="2"/>
      <c r="AB1023" s="2"/>
      <c r="AC1023" s="2" t="s">
        <v>8052</v>
      </c>
      <c r="AD1023" s="2" t="s">
        <v>46</v>
      </c>
    </row>
    <row r="1024" customFormat="false" ht="15.7" hidden="false" customHeight="true" outlineLevel="0" collapsed="false">
      <c r="A1024" s="2"/>
      <c r="B1024" s="3" t="n">
        <f aca="false">DATE(2008,3,26)</f>
        <v>0</v>
      </c>
      <c r="C1024" s="3" t="n">
        <v>39533</v>
      </c>
      <c r="D1024" s="2" t="s">
        <v>8053</v>
      </c>
      <c r="F1024" s="2" t="s">
        <v>8054</v>
      </c>
      <c r="G1024" s="2" t="s">
        <v>8055</v>
      </c>
      <c r="H1024" s="2" t="s">
        <v>8056</v>
      </c>
      <c r="I1024" s="2" t="s">
        <v>51</v>
      </c>
      <c r="J1024" s="2" t="s">
        <v>2272</v>
      </c>
      <c r="K1024" s="2" t="s">
        <v>8053</v>
      </c>
      <c r="L1024" s="2" t="s">
        <v>51</v>
      </c>
      <c r="M1024" s="2" t="s">
        <v>8056</v>
      </c>
      <c r="N1024" s="2" t="s">
        <v>8057</v>
      </c>
      <c r="O1024" s="2"/>
      <c r="P1024" s="2" t="s">
        <v>37</v>
      </c>
      <c r="Q1024" s="4" t="n">
        <v>8731</v>
      </c>
      <c r="R1024" s="2" t="s">
        <v>56</v>
      </c>
      <c r="S1024" s="2" t="s">
        <v>92</v>
      </c>
      <c r="T1024" s="2" t="s">
        <v>40</v>
      </c>
      <c r="U1024" s="2" t="s">
        <v>8058</v>
      </c>
      <c r="V1024" s="2"/>
      <c r="W1024" s="2" t="s">
        <v>42</v>
      </c>
      <c r="X1024" s="2" t="s">
        <v>43</v>
      </c>
      <c r="Y1024" s="2" t="s">
        <v>37</v>
      </c>
      <c r="Z1024" s="2" t="s">
        <v>44</v>
      </c>
      <c r="AA1024" s="2"/>
      <c r="AB1024" s="2"/>
      <c r="AC1024" s="2" t="s">
        <v>8059</v>
      </c>
      <c r="AD1024" s="2" t="s">
        <v>46</v>
      </c>
    </row>
    <row r="1025" customFormat="false" ht="15.7" hidden="false" customHeight="true" outlineLevel="0" collapsed="false">
      <c r="A1025" s="2"/>
      <c r="B1025" s="3" t="n">
        <f aca="false">DATE(2008,3,26)</f>
        <v>0</v>
      </c>
      <c r="C1025" s="3" t="n">
        <v>39533</v>
      </c>
      <c r="D1025" s="2" t="s">
        <v>8060</v>
      </c>
      <c r="F1025" s="2" t="s">
        <v>8061</v>
      </c>
      <c r="G1025" s="2" t="s">
        <v>8062</v>
      </c>
      <c r="H1025" s="2" t="s">
        <v>8063</v>
      </c>
      <c r="I1025" s="2" t="s">
        <v>51</v>
      </c>
      <c r="J1025" s="2" t="s">
        <v>8064</v>
      </c>
      <c r="K1025" s="2" t="s">
        <v>8065</v>
      </c>
      <c r="L1025" s="2" t="s">
        <v>51</v>
      </c>
      <c r="M1025" s="2" t="s">
        <v>8066</v>
      </c>
      <c r="N1025" s="2" t="s">
        <v>8067</v>
      </c>
      <c r="O1025" s="2"/>
      <c r="P1025" s="2" t="s">
        <v>37</v>
      </c>
      <c r="Q1025" s="4" t="n">
        <v>8731</v>
      </c>
      <c r="R1025" s="2" t="s">
        <v>56</v>
      </c>
      <c r="S1025" s="2" t="s">
        <v>92</v>
      </c>
      <c r="T1025" s="2" t="s">
        <v>40</v>
      </c>
      <c r="U1025" s="2" t="s">
        <v>8068</v>
      </c>
      <c r="V1025" s="2"/>
      <c r="W1025" s="2" t="s">
        <v>42</v>
      </c>
      <c r="X1025" s="2" t="s">
        <v>43</v>
      </c>
      <c r="Y1025" s="2" t="s">
        <v>37</v>
      </c>
      <c r="Z1025" s="2" t="s">
        <v>44</v>
      </c>
      <c r="AA1025" s="2"/>
      <c r="AB1025" s="2"/>
      <c r="AC1025" s="2" t="s">
        <v>8069</v>
      </c>
      <c r="AD1025" s="2" t="s">
        <v>46</v>
      </c>
    </row>
    <row r="1026" customFormat="false" ht="15.7" hidden="false" customHeight="true" outlineLevel="0" collapsed="false">
      <c r="A1026" s="2"/>
      <c r="B1026" s="3" t="n">
        <f aca="false">DATE(2008,3,26)</f>
        <v>0</v>
      </c>
      <c r="C1026" s="3" t="n">
        <v>39533</v>
      </c>
      <c r="D1026" s="2" t="s">
        <v>8070</v>
      </c>
      <c r="F1026" s="2" t="s">
        <v>8071</v>
      </c>
      <c r="G1026" s="2" t="s">
        <v>8072</v>
      </c>
      <c r="H1026" s="2" t="s">
        <v>8073</v>
      </c>
      <c r="I1026" s="2" t="s">
        <v>1973</v>
      </c>
      <c r="J1026" s="2" t="s">
        <v>35</v>
      </c>
      <c r="K1026" s="2" t="s">
        <v>8074</v>
      </c>
      <c r="L1026" s="2" t="s">
        <v>1973</v>
      </c>
      <c r="M1026" s="2" t="s">
        <v>238</v>
      </c>
      <c r="N1026" s="2" t="s">
        <v>8075</v>
      </c>
      <c r="O1026" s="2"/>
      <c r="P1026" s="2" t="s">
        <v>79</v>
      </c>
      <c r="Q1026" s="4" t="n">
        <v>8731</v>
      </c>
      <c r="R1026" s="2" t="s">
        <v>402</v>
      </c>
      <c r="S1026" s="2" t="s">
        <v>39</v>
      </c>
      <c r="T1026" s="2" t="s">
        <v>40</v>
      </c>
      <c r="U1026" s="2" t="s">
        <v>8076</v>
      </c>
      <c r="V1026" s="2"/>
      <c r="W1026" s="2" t="s">
        <v>8077</v>
      </c>
      <c r="X1026" s="2" t="s">
        <v>43</v>
      </c>
      <c r="Y1026" s="2" t="s">
        <v>37</v>
      </c>
      <c r="Z1026" s="2" t="s">
        <v>44</v>
      </c>
      <c r="AA1026" s="2"/>
      <c r="AB1026" s="2"/>
      <c r="AC1026" s="2" t="s">
        <v>8078</v>
      </c>
      <c r="AD1026" s="2" t="s">
        <v>46</v>
      </c>
    </row>
    <row r="1027" customFormat="false" ht="15.7" hidden="false" customHeight="true" outlineLevel="0" collapsed="false">
      <c r="A1027" s="2"/>
      <c r="B1027" s="3" t="n">
        <f aca="false">DATE(2008,3,27)</f>
        <v>0</v>
      </c>
      <c r="C1027" s="3" t="n">
        <v>39534</v>
      </c>
      <c r="D1027" s="2" t="s">
        <v>8079</v>
      </c>
      <c r="F1027" s="2" t="s">
        <v>1052</v>
      </c>
      <c r="G1027" s="2" t="s">
        <v>8080</v>
      </c>
      <c r="H1027" s="2" t="s">
        <v>63</v>
      </c>
      <c r="I1027" s="2" t="s">
        <v>921</v>
      </c>
      <c r="J1027" s="2" t="s">
        <v>35</v>
      </c>
      <c r="K1027" s="2" t="s">
        <v>8079</v>
      </c>
      <c r="L1027" s="2" t="s">
        <v>921</v>
      </c>
      <c r="M1027" s="2" t="s">
        <v>63</v>
      </c>
      <c r="N1027" s="2" t="s">
        <v>8081</v>
      </c>
      <c r="O1027" s="2"/>
      <c r="P1027" s="2" t="s">
        <v>37</v>
      </c>
      <c r="Q1027" s="4" t="n">
        <v>8731</v>
      </c>
      <c r="R1027" s="2" t="s">
        <v>136</v>
      </c>
      <c r="S1027" s="2" t="s">
        <v>39</v>
      </c>
      <c r="T1027" s="2" t="s">
        <v>40</v>
      </c>
      <c r="U1027" s="2" t="s">
        <v>8082</v>
      </c>
      <c r="V1027" s="2"/>
      <c r="W1027" s="2" t="s">
        <v>42</v>
      </c>
      <c r="X1027" s="2" t="s">
        <v>43</v>
      </c>
      <c r="Y1027" s="2" t="s">
        <v>37</v>
      </c>
      <c r="Z1027" s="2" t="s">
        <v>44</v>
      </c>
      <c r="AA1027" s="2"/>
      <c r="AB1027" s="2"/>
      <c r="AC1027" s="2" t="s">
        <v>8083</v>
      </c>
      <c r="AD1027" s="2" t="s">
        <v>46</v>
      </c>
    </row>
    <row r="1028" customFormat="false" ht="15.7" hidden="false" customHeight="true" outlineLevel="0" collapsed="false">
      <c r="A1028" s="2"/>
      <c r="B1028" s="3" t="n">
        <f aca="false">DATE(2008,3,27)</f>
        <v>0</v>
      </c>
      <c r="C1028" s="3" t="n">
        <v>39534</v>
      </c>
      <c r="D1028" s="2" t="s">
        <v>8084</v>
      </c>
      <c r="F1028" s="2" t="s">
        <v>8085</v>
      </c>
      <c r="G1028" s="2" t="s">
        <v>8086</v>
      </c>
      <c r="H1028" s="2" t="s">
        <v>8087</v>
      </c>
      <c r="I1028" s="2" t="s">
        <v>8088</v>
      </c>
      <c r="J1028" s="2" t="s">
        <v>35</v>
      </c>
      <c r="K1028" s="2" t="s">
        <v>8084</v>
      </c>
      <c r="L1028" s="2" t="s">
        <v>8088</v>
      </c>
      <c r="M1028" s="2" t="s">
        <v>8087</v>
      </c>
      <c r="N1028" s="2" t="s">
        <v>8089</v>
      </c>
      <c r="O1028" s="2" t="s">
        <v>8090</v>
      </c>
      <c r="P1028" s="2" t="s">
        <v>37</v>
      </c>
      <c r="Q1028" s="4" t="n">
        <v>2836</v>
      </c>
      <c r="R1028" s="2" t="s">
        <v>2129</v>
      </c>
      <c r="S1028" s="2" t="s">
        <v>39</v>
      </c>
      <c r="T1028" s="2" t="s">
        <v>40</v>
      </c>
      <c r="U1028" s="2" t="s">
        <v>8091</v>
      </c>
      <c r="V1028" s="2"/>
      <c r="W1028" s="2" t="s">
        <v>42</v>
      </c>
      <c r="X1028" s="2" t="s">
        <v>46</v>
      </c>
      <c r="Y1028" s="2" t="s">
        <v>37</v>
      </c>
      <c r="Z1028" s="2" t="s">
        <v>362</v>
      </c>
      <c r="AA1028" s="2"/>
      <c r="AB1028" s="2" t="s">
        <v>8092</v>
      </c>
      <c r="AC1028" s="2" t="s">
        <v>8093</v>
      </c>
      <c r="AD1028" s="2" t="s">
        <v>46</v>
      </c>
    </row>
    <row r="1029" customFormat="false" ht="15.7" hidden="false" customHeight="true" outlineLevel="0" collapsed="false">
      <c r="A1029" s="2"/>
      <c r="B1029" s="3" t="n">
        <f aca="false">DATE(2008,3,27)</f>
        <v>0</v>
      </c>
      <c r="C1029" s="3" t="n">
        <v>39534</v>
      </c>
      <c r="D1029" s="2" t="s">
        <v>8094</v>
      </c>
      <c r="F1029" s="2" t="s">
        <v>8095</v>
      </c>
      <c r="G1029" s="2" t="s">
        <v>8096</v>
      </c>
      <c r="H1029" s="2" t="s">
        <v>8097</v>
      </c>
      <c r="I1029" s="2" t="s">
        <v>5551</v>
      </c>
      <c r="J1029" s="2" t="s">
        <v>35</v>
      </c>
      <c r="K1029" s="2" t="s">
        <v>8094</v>
      </c>
      <c r="L1029" s="2" t="s">
        <v>5551</v>
      </c>
      <c r="M1029" s="2" t="s">
        <v>8097</v>
      </c>
      <c r="N1029" s="2" t="s">
        <v>8098</v>
      </c>
      <c r="O1029" s="2" t="s">
        <v>8099</v>
      </c>
      <c r="P1029" s="2" t="s">
        <v>37</v>
      </c>
      <c r="Q1029" s="4" t="n">
        <v>3612</v>
      </c>
      <c r="R1029" s="2" t="s">
        <v>38</v>
      </c>
      <c r="S1029" s="2" t="s">
        <v>39</v>
      </c>
      <c r="T1029" s="2" t="s">
        <v>403</v>
      </c>
      <c r="U1029" s="2" t="s">
        <v>8100</v>
      </c>
      <c r="V1029" s="2"/>
      <c r="W1029" s="2" t="s">
        <v>7150</v>
      </c>
      <c r="X1029" s="2" t="s">
        <v>46</v>
      </c>
      <c r="Y1029" s="2" t="s">
        <v>37</v>
      </c>
      <c r="Z1029" s="2" t="s">
        <v>8101</v>
      </c>
      <c r="AA1029" s="2" t="s">
        <v>8102</v>
      </c>
      <c r="AB1029" s="2" t="s">
        <v>8103</v>
      </c>
      <c r="AC1029" s="2" t="s">
        <v>8104</v>
      </c>
      <c r="AD1029" s="2" t="s">
        <v>46</v>
      </c>
    </row>
    <row r="1030" customFormat="false" ht="15.7" hidden="false" customHeight="true" outlineLevel="0" collapsed="false">
      <c r="A1030" s="2"/>
      <c r="B1030" s="3" t="n">
        <f aca="false">DATE(2008,3,31)</f>
        <v>0</v>
      </c>
      <c r="C1030" s="3" t="n">
        <v>39538</v>
      </c>
      <c r="D1030" s="2" t="s">
        <v>8105</v>
      </c>
      <c r="F1030" s="2" t="s">
        <v>8106</v>
      </c>
      <c r="G1030" s="2" t="s">
        <v>8107</v>
      </c>
      <c r="H1030" s="2" t="s">
        <v>3840</v>
      </c>
      <c r="I1030" s="2" t="s">
        <v>8108</v>
      </c>
      <c r="J1030" s="2" t="s">
        <v>35</v>
      </c>
      <c r="K1030" s="2" t="s">
        <v>8109</v>
      </c>
      <c r="L1030" s="2" t="s">
        <v>8108</v>
      </c>
      <c r="M1030" s="2" t="s">
        <v>8110</v>
      </c>
      <c r="N1030" s="2" t="s">
        <v>8111</v>
      </c>
      <c r="O1030" s="2" t="s">
        <v>8112</v>
      </c>
      <c r="P1030" s="2" t="s">
        <v>37</v>
      </c>
      <c r="Q1030" s="4" t="n">
        <v>8711</v>
      </c>
      <c r="R1030" s="2" t="s">
        <v>3154</v>
      </c>
      <c r="S1030" s="2" t="s">
        <v>39</v>
      </c>
      <c r="T1030" s="2" t="s">
        <v>40</v>
      </c>
      <c r="U1030" s="2" t="s">
        <v>8113</v>
      </c>
      <c r="V1030" s="2"/>
      <c r="W1030" s="2" t="s">
        <v>5168</v>
      </c>
      <c r="X1030" s="2" t="s">
        <v>46</v>
      </c>
      <c r="Y1030" s="2" t="s">
        <v>37</v>
      </c>
      <c r="Z1030" s="2" t="s">
        <v>987</v>
      </c>
      <c r="AA1030" s="2"/>
      <c r="AB1030" s="2" t="s">
        <v>8114</v>
      </c>
      <c r="AC1030" s="2" t="s">
        <v>8115</v>
      </c>
      <c r="AD1030" s="2" t="s">
        <v>46</v>
      </c>
    </row>
    <row r="1031" customFormat="false" ht="15.7" hidden="false" customHeight="true" outlineLevel="0" collapsed="false">
      <c r="A1031" s="2"/>
      <c r="B1031" s="3" t="n">
        <f aca="false">DATE(2008,3,31)</f>
        <v>0</v>
      </c>
      <c r="C1031" s="3" t="n">
        <v>39538</v>
      </c>
      <c r="D1031" s="2" t="s">
        <v>8116</v>
      </c>
      <c r="F1031" s="2" t="s">
        <v>8117</v>
      </c>
      <c r="G1031" s="2" t="s">
        <v>8118</v>
      </c>
      <c r="H1031" s="2" t="s">
        <v>8119</v>
      </c>
      <c r="I1031" s="2" t="s">
        <v>219</v>
      </c>
      <c r="J1031" s="2" t="s">
        <v>65</v>
      </c>
      <c r="K1031" s="2" t="s">
        <v>8116</v>
      </c>
      <c r="L1031" s="2" t="s">
        <v>219</v>
      </c>
      <c r="M1031" s="2" t="s">
        <v>8119</v>
      </c>
      <c r="N1031" s="2" t="s">
        <v>8120</v>
      </c>
      <c r="O1031" s="2"/>
      <c r="P1031" s="2" t="s">
        <v>79</v>
      </c>
      <c r="Q1031" s="4" t="n">
        <v>6794</v>
      </c>
      <c r="R1031" s="2" t="s">
        <v>136</v>
      </c>
      <c r="S1031" s="2" t="s">
        <v>39</v>
      </c>
      <c r="T1031" s="2" t="s">
        <v>40</v>
      </c>
      <c r="U1031" s="2" t="s">
        <v>8121</v>
      </c>
      <c r="V1031" s="2"/>
      <c r="W1031" s="2" t="s">
        <v>253</v>
      </c>
      <c r="X1031" s="2" t="s">
        <v>43</v>
      </c>
      <c r="Y1031" s="2" t="s">
        <v>37</v>
      </c>
      <c r="Z1031" s="2" t="s">
        <v>44</v>
      </c>
      <c r="AA1031" s="2" t="s">
        <v>8122</v>
      </c>
      <c r="AB1031" s="2"/>
      <c r="AC1031" s="2" t="s">
        <v>8123</v>
      </c>
      <c r="AD1031" s="2" t="s">
        <v>46</v>
      </c>
    </row>
    <row r="1032" customFormat="false" ht="15.7" hidden="false" customHeight="true" outlineLevel="0" collapsed="false">
      <c r="A1032" s="2"/>
      <c r="B1032" s="3" t="n">
        <f aca="false">DATE(2008,3,31)</f>
        <v>0</v>
      </c>
      <c r="C1032" s="3" t="n">
        <v>39538</v>
      </c>
      <c r="D1032" s="2" t="s">
        <v>8124</v>
      </c>
      <c r="F1032" s="2" t="s">
        <v>303</v>
      </c>
      <c r="G1032" s="2" t="s">
        <v>8125</v>
      </c>
      <c r="H1032" s="2" t="s">
        <v>305</v>
      </c>
      <c r="I1032" s="2" t="s">
        <v>1544</v>
      </c>
      <c r="J1032" s="2" t="s">
        <v>132</v>
      </c>
      <c r="K1032" s="2" t="s">
        <v>8126</v>
      </c>
      <c r="L1032" s="2" t="s">
        <v>8127</v>
      </c>
      <c r="M1032" s="2" t="s">
        <v>8128</v>
      </c>
      <c r="N1032" s="2" t="s">
        <v>8129</v>
      </c>
      <c r="O1032" s="2"/>
      <c r="P1032" s="2" t="s">
        <v>37</v>
      </c>
      <c r="Q1032" s="4" t="n">
        <v>8731</v>
      </c>
      <c r="R1032" s="2" t="s">
        <v>136</v>
      </c>
      <c r="S1032" s="2" t="s">
        <v>39</v>
      </c>
      <c r="T1032" s="2" t="s">
        <v>40</v>
      </c>
      <c r="U1032" s="2" t="s">
        <v>8130</v>
      </c>
      <c r="V1032" s="2"/>
      <c r="W1032" s="2" t="s">
        <v>42</v>
      </c>
      <c r="X1032" s="2" t="s">
        <v>43</v>
      </c>
      <c r="Y1032" s="2" t="s">
        <v>37</v>
      </c>
      <c r="Z1032" s="2" t="s">
        <v>44</v>
      </c>
      <c r="AA1032" s="2"/>
      <c r="AB1032" s="2"/>
      <c r="AC1032" s="2" t="s">
        <v>8131</v>
      </c>
      <c r="AD1032" s="2" t="s">
        <v>46</v>
      </c>
    </row>
    <row r="1033" customFormat="false" ht="15.7" hidden="false" customHeight="true" outlineLevel="0" collapsed="false">
      <c r="A1033" s="2"/>
      <c r="B1033" s="3" t="n">
        <f aca="false">DATE(2008,3,31)</f>
        <v>0</v>
      </c>
      <c r="C1033" s="3" t="n">
        <v>39538</v>
      </c>
      <c r="D1033" s="2" t="s">
        <v>8132</v>
      </c>
      <c r="F1033" s="2" t="s">
        <v>8133</v>
      </c>
      <c r="G1033" s="2" t="s">
        <v>8134</v>
      </c>
      <c r="H1033" s="2" t="s">
        <v>63</v>
      </c>
      <c r="I1033" s="2" t="s">
        <v>286</v>
      </c>
      <c r="J1033" s="2" t="s">
        <v>35</v>
      </c>
      <c r="K1033" s="2" t="s">
        <v>8132</v>
      </c>
      <c r="L1033" s="2" t="s">
        <v>286</v>
      </c>
      <c r="M1033" s="2" t="s">
        <v>63</v>
      </c>
      <c r="N1033" s="2" t="s">
        <v>8135</v>
      </c>
      <c r="O1033" s="2"/>
      <c r="P1033" s="2" t="s">
        <v>37</v>
      </c>
      <c r="Q1033" s="4" t="n">
        <v>8731</v>
      </c>
      <c r="R1033" s="2" t="s">
        <v>136</v>
      </c>
      <c r="S1033" s="2" t="s">
        <v>39</v>
      </c>
      <c r="T1033" s="2" t="s">
        <v>2444</v>
      </c>
      <c r="U1033" s="2" t="s">
        <v>8136</v>
      </c>
      <c r="V1033" s="2"/>
      <c r="W1033" s="2" t="s">
        <v>42</v>
      </c>
      <c r="X1033" s="2" t="s">
        <v>43</v>
      </c>
      <c r="Y1033" s="2" t="s">
        <v>37</v>
      </c>
      <c r="Z1033" s="2" t="s">
        <v>44</v>
      </c>
      <c r="AA1033" s="2"/>
      <c r="AB1033" s="2"/>
      <c r="AC1033" s="2" t="s">
        <v>8137</v>
      </c>
      <c r="AD1033" s="2" t="s">
        <v>46</v>
      </c>
    </row>
    <row r="1034" customFormat="false" ht="15.7" hidden="false" customHeight="true" outlineLevel="0" collapsed="false">
      <c r="A1034" s="2"/>
      <c r="B1034" s="3" t="n">
        <f aca="false">DATE(2008,4,1)</f>
        <v>0</v>
      </c>
      <c r="C1034" s="3" t="n">
        <v>39539</v>
      </c>
      <c r="D1034" s="2" t="s">
        <v>8138</v>
      </c>
      <c r="F1034" s="2" t="s">
        <v>8139</v>
      </c>
      <c r="G1034" s="2" t="s">
        <v>8140</v>
      </c>
      <c r="H1034" s="2" t="s">
        <v>4301</v>
      </c>
      <c r="I1034" s="2" t="s">
        <v>4179</v>
      </c>
      <c r="J1034" s="2" t="s">
        <v>132</v>
      </c>
      <c r="K1034" s="2" t="s">
        <v>8141</v>
      </c>
      <c r="L1034" s="2" t="s">
        <v>4179</v>
      </c>
      <c r="M1034" s="2" t="s">
        <v>993</v>
      </c>
      <c r="N1034" s="2" t="s">
        <v>8142</v>
      </c>
      <c r="O1034" s="2"/>
      <c r="P1034" s="2" t="s">
        <v>37</v>
      </c>
      <c r="Q1034" s="4" t="n">
        <v>8731</v>
      </c>
      <c r="R1034" s="2" t="s">
        <v>136</v>
      </c>
      <c r="S1034" s="2" t="s">
        <v>39</v>
      </c>
      <c r="T1034" s="2" t="s">
        <v>40</v>
      </c>
      <c r="U1034" s="2" t="s">
        <v>8143</v>
      </c>
      <c r="V1034" s="2"/>
      <c r="W1034" s="2" t="s">
        <v>42</v>
      </c>
      <c r="X1034" s="2" t="s">
        <v>43</v>
      </c>
      <c r="Y1034" s="2" t="s">
        <v>37</v>
      </c>
      <c r="Z1034" s="2" t="s">
        <v>44</v>
      </c>
      <c r="AA1034" s="2"/>
      <c r="AB1034" s="2"/>
      <c r="AC1034" s="2" t="s">
        <v>8144</v>
      </c>
      <c r="AD1034" s="2" t="s">
        <v>46</v>
      </c>
    </row>
    <row r="1035" customFormat="false" ht="15.7" hidden="false" customHeight="true" outlineLevel="0" collapsed="false">
      <c r="A1035" s="2"/>
      <c r="B1035" s="3" t="n">
        <f aca="false">DATE(2008,4,2)</f>
        <v>0</v>
      </c>
      <c r="C1035" s="3" t="n">
        <v>39540</v>
      </c>
      <c r="D1035" s="2" t="s">
        <v>8145</v>
      </c>
      <c r="F1035" s="2" t="s">
        <v>8146</v>
      </c>
      <c r="G1035" s="2" t="s">
        <v>8147</v>
      </c>
      <c r="H1035" s="2" t="s">
        <v>5982</v>
      </c>
      <c r="I1035" s="2" t="s">
        <v>5173</v>
      </c>
      <c r="J1035" s="2" t="s">
        <v>35</v>
      </c>
      <c r="K1035" s="2" t="s">
        <v>8145</v>
      </c>
      <c r="L1035" s="2" t="s">
        <v>5173</v>
      </c>
      <c r="M1035" s="2" t="s">
        <v>5982</v>
      </c>
      <c r="N1035" s="2" t="s">
        <v>8148</v>
      </c>
      <c r="O1035" s="2"/>
      <c r="P1035" s="2" t="s">
        <v>37</v>
      </c>
      <c r="Q1035" s="4" t="n">
        <v>8731</v>
      </c>
      <c r="R1035" s="2" t="s">
        <v>136</v>
      </c>
      <c r="S1035" s="2" t="s">
        <v>39</v>
      </c>
      <c r="T1035" s="2" t="s">
        <v>40</v>
      </c>
      <c r="U1035" s="2" t="s">
        <v>8149</v>
      </c>
      <c r="V1035" s="2"/>
      <c r="W1035" s="2" t="s">
        <v>42</v>
      </c>
      <c r="X1035" s="2" t="s">
        <v>43</v>
      </c>
      <c r="Y1035" s="2" t="s">
        <v>37</v>
      </c>
      <c r="Z1035" s="2" t="s">
        <v>44</v>
      </c>
      <c r="AA1035" s="2"/>
      <c r="AB1035" s="2"/>
      <c r="AC1035" s="2" t="s">
        <v>8150</v>
      </c>
      <c r="AD1035" s="2" t="s">
        <v>46</v>
      </c>
    </row>
    <row r="1036" customFormat="false" ht="15.7" hidden="false" customHeight="true" outlineLevel="0" collapsed="false">
      <c r="A1036" s="2"/>
      <c r="B1036" s="3" t="n">
        <f aca="false">DATE(2008,4,3)</f>
        <v>0</v>
      </c>
      <c r="C1036" s="3" t="n">
        <v>39541</v>
      </c>
      <c r="D1036" s="2" t="s">
        <v>8151</v>
      </c>
      <c r="F1036" s="2" t="s">
        <v>8152</v>
      </c>
      <c r="G1036" s="2" t="s">
        <v>8153</v>
      </c>
      <c r="H1036" s="2" t="s">
        <v>6112</v>
      </c>
      <c r="I1036" s="2" t="s">
        <v>8154</v>
      </c>
      <c r="J1036" s="2" t="s">
        <v>1456</v>
      </c>
      <c r="K1036" s="2" t="s">
        <v>8151</v>
      </c>
      <c r="L1036" s="2" t="s">
        <v>8154</v>
      </c>
      <c r="M1036" s="2" t="s">
        <v>6112</v>
      </c>
      <c r="N1036" s="2" t="s">
        <v>8155</v>
      </c>
      <c r="O1036" s="2"/>
      <c r="P1036" s="2" t="s">
        <v>37</v>
      </c>
      <c r="Q1036" s="4" t="n">
        <v>8731</v>
      </c>
      <c r="R1036" s="2" t="s">
        <v>136</v>
      </c>
      <c r="S1036" s="2" t="s">
        <v>39</v>
      </c>
      <c r="T1036" s="2" t="s">
        <v>673</v>
      </c>
      <c r="U1036" s="2" t="s">
        <v>8156</v>
      </c>
      <c r="V1036" s="2"/>
      <c r="W1036" s="2" t="s">
        <v>42</v>
      </c>
      <c r="X1036" s="2" t="s">
        <v>43</v>
      </c>
      <c r="Y1036" s="2" t="s">
        <v>37</v>
      </c>
      <c r="Z1036" s="2" t="s">
        <v>44</v>
      </c>
      <c r="AA1036" s="2"/>
      <c r="AB1036" s="2"/>
      <c r="AC1036" s="2" t="s">
        <v>8157</v>
      </c>
      <c r="AD1036" s="2" t="s">
        <v>46</v>
      </c>
    </row>
    <row r="1037" customFormat="false" ht="15.7" hidden="false" customHeight="true" outlineLevel="0" collapsed="false">
      <c r="A1037" s="2"/>
      <c r="B1037" s="3" t="n">
        <f aca="false">DATE(2008,4,7)</f>
        <v>0</v>
      </c>
      <c r="C1037" s="3" t="n">
        <v>39545</v>
      </c>
      <c r="D1037" s="2" t="s">
        <v>8158</v>
      </c>
      <c r="F1037" s="2" t="s">
        <v>8159</v>
      </c>
      <c r="G1037" s="2" t="s">
        <v>8160</v>
      </c>
      <c r="H1037" s="2" t="s">
        <v>3761</v>
      </c>
      <c r="I1037" s="2" t="s">
        <v>51</v>
      </c>
      <c r="J1037" s="2" t="s">
        <v>77</v>
      </c>
      <c r="K1037" s="2" t="s">
        <v>8158</v>
      </c>
      <c r="L1037" s="2" t="s">
        <v>51</v>
      </c>
      <c r="M1037" s="2" t="s">
        <v>3761</v>
      </c>
      <c r="N1037" s="2" t="s">
        <v>8161</v>
      </c>
      <c r="O1037" s="2"/>
      <c r="P1037" s="2" t="s">
        <v>37</v>
      </c>
      <c r="Q1037" s="4" t="n">
        <v>8731</v>
      </c>
      <c r="R1037" s="2" t="s">
        <v>56</v>
      </c>
      <c r="S1037" s="2" t="s">
        <v>80</v>
      </c>
      <c r="T1037" s="2" t="s">
        <v>40</v>
      </c>
      <c r="U1037" s="2" t="s">
        <v>8162</v>
      </c>
      <c r="V1037" s="2"/>
      <c r="W1037" s="2" t="s">
        <v>42</v>
      </c>
      <c r="X1037" s="2" t="s">
        <v>43</v>
      </c>
      <c r="Y1037" s="2" t="s">
        <v>37</v>
      </c>
      <c r="Z1037" s="2" t="s">
        <v>44</v>
      </c>
      <c r="AA1037" s="2"/>
      <c r="AB1037" s="2"/>
      <c r="AC1037" s="2" t="s">
        <v>8163</v>
      </c>
      <c r="AD1037" s="2" t="s">
        <v>46</v>
      </c>
    </row>
    <row r="1038" customFormat="false" ht="15.7" hidden="false" customHeight="true" outlineLevel="0" collapsed="false">
      <c r="A1038" s="2"/>
      <c r="B1038" s="3" t="n">
        <f aca="false">DATE(2008,4,7)</f>
        <v>0</v>
      </c>
      <c r="C1038" s="3" t="n">
        <v>39545</v>
      </c>
      <c r="D1038" s="2" t="s">
        <v>8164</v>
      </c>
      <c r="F1038" s="2" t="s">
        <v>8165</v>
      </c>
      <c r="G1038" s="2" t="s">
        <v>8166</v>
      </c>
      <c r="H1038" s="2" t="s">
        <v>8167</v>
      </c>
      <c r="I1038" s="2" t="s">
        <v>867</v>
      </c>
      <c r="J1038" s="2" t="s">
        <v>35</v>
      </c>
      <c r="K1038" s="2" t="s">
        <v>8164</v>
      </c>
      <c r="L1038" s="2" t="s">
        <v>867</v>
      </c>
      <c r="M1038" s="2" t="s">
        <v>8167</v>
      </c>
      <c r="N1038" s="2" t="s">
        <v>8168</v>
      </c>
      <c r="O1038" s="2"/>
      <c r="P1038" s="2" t="s">
        <v>37</v>
      </c>
      <c r="Q1038" s="4" t="n">
        <v>8731</v>
      </c>
      <c r="R1038" s="2" t="s">
        <v>869</v>
      </c>
      <c r="S1038" s="2" t="s">
        <v>39</v>
      </c>
      <c r="T1038" s="2" t="s">
        <v>40</v>
      </c>
      <c r="U1038" s="2" t="s">
        <v>8169</v>
      </c>
      <c r="V1038" s="2"/>
      <c r="W1038" s="2" t="s">
        <v>42</v>
      </c>
      <c r="X1038" s="2" t="s">
        <v>43</v>
      </c>
      <c r="Y1038" s="2" t="s">
        <v>37</v>
      </c>
      <c r="Z1038" s="2" t="s">
        <v>44</v>
      </c>
      <c r="AA1038" s="2"/>
      <c r="AB1038" s="2"/>
      <c r="AC1038" s="2" t="s">
        <v>8170</v>
      </c>
      <c r="AD1038" s="2" t="s">
        <v>46</v>
      </c>
    </row>
    <row r="1039" customFormat="false" ht="15.7" hidden="false" customHeight="true" outlineLevel="0" collapsed="false">
      <c r="A1039" s="2"/>
      <c r="B1039" s="3" t="n">
        <f aca="false">DATE(2008,4,7)</f>
        <v>0</v>
      </c>
      <c r="C1039" s="3" t="n">
        <v>39545</v>
      </c>
      <c r="D1039" s="2" t="s">
        <v>8171</v>
      </c>
      <c r="F1039" s="2" t="s">
        <v>8172</v>
      </c>
      <c r="G1039" s="2" t="s">
        <v>8173</v>
      </c>
      <c r="H1039" s="2" t="s">
        <v>4833</v>
      </c>
      <c r="I1039" s="2" t="s">
        <v>8174</v>
      </c>
      <c r="J1039" s="2" t="s">
        <v>8175</v>
      </c>
      <c r="K1039" s="2" t="s">
        <v>8176</v>
      </c>
      <c r="L1039" s="2" t="s">
        <v>8174</v>
      </c>
      <c r="M1039" s="2" t="s">
        <v>3840</v>
      </c>
      <c r="N1039" s="2" t="s">
        <v>8177</v>
      </c>
      <c r="O1039" s="2"/>
      <c r="P1039" s="2" t="s">
        <v>37</v>
      </c>
      <c r="Q1039" s="4" t="n">
        <v>8731</v>
      </c>
      <c r="R1039" s="2" t="s">
        <v>136</v>
      </c>
      <c r="S1039" s="2" t="s">
        <v>39</v>
      </c>
      <c r="T1039" s="2" t="s">
        <v>40</v>
      </c>
      <c r="U1039" s="2" t="s">
        <v>8178</v>
      </c>
      <c r="V1039" s="2"/>
      <c r="W1039" s="2" t="s">
        <v>42</v>
      </c>
      <c r="X1039" s="2" t="s">
        <v>43</v>
      </c>
      <c r="Y1039" s="2" t="s">
        <v>37</v>
      </c>
      <c r="Z1039" s="2" t="s">
        <v>44</v>
      </c>
      <c r="AA1039" s="2"/>
      <c r="AB1039" s="2"/>
      <c r="AC1039" s="2" t="s">
        <v>8179</v>
      </c>
      <c r="AD1039" s="2" t="s">
        <v>46</v>
      </c>
    </row>
    <row r="1040" customFormat="false" ht="15.7" hidden="false" customHeight="true" outlineLevel="0" collapsed="false">
      <c r="A1040" s="2"/>
      <c r="B1040" s="3" t="n">
        <f aca="false">DATE(2008,4,8)</f>
        <v>0</v>
      </c>
      <c r="C1040" s="3" t="n">
        <v>39546</v>
      </c>
      <c r="D1040" s="2" t="s">
        <v>8180</v>
      </c>
      <c r="F1040" s="2" t="s">
        <v>8181</v>
      </c>
      <c r="G1040" s="2" t="s">
        <v>8182</v>
      </c>
      <c r="H1040" s="2" t="s">
        <v>8183</v>
      </c>
      <c r="I1040" s="2" t="s">
        <v>51</v>
      </c>
      <c r="J1040" s="2" t="s">
        <v>5478</v>
      </c>
      <c r="K1040" s="2" t="s">
        <v>8184</v>
      </c>
      <c r="L1040" s="2" t="s">
        <v>100</v>
      </c>
      <c r="M1040" s="2" t="s">
        <v>7454</v>
      </c>
      <c r="N1040" s="2" t="s">
        <v>8185</v>
      </c>
      <c r="O1040" s="2"/>
      <c r="P1040" s="2" t="s">
        <v>37</v>
      </c>
      <c r="Q1040" s="4" t="n">
        <v>8731</v>
      </c>
      <c r="R1040" s="2" t="s">
        <v>56</v>
      </c>
      <c r="S1040" s="2" t="s">
        <v>92</v>
      </c>
      <c r="T1040" s="2" t="s">
        <v>40</v>
      </c>
      <c r="U1040" s="2" t="s">
        <v>8186</v>
      </c>
      <c r="V1040" s="2"/>
      <c r="W1040" s="2" t="s">
        <v>42</v>
      </c>
      <c r="X1040" s="2" t="s">
        <v>43</v>
      </c>
      <c r="Y1040" s="2" t="s">
        <v>37</v>
      </c>
      <c r="Z1040" s="2" t="s">
        <v>44</v>
      </c>
      <c r="AA1040" s="2"/>
      <c r="AB1040" s="2"/>
      <c r="AC1040" s="2" t="s">
        <v>8187</v>
      </c>
      <c r="AD1040" s="2" t="s">
        <v>46</v>
      </c>
    </row>
    <row r="1041" customFormat="false" ht="15.7" hidden="false" customHeight="true" outlineLevel="0" collapsed="false">
      <c r="A1041" s="2"/>
      <c r="B1041" s="3" t="n">
        <f aca="false">DATE(2008,4,8)</f>
        <v>0</v>
      </c>
      <c r="C1041" s="3" t="n">
        <v>39546</v>
      </c>
      <c r="D1041" s="2" t="s">
        <v>8188</v>
      </c>
      <c r="F1041" s="2" t="s">
        <v>8189</v>
      </c>
      <c r="G1041" s="2" t="s">
        <v>8190</v>
      </c>
      <c r="H1041" s="2" t="s">
        <v>1020</v>
      </c>
      <c r="I1041" s="2" t="s">
        <v>8191</v>
      </c>
      <c r="J1041" s="2" t="s">
        <v>35</v>
      </c>
      <c r="K1041" s="2" t="s">
        <v>8192</v>
      </c>
      <c r="L1041" s="2" t="s">
        <v>8191</v>
      </c>
      <c r="M1041" s="2" t="s">
        <v>523</v>
      </c>
      <c r="N1041" s="2" t="s">
        <v>8193</v>
      </c>
      <c r="O1041" s="2"/>
      <c r="P1041" s="2" t="s">
        <v>37</v>
      </c>
      <c r="Q1041" s="4" t="n">
        <v>8731</v>
      </c>
      <c r="R1041" s="2" t="s">
        <v>8191</v>
      </c>
      <c r="S1041" s="2" t="s">
        <v>5334</v>
      </c>
      <c r="T1041" s="2" t="s">
        <v>40</v>
      </c>
      <c r="U1041" s="2" t="s">
        <v>8194</v>
      </c>
      <c r="V1041" s="2"/>
      <c r="W1041" s="2" t="s">
        <v>42</v>
      </c>
      <c r="X1041" s="2" t="s">
        <v>43</v>
      </c>
      <c r="Y1041" s="2" t="s">
        <v>79</v>
      </c>
      <c r="Z1041" s="2" t="s">
        <v>44</v>
      </c>
      <c r="AA1041" s="2"/>
      <c r="AB1041" s="2"/>
      <c r="AC1041" s="2" t="s">
        <v>8195</v>
      </c>
      <c r="AD1041" s="2" t="s">
        <v>46</v>
      </c>
    </row>
    <row r="1042" customFormat="false" ht="15.7" hidden="false" customHeight="true" outlineLevel="0" collapsed="false">
      <c r="A1042" s="2"/>
      <c r="B1042" s="3" t="n">
        <f aca="false">DATE(2008,4,8)</f>
        <v>0</v>
      </c>
      <c r="C1042" s="3" t="n">
        <v>39546</v>
      </c>
      <c r="D1042" s="2" t="s">
        <v>8196</v>
      </c>
      <c r="F1042" s="2" t="s">
        <v>8197</v>
      </c>
      <c r="G1042" s="2" t="s">
        <v>8198</v>
      </c>
      <c r="H1042" s="2" t="s">
        <v>523</v>
      </c>
      <c r="I1042" s="2" t="s">
        <v>51</v>
      </c>
      <c r="J1042" s="2" t="s">
        <v>8199</v>
      </c>
      <c r="K1042" s="2" t="s">
        <v>8196</v>
      </c>
      <c r="L1042" s="2" t="s">
        <v>51</v>
      </c>
      <c r="M1042" s="2" t="s">
        <v>523</v>
      </c>
      <c r="N1042" s="2" t="s">
        <v>8200</v>
      </c>
      <c r="O1042" s="2"/>
      <c r="P1042" s="2" t="s">
        <v>79</v>
      </c>
      <c r="Q1042" s="4" t="n">
        <v>6794</v>
      </c>
      <c r="R1042" s="2" t="s">
        <v>136</v>
      </c>
      <c r="S1042" s="2" t="s">
        <v>39</v>
      </c>
      <c r="T1042" s="2" t="s">
        <v>40</v>
      </c>
      <c r="U1042" s="2" t="s">
        <v>8201</v>
      </c>
      <c r="V1042" s="2"/>
      <c r="W1042" s="2" t="s">
        <v>82</v>
      </c>
      <c r="X1042" s="2" t="s">
        <v>43</v>
      </c>
      <c r="Y1042" s="2" t="s">
        <v>37</v>
      </c>
      <c r="Z1042" s="2" t="s">
        <v>44</v>
      </c>
      <c r="AA1042" s="2" t="s">
        <v>8202</v>
      </c>
      <c r="AB1042" s="2"/>
      <c r="AC1042" s="2" t="s">
        <v>8203</v>
      </c>
      <c r="AD1042" s="2" t="s">
        <v>46</v>
      </c>
    </row>
    <row r="1043" customFormat="false" ht="15.7" hidden="false" customHeight="true" outlineLevel="0" collapsed="false">
      <c r="A1043" s="2"/>
      <c r="B1043" s="3" t="n">
        <f aca="false">DATE(2008,4,8)</f>
        <v>0</v>
      </c>
      <c r="C1043" s="3" t="n">
        <v>39546</v>
      </c>
      <c r="D1043" s="2" t="s">
        <v>8204</v>
      </c>
      <c r="F1043" s="2" t="s">
        <v>8205</v>
      </c>
      <c r="G1043" s="2" t="s">
        <v>8206</v>
      </c>
      <c r="H1043" s="2" t="s">
        <v>8207</v>
      </c>
      <c r="I1043" s="2" t="s">
        <v>7530</v>
      </c>
      <c r="J1043" s="2" t="s">
        <v>35</v>
      </c>
      <c r="K1043" s="2" t="s">
        <v>8204</v>
      </c>
      <c r="L1043" s="2" t="s">
        <v>7530</v>
      </c>
      <c r="M1043" s="2" t="s">
        <v>8207</v>
      </c>
      <c r="N1043" s="2" t="s">
        <v>8208</v>
      </c>
      <c r="O1043" s="2"/>
      <c r="P1043" s="2" t="s">
        <v>37</v>
      </c>
      <c r="Q1043" s="4" t="n">
        <v>8731</v>
      </c>
      <c r="R1043" s="2" t="s">
        <v>2105</v>
      </c>
      <c r="S1043" s="2" t="s">
        <v>39</v>
      </c>
      <c r="T1043" s="2" t="s">
        <v>40</v>
      </c>
      <c r="U1043" s="2" t="s">
        <v>8209</v>
      </c>
      <c r="V1043" s="2"/>
      <c r="W1043" s="2" t="s">
        <v>42</v>
      </c>
      <c r="X1043" s="2" t="s">
        <v>43</v>
      </c>
      <c r="Y1043" s="2" t="s">
        <v>37</v>
      </c>
      <c r="Z1043" s="2" t="s">
        <v>44</v>
      </c>
      <c r="AA1043" s="2"/>
      <c r="AB1043" s="2"/>
      <c r="AC1043" s="2" t="s">
        <v>8210</v>
      </c>
      <c r="AD1043" s="2" t="s">
        <v>46</v>
      </c>
    </row>
    <row r="1044" customFormat="false" ht="15.7" hidden="false" customHeight="true" outlineLevel="0" collapsed="false">
      <c r="A1044" s="2"/>
      <c r="B1044" s="3" t="n">
        <f aca="false">DATE(2008,4,10)</f>
        <v>0</v>
      </c>
      <c r="C1044" s="3" t="n">
        <v>39548</v>
      </c>
      <c r="D1044" s="2" t="s">
        <v>8211</v>
      </c>
      <c r="F1044" s="2" t="s">
        <v>408</v>
      </c>
      <c r="G1044" s="2" t="s">
        <v>8212</v>
      </c>
      <c r="H1044" s="2" t="s">
        <v>170</v>
      </c>
      <c r="I1044" s="2" t="s">
        <v>8213</v>
      </c>
      <c r="J1044" s="2" t="s">
        <v>35</v>
      </c>
      <c r="K1044" s="2" t="s">
        <v>8214</v>
      </c>
      <c r="L1044" s="2" t="s">
        <v>5036</v>
      </c>
      <c r="M1044" s="2" t="s">
        <v>8215</v>
      </c>
      <c r="N1044" s="2" t="s">
        <v>8216</v>
      </c>
      <c r="O1044" s="2"/>
      <c r="P1044" s="2" t="s">
        <v>37</v>
      </c>
      <c r="Q1044" s="4" t="n">
        <v>8731</v>
      </c>
      <c r="R1044" s="2" t="s">
        <v>136</v>
      </c>
      <c r="S1044" s="2" t="s">
        <v>39</v>
      </c>
      <c r="T1044" s="2" t="s">
        <v>40</v>
      </c>
      <c r="U1044" s="2" t="s">
        <v>8217</v>
      </c>
      <c r="V1044" s="2"/>
      <c r="W1044" s="2" t="s">
        <v>42</v>
      </c>
      <c r="X1044" s="2" t="s">
        <v>43</v>
      </c>
      <c r="Y1044" s="2" t="s">
        <v>37</v>
      </c>
      <c r="Z1044" s="2" t="s">
        <v>44</v>
      </c>
      <c r="AA1044" s="2"/>
      <c r="AB1044" s="2"/>
      <c r="AC1044" s="2" t="s">
        <v>8218</v>
      </c>
      <c r="AD1044" s="2" t="s">
        <v>46</v>
      </c>
    </row>
    <row r="1045" customFormat="false" ht="15.7" hidden="false" customHeight="true" outlineLevel="0" collapsed="false">
      <c r="A1045" s="2"/>
      <c r="B1045" s="3" t="n">
        <f aca="false">DATE(2008,4,10)</f>
        <v>0</v>
      </c>
      <c r="C1045" s="3" t="n">
        <v>39548</v>
      </c>
      <c r="D1045" s="2" t="s">
        <v>8219</v>
      </c>
      <c r="F1045" s="2" t="s">
        <v>8220</v>
      </c>
      <c r="G1045" s="2" t="s">
        <v>8221</v>
      </c>
      <c r="H1045" s="2" t="s">
        <v>3500</v>
      </c>
      <c r="I1045" s="2" t="s">
        <v>34</v>
      </c>
      <c r="J1045" s="2" t="s">
        <v>35</v>
      </c>
      <c r="K1045" s="2" t="s">
        <v>8222</v>
      </c>
      <c r="L1045" s="2" t="s">
        <v>34</v>
      </c>
      <c r="M1045" s="2" t="s">
        <v>3500</v>
      </c>
      <c r="N1045" s="2" t="s">
        <v>8223</v>
      </c>
      <c r="O1045" s="2"/>
      <c r="P1045" s="2" t="s">
        <v>37</v>
      </c>
      <c r="Q1045" s="4" t="n">
        <v>8731</v>
      </c>
      <c r="R1045" s="2" t="s">
        <v>38</v>
      </c>
      <c r="S1045" s="2" t="s">
        <v>39</v>
      </c>
      <c r="T1045" s="2" t="s">
        <v>40</v>
      </c>
      <c r="U1045" s="2" t="s">
        <v>8224</v>
      </c>
      <c r="V1045" s="2"/>
      <c r="W1045" s="2" t="s">
        <v>42</v>
      </c>
      <c r="X1045" s="2" t="s">
        <v>43</v>
      </c>
      <c r="Y1045" s="2" t="s">
        <v>37</v>
      </c>
      <c r="Z1045" s="2" t="s">
        <v>44</v>
      </c>
      <c r="AA1045" s="2"/>
      <c r="AB1045" s="2"/>
      <c r="AC1045" s="2" t="s">
        <v>8225</v>
      </c>
      <c r="AD1045" s="2" t="s">
        <v>46</v>
      </c>
    </row>
    <row r="1046" customFormat="false" ht="15.7" hidden="false" customHeight="true" outlineLevel="0" collapsed="false">
      <c r="A1046" s="2"/>
      <c r="B1046" s="3" t="n">
        <f aca="false">DATE(2008,4,14)</f>
        <v>0</v>
      </c>
      <c r="C1046" s="3" t="n">
        <v>39552</v>
      </c>
      <c r="D1046" s="2" t="s">
        <v>8226</v>
      </c>
      <c r="F1046" s="2" t="s">
        <v>566</v>
      </c>
      <c r="G1046" s="2" t="s">
        <v>8227</v>
      </c>
      <c r="H1046" s="2" t="s">
        <v>130</v>
      </c>
      <c r="I1046" s="2" t="s">
        <v>487</v>
      </c>
      <c r="J1046" s="2" t="s">
        <v>966</v>
      </c>
      <c r="K1046" s="2" t="s">
        <v>8228</v>
      </c>
      <c r="L1046" s="2" t="s">
        <v>487</v>
      </c>
      <c r="M1046" s="2" t="s">
        <v>8229</v>
      </c>
      <c r="N1046" s="2" t="s">
        <v>8230</v>
      </c>
      <c r="O1046" s="2"/>
      <c r="P1046" s="2" t="s">
        <v>37</v>
      </c>
      <c r="Q1046" s="4" t="n">
        <v>2834</v>
      </c>
      <c r="R1046" s="2" t="s">
        <v>56</v>
      </c>
      <c r="S1046" s="2" t="s">
        <v>57</v>
      </c>
      <c r="T1046" s="2" t="s">
        <v>403</v>
      </c>
      <c r="U1046" s="2" t="s">
        <v>8231</v>
      </c>
      <c r="V1046" s="2"/>
      <c r="W1046" s="2" t="s">
        <v>1801</v>
      </c>
      <c r="X1046" s="2" t="s">
        <v>43</v>
      </c>
      <c r="Y1046" s="2" t="s">
        <v>37</v>
      </c>
      <c r="Z1046" s="2" t="s">
        <v>44</v>
      </c>
      <c r="AA1046" s="2"/>
      <c r="AB1046" s="2"/>
      <c r="AC1046" s="2" t="s">
        <v>8232</v>
      </c>
      <c r="AD1046" s="2" t="s">
        <v>46</v>
      </c>
    </row>
    <row r="1047" customFormat="false" ht="15.7" hidden="false" customHeight="true" outlineLevel="0" collapsed="false">
      <c r="A1047" s="2"/>
      <c r="B1047" s="3" t="n">
        <f aca="false">DATE(2008,4,14)</f>
        <v>0</v>
      </c>
      <c r="C1047" s="3" t="n">
        <v>39552</v>
      </c>
      <c r="D1047" s="2" t="s">
        <v>8233</v>
      </c>
      <c r="F1047" s="2" t="s">
        <v>8234</v>
      </c>
      <c r="G1047" s="2" t="s">
        <v>8235</v>
      </c>
      <c r="H1047" s="2" t="s">
        <v>8236</v>
      </c>
      <c r="I1047" s="2" t="s">
        <v>8237</v>
      </c>
      <c r="J1047" s="2" t="s">
        <v>35</v>
      </c>
      <c r="K1047" s="2" t="s">
        <v>8233</v>
      </c>
      <c r="L1047" s="2" t="s">
        <v>8237</v>
      </c>
      <c r="M1047" s="2" t="s">
        <v>8236</v>
      </c>
      <c r="N1047" s="2" t="s">
        <v>8238</v>
      </c>
      <c r="O1047" s="2"/>
      <c r="P1047" s="2" t="s">
        <v>37</v>
      </c>
      <c r="Q1047" s="4" t="n">
        <v>3661</v>
      </c>
      <c r="R1047" s="2" t="s">
        <v>8239</v>
      </c>
      <c r="S1047" s="2" t="s">
        <v>39</v>
      </c>
      <c r="T1047" s="2" t="s">
        <v>40</v>
      </c>
      <c r="U1047" s="2" t="s">
        <v>8240</v>
      </c>
      <c r="V1047" s="2"/>
      <c r="W1047" s="2" t="s">
        <v>107</v>
      </c>
      <c r="X1047" s="2" t="s">
        <v>43</v>
      </c>
      <c r="Y1047" s="2" t="s">
        <v>37</v>
      </c>
      <c r="Z1047" s="2" t="s">
        <v>44</v>
      </c>
      <c r="AA1047" s="2"/>
      <c r="AB1047" s="2"/>
      <c r="AC1047" s="2" t="s">
        <v>8241</v>
      </c>
      <c r="AD1047" s="2" t="s">
        <v>46</v>
      </c>
    </row>
    <row r="1048" customFormat="false" ht="15.7" hidden="false" customHeight="true" outlineLevel="0" collapsed="false">
      <c r="A1048" s="2"/>
      <c r="B1048" s="3" t="n">
        <f aca="false">DATE(2008,4,14)</f>
        <v>0</v>
      </c>
      <c r="C1048" s="3" t="n">
        <v>39552</v>
      </c>
      <c r="D1048" s="2" t="s">
        <v>8242</v>
      </c>
      <c r="F1048" s="2" t="s">
        <v>8243</v>
      </c>
      <c r="G1048" s="2" t="s">
        <v>8244</v>
      </c>
      <c r="H1048" s="2" t="s">
        <v>130</v>
      </c>
      <c r="I1048" s="2" t="s">
        <v>180</v>
      </c>
      <c r="J1048" s="2" t="s">
        <v>132</v>
      </c>
      <c r="K1048" s="2" t="s">
        <v>8242</v>
      </c>
      <c r="L1048" s="2" t="s">
        <v>180</v>
      </c>
      <c r="M1048" s="2" t="s">
        <v>130</v>
      </c>
      <c r="N1048" s="2" t="s">
        <v>8245</v>
      </c>
      <c r="O1048" s="2"/>
      <c r="P1048" s="2" t="s">
        <v>79</v>
      </c>
      <c r="Q1048" s="4" t="n">
        <v>6794</v>
      </c>
      <c r="R1048" s="2" t="s">
        <v>136</v>
      </c>
      <c r="S1048" s="2" t="s">
        <v>39</v>
      </c>
      <c r="T1048" s="2" t="s">
        <v>40</v>
      </c>
      <c r="U1048" s="2" t="s">
        <v>8246</v>
      </c>
      <c r="V1048" s="2"/>
      <c r="W1048" s="2" t="s">
        <v>82</v>
      </c>
      <c r="X1048" s="2" t="s">
        <v>43</v>
      </c>
      <c r="Y1048" s="2" t="s">
        <v>37</v>
      </c>
      <c r="Z1048" s="2" t="s">
        <v>44</v>
      </c>
      <c r="AA1048" s="2"/>
      <c r="AB1048" s="2"/>
      <c r="AC1048" s="2" t="s">
        <v>8247</v>
      </c>
      <c r="AD1048" s="2" t="s">
        <v>46</v>
      </c>
    </row>
    <row r="1049" customFormat="false" ht="15.7" hidden="false" customHeight="true" outlineLevel="0" collapsed="false">
      <c r="A1049" s="2"/>
      <c r="B1049" s="3" t="n">
        <f aca="false">DATE(2008,4,14)</f>
        <v>0</v>
      </c>
      <c r="C1049" s="3" t="n">
        <v>39552</v>
      </c>
      <c r="D1049" s="2" t="s">
        <v>8248</v>
      </c>
      <c r="F1049" s="2" t="s">
        <v>408</v>
      </c>
      <c r="G1049" s="2" t="s">
        <v>8249</v>
      </c>
      <c r="H1049" s="2" t="s">
        <v>170</v>
      </c>
      <c r="I1049" s="2" t="s">
        <v>4788</v>
      </c>
      <c r="J1049" s="2" t="s">
        <v>35</v>
      </c>
      <c r="K1049" s="2" t="s">
        <v>8248</v>
      </c>
      <c r="L1049" s="2" t="s">
        <v>4788</v>
      </c>
      <c r="M1049" s="2" t="s">
        <v>170</v>
      </c>
      <c r="N1049" s="2" t="s">
        <v>8250</v>
      </c>
      <c r="O1049" s="2"/>
      <c r="P1049" s="2" t="s">
        <v>79</v>
      </c>
      <c r="Q1049" s="4" t="n">
        <v>6794</v>
      </c>
      <c r="R1049" s="2" t="s">
        <v>136</v>
      </c>
      <c r="S1049" s="2" t="s">
        <v>39</v>
      </c>
      <c r="T1049" s="2" t="s">
        <v>40</v>
      </c>
      <c r="U1049" s="2" t="s">
        <v>8251</v>
      </c>
      <c r="V1049" s="2"/>
      <c r="W1049" s="2" t="s">
        <v>82</v>
      </c>
      <c r="X1049" s="2" t="s">
        <v>43</v>
      </c>
      <c r="Y1049" s="2" t="s">
        <v>37</v>
      </c>
      <c r="Z1049" s="2" t="s">
        <v>44</v>
      </c>
      <c r="AA1049" s="2"/>
      <c r="AB1049" s="2"/>
      <c r="AC1049" s="2" t="s">
        <v>8252</v>
      </c>
      <c r="AD1049" s="2" t="s">
        <v>46</v>
      </c>
    </row>
    <row r="1050" customFormat="false" ht="15.7" hidden="false" customHeight="true" outlineLevel="0" collapsed="false">
      <c r="A1050" s="2"/>
      <c r="B1050" s="3" t="n">
        <f aca="false">DATE(2008,4,14)</f>
        <v>0</v>
      </c>
      <c r="C1050" s="3" t="n">
        <v>39552</v>
      </c>
      <c r="D1050" s="2" t="s">
        <v>8253</v>
      </c>
      <c r="F1050" s="2" t="s">
        <v>1378</v>
      </c>
      <c r="G1050" s="2" t="s">
        <v>8254</v>
      </c>
      <c r="H1050" s="2" t="s">
        <v>63</v>
      </c>
      <c r="I1050" s="2" t="s">
        <v>330</v>
      </c>
      <c r="J1050" s="2" t="s">
        <v>966</v>
      </c>
      <c r="K1050" s="2" t="s">
        <v>8253</v>
      </c>
      <c r="L1050" s="2" t="s">
        <v>330</v>
      </c>
      <c r="M1050" s="2" t="s">
        <v>63</v>
      </c>
      <c r="N1050" s="2" t="s">
        <v>8255</v>
      </c>
      <c r="O1050" s="2"/>
      <c r="P1050" s="2" t="s">
        <v>79</v>
      </c>
      <c r="Q1050" s="4" t="n">
        <v>6794</v>
      </c>
      <c r="R1050" s="2" t="s">
        <v>136</v>
      </c>
      <c r="S1050" s="2" t="s">
        <v>39</v>
      </c>
      <c r="T1050" s="2" t="s">
        <v>40</v>
      </c>
      <c r="U1050" s="2" t="s">
        <v>8256</v>
      </c>
      <c r="V1050" s="2"/>
      <c r="W1050" s="2" t="s">
        <v>253</v>
      </c>
      <c r="X1050" s="2" t="s">
        <v>43</v>
      </c>
      <c r="Y1050" s="2" t="s">
        <v>37</v>
      </c>
      <c r="Z1050" s="2" t="s">
        <v>44</v>
      </c>
      <c r="AA1050" s="2"/>
      <c r="AB1050" s="2"/>
      <c r="AC1050" s="2" t="s">
        <v>8257</v>
      </c>
      <c r="AD1050" s="2" t="s">
        <v>46</v>
      </c>
    </row>
    <row r="1051" customFormat="false" ht="15.7" hidden="false" customHeight="true" outlineLevel="0" collapsed="false">
      <c r="A1051" s="2"/>
      <c r="B1051" s="3" t="n">
        <f aca="false">DATE(2008,4,14)</f>
        <v>0</v>
      </c>
      <c r="C1051" s="3" t="n">
        <v>39552</v>
      </c>
      <c r="D1051" s="2" t="s">
        <v>8258</v>
      </c>
      <c r="F1051" s="2" t="s">
        <v>8259</v>
      </c>
      <c r="G1051" s="2" t="s">
        <v>8260</v>
      </c>
      <c r="H1051" s="2" t="s">
        <v>6407</v>
      </c>
      <c r="I1051" s="2" t="s">
        <v>821</v>
      </c>
      <c r="J1051" s="2" t="s">
        <v>65</v>
      </c>
      <c r="K1051" s="2" t="s">
        <v>8261</v>
      </c>
      <c r="L1051" s="2" t="s">
        <v>821</v>
      </c>
      <c r="M1051" s="2" t="s">
        <v>8262</v>
      </c>
      <c r="N1051" s="2" t="s">
        <v>8263</v>
      </c>
      <c r="O1051" s="2"/>
      <c r="P1051" s="2" t="s">
        <v>79</v>
      </c>
      <c r="Q1051" s="4" t="n">
        <v>6794</v>
      </c>
      <c r="R1051" s="2" t="s">
        <v>8264</v>
      </c>
      <c r="S1051" s="2" t="s">
        <v>5334</v>
      </c>
      <c r="T1051" s="2" t="s">
        <v>40</v>
      </c>
      <c r="U1051" s="2" t="s">
        <v>8265</v>
      </c>
      <c r="V1051" s="2"/>
      <c r="W1051" s="2" t="s">
        <v>82</v>
      </c>
      <c r="X1051" s="2" t="s">
        <v>43</v>
      </c>
      <c r="Y1051" s="2" t="s">
        <v>79</v>
      </c>
      <c r="Z1051" s="2" t="s">
        <v>44</v>
      </c>
      <c r="AA1051" s="2"/>
      <c r="AB1051" s="2"/>
      <c r="AC1051" s="2" t="s">
        <v>8266</v>
      </c>
      <c r="AD1051" s="2" t="s">
        <v>46</v>
      </c>
    </row>
    <row r="1052" customFormat="false" ht="15.7" hidden="false" customHeight="true" outlineLevel="0" collapsed="false">
      <c r="A1052" s="2"/>
      <c r="B1052" s="3" t="n">
        <f aca="false">DATE(2008,4,15)</f>
        <v>0</v>
      </c>
      <c r="C1052" s="3" t="n">
        <v>39553</v>
      </c>
      <c r="D1052" s="2" t="s">
        <v>8267</v>
      </c>
      <c r="F1052" s="2" t="s">
        <v>8268</v>
      </c>
      <c r="G1052" s="2" t="s">
        <v>8269</v>
      </c>
      <c r="H1052" s="2" t="s">
        <v>8270</v>
      </c>
      <c r="I1052" s="2" t="s">
        <v>568</v>
      </c>
      <c r="J1052" s="2" t="s">
        <v>4383</v>
      </c>
      <c r="K1052" s="2" t="s">
        <v>8271</v>
      </c>
      <c r="L1052" s="2" t="s">
        <v>8272</v>
      </c>
      <c r="M1052" s="2" t="s">
        <v>7311</v>
      </c>
      <c r="N1052" s="2" t="s">
        <v>8273</v>
      </c>
      <c r="O1052" s="2"/>
      <c r="P1052" s="2" t="s">
        <v>37</v>
      </c>
      <c r="Q1052" s="4" t="n">
        <v>8731</v>
      </c>
      <c r="R1052" s="2" t="s">
        <v>136</v>
      </c>
      <c r="S1052" s="2" t="s">
        <v>39</v>
      </c>
      <c r="T1052" s="2" t="s">
        <v>403</v>
      </c>
      <c r="U1052" s="2" t="s">
        <v>8274</v>
      </c>
      <c r="V1052" s="2"/>
      <c r="W1052" s="2" t="s">
        <v>42</v>
      </c>
      <c r="X1052" s="2" t="s">
        <v>43</v>
      </c>
      <c r="Y1052" s="2" t="s">
        <v>37</v>
      </c>
      <c r="Z1052" s="2" t="s">
        <v>44</v>
      </c>
      <c r="AA1052" s="2"/>
      <c r="AB1052" s="2"/>
      <c r="AC1052" s="2" t="s">
        <v>8275</v>
      </c>
      <c r="AD1052" s="2" t="s">
        <v>46</v>
      </c>
    </row>
    <row r="1053" customFormat="false" ht="15.7" hidden="false" customHeight="true" outlineLevel="0" collapsed="false">
      <c r="A1053" s="2"/>
      <c r="B1053" s="3" t="n">
        <f aca="false">DATE(2008,4,15)</f>
        <v>0</v>
      </c>
      <c r="C1053" s="3" t="n">
        <v>39553</v>
      </c>
      <c r="D1053" s="2" t="s">
        <v>8276</v>
      </c>
      <c r="F1053" s="2" t="s">
        <v>8277</v>
      </c>
      <c r="G1053" s="2" t="s">
        <v>8278</v>
      </c>
      <c r="H1053" s="2" t="s">
        <v>4987</v>
      </c>
      <c r="I1053" s="2" t="s">
        <v>51</v>
      </c>
      <c r="J1053" s="2" t="s">
        <v>1001</v>
      </c>
      <c r="K1053" s="2" t="s">
        <v>8276</v>
      </c>
      <c r="L1053" s="2" t="s">
        <v>51</v>
      </c>
      <c r="M1053" s="2" t="s">
        <v>4987</v>
      </c>
      <c r="N1053" s="2" t="s">
        <v>8279</v>
      </c>
      <c r="O1053" s="2"/>
      <c r="P1053" s="2" t="s">
        <v>79</v>
      </c>
      <c r="Q1053" s="4" t="n">
        <v>6794</v>
      </c>
      <c r="R1053" s="2" t="s">
        <v>56</v>
      </c>
      <c r="S1053" s="2" t="s">
        <v>80</v>
      </c>
      <c r="T1053" s="2" t="s">
        <v>40</v>
      </c>
      <c r="U1053" s="2" t="s">
        <v>8280</v>
      </c>
      <c r="V1053" s="2"/>
      <c r="W1053" s="2" t="s">
        <v>82</v>
      </c>
      <c r="X1053" s="2" t="s">
        <v>43</v>
      </c>
      <c r="Y1053" s="2" t="s">
        <v>37</v>
      </c>
      <c r="Z1053" s="2" t="s">
        <v>44</v>
      </c>
      <c r="AA1053" s="2"/>
      <c r="AB1053" s="2"/>
      <c r="AC1053" s="2" t="s">
        <v>8281</v>
      </c>
      <c r="AD1053" s="2" t="s">
        <v>46</v>
      </c>
    </row>
    <row r="1054" customFormat="false" ht="15.7" hidden="false" customHeight="true" outlineLevel="0" collapsed="false">
      <c r="A1054" s="2"/>
      <c r="B1054" s="3" t="n">
        <f aca="false">DATE(2008,4,15)</f>
        <v>0</v>
      </c>
      <c r="C1054" s="3" t="n">
        <v>39553</v>
      </c>
      <c r="D1054" s="2" t="s">
        <v>8282</v>
      </c>
      <c r="F1054" s="2" t="s">
        <v>8283</v>
      </c>
      <c r="G1054" s="2" t="s">
        <v>8284</v>
      </c>
      <c r="H1054" s="2" t="s">
        <v>1088</v>
      </c>
      <c r="I1054" s="2" t="s">
        <v>51</v>
      </c>
      <c r="J1054" s="2" t="s">
        <v>3854</v>
      </c>
      <c r="K1054" s="2" t="s">
        <v>8282</v>
      </c>
      <c r="L1054" s="2" t="s">
        <v>51</v>
      </c>
      <c r="M1054" s="2" t="s">
        <v>1088</v>
      </c>
      <c r="N1054" s="2" t="s">
        <v>8285</v>
      </c>
      <c r="O1054" s="2"/>
      <c r="P1054" s="2" t="s">
        <v>37</v>
      </c>
      <c r="Q1054" s="4" t="n">
        <v>8731</v>
      </c>
      <c r="R1054" s="2" t="s">
        <v>56</v>
      </c>
      <c r="S1054" s="2" t="s">
        <v>92</v>
      </c>
      <c r="T1054" s="2" t="s">
        <v>40</v>
      </c>
      <c r="U1054" s="2" t="s">
        <v>8286</v>
      </c>
      <c r="V1054" s="2"/>
      <c r="W1054" s="2" t="s">
        <v>42</v>
      </c>
      <c r="X1054" s="2" t="s">
        <v>43</v>
      </c>
      <c r="Y1054" s="2" t="s">
        <v>37</v>
      </c>
      <c r="Z1054" s="2" t="s">
        <v>44</v>
      </c>
      <c r="AA1054" s="2"/>
      <c r="AB1054" s="2"/>
      <c r="AC1054" s="2" t="s">
        <v>8287</v>
      </c>
      <c r="AD1054" s="2" t="s">
        <v>46</v>
      </c>
    </row>
    <row r="1055" customFormat="false" ht="15.7" hidden="false" customHeight="true" outlineLevel="0" collapsed="false">
      <c r="A1055" s="2"/>
      <c r="B1055" s="3" t="n">
        <f aca="false">DATE(2008,4,15)</f>
        <v>0</v>
      </c>
      <c r="C1055" s="3" t="n">
        <v>39553</v>
      </c>
      <c r="D1055" s="2" t="s">
        <v>8288</v>
      </c>
      <c r="F1055" s="2" t="s">
        <v>8025</v>
      </c>
      <c r="G1055" s="2" t="s">
        <v>8289</v>
      </c>
      <c r="H1055" s="2" t="s">
        <v>170</v>
      </c>
      <c r="I1055" s="2" t="s">
        <v>7066</v>
      </c>
      <c r="J1055" s="2" t="s">
        <v>35</v>
      </c>
      <c r="K1055" s="2" t="s">
        <v>8290</v>
      </c>
      <c r="L1055" s="2" t="s">
        <v>8291</v>
      </c>
      <c r="M1055" s="2" t="s">
        <v>8292</v>
      </c>
      <c r="N1055" s="2" t="s">
        <v>8293</v>
      </c>
      <c r="O1055" s="2"/>
      <c r="P1055" s="2" t="s">
        <v>37</v>
      </c>
      <c r="Q1055" s="4" t="n">
        <v>8731</v>
      </c>
      <c r="R1055" s="2" t="s">
        <v>7068</v>
      </c>
      <c r="S1055" s="2" t="s">
        <v>39</v>
      </c>
      <c r="T1055" s="2" t="s">
        <v>40</v>
      </c>
      <c r="U1055" s="2" t="s">
        <v>8294</v>
      </c>
      <c r="V1055" s="2"/>
      <c r="W1055" s="2" t="s">
        <v>42</v>
      </c>
      <c r="X1055" s="2" t="s">
        <v>43</v>
      </c>
      <c r="Y1055" s="2" t="s">
        <v>37</v>
      </c>
      <c r="Z1055" s="2" t="s">
        <v>44</v>
      </c>
      <c r="AA1055" s="2"/>
      <c r="AB1055" s="2"/>
      <c r="AC1055" s="2" t="s">
        <v>8295</v>
      </c>
      <c r="AD1055" s="2" t="s">
        <v>46</v>
      </c>
    </row>
    <row r="1056" customFormat="false" ht="15.7" hidden="false" customHeight="true" outlineLevel="0" collapsed="false">
      <c r="A1056" s="2"/>
      <c r="B1056" s="3" t="n">
        <f aca="false">DATE(2008,4,16)</f>
        <v>0</v>
      </c>
      <c r="C1056" s="3" t="n">
        <v>39554</v>
      </c>
      <c r="D1056" s="2" t="s">
        <v>8296</v>
      </c>
      <c r="F1056" s="2" t="s">
        <v>8297</v>
      </c>
      <c r="G1056" s="2" t="s">
        <v>8298</v>
      </c>
      <c r="H1056" s="2" t="s">
        <v>63</v>
      </c>
      <c r="I1056" s="2" t="s">
        <v>3265</v>
      </c>
      <c r="J1056" s="2" t="s">
        <v>966</v>
      </c>
      <c r="K1056" s="2" t="s">
        <v>8296</v>
      </c>
      <c r="L1056" s="2" t="s">
        <v>3265</v>
      </c>
      <c r="M1056" s="2" t="s">
        <v>63</v>
      </c>
      <c r="N1056" s="2" t="s">
        <v>8299</v>
      </c>
      <c r="O1056" s="2"/>
      <c r="P1056" s="2" t="s">
        <v>37</v>
      </c>
      <c r="Q1056" s="4" t="n">
        <v>8731</v>
      </c>
      <c r="R1056" s="2" t="s">
        <v>402</v>
      </c>
      <c r="S1056" s="2" t="s">
        <v>39</v>
      </c>
      <c r="T1056" s="2" t="s">
        <v>40</v>
      </c>
      <c r="U1056" s="2" t="s">
        <v>8300</v>
      </c>
      <c r="V1056" s="2"/>
      <c r="W1056" s="2" t="s">
        <v>42</v>
      </c>
      <c r="X1056" s="2" t="s">
        <v>43</v>
      </c>
      <c r="Y1056" s="2" t="s">
        <v>37</v>
      </c>
      <c r="Z1056" s="2" t="s">
        <v>44</v>
      </c>
      <c r="AA1056" s="2"/>
      <c r="AB1056" s="2"/>
      <c r="AC1056" s="2" t="s">
        <v>8301</v>
      </c>
      <c r="AD1056" s="2" t="s">
        <v>46</v>
      </c>
    </row>
    <row r="1057" customFormat="false" ht="15.7" hidden="false" customHeight="true" outlineLevel="0" collapsed="false">
      <c r="A1057" s="2"/>
      <c r="B1057" s="3" t="n">
        <f aca="false">DATE(2008,4,16)</f>
        <v>0</v>
      </c>
      <c r="C1057" s="3" t="n">
        <v>39554</v>
      </c>
      <c r="D1057" s="2" t="s">
        <v>8171</v>
      </c>
      <c r="F1057" s="2" t="s">
        <v>8172</v>
      </c>
      <c r="G1057" s="2" t="s">
        <v>8173</v>
      </c>
      <c r="H1057" s="2" t="s">
        <v>4833</v>
      </c>
      <c r="I1057" s="2" t="s">
        <v>8174</v>
      </c>
      <c r="J1057" s="2" t="s">
        <v>8175</v>
      </c>
      <c r="K1057" s="2" t="s">
        <v>8176</v>
      </c>
      <c r="L1057" s="2" t="s">
        <v>8174</v>
      </c>
      <c r="M1057" s="2" t="s">
        <v>3840</v>
      </c>
      <c r="N1057" s="2" t="s">
        <v>8302</v>
      </c>
      <c r="O1057" s="2"/>
      <c r="P1057" s="2" t="s">
        <v>37</v>
      </c>
      <c r="Q1057" s="4" t="n">
        <v>8731</v>
      </c>
      <c r="R1057" s="2" t="s">
        <v>136</v>
      </c>
      <c r="S1057" s="2" t="s">
        <v>39</v>
      </c>
      <c r="T1057" s="2" t="s">
        <v>40</v>
      </c>
      <c r="U1057" s="2" t="s">
        <v>8303</v>
      </c>
      <c r="V1057" s="2"/>
      <c r="W1057" s="2" t="s">
        <v>42</v>
      </c>
      <c r="X1057" s="2" t="s">
        <v>43</v>
      </c>
      <c r="Y1057" s="2" t="s">
        <v>37</v>
      </c>
      <c r="Z1057" s="2" t="s">
        <v>44</v>
      </c>
      <c r="AA1057" s="2"/>
      <c r="AB1057" s="2"/>
      <c r="AC1057" s="2" t="s">
        <v>8179</v>
      </c>
      <c r="AD1057" s="2" t="s">
        <v>46</v>
      </c>
    </row>
    <row r="1058" customFormat="false" ht="15.7" hidden="false" customHeight="true" outlineLevel="0" collapsed="false">
      <c r="A1058" s="2"/>
      <c r="B1058" s="3" t="n">
        <f aca="false">DATE(2008,4,17)</f>
        <v>0</v>
      </c>
      <c r="C1058" s="3" t="n">
        <v>39555</v>
      </c>
      <c r="D1058" s="2" t="s">
        <v>8304</v>
      </c>
      <c r="F1058" s="2" t="s">
        <v>8305</v>
      </c>
      <c r="G1058" s="2" t="s">
        <v>8306</v>
      </c>
      <c r="H1058" s="2" t="s">
        <v>8307</v>
      </c>
      <c r="I1058" s="2" t="s">
        <v>8308</v>
      </c>
      <c r="J1058" s="2" t="s">
        <v>116</v>
      </c>
      <c r="K1058" s="2" t="s">
        <v>8309</v>
      </c>
      <c r="L1058" s="2" t="s">
        <v>8310</v>
      </c>
      <c r="M1058" s="2" t="s">
        <v>8307</v>
      </c>
      <c r="N1058" s="2" t="s">
        <v>8311</v>
      </c>
      <c r="O1058" s="2"/>
      <c r="P1058" s="2" t="s">
        <v>37</v>
      </c>
      <c r="Q1058" s="4" t="n">
        <v>8731</v>
      </c>
      <c r="R1058" s="2" t="s">
        <v>136</v>
      </c>
      <c r="S1058" s="2" t="s">
        <v>39</v>
      </c>
      <c r="T1058" s="2" t="s">
        <v>403</v>
      </c>
      <c r="U1058" s="2" t="s">
        <v>8312</v>
      </c>
      <c r="V1058" s="2"/>
      <c r="W1058" s="2" t="s">
        <v>42</v>
      </c>
      <c r="X1058" s="2" t="s">
        <v>43</v>
      </c>
      <c r="Y1058" s="2" t="s">
        <v>37</v>
      </c>
      <c r="Z1058" s="2" t="s">
        <v>916</v>
      </c>
      <c r="AA1058" s="2"/>
      <c r="AB1058" s="2"/>
      <c r="AC1058" s="2" t="s">
        <v>8313</v>
      </c>
      <c r="AD1058" s="2" t="s">
        <v>46</v>
      </c>
    </row>
    <row r="1059" customFormat="false" ht="15.7" hidden="false" customHeight="true" outlineLevel="0" collapsed="false">
      <c r="A1059" s="2"/>
      <c r="B1059" s="3" t="n">
        <f aca="false">DATE(2008,4,17)</f>
        <v>0</v>
      </c>
      <c r="C1059" s="3" t="n">
        <v>39555</v>
      </c>
      <c r="D1059" s="2" t="s">
        <v>8314</v>
      </c>
      <c r="F1059" s="2" t="s">
        <v>8315</v>
      </c>
      <c r="G1059" s="2" t="s">
        <v>8316</v>
      </c>
      <c r="H1059" s="2" t="s">
        <v>8317</v>
      </c>
      <c r="I1059" s="2" t="s">
        <v>1080</v>
      </c>
      <c r="J1059" s="2" t="s">
        <v>35</v>
      </c>
      <c r="K1059" s="2" t="s">
        <v>8318</v>
      </c>
      <c r="L1059" s="2" t="s">
        <v>1080</v>
      </c>
      <c r="M1059" s="2" t="s">
        <v>8319</v>
      </c>
      <c r="N1059" s="2" t="s">
        <v>8320</v>
      </c>
      <c r="O1059" s="2"/>
      <c r="P1059" s="2" t="s">
        <v>37</v>
      </c>
      <c r="Q1059" s="4" t="n">
        <v>2869</v>
      </c>
      <c r="R1059" s="2" t="s">
        <v>136</v>
      </c>
      <c r="S1059" s="2" t="s">
        <v>39</v>
      </c>
      <c r="T1059" s="2" t="s">
        <v>40</v>
      </c>
      <c r="U1059" s="2" t="s">
        <v>8321</v>
      </c>
      <c r="V1059" s="2"/>
      <c r="W1059" s="2" t="s">
        <v>107</v>
      </c>
      <c r="X1059" s="2" t="s">
        <v>43</v>
      </c>
      <c r="Y1059" s="2" t="s">
        <v>37</v>
      </c>
      <c r="Z1059" s="2" t="s">
        <v>44</v>
      </c>
      <c r="AA1059" s="2"/>
      <c r="AB1059" s="2"/>
      <c r="AC1059" s="2" t="s">
        <v>8322</v>
      </c>
      <c r="AD1059" s="2" t="s">
        <v>46</v>
      </c>
    </row>
    <row r="1060" customFormat="false" ht="15.7" hidden="false" customHeight="true" outlineLevel="0" collapsed="false">
      <c r="A1060" s="2"/>
      <c r="B1060" s="3" t="n">
        <f aca="false">DATE(2008,4,17)</f>
        <v>0</v>
      </c>
      <c r="C1060" s="3" t="n">
        <v>39555</v>
      </c>
      <c r="D1060" s="2" t="s">
        <v>8323</v>
      </c>
      <c r="F1060" s="2" t="s">
        <v>8324</v>
      </c>
      <c r="G1060" s="2" t="s">
        <v>8325</v>
      </c>
      <c r="H1060" s="2" t="s">
        <v>814</v>
      </c>
      <c r="I1060" s="2" t="s">
        <v>8326</v>
      </c>
      <c r="J1060" s="2" t="s">
        <v>35</v>
      </c>
      <c r="K1060" s="2" t="s">
        <v>8327</v>
      </c>
      <c r="L1060" s="2" t="s">
        <v>8326</v>
      </c>
      <c r="M1060" s="2" t="s">
        <v>814</v>
      </c>
      <c r="N1060" s="2" t="s">
        <v>8328</v>
      </c>
      <c r="O1060" s="2" t="s">
        <v>8329</v>
      </c>
      <c r="P1060" s="2" t="s">
        <v>37</v>
      </c>
      <c r="Q1060" s="4" t="n">
        <v>2861</v>
      </c>
      <c r="R1060" s="2" t="s">
        <v>121</v>
      </c>
      <c r="S1060" s="2" t="s">
        <v>39</v>
      </c>
      <c r="T1060" s="2" t="s">
        <v>40</v>
      </c>
      <c r="U1060" s="2" t="s">
        <v>8330</v>
      </c>
      <c r="V1060" s="2"/>
      <c r="W1060" s="2" t="s">
        <v>107</v>
      </c>
      <c r="X1060" s="2" t="s">
        <v>46</v>
      </c>
      <c r="Y1060" s="2" t="s">
        <v>37</v>
      </c>
      <c r="Z1060" s="2" t="s">
        <v>2565</v>
      </c>
      <c r="AA1060" s="2"/>
      <c r="AB1060" s="2" t="s">
        <v>8331</v>
      </c>
      <c r="AC1060" s="2" t="s">
        <v>8332</v>
      </c>
      <c r="AD1060" s="2" t="s">
        <v>46</v>
      </c>
    </row>
    <row r="1061" customFormat="false" ht="15.7" hidden="false" customHeight="true" outlineLevel="0" collapsed="false">
      <c r="A1061" s="2"/>
      <c r="B1061" s="3" t="n">
        <f aca="false">DATE(2008,4,17)</f>
        <v>0</v>
      </c>
      <c r="C1061" s="3" t="n">
        <v>39555</v>
      </c>
      <c r="D1061" s="2" t="s">
        <v>8333</v>
      </c>
      <c r="F1061" s="2" t="s">
        <v>5754</v>
      </c>
      <c r="G1061" s="2" t="s">
        <v>8334</v>
      </c>
      <c r="H1061" s="2" t="s">
        <v>130</v>
      </c>
      <c r="I1061" s="2" t="s">
        <v>330</v>
      </c>
      <c r="J1061" s="2" t="s">
        <v>132</v>
      </c>
      <c r="K1061" s="2" t="s">
        <v>8335</v>
      </c>
      <c r="L1061" s="2" t="s">
        <v>330</v>
      </c>
      <c r="M1061" s="2" t="s">
        <v>305</v>
      </c>
      <c r="N1061" s="2" t="s">
        <v>8336</v>
      </c>
      <c r="O1061" s="2"/>
      <c r="P1061" s="2" t="s">
        <v>37</v>
      </c>
      <c r="Q1061" s="4" t="n">
        <v>8731</v>
      </c>
      <c r="R1061" s="2" t="s">
        <v>136</v>
      </c>
      <c r="S1061" s="2" t="s">
        <v>39</v>
      </c>
      <c r="T1061" s="2" t="s">
        <v>40</v>
      </c>
      <c r="U1061" s="2" t="s">
        <v>8337</v>
      </c>
      <c r="V1061" s="2"/>
      <c r="W1061" s="2" t="s">
        <v>42</v>
      </c>
      <c r="X1061" s="2" t="s">
        <v>43</v>
      </c>
      <c r="Y1061" s="2" t="s">
        <v>37</v>
      </c>
      <c r="Z1061" s="2" t="s">
        <v>44</v>
      </c>
      <c r="AA1061" s="2"/>
      <c r="AB1061" s="2"/>
      <c r="AC1061" s="2" t="s">
        <v>8338</v>
      </c>
      <c r="AD1061" s="2" t="s">
        <v>46</v>
      </c>
    </row>
    <row r="1062" customFormat="false" ht="15.7" hidden="false" customHeight="true" outlineLevel="0" collapsed="false">
      <c r="A1062" s="2"/>
      <c r="B1062" s="3" t="n">
        <f aca="false">DATE(2008,4,17)</f>
        <v>0</v>
      </c>
      <c r="C1062" s="3" t="n">
        <v>39555</v>
      </c>
      <c r="D1062" s="2" t="s">
        <v>8339</v>
      </c>
      <c r="F1062" s="2" t="s">
        <v>8340</v>
      </c>
      <c r="G1062" s="2" t="s">
        <v>8341</v>
      </c>
      <c r="H1062" s="2" t="s">
        <v>368</v>
      </c>
      <c r="I1062" s="2" t="s">
        <v>330</v>
      </c>
      <c r="J1062" s="2" t="s">
        <v>4399</v>
      </c>
      <c r="K1062" s="2" t="s">
        <v>8342</v>
      </c>
      <c r="L1062" s="2" t="s">
        <v>330</v>
      </c>
      <c r="M1062" s="2" t="s">
        <v>368</v>
      </c>
      <c r="N1062" s="2" t="s">
        <v>8343</v>
      </c>
      <c r="O1062" s="2"/>
      <c r="P1062" s="2" t="s">
        <v>37</v>
      </c>
      <c r="Q1062" s="4" t="n">
        <v>8731</v>
      </c>
      <c r="R1062" s="2" t="s">
        <v>136</v>
      </c>
      <c r="S1062" s="2" t="s">
        <v>39</v>
      </c>
      <c r="T1062" s="2" t="s">
        <v>40</v>
      </c>
      <c r="U1062" s="2" t="s">
        <v>8344</v>
      </c>
      <c r="V1062" s="2"/>
      <c r="W1062" s="2" t="s">
        <v>42</v>
      </c>
      <c r="X1062" s="2" t="s">
        <v>43</v>
      </c>
      <c r="Y1062" s="2" t="s">
        <v>37</v>
      </c>
      <c r="Z1062" s="2" t="s">
        <v>44</v>
      </c>
      <c r="AA1062" s="2"/>
      <c r="AB1062" s="2"/>
      <c r="AC1062" s="2" t="s">
        <v>8345</v>
      </c>
      <c r="AD1062" s="2" t="s">
        <v>46</v>
      </c>
    </row>
    <row r="1063" customFormat="false" ht="15.7" hidden="false" customHeight="true" outlineLevel="0" collapsed="false">
      <c r="A1063" s="2"/>
      <c r="B1063" s="3" t="n">
        <f aca="false">DATE(2008,4,21)</f>
        <v>0</v>
      </c>
      <c r="C1063" s="3" t="n">
        <v>39559</v>
      </c>
      <c r="D1063" s="2" t="s">
        <v>8346</v>
      </c>
      <c r="F1063" s="2" t="s">
        <v>8347</v>
      </c>
      <c r="G1063" s="2" t="s">
        <v>8348</v>
      </c>
      <c r="H1063" s="2" t="s">
        <v>8349</v>
      </c>
      <c r="I1063" s="2" t="s">
        <v>296</v>
      </c>
      <c r="J1063" s="2" t="s">
        <v>575</v>
      </c>
      <c r="K1063" s="2" t="s">
        <v>8350</v>
      </c>
      <c r="L1063" s="2" t="s">
        <v>8351</v>
      </c>
      <c r="M1063" s="2" t="s">
        <v>8352</v>
      </c>
      <c r="N1063" s="2" t="s">
        <v>8353</v>
      </c>
      <c r="O1063" s="2"/>
      <c r="P1063" s="2" t="s">
        <v>37</v>
      </c>
      <c r="Q1063" s="4" t="n">
        <v>8731</v>
      </c>
      <c r="R1063" s="2" t="s">
        <v>136</v>
      </c>
      <c r="S1063" s="2" t="s">
        <v>39</v>
      </c>
      <c r="T1063" s="2" t="s">
        <v>40</v>
      </c>
      <c r="U1063" s="2" t="s">
        <v>8354</v>
      </c>
      <c r="V1063" s="2"/>
      <c r="W1063" s="2" t="s">
        <v>42</v>
      </c>
      <c r="X1063" s="2" t="s">
        <v>43</v>
      </c>
      <c r="Y1063" s="2" t="s">
        <v>37</v>
      </c>
      <c r="Z1063" s="2" t="s">
        <v>44</v>
      </c>
      <c r="AA1063" s="2"/>
      <c r="AB1063" s="2"/>
      <c r="AC1063" s="2" t="s">
        <v>8355</v>
      </c>
      <c r="AD1063" s="2" t="s">
        <v>46</v>
      </c>
    </row>
    <row r="1064" customFormat="false" ht="15.7" hidden="false" customHeight="true" outlineLevel="0" collapsed="false">
      <c r="A1064" s="2"/>
      <c r="B1064" s="3" t="n">
        <f aca="false">DATE(2008,4,21)</f>
        <v>0</v>
      </c>
      <c r="C1064" s="3" t="n">
        <v>39559</v>
      </c>
      <c r="D1064" s="2" t="s">
        <v>8356</v>
      </c>
      <c r="F1064" s="2" t="s">
        <v>8357</v>
      </c>
      <c r="G1064" s="2" t="s">
        <v>8358</v>
      </c>
      <c r="H1064" s="2" t="s">
        <v>8359</v>
      </c>
      <c r="I1064" s="2" t="s">
        <v>4262</v>
      </c>
      <c r="J1064" s="2" t="s">
        <v>35</v>
      </c>
      <c r="K1064" s="2" t="s">
        <v>8356</v>
      </c>
      <c r="L1064" s="2" t="s">
        <v>4262</v>
      </c>
      <c r="M1064" s="2" t="s">
        <v>8359</v>
      </c>
      <c r="N1064" s="2" t="s">
        <v>8360</v>
      </c>
      <c r="O1064" s="2"/>
      <c r="P1064" s="2" t="s">
        <v>37</v>
      </c>
      <c r="Q1064" s="4" t="n">
        <v>8731</v>
      </c>
      <c r="R1064" s="2" t="s">
        <v>136</v>
      </c>
      <c r="S1064" s="2" t="s">
        <v>39</v>
      </c>
      <c r="T1064" s="2" t="s">
        <v>403</v>
      </c>
      <c r="U1064" s="2" t="s">
        <v>8361</v>
      </c>
      <c r="V1064" s="2"/>
      <c r="W1064" s="2" t="s">
        <v>42</v>
      </c>
      <c r="X1064" s="2" t="s">
        <v>43</v>
      </c>
      <c r="Y1064" s="2" t="s">
        <v>37</v>
      </c>
      <c r="Z1064" s="2" t="s">
        <v>44</v>
      </c>
      <c r="AA1064" s="2"/>
      <c r="AB1064" s="2"/>
      <c r="AC1064" s="2" t="s">
        <v>8362</v>
      </c>
      <c r="AD1064" s="2" t="s">
        <v>46</v>
      </c>
    </row>
    <row r="1065" customFormat="false" ht="15.7" hidden="false" customHeight="true" outlineLevel="0" collapsed="false">
      <c r="A1065" s="2"/>
      <c r="B1065" s="3" t="n">
        <f aca="false">DATE(2008,4,21)</f>
        <v>0</v>
      </c>
      <c r="C1065" s="3" t="n">
        <v>39559</v>
      </c>
      <c r="D1065" s="2" t="s">
        <v>8363</v>
      </c>
      <c r="F1065" s="2" t="s">
        <v>8364</v>
      </c>
      <c r="G1065" s="2" t="s">
        <v>8365</v>
      </c>
      <c r="H1065" s="2" t="s">
        <v>8366</v>
      </c>
      <c r="I1065" s="2" t="s">
        <v>8367</v>
      </c>
      <c r="J1065" s="2" t="s">
        <v>35</v>
      </c>
      <c r="K1065" s="2" t="s">
        <v>8363</v>
      </c>
      <c r="L1065" s="2" t="s">
        <v>8367</v>
      </c>
      <c r="M1065" s="2" t="s">
        <v>8366</v>
      </c>
      <c r="N1065" s="2" t="s">
        <v>8368</v>
      </c>
      <c r="O1065" s="2" t="s">
        <v>8369</v>
      </c>
      <c r="P1065" s="2" t="s">
        <v>37</v>
      </c>
      <c r="Q1065" s="4" t="n">
        <v>8071</v>
      </c>
      <c r="R1065" s="2" t="s">
        <v>105</v>
      </c>
      <c r="S1065" s="2" t="s">
        <v>39</v>
      </c>
      <c r="T1065" s="2" t="s">
        <v>40</v>
      </c>
      <c r="U1065" s="2" t="s">
        <v>8370</v>
      </c>
      <c r="V1065" s="2"/>
      <c r="W1065" s="2" t="s">
        <v>4487</v>
      </c>
      <c r="X1065" s="2" t="s">
        <v>46</v>
      </c>
      <c r="Y1065" s="2" t="s">
        <v>37</v>
      </c>
      <c r="Z1065" s="2" t="s">
        <v>362</v>
      </c>
      <c r="AA1065" s="2"/>
      <c r="AB1065" s="2" t="s">
        <v>8371</v>
      </c>
      <c r="AC1065" s="2" t="s">
        <v>8372</v>
      </c>
      <c r="AD1065" s="2" t="s">
        <v>46</v>
      </c>
    </row>
    <row r="1066" customFormat="false" ht="15.7" hidden="false" customHeight="true" outlineLevel="0" collapsed="false">
      <c r="A1066" s="2"/>
      <c r="B1066" s="3" t="n">
        <f aca="false">DATE(2008,4,22)</f>
        <v>0</v>
      </c>
      <c r="C1066" s="3" t="n">
        <v>39560</v>
      </c>
      <c r="D1066" s="2" t="s">
        <v>8373</v>
      </c>
      <c r="F1066" s="2" t="s">
        <v>8374</v>
      </c>
      <c r="G1066" s="2" t="s">
        <v>8375</v>
      </c>
      <c r="H1066" s="2" t="s">
        <v>1528</v>
      </c>
      <c r="I1066" s="2" t="s">
        <v>51</v>
      </c>
      <c r="J1066" s="2" t="s">
        <v>171</v>
      </c>
      <c r="K1066" s="2" t="s">
        <v>8373</v>
      </c>
      <c r="L1066" s="2" t="s">
        <v>51</v>
      </c>
      <c r="M1066" s="2" t="s">
        <v>1528</v>
      </c>
      <c r="N1066" s="2" t="s">
        <v>8376</v>
      </c>
      <c r="O1066" s="2"/>
      <c r="P1066" s="2" t="s">
        <v>37</v>
      </c>
      <c r="Q1066" s="4" t="n">
        <v>8731</v>
      </c>
      <c r="R1066" s="2" t="s">
        <v>136</v>
      </c>
      <c r="S1066" s="2" t="s">
        <v>39</v>
      </c>
      <c r="T1066" s="2" t="s">
        <v>40</v>
      </c>
      <c r="U1066" s="2" t="s">
        <v>8377</v>
      </c>
      <c r="V1066" s="2"/>
      <c r="W1066" s="2" t="s">
        <v>42</v>
      </c>
      <c r="X1066" s="2" t="s">
        <v>43</v>
      </c>
      <c r="Y1066" s="2" t="s">
        <v>37</v>
      </c>
      <c r="Z1066" s="2" t="s">
        <v>44</v>
      </c>
      <c r="AA1066" s="2"/>
      <c r="AB1066" s="2"/>
      <c r="AC1066" s="2" t="s">
        <v>8378</v>
      </c>
      <c r="AD1066" s="2" t="s">
        <v>46</v>
      </c>
    </row>
    <row r="1067" customFormat="false" ht="15.7" hidden="false" customHeight="true" outlineLevel="0" collapsed="false">
      <c r="A1067" s="2"/>
      <c r="B1067" s="3" t="n">
        <f aca="false">DATE(2008,4,22)</f>
        <v>0</v>
      </c>
      <c r="C1067" s="3" t="n">
        <v>39560</v>
      </c>
      <c r="D1067" s="2" t="s">
        <v>8379</v>
      </c>
      <c r="F1067" s="2" t="s">
        <v>8380</v>
      </c>
      <c r="G1067" s="2" t="s">
        <v>8381</v>
      </c>
      <c r="H1067" s="2" t="s">
        <v>130</v>
      </c>
      <c r="I1067" s="2" t="s">
        <v>4089</v>
      </c>
      <c r="J1067" s="2" t="s">
        <v>35</v>
      </c>
      <c r="K1067" s="2" t="s">
        <v>8379</v>
      </c>
      <c r="L1067" s="2" t="s">
        <v>4089</v>
      </c>
      <c r="M1067" s="2" t="s">
        <v>130</v>
      </c>
      <c r="N1067" s="2" t="s">
        <v>8382</v>
      </c>
      <c r="O1067" s="2"/>
      <c r="P1067" s="2" t="s">
        <v>79</v>
      </c>
      <c r="Q1067" s="4" t="n">
        <v>6794</v>
      </c>
      <c r="R1067" s="2" t="s">
        <v>38</v>
      </c>
      <c r="S1067" s="2" t="s">
        <v>39</v>
      </c>
      <c r="T1067" s="2" t="s">
        <v>40</v>
      </c>
      <c r="U1067" s="2" t="s">
        <v>8383</v>
      </c>
      <c r="V1067" s="2"/>
      <c r="W1067" s="2" t="s">
        <v>190</v>
      </c>
      <c r="X1067" s="2" t="s">
        <v>43</v>
      </c>
      <c r="Y1067" s="2" t="s">
        <v>37</v>
      </c>
      <c r="Z1067" s="2" t="s">
        <v>44</v>
      </c>
      <c r="AA1067" s="2"/>
      <c r="AB1067" s="2"/>
      <c r="AC1067" s="2" t="s">
        <v>8384</v>
      </c>
      <c r="AD1067" s="2" t="s">
        <v>46</v>
      </c>
    </row>
    <row r="1068" customFormat="false" ht="15.7" hidden="false" customHeight="true" outlineLevel="0" collapsed="false">
      <c r="A1068" s="2"/>
      <c r="B1068" s="3" t="n">
        <f aca="false">DATE(2008,4,24)</f>
        <v>0</v>
      </c>
      <c r="C1068" s="3" t="n">
        <v>39562</v>
      </c>
      <c r="D1068" s="2" t="s">
        <v>8385</v>
      </c>
      <c r="F1068" s="2" t="s">
        <v>3534</v>
      </c>
      <c r="G1068" s="2" t="s">
        <v>8386</v>
      </c>
      <c r="H1068" s="2" t="s">
        <v>63</v>
      </c>
      <c r="I1068" s="2" t="s">
        <v>8387</v>
      </c>
      <c r="J1068" s="2" t="s">
        <v>35</v>
      </c>
      <c r="K1068" s="2" t="s">
        <v>8388</v>
      </c>
      <c r="L1068" s="2" t="s">
        <v>8387</v>
      </c>
      <c r="M1068" s="2" t="s">
        <v>611</v>
      </c>
      <c r="N1068" s="2" t="s">
        <v>8389</v>
      </c>
      <c r="O1068" s="2"/>
      <c r="P1068" s="2" t="s">
        <v>37</v>
      </c>
      <c r="Q1068" s="4" t="n">
        <v>8731</v>
      </c>
      <c r="R1068" s="2" t="s">
        <v>136</v>
      </c>
      <c r="S1068" s="2" t="s">
        <v>39</v>
      </c>
      <c r="T1068" s="2" t="s">
        <v>40</v>
      </c>
      <c r="U1068" s="2" t="s">
        <v>8390</v>
      </c>
      <c r="V1068" s="2"/>
      <c r="W1068" s="2" t="s">
        <v>42</v>
      </c>
      <c r="X1068" s="2" t="s">
        <v>43</v>
      </c>
      <c r="Y1068" s="2" t="s">
        <v>37</v>
      </c>
      <c r="Z1068" s="2" t="s">
        <v>44</v>
      </c>
      <c r="AA1068" s="2" t="s">
        <v>8391</v>
      </c>
      <c r="AB1068" s="2"/>
      <c r="AC1068" s="2" t="s">
        <v>8392</v>
      </c>
      <c r="AD1068" s="2" t="s">
        <v>46</v>
      </c>
    </row>
    <row r="1069" customFormat="false" ht="15.7" hidden="false" customHeight="true" outlineLevel="0" collapsed="false">
      <c r="A1069" s="2"/>
      <c r="B1069" s="3" t="n">
        <f aca="false">DATE(2008,4,25)</f>
        <v>0</v>
      </c>
      <c r="C1069" s="3" t="n">
        <v>39563</v>
      </c>
      <c r="D1069" s="2" t="s">
        <v>8393</v>
      </c>
      <c r="F1069" s="2" t="s">
        <v>8394</v>
      </c>
      <c r="G1069" s="2" t="s">
        <v>8395</v>
      </c>
      <c r="H1069" s="2" t="s">
        <v>523</v>
      </c>
      <c r="I1069" s="2" t="s">
        <v>664</v>
      </c>
      <c r="J1069" s="2" t="s">
        <v>132</v>
      </c>
      <c r="K1069" s="2" t="s">
        <v>8393</v>
      </c>
      <c r="L1069" s="2" t="s">
        <v>664</v>
      </c>
      <c r="M1069" s="2" t="s">
        <v>523</v>
      </c>
      <c r="N1069" s="2" t="s">
        <v>8396</v>
      </c>
      <c r="O1069" s="2"/>
      <c r="P1069" s="2" t="s">
        <v>37</v>
      </c>
      <c r="Q1069" s="4" t="n">
        <v>8731</v>
      </c>
      <c r="R1069" s="2" t="s">
        <v>136</v>
      </c>
      <c r="S1069" s="2" t="s">
        <v>39</v>
      </c>
      <c r="T1069" s="2" t="s">
        <v>40</v>
      </c>
      <c r="U1069" s="2" t="s">
        <v>8397</v>
      </c>
      <c r="V1069" s="2"/>
      <c r="W1069" s="2" t="s">
        <v>42</v>
      </c>
      <c r="X1069" s="2" t="s">
        <v>43</v>
      </c>
      <c r="Y1069" s="2" t="s">
        <v>37</v>
      </c>
      <c r="Z1069" s="2" t="s">
        <v>44</v>
      </c>
      <c r="AA1069" s="2" t="s">
        <v>8398</v>
      </c>
      <c r="AB1069" s="2"/>
      <c r="AC1069" s="2" t="s">
        <v>8399</v>
      </c>
      <c r="AD1069" s="2" t="s">
        <v>46</v>
      </c>
    </row>
    <row r="1070" customFormat="false" ht="15.7" hidden="false" customHeight="true" outlineLevel="0" collapsed="false">
      <c r="A1070" s="2"/>
      <c r="B1070" s="3" t="n">
        <f aca="false">DATE(2008,4,28)</f>
        <v>0</v>
      </c>
      <c r="C1070" s="3" t="n">
        <v>39566</v>
      </c>
      <c r="D1070" s="2" t="s">
        <v>8400</v>
      </c>
      <c r="F1070" s="2" t="s">
        <v>8401</v>
      </c>
      <c r="G1070" s="2" t="s">
        <v>8402</v>
      </c>
      <c r="H1070" s="2" t="s">
        <v>368</v>
      </c>
      <c r="I1070" s="2" t="s">
        <v>4179</v>
      </c>
      <c r="J1070" s="2" t="s">
        <v>795</v>
      </c>
      <c r="K1070" s="2" t="s">
        <v>8400</v>
      </c>
      <c r="L1070" s="2" t="s">
        <v>4179</v>
      </c>
      <c r="M1070" s="2" t="s">
        <v>368</v>
      </c>
      <c r="N1070" s="2" t="s">
        <v>8403</v>
      </c>
      <c r="O1070" s="2"/>
      <c r="P1070" s="2" t="s">
        <v>79</v>
      </c>
      <c r="Q1070" s="4" t="n">
        <v>6794</v>
      </c>
      <c r="R1070" s="2" t="s">
        <v>136</v>
      </c>
      <c r="S1070" s="2" t="s">
        <v>39</v>
      </c>
      <c r="T1070" s="2" t="s">
        <v>40</v>
      </c>
      <c r="U1070" s="2" t="s">
        <v>8404</v>
      </c>
      <c r="V1070" s="2"/>
      <c r="W1070" s="2" t="s">
        <v>82</v>
      </c>
      <c r="X1070" s="2" t="s">
        <v>43</v>
      </c>
      <c r="Y1070" s="2" t="s">
        <v>37</v>
      </c>
      <c r="Z1070" s="2" t="s">
        <v>44</v>
      </c>
      <c r="AA1070" s="2"/>
      <c r="AB1070" s="2"/>
      <c r="AC1070" s="2" t="s">
        <v>8405</v>
      </c>
      <c r="AD1070" s="2" t="s">
        <v>46</v>
      </c>
    </row>
    <row r="1071" customFormat="false" ht="15.7" hidden="false" customHeight="true" outlineLevel="0" collapsed="false">
      <c r="A1071" s="2"/>
      <c r="B1071" s="3" t="n">
        <f aca="false">DATE(2008,4,28)</f>
        <v>0</v>
      </c>
      <c r="C1071" s="3" t="n">
        <v>39566</v>
      </c>
      <c r="D1071" s="2" t="s">
        <v>8406</v>
      </c>
      <c r="F1071" s="2" t="s">
        <v>8407</v>
      </c>
      <c r="G1071" s="2" t="s">
        <v>8408</v>
      </c>
      <c r="H1071" s="2" t="s">
        <v>8409</v>
      </c>
      <c r="I1071" s="2" t="s">
        <v>2749</v>
      </c>
      <c r="J1071" s="2" t="s">
        <v>65</v>
      </c>
      <c r="K1071" s="2" t="s">
        <v>8410</v>
      </c>
      <c r="L1071" s="2" t="s">
        <v>51</v>
      </c>
      <c r="M1071" s="2" t="s">
        <v>8409</v>
      </c>
      <c r="N1071" s="2" t="s">
        <v>8411</v>
      </c>
      <c r="O1071" s="2" t="s">
        <v>8412</v>
      </c>
      <c r="P1071" s="2" t="s">
        <v>37</v>
      </c>
      <c r="Q1071" s="4" t="n">
        <v>8731</v>
      </c>
      <c r="R1071" s="2" t="s">
        <v>2225</v>
      </c>
      <c r="S1071" s="2" t="s">
        <v>39</v>
      </c>
      <c r="T1071" s="2" t="s">
        <v>40</v>
      </c>
      <c r="U1071" s="2" t="s">
        <v>8413</v>
      </c>
      <c r="V1071" s="2"/>
      <c r="W1071" s="2" t="s">
        <v>42</v>
      </c>
      <c r="X1071" s="2" t="s">
        <v>46</v>
      </c>
      <c r="Y1071" s="2" t="s">
        <v>37</v>
      </c>
      <c r="Z1071" s="2" t="s">
        <v>362</v>
      </c>
      <c r="AA1071" s="2"/>
      <c r="AB1071" s="2" t="s">
        <v>8414</v>
      </c>
      <c r="AC1071" s="2" t="s">
        <v>8415</v>
      </c>
      <c r="AD1071" s="2" t="s">
        <v>46</v>
      </c>
    </row>
    <row r="1072" customFormat="false" ht="15.7" hidden="false" customHeight="true" outlineLevel="0" collapsed="false">
      <c r="A1072" s="2"/>
      <c r="B1072" s="3" t="n">
        <f aca="false">DATE(2008,4,28)</f>
        <v>0</v>
      </c>
      <c r="C1072" s="3" t="n">
        <v>39566</v>
      </c>
      <c r="D1072" s="2" t="s">
        <v>8416</v>
      </c>
      <c r="F1072" s="2" t="s">
        <v>8417</v>
      </c>
      <c r="G1072" s="2" t="s">
        <v>8418</v>
      </c>
      <c r="H1072" s="2" t="s">
        <v>8419</v>
      </c>
      <c r="I1072" s="2" t="s">
        <v>51</v>
      </c>
      <c r="J1072" s="2" t="s">
        <v>2338</v>
      </c>
      <c r="K1072" s="2" t="s">
        <v>8416</v>
      </c>
      <c r="L1072" s="2" t="s">
        <v>51</v>
      </c>
      <c r="M1072" s="2" t="s">
        <v>8419</v>
      </c>
      <c r="N1072" s="2" t="s">
        <v>8420</v>
      </c>
      <c r="O1072" s="2"/>
      <c r="P1072" s="2" t="s">
        <v>79</v>
      </c>
      <c r="Q1072" s="4" t="n">
        <v>6794</v>
      </c>
      <c r="R1072" s="2" t="s">
        <v>402</v>
      </c>
      <c r="S1072" s="2" t="s">
        <v>39</v>
      </c>
      <c r="T1072" s="2" t="s">
        <v>40</v>
      </c>
      <c r="U1072" s="2" t="s">
        <v>8421</v>
      </c>
      <c r="V1072" s="2"/>
      <c r="W1072" s="2" t="s">
        <v>82</v>
      </c>
      <c r="X1072" s="2" t="s">
        <v>43</v>
      </c>
      <c r="Y1072" s="2" t="s">
        <v>37</v>
      </c>
      <c r="Z1072" s="2" t="s">
        <v>44</v>
      </c>
      <c r="AA1072" s="2"/>
      <c r="AB1072" s="2"/>
      <c r="AC1072" s="2" t="s">
        <v>8422</v>
      </c>
      <c r="AD1072" s="2" t="s">
        <v>46</v>
      </c>
    </row>
    <row r="1073" customFormat="false" ht="15.7" hidden="false" customHeight="true" outlineLevel="0" collapsed="false">
      <c r="A1073" s="2"/>
      <c r="B1073" s="3" t="n">
        <f aca="false">DATE(2008,4,28)</f>
        <v>0</v>
      </c>
      <c r="C1073" s="3" t="n">
        <v>39566</v>
      </c>
      <c r="D1073" s="2" t="s">
        <v>8423</v>
      </c>
      <c r="F1073" s="2" t="s">
        <v>8424</v>
      </c>
      <c r="G1073" s="2" t="s">
        <v>8425</v>
      </c>
      <c r="H1073" s="2" t="s">
        <v>8426</v>
      </c>
      <c r="I1073" s="2" t="s">
        <v>5990</v>
      </c>
      <c r="J1073" s="2" t="s">
        <v>35</v>
      </c>
      <c r="K1073" s="2" t="s">
        <v>8427</v>
      </c>
      <c r="L1073" s="2" t="s">
        <v>5990</v>
      </c>
      <c r="M1073" s="2" t="s">
        <v>8428</v>
      </c>
      <c r="N1073" s="2" t="s">
        <v>8429</v>
      </c>
      <c r="O1073" s="2"/>
      <c r="P1073" s="2" t="s">
        <v>37</v>
      </c>
      <c r="Q1073" s="4" t="n">
        <v>8731</v>
      </c>
      <c r="R1073" s="2" t="s">
        <v>3154</v>
      </c>
      <c r="S1073" s="2" t="s">
        <v>39</v>
      </c>
      <c r="T1073" s="2" t="s">
        <v>40</v>
      </c>
      <c r="U1073" s="2" t="s">
        <v>8430</v>
      </c>
      <c r="V1073" s="2"/>
      <c r="W1073" s="2" t="s">
        <v>42</v>
      </c>
      <c r="X1073" s="2" t="s">
        <v>43</v>
      </c>
      <c r="Y1073" s="2" t="s">
        <v>37</v>
      </c>
      <c r="Z1073" s="2" t="s">
        <v>44</v>
      </c>
      <c r="AA1073" s="2"/>
      <c r="AB1073" s="2"/>
      <c r="AC1073" s="2" t="s">
        <v>8431</v>
      </c>
      <c r="AD1073" s="2" t="s">
        <v>46</v>
      </c>
    </row>
    <row r="1074" customFormat="false" ht="15.7" hidden="false" customHeight="true" outlineLevel="0" collapsed="false">
      <c r="A1074" s="2"/>
      <c r="B1074" s="3" t="n">
        <f aca="false">DATE(2008,4,28)</f>
        <v>0</v>
      </c>
      <c r="C1074" s="3" t="n">
        <v>39566</v>
      </c>
      <c r="D1074" s="2" t="s">
        <v>8432</v>
      </c>
      <c r="F1074" s="2" t="s">
        <v>8433</v>
      </c>
      <c r="G1074" s="2" t="s">
        <v>8434</v>
      </c>
      <c r="H1074" s="2" t="s">
        <v>8435</v>
      </c>
      <c r="I1074" s="2" t="s">
        <v>51</v>
      </c>
      <c r="J1074" s="2" t="s">
        <v>2338</v>
      </c>
      <c r="K1074" s="2" t="s">
        <v>8436</v>
      </c>
      <c r="L1074" s="2" t="s">
        <v>219</v>
      </c>
      <c r="M1074" s="2" t="s">
        <v>8435</v>
      </c>
      <c r="N1074" s="2" t="s">
        <v>8437</v>
      </c>
      <c r="O1074" s="2"/>
      <c r="P1074" s="2" t="s">
        <v>37</v>
      </c>
      <c r="Q1074" s="4" t="n">
        <v>8731</v>
      </c>
      <c r="R1074" s="2" t="s">
        <v>136</v>
      </c>
      <c r="S1074" s="2" t="s">
        <v>39</v>
      </c>
      <c r="T1074" s="2" t="s">
        <v>40</v>
      </c>
      <c r="U1074" s="2" t="s">
        <v>8438</v>
      </c>
      <c r="V1074" s="2"/>
      <c r="W1074" s="2" t="s">
        <v>42</v>
      </c>
      <c r="X1074" s="2" t="s">
        <v>43</v>
      </c>
      <c r="Y1074" s="2" t="s">
        <v>37</v>
      </c>
      <c r="Z1074" s="2" t="s">
        <v>44</v>
      </c>
      <c r="AA1074" s="2"/>
      <c r="AB1074" s="2"/>
      <c r="AC1074" s="2" t="s">
        <v>8439</v>
      </c>
      <c r="AD1074" s="2" t="s">
        <v>46</v>
      </c>
    </row>
    <row r="1075" customFormat="false" ht="15.7" hidden="false" customHeight="true" outlineLevel="0" collapsed="false">
      <c r="A1075" s="2"/>
      <c r="B1075" s="3" t="n">
        <f aca="false">DATE(2008,4,29)</f>
        <v>0</v>
      </c>
      <c r="C1075" s="3" t="n">
        <v>39567</v>
      </c>
      <c r="D1075" s="2" t="s">
        <v>8440</v>
      </c>
      <c r="F1075" s="2" t="s">
        <v>8441</v>
      </c>
      <c r="G1075" s="2" t="s">
        <v>8442</v>
      </c>
      <c r="H1075" s="2" t="s">
        <v>8443</v>
      </c>
      <c r="I1075" s="2" t="s">
        <v>8444</v>
      </c>
      <c r="J1075" s="2" t="s">
        <v>35</v>
      </c>
      <c r="K1075" s="2" t="s">
        <v>8445</v>
      </c>
      <c r="L1075" s="2" t="s">
        <v>8444</v>
      </c>
      <c r="M1075" s="2" t="s">
        <v>1976</v>
      </c>
      <c r="N1075" s="2" t="s">
        <v>8446</v>
      </c>
      <c r="O1075" s="2"/>
      <c r="P1075" s="2" t="s">
        <v>37</v>
      </c>
      <c r="Q1075" s="4" t="n">
        <v>3724</v>
      </c>
      <c r="R1075" s="2" t="s">
        <v>2661</v>
      </c>
      <c r="S1075" s="2" t="s">
        <v>39</v>
      </c>
      <c r="T1075" s="2" t="s">
        <v>403</v>
      </c>
      <c r="U1075" s="2" t="s">
        <v>8447</v>
      </c>
      <c r="V1075" s="2"/>
      <c r="W1075" s="2" t="s">
        <v>107</v>
      </c>
      <c r="X1075" s="2" t="s">
        <v>46</v>
      </c>
      <c r="Y1075" s="2" t="s">
        <v>37</v>
      </c>
      <c r="Z1075" s="2" t="s">
        <v>362</v>
      </c>
      <c r="AA1075" s="2"/>
      <c r="AB1075" s="2"/>
      <c r="AC1075" s="2" t="s">
        <v>8448</v>
      </c>
      <c r="AD1075" s="2" t="s">
        <v>46</v>
      </c>
    </row>
    <row r="1076" customFormat="false" ht="15.7" hidden="false" customHeight="true" outlineLevel="0" collapsed="false">
      <c r="A1076" s="2"/>
      <c r="B1076" s="3" t="n">
        <f aca="false">DATE(2008,4,29)</f>
        <v>0</v>
      </c>
      <c r="C1076" s="3" t="n">
        <v>39567</v>
      </c>
      <c r="D1076" s="2" t="s">
        <v>8449</v>
      </c>
      <c r="F1076" s="2" t="s">
        <v>8450</v>
      </c>
      <c r="G1076" s="2" t="s">
        <v>8451</v>
      </c>
      <c r="H1076" s="2" t="s">
        <v>3752</v>
      </c>
      <c r="I1076" s="2" t="s">
        <v>100</v>
      </c>
      <c r="J1076" s="2" t="s">
        <v>2088</v>
      </c>
      <c r="K1076" s="2" t="s">
        <v>8449</v>
      </c>
      <c r="L1076" s="2" t="s">
        <v>100</v>
      </c>
      <c r="M1076" s="2" t="s">
        <v>3752</v>
      </c>
      <c r="N1076" s="2" t="s">
        <v>8452</v>
      </c>
      <c r="O1076" s="2"/>
      <c r="P1076" s="2" t="s">
        <v>37</v>
      </c>
      <c r="Q1076" s="4" t="n">
        <v>8731</v>
      </c>
      <c r="R1076" s="2" t="s">
        <v>136</v>
      </c>
      <c r="S1076" s="2" t="s">
        <v>39</v>
      </c>
      <c r="T1076" s="2" t="s">
        <v>40</v>
      </c>
      <c r="U1076" s="2" t="s">
        <v>8453</v>
      </c>
      <c r="V1076" s="2"/>
      <c r="W1076" s="2" t="s">
        <v>42</v>
      </c>
      <c r="X1076" s="2" t="s">
        <v>43</v>
      </c>
      <c r="Y1076" s="2" t="s">
        <v>37</v>
      </c>
      <c r="Z1076" s="2" t="s">
        <v>44</v>
      </c>
      <c r="AA1076" s="2"/>
      <c r="AB1076" s="2"/>
      <c r="AC1076" s="2" t="s">
        <v>8454</v>
      </c>
      <c r="AD1076" s="2" t="s">
        <v>46</v>
      </c>
    </row>
    <row r="1077" customFormat="false" ht="15.7" hidden="false" customHeight="true" outlineLevel="0" collapsed="false">
      <c r="A1077" s="2"/>
      <c r="B1077" s="3" t="n">
        <f aca="false">DATE(2008,4,29)</f>
        <v>0</v>
      </c>
      <c r="C1077" s="3" t="n">
        <v>39567</v>
      </c>
      <c r="D1077" s="2" t="s">
        <v>8455</v>
      </c>
      <c r="F1077" s="2" t="s">
        <v>8456</v>
      </c>
      <c r="G1077" s="2" t="s">
        <v>8457</v>
      </c>
      <c r="H1077" s="2" t="s">
        <v>130</v>
      </c>
      <c r="I1077" s="2" t="s">
        <v>7027</v>
      </c>
      <c r="J1077" s="2" t="s">
        <v>35</v>
      </c>
      <c r="K1077" s="2" t="s">
        <v>8458</v>
      </c>
      <c r="L1077" s="2" t="s">
        <v>7027</v>
      </c>
      <c r="M1077" s="2" t="s">
        <v>90</v>
      </c>
      <c r="N1077" s="2" t="s">
        <v>8459</v>
      </c>
      <c r="O1077" s="2"/>
      <c r="P1077" s="2" t="s">
        <v>37</v>
      </c>
      <c r="Q1077" s="4" t="n">
        <v>8731</v>
      </c>
      <c r="R1077" s="2" t="s">
        <v>136</v>
      </c>
      <c r="S1077" s="2" t="s">
        <v>39</v>
      </c>
      <c r="T1077" s="2" t="s">
        <v>40</v>
      </c>
      <c r="U1077" s="2" t="s">
        <v>8460</v>
      </c>
      <c r="V1077" s="2"/>
      <c r="W1077" s="2" t="s">
        <v>42</v>
      </c>
      <c r="X1077" s="2" t="s">
        <v>43</v>
      </c>
      <c r="Y1077" s="2" t="s">
        <v>37</v>
      </c>
      <c r="Z1077" s="2" t="s">
        <v>44</v>
      </c>
      <c r="AA1077" s="2"/>
      <c r="AB1077" s="2"/>
      <c r="AC1077" s="2" t="s">
        <v>8461</v>
      </c>
      <c r="AD1077" s="2" t="s">
        <v>46</v>
      </c>
    </row>
    <row r="1078" customFormat="false" ht="15.7" hidden="false" customHeight="true" outlineLevel="0" collapsed="false">
      <c r="A1078" s="2"/>
      <c r="B1078" s="3" t="n">
        <f aca="false">DATE(2008,4,29)</f>
        <v>0</v>
      </c>
      <c r="C1078" s="3" t="n">
        <v>39567</v>
      </c>
      <c r="D1078" s="2" t="s">
        <v>8462</v>
      </c>
      <c r="F1078" s="2" t="s">
        <v>8463</v>
      </c>
      <c r="G1078" s="2" t="s">
        <v>8464</v>
      </c>
      <c r="H1078" s="2" t="s">
        <v>8465</v>
      </c>
      <c r="I1078" s="2" t="s">
        <v>8466</v>
      </c>
      <c r="J1078" s="2" t="s">
        <v>35</v>
      </c>
      <c r="K1078" s="2" t="s">
        <v>8462</v>
      </c>
      <c r="L1078" s="2" t="s">
        <v>8466</v>
      </c>
      <c r="M1078" s="2" t="s">
        <v>8465</v>
      </c>
      <c r="N1078" s="2" t="s">
        <v>8467</v>
      </c>
      <c r="O1078" s="2"/>
      <c r="P1078" s="2" t="s">
        <v>37</v>
      </c>
      <c r="Q1078" s="4" t="n">
        <v>8731</v>
      </c>
      <c r="R1078" s="2" t="s">
        <v>402</v>
      </c>
      <c r="S1078" s="2" t="s">
        <v>39</v>
      </c>
      <c r="T1078" s="2" t="s">
        <v>403</v>
      </c>
      <c r="U1078" s="2" t="s">
        <v>8468</v>
      </c>
      <c r="V1078" s="2"/>
      <c r="W1078" s="2" t="s">
        <v>42</v>
      </c>
      <c r="X1078" s="2" t="s">
        <v>46</v>
      </c>
      <c r="Y1078" s="2" t="s">
        <v>37</v>
      </c>
      <c r="Z1078" s="2" t="s">
        <v>2732</v>
      </c>
      <c r="AA1078" s="2"/>
      <c r="AB1078" s="2"/>
      <c r="AC1078" s="2" t="s">
        <v>8469</v>
      </c>
      <c r="AD1078" s="2" t="s">
        <v>46</v>
      </c>
    </row>
    <row r="1079" customFormat="false" ht="15.7" hidden="false" customHeight="true" outlineLevel="0" collapsed="false">
      <c r="A1079" s="2"/>
      <c r="B1079" s="3" t="n">
        <f aca="false">DATE(2008,5,5)</f>
        <v>0</v>
      </c>
      <c r="C1079" s="3" t="n">
        <v>39573</v>
      </c>
      <c r="D1079" s="2" t="s">
        <v>8470</v>
      </c>
      <c r="F1079" s="2" t="s">
        <v>8471</v>
      </c>
      <c r="G1079" s="2" t="s">
        <v>8472</v>
      </c>
      <c r="H1079" s="2" t="s">
        <v>3343</v>
      </c>
      <c r="I1079" s="2" t="s">
        <v>51</v>
      </c>
      <c r="J1079" s="2" t="s">
        <v>7462</v>
      </c>
      <c r="K1079" s="2" t="s">
        <v>8470</v>
      </c>
      <c r="L1079" s="2" t="s">
        <v>51</v>
      </c>
      <c r="M1079" s="2" t="s">
        <v>3343</v>
      </c>
      <c r="N1079" s="2" t="s">
        <v>8473</v>
      </c>
      <c r="O1079" s="2"/>
      <c r="P1079" s="2" t="s">
        <v>37</v>
      </c>
      <c r="Q1079" s="4" t="n">
        <v>8731</v>
      </c>
      <c r="R1079" s="2" t="s">
        <v>56</v>
      </c>
      <c r="S1079" s="2" t="s">
        <v>92</v>
      </c>
      <c r="T1079" s="2" t="s">
        <v>40</v>
      </c>
      <c r="U1079" s="2" t="s">
        <v>8474</v>
      </c>
      <c r="V1079" s="2"/>
      <c r="W1079" s="2" t="s">
        <v>42</v>
      </c>
      <c r="X1079" s="2" t="s">
        <v>43</v>
      </c>
      <c r="Y1079" s="2" t="s">
        <v>37</v>
      </c>
      <c r="Z1079" s="2" t="s">
        <v>44</v>
      </c>
      <c r="AA1079" s="2"/>
      <c r="AB1079" s="2"/>
      <c r="AC1079" s="2" t="s">
        <v>8475</v>
      </c>
      <c r="AD1079" s="2" t="s">
        <v>46</v>
      </c>
    </row>
    <row r="1080" customFormat="false" ht="15.7" hidden="false" customHeight="true" outlineLevel="0" collapsed="false">
      <c r="A1080" s="2"/>
      <c r="B1080" s="3" t="n">
        <f aca="false">DATE(2008,5,6)</f>
        <v>0</v>
      </c>
      <c r="C1080" s="3" t="n">
        <v>39574</v>
      </c>
      <c r="D1080" s="2" t="s">
        <v>8476</v>
      </c>
      <c r="F1080" s="2" t="s">
        <v>8477</v>
      </c>
      <c r="G1080" s="2" t="s">
        <v>8478</v>
      </c>
      <c r="H1080" s="2" t="s">
        <v>8479</v>
      </c>
      <c r="I1080" s="2" t="s">
        <v>369</v>
      </c>
      <c r="J1080" s="2" t="s">
        <v>35</v>
      </c>
      <c r="K1080" s="2" t="s">
        <v>8480</v>
      </c>
      <c r="L1080" s="2" t="s">
        <v>131</v>
      </c>
      <c r="M1080" s="2" t="s">
        <v>8481</v>
      </c>
      <c r="N1080" s="2" t="s">
        <v>8482</v>
      </c>
      <c r="O1080" s="2"/>
      <c r="P1080" s="2" t="s">
        <v>37</v>
      </c>
      <c r="Q1080" s="4" t="n">
        <v>8731</v>
      </c>
      <c r="R1080" s="2" t="s">
        <v>105</v>
      </c>
      <c r="S1080" s="2" t="s">
        <v>39</v>
      </c>
      <c r="T1080" s="2" t="s">
        <v>40</v>
      </c>
      <c r="U1080" s="2" t="s">
        <v>8483</v>
      </c>
      <c r="V1080" s="2"/>
      <c r="W1080" s="2" t="s">
        <v>138</v>
      </c>
      <c r="X1080" s="2" t="s">
        <v>43</v>
      </c>
      <c r="Y1080" s="2" t="s">
        <v>37</v>
      </c>
      <c r="Z1080" s="2" t="s">
        <v>44</v>
      </c>
      <c r="AA1080" s="2"/>
      <c r="AB1080" s="2"/>
      <c r="AC1080" s="2" t="s">
        <v>8484</v>
      </c>
      <c r="AD1080" s="2" t="s">
        <v>46</v>
      </c>
    </row>
    <row r="1081" customFormat="false" ht="15.7" hidden="false" customHeight="true" outlineLevel="0" collapsed="false">
      <c r="A1081" s="2"/>
      <c r="B1081" s="3" t="n">
        <f aca="false">DATE(2008,5,7)</f>
        <v>0</v>
      </c>
      <c r="C1081" s="3" t="n">
        <v>39575</v>
      </c>
      <c r="D1081" s="2" t="s">
        <v>8485</v>
      </c>
      <c r="F1081" s="2" t="s">
        <v>8486</v>
      </c>
      <c r="G1081" s="2" t="s">
        <v>8487</v>
      </c>
      <c r="H1081" s="2" t="s">
        <v>5455</v>
      </c>
      <c r="I1081" s="2" t="s">
        <v>487</v>
      </c>
      <c r="J1081" s="2" t="s">
        <v>8488</v>
      </c>
      <c r="K1081" s="2" t="s">
        <v>8485</v>
      </c>
      <c r="L1081" s="2" t="s">
        <v>487</v>
      </c>
      <c r="M1081" s="2" t="s">
        <v>5455</v>
      </c>
      <c r="N1081" s="2" t="s">
        <v>8489</v>
      </c>
      <c r="O1081" s="2"/>
      <c r="P1081" s="2" t="s">
        <v>37</v>
      </c>
      <c r="Q1081" s="4" t="n">
        <v>5122</v>
      </c>
      <c r="R1081" s="2" t="s">
        <v>136</v>
      </c>
      <c r="S1081" s="2" t="s">
        <v>39</v>
      </c>
      <c r="T1081" s="2" t="s">
        <v>673</v>
      </c>
      <c r="U1081" s="2" t="s">
        <v>8490</v>
      </c>
      <c r="V1081" s="2"/>
      <c r="W1081" s="2" t="s">
        <v>3244</v>
      </c>
      <c r="X1081" s="2" t="s">
        <v>43</v>
      </c>
      <c r="Y1081" s="2" t="s">
        <v>37</v>
      </c>
      <c r="Z1081" s="2" t="s">
        <v>44</v>
      </c>
      <c r="AA1081" s="2"/>
      <c r="AB1081" s="2"/>
      <c r="AC1081" s="2" t="s">
        <v>8491</v>
      </c>
      <c r="AD1081" s="2" t="s">
        <v>46</v>
      </c>
    </row>
    <row r="1082" customFormat="false" ht="15.7" hidden="false" customHeight="true" outlineLevel="0" collapsed="false">
      <c r="A1082" s="2"/>
      <c r="B1082" s="3" t="n">
        <f aca="false">DATE(2008,5,8)</f>
        <v>0</v>
      </c>
      <c r="C1082" s="3" t="n">
        <v>39576</v>
      </c>
      <c r="D1082" s="2" t="s">
        <v>8492</v>
      </c>
      <c r="F1082" s="2" t="s">
        <v>8493</v>
      </c>
      <c r="G1082" s="2" t="s">
        <v>8494</v>
      </c>
      <c r="H1082" s="2" t="s">
        <v>8495</v>
      </c>
      <c r="I1082" s="2" t="s">
        <v>664</v>
      </c>
      <c r="J1082" s="2" t="s">
        <v>732</v>
      </c>
      <c r="K1082" s="2" t="s">
        <v>8492</v>
      </c>
      <c r="L1082" s="2" t="s">
        <v>664</v>
      </c>
      <c r="M1082" s="2" t="s">
        <v>8495</v>
      </c>
      <c r="N1082" s="2" t="s">
        <v>8496</v>
      </c>
      <c r="O1082" s="2"/>
      <c r="P1082" s="2" t="s">
        <v>37</v>
      </c>
      <c r="Q1082" s="4" t="n">
        <v>8731</v>
      </c>
      <c r="R1082" s="2" t="s">
        <v>136</v>
      </c>
      <c r="S1082" s="2" t="s">
        <v>39</v>
      </c>
      <c r="T1082" s="2" t="s">
        <v>403</v>
      </c>
      <c r="U1082" s="2" t="s">
        <v>8497</v>
      </c>
      <c r="V1082" s="2"/>
      <c r="W1082" s="2" t="s">
        <v>42</v>
      </c>
      <c r="X1082" s="2" t="s">
        <v>43</v>
      </c>
      <c r="Y1082" s="2" t="s">
        <v>37</v>
      </c>
      <c r="Z1082" s="2" t="s">
        <v>44</v>
      </c>
      <c r="AA1082" s="2"/>
      <c r="AB1082" s="2"/>
      <c r="AC1082" s="2" t="s">
        <v>8498</v>
      </c>
      <c r="AD1082" s="2" t="s">
        <v>46</v>
      </c>
    </row>
    <row r="1083" customFormat="false" ht="15.7" hidden="false" customHeight="true" outlineLevel="0" collapsed="false">
      <c r="A1083" s="2"/>
      <c r="B1083" s="3" t="n">
        <f aca="false">DATE(2008,5,8)</f>
        <v>0</v>
      </c>
      <c r="C1083" s="3" t="n">
        <v>39576</v>
      </c>
      <c r="D1083" s="2" t="s">
        <v>8499</v>
      </c>
      <c r="F1083" s="2" t="s">
        <v>256</v>
      </c>
      <c r="G1083" s="2" t="s">
        <v>8500</v>
      </c>
      <c r="H1083" s="2" t="s">
        <v>170</v>
      </c>
      <c r="I1083" s="2" t="s">
        <v>568</v>
      </c>
      <c r="J1083" s="2" t="s">
        <v>625</v>
      </c>
      <c r="K1083" s="2" t="s">
        <v>8501</v>
      </c>
      <c r="L1083" s="2" t="s">
        <v>568</v>
      </c>
      <c r="M1083" s="2" t="s">
        <v>2779</v>
      </c>
      <c r="N1083" s="2" t="s">
        <v>8502</v>
      </c>
      <c r="O1083" s="2"/>
      <c r="P1083" s="2" t="s">
        <v>37</v>
      </c>
      <c r="Q1083" s="4" t="n">
        <v>8731</v>
      </c>
      <c r="R1083" s="2" t="s">
        <v>136</v>
      </c>
      <c r="S1083" s="2" t="s">
        <v>39</v>
      </c>
      <c r="T1083" s="2" t="s">
        <v>40</v>
      </c>
      <c r="U1083" s="2" t="s">
        <v>8503</v>
      </c>
      <c r="V1083" s="2"/>
      <c r="W1083" s="2" t="s">
        <v>42</v>
      </c>
      <c r="X1083" s="2" t="s">
        <v>43</v>
      </c>
      <c r="Y1083" s="2" t="s">
        <v>37</v>
      </c>
      <c r="Z1083" s="2" t="s">
        <v>44</v>
      </c>
      <c r="AA1083" s="2"/>
      <c r="AB1083" s="2"/>
      <c r="AC1083" s="2" t="s">
        <v>8504</v>
      </c>
      <c r="AD1083" s="2" t="s">
        <v>46</v>
      </c>
    </row>
    <row r="1084" customFormat="false" ht="15.7" hidden="false" customHeight="true" outlineLevel="0" collapsed="false">
      <c r="A1084" s="2"/>
      <c r="B1084" s="3" t="n">
        <f aca="false">DATE(2008,5,9)</f>
        <v>0</v>
      </c>
      <c r="C1084" s="3" t="n">
        <v>39577</v>
      </c>
      <c r="D1084" s="2" t="s">
        <v>8505</v>
      </c>
      <c r="F1084" s="2" t="s">
        <v>8506</v>
      </c>
      <c r="G1084" s="2" t="s">
        <v>8507</v>
      </c>
      <c r="H1084" s="2" t="s">
        <v>63</v>
      </c>
      <c r="I1084" s="2" t="s">
        <v>219</v>
      </c>
      <c r="J1084" s="2" t="s">
        <v>4383</v>
      </c>
      <c r="K1084" s="2" t="s">
        <v>8505</v>
      </c>
      <c r="L1084" s="2" t="s">
        <v>219</v>
      </c>
      <c r="M1084" s="2" t="s">
        <v>63</v>
      </c>
      <c r="N1084" s="2" t="s">
        <v>8508</v>
      </c>
      <c r="O1084" s="2"/>
      <c r="P1084" s="2" t="s">
        <v>37</v>
      </c>
      <c r="Q1084" s="4" t="n">
        <v>8731</v>
      </c>
      <c r="R1084" s="2" t="s">
        <v>136</v>
      </c>
      <c r="S1084" s="2" t="s">
        <v>39</v>
      </c>
      <c r="T1084" s="2" t="s">
        <v>40</v>
      </c>
      <c r="U1084" s="2" t="s">
        <v>8509</v>
      </c>
      <c r="V1084" s="2"/>
      <c r="W1084" s="2" t="s">
        <v>42</v>
      </c>
      <c r="X1084" s="2" t="s">
        <v>43</v>
      </c>
      <c r="Y1084" s="2" t="s">
        <v>37</v>
      </c>
      <c r="Z1084" s="2" t="s">
        <v>44</v>
      </c>
      <c r="AA1084" s="2"/>
      <c r="AB1084" s="2"/>
      <c r="AC1084" s="2" t="s">
        <v>8510</v>
      </c>
      <c r="AD1084" s="2" t="s">
        <v>46</v>
      </c>
    </row>
    <row r="1085" customFormat="false" ht="15.7" hidden="false" customHeight="true" outlineLevel="0" collapsed="false">
      <c r="A1085" s="2"/>
      <c r="B1085" s="3" t="n">
        <f aca="false">DATE(2008,5,12)</f>
        <v>0</v>
      </c>
      <c r="C1085" s="3" t="n">
        <v>39580</v>
      </c>
      <c r="D1085" s="2" t="s">
        <v>8511</v>
      </c>
      <c r="F1085" s="2" t="s">
        <v>8512</v>
      </c>
      <c r="G1085" s="2" t="s">
        <v>8513</v>
      </c>
      <c r="H1085" s="2" t="s">
        <v>130</v>
      </c>
      <c r="I1085" s="2" t="s">
        <v>1904</v>
      </c>
      <c r="J1085" s="2" t="s">
        <v>966</v>
      </c>
      <c r="K1085" s="2" t="s">
        <v>8511</v>
      </c>
      <c r="L1085" s="2" t="s">
        <v>1904</v>
      </c>
      <c r="M1085" s="2" t="s">
        <v>130</v>
      </c>
      <c r="N1085" s="2" t="s">
        <v>8514</v>
      </c>
      <c r="O1085" s="2"/>
      <c r="P1085" s="2" t="s">
        <v>37</v>
      </c>
      <c r="Q1085" s="4" t="n">
        <v>8731</v>
      </c>
      <c r="R1085" s="2" t="s">
        <v>136</v>
      </c>
      <c r="S1085" s="2" t="s">
        <v>39</v>
      </c>
      <c r="T1085" s="2" t="s">
        <v>40</v>
      </c>
      <c r="U1085" s="2" t="s">
        <v>8515</v>
      </c>
      <c r="V1085" s="2"/>
      <c r="W1085" s="2" t="s">
        <v>42</v>
      </c>
      <c r="X1085" s="2" t="s">
        <v>43</v>
      </c>
      <c r="Y1085" s="2" t="s">
        <v>37</v>
      </c>
      <c r="Z1085" s="2" t="s">
        <v>44</v>
      </c>
      <c r="AA1085" s="2"/>
      <c r="AB1085" s="2"/>
      <c r="AC1085" s="2" t="s">
        <v>8516</v>
      </c>
      <c r="AD1085" s="2" t="s">
        <v>46</v>
      </c>
    </row>
    <row r="1086" customFormat="false" ht="15.7" hidden="false" customHeight="true" outlineLevel="0" collapsed="false">
      <c r="A1086" s="2"/>
      <c r="B1086" s="3" t="n">
        <f aca="false">DATE(2008,5,13)</f>
        <v>0</v>
      </c>
      <c r="C1086" s="3" t="n">
        <v>39581</v>
      </c>
      <c r="D1086" s="2" t="s">
        <v>8517</v>
      </c>
      <c r="F1086" s="2" t="s">
        <v>8518</v>
      </c>
      <c r="G1086" s="2" t="s">
        <v>8519</v>
      </c>
      <c r="H1086" s="2" t="s">
        <v>8520</v>
      </c>
      <c r="I1086" s="2" t="s">
        <v>8521</v>
      </c>
      <c r="J1086" s="2" t="s">
        <v>35</v>
      </c>
      <c r="K1086" s="2" t="s">
        <v>8522</v>
      </c>
      <c r="L1086" s="2" t="s">
        <v>8523</v>
      </c>
      <c r="M1086" s="2" t="s">
        <v>8524</v>
      </c>
      <c r="N1086" s="2" t="s">
        <v>8525</v>
      </c>
      <c r="O1086" s="2"/>
      <c r="P1086" s="2" t="s">
        <v>37</v>
      </c>
      <c r="Q1086" s="2" t="s">
        <v>8526</v>
      </c>
      <c r="R1086" s="2" t="s">
        <v>8527</v>
      </c>
      <c r="S1086" s="2" t="s">
        <v>39</v>
      </c>
      <c r="T1086" s="2" t="s">
        <v>403</v>
      </c>
      <c r="U1086" s="2" t="s">
        <v>8528</v>
      </c>
      <c r="V1086" s="2"/>
      <c r="W1086" s="2" t="s">
        <v>8529</v>
      </c>
      <c r="X1086" s="2" t="s">
        <v>46</v>
      </c>
      <c r="Y1086" s="2" t="s">
        <v>37</v>
      </c>
      <c r="Z1086" s="2" t="s">
        <v>2565</v>
      </c>
      <c r="AA1086" s="2" t="s">
        <v>8530</v>
      </c>
      <c r="AB1086" s="2"/>
      <c r="AC1086" s="2" t="s">
        <v>8531</v>
      </c>
      <c r="AD1086" s="2" t="s">
        <v>46</v>
      </c>
    </row>
    <row r="1087" customFormat="false" ht="15.7" hidden="false" customHeight="true" outlineLevel="0" collapsed="false">
      <c r="A1087" s="2"/>
      <c r="B1087" s="3" t="n">
        <f aca="false">DATE(2008,5,13)</f>
        <v>0</v>
      </c>
      <c r="C1087" s="3" t="n">
        <v>39581</v>
      </c>
      <c r="D1087" s="2" t="s">
        <v>8532</v>
      </c>
      <c r="F1087" s="2" t="s">
        <v>8533</v>
      </c>
      <c r="G1087" s="2" t="s">
        <v>8534</v>
      </c>
      <c r="H1087" s="2" t="s">
        <v>130</v>
      </c>
      <c r="I1087" s="2" t="s">
        <v>51</v>
      </c>
      <c r="J1087" s="2" t="s">
        <v>2338</v>
      </c>
      <c r="K1087" s="2" t="s">
        <v>8532</v>
      </c>
      <c r="L1087" s="2" t="s">
        <v>51</v>
      </c>
      <c r="M1087" s="2" t="s">
        <v>130</v>
      </c>
      <c r="N1087" s="2" t="s">
        <v>8535</v>
      </c>
      <c r="O1087" s="2"/>
      <c r="P1087" s="2" t="s">
        <v>37</v>
      </c>
      <c r="Q1087" s="4" t="n">
        <v>8731</v>
      </c>
      <c r="R1087" s="2" t="s">
        <v>136</v>
      </c>
      <c r="S1087" s="2" t="s">
        <v>39</v>
      </c>
      <c r="T1087" s="2" t="s">
        <v>40</v>
      </c>
      <c r="U1087" s="2" t="s">
        <v>8536</v>
      </c>
      <c r="V1087" s="2"/>
      <c r="W1087" s="2" t="s">
        <v>42</v>
      </c>
      <c r="X1087" s="2" t="s">
        <v>43</v>
      </c>
      <c r="Y1087" s="2" t="s">
        <v>37</v>
      </c>
      <c r="Z1087" s="2" t="s">
        <v>44</v>
      </c>
      <c r="AA1087" s="2" t="s">
        <v>8537</v>
      </c>
      <c r="AB1087" s="2"/>
      <c r="AC1087" s="2" t="s">
        <v>8538</v>
      </c>
      <c r="AD1087" s="2" t="s">
        <v>46</v>
      </c>
    </row>
    <row r="1088" customFormat="false" ht="15.7" hidden="false" customHeight="true" outlineLevel="0" collapsed="false">
      <c r="A1088" s="2"/>
      <c r="B1088" s="3" t="n">
        <f aca="false">DATE(2008,5,13)</f>
        <v>0</v>
      </c>
      <c r="C1088" s="3" t="n">
        <v>39581</v>
      </c>
      <c r="D1088" s="2" t="s">
        <v>8539</v>
      </c>
      <c r="F1088" s="2" t="s">
        <v>8540</v>
      </c>
      <c r="G1088" s="2" t="s">
        <v>8541</v>
      </c>
      <c r="H1088" s="2" t="s">
        <v>8542</v>
      </c>
      <c r="I1088" s="2" t="s">
        <v>8543</v>
      </c>
      <c r="J1088" s="2" t="s">
        <v>35</v>
      </c>
      <c r="K1088" s="2" t="s">
        <v>8539</v>
      </c>
      <c r="L1088" s="2" t="s">
        <v>8543</v>
      </c>
      <c r="M1088" s="2" t="s">
        <v>8542</v>
      </c>
      <c r="N1088" s="2" t="s">
        <v>8544</v>
      </c>
      <c r="O1088" s="2"/>
      <c r="P1088" s="2" t="s">
        <v>37</v>
      </c>
      <c r="Q1088" s="4" t="n">
        <v>8731</v>
      </c>
      <c r="R1088" s="2" t="s">
        <v>136</v>
      </c>
      <c r="S1088" s="2" t="s">
        <v>39</v>
      </c>
      <c r="T1088" s="2" t="s">
        <v>403</v>
      </c>
      <c r="U1088" s="2" t="s">
        <v>8545</v>
      </c>
      <c r="V1088" s="2"/>
      <c r="W1088" s="2" t="s">
        <v>42</v>
      </c>
      <c r="X1088" s="2" t="s">
        <v>43</v>
      </c>
      <c r="Y1088" s="2" t="s">
        <v>37</v>
      </c>
      <c r="Z1088" s="2" t="s">
        <v>44</v>
      </c>
      <c r="AA1088" s="2"/>
      <c r="AB1088" s="2"/>
      <c r="AC1088" s="2" t="s">
        <v>8546</v>
      </c>
      <c r="AD1088" s="2" t="s">
        <v>46</v>
      </c>
    </row>
    <row r="1089" customFormat="false" ht="15.7" hidden="false" customHeight="true" outlineLevel="0" collapsed="false">
      <c r="A1089" s="2"/>
      <c r="B1089" s="3" t="n">
        <f aca="false">DATE(2008,5,13)</f>
        <v>0</v>
      </c>
      <c r="C1089" s="3" t="n">
        <v>39581</v>
      </c>
      <c r="D1089" s="2" t="s">
        <v>8547</v>
      </c>
      <c r="F1089" s="2" t="s">
        <v>8548</v>
      </c>
      <c r="G1089" s="2" t="s">
        <v>8549</v>
      </c>
      <c r="H1089" s="2" t="s">
        <v>5613</v>
      </c>
      <c r="I1089" s="2" t="s">
        <v>8550</v>
      </c>
      <c r="J1089" s="2" t="s">
        <v>5725</v>
      </c>
      <c r="K1089" s="2" t="s">
        <v>8547</v>
      </c>
      <c r="L1089" s="2" t="s">
        <v>8550</v>
      </c>
      <c r="M1089" s="2" t="s">
        <v>5613</v>
      </c>
      <c r="N1089" s="2" t="s">
        <v>8551</v>
      </c>
      <c r="O1089" s="2"/>
      <c r="P1089" s="2" t="s">
        <v>79</v>
      </c>
      <c r="Q1089" s="4" t="n">
        <v>6794</v>
      </c>
      <c r="R1089" s="2" t="s">
        <v>136</v>
      </c>
      <c r="S1089" s="2" t="s">
        <v>39</v>
      </c>
      <c r="T1089" s="2" t="s">
        <v>40</v>
      </c>
      <c r="U1089" s="2" t="s">
        <v>8552</v>
      </c>
      <c r="V1089" s="2"/>
      <c r="W1089" s="2" t="s">
        <v>253</v>
      </c>
      <c r="X1089" s="2" t="s">
        <v>43</v>
      </c>
      <c r="Y1089" s="2" t="s">
        <v>37</v>
      </c>
      <c r="Z1089" s="2" t="s">
        <v>44</v>
      </c>
      <c r="AA1089" s="2"/>
      <c r="AB1089" s="2"/>
      <c r="AC1089" s="2" t="s">
        <v>8553</v>
      </c>
      <c r="AD1089" s="2" t="s">
        <v>46</v>
      </c>
    </row>
    <row r="1090" customFormat="false" ht="15.7" hidden="false" customHeight="true" outlineLevel="0" collapsed="false">
      <c r="A1090" s="2"/>
      <c r="B1090" s="3" t="n">
        <f aca="false">DATE(2008,5,14)</f>
        <v>0</v>
      </c>
      <c r="C1090" s="3" t="n">
        <v>39582</v>
      </c>
      <c r="D1090" s="2" t="s">
        <v>8554</v>
      </c>
      <c r="F1090" s="2" t="s">
        <v>8555</v>
      </c>
      <c r="G1090" s="2" t="s">
        <v>8556</v>
      </c>
      <c r="H1090" s="2" t="s">
        <v>8557</v>
      </c>
      <c r="I1090" s="2" t="s">
        <v>685</v>
      </c>
      <c r="J1090" s="2" t="s">
        <v>35</v>
      </c>
      <c r="K1090" s="2" t="s">
        <v>8558</v>
      </c>
      <c r="L1090" s="2" t="s">
        <v>5173</v>
      </c>
      <c r="M1090" s="2" t="s">
        <v>8559</v>
      </c>
      <c r="N1090" s="2" t="s">
        <v>8560</v>
      </c>
      <c r="O1090" s="2"/>
      <c r="P1090" s="2" t="s">
        <v>37</v>
      </c>
      <c r="Q1090" s="4" t="n">
        <v>5088</v>
      </c>
      <c r="R1090" s="2" t="s">
        <v>688</v>
      </c>
      <c r="S1090" s="2" t="s">
        <v>39</v>
      </c>
      <c r="T1090" s="2" t="s">
        <v>40</v>
      </c>
      <c r="U1090" s="2" t="s">
        <v>8561</v>
      </c>
      <c r="V1090" s="2"/>
      <c r="W1090" s="2" t="s">
        <v>8562</v>
      </c>
      <c r="X1090" s="2" t="s">
        <v>43</v>
      </c>
      <c r="Y1090" s="2" t="s">
        <v>37</v>
      </c>
      <c r="Z1090" s="2" t="s">
        <v>44</v>
      </c>
      <c r="AA1090" s="2"/>
      <c r="AB1090" s="2"/>
      <c r="AC1090" s="2" t="s">
        <v>8563</v>
      </c>
      <c r="AD1090" s="2" t="s">
        <v>46</v>
      </c>
    </row>
    <row r="1091" customFormat="false" ht="15.7" hidden="false" customHeight="true" outlineLevel="0" collapsed="false">
      <c r="A1091" s="2"/>
      <c r="B1091" s="3" t="n">
        <f aca="false">DATE(2008,5,14)</f>
        <v>0</v>
      </c>
      <c r="C1091" s="3" t="n">
        <v>39582</v>
      </c>
      <c r="D1091" s="2" t="s">
        <v>8564</v>
      </c>
      <c r="F1091" s="2" t="s">
        <v>8565</v>
      </c>
      <c r="G1091" s="2" t="s">
        <v>8566</v>
      </c>
      <c r="H1091" s="2" t="s">
        <v>6008</v>
      </c>
      <c r="I1091" s="2" t="s">
        <v>51</v>
      </c>
      <c r="J1091" s="2" t="s">
        <v>5763</v>
      </c>
      <c r="K1091" s="2" t="s">
        <v>8567</v>
      </c>
      <c r="L1091" s="2" t="s">
        <v>202</v>
      </c>
      <c r="M1091" s="2" t="s">
        <v>8568</v>
      </c>
      <c r="N1091" s="2" t="s">
        <v>8569</v>
      </c>
      <c r="O1091" s="2"/>
      <c r="P1091" s="2" t="s">
        <v>37</v>
      </c>
      <c r="Q1091" s="4" t="n">
        <v>8731</v>
      </c>
      <c r="R1091" s="2" t="s">
        <v>56</v>
      </c>
      <c r="S1091" s="2" t="s">
        <v>507</v>
      </c>
      <c r="T1091" s="2" t="s">
        <v>403</v>
      </c>
      <c r="U1091" s="2" t="s">
        <v>8570</v>
      </c>
      <c r="V1091" s="2"/>
      <c r="W1091" s="2" t="s">
        <v>42</v>
      </c>
      <c r="X1091" s="2" t="s">
        <v>46</v>
      </c>
      <c r="Y1091" s="2" t="s">
        <v>37</v>
      </c>
      <c r="Z1091" s="2" t="s">
        <v>362</v>
      </c>
      <c r="AA1091" s="2"/>
      <c r="AB1091" s="2"/>
      <c r="AC1091" s="2" t="s">
        <v>8571</v>
      </c>
      <c r="AD1091" s="2" t="s">
        <v>46</v>
      </c>
    </row>
    <row r="1092" customFormat="false" ht="15.7" hidden="false" customHeight="true" outlineLevel="0" collapsed="false">
      <c r="A1092" s="2"/>
      <c r="B1092" s="3" t="n">
        <f aca="false">DATE(2008,5,14)</f>
        <v>0</v>
      </c>
      <c r="C1092" s="3" t="n">
        <v>39582</v>
      </c>
      <c r="D1092" s="2" t="s">
        <v>8572</v>
      </c>
      <c r="F1092" s="2" t="s">
        <v>8573</v>
      </c>
      <c r="G1092" s="2" t="s">
        <v>8574</v>
      </c>
      <c r="H1092" s="2" t="s">
        <v>8575</v>
      </c>
      <c r="I1092" s="2" t="s">
        <v>5102</v>
      </c>
      <c r="J1092" s="2" t="s">
        <v>35</v>
      </c>
      <c r="K1092" s="2" t="s">
        <v>8572</v>
      </c>
      <c r="L1092" s="2" t="s">
        <v>5102</v>
      </c>
      <c r="M1092" s="2" t="s">
        <v>8575</v>
      </c>
      <c r="N1092" s="2" t="s">
        <v>8576</v>
      </c>
      <c r="O1092" s="2"/>
      <c r="P1092" s="2" t="s">
        <v>37</v>
      </c>
      <c r="Q1092" s="4" t="n">
        <v>8731</v>
      </c>
      <c r="R1092" s="2" t="s">
        <v>70</v>
      </c>
      <c r="S1092" s="2" t="s">
        <v>39</v>
      </c>
      <c r="T1092" s="2" t="s">
        <v>40</v>
      </c>
      <c r="U1092" s="2" t="s">
        <v>8577</v>
      </c>
      <c r="V1092" s="2"/>
      <c r="W1092" s="2" t="s">
        <v>42</v>
      </c>
      <c r="X1092" s="2" t="s">
        <v>43</v>
      </c>
      <c r="Y1092" s="2" t="s">
        <v>37</v>
      </c>
      <c r="Z1092" s="2" t="s">
        <v>44</v>
      </c>
      <c r="AA1092" s="2"/>
      <c r="AB1092" s="2"/>
      <c r="AC1092" s="2" t="s">
        <v>8578</v>
      </c>
      <c r="AD1092" s="2" t="s">
        <v>46</v>
      </c>
    </row>
    <row r="1093" customFormat="false" ht="15.7" hidden="false" customHeight="true" outlineLevel="0" collapsed="false">
      <c r="A1093" s="2"/>
      <c r="B1093" s="3" t="n">
        <f aca="false">DATE(2008,5,14)</f>
        <v>0</v>
      </c>
      <c r="C1093" s="3" t="n">
        <v>39582</v>
      </c>
      <c r="D1093" s="2" t="s">
        <v>8579</v>
      </c>
      <c r="F1093" s="2" t="s">
        <v>8580</v>
      </c>
      <c r="G1093" s="2" t="s">
        <v>8581</v>
      </c>
      <c r="H1093" s="2" t="s">
        <v>170</v>
      </c>
      <c r="I1093" s="2" t="s">
        <v>163</v>
      </c>
      <c r="J1093" s="2" t="s">
        <v>35</v>
      </c>
      <c r="K1093" s="2" t="s">
        <v>8579</v>
      </c>
      <c r="L1093" s="2" t="s">
        <v>163</v>
      </c>
      <c r="M1093" s="2" t="s">
        <v>170</v>
      </c>
      <c r="N1093" s="2" t="s">
        <v>8582</v>
      </c>
      <c r="O1093" s="2"/>
      <c r="P1093" s="2" t="s">
        <v>37</v>
      </c>
      <c r="Q1093" s="4" t="n">
        <v>8731</v>
      </c>
      <c r="R1093" s="2" t="s">
        <v>136</v>
      </c>
      <c r="S1093" s="2" t="s">
        <v>39</v>
      </c>
      <c r="T1093" s="2" t="s">
        <v>40</v>
      </c>
      <c r="U1093" s="2" t="s">
        <v>8583</v>
      </c>
      <c r="V1093" s="2"/>
      <c r="W1093" s="2" t="s">
        <v>42</v>
      </c>
      <c r="X1093" s="2" t="s">
        <v>43</v>
      </c>
      <c r="Y1093" s="2" t="s">
        <v>37</v>
      </c>
      <c r="Z1093" s="2" t="s">
        <v>44</v>
      </c>
      <c r="AA1093" s="2"/>
      <c r="AB1093" s="2"/>
      <c r="AC1093" s="2" t="s">
        <v>8584</v>
      </c>
      <c r="AD1093" s="2" t="s">
        <v>46</v>
      </c>
    </row>
    <row r="1094" customFormat="false" ht="15.7" hidden="false" customHeight="true" outlineLevel="0" collapsed="false">
      <c r="A1094" s="2"/>
      <c r="B1094" s="3" t="n">
        <f aca="false">DATE(2008,5,15)</f>
        <v>0</v>
      </c>
      <c r="C1094" s="3" t="n">
        <v>39583</v>
      </c>
      <c r="D1094" s="2" t="s">
        <v>8585</v>
      </c>
      <c r="F1094" s="2" t="s">
        <v>8586</v>
      </c>
      <c r="G1094" s="2" t="s">
        <v>8587</v>
      </c>
      <c r="H1094" s="2" t="s">
        <v>8588</v>
      </c>
      <c r="I1094" s="2" t="s">
        <v>8589</v>
      </c>
      <c r="J1094" s="2" t="s">
        <v>8590</v>
      </c>
      <c r="K1094" s="2" t="s">
        <v>8591</v>
      </c>
      <c r="L1094" s="2" t="s">
        <v>8592</v>
      </c>
      <c r="M1094" s="2" t="s">
        <v>8593</v>
      </c>
      <c r="N1094" s="2" t="s">
        <v>8594</v>
      </c>
      <c r="O1094" s="2"/>
      <c r="P1094" s="2" t="s">
        <v>37</v>
      </c>
      <c r="Q1094" s="4" t="n">
        <v>8731</v>
      </c>
      <c r="R1094" s="2" t="s">
        <v>56</v>
      </c>
      <c r="S1094" s="2" t="s">
        <v>3429</v>
      </c>
      <c r="T1094" s="2" t="s">
        <v>40</v>
      </c>
      <c r="U1094" s="2" t="s">
        <v>8595</v>
      </c>
      <c r="V1094" s="2"/>
      <c r="W1094" s="2" t="s">
        <v>42</v>
      </c>
      <c r="X1094" s="2" t="s">
        <v>43</v>
      </c>
      <c r="Y1094" s="2" t="s">
        <v>37</v>
      </c>
      <c r="Z1094" s="2" t="s">
        <v>8596</v>
      </c>
      <c r="AA1094" s="2"/>
      <c r="AB1094" s="2"/>
      <c r="AC1094" s="2" t="s">
        <v>8597</v>
      </c>
      <c r="AD1094" s="2" t="s">
        <v>46</v>
      </c>
    </row>
    <row r="1095" customFormat="false" ht="15.7" hidden="false" customHeight="true" outlineLevel="0" collapsed="false">
      <c r="A1095" s="2"/>
      <c r="B1095" s="3" t="n">
        <f aca="false">DATE(2008,5,16)</f>
        <v>0</v>
      </c>
      <c r="C1095" s="3" t="n">
        <v>39584</v>
      </c>
      <c r="D1095" s="2" t="s">
        <v>8598</v>
      </c>
      <c r="F1095" s="2" t="s">
        <v>8599</v>
      </c>
      <c r="G1095" s="2" t="s">
        <v>8600</v>
      </c>
      <c r="H1095" s="2" t="s">
        <v>8601</v>
      </c>
      <c r="I1095" s="2" t="s">
        <v>34</v>
      </c>
      <c r="J1095" s="2" t="s">
        <v>35</v>
      </c>
      <c r="K1095" s="2" t="s">
        <v>8598</v>
      </c>
      <c r="L1095" s="2" t="s">
        <v>34</v>
      </c>
      <c r="M1095" s="2" t="s">
        <v>8601</v>
      </c>
      <c r="N1095" s="2" t="s">
        <v>8602</v>
      </c>
      <c r="O1095" s="2"/>
      <c r="P1095" s="2" t="s">
        <v>37</v>
      </c>
      <c r="Q1095" s="4" t="n">
        <v>8731</v>
      </c>
      <c r="R1095" s="2" t="s">
        <v>38</v>
      </c>
      <c r="S1095" s="2" t="s">
        <v>39</v>
      </c>
      <c r="T1095" s="2" t="s">
        <v>40</v>
      </c>
      <c r="U1095" s="2" t="s">
        <v>8603</v>
      </c>
      <c r="V1095" s="2"/>
      <c r="W1095" s="2" t="s">
        <v>42</v>
      </c>
      <c r="X1095" s="2" t="s">
        <v>43</v>
      </c>
      <c r="Y1095" s="2" t="s">
        <v>37</v>
      </c>
      <c r="Z1095" s="2" t="s">
        <v>44</v>
      </c>
      <c r="AA1095" s="2"/>
      <c r="AB1095" s="2"/>
      <c r="AC1095" s="2" t="s">
        <v>8604</v>
      </c>
      <c r="AD1095" s="2" t="s">
        <v>46</v>
      </c>
    </row>
    <row r="1096" customFormat="false" ht="15.7" hidden="false" customHeight="true" outlineLevel="0" collapsed="false">
      <c r="A1096" s="2"/>
      <c r="B1096" s="3" t="n">
        <f aca="false">DATE(2008,5,19)</f>
        <v>0</v>
      </c>
      <c r="C1096" s="3" t="n">
        <v>39587</v>
      </c>
      <c r="D1096" s="2" t="s">
        <v>8605</v>
      </c>
      <c r="F1096" s="2" t="s">
        <v>8606</v>
      </c>
      <c r="G1096" s="2" t="s">
        <v>8607</v>
      </c>
      <c r="H1096" s="2" t="s">
        <v>2857</v>
      </c>
      <c r="I1096" s="2" t="s">
        <v>8608</v>
      </c>
      <c r="J1096" s="2" t="s">
        <v>35</v>
      </c>
      <c r="K1096" s="2" t="s">
        <v>8605</v>
      </c>
      <c r="L1096" s="2" t="s">
        <v>8608</v>
      </c>
      <c r="M1096" s="2" t="s">
        <v>2857</v>
      </c>
      <c r="N1096" s="2" t="s">
        <v>8609</v>
      </c>
      <c r="O1096" s="2"/>
      <c r="P1096" s="2" t="s">
        <v>37</v>
      </c>
      <c r="Q1096" s="4" t="n">
        <v>8731</v>
      </c>
      <c r="R1096" s="2" t="s">
        <v>2165</v>
      </c>
      <c r="S1096" s="2" t="s">
        <v>39</v>
      </c>
      <c r="T1096" s="2" t="s">
        <v>40</v>
      </c>
      <c r="U1096" s="2" t="s">
        <v>8610</v>
      </c>
      <c r="V1096" s="2"/>
      <c r="W1096" s="2" t="s">
        <v>42</v>
      </c>
      <c r="X1096" s="2" t="s">
        <v>43</v>
      </c>
      <c r="Y1096" s="2" t="s">
        <v>37</v>
      </c>
      <c r="Z1096" s="2" t="s">
        <v>44</v>
      </c>
      <c r="AA1096" s="2"/>
      <c r="AB1096" s="2"/>
      <c r="AC1096" s="2" t="s">
        <v>8611</v>
      </c>
      <c r="AD1096" s="2" t="s">
        <v>46</v>
      </c>
    </row>
    <row r="1097" customFormat="false" ht="15.7" hidden="false" customHeight="true" outlineLevel="0" collapsed="false">
      <c r="A1097" s="2"/>
      <c r="B1097" s="3" t="n">
        <f aca="false">DATE(2008,5,20)</f>
        <v>0</v>
      </c>
      <c r="C1097" s="3" t="n">
        <v>39588</v>
      </c>
      <c r="D1097" s="2" t="s">
        <v>8612</v>
      </c>
      <c r="F1097" s="2" t="s">
        <v>8613</v>
      </c>
      <c r="G1097" s="2" t="s">
        <v>8614</v>
      </c>
      <c r="H1097" s="2" t="s">
        <v>7683</v>
      </c>
      <c r="I1097" s="2" t="s">
        <v>487</v>
      </c>
      <c r="J1097" s="2" t="s">
        <v>8615</v>
      </c>
      <c r="K1097" s="2" t="s">
        <v>8612</v>
      </c>
      <c r="L1097" s="2" t="s">
        <v>487</v>
      </c>
      <c r="M1097" s="2" t="s">
        <v>7683</v>
      </c>
      <c r="N1097" s="2" t="s">
        <v>8616</v>
      </c>
      <c r="O1097" s="2"/>
      <c r="P1097" s="2" t="s">
        <v>37</v>
      </c>
      <c r="Q1097" s="4" t="n">
        <v>8731</v>
      </c>
      <c r="R1097" s="2" t="s">
        <v>56</v>
      </c>
      <c r="S1097" s="2" t="s">
        <v>92</v>
      </c>
      <c r="T1097" s="2" t="s">
        <v>40</v>
      </c>
      <c r="U1097" s="2" t="s">
        <v>8617</v>
      </c>
      <c r="V1097" s="2"/>
      <c r="W1097" s="2" t="s">
        <v>773</v>
      </c>
      <c r="X1097" s="2" t="s">
        <v>43</v>
      </c>
      <c r="Y1097" s="2" t="s">
        <v>37</v>
      </c>
      <c r="Z1097" s="2" t="s">
        <v>44</v>
      </c>
      <c r="AA1097" s="2"/>
      <c r="AB1097" s="2"/>
      <c r="AC1097" s="2" t="s">
        <v>8618</v>
      </c>
      <c r="AD1097" s="2" t="s">
        <v>46</v>
      </c>
    </row>
    <row r="1098" customFormat="false" ht="15.7" hidden="false" customHeight="true" outlineLevel="0" collapsed="false">
      <c r="A1098" s="2"/>
      <c r="B1098" s="3" t="n">
        <f aca="false">DATE(2008,5,20)</f>
        <v>0</v>
      </c>
      <c r="C1098" s="3" t="n">
        <v>39588</v>
      </c>
      <c r="D1098" s="2" t="s">
        <v>8619</v>
      </c>
      <c r="F1098" s="2" t="s">
        <v>8620</v>
      </c>
      <c r="G1098" s="2" t="s">
        <v>8621</v>
      </c>
      <c r="H1098" s="2" t="s">
        <v>8622</v>
      </c>
      <c r="I1098" s="2" t="s">
        <v>8623</v>
      </c>
      <c r="J1098" s="2" t="s">
        <v>35</v>
      </c>
      <c r="K1098" s="2" t="s">
        <v>8624</v>
      </c>
      <c r="L1098" s="2" t="s">
        <v>6889</v>
      </c>
      <c r="M1098" s="2" t="s">
        <v>8625</v>
      </c>
      <c r="N1098" s="2" t="s">
        <v>8626</v>
      </c>
      <c r="O1098" s="2"/>
      <c r="P1098" s="2" t="s">
        <v>37</v>
      </c>
      <c r="Q1098" s="4" t="n">
        <v>8731</v>
      </c>
      <c r="R1098" s="2" t="s">
        <v>1402</v>
      </c>
      <c r="S1098" s="2" t="s">
        <v>39</v>
      </c>
      <c r="T1098" s="2" t="s">
        <v>40</v>
      </c>
      <c r="U1098" s="2" t="s">
        <v>8627</v>
      </c>
      <c r="V1098" s="2"/>
      <c r="W1098" s="2" t="s">
        <v>42</v>
      </c>
      <c r="X1098" s="2" t="s">
        <v>43</v>
      </c>
      <c r="Y1098" s="2" t="s">
        <v>37</v>
      </c>
      <c r="Z1098" s="2" t="s">
        <v>44</v>
      </c>
      <c r="AA1098" s="2"/>
      <c r="AB1098" s="2"/>
      <c r="AC1098" s="2" t="s">
        <v>8628</v>
      </c>
      <c r="AD1098" s="2" t="s">
        <v>46</v>
      </c>
    </row>
    <row r="1099" customFormat="false" ht="15.7" hidden="false" customHeight="true" outlineLevel="0" collapsed="false">
      <c r="A1099" s="2"/>
      <c r="B1099" s="3" t="n">
        <f aca="false">DATE(2008,5,20)</f>
        <v>0</v>
      </c>
      <c r="C1099" s="3" t="n">
        <v>39588</v>
      </c>
      <c r="D1099" s="2" t="s">
        <v>8629</v>
      </c>
      <c r="F1099" s="2" t="s">
        <v>8630</v>
      </c>
      <c r="G1099" s="2" t="s">
        <v>8631</v>
      </c>
      <c r="H1099" s="2" t="s">
        <v>8632</v>
      </c>
      <c r="I1099" s="2" t="s">
        <v>219</v>
      </c>
      <c r="J1099" s="2" t="s">
        <v>575</v>
      </c>
      <c r="K1099" s="2" t="s">
        <v>8633</v>
      </c>
      <c r="L1099" s="2" t="s">
        <v>219</v>
      </c>
      <c r="M1099" s="2" t="s">
        <v>8634</v>
      </c>
      <c r="N1099" s="2" t="s">
        <v>8635</v>
      </c>
      <c r="O1099" s="2"/>
      <c r="P1099" s="2" t="s">
        <v>37</v>
      </c>
      <c r="Q1099" s="4" t="n">
        <v>6282</v>
      </c>
      <c r="R1099" s="2" t="s">
        <v>136</v>
      </c>
      <c r="S1099" s="2" t="s">
        <v>39</v>
      </c>
      <c r="T1099" s="2" t="s">
        <v>40</v>
      </c>
      <c r="U1099" s="2" t="s">
        <v>8636</v>
      </c>
      <c r="V1099" s="2"/>
      <c r="W1099" s="2" t="s">
        <v>8637</v>
      </c>
      <c r="X1099" s="2" t="s">
        <v>43</v>
      </c>
      <c r="Y1099" s="2" t="s">
        <v>37</v>
      </c>
      <c r="Z1099" s="2" t="s">
        <v>44</v>
      </c>
      <c r="AA1099" s="2"/>
      <c r="AB1099" s="2"/>
      <c r="AC1099" s="2" t="s">
        <v>8638</v>
      </c>
      <c r="AD1099" s="2" t="s">
        <v>46</v>
      </c>
    </row>
    <row r="1100" customFormat="false" ht="15.7" hidden="false" customHeight="true" outlineLevel="0" collapsed="false">
      <c r="A1100" s="2"/>
      <c r="B1100" s="3" t="n">
        <f aca="false">DATE(2008,5,21)</f>
        <v>0</v>
      </c>
      <c r="C1100" s="3" t="n">
        <v>39589</v>
      </c>
      <c r="D1100" s="2" t="s">
        <v>8639</v>
      </c>
      <c r="F1100" s="2" t="s">
        <v>8640</v>
      </c>
      <c r="G1100" s="2" t="s">
        <v>8641</v>
      </c>
      <c r="H1100" s="2" t="s">
        <v>130</v>
      </c>
      <c r="I1100" s="2" t="s">
        <v>51</v>
      </c>
      <c r="J1100" s="2" t="s">
        <v>8642</v>
      </c>
      <c r="K1100" s="2" t="s">
        <v>8643</v>
      </c>
      <c r="L1100" s="2" t="s">
        <v>227</v>
      </c>
      <c r="M1100" s="2" t="s">
        <v>230</v>
      </c>
      <c r="N1100" s="2" t="s">
        <v>8644</v>
      </c>
      <c r="O1100" s="2"/>
      <c r="P1100" s="2" t="s">
        <v>37</v>
      </c>
      <c r="Q1100" s="4" t="n">
        <v>8731</v>
      </c>
      <c r="R1100" s="2" t="s">
        <v>56</v>
      </c>
      <c r="S1100" s="2" t="s">
        <v>931</v>
      </c>
      <c r="T1100" s="2" t="s">
        <v>40</v>
      </c>
      <c r="U1100" s="2" t="s">
        <v>8645</v>
      </c>
      <c r="V1100" s="2"/>
      <c r="W1100" s="2" t="s">
        <v>42</v>
      </c>
      <c r="X1100" s="2" t="s">
        <v>43</v>
      </c>
      <c r="Y1100" s="2" t="s">
        <v>37</v>
      </c>
      <c r="Z1100" s="2" t="s">
        <v>44</v>
      </c>
      <c r="AA1100" s="2"/>
      <c r="AB1100" s="2"/>
      <c r="AC1100" s="2" t="s">
        <v>8646</v>
      </c>
      <c r="AD1100" s="2" t="s">
        <v>46</v>
      </c>
    </row>
    <row r="1101" customFormat="false" ht="15.7" hidden="false" customHeight="true" outlineLevel="0" collapsed="false">
      <c r="A1101" s="2"/>
      <c r="B1101" s="3" t="n">
        <f aca="false">DATE(2008,5,21)</f>
        <v>0</v>
      </c>
      <c r="C1101" s="3" t="n">
        <v>39589</v>
      </c>
      <c r="D1101" s="2" t="s">
        <v>5157</v>
      </c>
      <c r="F1101" s="2" t="s">
        <v>5158</v>
      </c>
      <c r="G1101" s="2" t="s">
        <v>5159</v>
      </c>
      <c r="H1101" s="2" t="s">
        <v>5160</v>
      </c>
      <c r="I1101" s="2" t="s">
        <v>5161</v>
      </c>
      <c r="J1101" s="2" t="s">
        <v>35</v>
      </c>
      <c r="K1101" s="2" t="s">
        <v>5162</v>
      </c>
      <c r="L1101" s="2" t="s">
        <v>5163</v>
      </c>
      <c r="M1101" s="2" t="s">
        <v>5164</v>
      </c>
      <c r="N1101" s="2" t="s">
        <v>8647</v>
      </c>
      <c r="O1101" s="2"/>
      <c r="P1101" s="2" t="s">
        <v>37</v>
      </c>
      <c r="Q1101" s="4" t="n">
        <v>8711</v>
      </c>
      <c r="R1101" s="2" t="s">
        <v>1208</v>
      </c>
      <c r="S1101" s="2" t="s">
        <v>39</v>
      </c>
      <c r="T1101" s="2" t="s">
        <v>403</v>
      </c>
      <c r="U1101" s="2" t="s">
        <v>8648</v>
      </c>
      <c r="V1101" s="2"/>
      <c r="W1101" s="2" t="s">
        <v>8649</v>
      </c>
      <c r="X1101" s="2" t="s">
        <v>46</v>
      </c>
      <c r="Y1101" s="2" t="s">
        <v>37</v>
      </c>
      <c r="Z1101" s="2" t="s">
        <v>362</v>
      </c>
      <c r="AA1101" s="2"/>
      <c r="AB1101" s="2"/>
      <c r="AC1101" s="2" t="s">
        <v>5170</v>
      </c>
      <c r="AD1101" s="2" t="s">
        <v>46</v>
      </c>
    </row>
    <row r="1102" customFormat="false" ht="15.7" hidden="false" customHeight="true" outlineLevel="0" collapsed="false">
      <c r="A1102" s="2"/>
      <c r="B1102" s="3" t="n">
        <f aca="false">DATE(2008,5,22)</f>
        <v>0</v>
      </c>
      <c r="C1102" s="3" t="n">
        <v>39590</v>
      </c>
      <c r="D1102" s="2" t="s">
        <v>8650</v>
      </c>
      <c r="F1102" s="2" t="s">
        <v>8651</v>
      </c>
      <c r="G1102" s="2" t="s">
        <v>8652</v>
      </c>
      <c r="H1102" s="2" t="s">
        <v>3761</v>
      </c>
      <c r="I1102" s="2" t="s">
        <v>8653</v>
      </c>
      <c r="J1102" s="2" t="s">
        <v>35</v>
      </c>
      <c r="K1102" s="2" t="s">
        <v>8650</v>
      </c>
      <c r="L1102" s="2" t="s">
        <v>8653</v>
      </c>
      <c r="M1102" s="2" t="s">
        <v>3761</v>
      </c>
      <c r="N1102" s="2" t="s">
        <v>8654</v>
      </c>
      <c r="O1102" s="2"/>
      <c r="P1102" s="2" t="s">
        <v>37</v>
      </c>
      <c r="Q1102" s="4" t="n">
        <v>8731</v>
      </c>
      <c r="R1102" s="2" t="s">
        <v>136</v>
      </c>
      <c r="S1102" s="2" t="s">
        <v>39</v>
      </c>
      <c r="T1102" s="2" t="s">
        <v>40</v>
      </c>
      <c r="U1102" s="2" t="s">
        <v>8655</v>
      </c>
      <c r="V1102" s="2"/>
      <c r="W1102" s="2" t="s">
        <v>42</v>
      </c>
      <c r="X1102" s="2" t="s">
        <v>43</v>
      </c>
      <c r="Y1102" s="2" t="s">
        <v>37</v>
      </c>
      <c r="Z1102" s="2" t="s">
        <v>44</v>
      </c>
      <c r="AA1102" s="2"/>
      <c r="AB1102" s="2"/>
      <c r="AC1102" s="2" t="s">
        <v>8656</v>
      </c>
      <c r="AD1102" s="2" t="s">
        <v>46</v>
      </c>
    </row>
    <row r="1103" customFormat="false" ht="15.7" hidden="false" customHeight="true" outlineLevel="0" collapsed="false">
      <c r="A1103" s="2"/>
      <c r="B1103" s="3" t="n">
        <f aca="false">DATE(2008,5,23)</f>
        <v>0</v>
      </c>
      <c r="C1103" s="3" t="n">
        <v>39591</v>
      </c>
      <c r="D1103" s="2" t="s">
        <v>8657</v>
      </c>
      <c r="F1103" s="2" t="s">
        <v>8658</v>
      </c>
      <c r="G1103" s="2" t="s">
        <v>8659</v>
      </c>
      <c r="H1103" s="2" t="s">
        <v>8660</v>
      </c>
      <c r="I1103" s="2" t="s">
        <v>34</v>
      </c>
      <c r="J1103" s="2" t="s">
        <v>35</v>
      </c>
      <c r="K1103" s="2" t="s">
        <v>8657</v>
      </c>
      <c r="L1103" s="2" t="s">
        <v>34</v>
      </c>
      <c r="M1103" s="2" t="s">
        <v>8660</v>
      </c>
      <c r="N1103" s="2" t="s">
        <v>8661</v>
      </c>
      <c r="O1103" s="2"/>
      <c r="P1103" s="2" t="s">
        <v>37</v>
      </c>
      <c r="Q1103" s="4" t="n">
        <v>8731</v>
      </c>
      <c r="R1103" s="2" t="s">
        <v>38</v>
      </c>
      <c r="S1103" s="2" t="s">
        <v>39</v>
      </c>
      <c r="T1103" s="2" t="s">
        <v>40</v>
      </c>
      <c r="U1103" s="2" t="s">
        <v>8662</v>
      </c>
      <c r="V1103" s="2"/>
      <c r="W1103" s="2" t="s">
        <v>42</v>
      </c>
      <c r="X1103" s="2" t="s">
        <v>43</v>
      </c>
      <c r="Y1103" s="2" t="s">
        <v>37</v>
      </c>
      <c r="Z1103" s="2" t="s">
        <v>44</v>
      </c>
      <c r="AA1103" s="2"/>
      <c r="AB1103" s="2"/>
      <c r="AC1103" s="2" t="s">
        <v>8663</v>
      </c>
      <c r="AD1103" s="2" t="s">
        <v>46</v>
      </c>
    </row>
    <row r="1104" customFormat="false" ht="15.7" hidden="false" customHeight="true" outlineLevel="0" collapsed="false">
      <c r="A1104" s="2"/>
      <c r="B1104" s="3" t="n">
        <f aca="false">DATE(2008,5,26)</f>
        <v>0</v>
      </c>
      <c r="C1104" s="3" t="n">
        <v>39594</v>
      </c>
      <c r="D1104" s="2" t="s">
        <v>8664</v>
      </c>
      <c r="F1104" s="2" t="s">
        <v>8665</v>
      </c>
      <c r="G1104" s="2" t="s">
        <v>8666</v>
      </c>
      <c r="H1104" s="2" t="s">
        <v>1027</v>
      </c>
      <c r="I1104" s="2" t="s">
        <v>1904</v>
      </c>
      <c r="J1104" s="2" t="s">
        <v>258</v>
      </c>
      <c r="K1104" s="2" t="s">
        <v>8667</v>
      </c>
      <c r="L1104" s="2" t="s">
        <v>1904</v>
      </c>
      <c r="M1104" s="2" t="s">
        <v>8668</v>
      </c>
      <c r="N1104" s="2" t="s">
        <v>8669</v>
      </c>
      <c r="O1104" s="2"/>
      <c r="P1104" s="2" t="s">
        <v>37</v>
      </c>
      <c r="Q1104" s="4" t="n">
        <v>8731</v>
      </c>
      <c r="R1104" s="2" t="s">
        <v>136</v>
      </c>
      <c r="S1104" s="2" t="s">
        <v>39</v>
      </c>
      <c r="T1104" s="2" t="s">
        <v>40</v>
      </c>
      <c r="U1104" s="2" t="s">
        <v>8670</v>
      </c>
      <c r="V1104" s="2"/>
      <c r="W1104" s="2" t="s">
        <v>42</v>
      </c>
      <c r="X1104" s="2" t="s">
        <v>43</v>
      </c>
      <c r="Y1104" s="2" t="s">
        <v>37</v>
      </c>
      <c r="Z1104" s="2" t="s">
        <v>44</v>
      </c>
      <c r="AA1104" s="2"/>
      <c r="AB1104" s="2"/>
      <c r="AC1104" s="2" t="s">
        <v>8671</v>
      </c>
      <c r="AD1104" s="2" t="s">
        <v>46</v>
      </c>
    </row>
    <row r="1105" customFormat="false" ht="15.7" hidden="false" customHeight="true" outlineLevel="0" collapsed="false">
      <c r="A1105" s="2"/>
      <c r="B1105" s="3" t="n">
        <f aca="false">DATE(2008,5,27)</f>
        <v>0</v>
      </c>
      <c r="C1105" s="3" t="n">
        <v>39595</v>
      </c>
      <c r="D1105" s="2" t="s">
        <v>8672</v>
      </c>
      <c r="F1105" s="2" t="s">
        <v>8673</v>
      </c>
      <c r="G1105" s="2" t="s">
        <v>8674</v>
      </c>
      <c r="H1105" s="2" t="s">
        <v>63</v>
      </c>
      <c r="I1105" s="2" t="s">
        <v>219</v>
      </c>
      <c r="J1105" s="2" t="s">
        <v>625</v>
      </c>
      <c r="K1105" s="2" t="s">
        <v>8672</v>
      </c>
      <c r="L1105" s="2" t="s">
        <v>219</v>
      </c>
      <c r="M1105" s="2" t="s">
        <v>63</v>
      </c>
      <c r="N1105" s="2" t="s">
        <v>8675</v>
      </c>
      <c r="O1105" s="2"/>
      <c r="P1105" s="2" t="s">
        <v>37</v>
      </c>
      <c r="Q1105" s="4" t="n">
        <v>8731</v>
      </c>
      <c r="R1105" s="2" t="s">
        <v>56</v>
      </c>
      <c r="S1105" s="2" t="s">
        <v>80</v>
      </c>
      <c r="T1105" s="2" t="s">
        <v>40</v>
      </c>
      <c r="U1105" s="2" t="s">
        <v>8676</v>
      </c>
      <c r="V1105" s="2"/>
      <c r="W1105" s="2" t="s">
        <v>42</v>
      </c>
      <c r="X1105" s="2" t="s">
        <v>43</v>
      </c>
      <c r="Y1105" s="2" t="s">
        <v>37</v>
      </c>
      <c r="Z1105" s="2" t="s">
        <v>44</v>
      </c>
      <c r="AA1105" s="2"/>
      <c r="AB1105" s="2"/>
      <c r="AC1105" s="2" t="s">
        <v>8677</v>
      </c>
      <c r="AD1105" s="2" t="s">
        <v>46</v>
      </c>
    </row>
    <row r="1106" customFormat="false" ht="15.7" hidden="false" customHeight="true" outlineLevel="0" collapsed="false">
      <c r="A1106" s="2"/>
      <c r="B1106" s="3" t="n">
        <f aca="false">DATE(2008,5,27)</f>
        <v>0</v>
      </c>
      <c r="C1106" s="3" t="n">
        <v>39595</v>
      </c>
      <c r="D1106" s="2" t="s">
        <v>8678</v>
      </c>
      <c r="F1106" s="2" t="s">
        <v>8679</v>
      </c>
      <c r="G1106" s="2" t="s">
        <v>8680</v>
      </c>
      <c r="H1106" s="2" t="s">
        <v>8681</v>
      </c>
      <c r="I1106" s="2" t="s">
        <v>8682</v>
      </c>
      <c r="J1106" s="2" t="s">
        <v>35</v>
      </c>
      <c r="K1106" s="2" t="s">
        <v>8683</v>
      </c>
      <c r="L1106" s="2" t="s">
        <v>8682</v>
      </c>
      <c r="M1106" s="2" t="s">
        <v>8681</v>
      </c>
      <c r="N1106" s="2" t="s">
        <v>8684</v>
      </c>
      <c r="O1106" s="2"/>
      <c r="P1106" s="2" t="s">
        <v>37</v>
      </c>
      <c r="Q1106" s="4" t="n">
        <v>8731</v>
      </c>
      <c r="R1106" s="2" t="s">
        <v>8685</v>
      </c>
      <c r="S1106" s="2" t="s">
        <v>39</v>
      </c>
      <c r="T1106" s="2" t="s">
        <v>40</v>
      </c>
      <c r="U1106" s="2" t="s">
        <v>8686</v>
      </c>
      <c r="V1106" s="2"/>
      <c r="W1106" s="2" t="s">
        <v>42</v>
      </c>
      <c r="X1106" s="2" t="s">
        <v>43</v>
      </c>
      <c r="Y1106" s="2" t="s">
        <v>37</v>
      </c>
      <c r="Z1106" s="2" t="s">
        <v>44</v>
      </c>
      <c r="AA1106" s="2"/>
      <c r="AB1106" s="2"/>
      <c r="AC1106" s="2" t="s">
        <v>8687</v>
      </c>
      <c r="AD1106" s="2" t="s">
        <v>46</v>
      </c>
    </row>
    <row r="1107" customFormat="false" ht="15.7" hidden="false" customHeight="true" outlineLevel="0" collapsed="false">
      <c r="A1107" s="2"/>
      <c r="B1107" s="3" t="n">
        <f aca="false">DATE(2008,5,27)</f>
        <v>0</v>
      </c>
      <c r="C1107" s="3" t="n">
        <v>39595</v>
      </c>
      <c r="D1107" s="2" t="s">
        <v>8688</v>
      </c>
      <c r="F1107" s="2" t="s">
        <v>8689</v>
      </c>
      <c r="G1107" s="2" t="s">
        <v>8690</v>
      </c>
      <c r="H1107" s="2" t="s">
        <v>4561</v>
      </c>
      <c r="I1107" s="2" t="s">
        <v>8691</v>
      </c>
      <c r="J1107" s="2" t="s">
        <v>35</v>
      </c>
      <c r="K1107" s="2" t="s">
        <v>8688</v>
      </c>
      <c r="L1107" s="2" t="s">
        <v>8691</v>
      </c>
      <c r="M1107" s="2" t="s">
        <v>4561</v>
      </c>
      <c r="N1107" s="2" t="s">
        <v>8692</v>
      </c>
      <c r="O1107" s="2"/>
      <c r="P1107" s="2" t="s">
        <v>37</v>
      </c>
      <c r="Q1107" s="4" t="n">
        <v>8731</v>
      </c>
      <c r="R1107" s="2" t="s">
        <v>2165</v>
      </c>
      <c r="S1107" s="2" t="s">
        <v>39</v>
      </c>
      <c r="T1107" s="2" t="s">
        <v>40</v>
      </c>
      <c r="U1107" s="2" t="s">
        <v>8693</v>
      </c>
      <c r="V1107" s="2"/>
      <c r="W1107" s="2" t="s">
        <v>42</v>
      </c>
      <c r="X1107" s="2" t="s">
        <v>43</v>
      </c>
      <c r="Y1107" s="2" t="s">
        <v>37</v>
      </c>
      <c r="Z1107" s="2" t="s">
        <v>44</v>
      </c>
      <c r="AA1107" s="2"/>
      <c r="AB1107" s="2"/>
      <c r="AC1107" s="2" t="s">
        <v>8694</v>
      </c>
      <c r="AD1107" s="2" t="s">
        <v>46</v>
      </c>
    </row>
    <row r="1108" customFormat="false" ht="15.7" hidden="false" customHeight="true" outlineLevel="0" collapsed="false">
      <c r="A1108" s="2"/>
      <c r="B1108" s="3" t="n">
        <f aca="false">DATE(2008,5,27)</f>
        <v>0</v>
      </c>
      <c r="C1108" s="3" t="n">
        <v>39595</v>
      </c>
      <c r="D1108" s="2" t="s">
        <v>8695</v>
      </c>
      <c r="F1108" s="2" t="s">
        <v>8696</v>
      </c>
      <c r="G1108" s="2" t="s">
        <v>8697</v>
      </c>
      <c r="H1108" s="2" t="s">
        <v>130</v>
      </c>
      <c r="I1108" s="2" t="s">
        <v>670</v>
      </c>
      <c r="J1108" s="2" t="s">
        <v>625</v>
      </c>
      <c r="K1108" s="2" t="s">
        <v>8695</v>
      </c>
      <c r="L1108" s="2" t="s">
        <v>670</v>
      </c>
      <c r="M1108" s="2" t="s">
        <v>130</v>
      </c>
      <c r="N1108" s="2" t="s">
        <v>8698</v>
      </c>
      <c r="O1108" s="2"/>
      <c r="P1108" s="2" t="s">
        <v>37</v>
      </c>
      <c r="Q1108" s="4" t="n">
        <v>8731</v>
      </c>
      <c r="R1108" s="2" t="s">
        <v>136</v>
      </c>
      <c r="S1108" s="2" t="s">
        <v>39</v>
      </c>
      <c r="T1108" s="2" t="s">
        <v>40</v>
      </c>
      <c r="U1108" s="2" t="s">
        <v>8699</v>
      </c>
      <c r="V1108" s="2"/>
      <c r="W1108" s="2" t="s">
        <v>42</v>
      </c>
      <c r="X1108" s="2" t="s">
        <v>43</v>
      </c>
      <c r="Y1108" s="2" t="s">
        <v>37</v>
      </c>
      <c r="Z1108" s="2" t="s">
        <v>44</v>
      </c>
      <c r="AA1108" s="2"/>
      <c r="AB1108" s="2"/>
      <c r="AC1108" s="2" t="s">
        <v>8700</v>
      </c>
      <c r="AD1108" s="2" t="s">
        <v>46</v>
      </c>
    </row>
    <row r="1109" customFormat="false" ht="15.7" hidden="false" customHeight="true" outlineLevel="0" collapsed="false">
      <c r="A1109" s="2"/>
      <c r="B1109" s="3" t="n">
        <f aca="false">DATE(2008,5,28)</f>
        <v>0</v>
      </c>
      <c r="C1109" s="3" t="n">
        <v>39596</v>
      </c>
      <c r="D1109" s="2" t="s">
        <v>8701</v>
      </c>
      <c r="F1109" s="2" t="s">
        <v>8702</v>
      </c>
      <c r="G1109" s="2" t="s">
        <v>8703</v>
      </c>
      <c r="H1109" s="2" t="s">
        <v>2283</v>
      </c>
      <c r="I1109" s="2" t="s">
        <v>568</v>
      </c>
      <c r="J1109" s="2" t="s">
        <v>3054</v>
      </c>
      <c r="K1109" s="2" t="s">
        <v>8701</v>
      </c>
      <c r="L1109" s="2" t="s">
        <v>568</v>
      </c>
      <c r="M1109" s="2" t="s">
        <v>2283</v>
      </c>
      <c r="N1109" s="2" t="s">
        <v>8704</v>
      </c>
      <c r="O1109" s="2"/>
      <c r="P1109" s="2" t="s">
        <v>37</v>
      </c>
      <c r="Q1109" s="4" t="n">
        <v>8731</v>
      </c>
      <c r="R1109" s="2" t="s">
        <v>136</v>
      </c>
      <c r="S1109" s="2" t="s">
        <v>39</v>
      </c>
      <c r="T1109" s="2" t="s">
        <v>40</v>
      </c>
      <c r="U1109" s="2" t="s">
        <v>8705</v>
      </c>
      <c r="V1109" s="2"/>
      <c r="W1109" s="2" t="s">
        <v>42</v>
      </c>
      <c r="X1109" s="2" t="s">
        <v>43</v>
      </c>
      <c r="Y1109" s="2" t="s">
        <v>37</v>
      </c>
      <c r="Z1109" s="2" t="s">
        <v>44</v>
      </c>
      <c r="AA1109" s="2"/>
      <c r="AB1109" s="2"/>
      <c r="AC1109" s="2" t="s">
        <v>8706</v>
      </c>
      <c r="AD1109" s="2" t="s">
        <v>46</v>
      </c>
    </row>
    <row r="1110" customFormat="false" ht="15.7" hidden="false" customHeight="true" outlineLevel="0" collapsed="false">
      <c r="A1110" s="2"/>
      <c r="B1110" s="3" t="n">
        <f aca="false">DATE(2008,5,28)</f>
        <v>0</v>
      </c>
      <c r="C1110" s="3" t="n">
        <v>39596</v>
      </c>
      <c r="D1110" s="2" t="s">
        <v>8707</v>
      </c>
      <c r="F1110" s="2" t="s">
        <v>8708</v>
      </c>
      <c r="G1110" s="2" t="s">
        <v>8709</v>
      </c>
      <c r="H1110" s="2" t="s">
        <v>8710</v>
      </c>
      <c r="I1110" s="2" t="s">
        <v>1080</v>
      </c>
      <c r="J1110" s="2" t="s">
        <v>35</v>
      </c>
      <c r="K1110" s="2" t="s">
        <v>8711</v>
      </c>
      <c r="L1110" s="2" t="s">
        <v>1080</v>
      </c>
      <c r="M1110" s="2" t="s">
        <v>8712</v>
      </c>
      <c r="N1110" s="2" t="s">
        <v>8713</v>
      </c>
      <c r="O1110" s="2"/>
      <c r="P1110" s="2" t="s">
        <v>37</v>
      </c>
      <c r="Q1110" s="4" t="n">
        <v>3728</v>
      </c>
      <c r="R1110" s="2" t="s">
        <v>2201</v>
      </c>
      <c r="S1110" s="2" t="s">
        <v>39</v>
      </c>
      <c r="T1110" s="2" t="s">
        <v>403</v>
      </c>
      <c r="U1110" s="2" t="s">
        <v>8714</v>
      </c>
      <c r="V1110" s="2"/>
      <c r="W1110" s="2" t="s">
        <v>107</v>
      </c>
      <c r="X1110" s="2" t="s">
        <v>46</v>
      </c>
      <c r="Y1110" s="2" t="s">
        <v>37</v>
      </c>
      <c r="Z1110" s="2" t="s">
        <v>987</v>
      </c>
      <c r="AA1110" s="2" t="s">
        <v>8715</v>
      </c>
      <c r="AB1110" s="2"/>
      <c r="AC1110" s="2" t="s">
        <v>8716</v>
      </c>
      <c r="AD1110" s="2" t="s">
        <v>46</v>
      </c>
    </row>
    <row r="1111" customFormat="false" ht="15.7" hidden="false" customHeight="true" outlineLevel="0" collapsed="false">
      <c r="A1111" s="2"/>
      <c r="B1111" s="3" t="n">
        <f aca="false">DATE(2008,5,28)</f>
        <v>0</v>
      </c>
      <c r="C1111" s="3" t="n">
        <v>39596</v>
      </c>
      <c r="D1111" s="2" t="s">
        <v>8717</v>
      </c>
      <c r="F1111" s="2" t="s">
        <v>8718</v>
      </c>
      <c r="G1111" s="2" t="s">
        <v>8719</v>
      </c>
      <c r="H1111" s="2" t="s">
        <v>8720</v>
      </c>
      <c r="I1111" s="2" t="s">
        <v>2354</v>
      </c>
      <c r="J1111" s="2" t="s">
        <v>35</v>
      </c>
      <c r="K1111" s="2" t="s">
        <v>8717</v>
      </c>
      <c r="L1111" s="2" t="s">
        <v>2354</v>
      </c>
      <c r="M1111" s="2" t="s">
        <v>8720</v>
      </c>
      <c r="N1111" s="2" t="s">
        <v>8721</v>
      </c>
      <c r="O1111" s="2"/>
      <c r="P1111" s="2" t="s">
        <v>37</v>
      </c>
      <c r="Q1111" s="4" t="n">
        <v>8731</v>
      </c>
      <c r="R1111" s="2" t="s">
        <v>136</v>
      </c>
      <c r="S1111" s="2" t="s">
        <v>39</v>
      </c>
      <c r="T1111" s="2" t="s">
        <v>403</v>
      </c>
      <c r="U1111" s="2" t="s">
        <v>8722</v>
      </c>
      <c r="V1111" s="2"/>
      <c r="W1111" s="2" t="s">
        <v>697</v>
      </c>
      <c r="X1111" s="2" t="s">
        <v>43</v>
      </c>
      <c r="Y1111" s="2" t="s">
        <v>37</v>
      </c>
      <c r="Z1111" s="2" t="s">
        <v>44</v>
      </c>
      <c r="AA1111" s="2"/>
      <c r="AB1111" s="2"/>
      <c r="AC1111" s="2" t="s">
        <v>8723</v>
      </c>
      <c r="AD1111" s="2" t="s">
        <v>46</v>
      </c>
    </row>
    <row r="1112" customFormat="false" ht="15.7" hidden="false" customHeight="true" outlineLevel="0" collapsed="false">
      <c r="A1112" s="2"/>
      <c r="B1112" s="3" t="n">
        <f aca="false">DATE(2008,5,28)</f>
        <v>0</v>
      </c>
      <c r="C1112" s="3" t="n">
        <v>39596</v>
      </c>
      <c r="D1112" s="2" t="s">
        <v>8724</v>
      </c>
      <c r="F1112" s="2" t="s">
        <v>8725</v>
      </c>
      <c r="G1112" s="2" t="s">
        <v>8726</v>
      </c>
      <c r="H1112" s="2" t="s">
        <v>1020</v>
      </c>
      <c r="I1112" s="2" t="s">
        <v>1236</v>
      </c>
      <c r="J1112" s="2" t="s">
        <v>35</v>
      </c>
      <c r="K1112" s="2" t="s">
        <v>8724</v>
      </c>
      <c r="L1112" s="2" t="s">
        <v>1236</v>
      </c>
      <c r="M1112" s="2" t="s">
        <v>1020</v>
      </c>
      <c r="N1112" s="2" t="s">
        <v>8727</v>
      </c>
      <c r="O1112" s="2"/>
      <c r="P1112" s="2" t="s">
        <v>37</v>
      </c>
      <c r="Q1112" s="4" t="n">
        <v>8731</v>
      </c>
      <c r="R1112" s="2" t="s">
        <v>136</v>
      </c>
      <c r="S1112" s="2" t="s">
        <v>39</v>
      </c>
      <c r="T1112" s="2" t="s">
        <v>40</v>
      </c>
      <c r="U1112" s="2" t="s">
        <v>8728</v>
      </c>
      <c r="V1112" s="2"/>
      <c r="W1112" s="2" t="s">
        <v>42</v>
      </c>
      <c r="X1112" s="2" t="s">
        <v>43</v>
      </c>
      <c r="Y1112" s="2" t="s">
        <v>37</v>
      </c>
      <c r="Z1112" s="2" t="s">
        <v>44</v>
      </c>
      <c r="AA1112" s="2"/>
      <c r="AB1112" s="2"/>
      <c r="AC1112" s="2" t="s">
        <v>8729</v>
      </c>
      <c r="AD1112" s="2" t="s">
        <v>46</v>
      </c>
    </row>
    <row r="1113" customFormat="false" ht="15.7" hidden="false" customHeight="true" outlineLevel="0" collapsed="false">
      <c r="A1113" s="2"/>
      <c r="B1113" s="3" t="n">
        <f aca="false">DATE(2008,5,28)</f>
        <v>0</v>
      </c>
      <c r="C1113" s="3" t="n">
        <v>39596</v>
      </c>
      <c r="D1113" s="2" t="s">
        <v>8730</v>
      </c>
      <c r="F1113" s="2" t="s">
        <v>8731</v>
      </c>
      <c r="G1113" s="2" t="s">
        <v>8732</v>
      </c>
      <c r="H1113" s="2" t="s">
        <v>8733</v>
      </c>
      <c r="I1113" s="2" t="s">
        <v>51</v>
      </c>
      <c r="J1113" s="2" t="s">
        <v>8734</v>
      </c>
      <c r="K1113" s="2" t="s">
        <v>8730</v>
      </c>
      <c r="L1113" s="2" t="s">
        <v>51</v>
      </c>
      <c r="M1113" s="2" t="s">
        <v>8733</v>
      </c>
      <c r="N1113" s="2" t="s">
        <v>8735</v>
      </c>
      <c r="O1113" s="2"/>
      <c r="P1113" s="2" t="s">
        <v>37</v>
      </c>
      <c r="Q1113" s="4" t="n">
        <v>8731</v>
      </c>
      <c r="R1113" s="2" t="s">
        <v>56</v>
      </c>
      <c r="S1113" s="2" t="s">
        <v>788</v>
      </c>
      <c r="T1113" s="2" t="s">
        <v>40</v>
      </c>
      <c r="U1113" s="2" t="s">
        <v>8736</v>
      </c>
      <c r="V1113" s="2"/>
      <c r="W1113" s="2" t="s">
        <v>42</v>
      </c>
      <c r="X1113" s="2" t="s">
        <v>43</v>
      </c>
      <c r="Y1113" s="2" t="s">
        <v>37</v>
      </c>
      <c r="Z1113" s="2" t="s">
        <v>44</v>
      </c>
      <c r="AA1113" s="2"/>
      <c r="AB1113" s="2"/>
      <c r="AC1113" s="2" t="s">
        <v>8737</v>
      </c>
      <c r="AD1113" s="2" t="s">
        <v>46</v>
      </c>
    </row>
    <row r="1114" customFormat="false" ht="15.7" hidden="false" customHeight="true" outlineLevel="0" collapsed="false">
      <c r="A1114" s="2"/>
      <c r="B1114" s="3" t="n">
        <f aca="false">DATE(2008,5,29)</f>
        <v>0</v>
      </c>
      <c r="C1114" s="3" t="n">
        <v>39597</v>
      </c>
      <c r="D1114" s="2" t="s">
        <v>8738</v>
      </c>
      <c r="F1114" s="2" t="s">
        <v>8739</v>
      </c>
      <c r="G1114" s="2" t="s">
        <v>8740</v>
      </c>
      <c r="H1114" s="2" t="s">
        <v>8741</v>
      </c>
      <c r="I1114" s="2" t="s">
        <v>51</v>
      </c>
      <c r="J1114" s="2" t="s">
        <v>8742</v>
      </c>
      <c r="K1114" s="2" t="s">
        <v>8743</v>
      </c>
      <c r="L1114" s="2" t="s">
        <v>51</v>
      </c>
      <c r="M1114" s="2" t="s">
        <v>1564</v>
      </c>
      <c r="N1114" s="2" t="s">
        <v>8744</v>
      </c>
      <c r="O1114" s="2"/>
      <c r="P1114" s="2" t="s">
        <v>37</v>
      </c>
      <c r="Q1114" s="4" t="n">
        <v>8731</v>
      </c>
      <c r="R1114" s="2" t="s">
        <v>56</v>
      </c>
      <c r="S1114" s="2" t="s">
        <v>8043</v>
      </c>
      <c r="T1114" s="2" t="s">
        <v>40</v>
      </c>
      <c r="U1114" s="2" t="s">
        <v>8745</v>
      </c>
      <c r="V1114" s="2"/>
      <c r="W1114" s="2" t="s">
        <v>42</v>
      </c>
      <c r="X1114" s="2" t="s">
        <v>43</v>
      </c>
      <c r="Y1114" s="2" t="s">
        <v>37</v>
      </c>
      <c r="Z1114" s="2" t="s">
        <v>44</v>
      </c>
      <c r="AA1114" s="2"/>
      <c r="AB1114" s="2"/>
      <c r="AC1114" s="2" t="s">
        <v>8746</v>
      </c>
      <c r="AD1114" s="2" t="s">
        <v>46</v>
      </c>
    </row>
    <row r="1115" customFormat="false" ht="15.7" hidden="false" customHeight="true" outlineLevel="0" collapsed="false">
      <c r="A1115" s="2"/>
      <c r="B1115" s="3" t="n">
        <f aca="false">DATE(2008,5,29)</f>
        <v>0</v>
      </c>
      <c r="C1115" s="3" t="n">
        <v>39597</v>
      </c>
      <c r="D1115" s="2" t="s">
        <v>8747</v>
      </c>
      <c r="F1115" s="2" t="s">
        <v>8748</v>
      </c>
      <c r="G1115" s="2" t="s">
        <v>8749</v>
      </c>
      <c r="H1115" s="2" t="s">
        <v>130</v>
      </c>
      <c r="I1115" s="2" t="s">
        <v>540</v>
      </c>
      <c r="J1115" s="2" t="s">
        <v>35</v>
      </c>
      <c r="K1115" s="2" t="s">
        <v>8747</v>
      </c>
      <c r="L1115" s="2" t="s">
        <v>540</v>
      </c>
      <c r="M1115" s="2" t="s">
        <v>130</v>
      </c>
      <c r="N1115" s="2" t="s">
        <v>8750</v>
      </c>
      <c r="O1115" s="2"/>
      <c r="P1115" s="2" t="s">
        <v>79</v>
      </c>
      <c r="Q1115" s="4" t="n">
        <v>6794</v>
      </c>
      <c r="R1115" s="2" t="s">
        <v>1448</v>
      </c>
      <c r="S1115" s="2" t="s">
        <v>39</v>
      </c>
      <c r="T1115" s="2" t="s">
        <v>40</v>
      </c>
      <c r="U1115" s="2" t="s">
        <v>8751</v>
      </c>
      <c r="V1115" s="2"/>
      <c r="W1115" s="2" t="s">
        <v>82</v>
      </c>
      <c r="X1115" s="2" t="s">
        <v>43</v>
      </c>
      <c r="Y1115" s="2" t="s">
        <v>37</v>
      </c>
      <c r="Z1115" s="2" t="s">
        <v>44</v>
      </c>
      <c r="AA1115" s="2"/>
      <c r="AB1115" s="2"/>
      <c r="AC1115" s="2" t="s">
        <v>8752</v>
      </c>
      <c r="AD1115" s="2" t="s">
        <v>46</v>
      </c>
    </row>
    <row r="1116" customFormat="false" ht="15.7" hidden="false" customHeight="true" outlineLevel="0" collapsed="false">
      <c r="A1116" s="2"/>
      <c r="B1116" s="3" t="n">
        <f aca="false">DATE(2008,5,29)</f>
        <v>0</v>
      </c>
      <c r="C1116" s="3" t="n">
        <v>39597</v>
      </c>
      <c r="D1116" s="2" t="s">
        <v>8753</v>
      </c>
      <c r="F1116" s="2" t="s">
        <v>8754</v>
      </c>
      <c r="G1116" s="2" t="s">
        <v>8755</v>
      </c>
      <c r="H1116" s="2" t="s">
        <v>8756</v>
      </c>
      <c r="I1116" s="2" t="s">
        <v>1544</v>
      </c>
      <c r="J1116" s="2" t="s">
        <v>258</v>
      </c>
      <c r="K1116" s="2" t="s">
        <v>8753</v>
      </c>
      <c r="L1116" s="2" t="s">
        <v>1544</v>
      </c>
      <c r="M1116" s="2" t="s">
        <v>8756</v>
      </c>
      <c r="N1116" s="2" t="s">
        <v>8757</v>
      </c>
      <c r="O1116" s="2"/>
      <c r="P1116" s="2" t="s">
        <v>37</v>
      </c>
      <c r="Q1116" s="4" t="n">
        <v>3674</v>
      </c>
      <c r="R1116" s="2" t="s">
        <v>70</v>
      </c>
      <c r="S1116" s="2" t="s">
        <v>39</v>
      </c>
      <c r="T1116" s="2" t="s">
        <v>403</v>
      </c>
      <c r="U1116" s="2" t="s">
        <v>8758</v>
      </c>
      <c r="V1116" s="2"/>
      <c r="W1116" s="2" t="s">
        <v>107</v>
      </c>
      <c r="X1116" s="2" t="s">
        <v>46</v>
      </c>
      <c r="Y1116" s="2" t="s">
        <v>37</v>
      </c>
      <c r="Z1116" s="2" t="s">
        <v>987</v>
      </c>
      <c r="AA1116" s="2"/>
      <c r="AB1116" s="2"/>
      <c r="AC1116" s="2" t="s">
        <v>8759</v>
      </c>
      <c r="AD1116" s="2" t="s">
        <v>46</v>
      </c>
    </row>
    <row r="1117" customFormat="false" ht="15.7" hidden="false" customHeight="true" outlineLevel="0" collapsed="false">
      <c r="A1117" s="2"/>
      <c r="B1117" s="3" t="n">
        <f aca="false">DATE(2008,5,30)</f>
        <v>0</v>
      </c>
      <c r="C1117" s="3" t="n">
        <v>39598</v>
      </c>
      <c r="D1117" s="2" t="s">
        <v>8760</v>
      </c>
      <c r="F1117" s="2" t="s">
        <v>8761</v>
      </c>
      <c r="G1117" s="2" t="s">
        <v>8762</v>
      </c>
      <c r="H1117" s="2" t="s">
        <v>8763</v>
      </c>
      <c r="I1117" s="2" t="s">
        <v>8764</v>
      </c>
      <c r="J1117" s="2" t="s">
        <v>35</v>
      </c>
      <c r="K1117" s="2" t="s">
        <v>8760</v>
      </c>
      <c r="L1117" s="2" t="s">
        <v>8764</v>
      </c>
      <c r="M1117" s="2" t="s">
        <v>8763</v>
      </c>
      <c r="N1117" s="2" t="s">
        <v>8765</v>
      </c>
      <c r="O1117" s="2"/>
      <c r="P1117" s="2" t="s">
        <v>37</v>
      </c>
      <c r="Q1117" s="4" t="n">
        <v>8731</v>
      </c>
      <c r="R1117" s="2" t="s">
        <v>136</v>
      </c>
      <c r="S1117" s="2" t="s">
        <v>39</v>
      </c>
      <c r="T1117" s="2" t="s">
        <v>40</v>
      </c>
      <c r="U1117" s="2" t="s">
        <v>8766</v>
      </c>
      <c r="V1117" s="2"/>
      <c r="W1117" s="2" t="s">
        <v>42</v>
      </c>
      <c r="X1117" s="2" t="s">
        <v>43</v>
      </c>
      <c r="Y1117" s="2" t="s">
        <v>37</v>
      </c>
      <c r="Z1117" s="2" t="s">
        <v>44</v>
      </c>
      <c r="AA1117" s="2"/>
      <c r="AB1117" s="2"/>
      <c r="AC1117" s="2" t="s">
        <v>8767</v>
      </c>
      <c r="AD1117" s="2" t="s">
        <v>46</v>
      </c>
    </row>
    <row r="1118" customFormat="false" ht="15.7" hidden="false" customHeight="true" outlineLevel="0" collapsed="false">
      <c r="A1118" s="2"/>
      <c r="B1118" s="3" t="n">
        <f aca="false">DATE(2008,6,3)</f>
        <v>0</v>
      </c>
      <c r="C1118" s="3" t="n">
        <v>39602</v>
      </c>
      <c r="D1118" s="2" t="s">
        <v>8768</v>
      </c>
      <c r="F1118" s="2" t="s">
        <v>8769</v>
      </c>
      <c r="G1118" s="2" t="s">
        <v>8770</v>
      </c>
      <c r="H1118" s="2" t="s">
        <v>2857</v>
      </c>
      <c r="I1118" s="2" t="s">
        <v>51</v>
      </c>
      <c r="J1118" s="2" t="s">
        <v>171</v>
      </c>
      <c r="K1118" s="2" t="s">
        <v>8768</v>
      </c>
      <c r="L1118" s="2" t="s">
        <v>51</v>
      </c>
      <c r="M1118" s="2" t="s">
        <v>2857</v>
      </c>
      <c r="N1118" s="2" t="s">
        <v>8771</v>
      </c>
      <c r="O1118" s="2"/>
      <c r="P1118" s="2" t="s">
        <v>37</v>
      </c>
      <c r="Q1118" s="4" t="n">
        <v>8731</v>
      </c>
      <c r="R1118" s="2" t="s">
        <v>56</v>
      </c>
      <c r="S1118" s="2" t="s">
        <v>92</v>
      </c>
      <c r="T1118" s="2" t="s">
        <v>40</v>
      </c>
      <c r="U1118" s="2" t="s">
        <v>8772</v>
      </c>
      <c r="V1118" s="2"/>
      <c r="W1118" s="2" t="s">
        <v>42</v>
      </c>
      <c r="X1118" s="2" t="s">
        <v>43</v>
      </c>
      <c r="Y1118" s="2" t="s">
        <v>37</v>
      </c>
      <c r="Z1118" s="2" t="s">
        <v>44</v>
      </c>
      <c r="AA1118" s="2"/>
      <c r="AB1118" s="2"/>
      <c r="AC1118" s="2" t="s">
        <v>8773</v>
      </c>
      <c r="AD1118" s="2" t="s">
        <v>46</v>
      </c>
    </row>
    <row r="1119" customFormat="false" ht="15.7" hidden="false" customHeight="true" outlineLevel="0" collapsed="false">
      <c r="A1119" s="2"/>
      <c r="B1119" s="3" t="n">
        <f aca="false">DATE(2008,6,3)</f>
        <v>0</v>
      </c>
      <c r="C1119" s="3" t="n">
        <v>39602</v>
      </c>
      <c r="D1119" s="2" t="s">
        <v>8774</v>
      </c>
      <c r="F1119" s="2" t="s">
        <v>8775</v>
      </c>
      <c r="G1119" s="2" t="s">
        <v>8776</v>
      </c>
      <c r="H1119" s="2" t="s">
        <v>3008</v>
      </c>
      <c r="I1119" s="2" t="s">
        <v>8777</v>
      </c>
      <c r="J1119" s="2" t="s">
        <v>132</v>
      </c>
      <c r="K1119" s="2" t="s">
        <v>8774</v>
      </c>
      <c r="L1119" s="2" t="s">
        <v>8777</v>
      </c>
      <c r="M1119" s="2" t="s">
        <v>3008</v>
      </c>
      <c r="N1119" s="2" t="s">
        <v>8778</v>
      </c>
      <c r="O1119" s="2" t="s">
        <v>8779</v>
      </c>
      <c r="P1119" s="2" t="s">
        <v>37</v>
      </c>
      <c r="Q1119" s="4" t="n">
        <v>8742</v>
      </c>
      <c r="R1119" s="2" t="s">
        <v>2952</v>
      </c>
      <c r="S1119" s="2" t="s">
        <v>39</v>
      </c>
      <c r="T1119" s="2" t="s">
        <v>40</v>
      </c>
      <c r="U1119" s="2" t="s">
        <v>8780</v>
      </c>
      <c r="V1119" s="2"/>
      <c r="W1119" s="2" t="s">
        <v>8781</v>
      </c>
      <c r="X1119" s="2" t="s">
        <v>46</v>
      </c>
      <c r="Y1119" s="2" t="s">
        <v>37</v>
      </c>
      <c r="Z1119" s="2" t="s">
        <v>362</v>
      </c>
      <c r="AA1119" s="2"/>
      <c r="AB1119" s="2" t="s">
        <v>8782</v>
      </c>
      <c r="AC1119" s="2" t="s">
        <v>8783</v>
      </c>
      <c r="AD1119" s="2" t="s">
        <v>46</v>
      </c>
    </row>
    <row r="1120" customFormat="false" ht="15.7" hidden="false" customHeight="true" outlineLevel="0" collapsed="false">
      <c r="A1120" s="2"/>
      <c r="B1120" s="3" t="n">
        <f aca="false">DATE(2008,6,4)</f>
        <v>0</v>
      </c>
      <c r="C1120" s="3" t="n">
        <v>39603</v>
      </c>
      <c r="D1120" s="2" t="s">
        <v>8784</v>
      </c>
      <c r="F1120" s="2" t="s">
        <v>8785</v>
      </c>
      <c r="G1120" s="2" t="s">
        <v>8786</v>
      </c>
      <c r="H1120" s="2" t="s">
        <v>8787</v>
      </c>
      <c r="I1120" s="2" t="s">
        <v>568</v>
      </c>
      <c r="J1120" s="2" t="s">
        <v>155</v>
      </c>
      <c r="K1120" s="2" t="s">
        <v>8784</v>
      </c>
      <c r="L1120" s="2" t="s">
        <v>568</v>
      </c>
      <c r="M1120" s="2" t="s">
        <v>8787</v>
      </c>
      <c r="N1120" s="2" t="s">
        <v>8788</v>
      </c>
      <c r="O1120" s="2"/>
      <c r="P1120" s="2" t="s">
        <v>37</v>
      </c>
      <c r="Q1120" s="4" t="n">
        <v>8731</v>
      </c>
      <c r="R1120" s="2" t="s">
        <v>136</v>
      </c>
      <c r="S1120" s="2" t="s">
        <v>39</v>
      </c>
      <c r="T1120" s="2" t="s">
        <v>40</v>
      </c>
      <c r="U1120" s="2" t="s">
        <v>8789</v>
      </c>
      <c r="V1120" s="2"/>
      <c r="W1120" s="2" t="s">
        <v>42</v>
      </c>
      <c r="X1120" s="2" t="s">
        <v>43</v>
      </c>
      <c r="Y1120" s="2" t="s">
        <v>37</v>
      </c>
      <c r="Z1120" s="2" t="s">
        <v>44</v>
      </c>
      <c r="AA1120" s="2"/>
      <c r="AB1120" s="2"/>
      <c r="AC1120" s="2" t="s">
        <v>8790</v>
      </c>
      <c r="AD1120" s="2" t="s">
        <v>46</v>
      </c>
    </row>
    <row r="1121" customFormat="false" ht="15.7" hidden="false" customHeight="true" outlineLevel="0" collapsed="false">
      <c r="A1121" s="2"/>
      <c r="B1121" s="3" t="n">
        <f aca="false">DATE(2008,6,4)</f>
        <v>0</v>
      </c>
      <c r="C1121" s="3" t="n">
        <v>39603</v>
      </c>
      <c r="D1121" s="2" t="s">
        <v>8791</v>
      </c>
      <c r="F1121" s="2" t="s">
        <v>8792</v>
      </c>
      <c r="G1121" s="2" t="s">
        <v>8793</v>
      </c>
      <c r="H1121" s="2" t="s">
        <v>1473</v>
      </c>
      <c r="I1121" s="2" t="s">
        <v>1080</v>
      </c>
      <c r="J1121" s="2" t="s">
        <v>35</v>
      </c>
      <c r="K1121" s="2" t="s">
        <v>8791</v>
      </c>
      <c r="L1121" s="2" t="s">
        <v>1080</v>
      </c>
      <c r="M1121" s="2" t="s">
        <v>1473</v>
      </c>
      <c r="N1121" s="2" t="s">
        <v>8794</v>
      </c>
      <c r="O1121" s="2"/>
      <c r="P1121" s="2" t="s">
        <v>37</v>
      </c>
      <c r="Q1121" s="4" t="n">
        <v>8731</v>
      </c>
      <c r="R1121" s="2" t="s">
        <v>56</v>
      </c>
      <c r="S1121" s="2"/>
      <c r="T1121" s="2" t="s">
        <v>40</v>
      </c>
      <c r="U1121" s="2" t="s">
        <v>8795</v>
      </c>
      <c r="V1121" s="2"/>
      <c r="W1121" s="2" t="s">
        <v>42</v>
      </c>
      <c r="X1121" s="2" t="s">
        <v>43</v>
      </c>
      <c r="Y1121" s="2" t="s">
        <v>37</v>
      </c>
      <c r="Z1121" s="2" t="s">
        <v>44</v>
      </c>
      <c r="AA1121" s="2"/>
      <c r="AB1121" s="2"/>
      <c r="AC1121" s="2" t="s">
        <v>8796</v>
      </c>
      <c r="AD1121" s="2" t="s">
        <v>46</v>
      </c>
    </row>
    <row r="1122" customFormat="false" ht="15.7" hidden="false" customHeight="true" outlineLevel="0" collapsed="false">
      <c r="A1122" s="2"/>
      <c r="B1122" s="3" t="n">
        <f aca="false">DATE(2008,6,5)</f>
        <v>0</v>
      </c>
      <c r="C1122" s="3" t="n">
        <v>39604</v>
      </c>
      <c r="D1122" s="2" t="s">
        <v>8797</v>
      </c>
      <c r="F1122" s="2" t="s">
        <v>8798</v>
      </c>
      <c r="G1122" s="2" t="s">
        <v>8799</v>
      </c>
      <c r="H1122" s="2" t="s">
        <v>63</v>
      </c>
      <c r="I1122" s="2" t="s">
        <v>51</v>
      </c>
      <c r="J1122" s="2" t="s">
        <v>171</v>
      </c>
      <c r="K1122" s="2" t="s">
        <v>8797</v>
      </c>
      <c r="L1122" s="2" t="s">
        <v>51</v>
      </c>
      <c r="M1122" s="2" t="s">
        <v>63</v>
      </c>
      <c r="N1122" s="2" t="s">
        <v>8800</v>
      </c>
      <c r="O1122" s="2"/>
      <c r="P1122" s="2" t="s">
        <v>79</v>
      </c>
      <c r="Q1122" s="4" t="n">
        <v>6794</v>
      </c>
      <c r="R1122" s="2" t="s">
        <v>136</v>
      </c>
      <c r="S1122" s="2" t="s">
        <v>39</v>
      </c>
      <c r="T1122" s="2" t="s">
        <v>40</v>
      </c>
      <c r="U1122" s="2" t="s">
        <v>8801</v>
      </c>
      <c r="V1122" s="2"/>
      <c r="W1122" s="2" t="s">
        <v>82</v>
      </c>
      <c r="X1122" s="2" t="s">
        <v>43</v>
      </c>
      <c r="Y1122" s="2" t="s">
        <v>37</v>
      </c>
      <c r="Z1122" s="2" t="s">
        <v>44</v>
      </c>
      <c r="AA1122" s="2" t="s">
        <v>8802</v>
      </c>
      <c r="AB1122" s="2"/>
      <c r="AC1122" s="2" t="s">
        <v>8803</v>
      </c>
      <c r="AD1122" s="2" t="s">
        <v>46</v>
      </c>
    </row>
    <row r="1123" customFormat="false" ht="15.7" hidden="false" customHeight="true" outlineLevel="0" collapsed="false">
      <c r="A1123" s="2"/>
      <c r="B1123" s="3" t="n">
        <f aca="false">DATE(2008,6,5)</f>
        <v>0</v>
      </c>
      <c r="C1123" s="3" t="n">
        <v>39604</v>
      </c>
      <c r="D1123" s="2" t="s">
        <v>8804</v>
      </c>
      <c r="F1123" s="2" t="s">
        <v>8805</v>
      </c>
      <c r="G1123" s="2" t="s">
        <v>8806</v>
      </c>
      <c r="H1123" s="2" t="s">
        <v>6829</v>
      </c>
      <c r="I1123" s="2" t="s">
        <v>51</v>
      </c>
      <c r="J1123" s="2" t="s">
        <v>8807</v>
      </c>
      <c r="K1123" s="2" t="s">
        <v>8804</v>
      </c>
      <c r="L1123" s="2" t="s">
        <v>51</v>
      </c>
      <c r="M1123" s="2" t="s">
        <v>6829</v>
      </c>
      <c r="N1123" s="2" t="s">
        <v>8808</v>
      </c>
      <c r="O1123" s="2"/>
      <c r="P1123" s="2" t="s">
        <v>37</v>
      </c>
      <c r="Q1123" s="4" t="n">
        <v>8731</v>
      </c>
      <c r="R1123" s="2" t="s">
        <v>56</v>
      </c>
      <c r="S1123" s="2" t="s">
        <v>8809</v>
      </c>
      <c r="T1123" s="2" t="s">
        <v>40</v>
      </c>
      <c r="U1123" s="2" t="s">
        <v>8810</v>
      </c>
      <c r="V1123" s="2"/>
      <c r="W1123" s="2" t="s">
        <v>42</v>
      </c>
      <c r="X1123" s="2" t="s">
        <v>43</v>
      </c>
      <c r="Y1123" s="2" t="s">
        <v>37</v>
      </c>
      <c r="Z1123" s="2" t="s">
        <v>44</v>
      </c>
      <c r="AA1123" s="2"/>
      <c r="AB1123" s="2"/>
      <c r="AC1123" s="2" t="s">
        <v>8811</v>
      </c>
      <c r="AD1123" s="2" t="s">
        <v>46</v>
      </c>
    </row>
    <row r="1124" customFormat="false" ht="15.7" hidden="false" customHeight="true" outlineLevel="0" collapsed="false">
      <c r="A1124" s="2"/>
      <c r="B1124" s="3" t="n">
        <f aca="false">DATE(2008,6,5)</f>
        <v>0</v>
      </c>
      <c r="C1124" s="3" t="n">
        <v>39604</v>
      </c>
      <c r="D1124" s="2" t="s">
        <v>8812</v>
      </c>
      <c r="F1124" s="2" t="s">
        <v>8813</v>
      </c>
      <c r="G1124" s="2" t="s">
        <v>8814</v>
      </c>
      <c r="H1124" s="2" t="s">
        <v>1020</v>
      </c>
      <c r="I1124" s="2" t="s">
        <v>296</v>
      </c>
      <c r="J1124" s="2" t="s">
        <v>1456</v>
      </c>
      <c r="K1124" s="2" t="s">
        <v>8812</v>
      </c>
      <c r="L1124" s="2" t="s">
        <v>296</v>
      </c>
      <c r="M1124" s="2" t="s">
        <v>1020</v>
      </c>
      <c r="N1124" s="2" t="s">
        <v>8815</v>
      </c>
      <c r="O1124" s="2"/>
      <c r="P1124" s="2" t="s">
        <v>37</v>
      </c>
      <c r="Q1124" s="4" t="n">
        <v>8731</v>
      </c>
      <c r="R1124" s="2" t="s">
        <v>136</v>
      </c>
      <c r="S1124" s="2" t="s">
        <v>39</v>
      </c>
      <c r="T1124" s="2" t="s">
        <v>40</v>
      </c>
      <c r="U1124" s="2" t="s">
        <v>8816</v>
      </c>
      <c r="V1124" s="2"/>
      <c r="W1124" s="2" t="s">
        <v>42</v>
      </c>
      <c r="X1124" s="2" t="s">
        <v>43</v>
      </c>
      <c r="Y1124" s="2" t="s">
        <v>37</v>
      </c>
      <c r="Z1124" s="2" t="s">
        <v>44</v>
      </c>
      <c r="AA1124" s="2"/>
      <c r="AB1124" s="2"/>
      <c r="AC1124" s="2" t="s">
        <v>8817</v>
      </c>
      <c r="AD1124" s="2" t="s">
        <v>46</v>
      </c>
    </row>
    <row r="1125" customFormat="false" ht="15.7" hidden="false" customHeight="true" outlineLevel="0" collapsed="false">
      <c r="A1125" s="2"/>
      <c r="B1125" s="3" t="n">
        <f aca="false">DATE(2008,6,5)</f>
        <v>0</v>
      </c>
      <c r="C1125" s="3" t="n">
        <v>39604</v>
      </c>
      <c r="D1125" s="2" t="s">
        <v>8818</v>
      </c>
      <c r="F1125" s="2" t="s">
        <v>8819</v>
      </c>
      <c r="G1125" s="2" t="s">
        <v>8820</v>
      </c>
      <c r="H1125" s="2" t="s">
        <v>8821</v>
      </c>
      <c r="I1125" s="2" t="s">
        <v>8822</v>
      </c>
      <c r="J1125" s="2" t="s">
        <v>35</v>
      </c>
      <c r="K1125" s="2" t="s">
        <v>8818</v>
      </c>
      <c r="L1125" s="2" t="s">
        <v>8822</v>
      </c>
      <c r="M1125" s="2" t="s">
        <v>8821</v>
      </c>
      <c r="N1125" s="2" t="s">
        <v>8823</v>
      </c>
      <c r="O1125" s="2"/>
      <c r="P1125" s="2" t="s">
        <v>37</v>
      </c>
      <c r="Q1125" s="4" t="n">
        <v>8731</v>
      </c>
      <c r="R1125" s="2" t="s">
        <v>136</v>
      </c>
      <c r="S1125" s="2" t="s">
        <v>39</v>
      </c>
      <c r="T1125" s="2" t="s">
        <v>40</v>
      </c>
      <c r="U1125" s="2" t="s">
        <v>8824</v>
      </c>
      <c r="V1125" s="2"/>
      <c r="W1125" s="2" t="s">
        <v>42</v>
      </c>
      <c r="X1125" s="2" t="s">
        <v>43</v>
      </c>
      <c r="Y1125" s="2" t="s">
        <v>37</v>
      </c>
      <c r="Z1125" s="2" t="s">
        <v>44</v>
      </c>
      <c r="AA1125" s="2"/>
      <c r="AB1125" s="2"/>
      <c r="AC1125" s="2" t="s">
        <v>8825</v>
      </c>
      <c r="AD1125" s="2" t="s">
        <v>46</v>
      </c>
    </row>
    <row r="1126" customFormat="false" ht="15.7" hidden="false" customHeight="true" outlineLevel="0" collapsed="false">
      <c r="A1126" s="2"/>
      <c r="B1126" s="3" t="n">
        <f aca="false">DATE(2008,6,8)</f>
        <v>0</v>
      </c>
      <c r="C1126" s="3" t="n">
        <v>39607</v>
      </c>
      <c r="D1126" s="2" t="s">
        <v>8826</v>
      </c>
      <c r="F1126" s="2" t="s">
        <v>8827</v>
      </c>
      <c r="G1126" s="2" t="s">
        <v>8828</v>
      </c>
      <c r="H1126" s="2" t="s">
        <v>63</v>
      </c>
      <c r="I1126" s="2" t="s">
        <v>7576</v>
      </c>
      <c r="J1126" s="2" t="s">
        <v>35</v>
      </c>
      <c r="K1126" s="2" t="s">
        <v>8829</v>
      </c>
      <c r="L1126" s="2" t="s">
        <v>3320</v>
      </c>
      <c r="M1126" s="2" t="s">
        <v>3761</v>
      </c>
      <c r="N1126" s="2" t="s">
        <v>8830</v>
      </c>
      <c r="O1126" s="2"/>
      <c r="P1126" s="2" t="s">
        <v>37</v>
      </c>
      <c r="Q1126" s="4" t="n">
        <v>8731</v>
      </c>
      <c r="R1126" s="2" t="s">
        <v>136</v>
      </c>
      <c r="S1126" s="2" t="s">
        <v>39</v>
      </c>
      <c r="T1126" s="2" t="s">
        <v>40</v>
      </c>
      <c r="U1126" s="2" t="s">
        <v>8831</v>
      </c>
      <c r="V1126" s="2"/>
      <c r="W1126" s="2" t="s">
        <v>42</v>
      </c>
      <c r="X1126" s="2" t="s">
        <v>43</v>
      </c>
      <c r="Y1126" s="2" t="s">
        <v>37</v>
      </c>
      <c r="Z1126" s="2" t="s">
        <v>44</v>
      </c>
      <c r="AA1126" s="2"/>
      <c r="AB1126" s="2"/>
      <c r="AC1126" s="2" t="s">
        <v>8832</v>
      </c>
      <c r="AD1126" s="2" t="s">
        <v>46</v>
      </c>
    </row>
    <row r="1127" customFormat="false" ht="15.7" hidden="false" customHeight="true" outlineLevel="0" collapsed="false">
      <c r="A1127" s="2"/>
      <c r="B1127" s="3" t="n">
        <f aca="false">DATE(2008,6,9)</f>
        <v>0</v>
      </c>
      <c r="C1127" s="3" t="n">
        <v>39608</v>
      </c>
      <c r="D1127" s="2" t="s">
        <v>8833</v>
      </c>
      <c r="F1127" s="2" t="s">
        <v>4786</v>
      </c>
      <c r="G1127" s="2" t="s">
        <v>8834</v>
      </c>
      <c r="H1127" s="2" t="s">
        <v>63</v>
      </c>
      <c r="I1127" s="2" t="s">
        <v>1673</v>
      </c>
      <c r="J1127" s="2" t="s">
        <v>35</v>
      </c>
      <c r="K1127" s="2" t="s">
        <v>8835</v>
      </c>
      <c r="L1127" s="2" t="s">
        <v>330</v>
      </c>
      <c r="M1127" s="2" t="s">
        <v>63</v>
      </c>
      <c r="N1127" s="2" t="s">
        <v>8836</v>
      </c>
      <c r="O1127" s="2"/>
      <c r="P1127" s="2" t="s">
        <v>37</v>
      </c>
      <c r="Q1127" s="4" t="n">
        <v>8731</v>
      </c>
      <c r="R1127" s="2" t="s">
        <v>136</v>
      </c>
      <c r="S1127" s="2" t="s">
        <v>39</v>
      </c>
      <c r="T1127" s="2" t="s">
        <v>40</v>
      </c>
      <c r="U1127" s="2" t="s">
        <v>8837</v>
      </c>
      <c r="V1127" s="2"/>
      <c r="W1127" s="2" t="s">
        <v>42</v>
      </c>
      <c r="X1127" s="2" t="s">
        <v>43</v>
      </c>
      <c r="Y1127" s="2" t="s">
        <v>37</v>
      </c>
      <c r="Z1127" s="2" t="s">
        <v>44</v>
      </c>
      <c r="AA1127" s="2"/>
      <c r="AB1127" s="2"/>
      <c r="AC1127" s="2" t="s">
        <v>8838</v>
      </c>
      <c r="AD1127" s="2" t="s">
        <v>46</v>
      </c>
    </row>
    <row r="1128" customFormat="false" ht="15.7" hidden="false" customHeight="true" outlineLevel="0" collapsed="false">
      <c r="A1128" s="2"/>
      <c r="B1128" s="3" t="n">
        <f aca="false">DATE(2008,6,9)</f>
        <v>0</v>
      </c>
      <c r="C1128" s="3" t="n">
        <v>39608</v>
      </c>
      <c r="D1128" s="2" t="s">
        <v>8839</v>
      </c>
      <c r="F1128" s="2" t="s">
        <v>8840</v>
      </c>
      <c r="G1128" s="2" t="s">
        <v>8841</v>
      </c>
      <c r="H1128" s="2" t="s">
        <v>130</v>
      </c>
      <c r="I1128" s="2" t="s">
        <v>670</v>
      </c>
      <c r="J1128" s="2" t="s">
        <v>1456</v>
      </c>
      <c r="K1128" s="2" t="s">
        <v>8839</v>
      </c>
      <c r="L1128" s="2" t="s">
        <v>670</v>
      </c>
      <c r="M1128" s="2" t="s">
        <v>130</v>
      </c>
      <c r="N1128" s="2" t="s">
        <v>8842</v>
      </c>
      <c r="O1128" s="2"/>
      <c r="P1128" s="2" t="s">
        <v>79</v>
      </c>
      <c r="Q1128" s="4" t="n">
        <v>6794</v>
      </c>
      <c r="R1128" s="2" t="s">
        <v>136</v>
      </c>
      <c r="S1128" s="2" t="s">
        <v>39</v>
      </c>
      <c r="T1128" s="2" t="s">
        <v>40</v>
      </c>
      <c r="U1128" s="2" t="s">
        <v>8843</v>
      </c>
      <c r="V1128" s="2"/>
      <c r="W1128" s="2" t="s">
        <v>4844</v>
      </c>
      <c r="X1128" s="2" t="s">
        <v>43</v>
      </c>
      <c r="Y1128" s="2" t="s">
        <v>37</v>
      </c>
      <c r="Z1128" s="2" t="s">
        <v>44</v>
      </c>
      <c r="AA1128" s="2"/>
      <c r="AB1128" s="2"/>
      <c r="AC1128" s="2" t="s">
        <v>8844</v>
      </c>
      <c r="AD1128" s="2" t="s">
        <v>46</v>
      </c>
    </row>
    <row r="1129" customFormat="false" ht="15.7" hidden="false" customHeight="true" outlineLevel="0" collapsed="false">
      <c r="A1129" s="2"/>
      <c r="B1129" s="3" t="n">
        <f aca="false">DATE(2008,6,10)</f>
        <v>0</v>
      </c>
      <c r="C1129" s="3" t="n">
        <v>39609</v>
      </c>
      <c r="D1129" s="2" t="s">
        <v>8845</v>
      </c>
      <c r="F1129" s="2" t="s">
        <v>8846</v>
      </c>
      <c r="G1129" s="2" t="s">
        <v>8847</v>
      </c>
      <c r="H1129" s="2" t="s">
        <v>368</v>
      </c>
      <c r="I1129" s="2" t="s">
        <v>51</v>
      </c>
      <c r="J1129" s="2" t="s">
        <v>2338</v>
      </c>
      <c r="K1129" s="2" t="s">
        <v>8845</v>
      </c>
      <c r="L1129" s="2" t="s">
        <v>51</v>
      </c>
      <c r="M1129" s="2" t="s">
        <v>368</v>
      </c>
      <c r="N1129" s="2" t="s">
        <v>8848</v>
      </c>
      <c r="O1129" s="2"/>
      <c r="P1129" s="2" t="s">
        <v>37</v>
      </c>
      <c r="Q1129" s="4" t="n">
        <v>8731</v>
      </c>
      <c r="R1129" s="2" t="s">
        <v>56</v>
      </c>
      <c r="S1129" s="2" t="s">
        <v>92</v>
      </c>
      <c r="T1129" s="2" t="s">
        <v>40</v>
      </c>
      <c r="U1129" s="2" t="s">
        <v>8849</v>
      </c>
      <c r="V1129" s="2"/>
      <c r="W1129" s="2" t="s">
        <v>42</v>
      </c>
      <c r="X1129" s="2" t="s">
        <v>43</v>
      </c>
      <c r="Y1129" s="2" t="s">
        <v>37</v>
      </c>
      <c r="Z1129" s="2" t="s">
        <v>44</v>
      </c>
      <c r="AA1129" s="2"/>
      <c r="AB1129" s="2"/>
      <c r="AC1129" s="2" t="s">
        <v>8850</v>
      </c>
      <c r="AD1129" s="2" t="s">
        <v>46</v>
      </c>
    </row>
    <row r="1130" customFormat="false" ht="15.7" hidden="false" customHeight="true" outlineLevel="0" collapsed="false">
      <c r="A1130" s="2"/>
      <c r="B1130" s="3" t="n">
        <f aca="false">DATE(2008,6,12)</f>
        <v>0</v>
      </c>
      <c r="C1130" s="3" t="n">
        <v>39611</v>
      </c>
      <c r="D1130" s="2" t="s">
        <v>8851</v>
      </c>
      <c r="F1130" s="2" t="s">
        <v>8852</v>
      </c>
      <c r="G1130" s="2" t="s">
        <v>8853</v>
      </c>
      <c r="H1130" s="2" t="s">
        <v>8854</v>
      </c>
      <c r="I1130" s="2" t="s">
        <v>3223</v>
      </c>
      <c r="J1130" s="2" t="s">
        <v>116</v>
      </c>
      <c r="K1130" s="2" t="s">
        <v>8855</v>
      </c>
      <c r="L1130" s="2" t="s">
        <v>3223</v>
      </c>
      <c r="M1130" s="2" t="s">
        <v>8856</v>
      </c>
      <c r="N1130" s="2" t="s">
        <v>8857</v>
      </c>
      <c r="O1130" s="2" t="s">
        <v>8858</v>
      </c>
      <c r="P1130" s="2" t="s">
        <v>37</v>
      </c>
      <c r="Q1130" s="4" t="n">
        <v>3399</v>
      </c>
      <c r="R1130" s="2" t="s">
        <v>402</v>
      </c>
      <c r="S1130" s="2" t="s">
        <v>39</v>
      </c>
      <c r="T1130" s="2" t="s">
        <v>403</v>
      </c>
      <c r="U1130" s="2" t="s">
        <v>8859</v>
      </c>
      <c r="V1130" s="2"/>
      <c r="W1130" s="2" t="s">
        <v>107</v>
      </c>
      <c r="X1130" s="2" t="s">
        <v>46</v>
      </c>
      <c r="Y1130" s="2" t="s">
        <v>37</v>
      </c>
      <c r="Z1130" s="2" t="s">
        <v>8860</v>
      </c>
      <c r="AA1130" s="2"/>
      <c r="AB1130" s="2" t="s">
        <v>8861</v>
      </c>
      <c r="AC1130" s="2" t="s">
        <v>8862</v>
      </c>
      <c r="AD1130" s="2" t="s">
        <v>46</v>
      </c>
    </row>
    <row r="1131" customFormat="false" ht="15.7" hidden="false" customHeight="true" outlineLevel="0" collapsed="false">
      <c r="A1131" s="2"/>
      <c r="B1131" s="3" t="n">
        <f aca="false">DATE(2008,6,12)</f>
        <v>0</v>
      </c>
      <c r="C1131" s="3" t="n">
        <v>39611</v>
      </c>
      <c r="D1131" s="2" t="s">
        <v>8863</v>
      </c>
      <c r="F1131" s="2" t="s">
        <v>8864</v>
      </c>
      <c r="G1131" s="2" t="s">
        <v>8865</v>
      </c>
      <c r="H1131" s="2" t="s">
        <v>8866</v>
      </c>
      <c r="I1131" s="2" t="s">
        <v>540</v>
      </c>
      <c r="J1131" s="2" t="s">
        <v>35</v>
      </c>
      <c r="K1131" s="2" t="s">
        <v>8867</v>
      </c>
      <c r="L1131" s="2" t="s">
        <v>540</v>
      </c>
      <c r="M1131" s="2" t="s">
        <v>8866</v>
      </c>
      <c r="N1131" s="2" t="s">
        <v>8868</v>
      </c>
      <c r="O1131" s="2"/>
      <c r="P1131" s="2" t="s">
        <v>37</v>
      </c>
      <c r="Q1131" s="4" t="n">
        <v>8731</v>
      </c>
      <c r="R1131" s="2" t="s">
        <v>1448</v>
      </c>
      <c r="S1131" s="2" t="s">
        <v>39</v>
      </c>
      <c r="T1131" s="2" t="s">
        <v>40</v>
      </c>
      <c r="U1131" s="2" t="s">
        <v>8869</v>
      </c>
      <c r="V1131" s="2"/>
      <c r="W1131" s="2" t="s">
        <v>42</v>
      </c>
      <c r="X1131" s="2" t="s">
        <v>43</v>
      </c>
      <c r="Y1131" s="2" t="s">
        <v>37</v>
      </c>
      <c r="Z1131" s="2" t="s">
        <v>44</v>
      </c>
      <c r="AA1131" s="2"/>
      <c r="AB1131" s="2"/>
      <c r="AC1131" s="2" t="s">
        <v>8870</v>
      </c>
      <c r="AD1131" s="2" t="s">
        <v>46</v>
      </c>
    </row>
    <row r="1132" customFormat="false" ht="15.7" hidden="false" customHeight="true" outlineLevel="0" collapsed="false">
      <c r="A1132" s="2"/>
      <c r="B1132" s="3" t="n">
        <f aca="false">DATE(2008,6,16)</f>
        <v>0</v>
      </c>
      <c r="C1132" s="3" t="n">
        <v>39615</v>
      </c>
      <c r="D1132" s="2" t="s">
        <v>8871</v>
      </c>
      <c r="F1132" s="2" t="s">
        <v>8872</v>
      </c>
      <c r="G1132" s="2" t="s">
        <v>8873</v>
      </c>
      <c r="H1132" s="2" t="s">
        <v>130</v>
      </c>
      <c r="I1132" s="2" t="s">
        <v>388</v>
      </c>
      <c r="J1132" s="2" t="s">
        <v>65</v>
      </c>
      <c r="K1132" s="2" t="s">
        <v>8871</v>
      </c>
      <c r="L1132" s="2" t="s">
        <v>388</v>
      </c>
      <c r="M1132" s="2" t="s">
        <v>130</v>
      </c>
      <c r="N1132" s="2" t="s">
        <v>8874</v>
      </c>
      <c r="O1132" s="2"/>
      <c r="P1132" s="2" t="s">
        <v>37</v>
      </c>
      <c r="Q1132" s="4" t="n">
        <v>8731</v>
      </c>
      <c r="R1132" s="2" t="s">
        <v>136</v>
      </c>
      <c r="S1132" s="2" t="s">
        <v>39</v>
      </c>
      <c r="T1132" s="2" t="s">
        <v>40</v>
      </c>
      <c r="U1132" s="2" t="s">
        <v>8875</v>
      </c>
      <c r="V1132" s="2"/>
      <c r="W1132" s="2" t="s">
        <v>42</v>
      </c>
      <c r="X1132" s="2" t="s">
        <v>43</v>
      </c>
      <c r="Y1132" s="2" t="s">
        <v>37</v>
      </c>
      <c r="Z1132" s="2" t="s">
        <v>44</v>
      </c>
      <c r="AA1132" s="2"/>
      <c r="AB1132" s="2"/>
      <c r="AC1132" s="2" t="s">
        <v>8876</v>
      </c>
      <c r="AD1132" s="2" t="s">
        <v>46</v>
      </c>
    </row>
    <row r="1133" customFormat="false" ht="15.7" hidden="false" customHeight="true" outlineLevel="0" collapsed="false">
      <c r="A1133" s="2"/>
      <c r="B1133" s="3" t="n">
        <f aca="false">DATE(2008,6,16)</f>
        <v>0</v>
      </c>
      <c r="C1133" s="3" t="n">
        <v>39615</v>
      </c>
      <c r="D1133" s="2" t="s">
        <v>8877</v>
      </c>
      <c r="F1133" s="2" t="s">
        <v>8878</v>
      </c>
      <c r="G1133" s="2" t="s">
        <v>8879</v>
      </c>
      <c r="H1133" s="2" t="s">
        <v>523</v>
      </c>
      <c r="I1133" s="2" t="s">
        <v>51</v>
      </c>
      <c r="J1133" s="2" t="s">
        <v>171</v>
      </c>
      <c r="K1133" s="2" t="s">
        <v>8877</v>
      </c>
      <c r="L1133" s="2" t="s">
        <v>51</v>
      </c>
      <c r="M1133" s="2" t="s">
        <v>523</v>
      </c>
      <c r="N1133" s="2" t="s">
        <v>8880</v>
      </c>
      <c r="O1133" s="2"/>
      <c r="P1133" s="2" t="s">
        <v>79</v>
      </c>
      <c r="Q1133" s="4" t="n">
        <v>8731</v>
      </c>
      <c r="R1133" s="2" t="s">
        <v>56</v>
      </c>
      <c r="S1133" s="2" t="s">
        <v>92</v>
      </c>
      <c r="T1133" s="2" t="s">
        <v>40</v>
      </c>
      <c r="U1133" s="2" t="s">
        <v>8881</v>
      </c>
      <c r="V1133" s="2"/>
      <c r="W1133" s="2" t="s">
        <v>1050</v>
      </c>
      <c r="X1133" s="2" t="s">
        <v>43</v>
      </c>
      <c r="Y1133" s="2" t="s">
        <v>37</v>
      </c>
      <c r="Z1133" s="2" t="s">
        <v>44</v>
      </c>
      <c r="AA1133" s="2"/>
      <c r="AB1133" s="2"/>
      <c r="AC1133" s="2" t="s">
        <v>8882</v>
      </c>
      <c r="AD1133" s="2" t="s">
        <v>46</v>
      </c>
    </row>
    <row r="1134" customFormat="false" ht="15.7" hidden="false" customHeight="true" outlineLevel="0" collapsed="false">
      <c r="A1134" s="2"/>
      <c r="B1134" s="3" t="n">
        <f aca="false">DATE(2008,6,16)</f>
        <v>0</v>
      </c>
      <c r="C1134" s="3" t="n">
        <v>39615</v>
      </c>
      <c r="D1134" s="2" t="s">
        <v>8883</v>
      </c>
      <c r="F1134" s="2" t="s">
        <v>8884</v>
      </c>
      <c r="G1134" s="2" t="s">
        <v>8885</v>
      </c>
      <c r="H1134" s="2" t="s">
        <v>8886</v>
      </c>
      <c r="I1134" s="2" t="s">
        <v>2530</v>
      </c>
      <c r="J1134" s="2" t="s">
        <v>8887</v>
      </c>
      <c r="K1134" s="2" t="s">
        <v>8883</v>
      </c>
      <c r="L1134" s="2" t="s">
        <v>2530</v>
      </c>
      <c r="M1134" s="2" t="s">
        <v>8886</v>
      </c>
      <c r="N1134" s="2" t="s">
        <v>8888</v>
      </c>
      <c r="O1134" s="2"/>
      <c r="P1134" s="2" t="s">
        <v>37</v>
      </c>
      <c r="Q1134" s="4" t="n">
        <v>8731</v>
      </c>
      <c r="R1134" s="2" t="s">
        <v>56</v>
      </c>
      <c r="S1134" s="2" t="s">
        <v>92</v>
      </c>
      <c r="T1134" s="2" t="s">
        <v>40</v>
      </c>
      <c r="U1134" s="2" t="s">
        <v>8889</v>
      </c>
      <c r="V1134" s="2"/>
      <c r="W1134" s="2" t="s">
        <v>42</v>
      </c>
      <c r="X1134" s="2" t="s">
        <v>43</v>
      </c>
      <c r="Y1134" s="2" t="s">
        <v>37</v>
      </c>
      <c r="Z1134" s="2" t="s">
        <v>916</v>
      </c>
      <c r="AA1134" s="2"/>
      <c r="AB1134" s="2"/>
      <c r="AC1134" s="2" t="s">
        <v>8890</v>
      </c>
      <c r="AD1134" s="2" t="s">
        <v>46</v>
      </c>
    </row>
    <row r="1135" customFormat="false" ht="15.7" hidden="false" customHeight="true" outlineLevel="0" collapsed="false">
      <c r="A1135" s="2"/>
      <c r="B1135" s="3" t="n">
        <f aca="false">DATE(2008,6,16)</f>
        <v>0</v>
      </c>
      <c r="C1135" s="3" t="n">
        <v>39615</v>
      </c>
      <c r="D1135" s="2" t="s">
        <v>8891</v>
      </c>
      <c r="F1135" s="2" t="s">
        <v>8892</v>
      </c>
      <c r="G1135" s="2" t="s">
        <v>8893</v>
      </c>
      <c r="H1135" s="2" t="s">
        <v>8894</v>
      </c>
      <c r="I1135" s="2" t="s">
        <v>51</v>
      </c>
      <c r="J1135" s="2" t="s">
        <v>77</v>
      </c>
      <c r="K1135" s="2" t="s">
        <v>8895</v>
      </c>
      <c r="L1135" s="2" t="s">
        <v>388</v>
      </c>
      <c r="M1135" s="2" t="s">
        <v>8896</v>
      </c>
      <c r="N1135" s="2" t="s">
        <v>8897</v>
      </c>
      <c r="O1135" s="2"/>
      <c r="P1135" s="2" t="s">
        <v>37</v>
      </c>
      <c r="Q1135" s="4" t="n">
        <v>8732</v>
      </c>
      <c r="R1135" s="2" t="s">
        <v>56</v>
      </c>
      <c r="S1135" s="2" t="s">
        <v>80</v>
      </c>
      <c r="T1135" s="2" t="s">
        <v>40</v>
      </c>
      <c r="U1135" s="2" t="s">
        <v>8898</v>
      </c>
      <c r="V1135" s="2"/>
      <c r="W1135" s="2" t="s">
        <v>42</v>
      </c>
      <c r="X1135" s="2" t="s">
        <v>43</v>
      </c>
      <c r="Y1135" s="2" t="s">
        <v>37</v>
      </c>
      <c r="Z1135" s="2" t="s">
        <v>44</v>
      </c>
      <c r="AA1135" s="2"/>
      <c r="AB1135" s="2"/>
      <c r="AC1135" s="2" t="s">
        <v>8899</v>
      </c>
      <c r="AD1135" s="2" t="s">
        <v>46</v>
      </c>
    </row>
    <row r="1136" customFormat="false" ht="15.7" hidden="false" customHeight="true" outlineLevel="0" collapsed="false">
      <c r="A1136" s="2"/>
      <c r="B1136" s="3" t="n">
        <f aca="false">DATE(2008,6,16)</f>
        <v>0</v>
      </c>
      <c r="C1136" s="3" t="n">
        <v>39615</v>
      </c>
      <c r="D1136" s="2" t="s">
        <v>8900</v>
      </c>
      <c r="F1136" s="2" t="s">
        <v>8901</v>
      </c>
      <c r="G1136" s="2" t="s">
        <v>8902</v>
      </c>
      <c r="H1136" s="2" t="s">
        <v>684</v>
      </c>
      <c r="I1136" s="2" t="s">
        <v>202</v>
      </c>
      <c r="J1136" s="2" t="s">
        <v>3054</v>
      </c>
      <c r="K1136" s="2" t="s">
        <v>8903</v>
      </c>
      <c r="L1136" s="2" t="s">
        <v>202</v>
      </c>
      <c r="M1136" s="2" t="s">
        <v>8904</v>
      </c>
      <c r="N1136" s="2" t="s">
        <v>8905</v>
      </c>
      <c r="O1136" s="2"/>
      <c r="P1136" s="2" t="s">
        <v>37</v>
      </c>
      <c r="Q1136" s="4" t="n">
        <v>8731</v>
      </c>
      <c r="R1136" s="2" t="s">
        <v>136</v>
      </c>
      <c r="S1136" s="2" t="s">
        <v>39</v>
      </c>
      <c r="T1136" s="2" t="s">
        <v>40</v>
      </c>
      <c r="U1136" s="2" t="s">
        <v>8906</v>
      </c>
      <c r="V1136" s="2"/>
      <c r="W1136" s="2" t="s">
        <v>42</v>
      </c>
      <c r="X1136" s="2" t="s">
        <v>43</v>
      </c>
      <c r="Y1136" s="2" t="s">
        <v>37</v>
      </c>
      <c r="Z1136" s="2" t="s">
        <v>44</v>
      </c>
      <c r="AA1136" s="2"/>
      <c r="AB1136" s="2"/>
      <c r="AC1136" s="2" t="s">
        <v>8907</v>
      </c>
      <c r="AD1136" s="2" t="s">
        <v>46</v>
      </c>
    </row>
    <row r="1137" customFormat="false" ht="15.7" hidden="false" customHeight="true" outlineLevel="0" collapsed="false">
      <c r="A1137" s="2"/>
      <c r="B1137" s="3" t="n">
        <f aca="false">DATE(2008,6,16)</f>
        <v>0</v>
      </c>
      <c r="C1137" s="3" t="n">
        <v>39615</v>
      </c>
      <c r="D1137" s="2" t="s">
        <v>8908</v>
      </c>
      <c r="F1137" s="2" t="s">
        <v>8909</v>
      </c>
      <c r="G1137" s="2" t="s">
        <v>8910</v>
      </c>
      <c r="H1137" s="2" t="s">
        <v>8911</v>
      </c>
      <c r="I1137" s="2" t="s">
        <v>8912</v>
      </c>
      <c r="J1137" s="2" t="s">
        <v>8913</v>
      </c>
      <c r="K1137" s="2" t="s">
        <v>8914</v>
      </c>
      <c r="L1137" s="2" t="s">
        <v>8915</v>
      </c>
      <c r="M1137" s="2" t="s">
        <v>8911</v>
      </c>
      <c r="N1137" s="2" t="s">
        <v>8916</v>
      </c>
      <c r="O1137" s="2"/>
      <c r="P1137" s="2" t="s">
        <v>37</v>
      </c>
      <c r="Q1137" s="4" t="n">
        <v>8731</v>
      </c>
      <c r="R1137" s="2" t="s">
        <v>136</v>
      </c>
      <c r="S1137" s="2" t="s">
        <v>39</v>
      </c>
      <c r="T1137" s="2" t="s">
        <v>40</v>
      </c>
      <c r="U1137" s="2" t="s">
        <v>8917</v>
      </c>
      <c r="V1137" s="2"/>
      <c r="W1137" s="2" t="s">
        <v>42</v>
      </c>
      <c r="X1137" s="2" t="s">
        <v>43</v>
      </c>
      <c r="Y1137" s="2" t="s">
        <v>37</v>
      </c>
      <c r="Z1137" s="2" t="s">
        <v>916</v>
      </c>
      <c r="AA1137" s="2"/>
      <c r="AB1137" s="2"/>
      <c r="AC1137" s="2" t="s">
        <v>8918</v>
      </c>
      <c r="AD1137" s="2" t="s">
        <v>46</v>
      </c>
    </row>
    <row r="1138" customFormat="false" ht="15.7" hidden="false" customHeight="true" outlineLevel="0" collapsed="false">
      <c r="A1138" s="2"/>
      <c r="B1138" s="3" t="n">
        <f aca="false">DATE(2008,6,17)</f>
        <v>0</v>
      </c>
      <c r="C1138" s="3" t="n">
        <v>39616</v>
      </c>
      <c r="D1138" s="2" t="s">
        <v>8919</v>
      </c>
      <c r="F1138" s="2" t="s">
        <v>7050</v>
      </c>
      <c r="G1138" s="2" t="s">
        <v>8920</v>
      </c>
      <c r="H1138" s="2" t="s">
        <v>305</v>
      </c>
      <c r="I1138" s="2" t="s">
        <v>131</v>
      </c>
      <c r="J1138" s="2" t="s">
        <v>132</v>
      </c>
      <c r="K1138" s="2" t="s">
        <v>8919</v>
      </c>
      <c r="L1138" s="2" t="s">
        <v>131</v>
      </c>
      <c r="M1138" s="2" t="s">
        <v>305</v>
      </c>
      <c r="N1138" s="2" t="s">
        <v>8921</v>
      </c>
      <c r="O1138" s="2"/>
      <c r="P1138" s="2" t="s">
        <v>37</v>
      </c>
      <c r="Q1138" s="4" t="n">
        <v>8731</v>
      </c>
      <c r="R1138" s="2" t="s">
        <v>136</v>
      </c>
      <c r="S1138" s="2" t="s">
        <v>39</v>
      </c>
      <c r="T1138" s="2" t="s">
        <v>40</v>
      </c>
      <c r="U1138" s="2" t="s">
        <v>8922</v>
      </c>
      <c r="V1138" s="2"/>
      <c r="W1138" s="2" t="s">
        <v>42</v>
      </c>
      <c r="X1138" s="2" t="s">
        <v>43</v>
      </c>
      <c r="Y1138" s="2" t="s">
        <v>37</v>
      </c>
      <c r="Z1138" s="2" t="s">
        <v>44</v>
      </c>
      <c r="AA1138" s="2"/>
      <c r="AB1138" s="2"/>
      <c r="AC1138" s="2" t="s">
        <v>8923</v>
      </c>
      <c r="AD1138" s="2" t="s">
        <v>46</v>
      </c>
    </row>
    <row r="1139" customFormat="false" ht="15.7" hidden="false" customHeight="true" outlineLevel="0" collapsed="false">
      <c r="A1139" s="2"/>
      <c r="B1139" s="3" t="n">
        <f aca="false">DATE(2008,6,18)</f>
        <v>0</v>
      </c>
      <c r="C1139" s="3" t="n">
        <v>39617</v>
      </c>
      <c r="D1139" s="2" t="s">
        <v>8924</v>
      </c>
      <c r="F1139" s="2" t="s">
        <v>8925</v>
      </c>
      <c r="G1139" s="2" t="s">
        <v>8926</v>
      </c>
      <c r="H1139" s="2" t="s">
        <v>8927</v>
      </c>
      <c r="I1139" s="2" t="s">
        <v>51</v>
      </c>
      <c r="J1139" s="2" t="s">
        <v>4647</v>
      </c>
      <c r="K1139" s="2" t="s">
        <v>8924</v>
      </c>
      <c r="L1139" s="2" t="s">
        <v>51</v>
      </c>
      <c r="M1139" s="2" t="s">
        <v>8927</v>
      </c>
      <c r="N1139" s="2" t="s">
        <v>8928</v>
      </c>
      <c r="O1139" s="2"/>
      <c r="P1139" s="2" t="s">
        <v>37</v>
      </c>
      <c r="Q1139" s="4" t="n">
        <v>8731</v>
      </c>
      <c r="R1139" s="2" t="s">
        <v>56</v>
      </c>
      <c r="S1139" s="2" t="s">
        <v>92</v>
      </c>
      <c r="T1139" s="2" t="s">
        <v>40</v>
      </c>
      <c r="U1139" s="2" t="s">
        <v>8929</v>
      </c>
      <c r="V1139" s="2"/>
      <c r="W1139" s="2" t="s">
        <v>42</v>
      </c>
      <c r="X1139" s="2" t="s">
        <v>43</v>
      </c>
      <c r="Y1139" s="2" t="s">
        <v>37</v>
      </c>
      <c r="Z1139" s="2" t="s">
        <v>44</v>
      </c>
      <c r="AA1139" s="2"/>
      <c r="AB1139" s="2"/>
      <c r="AC1139" s="2" t="s">
        <v>8930</v>
      </c>
      <c r="AD1139" s="2" t="s">
        <v>46</v>
      </c>
    </row>
    <row r="1140" customFormat="false" ht="15.7" hidden="false" customHeight="true" outlineLevel="0" collapsed="false">
      <c r="A1140" s="2"/>
      <c r="B1140" s="3" t="n">
        <f aca="false">DATE(2008,6,18)</f>
        <v>0</v>
      </c>
      <c r="C1140" s="3" t="n">
        <v>39617</v>
      </c>
      <c r="D1140" s="2" t="s">
        <v>8931</v>
      </c>
      <c r="F1140" s="2" t="s">
        <v>8932</v>
      </c>
      <c r="G1140" s="2" t="s">
        <v>8933</v>
      </c>
      <c r="H1140" s="2" t="s">
        <v>8934</v>
      </c>
      <c r="I1140" s="2" t="s">
        <v>1904</v>
      </c>
      <c r="J1140" s="2" t="s">
        <v>966</v>
      </c>
      <c r="K1140" s="2" t="s">
        <v>8935</v>
      </c>
      <c r="L1140" s="2" t="s">
        <v>8936</v>
      </c>
      <c r="M1140" s="2" t="s">
        <v>8937</v>
      </c>
      <c r="N1140" s="2" t="s">
        <v>8938</v>
      </c>
      <c r="O1140" s="2"/>
      <c r="P1140" s="2" t="s">
        <v>37</v>
      </c>
      <c r="Q1140" s="4" t="n">
        <v>8731</v>
      </c>
      <c r="R1140" s="2" t="s">
        <v>136</v>
      </c>
      <c r="S1140" s="2" t="s">
        <v>39</v>
      </c>
      <c r="T1140" s="2" t="s">
        <v>40</v>
      </c>
      <c r="U1140" s="2" t="s">
        <v>8939</v>
      </c>
      <c r="V1140" s="2"/>
      <c r="W1140" s="2" t="s">
        <v>42</v>
      </c>
      <c r="X1140" s="2" t="s">
        <v>43</v>
      </c>
      <c r="Y1140" s="2" t="s">
        <v>37</v>
      </c>
      <c r="Z1140" s="2" t="s">
        <v>44</v>
      </c>
      <c r="AA1140" s="2"/>
      <c r="AB1140" s="2"/>
      <c r="AC1140" s="2" t="s">
        <v>8940</v>
      </c>
      <c r="AD1140" s="2" t="s">
        <v>46</v>
      </c>
    </row>
    <row r="1141" customFormat="false" ht="15.7" hidden="false" customHeight="true" outlineLevel="0" collapsed="false">
      <c r="A1141" s="2"/>
      <c r="B1141" s="3" t="n">
        <f aca="false">DATE(2008,6,18)</f>
        <v>0</v>
      </c>
      <c r="C1141" s="3" t="n">
        <v>39617</v>
      </c>
      <c r="D1141" s="2" t="s">
        <v>8941</v>
      </c>
      <c r="F1141" s="2" t="s">
        <v>8942</v>
      </c>
      <c r="G1141" s="2" t="s">
        <v>8943</v>
      </c>
      <c r="H1141" s="2" t="s">
        <v>3469</v>
      </c>
      <c r="I1141" s="2" t="s">
        <v>51</v>
      </c>
      <c r="J1141" s="2" t="s">
        <v>171</v>
      </c>
      <c r="K1141" s="2" t="s">
        <v>8941</v>
      </c>
      <c r="L1141" s="2" t="s">
        <v>51</v>
      </c>
      <c r="M1141" s="2" t="s">
        <v>3469</v>
      </c>
      <c r="N1141" s="2" t="s">
        <v>8944</v>
      </c>
      <c r="O1141" s="2"/>
      <c r="P1141" s="2" t="s">
        <v>37</v>
      </c>
      <c r="Q1141" s="4" t="n">
        <v>8731</v>
      </c>
      <c r="R1141" s="2" t="s">
        <v>56</v>
      </c>
      <c r="S1141" s="2" t="s">
        <v>92</v>
      </c>
      <c r="T1141" s="2" t="s">
        <v>40</v>
      </c>
      <c r="U1141" s="2" t="s">
        <v>8945</v>
      </c>
      <c r="V1141" s="2"/>
      <c r="W1141" s="2" t="s">
        <v>42</v>
      </c>
      <c r="X1141" s="2" t="s">
        <v>43</v>
      </c>
      <c r="Y1141" s="2" t="s">
        <v>37</v>
      </c>
      <c r="Z1141" s="2" t="s">
        <v>44</v>
      </c>
      <c r="AA1141" s="2"/>
      <c r="AB1141" s="2"/>
      <c r="AC1141" s="2" t="s">
        <v>8946</v>
      </c>
      <c r="AD1141" s="2" t="s">
        <v>46</v>
      </c>
    </row>
    <row r="1142" customFormat="false" ht="15.7" hidden="false" customHeight="true" outlineLevel="0" collapsed="false">
      <c r="A1142" s="2"/>
      <c r="B1142" s="3" t="n">
        <f aca="false">DATE(2008,6,18)</f>
        <v>0</v>
      </c>
      <c r="C1142" s="3" t="n">
        <v>39617</v>
      </c>
      <c r="D1142" s="2" t="s">
        <v>8947</v>
      </c>
      <c r="F1142" s="2" t="s">
        <v>8948</v>
      </c>
      <c r="G1142" s="2" t="s">
        <v>8949</v>
      </c>
      <c r="H1142" s="2" t="s">
        <v>8950</v>
      </c>
      <c r="I1142" s="2" t="s">
        <v>664</v>
      </c>
      <c r="J1142" s="2" t="s">
        <v>795</v>
      </c>
      <c r="K1142" s="2" t="s">
        <v>8947</v>
      </c>
      <c r="L1142" s="2" t="s">
        <v>664</v>
      </c>
      <c r="M1142" s="2" t="s">
        <v>8950</v>
      </c>
      <c r="N1142" s="2" t="s">
        <v>8951</v>
      </c>
      <c r="O1142" s="2"/>
      <c r="P1142" s="2" t="s">
        <v>37</v>
      </c>
      <c r="Q1142" s="4" t="n">
        <v>8731</v>
      </c>
      <c r="R1142" s="2" t="s">
        <v>136</v>
      </c>
      <c r="S1142" s="2" t="s">
        <v>39</v>
      </c>
      <c r="T1142" s="2" t="s">
        <v>40</v>
      </c>
      <c r="U1142" s="2" t="s">
        <v>8952</v>
      </c>
      <c r="V1142" s="2"/>
      <c r="W1142" s="2" t="s">
        <v>42</v>
      </c>
      <c r="X1142" s="2" t="s">
        <v>43</v>
      </c>
      <c r="Y1142" s="2" t="s">
        <v>37</v>
      </c>
      <c r="Z1142" s="2" t="s">
        <v>44</v>
      </c>
      <c r="AA1142" s="2"/>
      <c r="AB1142" s="2"/>
      <c r="AC1142" s="2" t="s">
        <v>8953</v>
      </c>
      <c r="AD1142" s="2" t="s">
        <v>46</v>
      </c>
    </row>
    <row r="1143" customFormat="false" ht="15.7" hidden="false" customHeight="true" outlineLevel="0" collapsed="false">
      <c r="A1143" s="2"/>
      <c r="B1143" s="3" t="n">
        <f aca="false">DATE(2008,6,19)</f>
        <v>0</v>
      </c>
      <c r="C1143" s="3" t="n">
        <v>39618</v>
      </c>
      <c r="D1143" s="2" t="s">
        <v>8954</v>
      </c>
      <c r="F1143" s="2" t="s">
        <v>8955</v>
      </c>
      <c r="G1143" s="2" t="s">
        <v>8956</v>
      </c>
      <c r="H1143" s="2" t="s">
        <v>368</v>
      </c>
      <c r="I1143" s="2" t="s">
        <v>670</v>
      </c>
      <c r="J1143" s="2" t="s">
        <v>575</v>
      </c>
      <c r="K1143" s="2" t="s">
        <v>8954</v>
      </c>
      <c r="L1143" s="2" t="s">
        <v>670</v>
      </c>
      <c r="M1143" s="2" t="s">
        <v>368</v>
      </c>
      <c r="N1143" s="2" t="s">
        <v>8957</v>
      </c>
      <c r="O1143" s="2"/>
      <c r="P1143" s="2" t="s">
        <v>37</v>
      </c>
      <c r="Q1143" s="4" t="n">
        <v>8731</v>
      </c>
      <c r="R1143" s="2" t="s">
        <v>402</v>
      </c>
      <c r="S1143" s="2" t="s">
        <v>39</v>
      </c>
      <c r="T1143" s="2" t="s">
        <v>403</v>
      </c>
      <c r="U1143" s="2" t="s">
        <v>8958</v>
      </c>
      <c r="V1143" s="2"/>
      <c r="W1143" s="2" t="s">
        <v>42</v>
      </c>
      <c r="X1143" s="2" t="s">
        <v>46</v>
      </c>
      <c r="Y1143" s="2" t="s">
        <v>37</v>
      </c>
      <c r="Z1143" s="2" t="s">
        <v>362</v>
      </c>
      <c r="AA1143" s="2"/>
      <c r="AB1143" s="2"/>
      <c r="AC1143" s="2" t="s">
        <v>8959</v>
      </c>
      <c r="AD1143" s="2" t="s">
        <v>46</v>
      </c>
    </row>
    <row r="1144" customFormat="false" ht="15.7" hidden="false" customHeight="true" outlineLevel="0" collapsed="false">
      <c r="A1144" s="2"/>
      <c r="B1144" s="3" t="n">
        <f aca="false">DATE(2008,6,19)</f>
        <v>0</v>
      </c>
      <c r="C1144" s="3" t="n">
        <v>39618</v>
      </c>
      <c r="D1144" s="2" t="s">
        <v>8960</v>
      </c>
      <c r="F1144" s="2" t="s">
        <v>8961</v>
      </c>
      <c r="G1144" s="2" t="s">
        <v>8962</v>
      </c>
      <c r="H1144" s="2" t="s">
        <v>8963</v>
      </c>
      <c r="I1144" s="2" t="s">
        <v>51</v>
      </c>
      <c r="J1144" s="2" t="s">
        <v>1761</v>
      </c>
      <c r="K1144" s="2" t="s">
        <v>8960</v>
      </c>
      <c r="L1144" s="2" t="s">
        <v>51</v>
      </c>
      <c r="M1144" s="2" t="s">
        <v>8963</v>
      </c>
      <c r="N1144" s="2" t="s">
        <v>8964</v>
      </c>
      <c r="O1144" s="2"/>
      <c r="P1144" s="2" t="s">
        <v>37</v>
      </c>
      <c r="Q1144" s="4" t="n">
        <v>8731</v>
      </c>
      <c r="R1144" s="2" t="s">
        <v>56</v>
      </c>
      <c r="S1144" s="2" t="s">
        <v>92</v>
      </c>
      <c r="T1144" s="2" t="s">
        <v>40</v>
      </c>
      <c r="U1144" s="2" t="s">
        <v>8965</v>
      </c>
      <c r="V1144" s="2"/>
      <c r="W1144" s="2" t="s">
        <v>42</v>
      </c>
      <c r="X1144" s="2" t="s">
        <v>43</v>
      </c>
      <c r="Y1144" s="2" t="s">
        <v>37</v>
      </c>
      <c r="Z1144" s="2" t="s">
        <v>44</v>
      </c>
      <c r="AA1144" s="2"/>
      <c r="AB1144" s="2"/>
      <c r="AC1144" s="2" t="s">
        <v>8966</v>
      </c>
      <c r="AD1144" s="2" t="s">
        <v>46</v>
      </c>
    </row>
    <row r="1145" customFormat="false" ht="15.7" hidden="false" customHeight="true" outlineLevel="0" collapsed="false">
      <c r="A1145" s="2"/>
      <c r="B1145" s="3" t="n">
        <f aca="false">DATE(2008,6,19)</f>
        <v>0</v>
      </c>
      <c r="C1145" s="3" t="n">
        <v>39618</v>
      </c>
      <c r="D1145" s="2" t="s">
        <v>8967</v>
      </c>
      <c r="F1145" s="2" t="s">
        <v>8968</v>
      </c>
      <c r="G1145" s="2" t="s">
        <v>8969</v>
      </c>
      <c r="H1145" s="2" t="s">
        <v>8970</v>
      </c>
      <c r="I1145" s="2" t="s">
        <v>51</v>
      </c>
      <c r="J1145" s="2" t="s">
        <v>8971</v>
      </c>
      <c r="K1145" s="2" t="s">
        <v>8967</v>
      </c>
      <c r="L1145" s="2" t="s">
        <v>51</v>
      </c>
      <c r="M1145" s="2" t="s">
        <v>8970</v>
      </c>
      <c r="N1145" s="2" t="s">
        <v>8972</v>
      </c>
      <c r="O1145" s="2"/>
      <c r="P1145" s="2" t="s">
        <v>37</v>
      </c>
      <c r="Q1145" s="4" t="n">
        <v>8731</v>
      </c>
      <c r="R1145" s="2" t="s">
        <v>56</v>
      </c>
      <c r="S1145" s="2" t="s">
        <v>251</v>
      </c>
      <c r="T1145" s="2" t="s">
        <v>40</v>
      </c>
      <c r="U1145" s="2" t="s">
        <v>8973</v>
      </c>
      <c r="V1145" s="2"/>
      <c r="W1145" s="2" t="s">
        <v>42</v>
      </c>
      <c r="X1145" s="2" t="s">
        <v>43</v>
      </c>
      <c r="Y1145" s="2" t="s">
        <v>37</v>
      </c>
      <c r="Z1145" s="2" t="s">
        <v>44</v>
      </c>
      <c r="AA1145" s="2" t="s">
        <v>8974</v>
      </c>
      <c r="AB1145" s="2"/>
      <c r="AC1145" s="2" t="s">
        <v>8975</v>
      </c>
      <c r="AD1145" s="2" t="s">
        <v>46</v>
      </c>
    </row>
    <row r="1146" customFormat="false" ht="15.7" hidden="false" customHeight="true" outlineLevel="0" collapsed="false">
      <c r="A1146" s="2"/>
      <c r="B1146" s="3" t="n">
        <f aca="false">DATE(2008,6,19)</f>
        <v>0</v>
      </c>
      <c r="C1146" s="3" t="n">
        <v>39618</v>
      </c>
      <c r="D1146" s="2" t="s">
        <v>8976</v>
      </c>
      <c r="F1146" s="2" t="s">
        <v>8977</v>
      </c>
      <c r="G1146" s="2" t="s">
        <v>8978</v>
      </c>
      <c r="H1146" s="2" t="s">
        <v>63</v>
      </c>
      <c r="I1146" s="2" t="s">
        <v>219</v>
      </c>
      <c r="J1146" s="2" t="s">
        <v>625</v>
      </c>
      <c r="K1146" s="2" t="s">
        <v>8979</v>
      </c>
      <c r="L1146" s="2" t="s">
        <v>219</v>
      </c>
      <c r="M1146" s="2" t="s">
        <v>611</v>
      </c>
      <c r="N1146" s="2" t="s">
        <v>8980</v>
      </c>
      <c r="O1146" s="2"/>
      <c r="P1146" s="2" t="s">
        <v>37</v>
      </c>
      <c r="Q1146" s="4" t="n">
        <v>8731</v>
      </c>
      <c r="R1146" s="2" t="s">
        <v>38</v>
      </c>
      <c r="S1146" s="2" t="s">
        <v>39</v>
      </c>
      <c r="T1146" s="2" t="s">
        <v>40</v>
      </c>
      <c r="U1146" s="2" t="s">
        <v>8981</v>
      </c>
      <c r="V1146" s="2"/>
      <c r="W1146" s="2" t="s">
        <v>42</v>
      </c>
      <c r="X1146" s="2" t="s">
        <v>43</v>
      </c>
      <c r="Y1146" s="2" t="s">
        <v>37</v>
      </c>
      <c r="Z1146" s="2" t="s">
        <v>44</v>
      </c>
      <c r="AA1146" s="2"/>
      <c r="AB1146" s="2"/>
      <c r="AC1146" s="2" t="s">
        <v>8982</v>
      </c>
      <c r="AD1146" s="2" t="s">
        <v>46</v>
      </c>
    </row>
    <row r="1147" customFormat="false" ht="15.7" hidden="false" customHeight="true" outlineLevel="0" collapsed="false">
      <c r="A1147" s="2"/>
      <c r="B1147" s="3" t="n">
        <f aca="false">DATE(2008,6,20)</f>
        <v>0</v>
      </c>
      <c r="C1147" s="3" t="n">
        <v>39619</v>
      </c>
      <c r="D1147" s="2" t="s">
        <v>8983</v>
      </c>
      <c r="F1147" s="2" t="s">
        <v>8984</v>
      </c>
      <c r="G1147" s="2" t="s">
        <v>8985</v>
      </c>
      <c r="H1147" s="2" t="s">
        <v>8986</v>
      </c>
      <c r="I1147" s="2" t="s">
        <v>8987</v>
      </c>
      <c r="J1147" s="2" t="s">
        <v>35</v>
      </c>
      <c r="K1147" s="2" t="s">
        <v>8983</v>
      </c>
      <c r="L1147" s="2" t="s">
        <v>8987</v>
      </c>
      <c r="M1147" s="2" t="s">
        <v>8986</v>
      </c>
      <c r="N1147" s="2" t="s">
        <v>8988</v>
      </c>
      <c r="O1147" s="2"/>
      <c r="P1147" s="2" t="s">
        <v>37</v>
      </c>
      <c r="Q1147" s="4" t="n">
        <v>8731</v>
      </c>
      <c r="R1147" s="2" t="s">
        <v>136</v>
      </c>
      <c r="S1147" s="2" t="s">
        <v>39</v>
      </c>
      <c r="T1147" s="2" t="s">
        <v>40</v>
      </c>
      <c r="U1147" s="2" t="s">
        <v>8989</v>
      </c>
      <c r="V1147" s="2"/>
      <c r="W1147" s="2" t="s">
        <v>42</v>
      </c>
      <c r="X1147" s="2" t="s">
        <v>43</v>
      </c>
      <c r="Y1147" s="2" t="s">
        <v>37</v>
      </c>
      <c r="Z1147" s="2" t="s">
        <v>44</v>
      </c>
      <c r="AA1147" s="2"/>
      <c r="AB1147" s="2"/>
      <c r="AC1147" s="2" t="s">
        <v>8990</v>
      </c>
      <c r="AD1147" s="2" t="s">
        <v>46</v>
      </c>
    </row>
    <row r="1148" customFormat="false" ht="15.7" hidden="false" customHeight="true" outlineLevel="0" collapsed="false">
      <c r="A1148" s="2"/>
      <c r="B1148" s="3" t="n">
        <f aca="false">DATE(2008,6,20)</f>
        <v>0</v>
      </c>
      <c r="C1148" s="3" t="n">
        <v>39619</v>
      </c>
      <c r="D1148" s="2" t="s">
        <v>8991</v>
      </c>
      <c r="F1148" s="2" t="s">
        <v>8992</v>
      </c>
      <c r="G1148" s="2" t="s">
        <v>8993</v>
      </c>
      <c r="H1148" s="2" t="s">
        <v>8994</v>
      </c>
      <c r="I1148" s="2" t="s">
        <v>8351</v>
      </c>
      <c r="J1148" s="2" t="s">
        <v>35</v>
      </c>
      <c r="K1148" s="2" t="s">
        <v>8995</v>
      </c>
      <c r="L1148" s="2" t="s">
        <v>8351</v>
      </c>
      <c r="M1148" s="2" t="s">
        <v>8996</v>
      </c>
      <c r="N1148" s="2" t="s">
        <v>8997</v>
      </c>
      <c r="O1148" s="2"/>
      <c r="P1148" s="2" t="s">
        <v>37</v>
      </c>
      <c r="Q1148" s="4" t="n">
        <v>8731</v>
      </c>
      <c r="R1148" s="2" t="s">
        <v>136</v>
      </c>
      <c r="S1148" s="2" t="s">
        <v>39</v>
      </c>
      <c r="T1148" s="2" t="s">
        <v>40</v>
      </c>
      <c r="U1148" s="2" t="s">
        <v>8998</v>
      </c>
      <c r="V1148" s="2"/>
      <c r="W1148" s="2" t="s">
        <v>42</v>
      </c>
      <c r="X1148" s="2" t="s">
        <v>43</v>
      </c>
      <c r="Y1148" s="2" t="s">
        <v>37</v>
      </c>
      <c r="Z1148" s="2" t="s">
        <v>44</v>
      </c>
      <c r="AA1148" s="2"/>
      <c r="AB1148" s="2"/>
      <c r="AC1148" s="2" t="s">
        <v>8999</v>
      </c>
      <c r="AD1148" s="2" t="s">
        <v>46</v>
      </c>
    </row>
    <row r="1149" customFormat="false" ht="15.7" hidden="false" customHeight="true" outlineLevel="0" collapsed="false">
      <c r="A1149" s="2"/>
      <c r="B1149" s="3" t="n">
        <f aca="false">DATE(2008,6,20)</f>
        <v>0</v>
      </c>
      <c r="C1149" s="3" t="n">
        <v>39619</v>
      </c>
      <c r="D1149" s="2" t="s">
        <v>9000</v>
      </c>
      <c r="F1149" s="2" t="s">
        <v>9001</v>
      </c>
      <c r="G1149" s="2" t="s">
        <v>9002</v>
      </c>
      <c r="H1149" s="2" t="s">
        <v>2857</v>
      </c>
      <c r="I1149" s="2" t="s">
        <v>8127</v>
      </c>
      <c r="J1149" s="2" t="s">
        <v>35</v>
      </c>
      <c r="K1149" s="2" t="s">
        <v>9000</v>
      </c>
      <c r="L1149" s="2" t="s">
        <v>8127</v>
      </c>
      <c r="M1149" s="2" t="s">
        <v>2857</v>
      </c>
      <c r="N1149" s="2" t="s">
        <v>9003</v>
      </c>
      <c r="O1149" s="2"/>
      <c r="P1149" s="2" t="s">
        <v>37</v>
      </c>
      <c r="Q1149" s="4" t="n">
        <v>8731</v>
      </c>
      <c r="R1149" s="2" t="s">
        <v>136</v>
      </c>
      <c r="S1149" s="2" t="s">
        <v>39</v>
      </c>
      <c r="T1149" s="2" t="s">
        <v>40</v>
      </c>
      <c r="U1149" s="2" t="s">
        <v>9004</v>
      </c>
      <c r="V1149" s="2"/>
      <c r="W1149" s="2" t="s">
        <v>42</v>
      </c>
      <c r="X1149" s="2" t="s">
        <v>43</v>
      </c>
      <c r="Y1149" s="2" t="s">
        <v>37</v>
      </c>
      <c r="Z1149" s="2" t="s">
        <v>44</v>
      </c>
      <c r="AA1149" s="2"/>
      <c r="AB1149" s="2"/>
      <c r="AC1149" s="2" t="s">
        <v>9005</v>
      </c>
      <c r="AD1149" s="2" t="s">
        <v>46</v>
      </c>
    </row>
    <row r="1150" customFormat="false" ht="15.7" hidden="false" customHeight="true" outlineLevel="0" collapsed="false">
      <c r="A1150" s="2"/>
      <c r="B1150" s="3" t="n">
        <f aca="false">DATE(2008,6,23)</f>
        <v>0</v>
      </c>
      <c r="C1150" s="3" t="n">
        <v>39622</v>
      </c>
      <c r="D1150" s="2" t="s">
        <v>9006</v>
      </c>
      <c r="F1150" s="2" t="s">
        <v>4971</v>
      </c>
      <c r="G1150" s="2" t="s">
        <v>9007</v>
      </c>
      <c r="H1150" s="2" t="s">
        <v>63</v>
      </c>
      <c r="I1150" s="2" t="s">
        <v>51</v>
      </c>
      <c r="J1150" s="2" t="s">
        <v>9008</v>
      </c>
      <c r="K1150" s="2" t="s">
        <v>9009</v>
      </c>
      <c r="L1150" s="2" t="s">
        <v>202</v>
      </c>
      <c r="M1150" s="2" t="s">
        <v>63</v>
      </c>
      <c r="N1150" s="2" t="s">
        <v>9010</v>
      </c>
      <c r="O1150" s="2"/>
      <c r="P1150" s="2" t="s">
        <v>37</v>
      </c>
      <c r="Q1150" s="4" t="n">
        <v>8731</v>
      </c>
      <c r="R1150" s="2" t="s">
        <v>56</v>
      </c>
      <c r="S1150" s="2" t="s">
        <v>360</v>
      </c>
      <c r="T1150" s="2" t="s">
        <v>40</v>
      </c>
      <c r="U1150" s="2" t="s">
        <v>9011</v>
      </c>
      <c r="V1150" s="2"/>
      <c r="W1150" s="2" t="s">
        <v>138</v>
      </c>
      <c r="X1150" s="2" t="s">
        <v>43</v>
      </c>
      <c r="Y1150" s="2" t="s">
        <v>37</v>
      </c>
      <c r="Z1150" s="2" t="s">
        <v>44</v>
      </c>
      <c r="AA1150" s="2"/>
      <c r="AB1150" s="2"/>
      <c r="AC1150" s="2" t="s">
        <v>9012</v>
      </c>
      <c r="AD1150" s="2" t="s">
        <v>46</v>
      </c>
    </row>
    <row r="1151" customFormat="false" ht="15.7" hidden="false" customHeight="true" outlineLevel="0" collapsed="false">
      <c r="A1151" s="2"/>
      <c r="B1151" s="3" t="n">
        <f aca="false">DATE(2008,6,23)</f>
        <v>0</v>
      </c>
      <c r="C1151" s="3" t="n">
        <v>39622</v>
      </c>
      <c r="D1151" s="2" t="s">
        <v>9013</v>
      </c>
      <c r="F1151" s="2" t="s">
        <v>9014</v>
      </c>
      <c r="G1151" s="2" t="s">
        <v>9015</v>
      </c>
      <c r="H1151" s="2" t="s">
        <v>9016</v>
      </c>
      <c r="I1151" s="2" t="s">
        <v>202</v>
      </c>
      <c r="J1151" s="2" t="s">
        <v>575</v>
      </c>
      <c r="K1151" s="2" t="s">
        <v>9017</v>
      </c>
      <c r="L1151" s="2" t="s">
        <v>202</v>
      </c>
      <c r="M1151" s="2" t="s">
        <v>9018</v>
      </c>
      <c r="N1151" s="2" t="s">
        <v>9019</v>
      </c>
      <c r="O1151" s="2"/>
      <c r="P1151" s="2" t="s">
        <v>79</v>
      </c>
      <c r="Q1151" s="4" t="n">
        <v>6794</v>
      </c>
      <c r="R1151" s="2" t="s">
        <v>136</v>
      </c>
      <c r="S1151" s="2" t="s">
        <v>39</v>
      </c>
      <c r="T1151" s="2" t="s">
        <v>40</v>
      </c>
      <c r="U1151" s="2" t="s">
        <v>9020</v>
      </c>
      <c r="V1151" s="2"/>
      <c r="W1151" s="2" t="s">
        <v>82</v>
      </c>
      <c r="X1151" s="2" t="s">
        <v>43</v>
      </c>
      <c r="Y1151" s="2" t="s">
        <v>37</v>
      </c>
      <c r="Z1151" s="2" t="s">
        <v>44</v>
      </c>
      <c r="AA1151" s="2" t="s">
        <v>9021</v>
      </c>
      <c r="AB1151" s="2"/>
      <c r="AC1151" s="2" t="s">
        <v>9022</v>
      </c>
      <c r="AD1151" s="2" t="s">
        <v>46</v>
      </c>
    </row>
    <row r="1152" customFormat="false" ht="15.7" hidden="false" customHeight="true" outlineLevel="0" collapsed="false">
      <c r="A1152" s="2"/>
      <c r="B1152" s="3" t="n">
        <f aca="false">DATE(2008,6,23)</f>
        <v>0</v>
      </c>
      <c r="C1152" s="3" t="n">
        <v>39622</v>
      </c>
      <c r="D1152" s="2" t="s">
        <v>9023</v>
      </c>
      <c r="F1152" s="2" t="s">
        <v>256</v>
      </c>
      <c r="G1152" s="2" t="s">
        <v>9024</v>
      </c>
      <c r="H1152" s="2" t="s">
        <v>170</v>
      </c>
      <c r="I1152" s="2" t="s">
        <v>6464</v>
      </c>
      <c r="J1152" s="2" t="s">
        <v>35</v>
      </c>
      <c r="K1152" s="2" t="s">
        <v>9023</v>
      </c>
      <c r="L1152" s="2" t="s">
        <v>6464</v>
      </c>
      <c r="M1152" s="2" t="s">
        <v>170</v>
      </c>
      <c r="N1152" s="2" t="s">
        <v>9025</v>
      </c>
      <c r="O1152" s="2"/>
      <c r="P1152" s="2" t="s">
        <v>37</v>
      </c>
      <c r="Q1152" s="4" t="n">
        <v>8731</v>
      </c>
      <c r="R1152" s="2" t="s">
        <v>136</v>
      </c>
      <c r="S1152" s="2" t="s">
        <v>39</v>
      </c>
      <c r="T1152" s="2" t="s">
        <v>40</v>
      </c>
      <c r="U1152" s="2" t="s">
        <v>9026</v>
      </c>
      <c r="V1152" s="2"/>
      <c r="W1152" s="2" t="s">
        <v>42</v>
      </c>
      <c r="X1152" s="2" t="s">
        <v>43</v>
      </c>
      <c r="Y1152" s="2" t="s">
        <v>37</v>
      </c>
      <c r="Z1152" s="2" t="s">
        <v>44</v>
      </c>
      <c r="AA1152" s="2"/>
      <c r="AB1152" s="2"/>
      <c r="AC1152" s="2" t="s">
        <v>9027</v>
      </c>
      <c r="AD1152" s="2" t="s">
        <v>46</v>
      </c>
    </row>
    <row r="1153" customFormat="false" ht="15.7" hidden="false" customHeight="true" outlineLevel="0" collapsed="false">
      <c r="A1153" s="2"/>
      <c r="B1153" s="3" t="n">
        <f aca="false">DATE(2008,6,23)</f>
        <v>0</v>
      </c>
      <c r="C1153" s="3" t="n">
        <v>39622</v>
      </c>
      <c r="D1153" s="2" t="s">
        <v>9028</v>
      </c>
      <c r="F1153" s="2" t="s">
        <v>9029</v>
      </c>
      <c r="G1153" s="2" t="s">
        <v>9030</v>
      </c>
      <c r="H1153" s="2" t="s">
        <v>1020</v>
      </c>
      <c r="I1153" s="2" t="s">
        <v>219</v>
      </c>
      <c r="J1153" s="2" t="s">
        <v>313</v>
      </c>
      <c r="K1153" s="2" t="s">
        <v>9031</v>
      </c>
      <c r="L1153" s="2" t="s">
        <v>219</v>
      </c>
      <c r="M1153" s="2" t="s">
        <v>1020</v>
      </c>
      <c r="N1153" s="2" t="s">
        <v>9032</v>
      </c>
      <c r="O1153" s="2"/>
      <c r="P1153" s="2" t="s">
        <v>37</v>
      </c>
      <c r="Q1153" s="4" t="n">
        <v>8731</v>
      </c>
      <c r="R1153" s="2" t="s">
        <v>136</v>
      </c>
      <c r="S1153" s="2" t="s">
        <v>39</v>
      </c>
      <c r="T1153" s="2" t="s">
        <v>40</v>
      </c>
      <c r="U1153" s="2" t="s">
        <v>9033</v>
      </c>
      <c r="V1153" s="2"/>
      <c r="W1153" s="2" t="s">
        <v>42</v>
      </c>
      <c r="X1153" s="2" t="s">
        <v>43</v>
      </c>
      <c r="Y1153" s="2" t="s">
        <v>37</v>
      </c>
      <c r="Z1153" s="2" t="s">
        <v>44</v>
      </c>
      <c r="AA1153" s="2"/>
      <c r="AB1153" s="2"/>
      <c r="AC1153" s="2" t="s">
        <v>9034</v>
      </c>
      <c r="AD1153" s="2" t="s">
        <v>46</v>
      </c>
    </row>
    <row r="1154" customFormat="false" ht="15.7" hidden="false" customHeight="true" outlineLevel="0" collapsed="false">
      <c r="A1154" s="2"/>
      <c r="B1154" s="3" t="n">
        <f aca="false">DATE(2008,6,23)</f>
        <v>0</v>
      </c>
      <c r="C1154" s="3" t="n">
        <v>39622</v>
      </c>
      <c r="D1154" s="2" t="s">
        <v>9035</v>
      </c>
      <c r="F1154" s="2" t="s">
        <v>9036</v>
      </c>
      <c r="G1154" s="2" t="s">
        <v>9037</v>
      </c>
      <c r="H1154" s="2" t="s">
        <v>8167</v>
      </c>
      <c r="I1154" s="2" t="s">
        <v>51</v>
      </c>
      <c r="J1154" s="2" t="s">
        <v>9038</v>
      </c>
      <c r="K1154" s="2" t="s">
        <v>9039</v>
      </c>
      <c r="L1154" s="2" t="s">
        <v>51</v>
      </c>
      <c r="M1154" s="2" t="s">
        <v>9040</v>
      </c>
      <c r="N1154" s="2" t="s">
        <v>9041</v>
      </c>
      <c r="O1154" s="2"/>
      <c r="P1154" s="2" t="s">
        <v>37</v>
      </c>
      <c r="Q1154" s="4" t="n">
        <v>8731</v>
      </c>
      <c r="R1154" s="2" t="s">
        <v>56</v>
      </c>
      <c r="S1154" s="2" t="s">
        <v>788</v>
      </c>
      <c r="T1154" s="2" t="s">
        <v>40</v>
      </c>
      <c r="U1154" s="2" t="s">
        <v>9042</v>
      </c>
      <c r="V1154" s="2"/>
      <c r="W1154" s="2" t="s">
        <v>42</v>
      </c>
      <c r="X1154" s="2" t="s">
        <v>43</v>
      </c>
      <c r="Y1154" s="2" t="s">
        <v>37</v>
      </c>
      <c r="Z1154" s="2" t="s">
        <v>44</v>
      </c>
      <c r="AA1154" s="2"/>
      <c r="AB1154" s="2"/>
      <c r="AC1154" s="2" t="s">
        <v>9043</v>
      </c>
      <c r="AD1154" s="2" t="s">
        <v>46</v>
      </c>
    </row>
    <row r="1155" customFormat="false" ht="15.7" hidden="false" customHeight="true" outlineLevel="0" collapsed="false">
      <c r="A1155" s="2"/>
      <c r="B1155" s="3" t="n">
        <f aca="false">DATE(2008,6,24)</f>
        <v>0</v>
      </c>
      <c r="C1155" s="3" t="n">
        <v>39623</v>
      </c>
      <c r="D1155" s="2" t="s">
        <v>9044</v>
      </c>
      <c r="F1155" s="2" t="s">
        <v>9045</v>
      </c>
      <c r="G1155" s="2" t="s">
        <v>9046</v>
      </c>
      <c r="H1155" s="2" t="s">
        <v>9047</v>
      </c>
      <c r="I1155" s="2" t="s">
        <v>9048</v>
      </c>
      <c r="J1155" s="2" t="s">
        <v>1397</v>
      </c>
      <c r="K1155" s="2" t="s">
        <v>9049</v>
      </c>
      <c r="L1155" s="2" t="s">
        <v>9048</v>
      </c>
      <c r="M1155" s="2" t="s">
        <v>9050</v>
      </c>
      <c r="N1155" s="2" t="s">
        <v>9051</v>
      </c>
      <c r="O1155" s="2"/>
      <c r="P1155" s="2" t="s">
        <v>37</v>
      </c>
      <c r="Q1155" s="4" t="n">
        <v>8732</v>
      </c>
      <c r="R1155" s="2" t="s">
        <v>402</v>
      </c>
      <c r="S1155" s="2" t="s">
        <v>39</v>
      </c>
      <c r="T1155" s="2" t="s">
        <v>40</v>
      </c>
      <c r="U1155" s="2" t="s">
        <v>9052</v>
      </c>
      <c r="V1155" s="2"/>
      <c r="W1155" s="2" t="s">
        <v>42</v>
      </c>
      <c r="X1155" s="2" t="s">
        <v>43</v>
      </c>
      <c r="Y1155" s="2" t="s">
        <v>37</v>
      </c>
      <c r="Z1155" s="2" t="s">
        <v>916</v>
      </c>
      <c r="AA1155" s="2"/>
      <c r="AB1155" s="2"/>
      <c r="AC1155" s="2" t="s">
        <v>9053</v>
      </c>
      <c r="AD1155" s="2" t="s">
        <v>46</v>
      </c>
    </row>
    <row r="1156" customFormat="false" ht="15.7" hidden="false" customHeight="true" outlineLevel="0" collapsed="false">
      <c r="A1156" s="2"/>
      <c r="B1156" s="3" t="n">
        <f aca="false">DATE(2008,6,24)</f>
        <v>0</v>
      </c>
      <c r="C1156" s="3" t="n">
        <v>39623</v>
      </c>
      <c r="D1156" s="2" t="s">
        <v>9054</v>
      </c>
      <c r="F1156" s="2" t="s">
        <v>9055</v>
      </c>
      <c r="G1156" s="2" t="s">
        <v>9056</v>
      </c>
      <c r="H1156" s="2" t="s">
        <v>9057</v>
      </c>
      <c r="I1156" s="2" t="s">
        <v>51</v>
      </c>
      <c r="J1156" s="2" t="s">
        <v>9058</v>
      </c>
      <c r="K1156" s="2" t="s">
        <v>9059</v>
      </c>
      <c r="L1156" s="2" t="s">
        <v>51</v>
      </c>
      <c r="M1156" s="2" t="s">
        <v>9060</v>
      </c>
      <c r="N1156" s="2" t="s">
        <v>9061</v>
      </c>
      <c r="O1156" s="2"/>
      <c r="P1156" s="2" t="s">
        <v>37</v>
      </c>
      <c r="Q1156" s="4" t="n">
        <v>8731</v>
      </c>
      <c r="R1156" s="2" t="s">
        <v>56</v>
      </c>
      <c r="S1156" s="2" t="s">
        <v>80</v>
      </c>
      <c r="T1156" s="2" t="s">
        <v>40</v>
      </c>
      <c r="U1156" s="2" t="s">
        <v>9062</v>
      </c>
      <c r="V1156" s="2"/>
      <c r="W1156" s="2" t="s">
        <v>3235</v>
      </c>
      <c r="X1156" s="2" t="s">
        <v>43</v>
      </c>
      <c r="Y1156" s="2" t="s">
        <v>37</v>
      </c>
      <c r="Z1156" s="2" t="s">
        <v>44</v>
      </c>
      <c r="AA1156" s="2"/>
      <c r="AB1156" s="2"/>
      <c r="AC1156" s="2" t="s">
        <v>9063</v>
      </c>
      <c r="AD1156" s="2" t="s">
        <v>46</v>
      </c>
    </row>
    <row r="1157" customFormat="false" ht="15.7" hidden="false" customHeight="true" outlineLevel="0" collapsed="false">
      <c r="A1157" s="2"/>
      <c r="B1157" s="3" t="n">
        <f aca="false">DATE(2008,6,24)</f>
        <v>0</v>
      </c>
      <c r="C1157" s="3" t="n">
        <v>39623</v>
      </c>
      <c r="D1157" s="2" t="s">
        <v>9064</v>
      </c>
      <c r="F1157" s="2" t="s">
        <v>9065</v>
      </c>
      <c r="G1157" s="2" t="s">
        <v>9066</v>
      </c>
      <c r="H1157" s="2" t="s">
        <v>3913</v>
      </c>
      <c r="I1157" s="2" t="s">
        <v>3795</v>
      </c>
      <c r="J1157" s="2" t="s">
        <v>795</v>
      </c>
      <c r="K1157" s="2" t="s">
        <v>9067</v>
      </c>
      <c r="L1157" s="2" t="s">
        <v>180</v>
      </c>
      <c r="M1157" s="2" t="s">
        <v>9068</v>
      </c>
      <c r="N1157" s="2" t="s">
        <v>9069</v>
      </c>
      <c r="O1157" s="2"/>
      <c r="P1157" s="2" t="s">
        <v>37</v>
      </c>
      <c r="Q1157" s="4" t="n">
        <v>8731</v>
      </c>
      <c r="R1157" s="2" t="s">
        <v>136</v>
      </c>
      <c r="S1157" s="2" t="s">
        <v>39</v>
      </c>
      <c r="T1157" s="2" t="s">
        <v>40</v>
      </c>
      <c r="U1157" s="2" t="s">
        <v>9070</v>
      </c>
      <c r="V1157" s="2"/>
      <c r="W1157" s="2" t="s">
        <v>42</v>
      </c>
      <c r="X1157" s="2" t="s">
        <v>43</v>
      </c>
      <c r="Y1157" s="2" t="s">
        <v>37</v>
      </c>
      <c r="Z1157" s="2" t="s">
        <v>44</v>
      </c>
      <c r="AA1157" s="2"/>
      <c r="AB1157" s="2"/>
      <c r="AC1157" s="2" t="s">
        <v>9071</v>
      </c>
      <c r="AD1157" s="2" t="s">
        <v>46</v>
      </c>
    </row>
    <row r="1158" customFormat="false" ht="15.7" hidden="false" customHeight="true" outlineLevel="0" collapsed="false">
      <c r="A1158" s="2"/>
      <c r="B1158" s="3" t="n">
        <f aca="false">DATE(2008,6,24)</f>
        <v>0</v>
      </c>
      <c r="C1158" s="3" t="n">
        <v>39623</v>
      </c>
      <c r="D1158" s="2" t="s">
        <v>9072</v>
      </c>
      <c r="F1158" s="2" t="s">
        <v>9073</v>
      </c>
      <c r="G1158" s="2" t="s">
        <v>9074</v>
      </c>
      <c r="H1158" s="2" t="s">
        <v>9075</v>
      </c>
      <c r="I1158" s="2" t="s">
        <v>51</v>
      </c>
      <c r="J1158" s="2" t="s">
        <v>9076</v>
      </c>
      <c r="K1158" s="2" t="s">
        <v>9077</v>
      </c>
      <c r="L1158" s="2" t="s">
        <v>51</v>
      </c>
      <c r="M1158" s="2" t="s">
        <v>9078</v>
      </c>
      <c r="N1158" s="2" t="s">
        <v>9079</v>
      </c>
      <c r="O1158" s="2"/>
      <c r="P1158" s="2" t="s">
        <v>37</v>
      </c>
      <c r="Q1158" s="4" t="n">
        <v>8731</v>
      </c>
      <c r="R1158" s="2" t="s">
        <v>56</v>
      </c>
      <c r="S1158" s="2" t="s">
        <v>92</v>
      </c>
      <c r="T1158" s="2" t="s">
        <v>40</v>
      </c>
      <c r="U1158" s="2" t="s">
        <v>9080</v>
      </c>
      <c r="V1158" s="2"/>
      <c r="W1158" s="2" t="s">
        <v>42</v>
      </c>
      <c r="X1158" s="2" t="s">
        <v>43</v>
      </c>
      <c r="Y1158" s="2" t="s">
        <v>37</v>
      </c>
      <c r="Z1158" s="2" t="s">
        <v>44</v>
      </c>
      <c r="AA1158" s="2"/>
      <c r="AB1158" s="2"/>
      <c r="AC1158" s="2" t="s">
        <v>9081</v>
      </c>
      <c r="AD1158" s="2" t="s">
        <v>46</v>
      </c>
    </row>
    <row r="1159" customFormat="false" ht="15.7" hidden="false" customHeight="true" outlineLevel="0" collapsed="false">
      <c r="A1159" s="2"/>
      <c r="B1159" s="3" t="n">
        <f aca="false">DATE(2008,6,24)</f>
        <v>0</v>
      </c>
      <c r="C1159" s="3" t="n">
        <v>39623</v>
      </c>
      <c r="D1159" s="2" t="s">
        <v>9082</v>
      </c>
      <c r="F1159" s="2" t="s">
        <v>9083</v>
      </c>
      <c r="G1159" s="2" t="s">
        <v>9084</v>
      </c>
      <c r="H1159" s="2" t="s">
        <v>1027</v>
      </c>
      <c r="I1159" s="2" t="s">
        <v>51</v>
      </c>
      <c r="J1159" s="2" t="s">
        <v>9085</v>
      </c>
      <c r="K1159" s="2" t="s">
        <v>9082</v>
      </c>
      <c r="L1159" s="2" t="s">
        <v>51</v>
      </c>
      <c r="M1159" s="2" t="s">
        <v>1027</v>
      </c>
      <c r="N1159" s="2" t="s">
        <v>9086</v>
      </c>
      <c r="O1159" s="2"/>
      <c r="P1159" s="2" t="s">
        <v>37</v>
      </c>
      <c r="Q1159" s="4" t="n">
        <v>8731</v>
      </c>
      <c r="R1159" s="2" t="s">
        <v>56</v>
      </c>
      <c r="S1159" s="2" t="s">
        <v>8043</v>
      </c>
      <c r="T1159" s="2" t="s">
        <v>40</v>
      </c>
      <c r="U1159" s="2" t="s">
        <v>9087</v>
      </c>
      <c r="V1159" s="2"/>
      <c r="W1159" s="2" t="s">
        <v>42</v>
      </c>
      <c r="X1159" s="2" t="s">
        <v>43</v>
      </c>
      <c r="Y1159" s="2" t="s">
        <v>37</v>
      </c>
      <c r="Z1159" s="2" t="s">
        <v>44</v>
      </c>
      <c r="AA1159" s="2"/>
      <c r="AB1159" s="2"/>
      <c r="AC1159" s="2" t="s">
        <v>9088</v>
      </c>
      <c r="AD1159" s="2" t="s">
        <v>46</v>
      </c>
    </row>
    <row r="1160" customFormat="false" ht="15.7" hidden="false" customHeight="true" outlineLevel="0" collapsed="false">
      <c r="A1160" s="2"/>
      <c r="B1160" s="3" t="n">
        <f aca="false">DATE(2008,6,24)</f>
        <v>0</v>
      </c>
      <c r="C1160" s="3" t="n">
        <v>39623</v>
      </c>
      <c r="D1160" s="2" t="s">
        <v>9089</v>
      </c>
      <c r="F1160" s="2" t="s">
        <v>9090</v>
      </c>
      <c r="G1160" s="2" t="s">
        <v>9091</v>
      </c>
      <c r="H1160" s="2" t="s">
        <v>9092</v>
      </c>
      <c r="I1160" s="2" t="s">
        <v>180</v>
      </c>
      <c r="J1160" s="2" t="s">
        <v>9093</v>
      </c>
      <c r="K1160" s="2" t="s">
        <v>9094</v>
      </c>
      <c r="L1160" s="2" t="s">
        <v>180</v>
      </c>
      <c r="M1160" s="2" t="s">
        <v>9095</v>
      </c>
      <c r="N1160" s="2" t="s">
        <v>9096</v>
      </c>
      <c r="O1160" s="2"/>
      <c r="P1160" s="2" t="s">
        <v>37</v>
      </c>
      <c r="Q1160" s="4" t="n">
        <v>8731</v>
      </c>
      <c r="R1160" s="2" t="s">
        <v>136</v>
      </c>
      <c r="S1160" s="2" t="s">
        <v>39</v>
      </c>
      <c r="T1160" s="2" t="s">
        <v>40</v>
      </c>
      <c r="U1160" s="2" t="s">
        <v>9097</v>
      </c>
      <c r="V1160" s="2"/>
      <c r="W1160" s="2" t="s">
        <v>42</v>
      </c>
      <c r="X1160" s="2" t="s">
        <v>43</v>
      </c>
      <c r="Y1160" s="2" t="s">
        <v>37</v>
      </c>
      <c r="Z1160" s="2" t="s">
        <v>44</v>
      </c>
      <c r="AA1160" s="2"/>
      <c r="AB1160" s="2"/>
      <c r="AC1160" s="2" t="s">
        <v>9098</v>
      </c>
      <c r="AD1160" s="2" t="s">
        <v>46</v>
      </c>
    </row>
    <row r="1161" customFormat="false" ht="15.7" hidden="false" customHeight="true" outlineLevel="0" collapsed="false">
      <c r="A1161" s="2"/>
      <c r="B1161" s="3" t="n">
        <f aca="false">DATE(2008,6,25)</f>
        <v>0</v>
      </c>
      <c r="C1161" s="3" t="n">
        <v>39624</v>
      </c>
      <c r="D1161" s="2" t="s">
        <v>9099</v>
      </c>
      <c r="F1161" s="2" t="s">
        <v>9100</v>
      </c>
      <c r="G1161" s="2" t="s">
        <v>9101</v>
      </c>
      <c r="H1161" s="2" t="s">
        <v>4594</v>
      </c>
      <c r="I1161" s="2" t="s">
        <v>5990</v>
      </c>
      <c r="J1161" s="2" t="s">
        <v>35</v>
      </c>
      <c r="K1161" s="2" t="s">
        <v>9102</v>
      </c>
      <c r="L1161" s="2" t="s">
        <v>5990</v>
      </c>
      <c r="M1161" s="2" t="s">
        <v>9103</v>
      </c>
      <c r="N1161" s="2" t="s">
        <v>9104</v>
      </c>
      <c r="O1161" s="2"/>
      <c r="P1161" s="2" t="s">
        <v>37</v>
      </c>
      <c r="Q1161" s="4" t="n">
        <v>8731</v>
      </c>
      <c r="R1161" s="2" t="s">
        <v>3154</v>
      </c>
      <c r="S1161" s="2" t="s">
        <v>39</v>
      </c>
      <c r="T1161" s="2" t="s">
        <v>40</v>
      </c>
      <c r="U1161" s="2" t="s">
        <v>9105</v>
      </c>
      <c r="V1161" s="2"/>
      <c r="W1161" s="2" t="s">
        <v>42</v>
      </c>
      <c r="X1161" s="2" t="s">
        <v>43</v>
      </c>
      <c r="Y1161" s="2" t="s">
        <v>37</v>
      </c>
      <c r="Z1161" s="2" t="s">
        <v>44</v>
      </c>
      <c r="AA1161" s="2"/>
      <c r="AB1161" s="2"/>
      <c r="AC1161" s="2" t="s">
        <v>9106</v>
      </c>
      <c r="AD1161" s="2" t="s">
        <v>46</v>
      </c>
    </row>
    <row r="1162" customFormat="false" ht="15.7" hidden="false" customHeight="true" outlineLevel="0" collapsed="false">
      <c r="A1162" s="2"/>
      <c r="B1162" s="3" t="n">
        <f aca="false">DATE(2008,6,25)</f>
        <v>0</v>
      </c>
      <c r="C1162" s="3" t="n">
        <v>39624</v>
      </c>
      <c r="D1162" s="2" t="s">
        <v>9107</v>
      </c>
      <c r="F1162" s="2" t="s">
        <v>9108</v>
      </c>
      <c r="G1162" s="2" t="s">
        <v>9109</v>
      </c>
      <c r="H1162" s="2" t="s">
        <v>5724</v>
      </c>
      <c r="I1162" s="2" t="s">
        <v>5771</v>
      </c>
      <c r="J1162" s="2" t="s">
        <v>35</v>
      </c>
      <c r="K1162" s="2" t="s">
        <v>9107</v>
      </c>
      <c r="L1162" s="2" t="s">
        <v>5771</v>
      </c>
      <c r="M1162" s="2" t="s">
        <v>5724</v>
      </c>
      <c r="N1162" s="2" t="s">
        <v>9110</v>
      </c>
      <c r="O1162" s="2"/>
      <c r="P1162" s="2" t="s">
        <v>37</v>
      </c>
      <c r="Q1162" s="4" t="n">
        <v>8731</v>
      </c>
      <c r="R1162" s="2" t="s">
        <v>5774</v>
      </c>
      <c r="S1162" s="2" t="s">
        <v>39</v>
      </c>
      <c r="T1162" s="2" t="s">
        <v>40</v>
      </c>
      <c r="U1162" s="2" t="s">
        <v>9111</v>
      </c>
      <c r="V1162" s="2"/>
      <c r="W1162" s="2" t="s">
        <v>42</v>
      </c>
      <c r="X1162" s="2" t="s">
        <v>43</v>
      </c>
      <c r="Y1162" s="2" t="s">
        <v>37</v>
      </c>
      <c r="Z1162" s="2" t="s">
        <v>44</v>
      </c>
      <c r="AA1162" s="2"/>
      <c r="AB1162" s="2"/>
      <c r="AC1162" s="2" t="s">
        <v>9112</v>
      </c>
      <c r="AD1162" s="2" t="s">
        <v>46</v>
      </c>
    </row>
    <row r="1163" customFormat="false" ht="15.7" hidden="false" customHeight="true" outlineLevel="0" collapsed="false">
      <c r="A1163" s="2"/>
      <c r="B1163" s="3" t="n">
        <f aca="false">DATE(2008,6,25)</f>
        <v>0</v>
      </c>
      <c r="C1163" s="3" t="n">
        <v>39624</v>
      </c>
      <c r="D1163" s="2" t="s">
        <v>9113</v>
      </c>
      <c r="F1163" s="2" t="s">
        <v>9114</v>
      </c>
      <c r="G1163" s="2" t="s">
        <v>9115</v>
      </c>
      <c r="H1163" s="2" t="s">
        <v>523</v>
      </c>
      <c r="I1163" s="2" t="s">
        <v>3265</v>
      </c>
      <c r="J1163" s="2" t="s">
        <v>966</v>
      </c>
      <c r="K1163" s="2" t="s">
        <v>9113</v>
      </c>
      <c r="L1163" s="2" t="s">
        <v>3265</v>
      </c>
      <c r="M1163" s="2" t="s">
        <v>523</v>
      </c>
      <c r="N1163" s="2" t="s">
        <v>9116</v>
      </c>
      <c r="O1163" s="2"/>
      <c r="P1163" s="2" t="s">
        <v>37</v>
      </c>
      <c r="Q1163" s="4" t="n">
        <v>8731</v>
      </c>
      <c r="R1163" s="2" t="s">
        <v>402</v>
      </c>
      <c r="S1163" s="2" t="s">
        <v>39</v>
      </c>
      <c r="T1163" s="2" t="s">
        <v>122</v>
      </c>
      <c r="U1163" s="2" t="s">
        <v>9117</v>
      </c>
      <c r="V1163" s="2"/>
      <c r="W1163" s="2" t="s">
        <v>42</v>
      </c>
      <c r="X1163" s="2" t="s">
        <v>46</v>
      </c>
      <c r="Y1163" s="2" t="s">
        <v>37</v>
      </c>
      <c r="Z1163" s="2" t="s">
        <v>362</v>
      </c>
      <c r="AA1163" s="2"/>
      <c r="AB1163" s="2"/>
      <c r="AC1163" s="2" t="s">
        <v>9118</v>
      </c>
      <c r="AD1163" s="2" t="s">
        <v>46</v>
      </c>
    </row>
    <row r="1164" customFormat="false" ht="15.7" hidden="false" customHeight="true" outlineLevel="0" collapsed="false">
      <c r="A1164" s="2"/>
      <c r="B1164" s="3" t="n">
        <f aca="false">DATE(2008,6,28)</f>
        <v>0</v>
      </c>
      <c r="C1164" s="3" t="n">
        <v>39627</v>
      </c>
      <c r="D1164" s="2" t="s">
        <v>9119</v>
      </c>
      <c r="F1164" s="2" t="s">
        <v>9120</v>
      </c>
      <c r="G1164" s="2" t="s">
        <v>9121</v>
      </c>
      <c r="H1164" s="2" t="s">
        <v>9122</v>
      </c>
      <c r="I1164" s="2" t="s">
        <v>9123</v>
      </c>
      <c r="J1164" s="2" t="s">
        <v>35</v>
      </c>
      <c r="K1164" s="2" t="s">
        <v>9119</v>
      </c>
      <c r="L1164" s="2" t="s">
        <v>9123</v>
      </c>
      <c r="M1164" s="2" t="s">
        <v>9122</v>
      </c>
      <c r="N1164" s="2" t="s">
        <v>9124</v>
      </c>
      <c r="O1164" s="2"/>
      <c r="P1164" s="2" t="s">
        <v>37</v>
      </c>
      <c r="Q1164" s="4" t="n">
        <v>8731</v>
      </c>
      <c r="R1164" s="2" t="s">
        <v>136</v>
      </c>
      <c r="S1164" s="2" t="s">
        <v>39</v>
      </c>
      <c r="T1164" s="2" t="s">
        <v>40</v>
      </c>
      <c r="U1164" s="2" t="s">
        <v>9125</v>
      </c>
      <c r="V1164" s="2"/>
      <c r="W1164" s="2" t="s">
        <v>42</v>
      </c>
      <c r="X1164" s="2" t="s">
        <v>43</v>
      </c>
      <c r="Y1164" s="2" t="s">
        <v>37</v>
      </c>
      <c r="Z1164" s="2" t="s">
        <v>44</v>
      </c>
      <c r="AA1164" s="2"/>
      <c r="AB1164" s="2"/>
      <c r="AC1164" s="2" t="s">
        <v>9126</v>
      </c>
      <c r="AD1164" s="2" t="s">
        <v>46</v>
      </c>
    </row>
    <row r="1165" customFormat="false" ht="15.7" hidden="false" customHeight="true" outlineLevel="0" collapsed="false">
      <c r="A1165" s="2"/>
      <c r="B1165" s="3" t="n">
        <f aca="false">DATE(2008,6,30)</f>
        <v>0</v>
      </c>
      <c r="C1165" s="3" t="n">
        <v>39629</v>
      </c>
      <c r="D1165" s="2" t="s">
        <v>9127</v>
      </c>
      <c r="F1165" s="2" t="s">
        <v>9128</v>
      </c>
      <c r="G1165" s="2" t="s">
        <v>9129</v>
      </c>
      <c r="H1165" s="2" t="s">
        <v>9130</v>
      </c>
      <c r="I1165" s="2" t="s">
        <v>9131</v>
      </c>
      <c r="J1165" s="2" t="s">
        <v>35</v>
      </c>
      <c r="K1165" s="2" t="s">
        <v>9132</v>
      </c>
      <c r="L1165" s="2" t="s">
        <v>9133</v>
      </c>
      <c r="M1165" s="2" t="s">
        <v>9134</v>
      </c>
      <c r="N1165" s="2" t="s">
        <v>9135</v>
      </c>
      <c r="O1165" s="2"/>
      <c r="P1165" s="2" t="s">
        <v>37</v>
      </c>
      <c r="Q1165" s="4" t="n">
        <v>8731</v>
      </c>
      <c r="R1165" s="2" t="s">
        <v>402</v>
      </c>
      <c r="S1165" s="2" t="s">
        <v>39</v>
      </c>
      <c r="T1165" s="2" t="s">
        <v>403</v>
      </c>
      <c r="U1165" s="2" t="s">
        <v>9136</v>
      </c>
      <c r="V1165" s="2"/>
      <c r="W1165" s="2" t="s">
        <v>3465</v>
      </c>
      <c r="X1165" s="2" t="s">
        <v>46</v>
      </c>
      <c r="Y1165" s="2" t="s">
        <v>37</v>
      </c>
      <c r="Z1165" s="2" t="s">
        <v>362</v>
      </c>
      <c r="AA1165" s="2"/>
      <c r="AB1165" s="2"/>
      <c r="AC1165" s="2" t="s">
        <v>9137</v>
      </c>
      <c r="AD1165" s="2" t="s">
        <v>46</v>
      </c>
    </row>
    <row r="1166" customFormat="false" ht="15.7" hidden="false" customHeight="true" outlineLevel="0" collapsed="false">
      <c r="A1166" s="2"/>
      <c r="B1166" s="3" t="n">
        <f aca="false">DATE(2008,6,30)</f>
        <v>0</v>
      </c>
      <c r="C1166" s="3" t="n">
        <v>39629</v>
      </c>
      <c r="D1166" s="2" t="s">
        <v>9138</v>
      </c>
      <c r="F1166" s="2" t="s">
        <v>9139</v>
      </c>
      <c r="G1166" s="2" t="s">
        <v>9140</v>
      </c>
      <c r="H1166" s="2" t="s">
        <v>762</v>
      </c>
      <c r="I1166" s="2" t="s">
        <v>1645</v>
      </c>
      <c r="J1166" s="2" t="s">
        <v>35</v>
      </c>
      <c r="K1166" s="2" t="s">
        <v>9138</v>
      </c>
      <c r="L1166" s="2" t="s">
        <v>1645</v>
      </c>
      <c r="M1166" s="2" t="s">
        <v>762</v>
      </c>
      <c r="N1166" s="2" t="s">
        <v>9141</v>
      </c>
      <c r="O1166" s="2"/>
      <c r="P1166" s="2" t="s">
        <v>37</v>
      </c>
      <c r="Q1166" s="4" t="n">
        <v>8731</v>
      </c>
      <c r="R1166" s="2" t="s">
        <v>1402</v>
      </c>
      <c r="S1166" s="2" t="s">
        <v>39</v>
      </c>
      <c r="T1166" s="2" t="s">
        <v>40</v>
      </c>
      <c r="U1166" s="2" t="s">
        <v>9142</v>
      </c>
      <c r="V1166" s="2"/>
      <c r="W1166" s="2" t="s">
        <v>42</v>
      </c>
      <c r="X1166" s="2" t="s">
        <v>43</v>
      </c>
      <c r="Y1166" s="2" t="s">
        <v>37</v>
      </c>
      <c r="Z1166" s="2" t="s">
        <v>44</v>
      </c>
      <c r="AA1166" s="2"/>
      <c r="AB1166" s="2"/>
      <c r="AC1166" s="2" t="s">
        <v>9143</v>
      </c>
      <c r="AD1166" s="2" t="s">
        <v>46</v>
      </c>
    </row>
    <row r="1167" customFormat="false" ht="15.7" hidden="false" customHeight="true" outlineLevel="0" collapsed="false">
      <c r="A1167" s="2"/>
      <c r="B1167" s="3" t="n">
        <f aca="false">DATE(2008,6,30)</f>
        <v>0</v>
      </c>
      <c r="C1167" s="3" t="n">
        <v>39629</v>
      </c>
      <c r="D1167" s="2" t="s">
        <v>9144</v>
      </c>
      <c r="F1167" s="2" t="s">
        <v>9145</v>
      </c>
      <c r="G1167" s="2" t="s">
        <v>9146</v>
      </c>
      <c r="H1167" s="2" t="s">
        <v>9147</v>
      </c>
      <c r="I1167" s="2" t="s">
        <v>1203</v>
      </c>
      <c r="J1167" s="2" t="s">
        <v>35</v>
      </c>
      <c r="K1167" s="2" t="s">
        <v>9144</v>
      </c>
      <c r="L1167" s="2" t="s">
        <v>1203</v>
      </c>
      <c r="M1167" s="2" t="s">
        <v>9147</v>
      </c>
      <c r="N1167" s="2" t="s">
        <v>9148</v>
      </c>
      <c r="O1167" s="2"/>
      <c r="P1167" s="2" t="s">
        <v>37</v>
      </c>
      <c r="Q1167" s="4" t="n">
        <v>8731</v>
      </c>
      <c r="R1167" s="2" t="s">
        <v>136</v>
      </c>
      <c r="S1167" s="2" t="s">
        <v>39</v>
      </c>
      <c r="T1167" s="2" t="s">
        <v>40</v>
      </c>
      <c r="U1167" s="2" t="s">
        <v>9149</v>
      </c>
      <c r="V1167" s="2"/>
      <c r="W1167" s="2" t="s">
        <v>42</v>
      </c>
      <c r="X1167" s="2" t="s">
        <v>43</v>
      </c>
      <c r="Y1167" s="2" t="s">
        <v>37</v>
      </c>
      <c r="Z1167" s="2" t="s">
        <v>44</v>
      </c>
      <c r="AA1167" s="2"/>
      <c r="AB1167" s="2"/>
      <c r="AC1167" s="2" t="s">
        <v>9150</v>
      </c>
      <c r="AD1167" s="2" t="s">
        <v>46</v>
      </c>
    </row>
    <row r="1168" customFormat="false" ht="15.7" hidden="false" customHeight="true" outlineLevel="0" collapsed="false">
      <c r="A1168" s="2"/>
      <c r="B1168" s="3" t="n">
        <f aca="false">DATE(2008,7,1)</f>
        <v>0</v>
      </c>
      <c r="C1168" s="3" t="n">
        <v>39630</v>
      </c>
      <c r="D1168" s="2" t="s">
        <v>9151</v>
      </c>
      <c r="F1168" s="2" t="s">
        <v>9152</v>
      </c>
      <c r="G1168" s="2" t="s">
        <v>9153</v>
      </c>
      <c r="H1168" s="2" t="s">
        <v>170</v>
      </c>
      <c r="I1168" s="2" t="s">
        <v>180</v>
      </c>
      <c r="J1168" s="2" t="s">
        <v>228</v>
      </c>
      <c r="K1168" s="2" t="s">
        <v>9151</v>
      </c>
      <c r="L1168" s="2" t="s">
        <v>180</v>
      </c>
      <c r="M1168" s="2" t="s">
        <v>170</v>
      </c>
      <c r="N1168" s="2" t="s">
        <v>9154</v>
      </c>
      <c r="O1168" s="2"/>
      <c r="P1168" s="2" t="s">
        <v>37</v>
      </c>
      <c r="Q1168" s="4" t="n">
        <v>2836</v>
      </c>
      <c r="R1168" s="2" t="s">
        <v>56</v>
      </c>
      <c r="S1168" s="2" t="s">
        <v>977</v>
      </c>
      <c r="T1168" s="2" t="s">
        <v>40</v>
      </c>
      <c r="U1168" s="2" t="s">
        <v>9155</v>
      </c>
      <c r="V1168" s="2"/>
      <c r="W1168" s="2" t="s">
        <v>107</v>
      </c>
      <c r="X1168" s="2" t="s">
        <v>43</v>
      </c>
      <c r="Y1168" s="2" t="s">
        <v>37</v>
      </c>
      <c r="Z1168" s="2" t="s">
        <v>44</v>
      </c>
      <c r="AA1168" s="2"/>
      <c r="AB1168" s="2"/>
      <c r="AC1168" s="2" t="s">
        <v>9156</v>
      </c>
      <c r="AD1168" s="2" t="s">
        <v>46</v>
      </c>
    </row>
    <row r="1169" customFormat="false" ht="15.7" hidden="false" customHeight="true" outlineLevel="0" collapsed="false">
      <c r="A1169" s="2"/>
      <c r="B1169" s="3" t="n">
        <f aca="false">DATE(2008,7,2)</f>
        <v>0</v>
      </c>
      <c r="C1169" s="3" t="n">
        <v>39631</v>
      </c>
      <c r="D1169" s="2" t="s">
        <v>9157</v>
      </c>
      <c r="F1169" s="2" t="s">
        <v>9158</v>
      </c>
      <c r="G1169" s="2" t="s">
        <v>9159</v>
      </c>
      <c r="H1169" s="2" t="s">
        <v>9160</v>
      </c>
      <c r="I1169" s="2" t="s">
        <v>34</v>
      </c>
      <c r="J1169" s="2" t="s">
        <v>35</v>
      </c>
      <c r="K1169" s="2" t="s">
        <v>9157</v>
      </c>
      <c r="L1169" s="2" t="s">
        <v>34</v>
      </c>
      <c r="M1169" s="2" t="s">
        <v>9160</v>
      </c>
      <c r="N1169" s="2" t="s">
        <v>9161</v>
      </c>
      <c r="O1169" s="2"/>
      <c r="P1169" s="2" t="s">
        <v>37</v>
      </c>
      <c r="Q1169" s="4" t="n">
        <v>8731</v>
      </c>
      <c r="R1169" s="2" t="s">
        <v>38</v>
      </c>
      <c r="S1169" s="2" t="s">
        <v>39</v>
      </c>
      <c r="T1169" s="2" t="s">
        <v>40</v>
      </c>
      <c r="U1169" s="2" t="s">
        <v>9162</v>
      </c>
      <c r="V1169" s="2"/>
      <c r="W1169" s="2" t="s">
        <v>697</v>
      </c>
      <c r="X1169" s="2" t="s">
        <v>43</v>
      </c>
      <c r="Y1169" s="2" t="s">
        <v>37</v>
      </c>
      <c r="Z1169" s="2" t="s">
        <v>44</v>
      </c>
      <c r="AA1169" s="2" t="s">
        <v>9163</v>
      </c>
      <c r="AB1169" s="2"/>
      <c r="AC1169" s="2" t="s">
        <v>9164</v>
      </c>
      <c r="AD1169" s="2" t="s">
        <v>46</v>
      </c>
    </row>
    <row r="1170" customFormat="false" ht="15.7" hidden="false" customHeight="true" outlineLevel="0" collapsed="false">
      <c r="A1170" s="2"/>
      <c r="B1170" s="3" t="n">
        <f aca="false">DATE(2008,7,2)</f>
        <v>0</v>
      </c>
      <c r="C1170" s="3" t="n">
        <v>39631</v>
      </c>
      <c r="D1170" s="2" t="s">
        <v>9165</v>
      </c>
      <c r="F1170" s="2" t="s">
        <v>9166</v>
      </c>
      <c r="G1170" s="2" t="s">
        <v>9167</v>
      </c>
      <c r="H1170" s="2" t="s">
        <v>130</v>
      </c>
      <c r="I1170" s="2" t="s">
        <v>1431</v>
      </c>
      <c r="J1170" s="2" t="s">
        <v>313</v>
      </c>
      <c r="K1170" s="2" t="s">
        <v>9168</v>
      </c>
      <c r="L1170" s="2" t="s">
        <v>1431</v>
      </c>
      <c r="M1170" s="2" t="s">
        <v>230</v>
      </c>
      <c r="N1170" s="2" t="s">
        <v>9169</v>
      </c>
      <c r="O1170" s="2"/>
      <c r="P1170" s="2" t="s">
        <v>37</v>
      </c>
      <c r="Q1170" s="4" t="n">
        <v>2834</v>
      </c>
      <c r="R1170" s="2" t="s">
        <v>1448</v>
      </c>
      <c r="S1170" s="2" t="s">
        <v>39</v>
      </c>
      <c r="T1170" s="2" t="s">
        <v>40</v>
      </c>
      <c r="U1170" s="2" t="s">
        <v>9170</v>
      </c>
      <c r="V1170" s="2"/>
      <c r="W1170" s="2" t="s">
        <v>107</v>
      </c>
      <c r="X1170" s="2" t="s">
        <v>43</v>
      </c>
      <c r="Y1170" s="2" t="s">
        <v>37</v>
      </c>
      <c r="Z1170" s="2" t="s">
        <v>44</v>
      </c>
      <c r="AA1170" s="2"/>
      <c r="AB1170" s="2"/>
      <c r="AC1170" s="2" t="s">
        <v>9171</v>
      </c>
      <c r="AD1170" s="2" t="s">
        <v>46</v>
      </c>
    </row>
    <row r="1171" customFormat="false" ht="15.7" hidden="false" customHeight="true" outlineLevel="0" collapsed="false">
      <c r="A1171" s="2"/>
      <c r="B1171" s="3" t="n">
        <f aca="false">DATE(2008,7,3)</f>
        <v>0</v>
      </c>
      <c r="C1171" s="3" t="n">
        <v>39632</v>
      </c>
      <c r="D1171" s="2" t="s">
        <v>9172</v>
      </c>
      <c r="F1171" s="2" t="s">
        <v>9173</v>
      </c>
      <c r="G1171" s="2" t="s">
        <v>9174</v>
      </c>
      <c r="H1171" s="2" t="s">
        <v>2271</v>
      </c>
      <c r="I1171" s="2" t="s">
        <v>685</v>
      </c>
      <c r="J1171" s="2" t="s">
        <v>35</v>
      </c>
      <c r="K1171" s="2" t="s">
        <v>9172</v>
      </c>
      <c r="L1171" s="2" t="s">
        <v>685</v>
      </c>
      <c r="M1171" s="2" t="s">
        <v>2271</v>
      </c>
      <c r="N1171" s="2" t="s">
        <v>9175</v>
      </c>
      <c r="O1171" s="2"/>
      <c r="P1171" s="2" t="s">
        <v>37</v>
      </c>
      <c r="Q1171" s="4" t="n">
        <v>8731</v>
      </c>
      <c r="R1171" s="2" t="s">
        <v>136</v>
      </c>
      <c r="S1171" s="2" t="s">
        <v>39</v>
      </c>
      <c r="T1171" s="2" t="s">
        <v>40</v>
      </c>
      <c r="U1171" s="2" t="s">
        <v>9176</v>
      </c>
      <c r="V1171" s="2"/>
      <c r="W1171" s="2" t="s">
        <v>42</v>
      </c>
      <c r="X1171" s="2" t="s">
        <v>43</v>
      </c>
      <c r="Y1171" s="2" t="s">
        <v>37</v>
      </c>
      <c r="Z1171" s="2" t="s">
        <v>44</v>
      </c>
      <c r="AA1171" s="2"/>
      <c r="AB1171" s="2"/>
      <c r="AC1171" s="2" t="s">
        <v>9177</v>
      </c>
      <c r="AD1171" s="2" t="s">
        <v>46</v>
      </c>
    </row>
    <row r="1172" customFormat="false" ht="15.7" hidden="false" customHeight="true" outlineLevel="0" collapsed="false">
      <c r="A1172" s="2"/>
      <c r="B1172" s="3" t="n">
        <f aca="false">DATE(2008,7,3)</f>
        <v>0</v>
      </c>
      <c r="C1172" s="3" t="n">
        <v>39632</v>
      </c>
      <c r="D1172" s="2" t="s">
        <v>9178</v>
      </c>
      <c r="F1172" s="2" t="s">
        <v>9179</v>
      </c>
      <c r="G1172" s="2" t="s">
        <v>9180</v>
      </c>
      <c r="H1172" s="2" t="s">
        <v>63</v>
      </c>
      <c r="I1172" s="2" t="s">
        <v>965</v>
      </c>
      <c r="J1172" s="2" t="s">
        <v>795</v>
      </c>
      <c r="K1172" s="2" t="s">
        <v>9178</v>
      </c>
      <c r="L1172" s="2" t="s">
        <v>965</v>
      </c>
      <c r="M1172" s="2" t="s">
        <v>63</v>
      </c>
      <c r="N1172" s="2" t="s">
        <v>9181</v>
      </c>
      <c r="O1172" s="2"/>
      <c r="P1172" s="2" t="s">
        <v>37</v>
      </c>
      <c r="Q1172" s="4" t="n">
        <v>8731</v>
      </c>
      <c r="R1172" s="2" t="s">
        <v>136</v>
      </c>
      <c r="S1172" s="2" t="s">
        <v>39</v>
      </c>
      <c r="T1172" s="2" t="s">
        <v>40</v>
      </c>
      <c r="U1172" s="2" t="s">
        <v>9182</v>
      </c>
      <c r="V1172" s="2"/>
      <c r="W1172" s="2" t="s">
        <v>42</v>
      </c>
      <c r="X1172" s="2" t="s">
        <v>43</v>
      </c>
      <c r="Y1172" s="2" t="s">
        <v>37</v>
      </c>
      <c r="Z1172" s="2" t="s">
        <v>44</v>
      </c>
      <c r="AA1172" s="2"/>
      <c r="AB1172" s="2"/>
      <c r="AC1172" s="2" t="s">
        <v>9183</v>
      </c>
      <c r="AD1172" s="2" t="s">
        <v>46</v>
      </c>
    </row>
    <row r="1173" customFormat="false" ht="15.7" hidden="false" customHeight="true" outlineLevel="0" collapsed="false">
      <c r="A1173" s="2"/>
      <c r="B1173" s="3" t="n">
        <f aca="false">DATE(2008,7,3)</f>
        <v>0</v>
      </c>
      <c r="C1173" s="3" t="n">
        <v>39632</v>
      </c>
      <c r="D1173" s="2" t="s">
        <v>9184</v>
      </c>
      <c r="F1173" s="2" t="s">
        <v>9185</v>
      </c>
      <c r="G1173" s="2" t="s">
        <v>9186</v>
      </c>
      <c r="H1173" s="2" t="s">
        <v>9187</v>
      </c>
      <c r="I1173" s="2" t="s">
        <v>7670</v>
      </c>
      <c r="J1173" s="2" t="s">
        <v>35</v>
      </c>
      <c r="K1173" s="2" t="s">
        <v>9188</v>
      </c>
      <c r="L1173" s="2" t="s">
        <v>7670</v>
      </c>
      <c r="M1173" s="2" t="s">
        <v>9189</v>
      </c>
      <c r="N1173" s="2" t="s">
        <v>9190</v>
      </c>
      <c r="O1173" s="2"/>
      <c r="P1173" s="2" t="s">
        <v>37</v>
      </c>
      <c r="Q1173" s="4" t="n">
        <v>8731</v>
      </c>
      <c r="R1173" s="2" t="s">
        <v>688</v>
      </c>
      <c r="S1173" s="2" t="s">
        <v>39</v>
      </c>
      <c r="T1173" s="2" t="s">
        <v>40</v>
      </c>
      <c r="U1173" s="2" t="s">
        <v>9191</v>
      </c>
      <c r="V1173" s="2"/>
      <c r="W1173" s="2" t="s">
        <v>42</v>
      </c>
      <c r="X1173" s="2" t="s">
        <v>43</v>
      </c>
      <c r="Y1173" s="2" t="s">
        <v>37</v>
      </c>
      <c r="Z1173" s="2" t="s">
        <v>44</v>
      </c>
      <c r="AA1173" s="2"/>
      <c r="AB1173" s="2"/>
      <c r="AC1173" s="2" t="s">
        <v>9192</v>
      </c>
      <c r="AD1173" s="2" t="s">
        <v>46</v>
      </c>
    </row>
    <row r="1174" customFormat="false" ht="15.7" hidden="false" customHeight="true" outlineLevel="0" collapsed="false">
      <c r="A1174" s="2"/>
      <c r="B1174" s="3" t="n">
        <f aca="false">DATE(2008,7,8)</f>
        <v>0</v>
      </c>
      <c r="C1174" s="3" t="n">
        <v>39637</v>
      </c>
      <c r="D1174" s="2" t="s">
        <v>9193</v>
      </c>
      <c r="F1174" s="2" t="s">
        <v>9194</v>
      </c>
      <c r="G1174" s="2" t="s">
        <v>9195</v>
      </c>
      <c r="H1174" s="2" t="s">
        <v>9196</v>
      </c>
      <c r="I1174" s="2" t="s">
        <v>2727</v>
      </c>
      <c r="J1174" s="2" t="s">
        <v>35</v>
      </c>
      <c r="K1174" s="2" t="s">
        <v>9197</v>
      </c>
      <c r="L1174" s="2" t="s">
        <v>8326</v>
      </c>
      <c r="M1174" s="2" t="s">
        <v>9198</v>
      </c>
      <c r="N1174" s="2" t="s">
        <v>9199</v>
      </c>
      <c r="O1174" s="2"/>
      <c r="P1174" s="2" t="s">
        <v>37</v>
      </c>
      <c r="Q1174" s="4" t="n">
        <v>8731</v>
      </c>
      <c r="R1174" s="2" t="s">
        <v>402</v>
      </c>
      <c r="S1174" s="2" t="s">
        <v>39</v>
      </c>
      <c r="T1174" s="2" t="s">
        <v>673</v>
      </c>
      <c r="U1174" s="2" t="s">
        <v>9200</v>
      </c>
      <c r="V1174" s="2"/>
      <c r="W1174" s="2" t="s">
        <v>42</v>
      </c>
      <c r="X1174" s="2" t="s">
        <v>43</v>
      </c>
      <c r="Y1174" s="2" t="s">
        <v>37</v>
      </c>
      <c r="Z1174" s="2" t="s">
        <v>44</v>
      </c>
      <c r="AA1174" s="2"/>
      <c r="AB1174" s="2"/>
      <c r="AC1174" s="2" t="s">
        <v>9201</v>
      </c>
      <c r="AD1174" s="2" t="s">
        <v>46</v>
      </c>
    </row>
    <row r="1175" customFormat="false" ht="15.7" hidden="false" customHeight="true" outlineLevel="0" collapsed="false">
      <c r="A1175" s="2"/>
      <c r="B1175" s="3" t="n">
        <f aca="false">DATE(2008,7,11)</f>
        <v>0</v>
      </c>
      <c r="C1175" s="3" t="n">
        <v>39640</v>
      </c>
      <c r="D1175" s="2" t="s">
        <v>9202</v>
      </c>
      <c r="F1175" s="2" t="s">
        <v>9203</v>
      </c>
      <c r="G1175" s="2" t="s">
        <v>9204</v>
      </c>
      <c r="H1175" s="2" t="s">
        <v>2283</v>
      </c>
      <c r="I1175" s="2" t="s">
        <v>4325</v>
      </c>
      <c r="J1175" s="2" t="s">
        <v>35</v>
      </c>
      <c r="K1175" s="2" t="s">
        <v>9205</v>
      </c>
      <c r="L1175" s="2" t="s">
        <v>2727</v>
      </c>
      <c r="M1175" s="2" t="s">
        <v>2283</v>
      </c>
      <c r="N1175" s="2" t="s">
        <v>9206</v>
      </c>
      <c r="O1175" s="2"/>
      <c r="P1175" s="2" t="s">
        <v>37</v>
      </c>
      <c r="Q1175" s="4" t="n">
        <v>8731</v>
      </c>
      <c r="R1175" s="2" t="s">
        <v>402</v>
      </c>
      <c r="S1175" s="2" t="s">
        <v>39</v>
      </c>
      <c r="T1175" s="2" t="s">
        <v>403</v>
      </c>
      <c r="U1175" s="2" t="s">
        <v>9207</v>
      </c>
      <c r="V1175" s="2"/>
      <c r="W1175" s="2" t="s">
        <v>2636</v>
      </c>
      <c r="X1175" s="2" t="s">
        <v>46</v>
      </c>
      <c r="Y1175" s="2" t="s">
        <v>37</v>
      </c>
      <c r="Z1175" s="2" t="s">
        <v>2565</v>
      </c>
      <c r="AA1175" s="2"/>
      <c r="AB1175" s="2"/>
      <c r="AC1175" s="2" t="s">
        <v>9208</v>
      </c>
      <c r="AD1175" s="2" t="s">
        <v>46</v>
      </c>
    </row>
    <row r="1176" customFormat="false" ht="15.7" hidden="false" customHeight="true" outlineLevel="0" collapsed="false">
      <c r="A1176" s="2"/>
      <c r="B1176" s="3" t="n">
        <f aca="false">DATE(2008,7,14)</f>
        <v>0</v>
      </c>
      <c r="C1176" s="3" t="n">
        <v>39643</v>
      </c>
      <c r="D1176" s="2" t="s">
        <v>9209</v>
      </c>
      <c r="F1176" s="2" t="s">
        <v>9210</v>
      </c>
      <c r="G1176" s="2" t="s">
        <v>9211</v>
      </c>
      <c r="H1176" s="2" t="s">
        <v>130</v>
      </c>
      <c r="I1176" s="2" t="s">
        <v>9212</v>
      </c>
      <c r="J1176" s="2" t="s">
        <v>35</v>
      </c>
      <c r="K1176" s="2" t="s">
        <v>9209</v>
      </c>
      <c r="L1176" s="2" t="s">
        <v>9212</v>
      </c>
      <c r="M1176" s="2" t="s">
        <v>130</v>
      </c>
      <c r="N1176" s="2" t="s">
        <v>9213</v>
      </c>
      <c r="O1176" s="2"/>
      <c r="P1176" s="2" t="s">
        <v>37</v>
      </c>
      <c r="Q1176" s="4" t="n">
        <v>8731</v>
      </c>
      <c r="R1176" s="2" t="s">
        <v>136</v>
      </c>
      <c r="S1176" s="2" t="s">
        <v>39</v>
      </c>
      <c r="T1176" s="2" t="s">
        <v>40</v>
      </c>
      <c r="U1176" s="2" t="s">
        <v>9214</v>
      </c>
      <c r="V1176" s="2"/>
      <c r="W1176" s="2" t="s">
        <v>138</v>
      </c>
      <c r="X1176" s="2" t="s">
        <v>43</v>
      </c>
      <c r="Y1176" s="2" t="s">
        <v>37</v>
      </c>
      <c r="Z1176" s="2" t="s">
        <v>44</v>
      </c>
      <c r="AA1176" s="2" t="s">
        <v>9215</v>
      </c>
      <c r="AB1176" s="2"/>
      <c r="AC1176" s="2" t="s">
        <v>9216</v>
      </c>
      <c r="AD1176" s="2" t="s">
        <v>46</v>
      </c>
    </row>
    <row r="1177" customFormat="false" ht="15.7" hidden="false" customHeight="true" outlineLevel="0" collapsed="false">
      <c r="A1177" s="2"/>
      <c r="B1177" s="3" t="n">
        <f aca="false">DATE(2008,7,14)</f>
        <v>0</v>
      </c>
      <c r="C1177" s="3" t="n">
        <v>39643</v>
      </c>
      <c r="D1177" s="2" t="s">
        <v>9217</v>
      </c>
      <c r="F1177" s="2" t="s">
        <v>9218</v>
      </c>
      <c r="G1177" s="2" t="s">
        <v>9219</v>
      </c>
      <c r="H1177" s="2" t="s">
        <v>130</v>
      </c>
      <c r="I1177" s="2" t="s">
        <v>88</v>
      </c>
      <c r="J1177" s="2" t="s">
        <v>514</v>
      </c>
      <c r="K1177" s="2" t="s">
        <v>9217</v>
      </c>
      <c r="L1177" s="2" t="s">
        <v>88</v>
      </c>
      <c r="M1177" s="2" t="s">
        <v>130</v>
      </c>
      <c r="N1177" s="2" t="s">
        <v>9220</v>
      </c>
      <c r="O1177" s="2"/>
      <c r="P1177" s="2" t="s">
        <v>37</v>
      </c>
      <c r="Q1177" s="4" t="n">
        <v>6794</v>
      </c>
      <c r="R1177" s="2" t="s">
        <v>136</v>
      </c>
      <c r="S1177" s="2" t="s">
        <v>39</v>
      </c>
      <c r="T1177" s="2" t="s">
        <v>403</v>
      </c>
      <c r="U1177" s="2" t="s">
        <v>9221</v>
      </c>
      <c r="V1177" s="2"/>
      <c r="W1177" s="2" t="s">
        <v>4844</v>
      </c>
      <c r="X1177" s="2" t="s">
        <v>43</v>
      </c>
      <c r="Y1177" s="2" t="s">
        <v>37</v>
      </c>
      <c r="Z1177" s="2" t="s">
        <v>44</v>
      </c>
      <c r="AA1177" s="2"/>
      <c r="AB1177" s="2"/>
      <c r="AC1177" s="2" t="s">
        <v>9222</v>
      </c>
      <c r="AD1177" s="2" t="s">
        <v>46</v>
      </c>
    </row>
    <row r="1178" customFormat="false" ht="15.7" hidden="false" customHeight="true" outlineLevel="0" collapsed="false">
      <c r="A1178" s="2"/>
      <c r="B1178" s="3" t="n">
        <f aca="false">DATE(2008,7,14)</f>
        <v>0</v>
      </c>
      <c r="C1178" s="3" t="n">
        <v>39643</v>
      </c>
      <c r="D1178" s="2" t="s">
        <v>9223</v>
      </c>
      <c r="F1178" s="2" t="s">
        <v>3594</v>
      </c>
      <c r="G1178" s="2" t="s">
        <v>9224</v>
      </c>
      <c r="H1178" s="2" t="s">
        <v>170</v>
      </c>
      <c r="I1178" s="2" t="s">
        <v>1904</v>
      </c>
      <c r="J1178" s="2" t="s">
        <v>132</v>
      </c>
      <c r="K1178" s="2" t="s">
        <v>9225</v>
      </c>
      <c r="L1178" s="2" t="s">
        <v>1904</v>
      </c>
      <c r="M1178" s="2" t="s">
        <v>305</v>
      </c>
      <c r="N1178" s="2" t="s">
        <v>9226</v>
      </c>
      <c r="O1178" s="2"/>
      <c r="P1178" s="2" t="s">
        <v>37</v>
      </c>
      <c r="Q1178" s="4" t="n">
        <v>8731</v>
      </c>
      <c r="R1178" s="2" t="s">
        <v>450</v>
      </c>
      <c r="S1178" s="2" t="s">
        <v>39</v>
      </c>
      <c r="T1178" s="2" t="s">
        <v>40</v>
      </c>
      <c r="U1178" s="2" t="s">
        <v>9227</v>
      </c>
      <c r="V1178" s="2"/>
      <c r="W1178" s="2" t="s">
        <v>42</v>
      </c>
      <c r="X1178" s="2" t="s">
        <v>43</v>
      </c>
      <c r="Y1178" s="2" t="s">
        <v>37</v>
      </c>
      <c r="Z1178" s="2" t="s">
        <v>44</v>
      </c>
      <c r="AA1178" s="2"/>
      <c r="AB1178" s="2"/>
      <c r="AC1178" s="2" t="s">
        <v>9228</v>
      </c>
      <c r="AD1178" s="2" t="s">
        <v>46</v>
      </c>
    </row>
    <row r="1179" customFormat="false" ht="15.7" hidden="false" customHeight="true" outlineLevel="0" collapsed="false">
      <c r="A1179" s="2"/>
      <c r="B1179" s="3" t="n">
        <f aca="false">DATE(2008,7,15)</f>
        <v>0</v>
      </c>
      <c r="C1179" s="3" t="n">
        <v>39644</v>
      </c>
      <c r="D1179" s="2" t="s">
        <v>9229</v>
      </c>
      <c r="F1179" s="2" t="s">
        <v>9230</v>
      </c>
      <c r="G1179" s="2" t="s">
        <v>9231</v>
      </c>
      <c r="H1179" s="2" t="s">
        <v>9232</v>
      </c>
      <c r="I1179" s="2" t="s">
        <v>9233</v>
      </c>
      <c r="J1179" s="2" t="s">
        <v>35</v>
      </c>
      <c r="K1179" s="2" t="s">
        <v>9234</v>
      </c>
      <c r="L1179" s="2" t="s">
        <v>4307</v>
      </c>
      <c r="M1179" s="2" t="s">
        <v>9235</v>
      </c>
      <c r="N1179" s="2" t="s">
        <v>9236</v>
      </c>
      <c r="O1179" s="2"/>
      <c r="P1179" s="2" t="s">
        <v>37</v>
      </c>
      <c r="Q1179" s="4" t="n">
        <v>8731</v>
      </c>
      <c r="R1179" s="2" t="s">
        <v>136</v>
      </c>
      <c r="S1179" s="2" t="s">
        <v>39</v>
      </c>
      <c r="T1179" s="2" t="s">
        <v>40</v>
      </c>
      <c r="U1179" s="2" t="s">
        <v>9237</v>
      </c>
      <c r="V1179" s="2"/>
      <c r="W1179" s="2" t="s">
        <v>42</v>
      </c>
      <c r="X1179" s="2" t="s">
        <v>43</v>
      </c>
      <c r="Y1179" s="2" t="s">
        <v>37</v>
      </c>
      <c r="Z1179" s="2" t="s">
        <v>44</v>
      </c>
      <c r="AA1179" s="2"/>
      <c r="AB1179" s="2"/>
      <c r="AC1179" s="2" t="s">
        <v>9238</v>
      </c>
      <c r="AD1179" s="2" t="s">
        <v>46</v>
      </c>
    </row>
    <row r="1180" customFormat="false" ht="15.7" hidden="false" customHeight="true" outlineLevel="0" collapsed="false">
      <c r="A1180" s="2"/>
      <c r="B1180" s="3" t="n">
        <f aca="false">DATE(2008,7,15)</f>
        <v>0</v>
      </c>
      <c r="C1180" s="3" t="n">
        <v>39644</v>
      </c>
      <c r="D1180" s="2" t="s">
        <v>9239</v>
      </c>
      <c r="F1180" s="2" t="s">
        <v>9240</v>
      </c>
      <c r="G1180" s="2" t="s">
        <v>9241</v>
      </c>
      <c r="H1180" s="2" t="s">
        <v>9242</v>
      </c>
      <c r="I1180" s="2" t="s">
        <v>549</v>
      </c>
      <c r="J1180" s="2" t="s">
        <v>3492</v>
      </c>
      <c r="K1180" s="2" t="s">
        <v>9239</v>
      </c>
      <c r="L1180" s="2" t="s">
        <v>549</v>
      </c>
      <c r="M1180" s="2" t="s">
        <v>9242</v>
      </c>
      <c r="N1180" s="2" t="s">
        <v>9243</v>
      </c>
      <c r="O1180" s="2"/>
      <c r="P1180" s="2" t="s">
        <v>37</v>
      </c>
      <c r="Q1180" s="4" t="n">
        <v>8731</v>
      </c>
      <c r="R1180" s="2" t="s">
        <v>136</v>
      </c>
      <c r="S1180" s="2" t="s">
        <v>39</v>
      </c>
      <c r="T1180" s="2" t="s">
        <v>40</v>
      </c>
      <c r="U1180" s="2" t="s">
        <v>9244</v>
      </c>
      <c r="V1180" s="2"/>
      <c r="W1180" s="2" t="s">
        <v>42</v>
      </c>
      <c r="X1180" s="2" t="s">
        <v>43</v>
      </c>
      <c r="Y1180" s="2" t="s">
        <v>37</v>
      </c>
      <c r="Z1180" s="2" t="s">
        <v>44</v>
      </c>
      <c r="AA1180" s="2"/>
      <c r="AB1180" s="2"/>
      <c r="AC1180" s="2" t="s">
        <v>9245</v>
      </c>
      <c r="AD1180" s="2" t="s">
        <v>46</v>
      </c>
    </row>
    <row r="1181" customFormat="false" ht="15.7" hidden="false" customHeight="true" outlineLevel="0" collapsed="false">
      <c r="A1181" s="2"/>
      <c r="B1181" s="3" t="n">
        <f aca="false">DATE(2008,7,15)</f>
        <v>0</v>
      </c>
      <c r="C1181" s="3" t="n">
        <v>39644</v>
      </c>
      <c r="D1181" s="2" t="s">
        <v>9246</v>
      </c>
      <c r="F1181" s="2" t="s">
        <v>9247</v>
      </c>
      <c r="G1181" s="2" t="s">
        <v>9248</v>
      </c>
      <c r="H1181" s="2" t="s">
        <v>6185</v>
      </c>
      <c r="I1181" s="2" t="s">
        <v>51</v>
      </c>
      <c r="J1181" s="2" t="s">
        <v>171</v>
      </c>
      <c r="K1181" s="2" t="s">
        <v>9246</v>
      </c>
      <c r="L1181" s="2" t="s">
        <v>51</v>
      </c>
      <c r="M1181" s="2" t="s">
        <v>6185</v>
      </c>
      <c r="N1181" s="2" t="s">
        <v>9249</v>
      </c>
      <c r="O1181" s="2"/>
      <c r="P1181" s="2" t="s">
        <v>37</v>
      </c>
      <c r="Q1181" s="4" t="n">
        <v>8731</v>
      </c>
      <c r="R1181" s="2" t="s">
        <v>56</v>
      </c>
      <c r="S1181" s="2" t="s">
        <v>92</v>
      </c>
      <c r="T1181" s="2" t="s">
        <v>40</v>
      </c>
      <c r="U1181" s="2" t="s">
        <v>9250</v>
      </c>
      <c r="V1181" s="2"/>
      <c r="W1181" s="2" t="s">
        <v>42</v>
      </c>
      <c r="X1181" s="2" t="s">
        <v>43</v>
      </c>
      <c r="Y1181" s="2" t="s">
        <v>37</v>
      </c>
      <c r="Z1181" s="2" t="s">
        <v>44</v>
      </c>
      <c r="AA1181" s="2"/>
      <c r="AB1181" s="2"/>
      <c r="AC1181" s="2" t="s">
        <v>9251</v>
      </c>
      <c r="AD1181" s="2" t="s">
        <v>46</v>
      </c>
    </row>
    <row r="1182" customFormat="false" ht="15.7" hidden="false" customHeight="true" outlineLevel="0" collapsed="false">
      <c r="A1182" s="2"/>
      <c r="B1182" s="3" t="n">
        <f aca="false">DATE(2008,7,17)</f>
        <v>0</v>
      </c>
      <c r="C1182" s="3" t="n">
        <v>39646</v>
      </c>
      <c r="D1182" s="2" t="s">
        <v>9252</v>
      </c>
      <c r="F1182" s="2" t="s">
        <v>9253</v>
      </c>
      <c r="G1182" s="2" t="s">
        <v>9254</v>
      </c>
      <c r="H1182" s="2" t="s">
        <v>9255</v>
      </c>
      <c r="I1182" s="2" t="s">
        <v>219</v>
      </c>
      <c r="J1182" s="2" t="s">
        <v>9256</v>
      </c>
      <c r="K1182" s="2" t="s">
        <v>9257</v>
      </c>
      <c r="L1182" s="2" t="s">
        <v>34</v>
      </c>
      <c r="M1182" s="2" t="s">
        <v>9258</v>
      </c>
      <c r="N1182" s="2" t="s">
        <v>9259</v>
      </c>
      <c r="O1182" s="2" t="s">
        <v>9260</v>
      </c>
      <c r="P1182" s="2" t="s">
        <v>37</v>
      </c>
      <c r="Q1182" s="4" t="n">
        <v>8731</v>
      </c>
      <c r="R1182" s="2" t="s">
        <v>56</v>
      </c>
      <c r="S1182" s="2" t="s">
        <v>507</v>
      </c>
      <c r="T1182" s="2" t="s">
        <v>40</v>
      </c>
      <c r="U1182" s="2" t="s">
        <v>9261</v>
      </c>
      <c r="V1182" s="2"/>
      <c r="W1182" s="2" t="s">
        <v>42</v>
      </c>
      <c r="X1182" s="2" t="s">
        <v>46</v>
      </c>
      <c r="Y1182" s="2" t="s">
        <v>37</v>
      </c>
      <c r="Z1182" s="2" t="s">
        <v>362</v>
      </c>
      <c r="AA1182" s="2"/>
      <c r="AB1182" s="2" t="s">
        <v>9262</v>
      </c>
      <c r="AC1182" s="2" t="s">
        <v>9263</v>
      </c>
      <c r="AD1182" s="2" t="s">
        <v>46</v>
      </c>
    </row>
    <row r="1183" customFormat="false" ht="15.7" hidden="false" customHeight="true" outlineLevel="0" collapsed="false">
      <c r="A1183" s="2"/>
      <c r="B1183" s="3" t="n">
        <f aca="false">DATE(2008,7,18)</f>
        <v>0</v>
      </c>
      <c r="C1183" s="3" t="n">
        <v>39647</v>
      </c>
      <c r="D1183" s="2" t="s">
        <v>9264</v>
      </c>
      <c r="F1183" s="2" t="s">
        <v>9265</v>
      </c>
      <c r="G1183" s="2" t="s">
        <v>9266</v>
      </c>
      <c r="H1183" s="2" t="s">
        <v>9267</v>
      </c>
      <c r="I1183" s="2" t="s">
        <v>9268</v>
      </c>
      <c r="J1183" s="2" t="s">
        <v>35</v>
      </c>
      <c r="K1183" s="2" t="s">
        <v>9264</v>
      </c>
      <c r="L1183" s="2" t="s">
        <v>9268</v>
      </c>
      <c r="M1183" s="2" t="s">
        <v>9267</v>
      </c>
      <c r="N1183" s="2" t="s">
        <v>9269</v>
      </c>
      <c r="O1183" s="2"/>
      <c r="P1183" s="2" t="s">
        <v>37</v>
      </c>
      <c r="Q1183" s="4" t="n">
        <v>8731</v>
      </c>
      <c r="R1183" s="2" t="s">
        <v>402</v>
      </c>
      <c r="S1183" s="2" t="s">
        <v>39</v>
      </c>
      <c r="T1183" s="2" t="s">
        <v>40</v>
      </c>
      <c r="U1183" s="2" t="s">
        <v>9270</v>
      </c>
      <c r="V1183" s="2"/>
      <c r="W1183" s="2" t="s">
        <v>42</v>
      </c>
      <c r="X1183" s="2" t="s">
        <v>43</v>
      </c>
      <c r="Y1183" s="2" t="s">
        <v>37</v>
      </c>
      <c r="Z1183" s="2" t="s">
        <v>44</v>
      </c>
      <c r="AA1183" s="2"/>
      <c r="AB1183" s="2"/>
      <c r="AC1183" s="2" t="s">
        <v>9271</v>
      </c>
      <c r="AD1183" s="2" t="s">
        <v>46</v>
      </c>
    </row>
    <row r="1184" customFormat="false" ht="15.7" hidden="false" customHeight="true" outlineLevel="0" collapsed="false">
      <c r="A1184" s="2"/>
      <c r="B1184" s="3" t="n">
        <f aca="false">DATE(2008,7,21)</f>
        <v>0</v>
      </c>
      <c r="C1184" s="3" t="n">
        <v>39650</v>
      </c>
      <c r="D1184" s="2" t="s">
        <v>9272</v>
      </c>
      <c r="F1184" s="2" t="s">
        <v>9273</v>
      </c>
      <c r="G1184" s="2" t="s">
        <v>9274</v>
      </c>
      <c r="H1184" s="2" t="s">
        <v>9275</v>
      </c>
      <c r="I1184" s="2" t="s">
        <v>540</v>
      </c>
      <c r="J1184" s="2" t="s">
        <v>35</v>
      </c>
      <c r="K1184" s="2" t="s">
        <v>9272</v>
      </c>
      <c r="L1184" s="2" t="s">
        <v>540</v>
      </c>
      <c r="M1184" s="2" t="s">
        <v>9275</v>
      </c>
      <c r="N1184" s="2" t="s">
        <v>9276</v>
      </c>
      <c r="O1184" s="2"/>
      <c r="P1184" s="2" t="s">
        <v>37</v>
      </c>
      <c r="Q1184" s="4" t="n">
        <v>8731</v>
      </c>
      <c r="R1184" s="2" t="s">
        <v>1448</v>
      </c>
      <c r="S1184" s="2" t="s">
        <v>39</v>
      </c>
      <c r="T1184" s="2" t="s">
        <v>40</v>
      </c>
      <c r="U1184" s="2" t="s">
        <v>9277</v>
      </c>
      <c r="V1184" s="2"/>
      <c r="W1184" s="2" t="s">
        <v>42</v>
      </c>
      <c r="X1184" s="2" t="s">
        <v>43</v>
      </c>
      <c r="Y1184" s="2" t="s">
        <v>37</v>
      </c>
      <c r="Z1184" s="2" t="s">
        <v>44</v>
      </c>
      <c r="AA1184" s="2"/>
      <c r="AB1184" s="2"/>
      <c r="AC1184" s="2" t="s">
        <v>9278</v>
      </c>
      <c r="AD1184" s="2" t="s">
        <v>46</v>
      </c>
    </row>
    <row r="1185" customFormat="false" ht="15.7" hidden="false" customHeight="true" outlineLevel="0" collapsed="false">
      <c r="A1185" s="2"/>
      <c r="B1185" s="3" t="n">
        <f aca="false">DATE(2008,7,22)</f>
        <v>0</v>
      </c>
      <c r="C1185" s="3" t="n">
        <v>39651</v>
      </c>
      <c r="D1185" s="2" t="s">
        <v>9279</v>
      </c>
      <c r="F1185" s="2" t="s">
        <v>9280</v>
      </c>
      <c r="G1185" s="2" t="s">
        <v>9281</v>
      </c>
      <c r="H1185" s="2" t="s">
        <v>305</v>
      </c>
      <c r="I1185" s="2" t="s">
        <v>568</v>
      </c>
      <c r="J1185" s="2" t="s">
        <v>3054</v>
      </c>
      <c r="K1185" s="2" t="s">
        <v>9279</v>
      </c>
      <c r="L1185" s="2" t="s">
        <v>568</v>
      </c>
      <c r="M1185" s="2" t="s">
        <v>305</v>
      </c>
      <c r="N1185" s="2" t="s">
        <v>9282</v>
      </c>
      <c r="O1185" s="2"/>
      <c r="P1185" s="2" t="s">
        <v>37</v>
      </c>
      <c r="Q1185" s="4" t="n">
        <v>8731</v>
      </c>
      <c r="R1185" s="2" t="s">
        <v>136</v>
      </c>
      <c r="S1185" s="2" t="s">
        <v>39</v>
      </c>
      <c r="T1185" s="2" t="s">
        <v>40</v>
      </c>
      <c r="U1185" s="2" t="s">
        <v>9283</v>
      </c>
      <c r="V1185" s="2"/>
      <c r="W1185" s="2" t="s">
        <v>42</v>
      </c>
      <c r="X1185" s="2" t="s">
        <v>43</v>
      </c>
      <c r="Y1185" s="2" t="s">
        <v>37</v>
      </c>
      <c r="Z1185" s="2" t="s">
        <v>44</v>
      </c>
      <c r="AA1185" s="2"/>
      <c r="AB1185" s="2"/>
      <c r="AC1185" s="2" t="s">
        <v>9284</v>
      </c>
      <c r="AD1185" s="2" t="s">
        <v>46</v>
      </c>
    </row>
    <row r="1186" customFormat="false" ht="15.7" hidden="false" customHeight="true" outlineLevel="0" collapsed="false">
      <c r="A1186" s="2"/>
      <c r="B1186" s="3" t="n">
        <f aca="false">DATE(2008,7,22)</f>
        <v>0</v>
      </c>
      <c r="C1186" s="3" t="n">
        <v>39651</v>
      </c>
      <c r="D1186" s="2" t="s">
        <v>9285</v>
      </c>
      <c r="F1186" s="2" t="s">
        <v>9286</v>
      </c>
      <c r="G1186" s="2" t="s">
        <v>9287</v>
      </c>
      <c r="H1186" s="2" t="s">
        <v>9288</v>
      </c>
      <c r="I1186" s="2" t="s">
        <v>2522</v>
      </c>
      <c r="J1186" s="2" t="s">
        <v>625</v>
      </c>
      <c r="K1186" s="2" t="s">
        <v>9289</v>
      </c>
      <c r="L1186" s="2" t="s">
        <v>2522</v>
      </c>
      <c r="M1186" s="2" t="s">
        <v>9290</v>
      </c>
      <c r="N1186" s="2" t="s">
        <v>9291</v>
      </c>
      <c r="O1186" s="2"/>
      <c r="P1186" s="2" t="s">
        <v>37</v>
      </c>
      <c r="Q1186" s="4" t="n">
        <v>8731</v>
      </c>
      <c r="R1186" s="2" t="s">
        <v>9292</v>
      </c>
      <c r="S1186" s="2" t="s">
        <v>39</v>
      </c>
      <c r="T1186" s="2" t="s">
        <v>403</v>
      </c>
      <c r="U1186" s="2" t="s">
        <v>9293</v>
      </c>
      <c r="V1186" s="2"/>
      <c r="W1186" s="2" t="s">
        <v>42</v>
      </c>
      <c r="X1186" s="2" t="s">
        <v>43</v>
      </c>
      <c r="Y1186" s="2" t="s">
        <v>37</v>
      </c>
      <c r="Z1186" s="2" t="s">
        <v>44</v>
      </c>
      <c r="AA1186" s="2"/>
      <c r="AB1186" s="2"/>
      <c r="AC1186" s="2" t="s">
        <v>9294</v>
      </c>
      <c r="AD1186" s="2" t="s">
        <v>46</v>
      </c>
    </row>
    <row r="1187" customFormat="false" ht="15.7" hidden="false" customHeight="true" outlineLevel="0" collapsed="false">
      <c r="A1187" s="2"/>
      <c r="B1187" s="3" t="n">
        <f aca="false">DATE(2008,7,22)</f>
        <v>0</v>
      </c>
      <c r="C1187" s="3" t="n">
        <v>39651</v>
      </c>
      <c r="D1187" s="2" t="s">
        <v>9295</v>
      </c>
      <c r="F1187" s="2" t="s">
        <v>9296</v>
      </c>
      <c r="G1187" s="2" t="s">
        <v>9297</v>
      </c>
      <c r="H1187" s="2" t="s">
        <v>1101</v>
      </c>
      <c r="I1187" s="2" t="s">
        <v>685</v>
      </c>
      <c r="J1187" s="2" t="s">
        <v>35</v>
      </c>
      <c r="K1187" s="2" t="s">
        <v>9295</v>
      </c>
      <c r="L1187" s="2" t="s">
        <v>685</v>
      </c>
      <c r="M1187" s="2" t="s">
        <v>1101</v>
      </c>
      <c r="N1187" s="2" t="s">
        <v>9298</v>
      </c>
      <c r="O1187" s="2"/>
      <c r="P1187" s="2" t="s">
        <v>37</v>
      </c>
      <c r="Q1187" s="4" t="n">
        <v>8731</v>
      </c>
      <c r="R1187" s="2" t="s">
        <v>688</v>
      </c>
      <c r="S1187" s="2" t="s">
        <v>39</v>
      </c>
      <c r="T1187" s="2" t="s">
        <v>40</v>
      </c>
      <c r="U1187" s="2" t="s">
        <v>9299</v>
      </c>
      <c r="V1187" s="2"/>
      <c r="W1187" s="2" t="s">
        <v>42</v>
      </c>
      <c r="X1187" s="2" t="s">
        <v>43</v>
      </c>
      <c r="Y1187" s="2" t="s">
        <v>37</v>
      </c>
      <c r="Z1187" s="2" t="s">
        <v>44</v>
      </c>
      <c r="AA1187" s="2"/>
      <c r="AB1187" s="2"/>
      <c r="AC1187" s="2" t="s">
        <v>9300</v>
      </c>
      <c r="AD1187" s="2" t="s">
        <v>46</v>
      </c>
    </row>
    <row r="1188" customFormat="false" ht="15.7" hidden="false" customHeight="true" outlineLevel="0" collapsed="false">
      <c r="A1188" s="2"/>
      <c r="B1188" s="3" t="n">
        <f aca="false">DATE(2008,7,22)</f>
        <v>0</v>
      </c>
      <c r="C1188" s="3" t="n">
        <v>39651</v>
      </c>
      <c r="D1188" s="2" t="s">
        <v>9301</v>
      </c>
      <c r="F1188" s="2" t="s">
        <v>9302</v>
      </c>
      <c r="G1188" s="2" t="s">
        <v>9303</v>
      </c>
      <c r="H1188" s="2" t="s">
        <v>9304</v>
      </c>
      <c r="I1188" s="2" t="s">
        <v>34</v>
      </c>
      <c r="J1188" s="2" t="s">
        <v>35</v>
      </c>
      <c r="K1188" s="2" t="s">
        <v>9301</v>
      </c>
      <c r="L1188" s="2" t="s">
        <v>664</v>
      </c>
      <c r="M1188" s="2" t="s">
        <v>9305</v>
      </c>
      <c r="N1188" s="2" t="s">
        <v>9306</v>
      </c>
      <c r="O1188" s="2"/>
      <c r="P1188" s="2" t="s">
        <v>37</v>
      </c>
      <c r="Q1188" s="4" t="n">
        <v>8731</v>
      </c>
      <c r="R1188" s="2" t="s">
        <v>38</v>
      </c>
      <c r="S1188" s="2" t="s">
        <v>39</v>
      </c>
      <c r="T1188" s="2" t="s">
        <v>40</v>
      </c>
      <c r="U1188" s="2" t="s">
        <v>9307</v>
      </c>
      <c r="V1188" s="2"/>
      <c r="W1188" s="2" t="s">
        <v>42</v>
      </c>
      <c r="X1188" s="2" t="s">
        <v>43</v>
      </c>
      <c r="Y1188" s="2" t="s">
        <v>37</v>
      </c>
      <c r="Z1188" s="2" t="s">
        <v>44</v>
      </c>
      <c r="AA1188" s="2"/>
      <c r="AB1188" s="2"/>
      <c r="AC1188" s="2" t="s">
        <v>9308</v>
      </c>
      <c r="AD1188" s="2" t="s">
        <v>46</v>
      </c>
    </row>
    <row r="1189" customFormat="false" ht="15.7" hidden="false" customHeight="true" outlineLevel="0" collapsed="false">
      <c r="A1189" s="2"/>
      <c r="B1189" s="3" t="n">
        <f aca="false">DATE(2008,7,23)</f>
        <v>0</v>
      </c>
      <c r="C1189" s="3" t="n">
        <v>39652</v>
      </c>
      <c r="D1189" s="2" t="s">
        <v>9309</v>
      </c>
      <c r="F1189" s="2" t="s">
        <v>9310</v>
      </c>
      <c r="G1189" s="2" t="s">
        <v>9311</v>
      </c>
      <c r="H1189" s="2" t="s">
        <v>305</v>
      </c>
      <c r="I1189" s="2" t="s">
        <v>388</v>
      </c>
      <c r="J1189" s="2" t="s">
        <v>65</v>
      </c>
      <c r="K1189" s="2" t="s">
        <v>9309</v>
      </c>
      <c r="L1189" s="2" t="s">
        <v>388</v>
      </c>
      <c r="M1189" s="2" t="s">
        <v>305</v>
      </c>
      <c r="N1189" s="2" t="s">
        <v>9312</v>
      </c>
      <c r="O1189" s="2"/>
      <c r="P1189" s="2" t="s">
        <v>37</v>
      </c>
      <c r="Q1189" s="4" t="n">
        <v>8731</v>
      </c>
      <c r="R1189" s="2" t="s">
        <v>56</v>
      </c>
      <c r="S1189" s="2" t="s">
        <v>92</v>
      </c>
      <c r="T1189" s="2" t="s">
        <v>40</v>
      </c>
      <c r="U1189" s="2" t="s">
        <v>9313</v>
      </c>
      <c r="V1189" s="2"/>
      <c r="W1189" s="2" t="s">
        <v>42</v>
      </c>
      <c r="X1189" s="2" t="s">
        <v>43</v>
      </c>
      <c r="Y1189" s="2" t="s">
        <v>37</v>
      </c>
      <c r="Z1189" s="2" t="s">
        <v>44</v>
      </c>
      <c r="AA1189" s="2"/>
      <c r="AB1189" s="2"/>
      <c r="AC1189" s="2" t="s">
        <v>9314</v>
      </c>
      <c r="AD1189" s="2" t="s">
        <v>46</v>
      </c>
    </row>
    <row r="1190" customFormat="false" ht="15.7" hidden="false" customHeight="true" outlineLevel="0" collapsed="false">
      <c r="A1190" s="2"/>
      <c r="B1190" s="3" t="n">
        <f aca="false">DATE(2008,7,23)</f>
        <v>0</v>
      </c>
      <c r="C1190" s="3" t="n">
        <v>39652</v>
      </c>
      <c r="D1190" s="2" t="s">
        <v>9315</v>
      </c>
      <c r="F1190" s="2" t="s">
        <v>9316</v>
      </c>
      <c r="G1190" s="2" t="s">
        <v>9317</v>
      </c>
      <c r="H1190" s="2" t="s">
        <v>9318</v>
      </c>
      <c r="I1190" s="2" t="s">
        <v>330</v>
      </c>
      <c r="J1190" s="2" t="s">
        <v>228</v>
      </c>
      <c r="K1190" s="2" t="s">
        <v>9315</v>
      </c>
      <c r="L1190" s="2" t="s">
        <v>330</v>
      </c>
      <c r="M1190" s="2" t="s">
        <v>9318</v>
      </c>
      <c r="N1190" s="2" t="s">
        <v>9319</v>
      </c>
      <c r="O1190" s="2" t="s">
        <v>9320</v>
      </c>
      <c r="P1190" s="2" t="s">
        <v>37</v>
      </c>
      <c r="Q1190" s="4" t="n">
        <v>8731</v>
      </c>
      <c r="R1190" s="2" t="s">
        <v>2201</v>
      </c>
      <c r="S1190" s="2" t="s">
        <v>39</v>
      </c>
      <c r="T1190" s="2" t="s">
        <v>40</v>
      </c>
      <c r="U1190" s="2" t="s">
        <v>9321</v>
      </c>
      <c r="V1190" s="2"/>
      <c r="W1190" s="2" t="s">
        <v>42</v>
      </c>
      <c r="X1190" s="2" t="s">
        <v>46</v>
      </c>
      <c r="Y1190" s="2" t="s">
        <v>37</v>
      </c>
      <c r="Z1190" s="2" t="s">
        <v>362</v>
      </c>
      <c r="AA1190" s="2"/>
      <c r="AB1190" s="2" t="s">
        <v>9322</v>
      </c>
      <c r="AC1190" s="2" t="s">
        <v>9323</v>
      </c>
      <c r="AD1190" s="2" t="s">
        <v>46</v>
      </c>
    </row>
    <row r="1191" customFormat="false" ht="15.7" hidden="false" customHeight="true" outlineLevel="0" collapsed="false">
      <c r="A1191" s="2"/>
      <c r="B1191" s="3" t="n">
        <f aca="false">DATE(2008,7,23)</f>
        <v>0</v>
      </c>
      <c r="C1191" s="3" t="n">
        <v>39652</v>
      </c>
      <c r="D1191" s="2" t="s">
        <v>9324</v>
      </c>
      <c r="F1191" s="2" t="s">
        <v>9325</v>
      </c>
      <c r="G1191" s="2" t="s">
        <v>9326</v>
      </c>
      <c r="H1191" s="2" t="s">
        <v>7411</v>
      </c>
      <c r="I1191" s="2" t="s">
        <v>4325</v>
      </c>
      <c r="J1191" s="2" t="s">
        <v>35</v>
      </c>
      <c r="K1191" s="2" t="s">
        <v>9327</v>
      </c>
      <c r="L1191" s="2" t="s">
        <v>4325</v>
      </c>
      <c r="M1191" s="2" t="s">
        <v>7411</v>
      </c>
      <c r="N1191" s="2" t="s">
        <v>9328</v>
      </c>
      <c r="O1191" s="2"/>
      <c r="P1191" s="2" t="s">
        <v>37</v>
      </c>
      <c r="Q1191" s="4" t="n">
        <v>8731</v>
      </c>
      <c r="R1191" s="2" t="s">
        <v>402</v>
      </c>
      <c r="S1191" s="2" t="s">
        <v>39</v>
      </c>
      <c r="T1191" s="2" t="s">
        <v>40</v>
      </c>
      <c r="U1191" s="2" t="s">
        <v>9329</v>
      </c>
      <c r="V1191" s="2"/>
      <c r="W1191" s="2" t="s">
        <v>42</v>
      </c>
      <c r="X1191" s="2" t="s">
        <v>43</v>
      </c>
      <c r="Y1191" s="2" t="s">
        <v>37</v>
      </c>
      <c r="Z1191" s="2" t="s">
        <v>44</v>
      </c>
      <c r="AA1191" s="2"/>
      <c r="AB1191" s="2"/>
      <c r="AC1191" s="2" t="s">
        <v>9330</v>
      </c>
      <c r="AD1191" s="2" t="s">
        <v>46</v>
      </c>
    </row>
    <row r="1192" customFormat="false" ht="15.7" hidden="false" customHeight="true" outlineLevel="0" collapsed="false">
      <c r="A1192" s="2"/>
      <c r="B1192" s="3" t="n">
        <f aca="false">DATE(2008,7,23)</f>
        <v>0</v>
      </c>
      <c r="C1192" s="3" t="n">
        <v>39652</v>
      </c>
      <c r="D1192" s="2" t="s">
        <v>9331</v>
      </c>
      <c r="F1192" s="2" t="s">
        <v>9332</v>
      </c>
      <c r="G1192" s="2" t="s">
        <v>9333</v>
      </c>
      <c r="H1192" s="2" t="s">
        <v>704</v>
      </c>
      <c r="I1192" s="2" t="s">
        <v>540</v>
      </c>
      <c r="J1192" s="2" t="s">
        <v>35</v>
      </c>
      <c r="K1192" s="2" t="s">
        <v>9331</v>
      </c>
      <c r="L1192" s="2" t="s">
        <v>540</v>
      </c>
      <c r="M1192" s="2" t="s">
        <v>704</v>
      </c>
      <c r="N1192" s="2" t="s">
        <v>9334</v>
      </c>
      <c r="O1192" s="2" t="s">
        <v>9335</v>
      </c>
      <c r="P1192" s="2" t="s">
        <v>37</v>
      </c>
      <c r="Q1192" s="4" t="n">
        <v>3612</v>
      </c>
      <c r="R1192" s="2" t="s">
        <v>56</v>
      </c>
      <c r="S1192" s="2" t="s">
        <v>5846</v>
      </c>
      <c r="T1192" s="2" t="s">
        <v>403</v>
      </c>
      <c r="U1192" s="2" t="s">
        <v>9336</v>
      </c>
      <c r="V1192" s="2"/>
      <c r="W1192" s="2" t="s">
        <v>107</v>
      </c>
      <c r="X1192" s="2" t="s">
        <v>46</v>
      </c>
      <c r="Y1192" s="2" t="s">
        <v>37</v>
      </c>
      <c r="Z1192" s="2" t="s">
        <v>987</v>
      </c>
      <c r="AA1192" s="2"/>
      <c r="AB1192" s="2" t="s">
        <v>9337</v>
      </c>
      <c r="AC1192" s="2" t="s">
        <v>9338</v>
      </c>
      <c r="AD1192" s="2" t="s">
        <v>46</v>
      </c>
    </row>
    <row r="1193" customFormat="false" ht="15.7" hidden="false" customHeight="true" outlineLevel="0" collapsed="false">
      <c r="A1193" s="2"/>
      <c r="B1193" s="3" t="n">
        <f aca="false">DATE(2008,7,24)</f>
        <v>0</v>
      </c>
      <c r="C1193" s="3" t="n">
        <v>39653</v>
      </c>
      <c r="D1193" s="2" t="s">
        <v>9339</v>
      </c>
      <c r="F1193" s="2" t="s">
        <v>9340</v>
      </c>
      <c r="G1193" s="2" t="s">
        <v>9341</v>
      </c>
      <c r="H1193" s="2" t="s">
        <v>305</v>
      </c>
      <c r="I1193" s="2" t="s">
        <v>9342</v>
      </c>
      <c r="J1193" s="2" t="s">
        <v>35</v>
      </c>
      <c r="K1193" s="2" t="s">
        <v>9339</v>
      </c>
      <c r="L1193" s="2" t="s">
        <v>9342</v>
      </c>
      <c r="M1193" s="2" t="s">
        <v>305</v>
      </c>
      <c r="N1193" s="2" t="s">
        <v>9343</v>
      </c>
      <c r="O1193" s="2"/>
      <c r="P1193" s="2" t="s">
        <v>37</v>
      </c>
      <c r="Q1193" s="4" t="n">
        <v>8731</v>
      </c>
      <c r="R1193" s="2" t="s">
        <v>70</v>
      </c>
      <c r="S1193" s="2" t="s">
        <v>39</v>
      </c>
      <c r="T1193" s="2" t="s">
        <v>403</v>
      </c>
      <c r="U1193" s="2" t="s">
        <v>9344</v>
      </c>
      <c r="V1193" s="2"/>
      <c r="W1193" s="2" t="s">
        <v>42</v>
      </c>
      <c r="X1193" s="2" t="s">
        <v>46</v>
      </c>
      <c r="Y1193" s="2" t="s">
        <v>37</v>
      </c>
      <c r="Z1193" s="2" t="s">
        <v>362</v>
      </c>
      <c r="AA1193" s="2"/>
      <c r="AB1193" s="2"/>
      <c r="AC1193" s="2" t="s">
        <v>9345</v>
      </c>
      <c r="AD1193" s="2" t="s">
        <v>46</v>
      </c>
    </row>
    <row r="1194" customFormat="false" ht="15.7" hidden="false" customHeight="true" outlineLevel="0" collapsed="false">
      <c r="A1194" s="2"/>
      <c r="B1194" s="3" t="n">
        <f aca="false">DATE(2008,7,24)</f>
        <v>0</v>
      </c>
      <c r="C1194" s="3" t="n">
        <v>39653</v>
      </c>
      <c r="D1194" s="2" t="s">
        <v>9346</v>
      </c>
      <c r="F1194" s="2" t="s">
        <v>9347</v>
      </c>
      <c r="G1194" s="2" t="s">
        <v>9348</v>
      </c>
      <c r="H1194" s="2" t="s">
        <v>9349</v>
      </c>
      <c r="I1194" s="2" t="s">
        <v>51</v>
      </c>
      <c r="J1194" s="2" t="s">
        <v>9350</v>
      </c>
      <c r="K1194" s="2" t="s">
        <v>9346</v>
      </c>
      <c r="L1194" s="2" t="s">
        <v>51</v>
      </c>
      <c r="M1194" s="2" t="s">
        <v>9349</v>
      </c>
      <c r="N1194" s="2" t="s">
        <v>9351</v>
      </c>
      <c r="O1194" s="2" t="s">
        <v>9352</v>
      </c>
      <c r="P1194" s="2" t="s">
        <v>37</v>
      </c>
      <c r="Q1194" s="4" t="n">
        <v>8731</v>
      </c>
      <c r="R1194" s="2" t="s">
        <v>56</v>
      </c>
      <c r="S1194" s="2" t="s">
        <v>507</v>
      </c>
      <c r="T1194" s="2" t="s">
        <v>40</v>
      </c>
      <c r="U1194" s="2" t="s">
        <v>9353</v>
      </c>
      <c r="V1194" s="2"/>
      <c r="W1194" s="2" t="s">
        <v>138</v>
      </c>
      <c r="X1194" s="2" t="s">
        <v>46</v>
      </c>
      <c r="Y1194" s="2" t="s">
        <v>37</v>
      </c>
      <c r="Z1194" s="2" t="s">
        <v>362</v>
      </c>
      <c r="AA1194" s="2"/>
      <c r="AB1194" s="2" t="s">
        <v>9354</v>
      </c>
      <c r="AC1194" s="2" t="s">
        <v>9355</v>
      </c>
      <c r="AD1194" s="2" t="s">
        <v>46</v>
      </c>
    </row>
    <row r="1195" customFormat="false" ht="15.7" hidden="false" customHeight="true" outlineLevel="0" collapsed="false">
      <c r="A1195" s="2"/>
      <c r="B1195" s="3" t="n">
        <f aca="false">DATE(2008,7,28)</f>
        <v>0</v>
      </c>
      <c r="C1195" s="3" t="n">
        <v>39657</v>
      </c>
      <c r="D1195" s="2" t="s">
        <v>9356</v>
      </c>
      <c r="F1195" s="2" t="s">
        <v>9357</v>
      </c>
      <c r="G1195" s="2" t="s">
        <v>9358</v>
      </c>
      <c r="H1195" s="2" t="s">
        <v>5818</v>
      </c>
      <c r="I1195" s="2" t="s">
        <v>51</v>
      </c>
      <c r="J1195" s="2" t="s">
        <v>9359</v>
      </c>
      <c r="K1195" s="2" t="s">
        <v>9360</v>
      </c>
      <c r="L1195" s="2" t="s">
        <v>219</v>
      </c>
      <c r="M1195" s="2" t="s">
        <v>9361</v>
      </c>
      <c r="N1195" s="2" t="s">
        <v>9362</v>
      </c>
      <c r="O1195" s="2" t="s">
        <v>9363</v>
      </c>
      <c r="P1195" s="2" t="s">
        <v>37</v>
      </c>
      <c r="Q1195" s="4" t="n">
        <v>8731</v>
      </c>
      <c r="R1195" s="2" t="s">
        <v>56</v>
      </c>
      <c r="S1195" s="2" t="s">
        <v>3253</v>
      </c>
      <c r="T1195" s="2" t="s">
        <v>40</v>
      </c>
      <c r="U1195" s="2" t="s">
        <v>9364</v>
      </c>
      <c r="V1195" s="2"/>
      <c r="W1195" s="2" t="s">
        <v>42</v>
      </c>
      <c r="X1195" s="2" t="s">
        <v>46</v>
      </c>
      <c r="Y1195" s="2" t="s">
        <v>37</v>
      </c>
      <c r="Z1195" s="2" t="s">
        <v>362</v>
      </c>
      <c r="AA1195" s="2"/>
      <c r="AB1195" s="2" t="s">
        <v>9365</v>
      </c>
      <c r="AC1195" s="2" t="s">
        <v>9366</v>
      </c>
      <c r="AD1195" s="2" t="s">
        <v>46</v>
      </c>
    </row>
    <row r="1196" customFormat="false" ht="15.7" hidden="false" customHeight="true" outlineLevel="0" collapsed="false">
      <c r="A1196" s="2"/>
      <c r="B1196" s="3" t="n">
        <f aca="false">DATE(2008,8,1)</f>
        <v>0</v>
      </c>
      <c r="C1196" s="3" t="n">
        <v>39661</v>
      </c>
      <c r="D1196" s="2" t="s">
        <v>9367</v>
      </c>
      <c r="F1196" s="2" t="s">
        <v>9368</v>
      </c>
      <c r="G1196" s="2" t="s">
        <v>9369</v>
      </c>
      <c r="H1196" s="2" t="s">
        <v>9370</v>
      </c>
      <c r="I1196" s="2" t="s">
        <v>5990</v>
      </c>
      <c r="J1196" s="2" t="s">
        <v>35</v>
      </c>
      <c r="K1196" s="2" t="s">
        <v>9371</v>
      </c>
      <c r="L1196" s="2" t="s">
        <v>5990</v>
      </c>
      <c r="M1196" s="2" t="s">
        <v>1749</v>
      </c>
      <c r="N1196" s="2" t="s">
        <v>9372</v>
      </c>
      <c r="O1196" s="2"/>
      <c r="P1196" s="2" t="s">
        <v>37</v>
      </c>
      <c r="Q1196" s="4" t="n">
        <v>8731</v>
      </c>
      <c r="R1196" s="2" t="s">
        <v>3154</v>
      </c>
      <c r="S1196" s="2" t="s">
        <v>39</v>
      </c>
      <c r="T1196" s="2" t="s">
        <v>40</v>
      </c>
      <c r="U1196" s="2" t="s">
        <v>9373</v>
      </c>
      <c r="V1196" s="2"/>
      <c r="W1196" s="2" t="s">
        <v>42</v>
      </c>
      <c r="X1196" s="2" t="s">
        <v>43</v>
      </c>
      <c r="Y1196" s="2" t="s">
        <v>37</v>
      </c>
      <c r="Z1196" s="2" t="s">
        <v>44</v>
      </c>
      <c r="AA1196" s="2"/>
      <c r="AB1196" s="2"/>
      <c r="AC1196" s="2" t="s">
        <v>9374</v>
      </c>
      <c r="AD1196" s="2" t="s">
        <v>46</v>
      </c>
    </row>
    <row r="1197" customFormat="false" ht="15.7" hidden="false" customHeight="true" outlineLevel="0" collapsed="false">
      <c r="A1197" s="2"/>
      <c r="B1197" s="3" t="n">
        <f aca="false">DATE(2008,8,4)</f>
        <v>0</v>
      </c>
      <c r="C1197" s="3" t="n">
        <v>39664</v>
      </c>
      <c r="D1197" s="2" t="s">
        <v>9375</v>
      </c>
      <c r="F1197" s="2" t="s">
        <v>1260</v>
      </c>
      <c r="G1197" s="2" t="s">
        <v>9376</v>
      </c>
      <c r="H1197" s="2" t="s">
        <v>130</v>
      </c>
      <c r="I1197" s="2" t="s">
        <v>51</v>
      </c>
      <c r="J1197" s="2" t="s">
        <v>171</v>
      </c>
      <c r="K1197" s="2" t="s">
        <v>9375</v>
      </c>
      <c r="L1197" s="2" t="s">
        <v>51</v>
      </c>
      <c r="M1197" s="2" t="s">
        <v>130</v>
      </c>
      <c r="N1197" s="2" t="s">
        <v>9377</v>
      </c>
      <c r="O1197" s="2"/>
      <c r="P1197" s="2" t="s">
        <v>37</v>
      </c>
      <c r="Q1197" s="4" t="n">
        <v>8731</v>
      </c>
      <c r="R1197" s="2" t="s">
        <v>56</v>
      </c>
      <c r="S1197" s="2" t="s">
        <v>92</v>
      </c>
      <c r="T1197" s="2" t="s">
        <v>40</v>
      </c>
      <c r="U1197" s="2" t="s">
        <v>9378</v>
      </c>
      <c r="V1197" s="2"/>
      <c r="W1197" s="2" t="s">
        <v>42</v>
      </c>
      <c r="X1197" s="2" t="s">
        <v>43</v>
      </c>
      <c r="Y1197" s="2" t="s">
        <v>37</v>
      </c>
      <c r="Z1197" s="2" t="s">
        <v>44</v>
      </c>
      <c r="AA1197" s="2"/>
      <c r="AB1197" s="2"/>
      <c r="AC1197" s="2" t="s">
        <v>9379</v>
      </c>
      <c r="AD1197" s="2" t="s">
        <v>46</v>
      </c>
    </row>
    <row r="1198" customFormat="false" ht="15.7" hidden="false" customHeight="true" outlineLevel="0" collapsed="false">
      <c r="A1198" s="2"/>
      <c r="B1198" s="3" t="n">
        <f aca="false">DATE(2008,8,6)</f>
        <v>0</v>
      </c>
      <c r="C1198" s="3" t="n">
        <v>39666</v>
      </c>
      <c r="D1198" s="2" t="s">
        <v>9380</v>
      </c>
      <c r="F1198" s="2" t="s">
        <v>5761</v>
      </c>
      <c r="G1198" s="2" t="s">
        <v>9381</v>
      </c>
      <c r="H1198" s="2" t="s">
        <v>5389</v>
      </c>
      <c r="I1198" s="2" t="s">
        <v>3103</v>
      </c>
      <c r="J1198" s="2" t="s">
        <v>1413</v>
      </c>
      <c r="K1198" s="2" t="s">
        <v>9380</v>
      </c>
      <c r="L1198" s="2" t="s">
        <v>3103</v>
      </c>
      <c r="M1198" s="2" t="s">
        <v>5389</v>
      </c>
      <c r="N1198" s="2" t="s">
        <v>9382</v>
      </c>
      <c r="O1198" s="2"/>
      <c r="P1198" s="2" t="s">
        <v>37</v>
      </c>
      <c r="Q1198" s="4" t="n">
        <v>8731</v>
      </c>
      <c r="R1198" s="2" t="s">
        <v>136</v>
      </c>
      <c r="S1198" s="2" t="s">
        <v>39</v>
      </c>
      <c r="T1198" s="2" t="s">
        <v>40</v>
      </c>
      <c r="U1198" s="2" t="s">
        <v>9383</v>
      </c>
      <c r="V1198" s="2"/>
      <c r="W1198" s="2" t="s">
        <v>138</v>
      </c>
      <c r="X1198" s="2" t="s">
        <v>43</v>
      </c>
      <c r="Y1198" s="2" t="s">
        <v>37</v>
      </c>
      <c r="Z1198" s="2" t="s">
        <v>44</v>
      </c>
      <c r="AA1198" s="2"/>
      <c r="AB1198" s="2"/>
      <c r="AC1198" s="2" t="s">
        <v>9384</v>
      </c>
      <c r="AD1198" s="2" t="s">
        <v>46</v>
      </c>
    </row>
    <row r="1199" customFormat="false" ht="15.7" hidden="false" customHeight="true" outlineLevel="0" collapsed="false">
      <c r="A1199" s="2"/>
      <c r="B1199" s="3" t="n">
        <f aca="false">DATE(2008,8,6)</f>
        <v>0</v>
      </c>
      <c r="C1199" s="3" t="n">
        <v>39666</v>
      </c>
      <c r="D1199" s="2" t="s">
        <v>9385</v>
      </c>
      <c r="F1199" s="2" t="s">
        <v>9386</v>
      </c>
      <c r="G1199" s="2" t="s">
        <v>9387</v>
      </c>
      <c r="H1199" s="2" t="s">
        <v>9388</v>
      </c>
      <c r="I1199" s="2" t="s">
        <v>540</v>
      </c>
      <c r="J1199" s="2" t="s">
        <v>35</v>
      </c>
      <c r="K1199" s="2" t="s">
        <v>9385</v>
      </c>
      <c r="L1199" s="2" t="s">
        <v>540</v>
      </c>
      <c r="M1199" s="2" t="s">
        <v>9388</v>
      </c>
      <c r="N1199" s="2" t="s">
        <v>9389</v>
      </c>
      <c r="O1199" s="2"/>
      <c r="P1199" s="2" t="s">
        <v>37</v>
      </c>
      <c r="Q1199" s="4" t="n">
        <v>8731</v>
      </c>
      <c r="R1199" s="2" t="s">
        <v>1448</v>
      </c>
      <c r="S1199" s="2" t="s">
        <v>39</v>
      </c>
      <c r="T1199" s="2" t="s">
        <v>40</v>
      </c>
      <c r="U1199" s="2" t="s">
        <v>9390</v>
      </c>
      <c r="V1199" s="2"/>
      <c r="W1199" s="2" t="s">
        <v>42</v>
      </c>
      <c r="X1199" s="2" t="s">
        <v>43</v>
      </c>
      <c r="Y1199" s="2" t="s">
        <v>37</v>
      </c>
      <c r="Z1199" s="2" t="s">
        <v>44</v>
      </c>
      <c r="AA1199" s="2"/>
      <c r="AB1199" s="2"/>
      <c r="AC1199" s="2" t="s">
        <v>9391</v>
      </c>
      <c r="AD1199" s="2" t="s">
        <v>46</v>
      </c>
    </row>
    <row r="1200" customFormat="false" ht="15.7" hidden="false" customHeight="true" outlineLevel="0" collapsed="false">
      <c r="A1200" s="2"/>
      <c r="B1200" s="3" t="n">
        <f aca="false">DATE(2008,8,6)</f>
        <v>0</v>
      </c>
      <c r="C1200" s="3" t="n">
        <v>39666</v>
      </c>
      <c r="D1200" s="2" t="s">
        <v>9392</v>
      </c>
      <c r="F1200" s="2" t="s">
        <v>9393</v>
      </c>
      <c r="G1200" s="2" t="s">
        <v>9394</v>
      </c>
      <c r="H1200" s="2" t="s">
        <v>9395</v>
      </c>
      <c r="I1200" s="2" t="s">
        <v>670</v>
      </c>
      <c r="J1200" s="2" t="s">
        <v>575</v>
      </c>
      <c r="K1200" s="2" t="s">
        <v>9396</v>
      </c>
      <c r="L1200" s="2" t="s">
        <v>670</v>
      </c>
      <c r="M1200" s="2" t="s">
        <v>9397</v>
      </c>
      <c r="N1200" s="2" t="s">
        <v>9398</v>
      </c>
      <c r="O1200" s="2"/>
      <c r="P1200" s="2" t="s">
        <v>37</v>
      </c>
      <c r="Q1200" s="4" t="n">
        <v>8731</v>
      </c>
      <c r="R1200" s="2" t="s">
        <v>402</v>
      </c>
      <c r="S1200" s="2" t="s">
        <v>39</v>
      </c>
      <c r="T1200" s="2" t="s">
        <v>40</v>
      </c>
      <c r="U1200" s="2" t="s">
        <v>9399</v>
      </c>
      <c r="V1200" s="2"/>
      <c r="W1200" s="2" t="s">
        <v>9400</v>
      </c>
      <c r="X1200" s="2" t="s">
        <v>43</v>
      </c>
      <c r="Y1200" s="2" t="s">
        <v>37</v>
      </c>
      <c r="Z1200" s="2" t="s">
        <v>44</v>
      </c>
      <c r="AA1200" s="2"/>
      <c r="AB1200" s="2"/>
      <c r="AC1200" s="2" t="s">
        <v>9401</v>
      </c>
      <c r="AD1200" s="2" t="s">
        <v>46</v>
      </c>
    </row>
    <row r="1201" customFormat="false" ht="15.7" hidden="false" customHeight="true" outlineLevel="0" collapsed="false">
      <c r="A1201" s="2"/>
      <c r="B1201" s="3" t="n">
        <f aca="false">DATE(2008,8,6)</f>
        <v>0</v>
      </c>
      <c r="C1201" s="3" t="n">
        <v>39666</v>
      </c>
      <c r="D1201" s="2" t="s">
        <v>9380</v>
      </c>
      <c r="F1201" s="2" t="s">
        <v>5761</v>
      </c>
      <c r="G1201" s="2" t="s">
        <v>9381</v>
      </c>
      <c r="H1201" s="2" t="s">
        <v>5389</v>
      </c>
      <c r="I1201" s="2" t="s">
        <v>3103</v>
      </c>
      <c r="J1201" s="2" t="s">
        <v>1413</v>
      </c>
      <c r="K1201" s="2" t="s">
        <v>9380</v>
      </c>
      <c r="L1201" s="2" t="s">
        <v>3103</v>
      </c>
      <c r="M1201" s="2" t="s">
        <v>5389</v>
      </c>
      <c r="N1201" s="2" t="s">
        <v>9402</v>
      </c>
      <c r="O1201" s="2"/>
      <c r="P1201" s="2" t="s">
        <v>37</v>
      </c>
      <c r="Q1201" s="4" t="n">
        <v>8731</v>
      </c>
      <c r="R1201" s="2" t="s">
        <v>1402</v>
      </c>
      <c r="S1201" s="2" t="s">
        <v>39</v>
      </c>
      <c r="T1201" s="2" t="s">
        <v>40</v>
      </c>
      <c r="U1201" s="2" t="s">
        <v>9403</v>
      </c>
      <c r="V1201" s="2"/>
      <c r="W1201" s="2" t="s">
        <v>42</v>
      </c>
      <c r="X1201" s="2" t="s">
        <v>43</v>
      </c>
      <c r="Y1201" s="2" t="s">
        <v>37</v>
      </c>
      <c r="Z1201" s="2" t="s">
        <v>44</v>
      </c>
      <c r="AA1201" s="2"/>
      <c r="AB1201" s="2"/>
      <c r="AC1201" s="2" t="s">
        <v>9384</v>
      </c>
      <c r="AD1201" s="2" t="s">
        <v>46</v>
      </c>
    </row>
    <row r="1202" customFormat="false" ht="15.7" hidden="false" customHeight="true" outlineLevel="0" collapsed="false">
      <c r="A1202" s="2"/>
      <c r="B1202" s="3" t="n">
        <f aca="false">DATE(2008,8,7)</f>
        <v>0</v>
      </c>
      <c r="C1202" s="3" t="n">
        <v>39667</v>
      </c>
      <c r="D1202" s="2" t="s">
        <v>9404</v>
      </c>
      <c r="F1202" s="2" t="s">
        <v>9405</v>
      </c>
      <c r="G1202" s="2" t="s">
        <v>9406</v>
      </c>
      <c r="H1202" s="2" t="s">
        <v>130</v>
      </c>
      <c r="I1202" s="2" t="s">
        <v>410</v>
      </c>
      <c r="J1202" s="2" t="s">
        <v>966</v>
      </c>
      <c r="K1202" s="2" t="s">
        <v>9404</v>
      </c>
      <c r="L1202" s="2" t="s">
        <v>410</v>
      </c>
      <c r="M1202" s="2" t="s">
        <v>130</v>
      </c>
      <c r="N1202" s="2" t="s">
        <v>9407</v>
      </c>
      <c r="O1202" s="2"/>
      <c r="P1202" s="2" t="s">
        <v>37</v>
      </c>
      <c r="Q1202" s="4" t="n">
        <v>2834</v>
      </c>
      <c r="R1202" s="2" t="s">
        <v>1402</v>
      </c>
      <c r="S1202" s="2" t="s">
        <v>39</v>
      </c>
      <c r="T1202" s="2" t="s">
        <v>403</v>
      </c>
      <c r="U1202" s="2" t="s">
        <v>9408</v>
      </c>
      <c r="V1202" s="2"/>
      <c r="W1202" s="2" t="s">
        <v>7150</v>
      </c>
      <c r="X1202" s="2" t="s">
        <v>46</v>
      </c>
      <c r="Y1202" s="2" t="s">
        <v>37</v>
      </c>
      <c r="Z1202" s="2" t="s">
        <v>362</v>
      </c>
      <c r="AA1202" s="2"/>
      <c r="AB1202" s="2"/>
      <c r="AC1202" s="2" t="s">
        <v>9409</v>
      </c>
      <c r="AD1202" s="2" t="s">
        <v>46</v>
      </c>
    </row>
    <row r="1203" customFormat="false" ht="15.7" hidden="false" customHeight="true" outlineLevel="0" collapsed="false">
      <c r="A1203" s="2"/>
      <c r="B1203" s="3" t="n">
        <f aca="false">DATE(2008,8,7)</f>
        <v>0</v>
      </c>
      <c r="C1203" s="3" t="n">
        <v>39667</v>
      </c>
      <c r="D1203" s="2" t="s">
        <v>9410</v>
      </c>
      <c r="F1203" s="2" t="s">
        <v>9411</v>
      </c>
      <c r="G1203" s="2" t="s">
        <v>9412</v>
      </c>
      <c r="H1203" s="2" t="s">
        <v>5634</v>
      </c>
      <c r="I1203" s="2" t="s">
        <v>664</v>
      </c>
      <c r="J1203" s="2" t="s">
        <v>132</v>
      </c>
      <c r="K1203" s="2" t="s">
        <v>9413</v>
      </c>
      <c r="L1203" s="2" t="s">
        <v>664</v>
      </c>
      <c r="M1203" s="2" t="s">
        <v>9414</v>
      </c>
      <c r="N1203" s="2" t="s">
        <v>9415</v>
      </c>
      <c r="O1203" s="2"/>
      <c r="P1203" s="2" t="s">
        <v>37</v>
      </c>
      <c r="Q1203" s="4" t="n">
        <v>8731</v>
      </c>
      <c r="R1203" s="2" t="s">
        <v>136</v>
      </c>
      <c r="S1203" s="2" t="s">
        <v>39</v>
      </c>
      <c r="T1203" s="2" t="s">
        <v>673</v>
      </c>
      <c r="U1203" s="2" t="s">
        <v>9416</v>
      </c>
      <c r="V1203" s="2"/>
      <c r="W1203" s="2" t="s">
        <v>42</v>
      </c>
      <c r="X1203" s="2" t="s">
        <v>43</v>
      </c>
      <c r="Y1203" s="2" t="s">
        <v>37</v>
      </c>
      <c r="Z1203" s="2" t="s">
        <v>44</v>
      </c>
      <c r="AA1203" s="2"/>
      <c r="AB1203" s="2"/>
      <c r="AC1203" s="2" t="s">
        <v>9417</v>
      </c>
      <c r="AD1203" s="2" t="s">
        <v>46</v>
      </c>
    </row>
    <row r="1204" customFormat="false" ht="15.7" hidden="false" customHeight="true" outlineLevel="0" collapsed="false">
      <c r="A1204" s="2"/>
      <c r="B1204" s="3" t="n">
        <f aca="false">DATE(2008,8,7)</f>
        <v>0</v>
      </c>
      <c r="C1204" s="3" t="n">
        <v>39667</v>
      </c>
      <c r="D1204" s="2" t="s">
        <v>9404</v>
      </c>
      <c r="F1204" s="2" t="s">
        <v>9405</v>
      </c>
      <c r="G1204" s="2" t="s">
        <v>9406</v>
      </c>
      <c r="H1204" s="2" t="s">
        <v>130</v>
      </c>
      <c r="I1204" s="2" t="s">
        <v>410</v>
      </c>
      <c r="J1204" s="2" t="s">
        <v>966</v>
      </c>
      <c r="K1204" s="2" t="s">
        <v>9404</v>
      </c>
      <c r="L1204" s="2" t="s">
        <v>410</v>
      </c>
      <c r="M1204" s="2" t="s">
        <v>130</v>
      </c>
      <c r="N1204" s="2" t="s">
        <v>9418</v>
      </c>
      <c r="O1204" s="2"/>
      <c r="P1204" s="2" t="s">
        <v>37</v>
      </c>
      <c r="Q1204" s="4" t="n">
        <v>2834</v>
      </c>
      <c r="R1204" s="2" t="s">
        <v>1448</v>
      </c>
      <c r="S1204" s="2" t="s">
        <v>39</v>
      </c>
      <c r="T1204" s="2" t="s">
        <v>403</v>
      </c>
      <c r="U1204" s="2" t="s">
        <v>9419</v>
      </c>
      <c r="V1204" s="2"/>
      <c r="W1204" s="2" t="s">
        <v>7150</v>
      </c>
      <c r="X1204" s="2" t="s">
        <v>46</v>
      </c>
      <c r="Y1204" s="2" t="s">
        <v>37</v>
      </c>
      <c r="Z1204" s="2" t="s">
        <v>362</v>
      </c>
      <c r="AA1204" s="2"/>
      <c r="AB1204" s="2"/>
      <c r="AC1204" s="2" t="s">
        <v>9409</v>
      </c>
      <c r="AD1204" s="2" t="s">
        <v>46</v>
      </c>
    </row>
    <row r="1205" customFormat="false" ht="15.7" hidden="false" customHeight="true" outlineLevel="0" collapsed="false">
      <c r="A1205" s="2"/>
      <c r="B1205" s="3" t="n">
        <f aca="false">DATE(2008,8,7)</f>
        <v>0</v>
      </c>
      <c r="C1205" s="3" t="n">
        <v>39667</v>
      </c>
      <c r="D1205" s="2" t="s">
        <v>9404</v>
      </c>
      <c r="F1205" s="2" t="s">
        <v>9405</v>
      </c>
      <c r="G1205" s="2" t="s">
        <v>9406</v>
      </c>
      <c r="H1205" s="2" t="s">
        <v>130</v>
      </c>
      <c r="I1205" s="2" t="s">
        <v>410</v>
      </c>
      <c r="J1205" s="2" t="s">
        <v>966</v>
      </c>
      <c r="K1205" s="2" t="s">
        <v>9404</v>
      </c>
      <c r="L1205" s="2" t="s">
        <v>410</v>
      </c>
      <c r="M1205" s="2" t="s">
        <v>130</v>
      </c>
      <c r="N1205" s="2" t="s">
        <v>9418</v>
      </c>
      <c r="O1205" s="2"/>
      <c r="P1205" s="2" t="s">
        <v>37</v>
      </c>
      <c r="Q1205" s="4" t="n">
        <v>2834</v>
      </c>
      <c r="R1205" s="2" t="s">
        <v>9420</v>
      </c>
      <c r="S1205" s="2" t="s">
        <v>39</v>
      </c>
      <c r="T1205" s="2" t="s">
        <v>403</v>
      </c>
      <c r="U1205" s="2" t="s">
        <v>9421</v>
      </c>
      <c r="V1205" s="2"/>
      <c r="W1205" s="2" t="s">
        <v>7150</v>
      </c>
      <c r="X1205" s="2" t="s">
        <v>46</v>
      </c>
      <c r="Y1205" s="2" t="s">
        <v>37</v>
      </c>
      <c r="Z1205" s="2" t="s">
        <v>362</v>
      </c>
      <c r="AA1205" s="2"/>
      <c r="AB1205" s="2"/>
      <c r="AC1205" s="2" t="s">
        <v>9409</v>
      </c>
      <c r="AD1205" s="2" t="s">
        <v>46</v>
      </c>
    </row>
    <row r="1206" customFormat="false" ht="15.7" hidden="false" customHeight="true" outlineLevel="0" collapsed="false">
      <c r="A1206" s="2"/>
      <c r="B1206" s="3" t="n">
        <f aca="false">DATE(2008,8,7)</f>
        <v>0</v>
      </c>
      <c r="C1206" s="3" t="n">
        <v>39667</v>
      </c>
      <c r="D1206" s="2" t="s">
        <v>9422</v>
      </c>
      <c r="F1206" s="2" t="s">
        <v>319</v>
      </c>
      <c r="G1206" s="2" t="s">
        <v>9423</v>
      </c>
      <c r="H1206" s="2" t="s">
        <v>305</v>
      </c>
      <c r="I1206" s="2" t="s">
        <v>51</v>
      </c>
      <c r="J1206" s="2" t="s">
        <v>5211</v>
      </c>
      <c r="K1206" s="2" t="s">
        <v>9424</v>
      </c>
      <c r="L1206" s="2" t="s">
        <v>100</v>
      </c>
      <c r="M1206" s="2" t="s">
        <v>1732</v>
      </c>
      <c r="N1206" s="2" t="s">
        <v>9425</v>
      </c>
      <c r="O1206" s="2"/>
      <c r="P1206" s="2" t="s">
        <v>79</v>
      </c>
      <c r="Q1206" s="4" t="n">
        <v>6794</v>
      </c>
      <c r="R1206" s="2" t="s">
        <v>56</v>
      </c>
      <c r="S1206" s="2" t="s">
        <v>1226</v>
      </c>
      <c r="T1206" s="2" t="s">
        <v>40</v>
      </c>
      <c r="U1206" s="2" t="s">
        <v>9426</v>
      </c>
      <c r="V1206" s="2"/>
      <c r="W1206" s="2" t="s">
        <v>206</v>
      </c>
      <c r="X1206" s="2" t="s">
        <v>43</v>
      </c>
      <c r="Y1206" s="2" t="s">
        <v>37</v>
      </c>
      <c r="Z1206" s="2" t="s">
        <v>44</v>
      </c>
      <c r="AA1206" s="2" t="s">
        <v>9427</v>
      </c>
      <c r="AB1206" s="2"/>
      <c r="AC1206" s="2" t="s">
        <v>9428</v>
      </c>
      <c r="AD1206" s="2" t="s">
        <v>46</v>
      </c>
    </row>
    <row r="1207" customFormat="false" ht="15.7" hidden="false" customHeight="true" outlineLevel="0" collapsed="false">
      <c r="A1207" s="2"/>
      <c r="B1207" s="3" t="n">
        <f aca="false">DATE(2008,8,7)</f>
        <v>0</v>
      </c>
      <c r="C1207" s="3" t="n">
        <v>39667</v>
      </c>
      <c r="D1207" s="2" t="s">
        <v>9429</v>
      </c>
      <c r="F1207" s="2" t="s">
        <v>9430</v>
      </c>
      <c r="G1207" s="2" t="s">
        <v>9431</v>
      </c>
      <c r="H1207" s="2" t="s">
        <v>63</v>
      </c>
      <c r="I1207" s="2" t="s">
        <v>88</v>
      </c>
      <c r="J1207" s="2" t="s">
        <v>65</v>
      </c>
      <c r="K1207" s="2" t="s">
        <v>9429</v>
      </c>
      <c r="L1207" s="2" t="s">
        <v>88</v>
      </c>
      <c r="M1207" s="2" t="s">
        <v>63</v>
      </c>
      <c r="N1207" s="2" t="s">
        <v>9432</v>
      </c>
      <c r="O1207" s="2"/>
      <c r="P1207" s="2" t="s">
        <v>37</v>
      </c>
      <c r="Q1207" s="4" t="n">
        <v>8731</v>
      </c>
      <c r="R1207" s="2" t="s">
        <v>136</v>
      </c>
      <c r="S1207" s="2" t="s">
        <v>39</v>
      </c>
      <c r="T1207" s="2" t="s">
        <v>40</v>
      </c>
      <c r="U1207" s="2" t="s">
        <v>9433</v>
      </c>
      <c r="V1207" s="2"/>
      <c r="W1207" s="2" t="s">
        <v>42</v>
      </c>
      <c r="X1207" s="2" t="s">
        <v>43</v>
      </c>
      <c r="Y1207" s="2" t="s">
        <v>37</v>
      </c>
      <c r="Z1207" s="2" t="s">
        <v>44</v>
      </c>
      <c r="AA1207" s="2"/>
      <c r="AB1207" s="2"/>
      <c r="AC1207" s="2" t="s">
        <v>9434</v>
      </c>
      <c r="AD1207" s="2" t="s">
        <v>46</v>
      </c>
    </row>
    <row r="1208" customFormat="false" ht="15.7" hidden="false" customHeight="true" outlineLevel="0" collapsed="false">
      <c r="A1208" s="2"/>
      <c r="B1208" s="3" t="n">
        <f aca="false">DATE(2008,8,11)</f>
        <v>0</v>
      </c>
      <c r="C1208" s="3" t="n">
        <v>39671</v>
      </c>
      <c r="D1208" s="2" t="s">
        <v>9435</v>
      </c>
      <c r="F1208" s="2" t="s">
        <v>9436</v>
      </c>
      <c r="G1208" s="2" t="s">
        <v>9437</v>
      </c>
      <c r="H1208" s="2" t="s">
        <v>9438</v>
      </c>
      <c r="I1208" s="2" t="s">
        <v>1236</v>
      </c>
      <c r="J1208" s="2" t="s">
        <v>35</v>
      </c>
      <c r="K1208" s="2" t="s">
        <v>9439</v>
      </c>
      <c r="L1208" s="2" t="s">
        <v>1236</v>
      </c>
      <c r="M1208" s="2" t="s">
        <v>9440</v>
      </c>
      <c r="N1208" s="2" t="s">
        <v>9441</v>
      </c>
      <c r="O1208" s="2"/>
      <c r="P1208" s="2" t="s">
        <v>37</v>
      </c>
      <c r="Q1208" s="4" t="n">
        <v>8731</v>
      </c>
      <c r="R1208" s="2" t="s">
        <v>136</v>
      </c>
      <c r="S1208" s="2" t="s">
        <v>39</v>
      </c>
      <c r="T1208" s="2" t="s">
        <v>40</v>
      </c>
      <c r="U1208" s="2" t="s">
        <v>9442</v>
      </c>
      <c r="V1208" s="2"/>
      <c r="W1208" s="2" t="s">
        <v>42</v>
      </c>
      <c r="X1208" s="2" t="s">
        <v>43</v>
      </c>
      <c r="Y1208" s="2" t="s">
        <v>37</v>
      </c>
      <c r="Z1208" s="2" t="s">
        <v>44</v>
      </c>
      <c r="AA1208" s="2"/>
      <c r="AB1208" s="2"/>
      <c r="AC1208" s="2" t="s">
        <v>9443</v>
      </c>
      <c r="AD1208" s="2" t="s">
        <v>46</v>
      </c>
    </row>
    <row r="1209" customFormat="false" ht="15.7" hidden="false" customHeight="true" outlineLevel="0" collapsed="false">
      <c r="A1209" s="2"/>
      <c r="B1209" s="3" t="n">
        <f aca="false">DATE(2008,8,12)</f>
        <v>0</v>
      </c>
      <c r="C1209" s="3" t="n">
        <v>39672</v>
      </c>
      <c r="D1209" s="2" t="s">
        <v>9444</v>
      </c>
      <c r="F1209" s="2" t="s">
        <v>9445</v>
      </c>
      <c r="G1209" s="2" t="s">
        <v>9446</v>
      </c>
      <c r="H1209" s="2" t="s">
        <v>130</v>
      </c>
      <c r="I1209" s="2" t="s">
        <v>3103</v>
      </c>
      <c r="J1209" s="2" t="s">
        <v>6170</v>
      </c>
      <c r="K1209" s="2" t="s">
        <v>9444</v>
      </c>
      <c r="L1209" s="2" t="s">
        <v>3103</v>
      </c>
      <c r="M1209" s="2" t="s">
        <v>130</v>
      </c>
      <c r="N1209" s="2" t="s">
        <v>9447</v>
      </c>
      <c r="O1209" s="2"/>
      <c r="P1209" s="2" t="s">
        <v>79</v>
      </c>
      <c r="Q1209" s="4" t="n">
        <v>6794</v>
      </c>
      <c r="R1209" s="2" t="s">
        <v>136</v>
      </c>
      <c r="S1209" s="2" t="s">
        <v>39</v>
      </c>
      <c r="T1209" s="2" t="s">
        <v>40</v>
      </c>
      <c r="U1209" s="2" t="s">
        <v>9448</v>
      </c>
      <c r="V1209" s="2"/>
      <c r="W1209" s="2" t="s">
        <v>82</v>
      </c>
      <c r="X1209" s="2" t="s">
        <v>43</v>
      </c>
      <c r="Y1209" s="2" t="s">
        <v>37</v>
      </c>
      <c r="Z1209" s="2" t="s">
        <v>44</v>
      </c>
      <c r="AA1209" s="2"/>
      <c r="AB1209" s="2"/>
      <c r="AC1209" s="2" t="s">
        <v>9449</v>
      </c>
      <c r="AD1209" s="2" t="s">
        <v>46</v>
      </c>
    </row>
    <row r="1210" customFormat="false" ht="15.7" hidden="false" customHeight="true" outlineLevel="0" collapsed="false">
      <c r="A1210" s="2"/>
      <c r="B1210" s="3" t="n">
        <f aca="false">DATE(2008,8,13)</f>
        <v>0</v>
      </c>
      <c r="C1210" s="3" t="n">
        <v>39673</v>
      </c>
      <c r="D1210" s="2" t="s">
        <v>9450</v>
      </c>
      <c r="F1210" s="2" t="s">
        <v>9451</v>
      </c>
      <c r="G1210" s="2" t="s">
        <v>9452</v>
      </c>
      <c r="H1210" s="2" t="s">
        <v>63</v>
      </c>
      <c r="I1210" s="2" t="s">
        <v>487</v>
      </c>
      <c r="J1210" s="2" t="s">
        <v>795</v>
      </c>
      <c r="K1210" s="2" t="s">
        <v>9450</v>
      </c>
      <c r="L1210" s="2" t="s">
        <v>487</v>
      </c>
      <c r="M1210" s="2" t="s">
        <v>63</v>
      </c>
      <c r="N1210" s="2" t="s">
        <v>9453</v>
      </c>
      <c r="O1210" s="2"/>
      <c r="P1210" s="2" t="s">
        <v>37</v>
      </c>
      <c r="Q1210" s="4" t="n">
        <v>8731</v>
      </c>
      <c r="R1210" s="2" t="s">
        <v>136</v>
      </c>
      <c r="S1210" s="2" t="s">
        <v>39</v>
      </c>
      <c r="T1210" s="2" t="s">
        <v>40</v>
      </c>
      <c r="U1210" s="2" t="s">
        <v>9454</v>
      </c>
      <c r="V1210" s="2"/>
      <c r="W1210" s="2" t="s">
        <v>42</v>
      </c>
      <c r="X1210" s="2" t="s">
        <v>43</v>
      </c>
      <c r="Y1210" s="2" t="s">
        <v>37</v>
      </c>
      <c r="Z1210" s="2" t="s">
        <v>44</v>
      </c>
      <c r="AA1210" s="2"/>
      <c r="AB1210" s="2"/>
      <c r="AC1210" s="2" t="s">
        <v>9455</v>
      </c>
      <c r="AD1210" s="2" t="s">
        <v>46</v>
      </c>
    </row>
    <row r="1211" customFormat="false" ht="15.7" hidden="false" customHeight="true" outlineLevel="0" collapsed="false">
      <c r="A1211" s="2"/>
      <c r="B1211" s="3" t="n">
        <f aca="false">DATE(2008,8,13)</f>
        <v>0</v>
      </c>
      <c r="C1211" s="3" t="n">
        <v>39673</v>
      </c>
      <c r="D1211" s="2" t="s">
        <v>9456</v>
      </c>
      <c r="F1211" s="2" t="s">
        <v>9457</v>
      </c>
      <c r="G1211" s="2" t="s">
        <v>9458</v>
      </c>
      <c r="H1211" s="2" t="s">
        <v>9459</v>
      </c>
      <c r="I1211" s="2" t="s">
        <v>9460</v>
      </c>
      <c r="J1211" s="2" t="s">
        <v>35</v>
      </c>
      <c r="K1211" s="2" t="s">
        <v>9456</v>
      </c>
      <c r="L1211" s="2" t="s">
        <v>9460</v>
      </c>
      <c r="M1211" s="2" t="s">
        <v>9459</v>
      </c>
      <c r="N1211" s="2" t="s">
        <v>9461</v>
      </c>
      <c r="O1211" s="2"/>
      <c r="P1211" s="2" t="s">
        <v>37</v>
      </c>
      <c r="Q1211" s="4" t="n">
        <v>8731</v>
      </c>
      <c r="R1211" s="2" t="s">
        <v>2952</v>
      </c>
      <c r="S1211" s="2" t="s">
        <v>39</v>
      </c>
      <c r="T1211" s="2" t="s">
        <v>403</v>
      </c>
      <c r="U1211" s="2" t="s">
        <v>9462</v>
      </c>
      <c r="V1211" s="2"/>
      <c r="W1211" s="2" t="s">
        <v>138</v>
      </c>
      <c r="X1211" s="2" t="s">
        <v>46</v>
      </c>
      <c r="Y1211" s="2" t="s">
        <v>37</v>
      </c>
      <c r="Z1211" s="2" t="s">
        <v>362</v>
      </c>
      <c r="AA1211" s="2"/>
      <c r="AB1211" s="2"/>
      <c r="AC1211" s="2" t="s">
        <v>9463</v>
      </c>
      <c r="AD1211" s="2" t="s">
        <v>46</v>
      </c>
    </row>
    <row r="1212" customFormat="false" ht="15.7" hidden="false" customHeight="true" outlineLevel="0" collapsed="false">
      <c r="A1212" s="2"/>
      <c r="B1212" s="3" t="n">
        <f aca="false">DATE(2008,8,13)</f>
        <v>0</v>
      </c>
      <c r="C1212" s="3" t="n">
        <v>39673</v>
      </c>
      <c r="D1212" s="2" t="s">
        <v>9464</v>
      </c>
      <c r="F1212" s="2" t="s">
        <v>9465</v>
      </c>
      <c r="G1212" s="2" t="s">
        <v>9466</v>
      </c>
      <c r="H1212" s="2" t="s">
        <v>762</v>
      </c>
      <c r="I1212" s="2" t="s">
        <v>51</v>
      </c>
      <c r="J1212" s="2" t="s">
        <v>4804</v>
      </c>
      <c r="K1212" s="2" t="s">
        <v>9467</v>
      </c>
      <c r="L1212" s="2" t="s">
        <v>899</v>
      </c>
      <c r="M1212" s="2" t="s">
        <v>762</v>
      </c>
      <c r="N1212" s="2" t="s">
        <v>9468</v>
      </c>
      <c r="O1212" s="2"/>
      <c r="P1212" s="2" t="s">
        <v>37</v>
      </c>
      <c r="Q1212" s="4" t="n">
        <v>8731</v>
      </c>
      <c r="R1212" s="2" t="s">
        <v>56</v>
      </c>
      <c r="S1212" s="2" t="s">
        <v>977</v>
      </c>
      <c r="T1212" s="2" t="s">
        <v>40</v>
      </c>
      <c r="U1212" s="2" t="s">
        <v>9469</v>
      </c>
      <c r="V1212" s="2"/>
      <c r="W1212" s="2" t="s">
        <v>42</v>
      </c>
      <c r="X1212" s="2" t="s">
        <v>43</v>
      </c>
      <c r="Y1212" s="2" t="s">
        <v>37</v>
      </c>
      <c r="Z1212" s="2" t="s">
        <v>44</v>
      </c>
      <c r="AA1212" s="2"/>
      <c r="AB1212" s="2"/>
      <c r="AC1212" s="2" t="s">
        <v>9470</v>
      </c>
      <c r="AD1212" s="2" t="s">
        <v>46</v>
      </c>
    </row>
    <row r="1213" customFormat="false" ht="15.7" hidden="false" customHeight="true" outlineLevel="0" collapsed="false">
      <c r="A1213" s="2"/>
      <c r="B1213" s="3" t="n">
        <f aca="false">DATE(2008,8,14)</f>
        <v>0</v>
      </c>
      <c r="C1213" s="3" t="n">
        <v>39674</v>
      </c>
      <c r="D1213" s="2" t="s">
        <v>9471</v>
      </c>
      <c r="F1213" s="2" t="s">
        <v>9472</v>
      </c>
      <c r="G1213" s="2" t="s">
        <v>9473</v>
      </c>
      <c r="H1213" s="2" t="s">
        <v>762</v>
      </c>
      <c r="I1213" s="2" t="s">
        <v>51</v>
      </c>
      <c r="J1213" s="2" t="s">
        <v>9474</v>
      </c>
      <c r="K1213" s="2" t="s">
        <v>9471</v>
      </c>
      <c r="L1213" s="2" t="s">
        <v>51</v>
      </c>
      <c r="M1213" s="2" t="s">
        <v>762</v>
      </c>
      <c r="N1213" s="2" t="s">
        <v>9475</v>
      </c>
      <c r="O1213" s="2"/>
      <c r="P1213" s="2" t="s">
        <v>37</v>
      </c>
      <c r="Q1213" s="4" t="n">
        <v>8731</v>
      </c>
      <c r="R1213" s="2" t="s">
        <v>56</v>
      </c>
      <c r="S1213" s="2" t="s">
        <v>80</v>
      </c>
      <c r="T1213" s="2" t="s">
        <v>40</v>
      </c>
      <c r="U1213" s="2" t="s">
        <v>9476</v>
      </c>
      <c r="V1213" s="2"/>
      <c r="W1213" s="2" t="s">
        <v>42</v>
      </c>
      <c r="X1213" s="2" t="s">
        <v>43</v>
      </c>
      <c r="Y1213" s="2" t="s">
        <v>37</v>
      </c>
      <c r="Z1213" s="2" t="s">
        <v>44</v>
      </c>
      <c r="AA1213" s="2"/>
      <c r="AB1213" s="2"/>
      <c r="AC1213" s="2" t="s">
        <v>9477</v>
      </c>
      <c r="AD1213" s="2" t="s">
        <v>46</v>
      </c>
    </row>
    <row r="1214" customFormat="false" ht="15.7" hidden="false" customHeight="true" outlineLevel="0" collapsed="false">
      <c r="A1214" s="2"/>
      <c r="B1214" s="3" t="n">
        <f aca="false">DATE(2008,8,14)</f>
        <v>0</v>
      </c>
      <c r="C1214" s="3" t="n">
        <v>39674</v>
      </c>
      <c r="D1214" s="2" t="s">
        <v>9478</v>
      </c>
      <c r="F1214" s="2" t="s">
        <v>9479</v>
      </c>
      <c r="G1214" s="2" t="s">
        <v>9480</v>
      </c>
      <c r="H1214" s="2" t="s">
        <v>4301</v>
      </c>
      <c r="I1214" s="2" t="s">
        <v>9481</v>
      </c>
      <c r="J1214" s="2" t="s">
        <v>35</v>
      </c>
      <c r="K1214" s="2" t="s">
        <v>9478</v>
      </c>
      <c r="L1214" s="2" t="s">
        <v>9481</v>
      </c>
      <c r="M1214" s="2" t="s">
        <v>4301</v>
      </c>
      <c r="N1214" s="2" t="s">
        <v>9482</v>
      </c>
      <c r="O1214" s="2"/>
      <c r="P1214" s="2" t="s">
        <v>37</v>
      </c>
      <c r="Q1214" s="4" t="n">
        <v>8731</v>
      </c>
      <c r="R1214" s="2" t="s">
        <v>136</v>
      </c>
      <c r="S1214" s="2" t="s">
        <v>39</v>
      </c>
      <c r="T1214" s="2" t="s">
        <v>40</v>
      </c>
      <c r="U1214" s="2" t="s">
        <v>9483</v>
      </c>
      <c r="V1214" s="2"/>
      <c r="W1214" s="2" t="s">
        <v>42</v>
      </c>
      <c r="X1214" s="2" t="s">
        <v>43</v>
      </c>
      <c r="Y1214" s="2" t="s">
        <v>37</v>
      </c>
      <c r="Z1214" s="2" t="s">
        <v>44</v>
      </c>
      <c r="AA1214" s="2"/>
      <c r="AB1214" s="2"/>
      <c r="AC1214" s="2" t="s">
        <v>9484</v>
      </c>
      <c r="AD1214" s="2" t="s">
        <v>46</v>
      </c>
    </row>
    <row r="1215" customFormat="false" ht="15.7" hidden="false" customHeight="true" outlineLevel="0" collapsed="false">
      <c r="A1215" s="2"/>
      <c r="B1215" s="3" t="n">
        <f aca="false">DATE(2008,8,15)</f>
        <v>0</v>
      </c>
      <c r="C1215" s="3" t="n">
        <v>39675</v>
      </c>
      <c r="D1215" s="2" t="s">
        <v>9485</v>
      </c>
      <c r="F1215" s="2" t="s">
        <v>9486</v>
      </c>
      <c r="G1215" s="2" t="s">
        <v>9487</v>
      </c>
      <c r="H1215" s="2" t="s">
        <v>9488</v>
      </c>
      <c r="I1215" s="2" t="s">
        <v>5268</v>
      </c>
      <c r="J1215" s="2" t="s">
        <v>116</v>
      </c>
      <c r="K1215" s="2" t="s">
        <v>9489</v>
      </c>
      <c r="L1215" s="2" t="s">
        <v>5268</v>
      </c>
      <c r="M1215" s="2" t="s">
        <v>9490</v>
      </c>
      <c r="N1215" s="2" t="s">
        <v>9491</v>
      </c>
      <c r="O1215" s="2"/>
      <c r="P1215" s="2" t="s">
        <v>37</v>
      </c>
      <c r="Q1215" s="4" t="n">
        <v>6799</v>
      </c>
      <c r="R1215" s="2" t="s">
        <v>2201</v>
      </c>
      <c r="S1215" s="2" t="s">
        <v>39</v>
      </c>
      <c r="T1215" s="2" t="s">
        <v>40</v>
      </c>
      <c r="U1215" s="2" t="s">
        <v>9492</v>
      </c>
      <c r="V1215" s="2"/>
      <c r="W1215" s="2" t="s">
        <v>9493</v>
      </c>
      <c r="X1215" s="2" t="s">
        <v>43</v>
      </c>
      <c r="Y1215" s="2" t="s">
        <v>37</v>
      </c>
      <c r="Z1215" s="2" t="s">
        <v>916</v>
      </c>
      <c r="AA1215" s="2"/>
      <c r="AB1215" s="2"/>
      <c r="AC1215" s="2" t="s">
        <v>9494</v>
      </c>
      <c r="AD1215" s="2" t="s">
        <v>46</v>
      </c>
    </row>
    <row r="1216" customFormat="false" ht="15.7" hidden="false" customHeight="true" outlineLevel="0" collapsed="false">
      <c r="A1216" s="2"/>
      <c r="B1216" s="3" t="n">
        <f aca="false">DATE(2008,8,18)</f>
        <v>0</v>
      </c>
      <c r="C1216" s="3" t="n">
        <v>39678</v>
      </c>
      <c r="D1216" s="2" t="s">
        <v>9495</v>
      </c>
      <c r="F1216" s="2" t="s">
        <v>9496</v>
      </c>
      <c r="G1216" s="2" t="s">
        <v>9497</v>
      </c>
      <c r="H1216" s="2" t="s">
        <v>9498</v>
      </c>
      <c r="I1216" s="2" t="s">
        <v>34</v>
      </c>
      <c r="J1216" s="2" t="s">
        <v>35</v>
      </c>
      <c r="K1216" s="2" t="s">
        <v>9499</v>
      </c>
      <c r="L1216" s="2" t="s">
        <v>34</v>
      </c>
      <c r="M1216" s="2" t="s">
        <v>9498</v>
      </c>
      <c r="N1216" s="2" t="s">
        <v>9500</v>
      </c>
      <c r="O1216" s="2"/>
      <c r="P1216" s="2" t="s">
        <v>79</v>
      </c>
      <c r="Q1216" s="4" t="n">
        <v>6794</v>
      </c>
      <c r="R1216" s="2" t="s">
        <v>38</v>
      </c>
      <c r="S1216" s="2" t="s">
        <v>39</v>
      </c>
      <c r="T1216" s="2" t="s">
        <v>40</v>
      </c>
      <c r="U1216" s="2" t="s">
        <v>9501</v>
      </c>
      <c r="V1216" s="2"/>
      <c r="W1216" s="2" t="s">
        <v>253</v>
      </c>
      <c r="X1216" s="2" t="s">
        <v>43</v>
      </c>
      <c r="Y1216" s="2" t="s">
        <v>37</v>
      </c>
      <c r="Z1216" s="2" t="s">
        <v>44</v>
      </c>
      <c r="AA1216" s="2"/>
      <c r="AB1216" s="2"/>
      <c r="AC1216" s="2" t="s">
        <v>9502</v>
      </c>
      <c r="AD1216" s="2" t="s">
        <v>46</v>
      </c>
    </row>
    <row r="1217" customFormat="false" ht="15.7" hidden="false" customHeight="true" outlineLevel="0" collapsed="false">
      <c r="A1217" s="2"/>
      <c r="B1217" s="3" t="n">
        <f aca="false">DATE(2008,8,19)</f>
        <v>0</v>
      </c>
      <c r="C1217" s="3" t="n">
        <v>39679</v>
      </c>
      <c r="D1217" s="2" t="s">
        <v>9503</v>
      </c>
      <c r="F1217" s="2" t="s">
        <v>9504</v>
      </c>
      <c r="G1217" s="2" t="s">
        <v>9505</v>
      </c>
      <c r="H1217" s="2" t="s">
        <v>9506</v>
      </c>
      <c r="I1217" s="2" t="s">
        <v>51</v>
      </c>
      <c r="J1217" s="2" t="s">
        <v>9507</v>
      </c>
      <c r="K1217" s="2" t="s">
        <v>9503</v>
      </c>
      <c r="L1217" s="2" t="s">
        <v>51</v>
      </c>
      <c r="M1217" s="2" t="s">
        <v>9506</v>
      </c>
      <c r="N1217" s="2" t="s">
        <v>9508</v>
      </c>
      <c r="O1217" s="2"/>
      <c r="P1217" s="2" t="s">
        <v>37</v>
      </c>
      <c r="Q1217" s="4" t="n">
        <v>2086</v>
      </c>
      <c r="R1217" s="2" t="s">
        <v>56</v>
      </c>
      <c r="S1217" s="2" t="s">
        <v>1484</v>
      </c>
      <c r="T1217" s="2" t="s">
        <v>40</v>
      </c>
      <c r="U1217" s="2" t="s">
        <v>9509</v>
      </c>
      <c r="V1217" s="2"/>
      <c r="W1217" s="2" t="s">
        <v>107</v>
      </c>
      <c r="X1217" s="2" t="s">
        <v>43</v>
      </c>
      <c r="Y1217" s="2" t="s">
        <v>37</v>
      </c>
      <c r="Z1217" s="2" t="s">
        <v>44</v>
      </c>
      <c r="AA1217" s="2"/>
      <c r="AB1217" s="2"/>
      <c r="AC1217" s="2" t="s">
        <v>9510</v>
      </c>
      <c r="AD1217" s="2" t="s">
        <v>46</v>
      </c>
    </row>
    <row r="1218" customFormat="false" ht="15.7" hidden="false" customHeight="true" outlineLevel="0" collapsed="false">
      <c r="A1218" s="2"/>
      <c r="B1218" s="3" t="n">
        <f aca="false">DATE(2008,8,19)</f>
        <v>0</v>
      </c>
      <c r="C1218" s="3" t="n">
        <v>39679</v>
      </c>
      <c r="D1218" s="2" t="s">
        <v>9511</v>
      </c>
      <c r="F1218" s="2" t="s">
        <v>5012</v>
      </c>
      <c r="G1218" s="2" t="s">
        <v>9512</v>
      </c>
      <c r="H1218" s="2" t="s">
        <v>305</v>
      </c>
      <c r="I1218" s="2" t="s">
        <v>51</v>
      </c>
      <c r="J1218" s="2" t="s">
        <v>9513</v>
      </c>
      <c r="K1218" s="2" t="s">
        <v>9511</v>
      </c>
      <c r="L1218" s="2" t="s">
        <v>51</v>
      </c>
      <c r="M1218" s="2" t="s">
        <v>305</v>
      </c>
      <c r="N1218" s="2" t="s">
        <v>9514</v>
      </c>
      <c r="O1218" s="2"/>
      <c r="P1218" s="2" t="s">
        <v>37</v>
      </c>
      <c r="Q1218" s="4" t="n">
        <v>8731</v>
      </c>
      <c r="R1218" s="2" t="s">
        <v>136</v>
      </c>
      <c r="S1218" s="2" t="s">
        <v>39</v>
      </c>
      <c r="T1218" s="2" t="s">
        <v>40</v>
      </c>
      <c r="U1218" s="2" t="s">
        <v>9515</v>
      </c>
      <c r="V1218" s="2"/>
      <c r="W1218" s="2" t="s">
        <v>42</v>
      </c>
      <c r="X1218" s="2" t="s">
        <v>43</v>
      </c>
      <c r="Y1218" s="2" t="s">
        <v>37</v>
      </c>
      <c r="Z1218" s="2" t="s">
        <v>44</v>
      </c>
      <c r="AA1218" s="2"/>
      <c r="AB1218" s="2"/>
      <c r="AC1218" s="2" t="s">
        <v>9516</v>
      </c>
      <c r="AD1218" s="2" t="s">
        <v>46</v>
      </c>
    </row>
    <row r="1219" customFormat="false" ht="15.7" hidden="false" customHeight="true" outlineLevel="0" collapsed="false">
      <c r="A1219" s="2"/>
      <c r="B1219" s="3" t="n">
        <f aca="false">DATE(2008,8,19)</f>
        <v>0</v>
      </c>
      <c r="C1219" s="3" t="n">
        <v>39679</v>
      </c>
      <c r="D1219" s="2" t="s">
        <v>9517</v>
      </c>
      <c r="F1219" s="2" t="s">
        <v>9518</v>
      </c>
      <c r="G1219" s="2" t="s">
        <v>9519</v>
      </c>
      <c r="H1219" s="2" t="s">
        <v>762</v>
      </c>
      <c r="I1219" s="2" t="s">
        <v>154</v>
      </c>
      <c r="J1219" s="2" t="s">
        <v>220</v>
      </c>
      <c r="K1219" s="2" t="s">
        <v>9517</v>
      </c>
      <c r="L1219" s="2" t="s">
        <v>154</v>
      </c>
      <c r="M1219" s="2" t="s">
        <v>762</v>
      </c>
      <c r="N1219" s="2" t="s">
        <v>9520</v>
      </c>
      <c r="O1219" s="2"/>
      <c r="P1219" s="2" t="s">
        <v>37</v>
      </c>
      <c r="Q1219" s="4" t="n">
        <v>8731</v>
      </c>
      <c r="R1219" s="2" t="s">
        <v>136</v>
      </c>
      <c r="S1219" s="2" t="s">
        <v>39</v>
      </c>
      <c r="T1219" s="2" t="s">
        <v>40</v>
      </c>
      <c r="U1219" s="2" t="s">
        <v>9521</v>
      </c>
      <c r="V1219" s="2"/>
      <c r="W1219" s="2" t="s">
        <v>42</v>
      </c>
      <c r="X1219" s="2" t="s">
        <v>43</v>
      </c>
      <c r="Y1219" s="2" t="s">
        <v>37</v>
      </c>
      <c r="Z1219" s="2" t="s">
        <v>44</v>
      </c>
      <c r="AA1219" s="2"/>
      <c r="AB1219" s="2"/>
      <c r="AC1219" s="2" t="s">
        <v>9522</v>
      </c>
      <c r="AD1219" s="2" t="s">
        <v>46</v>
      </c>
    </row>
    <row r="1220" customFormat="false" ht="15.7" hidden="false" customHeight="true" outlineLevel="0" collapsed="false">
      <c r="A1220" s="2"/>
      <c r="B1220" s="3" t="n">
        <f aca="false">DATE(2008,8,19)</f>
        <v>0</v>
      </c>
      <c r="C1220" s="3" t="n">
        <v>39679</v>
      </c>
      <c r="D1220" s="2" t="s">
        <v>9523</v>
      </c>
      <c r="F1220" s="2" t="s">
        <v>9524</v>
      </c>
      <c r="G1220" s="2" t="s">
        <v>9525</v>
      </c>
      <c r="H1220" s="2" t="s">
        <v>9526</v>
      </c>
      <c r="I1220" s="2" t="s">
        <v>369</v>
      </c>
      <c r="J1220" s="2" t="s">
        <v>35</v>
      </c>
      <c r="K1220" s="2" t="s">
        <v>9523</v>
      </c>
      <c r="L1220" s="2" t="s">
        <v>369</v>
      </c>
      <c r="M1220" s="2" t="s">
        <v>9526</v>
      </c>
      <c r="N1220" s="2" t="s">
        <v>9527</v>
      </c>
      <c r="O1220" s="2" t="s">
        <v>9528</v>
      </c>
      <c r="P1220" s="2" t="s">
        <v>37</v>
      </c>
      <c r="Q1220" s="4" t="n">
        <v>3714</v>
      </c>
      <c r="R1220" s="2" t="s">
        <v>105</v>
      </c>
      <c r="S1220" s="2" t="s">
        <v>39</v>
      </c>
      <c r="T1220" s="2" t="s">
        <v>40</v>
      </c>
      <c r="U1220" s="2" t="s">
        <v>9529</v>
      </c>
      <c r="V1220" s="2"/>
      <c r="W1220" s="2" t="s">
        <v>107</v>
      </c>
      <c r="X1220" s="2" t="s">
        <v>46</v>
      </c>
      <c r="Y1220" s="2" t="s">
        <v>37</v>
      </c>
      <c r="Z1220" s="2" t="s">
        <v>362</v>
      </c>
      <c r="AA1220" s="2"/>
      <c r="AB1220" s="2" t="s">
        <v>9530</v>
      </c>
      <c r="AC1220" s="2" t="s">
        <v>9531</v>
      </c>
      <c r="AD1220" s="2" t="s">
        <v>46</v>
      </c>
    </row>
    <row r="1221" customFormat="false" ht="15.7" hidden="false" customHeight="true" outlineLevel="0" collapsed="false">
      <c r="A1221" s="2"/>
      <c r="B1221" s="3" t="n">
        <f aca="false">DATE(2008,8,21)</f>
        <v>0</v>
      </c>
      <c r="C1221" s="3" t="n">
        <v>39681</v>
      </c>
      <c r="D1221" s="2" t="s">
        <v>9532</v>
      </c>
      <c r="F1221" s="2" t="s">
        <v>9533</v>
      </c>
      <c r="G1221" s="2" t="s">
        <v>9534</v>
      </c>
      <c r="H1221" s="2" t="s">
        <v>9535</v>
      </c>
      <c r="I1221" s="2" t="s">
        <v>51</v>
      </c>
      <c r="J1221" s="2" t="s">
        <v>9536</v>
      </c>
      <c r="K1221" s="2" t="s">
        <v>9532</v>
      </c>
      <c r="L1221" s="2" t="s">
        <v>51</v>
      </c>
      <c r="M1221" s="2" t="s">
        <v>9535</v>
      </c>
      <c r="N1221" s="2" t="s">
        <v>9537</v>
      </c>
      <c r="O1221" s="2"/>
      <c r="P1221" s="2" t="s">
        <v>37</v>
      </c>
      <c r="Q1221" s="4" t="n">
        <v>8731</v>
      </c>
      <c r="R1221" s="2" t="s">
        <v>56</v>
      </c>
      <c r="S1221" s="2" t="s">
        <v>92</v>
      </c>
      <c r="T1221" s="2" t="s">
        <v>40</v>
      </c>
      <c r="U1221" s="2" t="s">
        <v>9538</v>
      </c>
      <c r="V1221" s="2"/>
      <c r="W1221" s="2" t="s">
        <v>42</v>
      </c>
      <c r="X1221" s="2" t="s">
        <v>43</v>
      </c>
      <c r="Y1221" s="2" t="s">
        <v>37</v>
      </c>
      <c r="Z1221" s="2" t="s">
        <v>44</v>
      </c>
      <c r="AA1221" s="2"/>
      <c r="AB1221" s="2"/>
      <c r="AC1221" s="2" t="s">
        <v>9539</v>
      </c>
      <c r="AD1221" s="2" t="s">
        <v>46</v>
      </c>
    </row>
    <row r="1222" customFormat="false" ht="15.7" hidden="false" customHeight="true" outlineLevel="0" collapsed="false">
      <c r="A1222" s="2"/>
      <c r="B1222" s="3" t="n">
        <f aca="false">DATE(2008,8,21)</f>
        <v>0</v>
      </c>
      <c r="C1222" s="3" t="n">
        <v>39681</v>
      </c>
      <c r="D1222" s="2" t="s">
        <v>9540</v>
      </c>
      <c r="F1222" s="2" t="s">
        <v>9541</v>
      </c>
      <c r="G1222" s="2" t="s">
        <v>9542</v>
      </c>
      <c r="H1222" s="2" t="s">
        <v>170</v>
      </c>
      <c r="I1222" s="2" t="s">
        <v>1080</v>
      </c>
      <c r="J1222" s="2" t="s">
        <v>35</v>
      </c>
      <c r="K1222" s="2" t="s">
        <v>9543</v>
      </c>
      <c r="L1222" s="2" t="s">
        <v>1080</v>
      </c>
      <c r="M1222" s="2" t="s">
        <v>170</v>
      </c>
      <c r="N1222" s="2" t="s">
        <v>9544</v>
      </c>
      <c r="O1222" s="2"/>
      <c r="P1222" s="2" t="s">
        <v>37</v>
      </c>
      <c r="Q1222" s="4" t="n">
        <v>8731</v>
      </c>
      <c r="R1222" s="2" t="s">
        <v>2201</v>
      </c>
      <c r="S1222" s="2" t="s">
        <v>39</v>
      </c>
      <c r="T1222" s="2" t="s">
        <v>40</v>
      </c>
      <c r="U1222" s="2" t="s">
        <v>9545</v>
      </c>
      <c r="V1222" s="2"/>
      <c r="W1222" s="2" t="s">
        <v>42</v>
      </c>
      <c r="X1222" s="2" t="s">
        <v>43</v>
      </c>
      <c r="Y1222" s="2" t="s">
        <v>37</v>
      </c>
      <c r="Z1222" s="2" t="s">
        <v>44</v>
      </c>
      <c r="AA1222" s="2"/>
      <c r="AB1222" s="2"/>
      <c r="AC1222" s="2" t="s">
        <v>9546</v>
      </c>
      <c r="AD1222" s="2" t="s">
        <v>46</v>
      </c>
    </row>
    <row r="1223" customFormat="false" ht="15.7" hidden="false" customHeight="true" outlineLevel="0" collapsed="false">
      <c r="A1223" s="2"/>
      <c r="B1223" s="3" t="n">
        <f aca="false">DATE(2008,8,26)</f>
        <v>0</v>
      </c>
      <c r="C1223" s="3" t="n">
        <v>39686</v>
      </c>
      <c r="D1223" s="2" t="s">
        <v>9547</v>
      </c>
      <c r="F1223" s="2" t="s">
        <v>9548</v>
      </c>
      <c r="G1223" s="2" t="s">
        <v>9549</v>
      </c>
      <c r="H1223" s="2" t="s">
        <v>130</v>
      </c>
      <c r="I1223" s="2" t="s">
        <v>3188</v>
      </c>
      <c r="J1223" s="2" t="s">
        <v>35</v>
      </c>
      <c r="K1223" s="2" t="s">
        <v>9550</v>
      </c>
      <c r="L1223" s="2" t="s">
        <v>3188</v>
      </c>
      <c r="M1223" s="2" t="s">
        <v>130</v>
      </c>
      <c r="N1223" s="2" t="s">
        <v>9551</v>
      </c>
      <c r="O1223" s="2"/>
      <c r="P1223" s="2" t="s">
        <v>79</v>
      </c>
      <c r="Q1223" s="4" t="n">
        <v>6794</v>
      </c>
      <c r="R1223" s="2" t="s">
        <v>70</v>
      </c>
      <c r="S1223" s="2" t="s">
        <v>39</v>
      </c>
      <c r="T1223" s="2" t="s">
        <v>40</v>
      </c>
      <c r="U1223" s="2" t="s">
        <v>9552</v>
      </c>
      <c r="V1223" s="2"/>
      <c r="W1223" s="2" t="s">
        <v>253</v>
      </c>
      <c r="X1223" s="2" t="s">
        <v>43</v>
      </c>
      <c r="Y1223" s="2" t="s">
        <v>37</v>
      </c>
      <c r="Z1223" s="2" t="s">
        <v>44</v>
      </c>
      <c r="AA1223" s="2"/>
      <c r="AB1223" s="2"/>
      <c r="AC1223" s="2" t="s">
        <v>9553</v>
      </c>
      <c r="AD1223" s="2" t="s">
        <v>46</v>
      </c>
    </row>
    <row r="1224" customFormat="false" ht="15.7" hidden="false" customHeight="true" outlineLevel="0" collapsed="false">
      <c r="A1224" s="2"/>
      <c r="B1224" s="3" t="n">
        <f aca="false">DATE(2008,8,26)</f>
        <v>0</v>
      </c>
      <c r="C1224" s="3" t="n">
        <v>39686</v>
      </c>
      <c r="D1224" s="2" t="s">
        <v>9554</v>
      </c>
      <c r="F1224" s="2" t="s">
        <v>9555</v>
      </c>
      <c r="G1224" s="2" t="s">
        <v>9556</v>
      </c>
      <c r="H1224" s="2" t="s">
        <v>9557</v>
      </c>
      <c r="I1224" s="2" t="s">
        <v>2530</v>
      </c>
      <c r="J1224" s="2" t="s">
        <v>9558</v>
      </c>
      <c r="K1224" s="2" t="s">
        <v>9554</v>
      </c>
      <c r="L1224" s="2" t="s">
        <v>2530</v>
      </c>
      <c r="M1224" s="2" t="s">
        <v>9557</v>
      </c>
      <c r="N1224" s="2" t="s">
        <v>9559</v>
      </c>
      <c r="O1224" s="2"/>
      <c r="P1224" s="2" t="s">
        <v>37</v>
      </c>
      <c r="Q1224" s="4" t="n">
        <v>8731</v>
      </c>
      <c r="R1224" s="2" t="s">
        <v>56</v>
      </c>
      <c r="S1224" s="2" t="s">
        <v>360</v>
      </c>
      <c r="T1224" s="2" t="s">
        <v>40</v>
      </c>
      <c r="U1224" s="2" t="s">
        <v>9560</v>
      </c>
      <c r="V1224" s="2"/>
      <c r="W1224" s="2" t="s">
        <v>42</v>
      </c>
      <c r="X1224" s="2" t="s">
        <v>43</v>
      </c>
      <c r="Y1224" s="2" t="s">
        <v>37</v>
      </c>
      <c r="Z1224" s="2" t="s">
        <v>916</v>
      </c>
      <c r="AA1224" s="2"/>
      <c r="AB1224" s="2"/>
      <c r="AC1224" s="2" t="s">
        <v>9561</v>
      </c>
      <c r="AD1224" s="2" t="s">
        <v>46</v>
      </c>
    </row>
    <row r="1225" customFormat="false" ht="15.7" hidden="false" customHeight="true" outlineLevel="0" collapsed="false">
      <c r="A1225" s="2"/>
      <c r="B1225" s="3" t="n">
        <f aca="false">DATE(2008,8,27)</f>
        <v>0</v>
      </c>
      <c r="C1225" s="3" t="n">
        <v>39687</v>
      </c>
      <c r="D1225" s="2" t="s">
        <v>9562</v>
      </c>
      <c r="F1225" s="2" t="s">
        <v>9563</v>
      </c>
      <c r="G1225" s="2" t="s">
        <v>9564</v>
      </c>
      <c r="H1225" s="2" t="s">
        <v>63</v>
      </c>
      <c r="I1225" s="2" t="s">
        <v>330</v>
      </c>
      <c r="J1225" s="2" t="s">
        <v>132</v>
      </c>
      <c r="K1225" s="2" t="s">
        <v>9562</v>
      </c>
      <c r="L1225" s="2" t="s">
        <v>330</v>
      </c>
      <c r="M1225" s="2" t="s">
        <v>63</v>
      </c>
      <c r="N1225" s="2" t="s">
        <v>9565</v>
      </c>
      <c r="O1225" s="2"/>
      <c r="P1225" s="2" t="s">
        <v>79</v>
      </c>
      <c r="Q1225" s="4" t="n">
        <v>6794</v>
      </c>
      <c r="R1225" s="2" t="s">
        <v>136</v>
      </c>
      <c r="S1225" s="2" t="s">
        <v>39</v>
      </c>
      <c r="T1225" s="2" t="s">
        <v>40</v>
      </c>
      <c r="U1225" s="2" t="s">
        <v>9566</v>
      </c>
      <c r="V1225" s="2"/>
      <c r="W1225" s="2" t="s">
        <v>190</v>
      </c>
      <c r="X1225" s="2" t="s">
        <v>43</v>
      </c>
      <c r="Y1225" s="2" t="s">
        <v>37</v>
      </c>
      <c r="Z1225" s="2" t="s">
        <v>44</v>
      </c>
      <c r="AA1225" s="2" t="s">
        <v>9567</v>
      </c>
      <c r="AB1225" s="2"/>
      <c r="AC1225" s="2" t="s">
        <v>9568</v>
      </c>
      <c r="AD1225" s="2" t="s">
        <v>46</v>
      </c>
    </row>
    <row r="1226" customFormat="false" ht="15.7" hidden="false" customHeight="true" outlineLevel="0" collapsed="false">
      <c r="A1226" s="2"/>
      <c r="B1226" s="3" t="n">
        <f aca="false">DATE(2008,8,28)</f>
        <v>0</v>
      </c>
      <c r="C1226" s="3" t="n">
        <v>39688</v>
      </c>
      <c r="D1226" s="2" t="s">
        <v>9569</v>
      </c>
      <c r="F1226" s="2" t="s">
        <v>9570</v>
      </c>
      <c r="G1226" s="2" t="s">
        <v>9571</v>
      </c>
      <c r="H1226" s="2" t="s">
        <v>130</v>
      </c>
      <c r="I1226" s="2" t="s">
        <v>330</v>
      </c>
      <c r="J1226" s="2" t="s">
        <v>966</v>
      </c>
      <c r="K1226" s="2" t="s">
        <v>9569</v>
      </c>
      <c r="L1226" s="2" t="s">
        <v>330</v>
      </c>
      <c r="M1226" s="2" t="s">
        <v>130</v>
      </c>
      <c r="N1226" s="2" t="s">
        <v>9572</v>
      </c>
      <c r="O1226" s="2"/>
      <c r="P1226" s="2" t="s">
        <v>37</v>
      </c>
      <c r="Q1226" s="4" t="n">
        <v>8731</v>
      </c>
      <c r="R1226" s="2" t="s">
        <v>2201</v>
      </c>
      <c r="S1226" s="2" t="s">
        <v>39</v>
      </c>
      <c r="T1226" s="2" t="s">
        <v>40</v>
      </c>
      <c r="U1226" s="2" t="s">
        <v>9573</v>
      </c>
      <c r="V1226" s="2"/>
      <c r="W1226" s="2" t="s">
        <v>42</v>
      </c>
      <c r="X1226" s="2" t="s">
        <v>43</v>
      </c>
      <c r="Y1226" s="2" t="s">
        <v>37</v>
      </c>
      <c r="Z1226" s="2" t="s">
        <v>44</v>
      </c>
      <c r="AA1226" s="2"/>
      <c r="AB1226" s="2"/>
      <c r="AC1226" s="2" t="s">
        <v>9574</v>
      </c>
      <c r="AD1226" s="2" t="s">
        <v>46</v>
      </c>
    </row>
    <row r="1227" customFormat="false" ht="15.7" hidden="false" customHeight="true" outlineLevel="0" collapsed="false">
      <c r="A1227" s="2"/>
      <c r="B1227" s="3" t="n">
        <f aca="false">DATE(2008,8,28)</f>
        <v>0</v>
      </c>
      <c r="C1227" s="3" t="n">
        <v>39688</v>
      </c>
      <c r="D1227" s="2" t="s">
        <v>9575</v>
      </c>
      <c r="F1227" s="2" t="s">
        <v>9576</v>
      </c>
      <c r="G1227" s="2" t="s">
        <v>9577</v>
      </c>
      <c r="H1227" s="2" t="s">
        <v>5477</v>
      </c>
      <c r="I1227" s="2" t="s">
        <v>724</v>
      </c>
      <c r="J1227" s="2" t="s">
        <v>6170</v>
      </c>
      <c r="K1227" s="2" t="s">
        <v>9578</v>
      </c>
      <c r="L1227" s="2" t="s">
        <v>724</v>
      </c>
      <c r="M1227" s="2" t="s">
        <v>305</v>
      </c>
      <c r="N1227" s="2" t="s">
        <v>9579</v>
      </c>
      <c r="O1227" s="2"/>
      <c r="P1227" s="2" t="s">
        <v>79</v>
      </c>
      <c r="Q1227" s="4" t="n">
        <v>8731</v>
      </c>
      <c r="R1227" s="2" t="s">
        <v>136</v>
      </c>
      <c r="S1227" s="2" t="s">
        <v>39</v>
      </c>
      <c r="T1227" s="2" t="s">
        <v>2444</v>
      </c>
      <c r="U1227" s="2" t="s">
        <v>9580</v>
      </c>
      <c r="V1227" s="2"/>
      <c r="W1227" s="2" t="s">
        <v>9581</v>
      </c>
      <c r="X1227" s="2" t="s">
        <v>43</v>
      </c>
      <c r="Y1227" s="2" t="s">
        <v>37</v>
      </c>
      <c r="Z1227" s="2" t="s">
        <v>44</v>
      </c>
      <c r="AA1227" s="2" t="s">
        <v>9582</v>
      </c>
      <c r="AB1227" s="2"/>
      <c r="AC1227" s="2" t="s">
        <v>9583</v>
      </c>
      <c r="AD1227" s="2" t="s">
        <v>46</v>
      </c>
    </row>
    <row r="1228" customFormat="false" ht="15.7" hidden="false" customHeight="true" outlineLevel="0" collapsed="false">
      <c r="A1228" s="2"/>
      <c r="B1228" s="3" t="n">
        <f aca="false">DATE(2008,8,28)</f>
        <v>0</v>
      </c>
      <c r="C1228" s="3" t="n">
        <v>39688</v>
      </c>
      <c r="D1228" s="2" t="s">
        <v>9584</v>
      </c>
      <c r="F1228" s="2" t="s">
        <v>9585</v>
      </c>
      <c r="G1228" s="2" t="s">
        <v>9586</v>
      </c>
      <c r="H1228" s="2" t="s">
        <v>9587</v>
      </c>
      <c r="I1228" s="2" t="s">
        <v>2052</v>
      </c>
      <c r="J1228" s="2" t="s">
        <v>5743</v>
      </c>
      <c r="K1228" s="2" t="s">
        <v>9584</v>
      </c>
      <c r="L1228" s="2" t="s">
        <v>2052</v>
      </c>
      <c r="M1228" s="2" t="s">
        <v>9587</v>
      </c>
      <c r="N1228" s="2" t="s">
        <v>9588</v>
      </c>
      <c r="O1228" s="2"/>
      <c r="P1228" s="2" t="s">
        <v>79</v>
      </c>
      <c r="Q1228" s="4" t="n">
        <v>6794</v>
      </c>
      <c r="R1228" s="2" t="s">
        <v>136</v>
      </c>
      <c r="S1228" s="2" t="s">
        <v>39</v>
      </c>
      <c r="T1228" s="2" t="s">
        <v>40</v>
      </c>
      <c r="U1228" s="2" t="s">
        <v>9589</v>
      </c>
      <c r="V1228" s="2"/>
      <c r="W1228" s="2" t="s">
        <v>9590</v>
      </c>
      <c r="X1228" s="2" t="s">
        <v>43</v>
      </c>
      <c r="Y1228" s="2" t="s">
        <v>37</v>
      </c>
      <c r="Z1228" s="2" t="s">
        <v>44</v>
      </c>
      <c r="AA1228" s="2"/>
      <c r="AB1228" s="2"/>
      <c r="AC1228" s="2" t="s">
        <v>9591</v>
      </c>
      <c r="AD1228" s="2" t="s">
        <v>46</v>
      </c>
    </row>
    <row r="1229" customFormat="false" ht="15.7" hidden="false" customHeight="true" outlineLevel="0" collapsed="false">
      <c r="A1229" s="2"/>
      <c r="B1229" s="3" t="n">
        <f aca="false">DATE(2008,9,3)</f>
        <v>0</v>
      </c>
      <c r="C1229" s="3" t="n">
        <v>39694</v>
      </c>
      <c r="D1229" s="2" t="s">
        <v>9592</v>
      </c>
      <c r="F1229" s="2" t="s">
        <v>9593</v>
      </c>
      <c r="G1229" s="2" t="s">
        <v>9594</v>
      </c>
      <c r="H1229" s="2" t="s">
        <v>762</v>
      </c>
      <c r="I1229" s="2" t="s">
        <v>3265</v>
      </c>
      <c r="J1229" s="2" t="s">
        <v>966</v>
      </c>
      <c r="K1229" s="2" t="s">
        <v>9592</v>
      </c>
      <c r="L1229" s="2" t="s">
        <v>3265</v>
      </c>
      <c r="M1229" s="2" t="s">
        <v>762</v>
      </c>
      <c r="N1229" s="2" t="s">
        <v>9595</v>
      </c>
      <c r="O1229" s="2"/>
      <c r="P1229" s="2" t="s">
        <v>37</v>
      </c>
      <c r="Q1229" s="4" t="n">
        <v>8731</v>
      </c>
      <c r="R1229" s="2" t="s">
        <v>402</v>
      </c>
      <c r="S1229" s="2" t="s">
        <v>39</v>
      </c>
      <c r="T1229" s="2" t="s">
        <v>40</v>
      </c>
      <c r="U1229" s="2" t="s">
        <v>9596</v>
      </c>
      <c r="V1229" s="2"/>
      <c r="W1229" s="2" t="s">
        <v>42</v>
      </c>
      <c r="X1229" s="2" t="s">
        <v>43</v>
      </c>
      <c r="Y1229" s="2" t="s">
        <v>37</v>
      </c>
      <c r="Z1229" s="2" t="s">
        <v>44</v>
      </c>
      <c r="AA1229" s="2"/>
      <c r="AB1229" s="2"/>
      <c r="AC1229" s="2" t="s">
        <v>9597</v>
      </c>
      <c r="AD1229" s="2" t="s">
        <v>46</v>
      </c>
    </row>
    <row r="1230" customFormat="false" ht="15.7" hidden="false" customHeight="true" outlineLevel="0" collapsed="false">
      <c r="A1230" s="2"/>
      <c r="B1230" s="3" t="n">
        <f aca="false">DATE(2008,9,3)</f>
        <v>0</v>
      </c>
      <c r="C1230" s="3" t="n">
        <v>39694</v>
      </c>
      <c r="D1230" s="2" t="s">
        <v>9598</v>
      </c>
      <c r="F1230" s="2" t="s">
        <v>9599</v>
      </c>
      <c r="G1230" s="2" t="s">
        <v>9600</v>
      </c>
      <c r="H1230" s="2" t="s">
        <v>6563</v>
      </c>
      <c r="I1230" s="2" t="s">
        <v>51</v>
      </c>
      <c r="J1230" s="2" t="s">
        <v>3045</v>
      </c>
      <c r="K1230" s="2" t="s">
        <v>9598</v>
      </c>
      <c r="L1230" s="2" t="s">
        <v>51</v>
      </c>
      <c r="M1230" s="2" t="s">
        <v>6563</v>
      </c>
      <c r="N1230" s="2" t="s">
        <v>9601</v>
      </c>
      <c r="O1230" s="2"/>
      <c r="P1230" s="2" t="s">
        <v>37</v>
      </c>
      <c r="Q1230" s="4" t="n">
        <v>8731</v>
      </c>
      <c r="R1230" s="2" t="s">
        <v>56</v>
      </c>
      <c r="S1230" s="2" t="s">
        <v>92</v>
      </c>
      <c r="T1230" s="2" t="s">
        <v>40</v>
      </c>
      <c r="U1230" s="2" t="s">
        <v>9602</v>
      </c>
      <c r="V1230" s="2"/>
      <c r="W1230" s="2" t="s">
        <v>42</v>
      </c>
      <c r="X1230" s="2" t="s">
        <v>43</v>
      </c>
      <c r="Y1230" s="2" t="s">
        <v>37</v>
      </c>
      <c r="Z1230" s="2" t="s">
        <v>44</v>
      </c>
      <c r="AA1230" s="2"/>
      <c r="AB1230" s="2"/>
      <c r="AC1230" s="2" t="s">
        <v>9603</v>
      </c>
      <c r="AD1230" s="2" t="s">
        <v>46</v>
      </c>
    </row>
    <row r="1231" customFormat="false" ht="15.7" hidden="false" customHeight="true" outlineLevel="0" collapsed="false">
      <c r="A1231" s="2"/>
      <c r="B1231" s="3" t="n">
        <f aca="false">DATE(2008,9,3)</f>
        <v>0</v>
      </c>
      <c r="C1231" s="3" t="n">
        <v>39694</v>
      </c>
      <c r="D1231" s="2" t="s">
        <v>9604</v>
      </c>
      <c r="F1231" s="2" t="s">
        <v>9605</v>
      </c>
      <c r="G1231" s="2" t="s">
        <v>9606</v>
      </c>
      <c r="H1231" s="2" t="s">
        <v>305</v>
      </c>
      <c r="I1231" s="2" t="s">
        <v>51</v>
      </c>
      <c r="J1231" s="2" t="s">
        <v>2338</v>
      </c>
      <c r="K1231" s="2" t="s">
        <v>9604</v>
      </c>
      <c r="L1231" s="2" t="s">
        <v>51</v>
      </c>
      <c r="M1231" s="2" t="s">
        <v>305</v>
      </c>
      <c r="N1231" s="2" t="s">
        <v>9607</v>
      </c>
      <c r="O1231" s="2"/>
      <c r="P1231" s="2" t="s">
        <v>37</v>
      </c>
      <c r="Q1231" s="4" t="n">
        <v>8731</v>
      </c>
      <c r="R1231" s="2" t="s">
        <v>56</v>
      </c>
      <c r="S1231" s="2" t="s">
        <v>92</v>
      </c>
      <c r="T1231" s="2" t="s">
        <v>40</v>
      </c>
      <c r="U1231" s="2" t="s">
        <v>9608</v>
      </c>
      <c r="V1231" s="2"/>
      <c r="W1231" s="2" t="s">
        <v>42</v>
      </c>
      <c r="X1231" s="2" t="s">
        <v>43</v>
      </c>
      <c r="Y1231" s="2" t="s">
        <v>37</v>
      </c>
      <c r="Z1231" s="2" t="s">
        <v>44</v>
      </c>
      <c r="AA1231" s="2" t="s">
        <v>9609</v>
      </c>
      <c r="AB1231" s="2"/>
      <c r="AC1231" s="2" t="s">
        <v>9610</v>
      </c>
      <c r="AD1231" s="2" t="s">
        <v>46</v>
      </c>
    </row>
    <row r="1232" customFormat="false" ht="15.7" hidden="false" customHeight="true" outlineLevel="0" collapsed="false">
      <c r="A1232" s="2"/>
      <c r="B1232" s="3" t="n">
        <f aca="false">DATE(2008,9,4)</f>
        <v>0</v>
      </c>
      <c r="C1232" s="3" t="n">
        <v>39695</v>
      </c>
      <c r="D1232" s="2" t="s">
        <v>9611</v>
      </c>
      <c r="F1232" s="2" t="s">
        <v>408</v>
      </c>
      <c r="G1232" s="2" t="s">
        <v>9612</v>
      </c>
      <c r="H1232" s="2" t="s">
        <v>170</v>
      </c>
      <c r="I1232" s="2" t="s">
        <v>4562</v>
      </c>
      <c r="J1232" s="2" t="s">
        <v>35</v>
      </c>
      <c r="K1232" s="2" t="s">
        <v>9613</v>
      </c>
      <c r="L1232" s="2" t="s">
        <v>9614</v>
      </c>
      <c r="M1232" s="2" t="s">
        <v>305</v>
      </c>
      <c r="N1232" s="2" t="s">
        <v>9615</v>
      </c>
      <c r="O1232" s="2"/>
      <c r="P1232" s="2" t="s">
        <v>37</v>
      </c>
      <c r="Q1232" s="4" t="n">
        <v>8731</v>
      </c>
      <c r="R1232" s="2" t="s">
        <v>136</v>
      </c>
      <c r="S1232" s="2" t="s">
        <v>39</v>
      </c>
      <c r="T1232" s="2" t="s">
        <v>40</v>
      </c>
      <c r="U1232" s="2" t="s">
        <v>9616</v>
      </c>
      <c r="V1232" s="2"/>
      <c r="W1232" s="2" t="s">
        <v>42</v>
      </c>
      <c r="X1232" s="2" t="s">
        <v>43</v>
      </c>
      <c r="Y1232" s="2" t="s">
        <v>37</v>
      </c>
      <c r="Z1232" s="2" t="s">
        <v>44</v>
      </c>
      <c r="AA1232" s="2" t="s">
        <v>9617</v>
      </c>
      <c r="AB1232" s="2"/>
      <c r="AC1232" s="2" t="s">
        <v>9618</v>
      </c>
      <c r="AD1232" s="2" t="s">
        <v>46</v>
      </c>
    </row>
    <row r="1233" customFormat="false" ht="15.7" hidden="false" customHeight="true" outlineLevel="0" collapsed="false">
      <c r="A1233" s="2"/>
      <c r="B1233" s="3" t="n">
        <f aca="false">DATE(2008,9,4)</f>
        <v>0</v>
      </c>
      <c r="C1233" s="3" t="n">
        <v>39695</v>
      </c>
      <c r="D1233" s="2" t="s">
        <v>9619</v>
      </c>
      <c r="F1233" s="2" t="s">
        <v>9620</v>
      </c>
      <c r="G1233" s="2" t="s">
        <v>9621</v>
      </c>
      <c r="H1233" s="2" t="s">
        <v>9622</v>
      </c>
      <c r="I1233" s="2" t="s">
        <v>51</v>
      </c>
      <c r="J1233" s="2" t="s">
        <v>7787</v>
      </c>
      <c r="K1233" s="2" t="s">
        <v>9619</v>
      </c>
      <c r="L1233" s="2" t="s">
        <v>51</v>
      </c>
      <c r="M1233" s="2" t="s">
        <v>9622</v>
      </c>
      <c r="N1233" s="2" t="s">
        <v>9623</v>
      </c>
      <c r="O1233" s="2"/>
      <c r="P1233" s="2" t="s">
        <v>37</v>
      </c>
      <c r="Q1233" s="4" t="n">
        <v>8731</v>
      </c>
      <c r="R1233" s="2" t="s">
        <v>56</v>
      </c>
      <c r="S1233" s="2" t="s">
        <v>92</v>
      </c>
      <c r="T1233" s="2" t="s">
        <v>40</v>
      </c>
      <c r="U1233" s="2" t="s">
        <v>9624</v>
      </c>
      <c r="V1233" s="2"/>
      <c r="W1233" s="2" t="s">
        <v>42</v>
      </c>
      <c r="X1233" s="2" t="s">
        <v>43</v>
      </c>
      <c r="Y1233" s="2" t="s">
        <v>37</v>
      </c>
      <c r="Z1233" s="2" t="s">
        <v>44</v>
      </c>
      <c r="AA1233" s="2"/>
      <c r="AB1233" s="2"/>
      <c r="AC1233" s="2" t="s">
        <v>9625</v>
      </c>
      <c r="AD1233" s="2" t="s">
        <v>46</v>
      </c>
    </row>
    <row r="1234" customFormat="false" ht="15.7" hidden="false" customHeight="true" outlineLevel="0" collapsed="false">
      <c r="A1234" s="2"/>
      <c r="B1234" s="3" t="n">
        <f aca="false">DATE(2008,9,4)</f>
        <v>0</v>
      </c>
      <c r="C1234" s="3" t="n">
        <v>39695</v>
      </c>
      <c r="D1234" s="2" t="s">
        <v>9626</v>
      </c>
      <c r="F1234" s="2" t="s">
        <v>9627</v>
      </c>
      <c r="G1234" s="2" t="s">
        <v>9628</v>
      </c>
      <c r="H1234" s="2" t="s">
        <v>63</v>
      </c>
      <c r="I1234" s="2" t="s">
        <v>219</v>
      </c>
      <c r="J1234" s="2" t="s">
        <v>671</v>
      </c>
      <c r="K1234" s="2" t="s">
        <v>9626</v>
      </c>
      <c r="L1234" s="2" t="s">
        <v>219</v>
      </c>
      <c r="M1234" s="2" t="s">
        <v>63</v>
      </c>
      <c r="N1234" s="2" t="s">
        <v>9629</v>
      </c>
      <c r="O1234" s="2"/>
      <c r="P1234" s="2" t="s">
        <v>37</v>
      </c>
      <c r="Q1234" s="4" t="n">
        <v>8731</v>
      </c>
      <c r="R1234" s="2" t="s">
        <v>56</v>
      </c>
      <c r="S1234" s="2" t="s">
        <v>1226</v>
      </c>
      <c r="T1234" s="2" t="s">
        <v>40</v>
      </c>
      <c r="U1234" s="2" t="s">
        <v>9630</v>
      </c>
      <c r="V1234" s="2"/>
      <c r="W1234" s="2" t="s">
        <v>42</v>
      </c>
      <c r="X1234" s="2" t="s">
        <v>43</v>
      </c>
      <c r="Y1234" s="2" t="s">
        <v>37</v>
      </c>
      <c r="Z1234" s="2" t="s">
        <v>44</v>
      </c>
      <c r="AA1234" s="2"/>
      <c r="AB1234" s="2"/>
      <c r="AC1234" s="2" t="s">
        <v>9631</v>
      </c>
      <c r="AD1234" s="2" t="s">
        <v>46</v>
      </c>
    </row>
    <row r="1235" customFormat="false" ht="15.7" hidden="false" customHeight="true" outlineLevel="0" collapsed="false">
      <c r="A1235" s="2"/>
      <c r="B1235" s="3" t="n">
        <f aca="false">DATE(2008,9,4)</f>
        <v>0</v>
      </c>
      <c r="C1235" s="3" t="n">
        <v>39695</v>
      </c>
      <c r="D1235" s="2" t="s">
        <v>9632</v>
      </c>
      <c r="F1235" s="2" t="s">
        <v>9633</v>
      </c>
      <c r="G1235" s="2" t="s">
        <v>9634</v>
      </c>
      <c r="H1235" s="2" t="s">
        <v>762</v>
      </c>
      <c r="I1235" s="2" t="s">
        <v>9635</v>
      </c>
      <c r="J1235" s="2" t="s">
        <v>8615</v>
      </c>
      <c r="K1235" s="2" t="s">
        <v>9632</v>
      </c>
      <c r="L1235" s="2" t="s">
        <v>9635</v>
      </c>
      <c r="M1235" s="2" t="s">
        <v>762</v>
      </c>
      <c r="N1235" s="2" t="s">
        <v>9636</v>
      </c>
      <c r="O1235" s="2"/>
      <c r="P1235" s="2" t="s">
        <v>37</v>
      </c>
      <c r="Q1235" s="4" t="n">
        <v>8731</v>
      </c>
      <c r="R1235" s="2" t="s">
        <v>136</v>
      </c>
      <c r="S1235" s="2" t="s">
        <v>39</v>
      </c>
      <c r="T1235" s="2" t="s">
        <v>40</v>
      </c>
      <c r="U1235" s="2" t="s">
        <v>9637</v>
      </c>
      <c r="V1235" s="2"/>
      <c r="W1235" s="2" t="s">
        <v>42</v>
      </c>
      <c r="X1235" s="2" t="s">
        <v>43</v>
      </c>
      <c r="Y1235" s="2" t="s">
        <v>37</v>
      </c>
      <c r="Z1235" s="2" t="s">
        <v>44</v>
      </c>
      <c r="AA1235" s="2"/>
      <c r="AB1235" s="2"/>
      <c r="AC1235" s="2" t="s">
        <v>9638</v>
      </c>
      <c r="AD1235" s="2" t="s">
        <v>46</v>
      </c>
    </row>
    <row r="1236" customFormat="false" ht="15.7" hidden="false" customHeight="true" outlineLevel="0" collapsed="false">
      <c r="A1236" s="2"/>
      <c r="B1236" s="3" t="n">
        <f aca="false">DATE(2008,9,4)</f>
        <v>0</v>
      </c>
      <c r="C1236" s="3" t="n">
        <v>39695</v>
      </c>
      <c r="D1236" s="2" t="s">
        <v>9639</v>
      </c>
      <c r="F1236" s="2" t="s">
        <v>9640</v>
      </c>
      <c r="G1236" s="2" t="s">
        <v>9641</v>
      </c>
      <c r="H1236" s="2" t="s">
        <v>9642</v>
      </c>
      <c r="I1236" s="2" t="s">
        <v>9643</v>
      </c>
      <c r="J1236" s="2" t="s">
        <v>35</v>
      </c>
      <c r="K1236" s="2" t="s">
        <v>9644</v>
      </c>
      <c r="L1236" s="2" t="s">
        <v>9643</v>
      </c>
      <c r="M1236" s="2" t="s">
        <v>9645</v>
      </c>
      <c r="N1236" s="2" t="s">
        <v>9646</v>
      </c>
      <c r="O1236" s="2"/>
      <c r="P1236" s="2" t="s">
        <v>37</v>
      </c>
      <c r="Q1236" s="4" t="n">
        <v>3823</v>
      </c>
      <c r="R1236" s="2" t="s">
        <v>688</v>
      </c>
      <c r="S1236" s="2" t="s">
        <v>39</v>
      </c>
      <c r="T1236" s="2" t="s">
        <v>403</v>
      </c>
      <c r="U1236" s="2" t="s">
        <v>9647</v>
      </c>
      <c r="V1236" s="2"/>
      <c r="W1236" s="2" t="s">
        <v>107</v>
      </c>
      <c r="X1236" s="2" t="s">
        <v>46</v>
      </c>
      <c r="Y1236" s="2" t="s">
        <v>37</v>
      </c>
      <c r="Z1236" s="2" t="s">
        <v>362</v>
      </c>
      <c r="AA1236" s="2"/>
      <c r="AB1236" s="2"/>
      <c r="AC1236" s="2" t="s">
        <v>9648</v>
      </c>
      <c r="AD1236" s="2" t="s">
        <v>46</v>
      </c>
    </row>
    <row r="1237" customFormat="false" ht="15.7" hidden="false" customHeight="true" outlineLevel="0" collapsed="false">
      <c r="A1237" s="2"/>
      <c r="B1237" s="3" t="n">
        <f aca="false">DATE(2008,9,5)</f>
        <v>0</v>
      </c>
      <c r="C1237" s="3" t="n">
        <v>39696</v>
      </c>
      <c r="D1237" s="2" t="s">
        <v>9649</v>
      </c>
      <c r="F1237" s="2" t="s">
        <v>9650</v>
      </c>
      <c r="G1237" s="2" t="s">
        <v>9651</v>
      </c>
      <c r="H1237" s="2" t="s">
        <v>9652</v>
      </c>
      <c r="I1237" s="2" t="s">
        <v>9653</v>
      </c>
      <c r="J1237" s="2" t="s">
        <v>116</v>
      </c>
      <c r="K1237" s="2" t="s">
        <v>9649</v>
      </c>
      <c r="L1237" s="2" t="s">
        <v>9653</v>
      </c>
      <c r="M1237" s="2" t="s">
        <v>9652</v>
      </c>
      <c r="N1237" s="2" t="s">
        <v>9654</v>
      </c>
      <c r="O1237" s="2"/>
      <c r="P1237" s="2" t="s">
        <v>37</v>
      </c>
      <c r="Q1237" s="4" t="n">
        <v>8731</v>
      </c>
      <c r="R1237" s="2" t="s">
        <v>1402</v>
      </c>
      <c r="S1237" s="2" t="s">
        <v>39</v>
      </c>
      <c r="T1237" s="2" t="s">
        <v>40</v>
      </c>
      <c r="U1237" s="2" t="s">
        <v>9655</v>
      </c>
      <c r="V1237" s="2"/>
      <c r="W1237" s="2" t="s">
        <v>42</v>
      </c>
      <c r="X1237" s="2" t="s">
        <v>43</v>
      </c>
      <c r="Y1237" s="2" t="s">
        <v>37</v>
      </c>
      <c r="Z1237" s="2" t="s">
        <v>916</v>
      </c>
      <c r="AA1237" s="2"/>
      <c r="AB1237" s="2"/>
      <c r="AC1237" s="2" t="s">
        <v>9656</v>
      </c>
      <c r="AD1237" s="2" t="s">
        <v>46</v>
      </c>
    </row>
    <row r="1238" customFormat="false" ht="15.7" hidden="false" customHeight="true" outlineLevel="0" collapsed="false">
      <c r="A1238" s="2"/>
      <c r="B1238" s="3" t="n">
        <f aca="false">DATE(2008,9,6)</f>
        <v>0</v>
      </c>
      <c r="C1238" s="3" t="n">
        <v>39697</v>
      </c>
      <c r="D1238" s="2" t="s">
        <v>9657</v>
      </c>
      <c r="F1238" s="2" t="s">
        <v>9658</v>
      </c>
      <c r="G1238" s="2" t="s">
        <v>9659</v>
      </c>
      <c r="H1238" s="2" t="s">
        <v>9660</v>
      </c>
      <c r="I1238" s="2" t="s">
        <v>2727</v>
      </c>
      <c r="J1238" s="2" t="s">
        <v>35</v>
      </c>
      <c r="K1238" s="2" t="s">
        <v>9657</v>
      </c>
      <c r="L1238" s="2" t="s">
        <v>2727</v>
      </c>
      <c r="M1238" s="2" t="s">
        <v>9660</v>
      </c>
      <c r="N1238" s="2" t="s">
        <v>9661</v>
      </c>
      <c r="O1238" s="2"/>
      <c r="P1238" s="2" t="s">
        <v>37</v>
      </c>
      <c r="Q1238" s="4" t="n">
        <v>8731</v>
      </c>
      <c r="R1238" s="2" t="s">
        <v>402</v>
      </c>
      <c r="S1238" s="2" t="s">
        <v>39</v>
      </c>
      <c r="T1238" s="2" t="s">
        <v>40</v>
      </c>
      <c r="U1238" s="2" t="s">
        <v>9662</v>
      </c>
      <c r="V1238" s="2"/>
      <c r="W1238" s="2" t="s">
        <v>42</v>
      </c>
      <c r="X1238" s="2" t="s">
        <v>43</v>
      </c>
      <c r="Y1238" s="2" t="s">
        <v>37</v>
      </c>
      <c r="Z1238" s="2" t="s">
        <v>44</v>
      </c>
      <c r="AA1238" s="2"/>
      <c r="AB1238" s="2"/>
      <c r="AC1238" s="2" t="s">
        <v>9663</v>
      </c>
      <c r="AD1238" s="2" t="s">
        <v>46</v>
      </c>
    </row>
    <row r="1239" customFormat="false" ht="15.7" hidden="false" customHeight="true" outlineLevel="0" collapsed="false">
      <c r="A1239" s="2"/>
      <c r="B1239" s="3" t="n">
        <f aca="false">DATE(2008,9,8)</f>
        <v>0</v>
      </c>
      <c r="C1239" s="3" t="n">
        <v>39699</v>
      </c>
      <c r="D1239" s="2" t="s">
        <v>9664</v>
      </c>
      <c r="F1239" s="2" t="s">
        <v>9665</v>
      </c>
      <c r="G1239" s="2" t="s">
        <v>9666</v>
      </c>
      <c r="H1239" s="2" t="s">
        <v>9667</v>
      </c>
      <c r="I1239" s="2" t="s">
        <v>2590</v>
      </c>
      <c r="J1239" s="2" t="s">
        <v>35</v>
      </c>
      <c r="K1239" s="2" t="s">
        <v>9664</v>
      </c>
      <c r="L1239" s="2" t="s">
        <v>2590</v>
      </c>
      <c r="M1239" s="2" t="s">
        <v>9667</v>
      </c>
      <c r="N1239" s="2" t="s">
        <v>9668</v>
      </c>
      <c r="O1239" s="2"/>
      <c r="P1239" s="2" t="s">
        <v>37</v>
      </c>
      <c r="Q1239" s="4" t="n">
        <v>8731</v>
      </c>
      <c r="R1239" s="2" t="s">
        <v>402</v>
      </c>
      <c r="S1239" s="2" t="s">
        <v>39</v>
      </c>
      <c r="T1239" s="2" t="s">
        <v>40</v>
      </c>
      <c r="U1239" s="2" t="s">
        <v>9669</v>
      </c>
      <c r="V1239" s="2"/>
      <c r="W1239" s="2" t="s">
        <v>42</v>
      </c>
      <c r="X1239" s="2" t="s">
        <v>43</v>
      </c>
      <c r="Y1239" s="2" t="s">
        <v>37</v>
      </c>
      <c r="Z1239" s="2" t="s">
        <v>44</v>
      </c>
      <c r="AA1239" s="2"/>
      <c r="AB1239" s="2"/>
      <c r="AC1239" s="2" t="s">
        <v>9670</v>
      </c>
      <c r="AD1239" s="2" t="s">
        <v>46</v>
      </c>
    </row>
    <row r="1240" customFormat="false" ht="15.7" hidden="false" customHeight="true" outlineLevel="0" collapsed="false">
      <c r="A1240" s="2"/>
      <c r="B1240" s="3" t="n">
        <f aca="false">DATE(2008,9,9)</f>
        <v>0</v>
      </c>
      <c r="C1240" s="3" t="n">
        <v>39700</v>
      </c>
      <c r="D1240" s="2" t="s">
        <v>9671</v>
      </c>
      <c r="F1240" s="2" t="s">
        <v>9672</v>
      </c>
      <c r="G1240" s="2" t="s">
        <v>9673</v>
      </c>
      <c r="H1240" s="2" t="s">
        <v>523</v>
      </c>
      <c r="I1240" s="2" t="s">
        <v>3847</v>
      </c>
      <c r="J1240" s="2" t="s">
        <v>35</v>
      </c>
      <c r="K1240" s="2" t="s">
        <v>9671</v>
      </c>
      <c r="L1240" s="2" t="s">
        <v>3847</v>
      </c>
      <c r="M1240" s="2" t="s">
        <v>523</v>
      </c>
      <c r="N1240" s="2" t="s">
        <v>9674</v>
      </c>
      <c r="O1240" s="2"/>
      <c r="P1240" s="2" t="s">
        <v>37</v>
      </c>
      <c r="Q1240" s="4" t="n">
        <v>8731</v>
      </c>
      <c r="R1240" s="2" t="s">
        <v>136</v>
      </c>
      <c r="S1240" s="2" t="s">
        <v>39</v>
      </c>
      <c r="T1240" s="2" t="s">
        <v>40</v>
      </c>
      <c r="U1240" s="2" t="s">
        <v>9675</v>
      </c>
      <c r="V1240" s="2"/>
      <c r="W1240" s="2" t="s">
        <v>42</v>
      </c>
      <c r="X1240" s="2" t="s">
        <v>43</v>
      </c>
      <c r="Y1240" s="2" t="s">
        <v>37</v>
      </c>
      <c r="Z1240" s="2" t="s">
        <v>44</v>
      </c>
      <c r="AA1240" s="2"/>
      <c r="AB1240" s="2"/>
      <c r="AC1240" s="2" t="s">
        <v>9676</v>
      </c>
      <c r="AD1240" s="2" t="s">
        <v>46</v>
      </c>
    </row>
    <row r="1241" customFormat="false" ht="15.7" hidden="false" customHeight="true" outlineLevel="0" collapsed="false">
      <c r="A1241" s="2"/>
      <c r="B1241" s="3" t="n">
        <f aca="false">DATE(2008,9,9)</f>
        <v>0</v>
      </c>
      <c r="C1241" s="3" t="n">
        <v>39700</v>
      </c>
      <c r="D1241" s="2" t="s">
        <v>9677</v>
      </c>
      <c r="F1241" s="2" t="s">
        <v>9678</v>
      </c>
      <c r="G1241" s="2" t="s">
        <v>9679</v>
      </c>
      <c r="H1241" s="2" t="s">
        <v>153</v>
      </c>
      <c r="I1241" s="2" t="s">
        <v>51</v>
      </c>
      <c r="J1241" s="2" t="s">
        <v>3176</v>
      </c>
      <c r="K1241" s="2" t="s">
        <v>9680</v>
      </c>
      <c r="L1241" s="2" t="s">
        <v>51</v>
      </c>
      <c r="M1241" s="2" t="s">
        <v>9681</v>
      </c>
      <c r="N1241" s="2" t="s">
        <v>9682</v>
      </c>
      <c r="O1241" s="2"/>
      <c r="P1241" s="2" t="s">
        <v>37</v>
      </c>
      <c r="Q1241" s="4" t="n">
        <v>7389</v>
      </c>
      <c r="R1241" s="2" t="s">
        <v>56</v>
      </c>
      <c r="S1241" s="2" t="s">
        <v>788</v>
      </c>
      <c r="T1241" s="2" t="s">
        <v>403</v>
      </c>
      <c r="U1241" s="2" t="s">
        <v>9683</v>
      </c>
      <c r="V1241" s="2"/>
      <c r="W1241" s="2" t="s">
        <v>773</v>
      </c>
      <c r="X1241" s="2" t="s">
        <v>43</v>
      </c>
      <c r="Y1241" s="2" t="s">
        <v>37</v>
      </c>
      <c r="Z1241" s="2" t="s">
        <v>44</v>
      </c>
      <c r="AA1241" s="2"/>
      <c r="AB1241" s="2"/>
      <c r="AC1241" s="2" t="s">
        <v>9684</v>
      </c>
      <c r="AD1241" s="2" t="s">
        <v>46</v>
      </c>
    </row>
    <row r="1242" customFormat="false" ht="15.7" hidden="false" customHeight="true" outlineLevel="0" collapsed="false">
      <c r="A1242" s="2"/>
      <c r="B1242" s="3" t="n">
        <f aca="false">DATE(2008,9,10)</f>
        <v>0</v>
      </c>
      <c r="C1242" s="3" t="n">
        <v>39701</v>
      </c>
      <c r="D1242" s="2" t="s">
        <v>9685</v>
      </c>
      <c r="F1242" s="2" t="s">
        <v>9686</v>
      </c>
      <c r="G1242" s="2" t="s">
        <v>9687</v>
      </c>
      <c r="H1242" s="2" t="s">
        <v>9688</v>
      </c>
      <c r="I1242" s="2" t="s">
        <v>9689</v>
      </c>
      <c r="J1242" s="2" t="s">
        <v>35</v>
      </c>
      <c r="K1242" s="2" t="s">
        <v>9690</v>
      </c>
      <c r="L1242" s="2" t="s">
        <v>9689</v>
      </c>
      <c r="M1242" s="2" t="s">
        <v>1976</v>
      </c>
      <c r="N1242" s="2" t="s">
        <v>9691</v>
      </c>
      <c r="O1242" s="2"/>
      <c r="P1242" s="2" t="s">
        <v>37</v>
      </c>
      <c r="Q1242" s="4" t="n">
        <v>8731</v>
      </c>
      <c r="R1242" s="2" t="s">
        <v>450</v>
      </c>
      <c r="S1242" s="2" t="s">
        <v>39</v>
      </c>
      <c r="T1242" s="2" t="s">
        <v>40</v>
      </c>
      <c r="U1242" s="2" t="s">
        <v>9692</v>
      </c>
      <c r="V1242" s="2"/>
      <c r="W1242" s="2" t="s">
        <v>42</v>
      </c>
      <c r="X1242" s="2" t="s">
        <v>46</v>
      </c>
      <c r="Y1242" s="2" t="s">
        <v>37</v>
      </c>
      <c r="Z1242" s="2" t="s">
        <v>362</v>
      </c>
      <c r="AA1242" s="2"/>
      <c r="AB1242" s="2"/>
      <c r="AC1242" s="2" t="s">
        <v>9693</v>
      </c>
      <c r="AD1242" s="2" t="s">
        <v>46</v>
      </c>
    </row>
    <row r="1243" customFormat="false" ht="15.7" hidden="false" customHeight="true" outlineLevel="0" collapsed="false">
      <c r="A1243" s="2"/>
      <c r="B1243" s="3" t="n">
        <f aca="false">DATE(2008,9,10)</f>
        <v>0</v>
      </c>
      <c r="C1243" s="3" t="n">
        <v>39701</v>
      </c>
      <c r="D1243" s="2" t="s">
        <v>9694</v>
      </c>
      <c r="F1243" s="2" t="s">
        <v>9695</v>
      </c>
      <c r="G1243" s="2" t="s">
        <v>9696</v>
      </c>
      <c r="H1243" s="2" t="s">
        <v>63</v>
      </c>
      <c r="I1243" s="2" t="s">
        <v>1080</v>
      </c>
      <c r="J1243" s="2" t="s">
        <v>35</v>
      </c>
      <c r="K1243" s="2" t="s">
        <v>9694</v>
      </c>
      <c r="L1243" s="2" t="s">
        <v>1080</v>
      </c>
      <c r="M1243" s="2" t="s">
        <v>63</v>
      </c>
      <c r="N1243" s="2" t="s">
        <v>9697</v>
      </c>
      <c r="O1243" s="2"/>
      <c r="P1243" s="2" t="s">
        <v>79</v>
      </c>
      <c r="Q1243" s="4" t="n">
        <v>8731</v>
      </c>
      <c r="R1243" s="2" t="s">
        <v>136</v>
      </c>
      <c r="S1243" s="2" t="s">
        <v>39</v>
      </c>
      <c r="T1243" s="2" t="s">
        <v>40</v>
      </c>
      <c r="U1243" s="2" t="s">
        <v>9698</v>
      </c>
      <c r="V1243" s="2"/>
      <c r="W1243" s="2" t="s">
        <v>3330</v>
      </c>
      <c r="X1243" s="2" t="s">
        <v>43</v>
      </c>
      <c r="Y1243" s="2" t="s">
        <v>37</v>
      </c>
      <c r="Z1243" s="2" t="s">
        <v>44</v>
      </c>
      <c r="AA1243" s="2" t="s">
        <v>9699</v>
      </c>
      <c r="AB1243" s="2"/>
      <c r="AC1243" s="2" t="s">
        <v>9700</v>
      </c>
      <c r="AD1243" s="2" t="s">
        <v>46</v>
      </c>
    </row>
    <row r="1244" customFormat="false" ht="15.7" hidden="false" customHeight="true" outlineLevel="0" collapsed="false">
      <c r="A1244" s="2"/>
      <c r="B1244" s="3" t="n">
        <f aca="false">DATE(2008,9,10)</f>
        <v>0</v>
      </c>
      <c r="C1244" s="3" t="n">
        <v>39701</v>
      </c>
      <c r="D1244" s="2" t="s">
        <v>9701</v>
      </c>
      <c r="F1244" s="2" t="s">
        <v>9702</v>
      </c>
      <c r="G1244" s="2" t="s">
        <v>9703</v>
      </c>
      <c r="H1244" s="2" t="s">
        <v>9704</v>
      </c>
      <c r="I1244" s="2" t="s">
        <v>3795</v>
      </c>
      <c r="J1244" s="2" t="s">
        <v>3303</v>
      </c>
      <c r="K1244" s="2" t="s">
        <v>9701</v>
      </c>
      <c r="L1244" s="2" t="s">
        <v>3795</v>
      </c>
      <c r="M1244" s="2" t="s">
        <v>9704</v>
      </c>
      <c r="N1244" s="2" t="s">
        <v>9705</v>
      </c>
      <c r="O1244" s="2"/>
      <c r="P1244" s="2" t="s">
        <v>37</v>
      </c>
      <c r="Q1244" s="4" t="n">
        <v>3845</v>
      </c>
      <c r="R1244" s="2" t="s">
        <v>136</v>
      </c>
      <c r="S1244" s="2" t="s">
        <v>39</v>
      </c>
      <c r="T1244" s="2" t="s">
        <v>40</v>
      </c>
      <c r="U1244" s="2" t="s">
        <v>9706</v>
      </c>
      <c r="V1244" s="2"/>
      <c r="W1244" s="2" t="s">
        <v>107</v>
      </c>
      <c r="X1244" s="2" t="s">
        <v>43</v>
      </c>
      <c r="Y1244" s="2" t="s">
        <v>37</v>
      </c>
      <c r="Z1244" s="2" t="s">
        <v>44</v>
      </c>
      <c r="AA1244" s="2"/>
      <c r="AB1244" s="2"/>
      <c r="AC1244" s="2" t="s">
        <v>9707</v>
      </c>
      <c r="AD1244" s="2" t="s">
        <v>46</v>
      </c>
    </row>
    <row r="1245" customFormat="false" ht="15.7" hidden="false" customHeight="true" outlineLevel="0" collapsed="false">
      <c r="A1245" s="2"/>
      <c r="B1245" s="3" t="n">
        <f aca="false">DATE(2008,9,10)</f>
        <v>0</v>
      </c>
      <c r="C1245" s="3" t="n">
        <v>39701</v>
      </c>
      <c r="D1245" s="2" t="s">
        <v>9708</v>
      </c>
      <c r="F1245" s="2" t="s">
        <v>9709</v>
      </c>
      <c r="G1245" s="2" t="s">
        <v>9710</v>
      </c>
      <c r="H1245" s="2" t="s">
        <v>9711</v>
      </c>
      <c r="I1245" s="2" t="s">
        <v>296</v>
      </c>
      <c r="J1245" s="2" t="s">
        <v>1983</v>
      </c>
      <c r="K1245" s="2" t="s">
        <v>9712</v>
      </c>
      <c r="L1245" s="2" t="s">
        <v>296</v>
      </c>
      <c r="M1245" s="2" t="s">
        <v>9713</v>
      </c>
      <c r="N1245" s="2" t="s">
        <v>9714</v>
      </c>
      <c r="O1245" s="2"/>
      <c r="P1245" s="2" t="s">
        <v>37</v>
      </c>
      <c r="Q1245" s="4" t="n">
        <v>8731</v>
      </c>
      <c r="R1245" s="2" t="s">
        <v>56</v>
      </c>
      <c r="S1245" s="2" t="s">
        <v>360</v>
      </c>
      <c r="T1245" s="2" t="s">
        <v>673</v>
      </c>
      <c r="U1245" s="2" t="s">
        <v>9715</v>
      </c>
      <c r="V1245" s="2"/>
      <c r="W1245" s="2" t="s">
        <v>138</v>
      </c>
      <c r="X1245" s="2" t="s">
        <v>46</v>
      </c>
      <c r="Y1245" s="2" t="s">
        <v>37</v>
      </c>
      <c r="Z1245" s="2" t="s">
        <v>362</v>
      </c>
      <c r="AA1245" s="2"/>
      <c r="AB1245" s="2"/>
      <c r="AC1245" s="2" t="s">
        <v>9716</v>
      </c>
      <c r="AD1245" s="2" t="s">
        <v>46</v>
      </c>
    </row>
    <row r="1246" customFormat="false" ht="15.7" hidden="false" customHeight="true" outlineLevel="0" collapsed="false">
      <c r="A1246" s="2"/>
      <c r="B1246" s="3" t="n">
        <f aca="false">DATE(2008,9,11)</f>
        <v>0</v>
      </c>
      <c r="C1246" s="3" t="n">
        <v>39702</v>
      </c>
      <c r="D1246" s="2" t="s">
        <v>9717</v>
      </c>
      <c r="F1246" s="2" t="s">
        <v>5714</v>
      </c>
      <c r="G1246" s="2" t="s">
        <v>9718</v>
      </c>
      <c r="H1246" s="2" t="s">
        <v>5716</v>
      </c>
      <c r="I1246" s="2" t="s">
        <v>664</v>
      </c>
      <c r="J1246" s="2" t="s">
        <v>795</v>
      </c>
      <c r="K1246" s="2" t="s">
        <v>9719</v>
      </c>
      <c r="L1246" s="2" t="s">
        <v>664</v>
      </c>
      <c r="M1246" s="2" t="s">
        <v>9720</v>
      </c>
      <c r="N1246" s="2" t="s">
        <v>9721</v>
      </c>
      <c r="O1246" s="2"/>
      <c r="P1246" s="2" t="s">
        <v>37</v>
      </c>
      <c r="Q1246" s="4" t="n">
        <v>8731</v>
      </c>
      <c r="R1246" s="2" t="s">
        <v>136</v>
      </c>
      <c r="S1246" s="2" t="s">
        <v>39</v>
      </c>
      <c r="T1246" s="2" t="s">
        <v>40</v>
      </c>
      <c r="U1246" s="2" t="s">
        <v>9722</v>
      </c>
      <c r="V1246" s="2"/>
      <c r="W1246" s="2" t="s">
        <v>42</v>
      </c>
      <c r="X1246" s="2" t="s">
        <v>43</v>
      </c>
      <c r="Y1246" s="2" t="s">
        <v>37</v>
      </c>
      <c r="Z1246" s="2" t="s">
        <v>44</v>
      </c>
      <c r="AA1246" s="2"/>
      <c r="AB1246" s="2"/>
      <c r="AC1246" s="2" t="s">
        <v>9723</v>
      </c>
      <c r="AD1246" s="2" t="s">
        <v>46</v>
      </c>
    </row>
    <row r="1247" customFormat="false" ht="15.7" hidden="false" customHeight="true" outlineLevel="0" collapsed="false">
      <c r="A1247" s="2"/>
      <c r="B1247" s="3" t="n">
        <f aca="false">DATE(2008,9,15)</f>
        <v>0</v>
      </c>
      <c r="C1247" s="3" t="n">
        <v>39706</v>
      </c>
      <c r="D1247" s="2" t="s">
        <v>9724</v>
      </c>
      <c r="F1247" s="2" t="s">
        <v>9725</v>
      </c>
      <c r="G1247" s="2" t="s">
        <v>9726</v>
      </c>
      <c r="H1247" s="2" t="s">
        <v>9727</v>
      </c>
      <c r="I1247" s="2" t="s">
        <v>51</v>
      </c>
      <c r="J1247" s="2" t="s">
        <v>5249</v>
      </c>
      <c r="K1247" s="2" t="s">
        <v>9728</v>
      </c>
      <c r="L1247" s="2" t="s">
        <v>51</v>
      </c>
      <c r="M1247" s="2" t="s">
        <v>9729</v>
      </c>
      <c r="N1247" s="2" t="s">
        <v>9730</v>
      </c>
      <c r="O1247" s="2"/>
      <c r="P1247" s="2" t="s">
        <v>37</v>
      </c>
      <c r="Q1247" s="4" t="n">
        <v>3845</v>
      </c>
      <c r="R1247" s="2" t="s">
        <v>136</v>
      </c>
      <c r="S1247" s="2" t="s">
        <v>39</v>
      </c>
      <c r="T1247" s="2" t="s">
        <v>40</v>
      </c>
      <c r="U1247" s="2" t="s">
        <v>9731</v>
      </c>
      <c r="V1247" s="2"/>
      <c r="W1247" s="2" t="s">
        <v>107</v>
      </c>
      <c r="X1247" s="2" t="s">
        <v>43</v>
      </c>
      <c r="Y1247" s="2" t="s">
        <v>37</v>
      </c>
      <c r="Z1247" s="2" t="s">
        <v>44</v>
      </c>
      <c r="AA1247" s="2"/>
      <c r="AB1247" s="2"/>
      <c r="AC1247" s="2" t="s">
        <v>9732</v>
      </c>
      <c r="AD1247" s="2" t="s">
        <v>46</v>
      </c>
    </row>
    <row r="1248" customFormat="false" ht="15.7" hidden="false" customHeight="true" outlineLevel="0" collapsed="false">
      <c r="A1248" s="2"/>
      <c r="B1248" s="3" t="n">
        <f aca="false">DATE(2008,9,16)</f>
        <v>0</v>
      </c>
      <c r="C1248" s="3" t="n">
        <v>39707</v>
      </c>
      <c r="D1248" s="2" t="s">
        <v>9733</v>
      </c>
      <c r="F1248" s="2" t="s">
        <v>9734</v>
      </c>
      <c r="G1248" s="2" t="s">
        <v>9735</v>
      </c>
      <c r="H1248" s="2" t="s">
        <v>305</v>
      </c>
      <c r="I1248" s="2" t="s">
        <v>568</v>
      </c>
      <c r="J1248" s="2" t="s">
        <v>514</v>
      </c>
      <c r="K1248" s="2" t="s">
        <v>9736</v>
      </c>
      <c r="L1248" s="2" t="s">
        <v>9737</v>
      </c>
      <c r="M1248" s="2" t="s">
        <v>684</v>
      </c>
      <c r="N1248" s="2" t="s">
        <v>9738</v>
      </c>
      <c r="O1248" s="2"/>
      <c r="P1248" s="2" t="s">
        <v>37</v>
      </c>
      <c r="Q1248" s="4" t="n">
        <v>8731</v>
      </c>
      <c r="R1248" s="2" t="s">
        <v>136</v>
      </c>
      <c r="S1248" s="2" t="s">
        <v>39</v>
      </c>
      <c r="T1248" s="2" t="s">
        <v>40</v>
      </c>
      <c r="U1248" s="2" t="s">
        <v>9739</v>
      </c>
      <c r="V1248" s="2"/>
      <c r="W1248" s="2" t="s">
        <v>42</v>
      </c>
      <c r="X1248" s="2" t="s">
        <v>43</v>
      </c>
      <c r="Y1248" s="2" t="s">
        <v>37</v>
      </c>
      <c r="Z1248" s="2" t="s">
        <v>44</v>
      </c>
      <c r="AA1248" s="2"/>
      <c r="AB1248" s="2"/>
      <c r="AC1248" s="2" t="s">
        <v>9740</v>
      </c>
      <c r="AD1248" s="2" t="s">
        <v>46</v>
      </c>
    </row>
    <row r="1249" customFormat="false" ht="15.7" hidden="false" customHeight="true" outlineLevel="0" collapsed="false">
      <c r="A1249" s="2"/>
      <c r="B1249" s="3" t="n">
        <f aca="false">DATE(2008,9,16)</f>
        <v>0</v>
      </c>
      <c r="C1249" s="3" t="n">
        <v>39707</v>
      </c>
      <c r="D1249" s="2" t="s">
        <v>9741</v>
      </c>
      <c r="F1249" s="2" t="s">
        <v>9742</v>
      </c>
      <c r="G1249" s="2" t="s">
        <v>9743</v>
      </c>
      <c r="H1249" s="2" t="s">
        <v>1770</v>
      </c>
      <c r="I1249" s="2" t="s">
        <v>219</v>
      </c>
      <c r="J1249" s="2" t="s">
        <v>575</v>
      </c>
      <c r="K1249" s="2" t="s">
        <v>9744</v>
      </c>
      <c r="L1249" s="2" t="s">
        <v>9745</v>
      </c>
      <c r="M1249" s="2" t="s">
        <v>9746</v>
      </c>
      <c r="N1249" s="2" t="s">
        <v>9747</v>
      </c>
      <c r="O1249" s="2"/>
      <c r="P1249" s="2" t="s">
        <v>37</v>
      </c>
      <c r="Q1249" s="4" t="n">
        <v>2822</v>
      </c>
      <c r="R1249" s="2" t="s">
        <v>136</v>
      </c>
      <c r="S1249" s="2" t="s">
        <v>39</v>
      </c>
      <c r="T1249" s="2" t="s">
        <v>40</v>
      </c>
      <c r="U1249" s="2" t="s">
        <v>9748</v>
      </c>
      <c r="V1249" s="2"/>
      <c r="W1249" s="2" t="s">
        <v>107</v>
      </c>
      <c r="X1249" s="2" t="s">
        <v>43</v>
      </c>
      <c r="Y1249" s="2" t="s">
        <v>37</v>
      </c>
      <c r="Z1249" s="2" t="s">
        <v>44</v>
      </c>
      <c r="AA1249" s="2"/>
      <c r="AB1249" s="2"/>
      <c r="AC1249" s="2" t="s">
        <v>9749</v>
      </c>
      <c r="AD1249" s="2" t="s">
        <v>46</v>
      </c>
    </row>
    <row r="1250" customFormat="false" ht="15.7" hidden="false" customHeight="true" outlineLevel="0" collapsed="false">
      <c r="A1250" s="2"/>
      <c r="B1250" s="3" t="n">
        <f aca="false">DATE(2008,9,17)</f>
        <v>0</v>
      </c>
      <c r="C1250" s="3" t="n">
        <v>39708</v>
      </c>
      <c r="D1250" s="2" t="s">
        <v>9750</v>
      </c>
      <c r="F1250" s="2" t="s">
        <v>9751</v>
      </c>
      <c r="G1250" s="2" t="s">
        <v>9752</v>
      </c>
      <c r="H1250" s="2" t="s">
        <v>2857</v>
      </c>
      <c r="I1250" s="2" t="s">
        <v>2354</v>
      </c>
      <c r="J1250" s="2" t="s">
        <v>35</v>
      </c>
      <c r="K1250" s="2" t="s">
        <v>9753</v>
      </c>
      <c r="L1250" s="2" t="s">
        <v>2354</v>
      </c>
      <c r="M1250" s="2" t="s">
        <v>7644</v>
      </c>
      <c r="N1250" s="2" t="s">
        <v>9754</v>
      </c>
      <c r="O1250" s="2"/>
      <c r="P1250" s="2" t="s">
        <v>37</v>
      </c>
      <c r="Q1250" s="4" t="n">
        <v>3674</v>
      </c>
      <c r="R1250" s="2" t="s">
        <v>136</v>
      </c>
      <c r="S1250" s="2" t="s">
        <v>39</v>
      </c>
      <c r="T1250" s="2" t="s">
        <v>403</v>
      </c>
      <c r="U1250" s="2" t="s">
        <v>9755</v>
      </c>
      <c r="V1250" s="2"/>
      <c r="W1250" s="2" t="s">
        <v>107</v>
      </c>
      <c r="X1250" s="2" t="s">
        <v>43</v>
      </c>
      <c r="Y1250" s="2" t="s">
        <v>37</v>
      </c>
      <c r="Z1250" s="2" t="s">
        <v>44</v>
      </c>
      <c r="AA1250" s="2"/>
      <c r="AB1250" s="2"/>
      <c r="AC1250" s="2" t="s">
        <v>9756</v>
      </c>
      <c r="AD1250" s="2" t="s">
        <v>46</v>
      </c>
    </row>
    <row r="1251" customFormat="false" ht="15.7" hidden="false" customHeight="true" outlineLevel="0" collapsed="false">
      <c r="A1251" s="2"/>
      <c r="B1251" s="3" t="n">
        <f aca="false">DATE(2008,9,17)</f>
        <v>0</v>
      </c>
      <c r="C1251" s="3" t="n">
        <v>39708</v>
      </c>
      <c r="D1251" s="2" t="s">
        <v>9757</v>
      </c>
      <c r="F1251" s="2" t="s">
        <v>9758</v>
      </c>
      <c r="G1251" s="2" t="s">
        <v>9759</v>
      </c>
      <c r="H1251" s="2" t="s">
        <v>9760</v>
      </c>
      <c r="I1251" s="2" t="s">
        <v>9761</v>
      </c>
      <c r="J1251" s="2" t="s">
        <v>35</v>
      </c>
      <c r="K1251" s="2" t="s">
        <v>9757</v>
      </c>
      <c r="L1251" s="2" t="s">
        <v>9761</v>
      </c>
      <c r="M1251" s="2" t="s">
        <v>9760</v>
      </c>
      <c r="N1251" s="2" t="s">
        <v>9762</v>
      </c>
      <c r="O1251" s="2"/>
      <c r="P1251" s="2" t="s">
        <v>37</v>
      </c>
      <c r="Q1251" s="4" t="n">
        <v>3641</v>
      </c>
      <c r="R1251" s="2" t="s">
        <v>136</v>
      </c>
      <c r="S1251" s="2" t="s">
        <v>39</v>
      </c>
      <c r="T1251" s="2" t="s">
        <v>40</v>
      </c>
      <c r="U1251" s="2" t="s">
        <v>9763</v>
      </c>
      <c r="V1251" s="2"/>
      <c r="W1251" s="2" t="s">
        <v>107</v>
      </c>
      <c r="X1251" s="2" t="s">
        <v>43</v>
      </c>
      <c r="Y1251" s="2" t="s">
        <v>37</v>
      </c>
      <c r="Z1251" s="2" t="s">
        <v>44</v>
      </c>
      <c r="AA1251" s="2"/>
      <c r="AB1251" s="2"/>
      <c r="AC1251" s="2" t="s">
        <v>9764</v>
      </c>
      <c r="AD1251" s="2" t="s">
        <v>46</v>
      </c>
    </row>
    <row r="1252" customFormat="false" ht="15.7" hidden="false" customHeight="true" outlineLevel="0" collapsed="false">
      <c r="A1252" s="2"/>
      <c r="B1252" s="3" t="n">
        <f aca="false">DATE(2008,9,18)</f>
        <v>0</v>
      </c>
      <c r="C1252" s="3" t="n">
        <v>39709</v>
      </c>
      <c r="D1252" s="2" t="s">
        <v>9765</v>
      </c>
      <c r="F1252" s="2" t="s">
        <v>9766</v>
      </c>
      <c r="G1252" s="2" t="s">
        <v>9767</v>
      </c>
      <c r="H1252" s="2" t="s">
        <v>9768</v>
      </c>
      <c r="I1252" s="2" t="s">
        <v>9769</v>
      </c>
      <c r="J1252" s="2" t="s">
        <v>35</v>
      </c>
      <c r="K1252" s="2" t="s">
        <v>9770</v>
      </c>
      <c r="L1252" s="2" t="s">
        <v>9769</v>
      </c>
      <c r="M1252" s="2" t="s">
        <v>9771</v>
      </c>
      <c r="N1252" s="2" t="s">
        <v>9772</v>
      </c>
      <c r="O1252" s="2"/>
      <c r="P1252" s="2" t="s">
        <v>37</v>
      </c>
      <c r="Q1252" s="4" t="n">
        <v>8731</v>
      </c>
      <c r="R1252" s="2" t="s">
        <v>136</v>
      </c>
      <c r="S1252" s="2" t="s">
        <v>39</v>
      </c>
      <c r="T1252" s="2" t="s">
        <v>40</v>
      </c>
      <c r="U1252" s="2" t="s">
        <v>9773</v>
      </c>
      <c r="V1252" s="2"/>
      <c r="W1252" s="2" t="s">
        <v>42</v>
      </c>
      <c r="X1252" s="2" t="s">
        <v>43</v>
      </c>
      <c r="Y1252" s="2" t="s">
        <v>37</v>
      </c>
      <c r="Z1252" s="2" t="s">
        <v>44</v>
      </c>
      <c r="AA1252" s="2"/>
      <c r="AB1252" s="2"/>
      <c r="AC1252" s="2" t="s">
        <v>9774</v>
      </c>
      <c r="AD1252" s="2" t="s">
        <v>46</v>
      </c>
    </row>
    <row r="1253" customFormat="false" ht="15.7" hidden="false" customHeight="true" outlineLevel="0" collapsed="false">
      <c r="A1253" s="2"/>
      <c r="B1253" s="3" t="n">
        <f aca="false">DATE(2008,9,18)</f>
        <v>0</v>
      </c>
      <c r="C1253" s="3" t="n">
        <v>39709</v>
      </c>
      <c r="D1253" s="2" t="s">
        <v>9775</v>
      </c>
      <c r="F1253" s="2" t="s">
        <v>9776</v>
      </c>
      <c r="G1253" s="2" t="s">
        <v>9777</v>
      </c>
      <c r="H1253" s="2" t="s">
        <v>9778</v>
      </c>
      <c r="I1253" s="2" t="s">
        <v>219</v>
      </c>
      <c r="J1253" s="2" t="s">
        <v>514</v>
      </c>
      <c r="K1253" s="2" t="s">
        <v>9775</v>
      </c>
      <c r="L1253" s="2" t="s">
        <v>219</v>
      </c>
      <c r="M1253" s="2" t="s">
        <v>9778</v>
      </c>
      <c r="N1253" s="2" t="s">
        <v>9779</v>
      </c>
      <c r="O1253" s="2"/>
      <c r="P1253" s="2" t="s">
        <v>79</v>
      </c>
      <c r="Q1253" s="4" t="n">
        <v>6794</v>
      </c>
      <c r="R1253" s="2" t="s">
        <v>38</v>
      </c>
      <c r="S1253" s="2" t="s">
        <v>39</v>
      </c>
      <c r="T1253" s="2" t="s">
        <v>40</v>
      </c>
      <c r="U1253" s="2" t="s">
        <v>9780</v>
      </c>
      <c r="V1253" s="2"/>
      <c r="W1253" s="2" t="s">
        <v>82</v>
      </c>
      <c r="X1253" s="2" t="s">
        <v>43</v>
      </c>
      <c r="Y1253" s="2" t="s">
        <v>37</v>
      </c>
      <c r="Z1253" s="2" t="s">
        <v>44</v>
      </c>
      <c r="AA1253" s="2"/>
      <c r="AB1253" s="2"/>
      <c r="AC1253" s="2" t="s">
        <v>9781</v>
      </c>
      <c r="AD1253" s="2" t="s">
        <v>46</v>
      </c>
    </row>
    <row r="1254" customFormat="false" ht="15.7" hidden="false" customHeight="true" outlineLevel="0" collapsed="false">
      <c r="A1254" s="2"/>
      <c r="B1254" s="3" t="n">
        <f aca="false">DATE(2008,9,19)</f>
        <v>0</v>
      </c>
      <c r="C1254" s="3" t="n">
        <v>39710</v>
      </c>
      <c r="D1254" s="2" t="s">
        <v>9782</v>
      </c>
      <c r="F1254" s="2" t="s">
        <v>9783</v>
      </c>
      <c r="G1254" s="2" t="s">
        <v>9784</v>
      </c>
      <c r="H1254" s="2" t="s">
        <v>6585</v>
      </c>
      <c r="I1254" s="2" t="s">
        <v>296</v>
      </c>
      <c r="J1254" s="2" t="s">
        <v>3452</v>
      </c>
      <c r="K1254" s="2" t="s">
        <v>9785</v>
      </c>
      <c r="L1254" s="2" t="s">
        <v>296</v>
      </c>
      <c r="M1254" s="2" t="s">
        <v>6585</v>
      </c>
      <c r="N1254" s="2" t="s">
        <v>9786</v>
      </c>
      <c r="O1254" s="2"/>
      <c r="P1254" s="2" t="s">
        <v>37</v>
      </c>
      <c r="Q1254" s="4" t="n">
        <v>8731</v>
      </c>
      <c r="R1254" s="2" t="s">
        <v>136</v>
      </c>
      <c r="S1254" s="2" t="s">
        <v>39</v>
      </c>
      <c r="T1254" s="2" t="s">
        <v>40</v>
      </c>
      <c r="U1254" s="2" t="s">
        <v>9787</v>
      </c>
      <c r="V1254" s="2"/>
      <c r="W1254" s="2" t="s">
        <v>138</v>
      </c>
      <c r="X1254" s="2" t="s">
        <v>43</v>
      </c>
      <c r="Y1254" s="2" t="s">
        <v>37</v>
      </c>
      <c r="Z1254" s="2" t="s">
        <v>44</v>
      </c>
      <c r="AA1254" s="2"/>
      <c r="AB1254" s="2"/>
      <c r="AC1254" s="2" t="s">
        <v>9788</v>
      </c>
      <c r="AD1254" s="2" t="s">
        <v>46</v>
      </c>
    </row>
    <row r="1255" customFormat="false" ht="15.7" hidden="false" customHeight="true" outlineLevel="0" collapsed="false">
      <c r="A1255" s="2"/>
      <c r="B1255" s="3" t="n">
        <f aca="false">DATE(2008,9,22)</f>
        <v>0</v>
      </c>
      <c r="C1255" s="3" t="n">
        <v>39713</v>
      </c>
      <c r="D1255" s="2" t="s">
        <v>9789</v>
      </c>
      <c r="F1255" s="2" t="s">
        <v>9790</v>
      </c>
      <c r="G1255" s="2" t="s">
        <v>9791</v>
      </c>
      <c r="H1255" s="2" t="s">
        <v>9792</v>
      </c>
      <c r="I1255" s="2" t="s">
        <v>51</v>
      </c>
      <c r="J1255" s="2" t="s">
        <v>9793</v>
      </c>
      <c r="K1255" s="2" t="s">
        <v>9789</v>
      </c>
      <c r="L1255" s="2" t="s">
        <v>51</v>
      </c>
      <c r="M1255" s="2" t="s">
        <v>9792</v>
      </c>
      <c r="N1255" s="2" t="s">
        <v>9794</v>
      </c>
      <c r="O1255" s="2"/>
      <c r="P1255" s="2" t="s">
        <v>37</v>
      </c>
      <c r="Q1255" s="4" t="n">
        <v>8731</v>
      </c>
      <c r="R1255" s="2" t="s">
        <v>56</v>
      </c>
      <c r="S1255" s="2" t="s">
        <v>360</v>
      </c>
      <c r="T1255" s="2" t="s">
        <v>40</v>
      </c>
      <c r="U1255" s="2" t="s">
        <v>9795</v>
      </c>
      <c r="V1255" s="2"/>
      <c r="W1255" s="2" t="s">
        <v>697</v>
      </c>
      <c r="X1255" s="2" t="s">
        <v>43</v>
      </c>
      <c r="Y1255" s="2" t="s">
        <v>37</v>
      </c>
      <c r="Z1255" s="2" t="s">
        <v>44</v>
      </c>
      <c r="AA1255" s="2"/>
      <c r="AB1255" s="2"/>
      <c r="AC1255" s="2" t="s">
        <v>9796</v>
      </c>
      <c r="AD1255" s="2" t="s">
        <v>46</v>
      </c>
    </row>
    <row r="1256" customFormat="false" ht="15.7" hidden="false" customHeight="true" outlineLevel="0" collapsed="false">
      <c r="A1256" s="2"/>
      <c r="B1256" s="3" t="n">
        <f aca="false">DATE(2008,9,23)</f>
        <v>0</v>
      </c>
      <c r="C1256" s="3" t="n">
        <v>39714</v>
      </c>
      <c r="D1256" s="2" t="s">
        <v>9797</v>
      </c>
      <c r="F1256" s="2" t="s">
        <v>9798</v>
      </c>
      <c r="G1256" s="2" t="s">
        <v>9799</v>
      </c>
      <c r="H1256" s="2" t="s">
        <v>3384</v>
      </c>
      <c r="I1256" s="2" t="s">
        <v>51</v>
      </c>
      <c r="J1256" s="2" t="s">
        <v>828</v>
      </c>
      <c r="K1256" s="2" t="s">
        <v>9797</v>
      </c>
      <c r="L1256" s="2" t="s">
        <v>51</v>
      </c>
      <c r="M1256" s="2" t="s">
        <v>3384</v>
      </c>
      <c r="N1256" s="2" t="s">
        <v>9800</v>
      </c>
      <c r="O1256" s="2"/>
      <c r="P1256" s="2" t="s">
        <v>37</v>
      </c>
      <c r="Q1256" s="4" t="n">
        <v>8731</v>
      </c>
      <c r="R1256" s="2" t="s">
        <v>56</v>
      </c>
      <c r="S1256" s="2" t="s">
        <v>80</v>
      </c>
      <c r="T1256" s="2" t="s">
        <v>40</v>
      </c>
      <c r="U1256" s="2" t="s">
        <v>9801</v>
      </c>
      <c r="V1256" s="2"/>
      <c r="W1256" s="2" t="s">
        <v>42</v>
      </c>
      <c r="X1256" s="2" t="s">
        <v>43</v>
      </c>
      <c r="Y1256" s="2" t="s">
        <v>37</v>
      </c>
      <c r="Z1256" s="2" t="s">
        <v>44</v>
      </c>
      <c r="AA1256" s="2"/>
      <c r="AB1256" s="2"/>
      <c r="AC1256" s="2" t="s">
        <v>9802</v>
      </c>
      <c r="AD1256" s="2" t="s">
        <v>46</v>
      </c>
    </row>
    <row r="1257" customFormat="false" ht="15.7" hidden="false" customHeight="true" outlineLevel="0" collapsed="false">
      <c r="A1257" s="2"/>
      <c r="B1257" s="3" t="n">
        <f aca="false">DATE(2008,9,23)</f>
        <v>0</v>
      </c>
      <c r="C1257" s="3" t="n">
        <v>39714</v>
      </c>
      <c r="D1257" s="2" t="s">
        <v>9803</v>
      </c>
      <c r="F1257" s="2" t="s">
        <v>9804</v>
      </c>
      <c r="G1257" s="2" t="s">
        <v>9805</v>
      </c>
      <c r="H1257" s="2" t="s">
        <v>9806</v>
      </c>
      <c r="I1257" s="2" t="s">
        <v>1437</v>
      </c>
      <c r="J1257" s="2" t="s">
        <v>35</v>
      </c>
      <c r="K1257" s="2" t="s">
        <v>9803</v>
      </c>
      <c r="L1257" s="2" t="s">
        <v>1437</v>
      </c>
      <c r="M1257" s="2" t="s">
        <v>9806</v>
      </c>
      <c r="N1257" s="2" t="s">
        <v>9807</v>
      </c>
      <c r="O1257" s="2"/>
      <c r="P1257" s="2" t="s">
        <v>37</v>
      </c>
      <c r="Q1257" s="4" t="n">
        <v>2399</v>
      </c>
      <c r="R1257" s="2" t="s">
        <v>1441</v>
      </c>
      <c r="S1257" s="2" t="s">
        <v>39</v>
      </c>
      <c r="T1257" s="2" t="s">
        <v>40</v>
      </c>
      <c r="U1257" s="2" t="s">
        <v>9808</v>
      </c>
      <c r="V1257" s="2"/>
      <c r="W1257" s="2" t="s">
        <v>107</v>
      </c>
      <c r="X1257" s="2" t="s">
        <v>43</v>
      </c>
      <c r="Y1257" s="2" t="s">
        <v>37</v>
      </c>
      <c r="Z1257" s="2" t="s">
        <v>44</v>
      </c>
      <c r="AA1257" s="2"/>
      <c r="AB1257" s="2"/>
      <c r="AC1257" s="2" t="s">
        <v>9809</v>
      </c>
      <c r="AD1257" s="2" t="s">
        <v>46</v>
      </c>
    </row>
    <row r="1258" customFormat="false" ht="15.7" hidden="false" customHeight="true" outlineLevel="0" collapsed="false">
      <c r="A1258" s="2"/>
      <c r="B1258" s="3" t="n">
        <f aca="false">DATE(2008,9,24)</f>
        <v>0</v>
      </c>
      <c r="C1258" s="3" t="n">
        <v>39715</v>
      </c>
      <c r="D1258" s="2" t="s">
        <v>9810</v>
      </c>
      <c r="F1258" s="2" t="s">
        <v>9811</v>
      </c>
      <c r="G1258" s="2" t="s">
        <v>9812</v>
      </c>
      <c r="H1258" s="2" t="s">
        <v>63</v>
      </c>
      <c r="I1258" s="2" t="s">
        <v>388</v>
      </c>
      <c r="J1258" s="2" t="s">
        <v>65</v>
      </c>
      <c r="K1258" s="2" t="s">
        <v>9810</v>
      </c>
      <c r="L1258" s="2" t="s">
        <v>388</v>
      </c>
      <c r="M1258" s="2" t="s">
        <v>63</v>
      </c>
      <c r="N1258" s="2" t="s">
        <v>9813</v>
      </c>
      <c r="O1258" s="2"/>
      <c r="P1258" s="2" t="s">
        <v>37</v>
      </c>
      <c r="Q1258" s="4" t="n">
        <v>8731</v>
      </c>
      <c r="R1258" s="2" t="s">
        <v>136</v>
      </c>
      <c r="S1258" s="2" t="s">
        <v>39</v>
      </c>
      <c r="T1258" s="2" t="s">
        <v>40</v>
      </c>
      <c r="U1258" s="2" t="s">
        <v>9814</v>
      </c>
      <c r="V1258" s="2"/>
      <c r="W1258" s="2" t="s">
        <v>42</v>
      </c>
      <c r="X1258" s="2" t="s">
        <v>43</v>
      </c>
      <c r="Y1258" s="2" t="s">
        <v>37</v>
      </c>
      <c r="Z1258" s="2" t="s">
        <v>44</v>
      </c>
      <c r="AA1258" s="2"/>
      <c r="AB1258" s="2"/>
      <c r="AC1258" s="2" t="s">
        <v>9815</v>
      </c>
      <c r="AD1258" s="2" t="s">
        <v>46</v>
      </c>
    </row>
    <row r="1259" customFormat="false" ht="15.7" hidden="false" customHeight="true" outlineLevel="0" collapsed="false">
      <c r="A1259" s="2"/>
      <c r="B1259" s="3" t="n">
        <f aca="false">DATE(2008,9,25)</f>
        <v>0</v>
      </c>
      <c r="C1259" s="3" t="n">
        <v>39716</v>
      </c>
      <c r="D1259" s="2" t="s">
        <v>9816</v>
      </c>
      <c r="F1259" s="2" t="s">
        <v>9817</v>
      </c>
      <c r="G1259" s="2" t="s">
        <v>9818</v>
      </c>
      <c r="H1259" s="2" t="s">
        <v>63</v>
      </c>
      <c r="I1259" s="2" t="s">
        <v>1080</v>
      </c>
      <c r="J1259" s="2" t="s">
        <v>35</v>
      </c>
      <c r="K1259" s="2" t="s">
        <v>9816</v>
      </c>
      <c r="L1259" s="2" t="s">
        <v>1080</v>
      </c>
      <c r="M1259" s="2" t="s">
        <v>63</v>
      </c>
      <c r="N1259" s="2" t="s">
        <v>9819</v>
      </c>
      <c r="O1259" s="2"/>
      <c r="P1259" s="2" t="s">
        <v>37</v>
      </c>
      <c r="Q1259" s="4" t="n">
        <v>8731</v>
      </c>
      <c r="R1259" s="2" t="s">
        <v>2201</v>
      </c>
      <c r="S1259" s="2" t="s">
        <v>39</v>
      </c>
      <c r="T1259" s="2" t="s">
        <v>40</v>
      </c>
      <c r="U1259" s="2" t="s">
        <v>9820</v>
      </c>
      <c r="V1259" s="2"/>
      <c r="W1259" s="2" t="s">
        <v>42</v>
      </c>
      <c r="X1259" s="2" t="s">
        <v>43</v>
      </c>
      <c r="Y1259" s="2" t="s">
        <v>37</v>
      </c>
      <c r="Z1259" s="2" t="s">
        <v>44</v>
      </c>
      <c r="AA1259" s="2"/>
      <c r="AB1259" s="2"/>
      <c r="AC1259" s="2" t="s">
        <v>9821</v>
      </c>
      <c r="AD1259" s="2" t="s">
        <v>46</v>
      </c>
    </row>
    <row r="1260" customFormat="false" ht="15.7" hidden="false" customHeight="true" outlineLevel="0" collapsed="false">
      <c r="A1260" s="2"/>
      <c r="B1260" s="3" t="n">
        <f aca="false">DATE(2008,9,25)</f>
        <v>0</v>
      </c>
      <c r="C1260" s="3" t="n">
        <v>39716</v>
      </c>
      <c r="D1260" s="2" t="s">
        <v>9822</v>
      </c>
      <c r="F1260" s="2" t="s">
        <v>9823</v>
      </c>
      <c r="G1260" s="2" t="s">
        <v>9824</v>
      </c>
      <c r="H1260" s="2" t="s">
        <v>8443</v>
      </c>
      <c r="I1260" s="2" t="s">
        <v>9737</v>
      </c>
      <c r="J1260" s="2" t="s">
        <v>35</v>
      </c>
      <c r="K1260" s="2" t="s">
        <v>9822</v>
      </c>
      <c r="L1260" s="2" t="s">
        <v>9737</v>
      </c>
      <c r="M1260" s="2" t="s">
        <v>8443</v>
      </c>
      <c r="N1260" s="2" t="s">
        <v>9825</v>
      </c>
      <c r="O1260" s="2"/>
      <c r="P1260" s="2" t="s">
        <v>37</v>
      </c>
      <c r="Q1260" s="4" t="n">
        <v>3812</v>
      </c>
      <c r="R1260" s="2" t="s">
        <v>136</v>
      </c>
      <c r="S1260" s="2" t="s">
        <v>39</v>
      </c>
      <c r="T1260" s="2" t="s">
        <v>40</v>
      </c>
      <c r="U1260" s="2" t="s">
        <v>9826</v>
      </c>
      <c r="V1260" s="2"/>
      <c r="W1260" s="2" t="s">
        <v>107</v>
      </c>
      <c r="X1260" s="2" t="s">
        <v>43</v>
      </c>
      <c r="Y1260" s="2" t="s">
        <v>37</v>
      </c>
      <c r="Z1260" s="2" t="s">
        <v>44</v>
      </c>
      <c r="AA1260" s="2"/>
      <c r="AB1260" s="2"/>
      <c r="AC1260" s="2" t="s">
        <v>9827</v>
      </c>
      <c r="AD1260" s="2" t="s">
        <v>46</v>
      </c>
    </row>
    <row r="1261" customFormat="false" ht="15.7" hidden="false" customHeight="true" outlineLevel="0" collapsed="false">
      <c r="A1261" s="2"/>
      <c r="B1261" s="3" t="n">
        <f aca="false">DATE(2008,9,25)</f>
        <v>0</v>
      </c>
      <c r="C1261" s="3" t="n">
        <v>39716</v>
      </c>
      <c r="D1261" s="2" t="s">
        <v>9828</v>
      </c>
      <c r="F1261" s="2" t="s">
        <v>9829</v>
      </c>
      <c r="G1261" s="2" t="s">
        <v>9830</v>
      </c>
      <c r="H1261" s="2" t="s">
        <v>9831</v>
      </c>
      <c r="I1261" s="2" t="s">
        <v>9832</v>
      </c>
      <c r="J1261" s="2" t="s">
        <v>35</v>
      </c>
      <c r="K1261" s="2" t="s">
        <v>9833</v>
      </c>
      <c r="L1261" s="2" t="s">
        <v>9832</v>
      </c>
      <c r="M1261" s="2" t="s">
        <v>9834</v>
      </c>
      <c r="N1261" s="2" t="s">
        <v>9835</v>
      </c>
      <c r="O1261" s="2" t="s">
        <v>9836</v>
      </c>
      <c r="P1261" s="2" t="s">
        <v>37</v>
      </c>
      <c r="Q1261" s="4" t="n">
        <v>3585</v>
      </c>
      <c r="R1261" s="2" t="s">
        <v>402</v>
      </c>
      <c r="S1261" s="2" t="s">
        <v>39</v>
      </c>
      <c r="T1261" s="2" t="s">
        <v>40</v>
      </c>
      <c r="U1261" s="2" t="s">
        <v>9837</v>
      </c>
      <c r="V1261" s="2"/>
      <c r="W1261" s="2" t="s">
        <v>755</v>
      </c>
      <c r="X1261" s="2" t="s">
        <v>46</v>
      </c>
      <c r="Y1261" s="2" t="s">
        <v>37</v>
      </c>
      <c r="Z1261" s="2" t="s">
        <v>987</v>
      </c>
      <c r="AA1261" s="2"/>
      <c r="AB1261" s="2" t="s">
        <v>9838</v>
      </c>
      <c r="AC1261" s="2" t="s">
        <v>9839</v>
      </c>
      <c r="AD1261" s="2" t="s">
        <v>46</v>
      </c>
    </row>
    <row r="1262" customFormat="false" ht="15.7" hidden="false" customHeight="true" outlineLevel="0" collapsed="false">
      <c r="A1262" s="2"/>
      <c r="B1262" s="3" t="n">
        <f aca="false">DATE(2008,9,26)</f>
        <v>0</v>
      </c>
      <c r="C1262" s="3" t="n">
        <v>39717</v>
      </c>
      <c r="D1262" s="2" t="s">
        <v>9840</v>
      </c>
      <c r="F1262" s="2" t="s">
        <v>9841</v>
      </c>
      <c r="G1262" s="2" t="s">
        <v>9842</v>
      </c>
      <c r="H1262" s="2" t="s">
        <v>9843</v>
      </c>
      <c r="I1262" s="2" t="s">
        <v>4325</v>
      </c>
      <c r="J1262" s="2" t="s">
        <v>35</v>
      </c>
      <c r="K1262" s="2" t="s">
        <v>9844</v>
      </c>
      <c r="L1262" s="2" t="s">
        <v>4325</v>
      </c>
      <c r="M1262" s="2" t="s">
        <v>9845</v>
      </c>
      <c r="N1262" s="2" t="s">
        <v>9846</v>
      </c>
      <c r="O1262" s="2"/>
      <c r="P1262" s="2" t="s">
        <v>37</v>
      </c>
      <c r="Q1262" s="4" t="n">
        <v>8731</v>
      </c>
      <c r="R1262" s="2" t="s">
        <v>402</v>
      </c>
      <c r="S1262" s="2" t="s">
        <v>39</v>
      </c>
      <c r="T1262" s="2" t="s">
        <v>40</v>
      </c>
      <c r="U1262" s="2" t="s">
        <v>9847</v>
      </c>
      <c r="V1262" s="2"/>
      <c r="W1262" s="2" t="s">
        <v>42</v>
      </c>
      <c r="X1262" s="2" t="s">
        <v>43</v>
      </c>
      <c r="Y1262" s="2" t="s">
        <v>37</v>
      </c>
      <c r="Z1262" s="2" t="s">
        <v>44</v>
      </c>
      <c r="AA1262" s="2"/>
      <c r="AB1262" s="2"/>
      <c r="AC1262" s="2" t="s">
        <v>9848</v>
      </c>
      <c r="AD1262" s="2" t="s">
        <v>46</v>
      </c>
    </row>
    <row r="1263" customFormat="false" ht="15.7" hidden="false" customHeight="true" outlineLevel="0" collapsed="false">
      <c r="A1263" s="2"/>
      <c r="B1263" s="3" t="n">
        <f aca="false">DATE(2008,9,29)</f>
        <v>0</v>
      </c>
      <c r="C1263" s="3" t="n">
        <v>39720</v>
      </c>
      <c r="D1263" s="2" t="s">
        <v>9849</v>
      </c>
      <c r="F1263" s="2" t="s">
        <v>1172</v>
      </c>
      <c r="G1263" s="2" t="s">
        <v>9850</v>
      </c>
      <c r="H1263" s="2" t="s">
        <v>63</v>
      </c>
      <c r="I1263" s="2" t="s">
        <v>1904</v>
      </c>
      <c r="J1263" s="2" t="s">
        <v>966</v>
      </c>
      <c r="K1263" s="2" t="s">
        <v>9851</v>
      </c>
      <c r="L1263" s="2" t="s">
        <v>1904</v>
      </c>
      <c r="M1263" s="2" t="s">
        <v>130</v>
      </c>
      <c r="N1263" s="2" t="s">
        <v>9852</v>
      </c>
      <c r="O1263" s="2"/>
      <c r="P1263" s="2" t="s">
        <v>37</v>
      </c>
      <c r="Q1263" s="4" t="n">
        <v>8731</v>
      </c>
      <c r="R1263" s="2" t="s">
        <v>136</v>
      </c>
      <c r="S1263" s="2" t="s">
        <v>39</v>
      </c>
      <c r="T1263" s="2" t="s">
        <v>40</v>
      </c>
      <c r="U1263" s="2" t="s">
        <v>9853</v>
      </c>
      <c r="V1263" s="2"/>
      <c r="W1263" s="2" t="s">
        <v>42</v>
      </c>
      <c r="X1263" s="2" t="s">
        <v>43</v>
      </c>
      <c r="Y1263" s="2" t="s">
        <v>37</v>
      </c>
      <c r="Z1263" s="2" t="s">
        <v>44</v>
      </c>
      <c r="AA1263" s="2" t="s">
        <v>9854</v>
      </c>
      <c r="AB1263" s="2"/>
      <c r="AC1263" s="2" t="s">
        <v>9855</v>
      </c>
      <c r="AD1263" s="2" t="s">
        <v>46</v>
      </c>
    </row>
    <row r="1264" customFormat="false" ht="15.7" hidden="false" customHeight="true" outlineLevel="0" collapsed="false">
      <c r="A1264" s="2"/>
      <c r="B1264" s="3" t="n">
        <f aca="false">DATE(2008,9,29)</f>
        <v>0</v>
      </c>
      <c r="C1264" s="3" t="n">
        <v>39720</v>
      </c>
      <c r="D1264" s="2" t="s">
        <v>9856</v>
      </c>
      <c r="F1264" s="2" t="s">
        <v>9857</v>
      </c>
      <c r="G1264" s="2" t="s">
        <v>9858</v>
      </c>
      <c r="H1264" s="2" t="s">
        <v>9859</v>
      </c>
      <c r="I1264" s="2" t="s">
        <v>330</v>
      </c>
      <c r="J1264" s="2" t="s">
        <v>966</v>
      </c>
      <c r="K1264" s="2" t="s">
        <v>9856</v>
      </c>
      <c r="L1264" s="2" t="s">
        <v>330</v>
      </c>
      <c r="M1264" s="2" t="s">
        <v>9859</v>
      </c>
      <c r="N1264" s="2" t="s">
        <v>9860</v>
      </c>
      <c r="O1264" s="2"/>
      <c r="P1264" s="2" t="s">
        <v>37</v>
      </c>
      <c r="Q1264" s="4" t="n">
        <v>8731</v>
      </c>
      <c r="R1264" s="2" t="s">
        <v>2201</v>
      </c>
      <c r="S1264" s="2" t="s">
        <v>39</v>
      </c>
      <c r="T1264" s="2" t="s">
        <v>40</v>
      </c>
      <c r="U1264" s="2" t="s">
        <v>9861</v>
      </c>
      <c r="V1264" s="2"/>
      <c r="W1264" s="2" t="s">
        <v>42</v>
      </c>
      <c r="X1264" s="2" t="s">
        <v>43</v>
      </c>
      <c r="Y1264" s="2" t="s">
        <v>37</v>
      </c>
      <c r="Z1264" s="2" t="s">
        <v>44</v>
      </c>
      <c r="AA1264" s="2"/>
      <c r="AB1264" s="2"/>
      <c r="AC1264" s="2" t="s">
        <v>9862</v>
      </c>
      <c r="AD1264" s="2" t="s">
        <v>46</v>
      </c>
    </row>
    <row r="1265" customFormat="false" ht="15.7" hidden="false" customHeight="true" outlineLevel="0" collapsed="false">
      <c r="A1265" s="2"/>
      <c r="B1265" s="3" t="n">
        <f aca="false">DATE(2008,10,1)</f>
        <v>0</v>
      </c>
      <c r="C1265" s="3" t="n">
        <v>39722</v>
      </c>
      <c r="D1265" s="2" t="s">
        <v>9863</v>
      </c>
      <c r="F1265" s="2" t="s">
        <v>9864</v>
      </c>
      <c r="G1265" s="2" t="s">
        <v>9865</v>
      </c>
      <c r="H1265" s="2" t="s">
        <v>9866</v>
      </c>
      <c r="I1265" s="2" t="s">
        <v>5990</v>
      </c>
      <c r="J1265" s="2" t="s">
        <v>35</v>
      </c>
      <c r="K1265" s="2" t="s">
        <v>9863</v>
      </c>
      <c r="L1265" s="2" t="s">
        <v>5990</v>
      </c>
      <c r="M1265" s="2" t="s">
        <v>9866</v>
      </c>
      <c r="N1265" s="2" t="s">
        <v>9867</v>
      </c>
      <c r="O1265" s="2"/>
      <c r="P1265" s="2" t="s">
        <v>37</v>
      </c>
      <c r="Q1265" s="4" t="n">
        <v>8731</v>
      </c>
      <c r="R1265" s="2" t="s">
        <v>3154</v>
      </c>
      <c r="S1265" s="2" t="s">
        <v>39</v>
      </c>
      <c r="T1265" s="2" t="s">
        <v>40</v>
      </c>
      <c r="U1265" s="2" t="s">
        <v>9868</v>
      </c>
      <c r="V1265" s="2"/>
      <c r="W1265" s="2" t="s">
        <v>42</v>
      </c>
      <c r="X1265" s="2" t="s">
        <v>43</v>
      </c>
      <c r="Y1265" s="2" t="s">
        <v>37</v>
      </c>
      <c r="Z1265" s="2" t="s">
        <v>44</v>
      </c>
      <c r="AA1265" s="2"/>
      <c r="AB1265" s="2"/>
      <c r="AC1265" s="2" t="s">
        <v>9869</v>
      </c>
      <c r="AD1265" s="2" t="s">
        <v>46</v>
      </c>
    </row>
    <row r="1266" customFormat="false" ht="15.7" hidden="false" customHeight="true" outlineLevel="0" collapsed="false">
      <c r="A1266" s="2"/>
      <c r="B1266" s="3" t="n">
        <f aca="false">DATE(2008,10,2)</f>
        <v>0</v>
      </c>
      <c r="C1266" s="3" t="n">
        <v>39723</v>
      </c>
      <c r="D1266" s="2" t="s">
        <v>9870</v>
      </c>
      <c r="F1266" s="2" t="s">
        <v>200</v>
      </c>
      <c r="G1266" s="2" t="s">
        <v>9871</v>
      </c>
      <c r="H1266" s="2" t="s">
        <v>170</v>
      </c>
      <c r="I1266" s="2" t="s">
        <v>9872</v>
      </c>
      <c r="J1266" s="2" t="s">
        <v>35</v>
      </c>
      <c r="K1266" s="2" t="s">
        <v>9870</v>
      </c>
      <c r="L1266" s="2" t="s">
        <v>9872</v>
      </c>
      <c r="M1266" s="2" t="s">
        <v>170</v>
      </c>
      <c r="N1266" s="2" t="s">
        <v>9873</v>
      </c>
      <c r="O1266" s="2"/>
      <c r="P1266" s="2" t="s">
        <v>37</v>
      </c>
      <c r="Q1266" s="4" t="n">
        <v>8731</v>
      </c>
      <c r="R1266" s="2" t="s">
        <v>1208</v>
      </c>
      <c r="S1266" s="2" t="s">
        <v>39</v>
      </c>
      <c r="T1266" s="2" t="s">
        <v>403</v>
      </c>
      <c r="U1266" s="2" t="s">
        <v>9874</v>
      </c>
      <c r="V1266" s="2"/>
      <c r="W1266" s="2" t="s">
        <v>42</v>
      </c>
      <c r="X1266" s="2" t="s">
        <v>46</v>
      </c>
      <c r="Y1266" s="2" t="s">
        <v>37</v>
      </c>
      <c r="Z1266" s="2" t="s">
        <v>362</v>
      </c>
      <c r="AA1266" s="2"/>
      <c r="AB1266" s="2"/>
      <c r="AC1266" s="2" t="s">
        <v>9875</v>
      </c>
      <c r="AD1266" s="2" t="s">
        <v>46</v>
      </c>
    </row>
    <row r="1267" customFormat="false" ht="15.7" hidden="false" customHeight="true" outlineLevel="0" collapsed="false">
      <c r="A1267" s="2"/>
      <c r="B1267" s="3" t="n">
        <f aca="false">DATE(2008,10,2)</f>
        <v>0</v>
      </c>
      <c r="C1267" s="3" t="n">
        <v>39723</v>
      </c>
      <c r="D1267" s="2" t="s">
        <v>9876</v>
      </c>
      <c r="F1267" s="2" t="s">
        <v>319</v>
      </c>
      <c r="G1267" s="2" t="s">
        <v>9877</v>
      </c>
      <c r="H1267" s="2" t="s">
        <v>523</v>
      </c>
      <c r="I1267" s="2" t="s">
        <v>664</v>
      </c>
      <c r="J1267" s="2" t="s">
        <v>132</v>
      </c>
      <c r="K1267" s="2" t="s">
        <v>9876</v>
      </c>
      <c r="L1267" s="2" t="s">
        <v>664</v>
      </c>
      <c r="M1267" s="2" t="s">
        <v>523</v>
      </c>
      <c r="N1267" s="2" t="s">
        <v>9878</v>
      </c>
      <c r="O1267" s="2"/>
      <c r="P1267" s="2" t="s">
        <v>37</v>
      </c>
      <c r="Q1267" s="4" t="n">
        <v>8731</v>
      </c>
      <c r="R1267" s="2" t="s">
        <v>136</v>
      </c>
      <c r="S1267" s="2" t="s">
        <v>39</v>
      </c>
      <c r="T1267" s="2" t="s">
        <v>40</v>
      </c>
      <c r="U1267" s="2" t="s">
        <v>9879</v>
      </c>
      <c r="V1267" s="2"/>
      <c r="W1267" s="2" t="s">
        <v>42</v>
      </c>
      <c r="X1267" s="2" t="s">
        <v>43</v>
      </c>
      <c r="Y1267" s="2" t="s">
        <v>37</v>
      </c>
      <c r="Z1267" s="2" t="s">
        <v>44</v>
      </c>
      <c r="AA1267" s="2"/>
      <c r="AB1267" s="2"/>
      <c r="AC1267" s="2" t="s">
        <v>9880</v>
      </c>
      <c r="AD1267" s="2" t="s">
        <v>46</v>
      </c>
    </row>
    <row r="1268" customFormat="false" ht="15.7" hidden="false" customHeight="true" outlineLevel="0" collapsed="false">
      <c r="A1268" s="2"/>
      <c r="B1268" s="3" t="n">
        <f aca="false">DATE(2008,10,2)</f>
        <v>0</v>
      </c>
      <c r="C1268" s="3" t="n">
        <v>39723</v>
      </c>
      <c r="D1268" s="2" t="s">
        <v>9881</v>
      </c>
      <c r="F1268" s="2" t="s">
        <v>1902</v>
      </c>
      <c r="G1268" s="2" t="s">
        <v>9882</v>
      </c>
      <c r="H1268" s="2" t="s">
        <v>130</v>
      </c>
      <c r="I1268" s="2" t="s">
        <v>1904</v>
      </c>
      <c r="J1268" s="2" t="s">
        <v>228</v>
      </c>
      <c r="K1268" s="2" t="s">
        <v>9881</v>
      </c>
      <c r="L1268" s="2" t="s">
        <v>1904</v>
      </c>
      <c r="M1268" s="2" t="s">
        <v>130</v>
      </c>
      <c r="N1268" s="2" t="s">
        <v>9883</v>
      </c>
      <c r="O1268" s="2"/>
      <c r="P1268" s="2" t="s">
        <v>37</v>
      </c>
      <c r="Q1268" s="4" t="n">
        <v>8731</v>
      </c>
      <c r="R1268" s="2" t="s">
        <v>136</v>
      </c>
      <c r="S1268" s="2" t="s">
        <v>39</v>
      </c>
      <c r="T1268" s="2" t="s">
        <v>40</v>
      </c>
      <c r="U1268" s="2" t="s">
        <v>9884</v>
      </c>
      <c r="V1268" s="2"/>
      <c r="W1268" s="2" t="s">
        <v>42</v>
      </c>
      <c r="X1268" s="2" t="s">
        <v>43</v>
      </c>
      <c r="Y1268" s="2" t="s">
        <v>37</v>
      </c>
      <c r="Z1268" s="2" t="s">
        <v>44</v>
      </c>
      <c r="AA1268" s="2"/>
      <c r="AB1268" s="2"/>
      <c r="AC1268" s="2" t="s">
        <v>9885</v>
      </c>
      <c r="AD1268" s="2" t="s">
        <v>46</v>
      </c>
    </row>
    <row r="1269" customFormat="false" ht="15.7" hidden="false" customHeight="true" outlineLevel="0" collapsed="false">
      <c r="A1269" s="2"/>
      <c r="B1269" s="3" t="n">
        <f aca="false">DATE(2008,10,2)</f>
        <v>0</v>
      </c>
      <c r="C1269" s="3" t="n">
        <v>39723</v>
      </c>
      <c r="D1269" s="2" t="s">
        <v>9886</v>
      </c>
      <c r="F1269" s="2" t="s">
        <v>256</v>
      </c>
      <c r="G1269" s="2" t="s">
        <v>9887</v>
      </c>
      <c r="H1269" s="2" t="s">
        <v>170</v>
      </c>
      <c r="I1269" s="2" t="s">
        <v>410</v>
      </c>
      <c r="J1269" s="2" t="s">
        <v>331</v>
      </c>
      <c r="K1269" s="2" t="s">
        <v>9888</v>
      </c>
      <c r="L1269" s="2" t="s">
        <v>410</v>
      </c>
      <c r="M1269" s="2" t="s">
        <v>1101</v>
      </c>
      <c r="N1269" s="2" t="s">
        <v>9889</v>
      </c>
      <c r="O1269" s="2"/>
      <c r="P1269" s="2" t="s">
        <v>37</v>
      </c>
      <c r="Q1269" s="4" t="n">
        <v>8731</v>
      </c>
      <c r="R1269" s="2" t="s">
        <v>136</v>
      </c>
      <c r="S1269" s="2" t="s">
        <v>39</v>
      </c>
      <c r="T1269" s="2" t="s">
        <v>40</v>
      </c>
      <c r="U1269" s="2" t="s">
        <v>9890</v>
      </c>
      <c r="V1269" s="2"/>
      <c r="W1269" s="2" t="s">
        <v>42</v>
      </c>
      <c r="X1269" s="2" t="s">
        <v>43</v>
      </c>
      <c r="Y1269" s="2" t="s">
        <v>37</v>
      </c>
      <c r="Z1269" s="2" t="s">
        <v>44</v>
      </c>
      <c r="AA1269" s="2"/>
      <c r="AB1269" s="2"/>
      <c r="AC1269" s="2" t="s">
        <v>9891</v>
      </c>
      <c r="AD1269" s="2" t="s">
        <v>46</v>
      </c>
    </row>
    <row r="1270" customFormat="false" ht="15.7" hidden="false" customHeight="true" outlineLevel="0" collapsed="false">
      <c r="A1270" s="2"/>
      <c r="B1270" s="3" t="n">
        <f aca="false">DATE(2008,10,3)</f>
        <v>0</v>
      </c>
      <c r="C1270" s="3" t="n">
        <v>39724</v>
      </c>
      <c r="D1270" s="2" t="s">
        <v>9892</v>
      </c>
      <c r="F1270" s="2" t="s">
        <v>9893</v>
      </c>
      <c r="G1270" s="2" t="s">
        <v>9894</v>
      </c>
      <c r="H1270" s="2" t="s">
        <v>130</v>
      </c>
      <c r="I1270" s="2" t="s">
        <v>1904</v>
      </c>
      <c r="J1270" s="2" t="s">
        <v>7101</v>
      </c>
      <c r="K1270" s="2" t="s">
        <v>9892</v>
      </c>
      <c r="L1270" s="2" t="s">
        <v>1904</v>
      </c>
      <c r="M1270" s="2" t="s">
        <v>130</v>
      </c>
      <c r="N1270" s="2" t="s">
        <v>9895</v>
      </c>
      <c r="O1270" s="2"/>
      <c r="P1270" s="2" t="s">
        <v>37</v>
      </c>
      <c r="Q1270" s="4" t="n">
        <v>8731</v>
      </c>
      <c r="R1270" s="2" t="s">
        <v>450</v>
      </c>
      <c r="S1270" s="2" t="s">
        <v>39</v>
      </c>
      <c r="T1270" s="2" t="s">
        <v>40</v>
      </c>
      <c r="U1270" s="2" t="s">
        <v>9896</v>
      </c>
      <c r="V1270" s="2"/>
      <c r="W1270" s="2" t="s">
        <v>42</v>
      </c>
      <c r="X1270" s="2" t="s">
        <v>46</v>
      </c>
      <c r="Y1270" s="2" t="s">
        <v>37</v>
      </c>
      <c r="Z1270" s="2" t="s">
        <v>362</v>
      </c>
      <c r="AA1270" s="2" t="s">
        <v>9897</v>
      </c>
      <c r="AB1270" s="2"/>
      <c r="AC1270" s="2" t="s">
        <v>9898</v>
      </c>
      <c r="AD1270" s="2" t="s">
        <v>46</v>
      </c>
    </row>
    <row r="1271" customFormat="false" ht="15.7" hidden="false" customHeight="true" outlineLevel="0" collapsed="false">
      <c r="A1271" s="2"/>
      <c r="B1271" s="3" t="n">
        <f aca="false">DATE(2008,10,3)</f>
        <v>0</v>
      </c>
      <c r="C1271" s="3" t="n">
        <v>39724</v>
      </c>
      <c r="D1271" s="2" t="s">
        <v>9899</v>
      </c>
      <c r="F1271" s="2" t="s">
        <v>9900</v>
      </c>
      <c r="G1271" s="2" t="s">
        <v>9901</v>
      </c>
      <c r="H1271" s="2" t="s">
        <v>9902</v>
      </c>
      <c r="I1271" s="2" t="s">
        <v>51</v>
      </c>
      <c r="J1271" s="2" t="s">
        <v>178</v>
      </c>
      <c r="K1271" s="2" t="s">
        <v>9903</v>
      </c>
      <c r="L1271" s="2" t="s">
        <v>51</v>
      </c>
      <c r="M1271" s="2" t="s">
        <v>9904</v>
      </c>
      <c r="N1271" s="2" t="s">
        <v>9905</v>
      </c>
      <c r="O1271" s="2"/>
      <c r="P1271" s="2" t="s">
        <v>37</v>
      </c>
      <c r="Q1271" s="4" t="n">
        <v>8731</v>
      </c>
      <c r="R1271" s="2" t="s">
        <v>56</v>
      </c>
      <c r="S1271" s="2" t="s">
        <v>92</v>
      </c>
      <c r="T1271" s="2" t="s">
        <v>40</v>
      </c>
      <c r="U1271" s="2" t="s">
        <v>9906</v>
      </c>
      <c r="V1271" s="2"/>
      <c r="W1271" s="2" t="s">
        <v>42</v>
      </c>
      <c r="X1271" s="2" t="s">
        <v>43</v>
      </c>
      <c r="Y1271" s="2" t="s">
        <v>37</v>
      </c>
      <c r="Z1271" s="2" t="s">
        <v>44</v>
      </c>
      <c r="AA1271" s="2"/>
      <c r="AB1271" s="2"/>
      <c r="AC1271" s="2" t="s">
        <v>9907</v>
      </c>
      <c r="AD1271" s="2" t="s">
        <v>46</v>
      </c>
    </row>
    <row r="1272" customFormat="false" ht="15.7" hidden="false" customHeight="true" outlineLevel="0" collapsed="false">
      <c r="A1272" s="2"/>
      <c r="B1272" s="3" t="n">
        <f aca="false">DATE(2008,10,6)</f>
        <v>0</v>
      </c>
      <c r="C1272" s="3" t="n">
        <v>39727</v>
      </c>
      <c r="D1272" s="2" t="s">
        <v>9908</v>
      </c>
      <c r="F1272" s="2" t="s">
        <v>9909</v>
      </c>
      <c r="G1272" s="2" t="s">
        <v>9910</v>
      </c>
      <c r="H1272" s="2" t="s">
        <v>541</v>
      </c>
      <c r="I1272" s="2" t="s">
        <v>51</v>
      </c>
      <c r="J1272" s="2" t="s">
        <v>6405</v>
      </c>
      <c r="K1272" s="2" t="s">
        <v>9908</v>
      </c>
      <c r="L1272" s="2" t="s">
        <v>51</v>
      </c>
      <c r="M1272" s="2" t="s">
        <v>541</v>
      </c>
      <c r="N1272" s="2" t="s">
        <v>9911</v>
      </c>
      <c r="O1272" s="2"/>
      <c r="P1272" s="2" t="s">
        <v>79</v>
      </c>
      <c r="Q1272" s="4" t="n">
        <v>6794</v>
      </c>
      <c r="R1272" s="2" t="s">
        <v>56</v>
      </c>
      <c r="S1272" s="2" t="s">
        <v>315</v>
      </c>
      <c r="T1272" s="2" t="s">
        <v>40</v>
      </c>
      <c r="U1272" s="2" t="s">
        <v>9912</v>
      </c>
      <c r="V1272" s="2"/>
      <c r="W1272" s="2" t="s">
        <v>82</v>
      </c>
      <c r="X1272" s="2" t="s">
        <v>43</v>
      </c>
      <c r="Y1272" s="2" t="s">
        <v>37</v>
      </c>
      <c r="Z1272" s="2" t="s">
        <v>44</v>
      </c>
      <c r="AA1272" s="2"/>
      <c r="AB1272" s="2"/>
      <c r="AC1272" s="2" t="s">
        <v>9913</v>
      </c>
      <c r="AD1272" s="2" t="s">
        <v>46</v>
      </c>
    </row>
    <row r="1273" customFormat="false" ht="15.7" hidden="false" customHeight="true" outlineLevel="0" collapsed="false">
      <c r="A1273" s="2"/>
      <c r="B1273" s="3" t="n">
        <f aca="false">DATE(2008,10,6)</f>
        <v>0</v>
      </c>
      <c r="C1273" s="3" t="n">
        <v>39727</v>
      </c>
      <c r="D1273" s="2" t="s">
        <v>9914</v>
      </c>
      <c r="F1273" s="2" t="s">
        <v>9915</v>
      </c>
      <c r="G1273" s="2" t="s">
        <v>9916</v>
      </c>
      <c r="H1273" s="2" t="s">
        <v>9917</v>
      </c>
      <c r="I1273" s="2" t="s">
        <v>9918</v>
      </c>
      <c r="J1273" s="2" t="s">
        <v>116</v>
      </c>
      <c r="K1273" s="2" t="s">
        <v>9914</v>
      </c>
      <c r="L1273" s="2" t="s">
        <v>9918</v>
      </c>
      <c r="M1273" s="2" t="s">
        <v>9917</v>
      </c>
      <c r="N1273" s="2" t="s">
        <v>9919</v>
      </c>
      <c r="O1273" s="2"/>
      <c r="P1273" s="2" t="s">
        <v>37</v>
      </c>
      <c r="Q1273" s="4" t="n">
        <v>8731</v>
      </c>
      <c r="R1273" s="2" t="s">
        <v>56</v>
      </c>
      <c r="S1273" s="2" t="s">
        <v>92</v>
      </c>
      <c r="T1273" s="2" t="s">
        <v>403</v>
      </c>
      <c r="U1273" s="2" t="s">
        <v>9920</v>
      </c>
      <c r="V1273" s="2"/>
      <c r="W1273" s="2" t="s">
        <v>42</v>
      </c>
      <c r="X1273" s="2" t="s">
        <v>46</v>
      </c>
      <c r="Y1273" s="2" t="s">
        <v>37</v>
      </c>
      <c r="Z1273" s="2" t="s">
        <v>452</v>
      </c>
      <c r="AA1273" s="2"/>
      <c r="AB1273" s="2"/>
      <c r="AC1273" s="2" t="s">
        <v>9921</v>
      </c>
      <c r="AD1273" s="2" t="s">
        <v>46</v>
      </c>
    </row>
    <row r="1274" customFormat="false" ht="15.7" hidden="false" customHeight="true" outlineLevel="0" collapsed="false">
      <c r="A1274" s="2"/>
      <c r="B1274" s="3" t="n">
        <f aca="false">DATE(2008,10,6)</f>
        <v>0</v>
      </c>
      <c r="C1274" s="3" t="n">
        <v>39727</v>
      </c>
      <c r="D1274" s="2" t="s">
        <v>9922</v>
      </c>
      <c r="F1274" s="2" t="s">
        <v>2026</v>
      </c>
      <c r="G1274" s="2" t="s">
        <v>9923</v>
      </c>
      <c r="H1274" s="2" t="s">
        <v>9924</v>
      </c>
      <c r="I1274" s="2" t="s">
        <v>51</v>
      </c>
      <c r="J1274" s="2" t="s">
        <v>4723</v>
      </c>
      <c r="K1274" s="2" t="s">
        <v>9922</v>
      </c>
      <c r="L1274" s="2" t="s">
        <v>51</v>
      </c>
      <c r="M1274" s="2" t="s">
        <v>9924</v>
      </c>
      <c r="N1274" s="2" t="s">
        <v>9925</v>
      </c>
      <c r="O1274" s="2"/>
      <c r="P1274" s="2" t="s">
        <v>37</v>
      </c>
      <c r="Q1274" s="4" t="n">
        <v>8731</v>
      </c>
      <c r="R1274" s="2" t="s">
        <v>56</v>
      </c>
      <c r="S1274" s="2" t="s">
        <v>92</v>
      </c>
      <c r="T1274" s="2" t="s">
        <v>40</v>
      </c>
      <c r="U1274" s="2" t="s">
        <v>9926</v>
      </c>
      <c r="V1274" s="2"/>
      <c r="W1274" s="2" t="s">
        <v>42</v>
      </c>
      <c r="X1274" s="2" t="s">
        <v>43</v>
      </c>
      <c r="Y1274" s="2" t="s">
        <v>37</v>
      </c>
      <c r="Z1274" s="2" t="s">
        <v>44</v>
      </c>
      <c r="AA1274" s="2"/>
      <c r="AB1274" s="2"/>
      <c r="AC1274" s="2" t="s">
        <v>9927</v>
      </c>
      <c r="AD1274" s="2" t="s">
        <v>46</v>
      </c>
    </row>
    <row r="1275" customFormat="false" ht="15.7" hidden="false" customHeight="true" outlineLevel="0" collapsed="false">
      <c r="A1275" s="2"/>
      <c r="B1275" s="3" t="n">
        <f aca="false">DATE(2008,10,9)</f>
        <v>0</v>
      </c>
      <c r="C1275" s="3" t="n">
        <v>39730</v>
      </c>
      <c r="D1275" s="2" t="s">
        <v>9928</v>
      </c>
      <c r="F1275" s="2" t="s">
        <v>9929</v>
      </c>
      <c r="G1275" s="2" t="s">
        <v>9930</v>
      </c>
      <c r="H1275" s="2" t="s">
        <v>4122</v>
      </c>
      <c r="I1275" s="2" t="s">
        <v>34</v>
      </c>
      <c r="J1275" s="2" t="s">
        <v>35</v>
      </c>
      <c r="K1275" s="2" t="s">
        <v>9931</v>
      </c>
      <c r="L1275" s="2" t="s">
        <v>34</v>
      </c>
      <c r="M1275" s="2" t="s">
        <v>4124</v>
      </c>
      <c r="N1275" s="2" t="s">
        <v>9932</v>
      </c>
      <c r="O1275" s="2"/>
      <c r="P1275" s="2" t="s">
        <v>37</v>
      </c>
      <c r="Q1275" s="4" t="n">
        <v>8731</v>
      </c>
      <c r="R1275" s="2" t="s">
        <v>38</v>
      </c>
      <c r="S1275" s="2" t="s">
        <v>39</v>
      </c>
      <c r="T1275" s="2" t="s">
        <v>40</v>
      </c>
      <c r="U1275" s="2" t="s">
        <v>9933</v>
      </c>
      <c r="V1275" s="2"/>
      <c r="W1275" s="2" t="s">
        <v>42</v>
      </c>
      <c r="X1275" s="2" t="s">
        <v>43</v>
      </c>
      <c r="Y1275" s="2" t="s">
        <v>37</v>
      </c>
      <c r="Z1275" s="2" t="s">
        <v>44</v>
      </c>
      <c r="AA1275" s="2"/>
      <c r="AB1275" s="2"/>
      <c r="AC1275" s="2" t="s">
        <v>9934</v>
      </c>
      <c r="AD1275" s="2" t="s">
        <v>46</v>
      </c>
    </row>
    <row r="1276" customFormat="false" ht="15.7" hidden="false" customHeight="true" outlineLevel="0" collapsed="false">
      <c r="A1276" s="2"/>
      <c r="B1276" s="3" t="n">
        <f aca="false">DATE(2008,10,9)</f>
        <v>0</v>
      </c>
      <c r="C1276" s="3" t="n">
        <v>39730</v>
      </c>
      <c r="D1276" s="2" t="s">
        <v>9935</v>
      </c>
      <c r="F1276" s="2" t="s">
        <v>9936</v>
      </c>
      <c r="G1276" s="2" t="s">
        <v>9937</v>
      </c>
      <c r="H1276" s="2" t="s">
        <v>4824</v>
      </c>
      <c r="I1276" s="2" t="s">
        <v>549</v>
      </c>
      <c r="J1276" s="2" t="s">
        <v>132</v>
      </c>
      <c r="K1276" s="2" t="s">
        <v>9935</v>
      </c>
      <c r="L1276" s="2" t="s">
        <v>549</v>
      </c>
      <c r="M1276" s="2" t="s">
        <v>4824</v>
      </c>
      <c r="N1276" s="2" t="s">
        <v>9938</v>
      </c>
      <c r="O1276" s="2"/>
      <c r="P1276" s="2" t="s">
        <v>37</v>
      </c>
      <c r="Q1276" s="4" t="n">
        <v>8731</v>
      </c>
      <c r="R1276" s="2" t="s">
        <v>136</v>
      </c>
      <c r="S1276" s="2" t="s">
        <v>39</v>
      </c>
      <c r="T1276" s="2" t="s">
        <v>40</v>
      </c>
      <c r="U1276" s="2" t="s">
        <v>9939</v>
      </c>
      <c r="V1276" s="2"/>
      <c r="W1276" s="2" t="s">
        <v>42</v>
      </c>
      <c r="X1276" s="2" t="s">
        <v>43</v>
      </c>
      <c r="Y1276" s="2" t="s">
        <v>37</v>
      </c>
      <c r="Z1276" s="2" t="s">
        <v>44</v>
      </c>
      <c r="AA1276" s="2"/>
      <c r="AB1276" s="2"/>
      <c r="AC1276" s="2" t="s">
        <v>9940</v>
      </c>
      <c r="AD1276" s="2" t="s">
        <v>46</v>
      </c>
    </row>
    <row r="1277" customFormat="false" ht="15.7" hidden="false" customHeight="true" outlineLevel="0" collapsed="false">
      <c r="A1277" s="2"/>
      <c r="B1277" s="3" t="n">
        <f aca="false">DATE(2008,10,10)</f>
        <v>0</v>
      </c>
      <c r="C1277" s="3" t="n">
        <v>39731</v>
      </c>
      <c r="D1277" s="2" t="s">
        <v>9941</v>
      </c>
      <c r="F1277" s="2" t="s">
        <v>9942</v>
      </c>
      <c r="G1277" s="2" t="s">
        <v>9943</v>
      </c>
      <c r="H1277" s="2" t="s">
        <v>8894</v>
      </c>
      <c r="I1277" s="2" t="s">
        <v>4325</v>
      </c>
      <c r="J1277" s="2" t="s">
        <v>35</v>
      </c>
      <c r="K1277" s="2" t="s">
        <v>9944</v>
      </c>
      <c r="L1277" s="2" t="s">
        <v>670</v>
      </c>
      <c r="M1277" s="2" t="s">
        <v>3954</v>
      </c>
      <c r="N1277" s="2" t="s">
        <v>9945</v>
      </c>
      <c r="O1277" s="2" t="s">
        <v>9946</v>
      </c>
      <c r="P1277" s="2" t="s">
        <v>37</v>
      </c>
      <c r="Q1277" s="4" t="n">
        <v>2759</v>
      </c>
      <c r="R1277" s="2" t="s">
        <v>402</v>
      </c>
      <c r="S1277" s="2" t="s">
        <v>39</v>
      </c>
      <c r="T1277" s="2" t="s">
        <v>40</v>
      </c>
      <c r="U1277" s="2" t="s">
        <v>9947</v>
      </c>
      <c r="V1277" s="2"/>
      <c r="W1277" s="2" t="s">
        <v>9948</v>
      </c>
      <c r="X1277" s="2" t="s">
        <v>46</v>
      </c>
      <c r="Y1277" s="2" t="s">
        <v>37</v>
      </c>
      <c r="Z1277" s="2" t="s">
        <v>362</v>
      </c>
      <c r="AA1277" s="2"/>
      <c r="AB1277" s="2" t="s">
        <v>9949</v>
      </c>
      <c r="AC1277" s="2" t="s">
        <v>9950</v>
      </c>
      <c r="AD1277" s="2" t="s">
        <v>46</v>
      </c>
    </row>
    <row r="1278" customFormat="false" ht="15.7" hidden="false" customHeight="true" outlineLevel="0" collapsed="false">
      <c r="A1278" s="2"/>
      <c r="B1278" s="3" t="n">
        <f aca="false">DATE(2008,10,13)</f>
        <v>0</v>
      </c>
      <c r="C1278" s="3" t="n">
        <v>39734</v>
      </c>
      <c r="D1278" s="2" t="s">
        <v>9951</v>
      </c>
      <c r="F1278" s="2" t="s">
        <v>9952</v>
      </c>
      <c r="G1278" s="2" t="s">
        <v>9953</v>
      </c>
      <c r="H1278" s="2" t="s">
        <v>9954</v>
      </c>
      <c r="I1278" s="2" t="s">
        <v>9955</v>
      </c>
      <c r="J1278" s="2" t="s">
        <v>101</v>
      </c>
      <c r="K1278" s="2" t="s">
        <v>9951</v>
      </c>
      <c r="L1278" s="2" t="s">
        <v>9955</v>
      </c>
      <c r="M1278" s="2" t="s">
        <v>9954</v>
      </c>
      <c r="N1278" s="2" t="s">
        <v>9956</v>
      </c>
      <c r="O1278" s="2"/>
      <c r="P1278" s="2" t="s">
        <v>37</v>
      </c>
      <c r="Q1278" s="4" t="n">
        <v>8731</v>
      </c>
      <c r="R1278" s="2" t="s">
        <v>136</v>
      </c>
      <c r="S1278" s="2" t="s">
        <v>39</v>
      </c>
      <c r="T1278" s="2" t="s">
        <v>403</v>
      </c>
      <c r="U1278" s="2" t="s">
        <v>9957</v>
      </c>
      <c r="V1278" s="2"/>
      <c r="W1278" s="2" t="s">
        <v>42</v>
      </c>
      <c r="X1278" s="2" t="s">
        <v>43</v>
      </c>
      <c r="Y1278" s="2" t="s">
        <v>37</v>
      </c>
      <c r="Z1278" s="2" t="s">
        <v>44</v>
      </c>
      <c r="AA1278" s="2"/>
      <c r="AB1278" s="2"/>
      <c r="AC1278" s="2" t="s">
        <v>9958</v>
      </c>
      <c r="AD1278" s="2" t="s">
        <v>46</v>
      </c>
    </row>
    <row r="1279" customFormat="false" ht="15.7" hidden="false" customHeight="true" outlineLevel="0" collapsed="false">
      <c r="A1279" s="2"/>
      <c r="B1279" s="3" t="n">
        <f aca="false">DATE(2008,10,14)</f>
        <v>0</v>
      </c>
      <c r="C1279" s="3" t="n">
        <v>39735</v>
      </c>
      <c r="D1279" s="2" t="s">
        <v>9959</v>
      </c>
      <c r="F1279" s="2" t="s">
        <v>9960</v>
      </c>
      <c r="G1279" s="2" t="s">
        <v>9961</v>
      </c>
      <c r="H1279" s="2" t="s">
        <v>9962</v>
      </c>
      <c r="I1279" s="2" t="s">
        <v>9212</v>
      </c>
      <c r="J1279" s="2" t="s">
        <v>35</v>
      </c>
      <c r="K1279" s="2" t="s">
        <v>9963</v>
      </c>
      <c r="L1279" s="2" t="s">
        <v>9212</v>
      </c>
      <c r="M1279" s="2" t="s">
        <v>9964</v>
      </c>
      <c r="N1279" s="2" t="s">
        <v>9965</v>
      </c>
      <c r="O1279" s="2"/>
      <c r="P1279" s="2" t="s">
        <v>37</v>
      </c>
      <c r="Q1279" s="4" t="n">
        <v>8731</v>
      </c>
      <c r="R1279" s="2" t="s">
        <v>136</v>
      </c>
      <c r="S1279" s="2" t="s">
        <v>39</v>
      </c>
      <c r="T1279" s="2" t="s">
        <v>40</v>
      </c>
      <c r="U1279" s="2" t="s">
        <v>9966</v>
      </c>
      <c r="V1279" s="2"/>
      <c r="W1279" s="2" t="s">
        <v>42</v>
      </c>
      <c r="X1279" s="2" t="s">
        <v>43</v>
      </c>
      <c r="Y1279" s="2" t="s">
        <v>37</v>
      </c>
      <c r="Z1279" s="2" t="s">
        <v>44</v>
      </c>
      <c r="AA1279" s="2"/>
      <c r="AB1279" s="2"/>
      <c r="AC1279" s="2" t="s">
        <v>9967</v>
      </c>
      <c r="AD1279" s="2" t="s">
        <v>46</v>
      </c>
    </row>
    <row r="1280" customFormat="false" ht="15.7" hidden="false" customHeight="true" outlineLevel="0" collapsed="false">
      <c r="A1280" s="2"/>
      <c r="B1280" s="3" t="n">
        <f aca="false">DATE(2008,10,14)</f>
        <v>0</v>
      </c>
      <c r="C1280" s="3" t="n">
        <v>39735</v>
      </c>
      <c r="D1280" s="2" t="s">
        <v>9968</v>
      </c>
      <c r="F1280" s="2" t="s">
        <v>9969</v>
      </c>
      <c r="G1280" s="2" t="s">
        <v>9970</v>
      </c>
      <c r="H1280" s="2" t="s">
        <v>1350</v>
      </c>
      <c r="I1280" s="2" t="s">
        <v>4570</v>
      </c>
      <c r="J1280" s="2" t="s">
        <v>35</v>
      </c>
      <c r="K1280" s="2" t="s">
        <v>9971</v>
      </c>
      <c r="L1280" s="2" t="s">
        <v>4570</v>
      </c>
      <c r="M1280" s="2" t="s">
        <v>1352</v>
      </c>
      <c r="N1280" s="2" t="s">
        <v>9972</v>
      </c>
      <c r="O1280" s="2"/>
      <c r="P1280" s="2" t="s">
        <v>37</v>
      </c>
      <c r="Q1280" s="4" t="n">
        <v>8731</v>
      </c>
      <c r="R1280" s="2" t="s">
        <v>136</v>
      </c>
      <c r="S1280" s="2" t="s">
        <v>39</v>
      </c>
      <c r="T1280" s="2" t="s">
        <v>40</v>
      </c>
      <c r="U1280" s="2" t="s">
        <v>9973</v>
      </c>
      <c r="V1280" s="2"/>
      <c r="W1280" s="2" t="s">
        <v>42</v>
      </c>
      <c r="X1280" s="2" t="s">
        <v>43</v>
      </c>
      <c r="Y1280" s="2" t="s">
        <v>37</v>
      </c>
      <c r="Z1280" s="2" t="s">
        <v>44</v>
      </c>
      <c r="AA1280" s="2"/>
      <c r="AB1280" s="2"/>
      <c r="AC1280" s="2" t="s">
        <v>9974</v>
      </c>
      <c r="AD1280" s="2" t="s">
        <v>46</v>
      </c>
    </row>
    <row r="1281" customFormat="false" ht="15.7" hidden="false" customHeight="true" outlineLevel="0" collapsed="false">
      <c r="A1281" s="2"/>
      <c r="B1281" s="3" t="n">
        <f aca="false">DATE(2008,10,15)</f>
        <v>0</v>
      </c>
      <c r="C1281" s="3" t="n">
        <v>39736</v>
      </c>
      <c r="D1281" s="2" t="s">
        <v>9975</v>
      </c>
      <c r="F1281" s="2" t="s">
        <v>9976</v>
      </c>
      <c r="G1281" s="2" t="s">
        <v>9977</v>
      </c>
      <c r="H1281" s="2" t="s">
        <v>9978</v>
      </c>
      <c r="I1281" s="2" t="s">
        <v>670</v>
      </c>
      <c r="J1281" s="2" t="s">
        <v>5725</v>
      </c>
      <c r="K1281" s="2" t="s">
        <v>9975</v>
      </c>
      <c r="L1281" s="2" t="s">
        <v>670</v>
      </c>
      <c r="M1281" s="2" t="s">
        <v>9978</v>
      </c>
      <c r="N1281" s="2" t="s">
        <v>9979</v>
      </c>
      <c r="O1281" s="2"/>
      <c r="P1281" s="2" t="s">
        <v>37</v>
      </c>
      <c r="Q1281" s="4" t="n">
        <v>3842</v>
      </c>
      <c r="R1281" s="2" t="s">
        <v>450</v>
      </c>
      <c r="S1281" s="2" t="s">
        <v>39</v>
      </c>
      <c r="T1281" s="2" t="s">
        <v>403</v>
      </c>
      <c r="U1281" s="2" t="s">
        <v>9980</v>
      </c>
      <c r="V1281" s="2"/>
      <c r="W1281" s="2" t="s">
        <v>107</v>
      </c>
      <c r="X1281" s="2" t="s">
        <v>43</v>
      </c>
      <c r="Y1281" s="2" t="s">
        <v>37</v>
      </c>
      <c r="Z1281" s="2" t="s">
        <v>44</v>
      </c>
      <c r="AA1281" s="2"/>
      <c r="AB1281" s="2"/>
      <c r="AC1281" s="2" t="s">
        <v>9981</v>
      </c>
      <c r="AD1281" s="2" t="s">
        <v>46</v>
      </c>
    </row>
    <row r="1282" customFormat="false" ht="15.7" hidden="false" customHeight="true" outlineLevel="0" collapsed="false">
      <c r="A1282" s="2"/>
      <c r="B1282" s="3" t="n">
        <f aca="false">DATE(2008,10,16)</f>
        <v>0</v>
      </c>
      <c r="C1282" s="3" t="n">
        <v>39737</v>
      </c>
      <c r="D1282" s="2" t="s">
        <v>9982</v>
      </c>
      <c r="F1282" s="2" t="s">
        <v>9983</v>
      </c>
      <c r="G1282" s="2" t="s">
        <v>9984</v>
      </c>
      <c r="H1282" s="2" t="s">
        <v>9985</v>
      </c>
      <c r="I1282" s="2" t="s">
        <v>51</v>
      </c>
      <c r="J1282" s="2" t="s">
        <v>3258</v>
      </c>
      <c r="K1282" s="2" t="s">
        <v>9986</v>
      </c>
      <c r="L1282" s="2" t="s">
        <v>51</v>
      </c>
      <c r="M1282" s="2" t="s">
        <v>230</v>
      </c>
      <c r="N1282" s="2" t="s">
        <v>9987</v>
      </c>
      <c r="O1282" s="2"/>
      <c r="P1282" s="2" t="s">
        <v>37</v>
      </c>
      <c r="Q1282" s="4" t="n">
        <v>8731</v>
      </c>
      <c r="R1282" s="2" t="s">
        <v>56</v>
      </c>
      <c r="S1282" s="2" t="s">
        <v>92</v>
      </c>
      <c r="T1282" s="2" t="s">
        <v>40</v>
      </c>
      <c r="U1282" s="2" t="s">
        <v>9988</v>
      </c>
      <c r="V1282" s="2"/>
      <c r="W1282" s="2" t="s">
        <v>42</v>
      </c>
      <c r="X1282" s="2" t="s">
        <v>43</v>
      </c>
      <c r="Y1282" s="2" t="s">
        <v>37</v>
      </c>
      <c r="Z1282" s="2" t="s">
        <v>44</v>
      </c>
      <c r="AA1282" s="2"/>
      <c r="AB1282" s="2"/>
      <c r="AC1282" s="2" t="s">
        <v>9989</v>
      </c>
      <c r="AD1282" s="2" t="s">
        <v>46</v>
      </c>
    </row>
    <row r="1283" customFormat="false" ht="15.7" hidden="false" customHeight="true" outlineLevel="0" collapsed="false">
      <c r="A1283" s="2"/>
      <c r="B1283" s="3" t="n">
        <f aca="false">DATE(2008,10,17)</f>
        <v>0</v>
      </c>
      <c r="C1283" s="3" t="n">
        <v>39738</v>
      </c>
      <c r="D1283" s="2" t="s">
        <v>9990</v>
      </c>
      <c r="F1283" s="2" t="s">
        <v>9991</v>
      </c>
      <c r="G1283" s="2" t="s">
        <v>9992</v>
      </c>
      <c r="H1283" s="2" t="s">
        <v>1411</v>
      </c>
      <c r="I1283" s="2" t="s">
        <v>5930</v>
      </c>
      <c r="J1283" s="2" t="s">
        <v>35</v>
      </c>
      <c r="K1283" s="2" t="s">
        <v>9990</v>
      </c>
      <c r="L1283" s="2" t="s">
        <v>5930</v>
      </c>
      <c r="M1283" s="2" t="s">
        <v>1411</v>
      </c>
      <c r="N1283" s="2" t="s">
        <v>9993</v>
      </c>
      <c r="O1283" s="2"/>
      <c r="P1283" s="2" t="s">
        <v>37</v>
      </c>
      <c r="Q1283" s="4" t="n">
        <v>8731</v>
      </c>
      <c r="R1283" s="2" t="s">
        <v>136</v>
      </c>
      <c r="S1283" s="2" t="s">
        <v>39</v>
      </c>
      <c r="T1283" s="2" t="s">
        <v>40</v>
      </c>
      <c r="U1283" s="2" t="s">
        <v>9994</v>
      </c>
      <c r="V1283" s="2"/>
      <c r="W1283" s="2" t="s">
        <v>42</v>
      </c>
      <c r="X1283" s="2" t="s">
        <v>43</v>
      </c>
      <c r="Y1283" s="2" t="s">
        <v>37</v>
      </c>
      <c r="Z1283" s="2" t="s">
        <v>44</v>
      </c>
      <c r="AA1283" s="2"/>
      <c r="AB1283" s="2"/>
      <c r="AC1283" s="2" t="s">
        <v>9995</v>
      </c>
      <c r="AD1283" s="2" t="s">
        <v>46</v>
      </c>
    </row>
    <row r="1284" customFormat="false" ht="15.7" hidden="false" customHeight="true" outlineLevel="0" collapsed="false">
      <c r="A1284" s="2"/>
      <c r="B1284" s="3" t="n">
        <f aca="false">DATE(2008,10,17)</f>
        <v>0</v>
      </c>
      <c r="C1284" s="3" t="n">
        <v>39738</v>
      </c>
      <c r="D1284" s="2" t="s">
        <v>9996</v>
      </c>
      <c r="F1284" s="2" t="s">
        <v>9997</v>
      </c>
      <c r="G1284" s="2" t="s">
        <v>9998</v>
      </c>
      <c r="H1284" s="2" t="s">
        <v>9999</v>
      </c>
      <c r="I1284" s="2" t="s">
        <v>51</v>
      </c>
      <c r="J1284" s="2" t="s">
        <v>10000</v>
      </c>
      <c r="K1284" s="2" t="s">
        <v>9996</v>
      </c>
      <c r="L1284" s="2" t="s">
        <v>51</v>
      </c>
      <c r="M1284" s="2" t="s">
        <v>9999</v>
      </c>
      <c r="N1284" s="2" t="s">
        <v>10001</v>
      </c>
      <c r="O1284" s="2"/>
      <c r="P1284" s="2" t="s">
        <v>37</v>
      </c>
      <c r="Q1284" s="4" t="n">
        <v>8731</v>
      </c>
      <c r="R1284" s="2" t="s">
        <v>56</v>
      </c>
      <c r="S1284" s="2" t="s">
        <v>92</v>
      </c>
      <c r="T1284" s="2" t="s">
        <v>40</v>
      </c>
      <c r="U1284" s="2" t="s">
        <v>10002</v>
      </c>
      <c r="V1284" s="2"/>
      <c r="W1284" s="2" t="s">
        <v>42</v>
      </c>
      <c r="X1284" s="2" t="s">
        <v>43</v>
      </c>
      <c r="Y1284" s="2" t="s">
        <v>37</v>
      </c>
      <c r="Z1284" s="2" t="s">
        <v>44</v>
      </c>
      <c r="AA1284" s="2"/>
      <c r="AB1284" s="2"/>
      <c r="AC1284" s="2" t="s">
        <v>10003</v>
      </c>
      <c r="AD1284" s="2" t="s">
        <v>46</v>
      </c>
    </row>
    <row r="1285" customFormat="false" ht="15.7" hidden="false" customHeight="true" outlineLevel="0" collapsed="false">
      <c r="A1285" s="2"/>
      <c r="B1285" s="3" t="n">
        <f aca="false">DATE(2008,10,20)</f>
        <v>0</v>
      </c>
      <c r="C1285" s="3" t="n">
        <v>39741</v>
      </c>
      <c r="D1285" s="2" t="s">
        <v>10004</v>
      </c>
      <c r="F1285" s="2" t="s">
        <v>10005</v>
      </c>
      <c r="G1285" s="2" t="s">
        <v>10006</v>
      </c>
      <c r="H1285" s="2" t="s">
        <v>130</v>
      </c>
      <c r="I1285" s="2" t="s">
        <v>1412</v>
      </c>
      <c r="J1285" s="2" t="s">
        <v>575</v>
      </c>
      <c r="K1285" s="2" t="s">
        <v>10004</v>
      </c>
      <c r="L1285" s="2" t="s">
        <v>1412</v>
      </c>
      <c r="M1285" s="2" t="s">
        <v>130</v>
      </c>
      <c r="N1285" s="2" t="s">
        <v>10007</v>
      </c>
      <c r="O1285" s="2" t="s">
        <v>10008</v>
      </c>
      <c r="P1285" s="2" t="s">
        <v>37</v>
      </c>
      <c r="Q1285" s="4" t="n">
        <v>2836</v>
      </c>
      <c r="R1285" s="2" t="s">
        <v>2201</v>
      </c>
      <c r="S1285" s="2" t="s">
        <v>39</v>
      </c>
      <c r="T1285" s="2" t="s">
        <v>40</v>
      </c>
      <c r="U1285" s="2" t="s">
        <v>10009</v>
      </c>
      <c r="V1285" s="2"/>
      <c r="W1285" s="2" t="s">
        <v>42</v>
      </c>
      <c r="X1285" s="2" t="s">
        <v>46</v>
      </c>
      <c r="Y1285" s="2" t="s">
        <v>37</v>
      </c>
      <c r="Z1285" s="2" t="s">
        <v>362</v>
      </c>
      <c r="AA1285" s="2"/>
      <c r="AB1285" s="2" t="s">
        <v>10010</v>
      </c>
      <c r="AC1285" s="2" t="s">
        <v>10011</v>
      </c>
      <c r="AD1285" s="2" t="s">
        <v>46</v>
      </c>
    </row>
    <row r="1286" customFormat="false" ht="15.7" hidden="false" customHeight="true" outlineLevel="0" collapsed="false">
      <c r="A1286" s="2"/>
      <c r="B1286" s="3" t="n">
        <f aca="false">DATE(2008,10,21)</f>
        <v>0</v>
      </c>
      <c r="C1286" s="3" t="n">
        <v>39742</v>
      </c>
      <c r="D1286" s="2" t="s">
        <v>7316</v>
      </c>
      <c r="F1286" s="2" t="s">
        <v>7317</v>
      </c>
      <c r="G1286" s="2" t="s">
        <v>7318</v>
      </c>
      <c r="H1286" s="2" t="s">
        <v>170</v>
      </c>
      <c r="I1286" s="2" t="s">
        <v>3312</v>
      </c>
      <c r="J1286" s="2" t="s">
        <v>132</v>
      </c>
      <c r="K1286" s="2" t="s">
        <v>7319</v>
      </c>
      <c r="L1286" s="2" t="s">
        <v>7320</v>
      </c>
      <c r="M1286" s="2" t="s">
        <v>4926</v>
      </c>
      <c r="N1286" s="2" t="s">
        <v>10012</v>
      </c>
      <c r="O1286" s="2"/>
      <c r="P1286" s="2" t="s">
        <v>37</v>
      </c>
      <c r="Q1286" s="4" t="n">
        <v>8731</v>
      </c>
      <c r="R1286" s="2" t="s">
        <v>136</v>
      </c>
      <c r="S1286" s="2" t="s">
        <v>39</v>
      </c>
      <c r="T1286" s="2" t="s">
        <v>40</v>
      </c>
      <c r="U1286" s="2" t="s">
        <v>10013</v>
      </c>
      <c r="V1286" s="2"/>
      <c r="W1286" s="2" t="s">
        <v>42</v>
      </c>
      <c r="X1286" s="2" t="s">
        <v>43</v>
      </c>
      <c r="Y1286" s="2" t="s">
        <v>37</v>
      </c>
      <c r="Z1286" s="2" t="s">
        <v>44</v>
      </c>
      <c r="AA1286" s="2"/>
      <c r="AB1286" s="2"/>
      <c r="AC1286" s="2" t="s">
        <v>7323</v>
      </c>
      <c r="AD1286" s="2" t="s">
        <v>46</v>
      </c>
    </row>
    <row r="1287" customFormat="false" ht="15.7" hidden="false" customHeight="true" outlineLevel="0" collapsed="false">
      <c r="A1287" s="2"/>
      <c r="B1287" s="3" t="n">
        <f aca="false">DATE(2008,10,21)</f>
        <v>0</v>
      </c>
      <c r="C1287" s="3" t="n">
        <v>39742</v>
      </c>
      <c r="D1287" s="2" t="s">
        <v>10004</v>
      </c>
      <c r="F1287" s="2" t="s">
        <v>10005</v>
      </c>
      <c r="G1287" s="2" t="s">
        <v>10006</v>
      </c>
      <c r="H1287" s="2" t="s">
        <v>130</v>
      </c>
      <c r="I1287" s="2" t="s">
        <v>1412</v>
      </c>
      <c r="J1287" s="2" t="s">
        <v>575</v>
      </c>
      <c r="K1287" s="2" t="s">
        <v>10004</v>
      </c>
      <c r="L1287" s="2" t="s">
        <v>1412</v>
      </c>
      <c r="M1287" s="2" t="s">
        <v>130</v>
      </c>
      <c r="N1287" s="2" t="s">
        <v>10014</v>
      </c>
      <c r="O1287" s="2"/>
      <c r="P1287" s="2" t="s">
        <v>37</v>
      </c>
      <c r="Q1287" s="4" t="n">
        <v>8731</v>
      </c>
      <c r="R1287" s="2" t="s">
        <v>2201</v>
      </c>
      <c r="S1287" s="2" t="s">
        <v>39</v>
      </c>
      <c r="T1287" s="2" t="s">
        <v>403</v>
      </c>
      <c r="U1287" s="2" t="s">
        <v>10015</v>
      </c>
      <c r="V1287" s="2"/>
      <c r="W1287" s="2" t="s">
        <v>42</v>
      </c>
      <c r="X1287" s="2" t="s">
        <v>46</v>
      </c>
      <c r="Y1287" s="2" t="s">
        <v>37</v>
      </c>
      <c r="Z1287" s="2" t="s">
        <v>362</v>
      </c>
      <c r="AA1287" s="2"/>
      <c r="AB1287" s="2"/>
      <c r="AC1287" s="2" t="s">
        <v>10011</v>
      </c>
      <c r="AD1287" s="2" t="s">
        <v>46</v>
      </c>
    </row>
    <row r="1288" customFormat="false" ht="15.7" hidden="false" customHeight="true" outlineLevel="0" collapsed="false">
      <c r="A1288" s="2"/>
      <c r="B1288" s="3" t="n">
        <f aca="false">DATE(2008,10,23)</f>
        <v>0</v>
      </c>
      <c r="C1288" s="3" t="n">
        <v>39744</v>
      </c>
      <c r="D1288" s="2" t="s">
        <v>10016</v>
      </c>
      <c r="F1288" s="2" t="s">
        <v>10017</v>
      </c>
      <c r="G1288" s="2" t="s">
        <v>10018</v>
      </c>
      <c r="H1288" s="2" t="s">
        <v>9985</v>
      </c>
      <c r="I1288" s="2" t="s">
        <v>51</v>
      </c>
      <c r="J1288" s="2" t="s">
        <v>10019</v>
      </c>
      <c r="K1288" s="2" t="s">
        <v>10020</v>
      </c>
      <c r="L1288" s="2" t="s">
        <v>51</v>
      </c>
      <c r="M1288" s="2" t="s">
        <v>10021</v>
      </c>
      <c r="N1288" s="2" t="s">
        <v>10022</v>
      </c>
      <c r="O1288" s="2"/>
      <c r="P1288" s="2" t="s">
        <v>37</v>
      </c>
      <c r="Q1288" s="4" t="n">
        <v>2834</v>
      </c>
      <c r="R1288" s="2" t="s">
        <v>56</v>
      </c>
      <c r="S1288" s="2" t="s">
        <v>1576</v>
      </c>
      <c r="T1288" s="2" t="s">
        <v>40</v>
      </c>
      <c r="U1288" s="2" t="s">
        <v>10023</v>
      </c>
      <c r="V1288" s="2"/>
      <c r="W1288" s="2" t="s">
        <v>107</v>
      </c>
      <c r="X1288" s="2" t="s">
        <v>43</v>
      </c>
      <c r="Y1288" s="2" t="s">
        <v>37</v>
      </c>
      <c r="Z1288" s="2" t="s">
        <v>44</v>
      </c>
      <c r="AA1288" s="2"/>
      <c r="AB1288" s="2"/>
      <c r="AC1288" s="2" t="s">
        <v>10024</v>
      </c>
      <c r="AD1288" s="2" t="s">
        <v>46</v>
      </c>
    </row>
    <row r="1289" customFormat="false" ht="15.7" hidden="false" customHeight="true" outlineLevel="0" collapsed="false">
      <c r="A1289" s="2"/>
      <c r="B1289" s="3" t="n">
        <f aca="false">DATE(2008,10,28)</f>
        <v>0</v>
      </c>
      <c r="C1289" s="3" t="n">
        <v>39749</v>
      </c>
      <c r="D1289" s="2" t="s">
        <v>10025</v>
      </c>
      <c r="F1289" s="2" t="s">
        <v>10026</v>
      </c>
      <c r="G1289" s="2" t="s">
        <v>10027</v>
      </c>
      <c r="H1289" s="2" t="s">
        <v>4987</v>
      </c>
      <c r="I1289" s="2" t="s">
        <v>51</v>
      </c>
      <c r="J1289" s="2" t="s">
        <v>504</v>
      </c>
      <c r="K1289" s="2" t="s">
        <v>10025</v>
      </c>
      <c r="L1289" s="2" t="s">
        <v>51</v>
      </c>
      <c r="M1289" s="2" t="s">
        <v>4987</v>
      </c>
      <c r="N1289" s="2" t="s">
        <v>10028</v>
      </c>
      <c r="O1289" s="2"/>
      <c r="P1289" s="2" t="s">
        <v>37</v>
      </c>
      <c r="Q1289" s="4" t="n">
        <v>3845</v>
      </c>
      <c r="R1289" s="2" t="s">
        <v>56</v>
      </c>
      <c r="S1289" s="2" t="s">
        <v>507</v>
      </c>
      <c r="T1289" s="2" t="s">
        <v>40</v>
      </c>
      <c r="U1289" s="2" t="s">
        <v>10029</v>
      </c>
      <c r="V1289" s="2"/>
      <c r="W1289" s="2" t="s">
        <v>755</v>
      </c>
      <c r="X1289" s="2" t="s">
        <v>43</v>
      </c>
      <c r="Y1289" s="2" t="s">
        <v>37</v>
      </c>
      <c r="Z1289" s="2" t="s">
        <v>44</v>
      </c>
      <c r="AA1289" s="2"/>
      <c r="AB1289" s="2"/>
      <c r="AC1289" s="2" t="s">
        <v>10030</v>
      </c>
      <c r="AD1289" s="2" t="s">
        <v>46</v>
      </c>
    </row>
    <row r="1290" customFormat="false" ht="15.7" hidden="false" customHeight="true" outlineLevel="0" collapsed="false">
      <c r="A1290" s="2"/>
      <c r="B1290" s="3" t="n">
        <f aca="false">DATE(2008,10,28)</f>
        <v>0</v>
      </c>
      <c r="C1290" s="3" t="n">
        <v>39749</v>
      </c>
      <c r="D1290" s="2" t="s">
        <v>10031</v>
      </c>
      <c r="F1290" s="2" t="s">
        <v>10032</v>
      </c>
      <c r="G1290" s="2" t="s">
        <v>10033</v>
      </c>
      <c r="H1290" s="2" t="s">
        <v>762</v>
      </c>
      <c r="I1290" s="2" t="s">
        <v>540</v>
      </c>
      <c r="J1290" s="2" t="s">
        <v>35</v>
      </c>
      <c r="K1290" s="2" t="s">
        <v>10031</v>
      </c>
      <c r="L1290" s="2" t="s">
        <v>540</v>
      </c>
      <c r="M1290" s="2" t="s">
        <v>762</v>
      </c>
      <c r="N1290" s="2" t="s">
        <v>10034</v>
      </c>
      <c r="O1290" s="2"/>
      <c r="P1290" s="2" t="s">
        <v>37</v>
      </c>
      <c r="Q1290" s="4" t="n">
        <v>8731</v>
      </c>
      <c r="R1290" s="2" t="s">
        <v>1448</v>
      </c>
      <c r="S1290" s="2" t="s">
        <v>39</v>
      </c>
      <c r="T1290" s="2" t="s">
        <v>40</v>
      </c>
      <c r="U1290" s="2" t="s">
        <v>10035</v>
      </c>
      <c r="V1290" s="2"/>
      <c r="W1290" s="2" t="s">
        <v>42</v>
      </c>
      <c r="X1290" s="2" t="s">
        <v>43</v>
      </c>
      <c r="Y1290" s="2" t="s">
        <v>37</v>
      </c>
      <c r="Z1290" s="2" t="s">
        <v>44</v>
      </c>
      <c r="AA1290" s="2"/>
      <c r="AB1290" s="2"/>
      <c r="AC1290" s="2" t="s">
        <v>10036</v>
      </c>
      <c r="AD1290" s="2" t="s">
        <v>46</v>
      </c>
    </row>
    <row r="1291" customFormat="false" ht="15.7" hidden="false" customHeight="true" outlineLevel="0" collapsed="false">
      <c r="A1291" s="2"/>
      <c r="B1291" s="3" t="n">
        <f aca="false">DATE(2008,10,29)</f>
        <v>0</v>
      </c>
      <c r="C1291" s="3" t="n">
        <v>39750</v>
      </c>
      <c r="D1291" s="2" t="s">
        <v>10037</v>
      </c>
      <c r="F1291" s="2" t="s">
        <v>10038</v>
      </c>
      <c r="G1291" s="2" t="s">
        <v>10039</v>
      </c>
      <c r="H1291" s="2" t="s">
        <v>10040</v>
      </c>
      <c r="I1291" s="2" t="s">
        <v>459</v>
      </c>
      <c r="J1291" s="2" t="s">
        <v>35</v>
      </c>
      <c r="K1291" s="2" t="s">
        <v>10041</v>
      </c>
      <c r="L1291" s="2" t="s">
        <v>459</v>
      </c>
      <c r="M1291" s="2" t="s">
        <v>10042</v>
      </c>
      <c r="N1291" s="2" t="s">
        <v>10043</v>
      </c>
      <c r="O1291" s="2" t="s">
        <v>10044</v>
      </c>
      <c r="P1291" s="2" t="s">
        <v>37</v>
      </c>
      <c r="Q1291" s="4" t="n">
        <v>7373</v>
      </c>
      <c r="R1291" s="2" t="s">
        <v>461</v>
      </c>
      <c r="S1291" s="2" t="s">
        <v>39</v>
      </c>
      <c r="T1291" s="2" t="s">
        <v>403</v>
      </c>
      <c r="U1291" s="2" t="s">
        <v>10045</v>
      </c>
      <c r="V1291" s="2"/>
      <c r="W1291" s="2" t="s">
        <v>107</v>
      </c>
      <c r="X1291" s="2" t="s">
        <v>46</v>
      </c>
      <c r="Y1291" s="2" t="s">
        <v>37</v>
      </c>
      <c r="Z1291" s="2" t="s">
        <v>2732</v>
      </c>
      <c r="AA1291" s="2"/>
      <c r="AB1291" s="2" t="s">
        <v>10046</v>
      </c>
      <c r="AC1291" s="2" t="s">
        <v>10047</v>
      </c>
      <c r="AD1291" s="2" t="s">
        <v>46</v>
      </c>
    </row>
    <row r="1292" customFormat="false" ht="15.7" hidden="false" customHeight="true" outlineLevel="0" collapsed="false">
      <c r="A1292" s="2"/>
      <c r="B1292" s="3" t="n">
        <f aca="false">DATE(2008,10,29)</f>
        <v>0</v>
      </c>
      <c r="C1292" s="3" t="n">
        <v>39750</v>
      </c>
      <c r="D1292" s="2" t="s">
        <v>10048</v>
      </c>
      <c r="F1292" s="2" t="s">
        <v>10049</v>
      </c>
      <c r="G1292" s="2" t="s">
        <v>10050</v>
      </c>
      <c r="H1292" s="2" t="s">
        <v>1020</v>
      </c>
      <c r="I1292" s="2" t="s">
        <v>4325</v>
      </c>
      <c r="J1292" s="2" t="s">
        <v>35</v>
      </c>
      <c r="K1292" s="2" t="s">
        <v>10051</v>
      </c>
      <c r="L1292" s="2" t="s">
        <v>4325</v>
      </c>
      <c r="M1292" s="2" t="s">
        <v>10052</v>
      </c>
      <c r="N1292" s="2" t="s">
        <v>10053</v>
      </c>
      <c r="O1292" s="2" t="s">
        <v>10054</v>
      </c>
      <c r="P1292" s="2" t="s">
        <v>37</v>
      </c>
      <c r="Q1292" s="4" t="n">
        <v>8731</v>
      </c>
      <c r="R1292" s="2" t="s">
        <v>402</v>
      </c>
      <c r="S1292" s="2" t="s">
        <v>39</v>
      </c>
      <c r="T1292" s="2" t="s">
        <v>403</v>
      </c>
      <c r="U1292" s="2" t="s">
        <v>10055</v>
      </c>
      <c r="V1292" s="2"/>
      <c r="W1292" s="2" t="s">
        <v>42</v>
      </c>
      <c r="X1292" s="2" t="s">
        <v>46</v>
      </c>
      <c r="Y1292" s="2" t="s">
        <v>37</v>
      </c>
      <c r="Z1292" s="2" t="s">
        <v>2080</v>
      </c>
      <c r="AA1292" s="2" t="s">
        <v>10056</v>
      </c>
      <c r="AB1292" s="2" t="s">
        <v>10057</v>
      </c>
      <c r="AC1292" s="2" t="s">
        <v>10058</v>
      </c>
      <c r="AD1292" s="2" t="s">
        <v>46</v>
      </c>
    </row>
    <row r="1293" customFormat="false" ht="15.7" hidden="false" customHeight="true" outlineLevel="0" collapsed="false">
      <c r="A1293" s="2"/>
      <c r="B1293" s="3" t="n">
        <f aca="false">DATE(2008,10,31)</f>
        <v>0</v>
      </c>
      <c r="C1293" s="3" t="n">
        <v>39752</v>
      </c>
      <c r="D1293" s="2" t="s">
        <v>10059</v>
      </c>
      <c r="F1293" s="2" t="s">
        <v>10060</v>
      </c>
      <c r="G1293" s="2" t="s">
        <v>10061</v>
      </c>
      <c r="H1293" s="2" t="s">
        <v>130</v>
      </c>
      <c r="I1293" s="2" t="s">
        <v>180</v>
      </c>
      <c r="J1293" s="2" t="s">
        <v>132</v>
      </c>
      <c r="K1293" s="2" t="s">
        <v>10059</v>
      </c>
      <c r="L1293" s="2" t="s">
        <v>180</v>
      </c>
      <c r="M1293" s="2" t="s">
        <v>130</v>
      </c>
      <c r="N1293" s="2" t="s">
        <v>10062</v>
      </c>
      <c r="O1293" s="2"/>
      <c r="P1293" s="2" t="s">
        <v>79</v>
      </c>
      <c r="Q1293" s="4" t="n">
        <v>6794</v>
      </c>
      <c r="R1293" s="2" t="s">
        <v>136</v>
      </c>
      <c r="S1293" s="2" t="s">
        <v>39</v>
      </c>
      <c r="T1293" s="2" t="s">
        <v>40</v>
      </c>
      <c r="U1293" s="2" t="s">
        <v>10063</v>
      </c>
      <c r="V1293" s="2"/>
      <c r="W1293" s="2" t="s">
        <v>206</v>
      </c>
      <c r="X1293" s="2" t="s">
        <v>43</v>
      </c>
      <c r="Y1293" s="2" t="s">
        <v>37</v>
      </c>
      <c r="Z1293" s="2" t="s">
        <v>44</v>
      </c>
      <c r="AA1293" s="2" t="s">
        <v>10064</v>
      </c>
      <c r="AB1293" s="2"/>
      <c r="AC1293" s="2" t="s">
        <v>10065</v>
      </c>
      <c r="AD1293" s="2" t="s">
        <v>46</v>
      </c>
    </row>
    <row r="1294" customFormat="false" ht="15.7" hidden="false" customHeight="true" outlineLevel="0" collapsed="false">
      <c r="A1294" s="2"/>
      <c r="B1294" s="3" t="n">
        <f aca="false">DATE(2008,11,3)</f>
        <v>0</v>
      </c>
      <c r="C1294" s="3" t="n">
        <v>39755</v>
      </c>
      <c r="D1294" s="2" t="s">
        <v>10066</v>
      </c>
      <c r="F1294" s="2" t="s">
        <v>10067</v>
      </c>
      <c r="G1294" s="2" t="s">
        <v>10068</v>
      </c>
      <c r="H1294" s="2" t="s">
        <v>305</v>
      </c>
      <c r="I1294" s="2" t="s">
        <v>540</v>
      </c>
      <c r="J1294" s="2" t="s">
        <v>35</v>
      </c>
      <c r="K1294" s="2" t="s">
        <v>10066</v>
      </c>
      <c r="L1294" s="2" t="s">
        <v>540</v>
      </c>
      <c r="M1294" s="2" t="s">
        <v>305</v>
      </c>
      <c r="N1294" s="2" t="s">
        <v>10069</v>
      </c>
      <c r="O1294" s="2"/>
      <c r="P1294" s="2" t="s">
        <v>37</v>
      </c>
      <c r="Q1294" s="4" t="n">
        <v>8731</v>
      </c>
      <c r="R1294" s="2" t="s">
        <v>1448</v>
      </c>
      <c r="S1294" s="2" t="s">
        <v>39</v>
      </c>
      <c r="T1294" s="2" t="s">
        <v>40</v>
      </c>
      <c r="U1294" s="2" t="s">
        <v>10070</v>
      </c>
      <c r="V1294" s="2"/>
      <c r="W1294" s="2" t="s">
        <v>42</v>
      </c>
      <c r="X1294" s="2" t="s">
        <v>43</v>
      </c>
      <c r="Y1294" s="2" t="s">
        <v>37</v>
      </c>
      <c r="Z1294" s="2" t="s">
        <v>44</v>
      </c>
      <c r="AA1294" s="2"/>
      <c r="AB1294" s="2"/>
      <c r="AC1294" s="2" t="s">
        <v>10071</v>
      </c>
      <c r="AD1294" s="2" t="s">
        <v>46</v>
      </c>
    </row>
    <row r="1295" customFormat="false" ht="15.7" hidden="false" customHeight="true" outlineLevel="0" collapsed="false">
      <c r="A1295" s="2"/>
      <c r="B1295" s="3" t="n">
        <f aca="false">DATE(2008,11,4)</f>
        <v>0</v>
      </c>
      <c r="C1295" s="3" t="n">
        <v>39756</v>
      </c>
      <c r="D1295" s="2" t="s">
        <v>10072</v>
      </c>
      <c r="F1295" s="2" t="s">
        <v>10073</v>
      </c>
      <c r="G1295" s="2" t="s">
        <v>10074</v>
      </c>
      <c r="H1295" s="2" t="s">
        <v>1473</v>
      </c>
      <c r="I1295" s="2" t="s">
        <v>1645</v>
      </c>
      <c r="J1295" s="2" t="s">
        <v>35</v>
      </c>
      <c r="K1295" s="2" t="s">
        <v>10075</v>
      </c>
      <c r="L1295" s="2" t="s">
        <v>1645</v>
      </c>
      <c r="M1295" s="2" t="s">
        <v>368</v>
      </c>
      <c r="N1295" s="2" t="s">
        <v>10076</v>
      </c>
      <c r="O1295" s="2"/>
      <c r="P1295" s="2" t="s">
        <v>37</v>
      </c>
      <c r="Q1295" s="4" t="n">
        <v>8731</v>
      </c>
      <c r="R1295" s="2" t="s">
        <v>1402</v>
      </c>
      <c r="S1295" s="2" t="s">
        <v>39</v>
      </c>
      <c r="T1295" s="2" t="s">
        <v>40</v>
      </c>
      <c r="U1295" s="2" t="s">
        <v>10077</v>
      </c>
      <c r="V1295" s="2"/>
      <c r="W1295" s="2" t="s">
        <v>42</v>
      </c>
      <c r="X1295" s="2" t="s">
        <v>43</v>
      </c>
      <c r="Y1295" s="2" t="s">
        <v>37</v>
      </c>
      <c r="Z1295" s="2" t="s">
        <v>44</v>
      </c>
      <c r="AA1295" s="2"/>
      <c r="AB1295" s="2"/>
      <c r="AC1295" s="2" t="s">
        <v>10078</v>
      </c>
      <c r="AD1295" s="2" t="s">
        <v>46</v>
      </c>
    </row>
    <row r="1296" customFormat="false" ht="15.7" hidden="false" customHeight="true" outlineLevel="0" collapsed="false">
      <c r="A1296" s="2"/>
      <c r="B1296" s="3" t="n">
        <f aca="false">DATE(2008,11,4)</f>
        <v>0</v>
      </c>
      <c r="C1296" s="3" t="n">
        <v>39756</v>
      </c>
      <c r="D1296" s="2" t="s">
        <v>10079</v>
      </c>
      <c r="F1296" s="2" t="s">
        <v>10080</v>
      </c>
      <c r="G1296" s="2" t="s">
        <v>10081</v>
      </c>
      <c r="H1296" s="2" t="s">
        <v>10082</v>
      </c>
      <c r="I1296" s="2" t="s">
        <v>51</v>
      </c>
      <c r="J1296" s="2" t="s">
        <v>3045</v>
      </c>
      <c r="K1296" s="2" t="s">
        <v>10083</v>
      </c>
      <c r="L1296" s="2" t="s">
        <v>88</v>
      </c>
      <c r="M1296" s="2" t="s">
        <v>10084</v>
      </c>
      <c r="N1296" s="2" t="s">
        <v>10085</v>
      </c>
      <c r="O1296" s="2"/>
      <c r="P1296" s="2" t="s">
        <v>37</v>
      </c>
      <c r="Q1296" s="4" t="n">
        <v>8731</v>
      </c>
      <c r="R1296" s="2" t="s">
        <v>56</v>
      </c>
      <c r="S1296" s="2" t="s">
        <v>80</v>
      </c>
      <c r="T1296" s="2" t="s">
        <v>40</v>
      </c>
      <c r="U1296" s="2" t="s">
        <v>10086</v>
      </c>
      <c r="V1296" s="2"/>
      <c r="W1296" s="2" t="s">
        <v>42</v>
      </c>
      <c r="X1296" s="2" t="s">
        <v>43</v>
      </c>
      <c r="Y1296" s="2" t="s">
        <v>37</v>
      </c>
      <c r="Z1296" s="2" t="s">
        <v>44</v>
      </c>
      <c r="AA1296" s="2"/>
      <c r="AB1296" s="2"/>
      <c r="AC1296" s="2" t="s">
        <v>10087</v>
      </c>
      <c r="AD1296" s="2" t="s">
        <v>46</v>
      </c>
    </row>
    <row r="1297" customFormat="false" ht="15.7" hidden="false" customHeight="true" outlineLevel="0" collapsed="false">
      <c r="A1297" s="2"/>
      <c r="B1297" s="3" t="n">
        <f aca="false">DATE(2008,11,5)</f>
        <v>0</v>
      </c>
      <c r="C1297" s="3" t="n">
        <v>39757</v>
      </c>
      <c r="D1297" s="2" t="s">
        <v>10088</v>
      </c>
      <c r="F1297" s="2" t="s">
        <v>10089</v>
      </c>
      <c r="G1297" s="2" t="s">
        <v>10090</v>
      </c>
      <c r="H1297" s="2" t="s">
        <v>8821</v>
      </c>
      <c r="I1297" s="2" t="s">
        <v>670</v>
      </c>
      <c r="J1297" s="2" t="s">
        <v>1456</v>
      </c>
      <c r="K1297" s="2" t="s">
        <v>10091</v>
      </c>
      <c r="L1297" s="2" t="s">
        <v>670</v>
      </c>
      <c r="M1297" s="2" t="s">
        <v>10092</v>
      </c>
      <c r="N1297" s="2" t="s">
        <v>10093</v>
      </c>
      <c r="O1297" s="2"/>
      <c r="P1297" s="2" t="s">
        <v>37</v>
      </c>
      <c r="Q1297" s="4" t="n">
        <v>8731</v>
      </c>
      <c r="R1297" s="2" t="s">
        <v>136</v>
      </c>
      <c r="S1297" s="2" t="s">
        <v>39</v>
      </c>
      <c r="T1297" s="2" t="s">
        <v>403</v>
      </c>
      <c r="U1297" s="2" t="s">
        <v>10094</v>
      </c>
      <c r="V1297" s="2"/>
      <c r="W1297" s="2" t="s">
        <v>42</v>
      </c>
      <c r="X1297" s="2" t="s">
        <v>43</v>
      </c>
      <c r="Y1297" s="2" t="s">
        <v>37</v>
      </c>
      <c r="Z1297" s="2" t="s">
        <v>44</v>
      </c>
      <c r="AA1297" s="2"/>
      <c r="AB1297" s="2"/>
      <c r="AC1297" s="2" t="s">
        <v>10095</v>
      </c>
      <c r="AD1297" s="2" t="s">
        <v>46</v>
      </c>
    </row>
    <row r="1298" customFormat="false" ht="15.7" hidden="false" customHeight="true" outlineLevel="0" collapsed="false">
      <c r="A1298" s="2"/>
      <c r="B1298" s="3" t="n">
        <f aca="false">DATE(2008,11,5)</f>
        <v>0</v>
      </c>
      <c r="C1298" s="3" t="n">
        <v>39757</v>
      </c>
      <c r="D1298" s="2" t="s">
        <v>10096</v>
      </c>
      <c r="F1298" s="2" t="s">
        <v>256</v>
      </c>
      <c r="G1298" s="2" t="s">
        <v>10097</v>
      </c>
      <c r="H1298" s="2" t="s">
        <v>170</v>
      </c>
      <c r="I1298" s="2" t="s">
        <v>51</v>
      </c>
      <c r="J1298" s="2" t="s">
        <v>1001</v>
      </c>
      <c r="K1298" s="2" t="s">
        <v>10096</v>
      </c>
      <c r="L1298" s="2" t="s">
        <v>51</v>
      </c>
      <c r="M1298" s="2" t="s">
        <v>170</v>
      </c>
      <c r="N1298" s="2" t="s">
        <v>10098</v>
      </c>
      <c r="O1298" s="2"/>
      <c r="P1298" s="2" t="s">
        <v>37</v>
      </c>
      <c r="Q1298" s="4" t="n">
        <v>8731</v>
      </c>
      <c r="R1298" s="2" t="s">
        <v>296</v>
      </c>
      <c r="S1298" s="2" t="s">
        <v>3000</v>
      </c>
      <c r="T1298" s="2" t="s">
        <v>40</v>
      </c>
      <c r="U1298" s="2" t="s">
        <v>10099</v>
      </c>
      <c r="V1298" s="2"/>
      <c r="W1298" s="2" t="s">
        <v>138</v>
      </c>
      <c r="X1298" s="2" t="s">
        <v>43</v>
      </c>
      <c r="Y1298" s="2" t="s">
        <v>79</v>
      </c>
      <c r="Z1298" s="2" t="s">
        <v>44</v>
      </c>
      <c r="AA1298" s="2"/>
      <c r="AB1298" s="2"/>
      <c r="AC1298" s="2" t="s">
        <v>10100</v>
      </c>
      <c r="AD1298" s="2" t="s">
        <v>46</v>
      </c>
    </row>
    <row r="1299" customFormat="false" ht="15.7" hidden="false" customHeight="true" outlineLevel="0" collapsed="false">
      <c r="A1299" s="2"/>
      <c r="B1299" s="3" t="n">
        <f aca="false">DATE(2008,11,7)</f>
        <v>0</v>
      </c>
      <c r="C1299" s="3" t="n">
        <v>39759</v>
      </c>
      <c r="D1299" s="2" t="s">
        <v>10101</v>
      </c>
      <c r="F1299" s="2" t="s">
        <v>10102</v>
      </c>
      <c r="G1299" s="2" t="s">
        <v>10103</v>
      </c>
      <c r="H1299" s="2" t="s">
        <v>130</v>
      </c>
      <c r="I1299" s="2" t="s">
        <v>3265</v>
      </c>
      <c r="J1299" s="2" t="s">
        <v>795</v>
      </c>
      <c r="K1299" s="2" t="s">
        <v>10101</v>
      </c>
      <c r="L1299" s="2" t="s">
        <v>3265</v>
      </c>
      <c r="M1299" s="2" t="s">
        <v>130</v>
      </c>
      <c r="N1299" s="2" t="s">
        <v>10104</v>
      </c>
      <c r="O1299" s="2"/>
      <c r="P1299" s="2" t="s">
        <v>37</v>
      </c>
      <c r="Q1299" s="4" t="n">
        <v>8731</v>
      </c>
      <c r="R1299" s="2" t="s">
        <v>402</v>
      </c>
      <c r="S1299" s="2" t="s">
        <v>39</v>
      </c>
      <c r="T1299" s="2" t="s">
        <v>40</v>
      </c>
      <c r="U1299" s="2" t="s">
        <v>10105</v>
      </c>
      <c r="V1299" s="2"/>
      <c r="W1299" s="2" t="s">
        <v>42</v>
      </c>
      <c r="X1299" s="2" t="s">
        <v>43</v>
      </c>
      <c r="Y1299" s="2" t="s">
        <v>37</v>
      </c>
      <c r="Z1299" s="2" t="s">
        <v>44</v>
      </c>
      <c r="AA1299" s="2"/>
      <c r="AB1299" s="2"/>
      <c r="AC1299" s="2" t="s">
        <v>10106</v>
      </c>
      <c r="AD1299" s="2" t="s">
        <v>46</v>
      </c>
    </row>
    <row r="1300" customFormat="false" ht="15.7" hidden="false" customHeight="true" outlineLevel="0" collapsed="false">
      <c r="A1300" s="2"/>
      <c r="B1300" s="3" t="n">
        <f aca="false">DATE(2008,11,11)</f>
        <v>0</v>
      </c>
      <c r="C1300" s="3" t="n">
        <v>39763</v>
      </c>
      <c r="D1300" s="2" t="s">
        <v>10107</v>
      </c>
      <c r="F1300" s="2" t="s">
        <v>10108</v>
      </c>
      <c r="G1300" s="2" t="s">
        <v>10109</v>
      </c>
      <c r="H1300" s="2" t="s">
        <v>2857</v>
      </c>
      <c r="I1300" s="2" t="s">
        <v>51</v>
      </c>
      <c r="J1300" s="2" t="s">
        <v>10110</v>
      </c>
      <c r="K1300" s="2" t="s">
        <v>10107</v>
      </c>
      <c r="L1300" s="2" t="s">
        <v>51</v>
      </c>
      <c r="M1300" s="2" t="s">
        <v>2857</v>
      </c>
      <c r="N1300" s="2" t="s">
        <v>10111</v>
      </c>
      <c r="O1300" s="2"/>
      <c r="P1300" s="2" t="s">
        <v>37</v>
      </c>
      <c r="Q1300" s="4" t="n">
        <v>8731</v>
      </c>
      <c r="R1300" s="2" t="s">
        <v>56</v>
      </c>
      <c r="S1300" s="2" t="s">
        <v>92</v>
      </c>
      <c r="T1300" s="2" t="s">
        <v>40</v>
      </c>
      <c r="U1300" s="2" t="s">
        <v>10112</v>
      </c>
      <c r="V1300" s="2"/>
      <c r="W1300" s="2" t="s">
        <v>42</v>
      </c>
      <c r="X1300" s="2" t="s">
        <v>43</v>
      </c>
      <c r="Y1300" s="2" t="s">
        <v>37</v>
      </c>
      <c r="Z1300" s="2" t="s">
        <v>44</v>
      </c>
      <c r="AA1300" s="2"/>
      <c r="AB1300" s="2"/>
      <c r="AC1300" s="2" t="s">
        <v>10113</v>
      </c>
      <c r="AD1300" s="2" t="s">
        <v>46</v>
      </c>
    </row>
    <row r="1301" customFormat="false" ht="15.7" hidden="false" customHeight="true" outlineLevel="0" collapsed="false">
      <c r="A1301" s="2"/>
      <c r="B1301" s="3" t="n">
        <f aca="false">DATE(2008,11,12)</f>
        <v>0</v>
      </c>
      <c r="C1301" s="3" t="n">
        <v>39764</v>
      </c>
      <c r="D1301" s="2" t="s">
        <v>10114</v>
      </c>
      <c r="F1301" s="2" t="s">
        <v>10115</v>
      </c>
      <c r="G1301" s="2" t="s">
        <v>10116</v>
      </c>
      <c r="H1301" s="2" t="s">
        <v>305</v>
      </c>
      <c r="I1301" s="2" t="s">
        <v>51</v>
      </c>
      <c r="J1301" s="2" t="s">
        <v>2338</v>
      </c>
      <c r="K1301" s="2" t="s">
        <v>10114</v>
      </c>
      <c r="L1301" s="2" t="s">
        <v>51</v>
      </c>
      <c r="M1301" s="2" t="s">
        <v>305</v>
      </c>
      <c r="N1301" s="2" t="s">
        <v>10117</v>
      </c>
      <c r="O1301" s="2"/>
      <c r="P1301" s="2" t="s">
        <v>37</v>
      </c>
      <c r="Q1301" s="4" t="n">
        <v>2836</v>
      </c>
      <c r="R1301" s="2" t="s">
        <v>56</v>
      </c>
      <c r="S1301" s="2" t="s">
        <v>2265</v>
      </c>
      <c r="T1301" s="2" t="s">
        <v>122</v>
      </c>
      <c r="U1301" s="2" t="s">
        <v>10118</v>
      </c>
      <c r="V1301" s="2"/>
      <c r="W1301" s="2" t="s">
        <v>42</v>
      </c>
      <c r="X1301" s="2" t="s">
        <v>43</v>
      </c>
      <c r="Y1301" s="2" t="s">
        <v>37</v>
      </c>
      <c r="Z1301" s="2" t="s">
        <v>44</v>
      </c>
      <c r="AA1301" s="2" t="s">
        <v>10119</v>
      </c>
      <c r="AB1301" s="2"/>
      <c r="AC1301" s="2" t="s">
        <v>10120</v>
      </c>
      <c r="AD1301" s="2" t="s">
        <v>46</v>
      </c>
    </row>
    <row r="1302" customFormat="false" ht="15.7" hidden="false" customHeight="true" outlineLevel="0" collapsed="false">
      <c r="A1302" s="2"/>
      <c r="B1302" s="3" t="n">
        <f aca="false">DATE(2008,11,12)</f>
        <v>0</v>
      </c>
      <c r="C1302" s="3" t="n">
        <v>39764</v>
      </c>
      <c r="D1302" s="2" t="s">
        <v>10121</v>
      </c>
      <c r="F1302" s="2" t="s">
        <v>10122</v>
      </c>
      <c r="G1302" s="2" t="s">
        <v>10123</v>
      </c>
      <c r="H1302" s="2" t="s">
        <v>10124</v>
      </c>
      <c r="I1302" s="2" t="s">
        <v>4008</v>
      </c>
      <c r="J1302" s="2" t="s">
        <v>35</v>
      </c>
      <c r="K1302" s="2" t="s">
        <v>10121</v>
      </c>
      <c r="L1302" s="2" t="s">
        <v>4008</v>
      </c>
      <c r="M1302" s="2" t="s">
        <v>10124</v>
      </c>
      <c r="N1302" s="2" t="s">
        <v>10125</v>
      </c>
      <c r="O1302" s="2"/>
      <c r="P1302" s="2" t="s">
        <v>37</v>
      </c>
      <c r="Q1302" s="4" t="n">
        <v>8732</v>
      </c>
      <c r="R1302" s="2" t="s">
        <v>38</v>
      </c>
      <c r="S1302" s="2" t="s">
        <v>39</v>
      </c>
      <c r="T1302" s="2" t="s">
        <v>40</v>
      </c>
      <c r="U1302" s="2" t="s">
        <v>10126</v>
      </c>
      <c r="V1302" s="2"/>
      <c r="W1302" s="2" t="s">
        <v>42</v>
      </c>
      <c r="X1302" s="2" t="s">
        <v>43</v>
      </c>
      <c r="Y1302" s="2" t="s">
        <v>37</v>
      </c>
      <c r="Z1302" s="2" t="s">
        <v>44</v>
      </c>
      <c r="AA1302" s="2"/>
      <c r="AB1302" s="2"/>
      <c r="AC1302" s="2" t="s">
        <v>10127</v>
      </c>
      <c r="AD1302" s="2" t="s">
        <v>46</v>
      </c>
    </row>
    <row r="1303" customFormat="false" ht="15.7" hidden="false" customHeight="true" outlineLevel="0" collapsed="false">
      <c r="A1303" s="2"/>
      <c r="B1303" s="3" t="n">
        <f aca="false">DATE(2008,11,13)</f>
        <v>0</v>
      </c>
      <c r="C1303" s="3" t="n">
        <v>39765</v>
      </c>
      <c r="D1303" s="2" t="s">
        <v>10128</v>
      </c>
      <c r="F1303" s="2" t="s">
        <v>3534</v>
      </c>
      <c r="G1303" s="2" t="s">
        <v>10129</v>
      </c>
      <c r="H1303" s="2" t="s">
        <v>63</v>
      </c>
      <c r="I1303" s="2" t="s">
        <v>51</v>
      </c>
      <c r="J1303" s="2" t="s">
        <v>306</v>
      </c>
      <c r="K1303" s="2" t="s">
        <v>10128</v>
      </c>
      <c r="L1303" s="2" t="s">
        <v>51</v>
      </c>
      <c r="M1303" s="2" t="s">
        <v>63</v>
      </c>
      <c r="N1303" s="2" t="s">
        <v>10130</v>
      </c>
      <c r="O1303" s="2"/>
      <c r="P1303" s="2" t="s">
        <v>37</v>
      </c>
      <c r="Q1303" s="4" t="n">
        <v>8731</v>
      </c>
      <c r="R1303" s="2" t="s">
        <v>56</v>
      </c>
      <c r="S1303" s="2" t="s">
        <v>92</v>
      </c>
      <c r="T1303" s="2" t="s">
        <v>40</v>
      </c>
      <c r="U1303" s="2" t="s">
        <v>10131</v>
      </c>
      <c r="V1303" s="2"/>
      <c r="W1303" s="2" t="s">
        <v>42</v>
      </c>
      <c r="X1303" s="2" t="s">
        <v>43</v>
      </c>
      <c r="Y1303" s="2" t="s">
        <v>37</v>
      </c>
      <c r="Z1303" s="2" t="s">
        <v>44</v>
      </c>
      <c r="AA1303" s="2"/>
      <c r="AB1303" s="2"/>
      <c r="AC1303" s="2" t="s">
        <v>10132</v>
      </c>
      <c r="AD1303" s="2" t="s">
        <v>46</v>
      </c>
    </row>
    <row r="1304" customFormat="false" ht="15.7" hidden="false" customHeight="true" outlineLevel="0" collapsed="false">
      <c r="A1304" s="2"/>
      <c r="B1304" s="3" t="n">
        <f aca="false">DATE(2008,11,13)</f>
        <v>0</v>
      </c>
      <c r="C1304" s="3" t="n">
        <v>39765</v>
      </c>
      <c r="D1304" s="2" t="s">
        <v>10133</v>
      </c>
      <c r="F1304" s="2" t="s">
        <v>10134</v>
      </c>
      <c r="G1304" s="2" t="s">
        <v>10135</v>
      </c>
      <c r="H1304" s="2" t="s">
        <v>10136</v>
      </c>
      <c r="I1304" s="2" t="s">
        <v>10137</v>
      </c>
      <c r="J1304" s="2" t="s">
        <v>10138</v>
      </c>
      <c r="K1304" s="2" t="s">
        <v>10139</v>
      </c>
      <c r="L1304" s="2" t="s">
        <v>10140</v>
      </c>
      <c r="M1304" s="2" t="s">
        <v>10141</v>
      </c>
      <c r="N1304" s="2" t="s">
        <v>10142</v>
      </c>
      <c r="O1304" s="2"/>
      <c r="P1304" s="2" t="s">
        <v>37</v>
      </c>
      <c r="Q1304" s="4" t="n">
        <v>8732</v>
      </c>
      <c r="R1304" s="2" t="s">
        <v>136</v>
      </c>
      <c r="S1304" s="2" t="s">
        <v>39</v>
      </c>
      <c r="T1304" s="2" t="s">
        <v>40</v>
      </c>
      <c r="U1304" s="2" t="s">
        <v>10143</v>
      </c>
      <c r="V1304" s="2"/>
      <c r="W1304" s="2" t="s">
        <v>42</v>
      </c>
      <c r="X1304" s="2" t="s">
        <v>43</v>
      </c>
      <c r="Y1304" s="2" t="s">
        <v>37</v>
      </c>
      <c r="Z1304" s="2" t="s">
        <v>916</v>
      </c>
      <c r="AA1304" s="2"/>
      <c r="AB1304" s="2"/>
      <c r="AC1304" s="2" t="s">
        <v>10144</v>
      </c>
      <c r="AD1304" s="2" t="s">
        <v>46</v>
      </c>
    </row>
    <row r="1305" customFormat="false" ht="15.7" hidden="false" customHeight="true" outlineLevel="0" collapsed="false">
      <c r="A1305" s="2"/>
      <c r="B1305" s="3" t="n">
        <f aca="false">DATE(2008,11,14)</f>
        <v>0</v>
      </c>
      <c r="C1305" s="3" t="n">
        <v>39766</v>
      </c>
      <c r="D1305" s="2" t="s">
        <v>10145</v>
      </c>
      <c r="F1305" s="2" t="s">
        <v>10146</v>
      </c>
      <c r="G1305" s="2" t="s">
        <v>10147</v>
      </c>
      <c r="H1305" s="2" t="s">
        <v>6296</v>
      </c>
      <c r="I1305" s="2" t="s">
        <v>88</v>
      </c>
      <c r="J1305" s="2" t="s">
        <v>313</v>
      </c>
      <c r="K1305" s="2" t="s">
        <v>10148</v>
      </c>
      <c r="L1305" s="2" t="s">
        <v>88</v>
      </c>
      <c r="M1305" s="2" t="s">
        <v>2274</v>
      </c>
      <c r="N1305" s="2" t="s">
        <v>10149</v>
      </c>
      <c r="O1305" s="2"/>
      <c r="P1305" s="2" t="s">
        <v>37</v>
      </c>
      <c r="Q1305" s="4" t="n">
        <v>8731</v>
      </c>
      <c r="R1305" s="2" t="s">
        <v>136</v>
      </c>
      <c r="S1305" s="2" t="s">
        <v>39</v>
      </c>
      <c r="T1305" s="2" t="s">
        <v>40</v>
      </c>
      <c r="U1305" s="2" t="s">
        <v>10150</v>
      </c>
      <c r="V1305" s="2"/>
      <c r="W1305" s="2" t="s">
        <v>42</v>
      </c>
      <c r="X1305" s="2" t="s">
        <v>43</v>
      </c>
      <c r="Y1305" s="2" t="s">
        <v>37</v>
      </c>
      <c r="Z1305" s="2" t="s">
        <v>44</v>
      </c>
      <c r="AA1305" s="2"/>
      <c r="AB1305" s="2"/>
      <c r="AC1305" s="2" t="s">
        <v>10151</v>
      </c>
      <c r="AD1305" s="2" t="s">
        <v>46</v>
      </c>
    </row>
    <row r="1306" customFormat="false" ht="15.7" hidden="false" customHeight="true" outlineLevel="0" collapsed="false">
      <c r="A1306" s="2"/>
      <c r="B1306" s="3" t="n">
        <f aca="false">DATE(2008,11,17)</f>
        <v>0</v>
      </c>
      <c r="C1306" s="3" t="n">
        <v>39769</v>
      </c>
      <c r="D1306" s="2" t="s">
        <v>10152</v>
      </c>
      <c r="F1306" s="2" t="s">
        <v>1902</v>
      </c>
      <c r="G1306" s="2" t="s">
        <v>10153</v>
      </c>
      <c r="H1306" s="2" t="s">
        <v>130</v>
      </c>
      <c r="I1306" s="2" t="s">
        <v>51</v>
      </c>
      <c r="J1306" s="2" t="s">
        <v>10154</v>
      </c>
      <c r="K1306" s="2" t="s">
        <v>10155</v>
      </c>
      <c r="L1306" s="2" t="s">
        <v>51</v>
      </c>
      <c r="M1306" s="2" t="s">
        <v>230</v>
      </c>
      <c r="N1306" s="2" t="s">
        <v>10156</v>
      </c>
      <c r="O1306" s="2"/>
      <c r="P1306" s="2" t="s">
        <v>37</v>
      </c>
      <c r="Q1306" s="4" t="n">
        <v>8731</v>
      </c>
      <c r="R1306" s="2" t="s">
        <v>136</v>
      </c>
      <c r="S1306" s="2" t="s">
        <v>39</v>
      </c>
      <c r="T1306" s="2" t="s">
        <v>40</v>
      </c>
      <c r="U1306" s="2" t="s">
        <v>10157</v>
      </c>
      <c r="V1306" s="2"/>
      <c r="W1306" s="2" t="s">
        <v>42</v>
      </c>
      <c r="X1306" s="2" t="s">
        <v>43</v>
      </c>
      <c r="Y1306" s="2" t="s">
        <v>37</v>
      </c>
      <c r="Z1306" s="2" t="s">
        <v>44</v>
      </c>
      <c r="AA1306" s="2"/>
      <c r="AB1306" s="2"/>
      <c r="AC1306" s="2" t="s">
        <v>10158</v>
      </c>
      <c r="AD1306" s="2" t="s">
        <v>46</v>
      </c>
    </row>
    <row r="1307" customFormat="false" ht="15.7" hidden="false" customHeight="true" outlineLevel="0" collapsed="false">
      <c r="A1307" s="2"/>
      <c r="B1307" s="3" t="n">
        <f aca="false">DATE(2008,11,20)</f>
        <v>0</v>
      </c>
      <c r="C1307" s="3" t="n">
        <v>39772</v>
      </c>
      <c r="D1307" s="2" t="s">
        <v>10159</v>
      </c>
      <c r="F1307" s="2" t="s">
        <v>10160</v>
      </c>
      <c r="G1307" s="2" t="s">
        <v>10161</v>
      </c>
      <c r="H1307" s="2" t="s">
        <v>2918</v>
      </c>
      <c r="I1307" s="2" t="s">
        <v>2642</v>
      </c>
      <c r="J1307" s="2" t="s">
        <v>10162</v>
      </c>
      <c r="K1307" s="2" t="s">
        <v>10159</v>
      </c>
      <c r="L1307" s="2" t="s">
        <v>2642</v>
      </c>
      <c r="M1307" s="2" t="s">
        <v>2918</v>
      </c>
      <c r="N1307" s="2" t="s">
        <v>10163</v>
      </c>
      <c r="O1307" s="2"/>
      <c r="P1307" s="2" t="s">
        <v>37</v>
      </c>
      <c r="Q1307" s="4" t="n">
        <v>8733</v>
      </c>
      <c r="R1307" s="2" t="s">
        <v>136</v>
      </c>
      <c r="S1307" s="2" t="s">
        <v>39</v>
      </c>
      <c r="T1307" s="2" t="s">
        <v>122</v>
      </c>
      <c r="U1307" s="2" t="s">
        <v>10164</v>
      </c>
      <c r="V1307" s="2"/>
      <c r="W1307" s="2" t="s">
        <v>42</v>
      </c>
      <c r="X1307" s="2" t="s">
        <v>43</v>
      </c>
      <c r="Y1307" s="2" t="s">
        <v>37</v>
      </c>
      <c r="Z1307" s="2" t="s">
        <v>916</v>
      </c>
      <c r="AA1307" s="2"/>
      <c r="AB1307" s="2"/>
      <c r="AC1307" s="2" t="s">
        <v>10165</v>
      </c>
      <c r="AD1307" s="2" t="s">
        <v>46</v>
      </c>
    </row>
    <row r="1308" customFormat="false" ht="15.7" hidden="false" customHeight="true" outlineLevel="0" collapsed="false">
      <c r="A1308" s="2"/>
      <c r="B1308" s="3" t="n">
        <f aca="false">DATE(2008,11,20)</f>
        <v>0</v>
      </c>
      <c r="C1308" s="3" t="n">
        <v>39772</v>
      </c>
      <c r="D1308" s="2" t="s">
        <v>10166</v>
      </c>
      <c r="F1308" s="2" t="s">
        <v>10167</v>
      </c>
      <c r="G1308" s="2" t="s">
        <v>10168</v>
      </c>
      <c r="H1308" s="2" t="s">
        <v>2918</v>
      </c>
      <c r="I1308" s="2" t="s">
        <v>10169</v>
      </c>
      <c r="J1308" s="2" t="s">
        <v>10170</v>
      </c>
      <c r="K1308" s="2" t="s">
        <v>10166</v>
      </c>
      <c r="L1308" s="2" t="s">
        <v>10169</v>
      </c>
      <c r="M1308" s="2" t="s">
        <v>2918</v>
      </c>
      <c r="N1308" s="2" t="s">
        <v>10171</v>
      </c>
      <c r="O1308" s="2"/>
      <c r="P1308" s="2" t="s">
        <v>37</v>
      </c>
      <c r="Q1308" s="4" t="n">
        <v>8731</v>
      </c>
      <c r="R1308" s="2" t="s">
        <v>136</v>
      </c>
      <c r="S1308" s="2" t="s">
        <v>39</v>
      </c>
      <c r="T1308" s="2" t="s">
        <v>40</v>
      </c>
      <c r="U1308" s="2" t="s">
        <v>10172</v>
      </c>
      <c r="V1308" s="2"/>
      <c r="W1308" s="2" t="s">
        <v>42</v>
      </c>
      <c r="X1308" s="2" t="s">
        <v>43</v>
      </c>
      <c r="Y1308" s="2" t="s">
        <v>37</v>
      </c>
      <c r="Z1308" s="2" t="s">
        <v>916</v>
      </c>
      <c r="AA1308" s="2"/>
      <c r="AB1308" s="2"/>
      <c r="AC1308" s="2" t="s">
        <v>10173</v>
      </c>
      <c r="AD1308" s="2" t="s">
        <v>46</v>
      </c>
    </row>
    <row r="1309" customFormat="false" ht="15.7" hidden="false" customHeight="true" outlineLevel="0" collapsed="false">
      <c r="A1309" s="2"/>
      <c r="B1309" s="3" t="n">
        <f aca="false">DATE(2008,11,21)</f>
        <v>0</v>
      </c>
      <c r="C1309" s="3" t="n">
        <v>39773</v>
      </c>
      <c r="D1309" s="2" t="s">
        <v>10174</v>
      </c>
      <c r="F1309" s="2" t="s">
        <v>10175</v>
      </c>
      <c r="G1309" s="2" t="s">
        <v>10176</v>
      </c>
      <c r="H1309" s="2" t="s">
        <v>63</v>
      </c>
      <c r="I1309" s="2" t="s">
        <v>2590</v>
      </c>
      <c r="J1309" s="2" t="s">
        <v>35</v>
      </c>
      <c r="K1309" s="2" t="s">
        <v>10177</v>
      </c>
      <c r="L1309" s="2" t="s">
        <v>2590</v>
      </c>
      <c r="M1309" s="2" t="s">
        <v>130</v>
      </c>
      <c r="N1309" s="2" t="s">
        <v>10178</v>
      </c>
      <c r="O1309" s="2"/>
      <c r="P1309" s="2" t="s">
        <v>37</v>
      </c>
      <c r="Q1309" s="4" t="n">
        <v>8731</v>
      </c>
      <c r="R1309" s="2" t="s">
        <v>402</v>
      </c>
      <c r="S1309" s="2" t="s">
        <v>39</v>
      </c>
      <c r="T1309" s="2" t="s">
        <v>403</v>
      </c>
      <c r="U1309" s="2" t="s">
        <v>10179</v>
      </c>
      <c r="V1309" s="2"/>
      <c r="W1309" s="2" t="s">
        <v>42</v>
      </c>
      <c r="X1309" s="2" t="s">
        <v>46</v>
      </c>
      <c r="Y1309" s="2" t="s">
        <v>37</v>
      </c>
      <c r="Z1309" s="2" t="s">
        <v>2732</v>
      </c>
      <c r="AA1309" s="2" t="s">
        <v>10180</v>
      </c>
      <c r="AB1309" s="2"/>
      <c r="AC1309" s="2" t="s">
        <v>10181</v>
      </c>
      <c r="AD1309" s="2" t="s">
        <v>46</v>
      </c>
    </row>
    <row r="1310" customFormat="false" ht="15.7" hidden="false" customHeight="true" outlineLevel="0" collapsed="false">
      <c r="A1310" s="2"/>
      <c r="B1310" s="3" t="n">
        <f aca="false">DATE(2008,11,21)</f>
        <v>0</v>
      </c>
      <c r="C1310" s="3" t="n">
        <v>39773</v>
      </c>
      <c r="D1310" s="2" t="s">
        <v>10182</v>
      </c>
      <c r="F1310" s="2" t="s">
        <v>10183</v>
      </c>
      <c r="G1310" s="2" t="s">
        <v>10184</v>
      </c>
      <c r="H1310" s="2" t="s">
        <v>10185</v>
      </c>
      <c r="I1310" s="2" t="s">
        <v>2590</v>
      </c>
      <c r="J1310" s="2" t="s">
        <v>35</v>
      </c>
      <c r="K1310" s="2" t="s">
        <v>10186</v>
      </c>
      <c r="L1310" s="2" t="s">
        <v>2590</v>
      </c>
      <c r="M1310" s="2" t="s">
        <v>10187</v>
      </c>
      <c r="N1310" s="2" t="s">
        <v>10188</v>
      </c>
      <c r="O1310" s="2"/>
      <c r="P1310" s="2" t="s">
        <v>37</v>
      </c>
      <c r="Q1310" s="4" t="n">
        <v>8732</v>
      </c>
      <c r="R1310" s="2" t="s">
        <v>136</v>
      </c>
      <c r="S1310" s="2" t="s">
        <v>39</v>
      </c>
      <c r="T1310" s="2" t="s">
        <v>40</v>
      </c>
      <c r="U1310" s="2" t="s">
        <v>10189</v>
      </c>
      <c r="V1310" s="2"/>
      <c r="W1310" s="2" t="s">
        <v>42</v>
      </c>
      <c r="X1310" s="2" t="s">
        <v>43</v>
      </c>
      <c r="Y1310" s="2" t="s">
        <v>37</v>
      </c>
      <c r="Z1310" s="2" t="s">
        <v>44</v>
      </c>
      <c r="AA1310" s="2"/>
      <c r="AB1310" s="2"/>
      <c r="AC1310" s="2" t="s">
        <v>10190</v>
      </c>
      <c r="AD1310" s="2" t="s">
        <v>46</v>
      </c>
    </row>
    <row r="1311" customFormat="false" ht="15.7" hidden="false" customHeight="true" outlineLevel="0" collapsed="false">
      <c r="A1311" s="2"/>
      <c r="B1311" s="3" t="n">
        <f aca="false">DATE(2008,11,24)</f>
        <v>0</v>
      </c>
      <c r="C1311" s="3" t="n">
        <v>39776</v>
      </c>
      <c r="D1311" s="2" t="s">
        <v>10191</v>
      </c>
      <c r="F1311" s="2" t="s">
        <v>7325</v>
      </c>
      <c r="G1311" s="2" t="s">
        <v>10192</v>
      </c>
      <c r="H1311" s="2" t="s">
        <v>387</v>
      </c>
      <c r="I1311" s="2" t="s">
        <v>459</v>
      </c>
      <c r="J1311" s="2" t="s">
        <v>35</v>
      </c>
      <c r="K1311" s="2" t="s">
        <v>10191</v>
      </c>
      <c r="L1311" s="2" t="s">
        <v>459</v>
      </c>
      <c r="M1311" s="2" t="s">
        <v>387</v>
      </c>
      <c r="N1311" s="2" t="s">
        <v>10193</v>
      </c>
      <c r="O1311" s="2"/>
      <c r="P1311" s="2" t="s">
        <v>37</v>
      </c>
      <c r="Q1311" s="4" t="n">
        <v>8731</v>
      </c>
      <c r="R1311" s="2" t="s">
        <v>461</v>
      </c>
      <c r="S1311" s="2" t="s">
        <v>39</v>
      </c>
      <c r="T1311" s="2" t="s">
        <v>40</v>
      </c>
      <c r="U1311" s="2" t="s">
        <v>10194</v>
      </c>
      <c r="V1311" s="2"/>
      <c r="W1311" s="2" t="s">
        <v>42</v>
      </c>
      <c r="X1311" s="2" t="s">
        <v>43</v>
      </c>
      <c r="Y1311" s="2" t="s">
        <v>37</v>
      </c>
      <c r="Z1311" s="2" t="s">
        <v>44</v>
      </c>
      <c r="AA1311" s="2"/>
      <c r="AB1311" s="2"/>
      <c r="AC1311" s="2" t="s">
        <v>10195</v>
      </c>
      <c r="AD1311" s="2" t="s">
        <v>46</v>
      </c>
    </row>
    <row r="1312" customFormat="false" ht="15.7" hidden="false" customHeight="true" outlineLevel="0" collapsed="false">
      <c r="A1312" s="2"/>
      <c r="B1312" s="3" t="n">
        <f aca="false">DATE(2008,11,24)</f>
        <v>0</v>
      </c>
      <c r="C1312" s="3" t="n">
        <v>39776</v>
      </c>
      <c r="D1312" s="2" t="s">
        <v>10196</v>
      </c>
      <c r="F1312" s="2" t="s">
        <v>10197</v>
      </c>
      <c r="G1312" s="2" t="s">
        <v>10198</v>
      </c>
      <c r="H1312" s="2" t="s">
        <v>3313</v>
      </c>
      <c r="I1312" s="2" t="s">
        <v>51</v>
      </c>
      <c r="J1312" s="2" t="s">
        <v>6303</v>
      </c>
      <c r="K1312" s="2" t="s">
        <v>10196</v>
      </c>
      <c r="L1312" s="2" t="s">
        <v>51</v>
      </c>
      <c r="M1312" s="2" t="s">
        <v>3313</v>
      </c>
      <c r="N1312" s="2" t="s">
        <v>10199</v>
      </c>
      <c r="O1312" s="2"/>
      <c r="P1312" s="2" t="s">
        <v>37</v>
      </c>
      <c r="Q1312" s="4" t="n">
        <v>8731</v>
      </c>
      <c r="R1312" s="2" t="s">
        <v>56</v>
      </c>
      <c r="S1312" s="2" t="s">
        <v>92</v>
      </c>
      <c r="T1312" s="2" t="s">
        <v>40</v>
      </c>
      <c r="U1312" s="2" t="s">
        <v>10200</v>
      </c>
      <c r="V1312" s="2"/>
      <c r="W1312" s="2" t="s">
        <v>138</v>
      </c>
      <c r="X1312" s="2" t="s">
        <v>43</v>
      </c>
      <c r="Y1312" s="2" t="s">
        <v>37</v>
      </c>
      <c r="Z1312" s="2" t="s">
        <v>44</v>
      </c>
      <c r="AA1312" s="2"/>
      <c r="AB1312" s="2"/>
      <c r="AC1312" s="2" t="s">
        <v>10201</v>
      </c>
      <c r="AD1312" s="2" t="s">
        <v>46</v>
      </c>
    </row>
    <row r="1313" customFormat="false" ht="15.7" hidden="false" customHeight="true" outlineLevel="0" collapsed="false">
      <c r="A1313" s="2"/>
      <c r="B1313" s="3" t="n">
        <f aca="false">DATE(2008,11,25)</f>
        <v>0</v>
      </c>
      <c r="C1313" s="3" t="n">
        <v>39777</v>
      </c>
      <c r="D1313" s="2" t="s">
        <v>10202</v>
      </c>
      <c r="F1313" s="2" t="s">
        <v>10203</v>
      </c>
      <c r="G1313" s="2" t="s">
        <v>10204</v>
      </c>
      <c r="H1313" s="2" t="s">
        <v>10205</v>
      </c>
      <c r="I1313" s="2" t="s">
        <v>51</v>
      </c>
      <c r="J1313" s="2" t="s">
        <v>171</v>
      </c>
      <c r="K1313" s="2" t="s">
        <v>10202</v>
      </c>
      <c r="L1313" s="2" t="s">
        <v>51</v>
      </c>
      <c r="M1313" s="2" t="s">
        <v>10205</v>
      </c>
      <c r="N1313" s="2" t="s">
        <v>10206</v>
      </c>
      <c r="O1313" s="2"/>
      <c r="P1313" s="2" t="s">
        <v>37</v>
      </c>
      <c r="Q1313" s="4" t="n">
        <v>8731</v>
      </c>
      <c r="R1313" s="2" t="s">
        <v>56</v>
      </c>
      <c r="S1313" s="2" t="s">
        <v>92</v>
      </c>
      <c r="T1313" s="2" t="s">
        <v>40</v>
      </c>
      <c r="U1313" s="2" t="s">
        <v>10207</v>
      </c>
      <c r="V1313" s="2"/>
      <c r="W1313" s="2" t="s">
        <v>42</v>
      </c>
      <c r="X1313" s="2" t="s">
        <v>43</v>
      </c>
      <c r="Y1313" s="2" t="s">
        <v>37</v>
      </c>
      <c r="Z1313" s="2" t="s">
        <v>44</v>
      </c>
      <c r="AA1313" s="2"/>
      <c r="AB1313" s="2"/>
      <c r="AC1313" s="2" t="s">
        <v>10208</v>
      </c>
      <c r="AD1313" s="2" t="s">
        <v>46</v>
      </c>
    </row>
    <row r="1314" customFormat="false" ht="15.7" hidden="false" customHeight="true" outlineLevel="0" collapsed="false">
      <c r="A1314" s="2"/>
      <c r="B1314" s="3" t="n">
        <f aca="false">DATE(2008,11,25)</f>
        <v>0</v>
      </c>
      <c r="C1314" s="3" t="n">
        <v>39777</v>
      </c>
      <c r="D1314" s="2" t="s">
        <v>10209</v>
      </c>
      <c r="F1314" s="2" t="s">
        <v>10210</v>
      </c>
      <c r="G1314" s="2" t="s">
        <v>10211</v>
      </c>
      <c r="H1314" s="2" t="s">
        <v>684</v>
      </c>
      <c r="I1314" s="2" t="s">
        <v>51</v>
      </c>
      <c r="J1314" s="2" t="s">
        <v>10212</v>
      </c>
      <c r="K1314" s="2" t="s">
        <v>10209</v>
      </c>
      <c r="L1314" s="2" t="s">
        <v>51</v>
      </c>
      <c r="M1314" s="2" t="s">
        <v>684</v>
      </c>
      <c r="N1314" s="2" t="s">
        <v>10213</v>
      </c>
      <c r="O1314" s="2"/>
      <c r="P1314" s="2" t="s">
        <v>37</v>
      </c>
      <c r="Q1314" s="4" t="n">
        <v>8731</v>
      </c>
      <c r="R1314" s="2" t="s">
        <v>56</v>
      </c>
      <c r="S1314" s="2" t="s">
        <v>8809</v>
      </c>
      <c r="T1314" s="2" t="s">
        <v>40</v>
      </c>
      <c r="U1314" s="2" t="s">
        <v>10214</v>
      </c>
      <c r="V1314" s="2"/>
      <c r="W1314" s="2" t="s">
        <v>42</v>
      </c>
      <c r="X1314" s="2" t="s">
        <v>43</v>
      </c>
      <c r="Y1314" s="2" t="s">
        <v>37</v>
      </c>
      <c r="Z1314" s="2" t="s">
        <v>44</v>
      </c>
      <c r="AA1314" s="2"/>
      <c r="AB1314" s="2"/>
      <c r="AC1314" s="2" t="s">
        <v>10215</v>
      </c>
      <c r="AD1314" s="2" t="s">
        <v>46</v>
      </c>
    </row>
    <row r="1315" customFormat="false" ht="15.7" hidden="false" customHeight="true" outlineLevel="0" collapsed="false">
      <c r="A1315" s="2"/>
      <c r="B1315" s="3" t="n">
        <f aca="false">DATE(2008,11,25)</f>
        <v>0</v>
      </c>
      <c r="C1315" s="3" t="n">
        <v>39777</v>
      </c>
      <c r="D1315" s="2" t="s">
        <v>10216</v>
      </c>
      <c r="F1315" s="2" t="s">
        <v>10217</v>
      </c>
      <c r="G1315" s="2" t="s">
        <v>10218</v>
      </c>
      <c r="H1315" s="2" t="s">
        <v>551</v>
      </c>
      <c r="I1315" s="2" t="s">
        <v>7014</v>
      </c>
      <c r="J1315" s="2" t="s">
        <v>35</v>
      </c>
      <c r="K1315" s="2" t="s">
        <v>10216</v>
      </c>
      <c r="L1315" s="2" t="s">
        <v>7014</v>
      </c>
      <c r="M1315" s="2" t="s">
        <v>551</v>
      </c>
      <c r="N1315" s="2" t="s">
        <v>10219</v>
      </c>
      <c r="O1315" s="2"/>
      <c r="P1315" s="2" t="s">
        <v>37</v>
      </c>
      <c r="Q1315" s="4" t="n">
        <v>8731</v>
      </c>
      <c r="R1315" s="2" t="s">
        <v>1448</v>
      </c>
      <c r="S1315" s="2" t="s">
        <v>39</v>
      </c>
      <c r="T1315" s="2" t="s">
        <v>40</v>
      </c>
      <c r="U1315" s="2" t="s">
        <v>10220</v>
      </c>
      <c r="V1315" s="2"/>
      <c r="W1315" s="2" t="s">
        <v>42</v>
      </c>
      <c r="X1315" s="2" t="s">
        <v>43</v>
      </c>
      <c r="Y1315" s="2" t="s">
        <v>37</v>
      </c>
      <c r="Z1315" s="2" t="s">
        <v>44</v>
      </c>
      <c r="AA1315" s="2"/>
      <c r="AB1315" s="2"/>
      <c r="AC1315" s="2" t="s">
        <v>10221</v>
      </c>
      <c r="AD1315" s="2" t="s">
        <v>46</v>
      </c>
    </row>
    <row r="1316" customFormat="false" ht="15.7" hidden="false" customHeight="true" outlineLevel="0" collapsed="false">
      <c r="A1316" s="2"/>
      <c r="B1316" s="3" t="n">
        <f aca="false">DATE(2008,11,26)</f>
        <v>0</v>
      </c>
      <c r="C1316" s="3" t="n">
        <v>39778</v>
      </c>
      <c r="D1316" s="2" t="s">
        <v>10222</v>
      </c>
      <c r="F1316" s="2" t="s">
        <v>10223</v>
      </c>
      <c r="G1316" s="2" t="s">
        <v>10224</v>
      </c>
      <c r="H1316" s="2" t="s">
        <v>10225</v>
      </c>
      <c r="I1316" s="2" t="s">
        <v>2590</v>
      </c>
      <c r="J1316" s="2" t="s">
        <v>35</v>
      </c>
      <c r="K1316" s="2" t="s">
        <v>10226</v>
      </c>
      <c r="L1316" s="2" t="s">
        <v>2590</v>
      </c>
      <c r="M1316" s="2" t="s">
        <v>10227</v>
      </c>
      <c r="N1316" s="2" t="s">
        <v>10228</v>
      </c>
      <c r="O1316" s="2"/>
      <c r="P1316" s="2" t="s">
        <v>37</v>
      </c>
      <c r="Q1316" s="4" t="n">
        <v>8731</v>
      </c>
      <c r="R1316" s="2" t="s">
        <v>402</v>
      </c>
      <c r="S1316" s="2" t="s">
        <v>39</v>
      </c>
      <c r="T1316" s="2" t="s">
        <v>403</v>
      </c>
      <c r="U1316" s="2" t="s">
        <v>10229</v>
      </c>
      <c r="V1316" s="2"/>
      <c r="W1316" s="2" t="s">
        <v>42</v>
      </c>
      <c r="X1316" s="2" t="s">
        <v>46</v>
      </c>
      <c r="Y1316" s="2" t="s">
        <v>37</v>
      </c>
      <c r="Z1316" s="2" t="s">
        <v>987</v>
      </c>
      <c r="AA1316" s="2"/>
      <c r="AB1316" s="2"/>
      <c r="AC1316" s="2" t="s">
        <v>10230</v>
      </c>
      <c r="AD1316" s="2" t="s">
        <v>46</v>
      </c>
    </row>
    <row r="1317" customFormat="false" ht="15.7" hidden="false" customHeight="true" outlineLevel="0" collapsed="false">
      <c r="A1317" s="2"/>
      <c r="B1317" s="3" t="n">
        <f aca="false">DATE(2008,11,26)</f>
        <v>0</v>
      </c>
      <c r="C1317" s="3" t="n">
        <v>39778</v>
      </c>
      <c r="D1317" s="2" t="s">
        <v>10231</v>
      </c>
      <c r="F1317" s="2" t="s">
        <v>10232</v>
      </c>
      <c r="G1317" s="2" t="s">
        <v>10233</v>
      </c>
      <c r="H1317" s="2" t="s">
        <v>305</v>
      </c>
      <c r="I1317" s="2" t="s">
        <v>9614</v>
      </c>
      <c r="J1317" s="2" t="s">
        <v>35</v>
      </c>
      <c r="K1317" s="2" t="s">
        <v>10231</v>
      </c>
      <c r="L1317" s="2" t="s">
        <v>9614</v>
      </c>
      <c r="M1317" s="2" t="s">
        <v>305</v>
      </c>
      <c r="N1317" s="2" t="s">
        <v>10234</v>
      </c>
      <c r="O1317" s="2"/>
      <c r="P1317" s="2" t="s">
        <v>37</v>
      </c>
      <c r="Q1317" s="4" t="n">
        <v>8731</v>
      </c>
      <c r="R1317" s="2" t="s">
        <v>136</v>
      </c>
      <c r="S1317" s="2" t="s">
        <v>39</v>
      </c>
      <c r="T1317" s="2" t="s">
        <v>40</v>
      </c>
      <c r="U1317" s="2" t="s">
        <v>10235</v>
      </c>
      <c r="V1317" s="2"/>
      <c r="W1317" s="2" t="s">
        <v>42</v>
      </c>
      <c r="X1317" s="2" t="s">
        <v>43</v>
      </c>
      <c r="Y1317" s="2" t="s">
        <v>37</v>
      </c>
      <c r="Z1317" s="2" t="s">
        <v>44</v>
      </c>
      <c r="AA1317" s="2"/>
      <c r="AB1317" s="2"/>
      <c r="AC1317" s="2" t="s">
        <v>10236</v>
      </c>
      <c r="AD1317" s="2" t="s">
        <v>46</v>
      </c>
    </row>
    <row r="1318" customFormat="false" ht="15.7" hidden="false" customHeight="true" outlineLevel="0" collapsed="false">
      <c r="A1318" s="2"/>
      <c r="B1318" s="3" t="n">
        <f aca="false">DATE(2008,11,26)</f>
        <v>0</v>
      </c>
      <c r="C1318" s="3" t="n">
        <v>39778</v>
      </c>
      <c r="D1318" s="2" t="s">
        <v>10237</v>
      </c>
      <c r="F1318" s="2" t="s">
        <v>10238</v>
      </c>
      <c r="G1318" s="2" t="s">
        <v>10239</v>
      </c>
      <c r="H1318" s="2" t="s">
        <v>9917</v>
      </c>
      <c r="I1318" s="2" t="s">
        <v>10240</v>
      </c>
      <c r="J1318" s="2" t="s">
        <v>116</v>
      </c>
      <c r="K1318" s="2" t="s">
        <v>10237</v>
      </c>
      <c r="L1318" s="2" t="s">
        <v>10240</v>
      </c>
      <c r="M1318" s="2" t="s">
        <v>9917</v>
      </c>
      <c r="N1318" s="2" t="s">
        <v>10241</v>
      </c>
      <c r="O1318" s="2"/>
      <c r="P1318" s="2" t="s">
        <v>37</v>
      </c>
      <c r="Q1318" s="4" t="n">
        <v>8731</v>
      </c>
      <c r="R1318" s="2" t="s">
        <v>136</v>
      </c>
      <c r="S1318" s="2" t="s">
        <v>39</v>
      </c>
      <c r="T1318" s="2" t="s">
        <v>40</v>
      </c>
      <c r="U1318" s="2" t="s">
        <v>10242</v>
      </c>
      <c r="V1318" s="2"/>
      <c r="W1318" s="2" t="s">
        <v>42</v>
      </c>
      <c r="X1318" s="2" t="s">
        <v>43</v>
      </c>
      <c r="Y1318" s="2" t="s">
        <v>37</v>
      </c>
      <c r="Z1318" s="2" t="s">
        <v>916</v>
      </c>
      <c r="AA1318" s="2"/>
      <c r="AB1318" s="2"/>
      <c r="AC1318" s="2" t="s">
        <v>10243</v>
      </c>
      <c r="AD1318" s="2" t="s">
        <v>46</v>
      </c>
    </row>
    <row r="1319" customFormat="false" ht="15.7" hidden="false" customHeight="true" outlineLevel="0" collapsed="false">
      <c r="A1319" s="2"/>
      <c r="B1319" s="3" t="n">
        <f aca="false">DATE(2008,11,27)</f>
        <v>0</v>
      </c>
      <c r="C1319" s="3" t="n">
        <v>39779</v>
      </c>
      <c r="D1319" s="2" t="s">
        <v>10244</v>
      </c>
      <c r="F1319" s="2" t="s">
        <v>10245</v>
      </c>
      <c r="G1319" s="2" t="s">
        <v>10246</v>
      </c>
      <c r="H1319" s="2" t="s">
        <v>305</v>
      </c>
      <c r="I1319" s="2" t="s">
        <v>10247</v>
      </c>
      <c r="J1319" s="2" t="s">
        <v>35</v>
      </c>
      <c r="K1319" s="2" t="s">
        <v>10244</v>
      </c>
      <c r="L1319" s="2" t="s">
        <v>10247</v>
      </c>
      <c r="M1319" s="2" t="s">
        <v>305</v>
      </c>
      <c r="N1319" s="2" t="s">
        <v>10248</v>
      </c>
      <c r="O1319" s="2"/>
      <c r="P1319" s="2" t="s">
        <v>37</v>
      </c>
      <c r="Q1319" s="4" t="n">
        <v>8731</v>
      </c>
      <c r="R1319" s="2" t="s">
        <v>136</v>
      </c>
      <c r="S1319" s="2" t="s">
        <v>39</v>
      </c>
      <c r="T1319" s="2" t="s">
        <v>40</v>
      </c>
      <c r="U1319" s="2" t="s">
        <v>10249</v>
      </c>
      <c r="V1319" s="2"/>
      <c r="W1319" s="2" t="s">
        <v>42</v>
      </c>
      <c r="X1319" s="2" t="s">
        <v>43</v>
      </c>
      <c r="Y1319" s="2" t="s">
        <v>37</v>
      </c>
      <c r="Z1319" s="2" t="s">
        <v>44</v>
      </c>
      <c r="AA1319" s="2"/>
      <c r="AB1319" s="2"/>
      <c r="AC1319" s="2" t="s">
        <v>10250</v>
      </c>
      <c r="AD1319" s="2" t="s">
        <v>46</v>
      </c>
    </row>
    <row r="1320" customFormat="false" ht="15.7" hidden="false" customHeight="true" outlineLevel="0" collapsed="false">
      <c r="A1320" s="2"/>
      <c r="B1320" s="3" t="n">
        <f aca="false">DATE(2008,11,28)</f>
        <v>0</v>
      </c>
      <c r="C1320" s="3" t="n">
        <v>39780</v>
      </c>
      <c r="D1320" s="2" t="s">
        <v>10251</v>
      </c>
      <c r="F1320" s="2" t="s">
        <v>10252</v>
      </c>
      <c r="G1320" s="2" t="s">
        <v>10253</v>
      </c>
      <c r="H1320" s="2" t="s">
        <v>2857</v>
      </c>
      <c r="I1320" s="2" t="s">
        <v>51</v>
      </c>
      <c r="J1320" s="2" t="s">
        <v>171</v>
      </c>
      <c r="K1320" s="2" t="s">
        <v>10251</v>
      </c>
      <c r="L1320" s="2" t="s">
        <v>51</v>
      </c>
      <c r="M1320" s="2" t="s">
        <v>2857</v>
      </c>
      <c r="N1320" s="2" t="s">
        <v>10254</v>
      </c>
      <c r="O1320" s="2"/>
      <c r="P1320" s="2" t="s">
        <v>37</v>
      </c>
      <c r="Q1320" s="4" t="n">
        <v>8731</v>
      </c>
      <c r="R1320" s="2" t="s">
        <v>56</v>
      </c>
      <c r="S1320" s="2" t="s">
        <v>92</v>
      </c>
      <c r="T1320" s="2" t="s">
        <v>40</v>
      </c>
      <c r="U1320" s="2" t="s">
        <v>10255</v>
      </c>
      <c r="V1320" s="2"/>
      <c r="W1320" s="2" t="s">
        <v>42</v>
      </c>
      <c r="X1320" s="2" t="s">
        <v>43</v>
      </c>
      <c r="Y1320" s="2" t="s">
        <v>37</v>
      </c>
      <c r="Z1320" s="2" t="s">
        <v>44</v>
      </c>
      <c r="AA1320" s="2"/>
      <c r="AB1320" s="2"/>
      <c r="AC1320" s="2" t="s">
        <v>10256</v>
      </c>
      <c r="AD1320" s="2" t="s">
        <v>46</v>
      </c>
    </row>
    <row r="1321" customFormat="false" ht="15.7" hidden="false" customHeight="true" outlineLevel="0" collapsed="false">
      <c r="A1321" s="2"/>
      <c r="B1321" s="3" t="n">
        <f aca="false">DATE(2008,12,1)</f>
        <v>0</v>
      </c>
      <c r="C1321" s="3" t="n">
        <v>39783</v>
      </c>
      <c r="D1321" s="2" t="s">
        <v>10257</v>
      </c>
      <c r="F1321" s="2" t="s">
        <v>10258</v>
      </c>
      <c r="G1321" s="2" t="s">
        <v>10259</v>
      </c>
      <c r="H1321" s="2" t="s">
        <v>130</v>
      </c>
      <c r="I1321" s="2" t="s">
        <v>388</v>
      </c>
      <c r="J1321" s="2" t="s">
        <v>220</v>
      </c>
      <c r="K1321" s="2" t="s">
        <v>10257</v>
      </c>
      <c r="L1321" s="2" t="s">
        <v>388</v>
      </c>
      <c r="M1321" s="2" t="s">
        <v>130</v>
      </c>
      <c r="N1321" s="2" t="s">
        <v>10260</v>
      </c>
      <c r="O1321" s="2"/>
      <c r="P1321" s="2" t="s">
        <v>37</v>
      </c>
      <c r="Q1321" s="4" t="n">
        <v>8731</v>
      </c>
      <c r="R1321" s="2" t="s">
        <v>136</v>
      </c>
      <c r="S1321" s="2" t="s">
        <v>39</v>
      </c>
      <c r="T1321" s="2" t="s">
        <v>40</v>
      </c>
      <c r="U1321" s="2" t="s">
        <v>10261</v>
      </c>
      <c r="V1321" s="2"/>
      <c r="W1321" s="2" t="s">
        <v>42</v>
      </c>
      <c r="X1321" s="2" t="s">
        <v>43</v>
      </c>
      <c r="Y1321" s="2" t="s">
        <v>37</v>
      </c>
      <c r="Z1321" s="2" t="s">
        <v>44</v>
      </c>
      <c r="AA1321" s="2"/>
      <c r="AB1321" s="2"/>
      <c r="AC1321" s="2" t="s">
        <v>10262</v>
      </c>
      <c r="AD1321" s="2" t="s">
        <v>46</v>
      </c>
    </row>
    <row r="1322" customFormat="false" ht="15.7" hidden="false" customHeight="true" outlineLevel="0" collapsed="false">
      <c r="A1322" s="2"/>
      <c r="B1322" s="3" t="n">
        <f aca="false">DATE(2008,12,2)</f>
        <v>0</v>
      </c>
      <c r="C1322" s="3" t="n">
        <v>39784</v>
      </c>
      <c r="D1322" s="2" t="s">
        <v>10263</v>
      </c>
      <c r="F1322" s="2" t="s">
        <v>10264</v>
      </c>
      <c r="G1322" s="2" t="s">
        <v>10265</v>
      </c>
      <c r="H1322" s="2" t="s">
        <v>170</v>
      </c>
      <c r="I1322" s="2" t="s">
        <v>64</v>
      </c>
      <c r="J1322" s="2" t="s">
        <v>625</v>
      </c>
      <c r="K1322" s="2" t="s">
        <v>10263</v>
      </c>
      <c r="L1322" s="2" t="s">
        <v>64</v>
      </c>
      <c r="M1322" s="2" t="s">
        <v>170</v>
      </c>
      <c r="N1322" s="2" t="s">
        <v>10266</v>
      </c>
      <c r="O1322" s="2" t="s">
        <v>10267</v>
      </c>
      <c r="P1322" s="2" t="s">
        <v>37</v>
      </c>
      <c r="Q1322" s="4" t="n">
        <v>2836</v>
      </c>
      <c r="R1322" s="2" t="s">
        <v>56</v>
      </c>
      <c r="S1322" s="2" t="s">
        <v>80</v>
      </c>
      <c r="T1322" s="2" t="s">
        <v>40</v>
      </c>
      <c r="U1322" s="2" t="s">
        <v>10268</v>
      </c>
      <c r="V1322" s="2"/>
      <c r="W1322" s="2" t="s">
        <v>42</v>
      </c>
      <c r="X1322" s="2" t="s">
        <v>46</v>
      </c>
      <c r="Y1322" s="2" t="s">
        <v>37</v>
      </c>
      <c r="Z1322" s="2" t="s">
        <v>362</v>
      </c>
      <c r="AA1322" s="2"/>
      <c r="AB1322" s="2" t="s">
        <v>10269</v>
      </c>
      <c r="AC1322" s="2" t="s">
        <v>10270</v>
      </c>
      <c r="AD1322" s="2" t="s">
        <v>46</v>
      </c>
    </row>
    <row r="1323" customFormat="false" ht="15.7" hidden="false" customHeight="true" outlineLevel="0" collapsed="false">
      <c r="A1323" s="2"/>
      <c r="B1323" s="3" t="n">
        <f aca="false">DATE(2008,12,2)</f>
        <v>0</v>
      </c>
      <c r="C1323" s="3" t="n">
        <v>39784</v>
      </c>
      <c r="D1323" s="2" t="s">
        <v>10271</v>
      </c>
      <c r="F1323" s="2" t="s">
        <v>10272</v>
      </c>
      <c r="G1323" s="2" t="s">
        <v>10273</v>
      </c>
      <c r="H1323" s="2" t="s">
        <v>2650</v>
      </c>
      <c r="I1323" s="2" t="s">
        <v>219</v>
      </c>
      <c r="J1323" s="2" t="s">
        <v>65</v>
      </c>
      <c r="K1323" s="2" t="s">
        <v>10271</v>
      </c>
      <c r="L1323" s="2" t="s">
        <v>219</v>
      </c>
      <c r="M1323" s="2" t="s">
        <v>2650</v>
      </c>
      <c r="N1323" s="2" t="s">
        <v>10274</v>
      </c>
      <c r="O1323" s="2"/>
      <c r="P1323" s="2" t="s">
        <v>37</v>
      </c>
      <c r="Q1323" s="4" t="n">
        <v>8731</v>
      </c>
      <c r="R1323" s="2" t="s">
        <v>136</v>
      </c>
      <c r="S1323" s="2" t="s">
        <v>39</v>
      </c>
      <c r="T1323" s="2" t="s">
        <v>40</v>
      </c>
      <c r="U1323" s="2" t="s">
        <v>10275</v>
      </c>
      <c r="V1323" s="2"/>
      <c r="W1323" s="2" t="s">
        <v>42</v>
      </c>
      <c r="X1323" s="2" t="s">
        <v>43</v>
      </c>
      <c r="Y1323" s="2" t="s">
        <v>37</v>
      </c>
      <c r="Z1323" s="2" t="s">
        <v>44</v>
      </c>
      <c r="AA1323" s="2"/>
      <c r="AB1323" s="2"/>
      <c r="AC1323" s="2" t="s">
        <v>10276</v>
      </c>
      <c r="AD1323" s="2" t="s">
        <v>46</v>
      </c>
    </row>
    <row r="1324" customFormat="false" ht="15.7" hidden="false" customHeight="true" outlineLevel="0" collapsed="false">
      <c r="A1324" s="2"/>
      <c r="B1324" s="3" t="n">
        <f aca="false">DATE(2008,12,3)</f>
        <v>0</v>
      </c>
      <c r="C1324" s="3" t="n">
        <v>39785</v>
      </c>
      <c r="D1324" s="2" t="s">
        <v>10277</v>
      </c>
      <c r="F1324" s="2" t="s">
        <v>10278</v>
      </c>
      <c r="G1324" s="2" t="s">
        <v>10279</v>
      </c>
      <c r="H1324" s="2" t="s">
        <v>170</v>
      </c>
      <c r="I1324" s="2" t="s">
        <v>10280</v>
      </c>
      <c r="J1324" s="2" t="s">
        <v>35</v>
      </c>
      <c r="K1324" s="2" t="s">
        <v>10277</v>
      </c>
      <c r="L1324" s="2" t="s">
        <v>10280</v>
      </c>
      <c r="M1324" s="2" t="s">
        <v>170</v>
      </c>
      <c r="N1324" s="2" t="s">
        <v>10281</v>
      </c>
      <c r="O1324" s="2"/>
      <c r="P1324" s="2" t="s">
        <v>37</v>
      </c>
      <c r="Q1324" s="4" t="n">
        <v>8731</v>
      </c>
      <c r="R1324" s="2" t="s">
        <v>136</v>
      </c>
      <c r="S1324" s="2" t="s">
        <v>39</v>
      </c>
      <c r="T1324" s="2" t="s">
        <v>40</v>
      </c>
      <c r="U1324" s="2" t="s">
        <v>10282</v>
      </c>
      <c r="V1324" s="2"/>
      <c r="W1324" s="2" t="s">
        <v>42</v>
      </c>
      <c r="X1324" s="2" t="s">
        <v>43</v>
      </c>
      <c r="Y1324" s="2" t="s">
        <v>37</v>
      </c>
      <c r="Z1324" s="2" t="s">
        <v>44</v>
      </c>
      <c r="AA1324" s="2"/>
      <c r="AB1324" s="2"/>
      <c r="AC1324" s="2" t="s">
        <v>10283</v>
      </c>
      <c r="AD1324" s="2" t="s">
        <v>46</v>
      </c>
    </row>
    <row r="1325" customFormat="false" ht="15.7" hidden="false" customHeight="true" outlineLevel="0" collapsed="false">
      <c r="A1325" s="2"/>
      <c r="B1325" s="3" t="n">
        <f aca="false">DATE(2008,12,17)</f>
        <v>0</v>
      </c>
      <c r="C1325" s="3" t="n">
        <v>39799</v>
      </c>
      <c r="D1325" s="2" t="s">
        <v>10284</v>
      </c>
      <c r="F1325" s="2" t="s">
        <v>10285</v>
      </c>
      <c r="G1325" s="2" t="s">
        <v>10286</v>
      </c>
      <c r="H1325" s="2" t="s">
        <v>130</v>
      </c>
      <c r="I1325" s="2" t="s">
        <v>388</v>
      </c>
      <c r="J1325" s="2" t="s">
        <v>65</v>
      </c>
      <c r="K1325" s="2" t="s">
        <v>10284</v>
      </c>
      <c r="L1325" s="2" t="s">
        <v>388</v>
      </c>
      <c r="M1325" s="2" t="s">
        <v>130</v>
      </c>
      <c r="N1325" s="2" t="s">
        <v>10287</v>
      </c>
      <c r="O1325" s="2"/>
      <c r="P1325" s="2" t="s">
        <v>37</v>
      </c>
      <c r="Q1325" s="4" t="n">
        <v>8731</v>
      </c>
      <c r="R1325" s="2" t="s">
        <v>136</v>
      </c>
      <c r="S1325" s="2" t="s">
        <v>39</v>
      </c>
      <c r="T1325" s="2" t="s">
        <v>40</v>
      </c>
      <c r="U1325" s="2" t="s">
        <v>10288</v>
      </c>
      <c r="V1325" s="2"/>
      <c r="W1325" s="2" t="s">
        <v>138</v>
      </c>
      <c r="X1325" s="2" t="s">
        <v>43</v>
      </c>
      <c r="Y1325" s="2" t="s">
        <v>37</v>
      </c>
      <c r="Z1325" s="2" t="s">
        <v>44</v>
      </c>
      <c r="AA1325" s="2" t="s">
        <v>10289</v>
      </c>
      <c r="AB1325" s="2"/>
      <c r="AC1325" s="2" t="s">
        <v>10290</v>
      </c>
      <c r="AD1325" s="2" t="s">
        <v>46</v>
      </c>
    </row>
    <row r="1326" customFormat="false" ht="15.7" hidden="false" customHeight="true" outlineLevel="0" collapsed="false">
      <c r="A1326" s="2"/>
      <c r="B1326" s="3" t="n">
        <f aca="false">DATE(2008,12,23)</f>
        <v>0</v>
      </c>
      <c r="C1326" s="3" t="n">
        <v>39805</v>
      </c>
      <c r="D1326" s="2" t="s">
        <v>10291</v>
      </c>
      <c r="F1326" s="2" t="s">
        <v>10292</v>
      </c>
      <c r="G1326" s="2" t="s">
        <v>10293</v>
      </c>
      <c r="H1326" s="2" t="s">
        <v>63</v>
      </c>
      <c r="I1326" s="2" t="s">
        <v>388</v>
      </c>
      <c r="J1326" s="2" t="s">
        <v>625</v>
      </c>
      <c r="K1326" s="2" t="s">
        <v>10291</v>
      </c>
      <c r="L1326" s="2" t="s">
        <v>388</v>
      </c>
      <c r="M1326" s="2" t="s">
        <v>63</v>
      </c>
      <c r="N1326" s="2" t="s">
        <v>10294</v>
      </c>
      <c r="O1326" s="2"/>
      <c r="P1326" s="2" t="s">
        <v>37</v>
      </c>
      <c r="Q1326" s="4" t="n">
        <v>8731</v>
      </c>
      <c r="R1326" s="2" t="s">
        <v>136</v>
      </c>
      <c r="S1326" s="2" t="s">
        <v>39</v>
      </c>
      <c r="T1326" s="2" t="s">
        <v>40</v>
      </c>
      <c r="U1326" s="2" t="s">
        <v>10295</v>
      </c>
      <c r="V1326" s="2"/>
      <c r="W1326" s="2" t="s">
        <v>42</v>
      </c>
      <c r="X1326" s="2" t="s">
        <v>43</v>
      </c>
      <c r="Y1326" s="2" t="s">
        <v>37</v>
      </c>
      <c r="Z1326" s="2" t="s">
        <v>44</v>
      </c>
      <c r="AA1326" s="2"/>
      <c r="AB1326" s="2"/>
      <c r="AC1326" s="2" t="s">
        <v>10296</v>
      </c>
      <c r="AD1326" s="2" t="s">
        <v>46</v>
      </c>
    </row>
    <row r="1327" customFormat="false" ht="15.7" hidden="false" customHeight="true" outlineLevel="0" collapsed="false">
      <c r="A1327" s="2"/>
      <c r="B1327" s="3" t="n">
        <f aca="false">DATE(2008,12,30)</f>
        <v>0</v>
      </c>
      <c r="C1327" s="3" t="n">
        <v>39812</v>
      </c>
      <c r="D1327" s="2" t="s">
        <v>10297</v>
      </c>
      <c r="F1327" s="2" t="s">
        <v>10298</v>
      </c>
      <c r="G1327" s="2" t="s">
        <v>10299</v>
      </c>
      <c r="H1327" s="2" t="s">
        <v>305</v>
      </c>
      <c r="I1327" s="2" t="s">
        <v>3103</v>
      </c>
      <c r="J1327" s="2" t="s">
        <v>3054</v>
      </c>
      <c r="K1327" s="2" t="s">
        <v>10300</v>
      </c>
      <c r="L1327" s="2" t="s">
        <v>3103</v>
      </c>
      <c r="M1327" s="2" t="s">
        <v>305</v>
      </c>
      <c r="N1327" s="2" t="s">
        <v>10301</v>
      </c>
      <c r="O1327" s="2"/>
      <c r="P1327" s="2" t="s">
        <v>37</v>
      </c>
      <c r="Q1327" s="4" t="n">
        <v>8731</v>
      </c>
      <c r="R1327" s="2" t="s">
        <v>136</v>
      </c>
      <c r="S1327" s="2" t="s">
        <v>39</v>
      </c>
      <c r="T1327" s="2" t="s">
        <v>40</v>
      </c>
      <c r="U1327" s="2" t="s">
        <v>10302</v>
      </c>
      <c r="V1327" s="2"/>
      <c r="W1327" s="2" t="s">
        <v>42</v>
      </c>
      <c r="X1327" s="2" t="s">
        <v>43</v>
      </c>
      <c r="Y1327" s="2" t="s">
        <v>37</v>
      </c>
      <c r="Z1327" s="2" t="s">
        <v>44</v>
      </c>
      <c r="AA1327" s="2"/>
      <c r="AB1327" s="2"/>
      <c r="AC1327" s="2" t="s">
        <v>10303</v>
      </c>
      <c r="AD1327" s="2" t="s">
        <v>46</v>
      </c>
    </row>
    <row r="1328" customFormat="false" ht="15.7" hidden="false" customHeight="true" outlineLevel="0" collapsed="false">
      <c r="A1328" s="2"/>
      <c r="B1328" s="3" t="n">
        <f aca="false">DATE(2009,1,6)</f>
        <v>0</v>
      </c>
      <c r="C1328" s="3" t="n">
        <v>39819</v>
      </c>
      <c r="D1328" s="2" t="s">
        <v>10304</v>
      </c>
      <c r="F1328" s="2" t="s">
        <v>10305</v>
      </c>
      <c r="G1328" s="2" t="s">
        <v>10306</v>
      </c>
      <c r="H1328" s="2" t="s">
        <v>10307</v>
      </c>
      <c r="I1328" s="2" t="s">
        <v>664</v>
      </c>
      <c r="J1328" s="2" t="s">
        <v>3906</v>
      </c>
      <c r="K1328" s="2" t="s">
        <v>10304</v>
      </c>
      <c r="L1328" s="2" t="s">
        <v>664</v>
      </c>
      <c r="M1328" s="2" t="s">
        <v>10307</v>
      </c>
      <c r="N1328" s="2" t="s">
        <v>10308</v>
      </c>
      <c r="O1328" s="2"/>
      <c r="P1328" s="2" t="s">
        <v>37</v>
      </c>
      <c r="Q1328" s="4" t="n">
        <v>8731</v>
      </c>
      <c r="R1328" s="2" t="s">
        <v>136</v>
      </c>
      <c r="S1328" s="2" t="s">
        <v>39</v>
      </c>
      <c r="T1328" s="2" t="s">
        <v>40</v>
      </c>
      <c r="U1328" s="2" t="s">
        <v>10309</v>
      </c>
      <c r="V1328" s="2"/>
      <c r="W1328" s="2" t="s">
        <v>42</v>
      </c>
      <c r="X1328" s="2" t="s">
        <v>43</v>
      </c>
      <c r="Y1328" s="2" t="s">
        <v>37</v>
      </c>
      <c r="Z1328" s="2" t="s">
        <v>44</v>
      </c>
      <c r="AA1328" s="2"/>
      <c r="AB1328" s="2"/>
      <c r="AC1328" s="2" t="s">
        <v>10310</v>
      </c>
      <c r="AD1328" s="2" t="s">
        <v>46</v>
      </c>
    </row>
    <row r="1329" customFormat="false" ht="15.7" hidden="false" customHeight="true" outlineLevel="0" collapsed="false">
      <c r="A1329" s="2"/>
      <c r="B1329" s="3" t="n">
        <f aca="false">DATE(2009,1,7)</f>
        <v>0</v>
      </c>
      <c r="C1329" s="3" t="n">
        <v>39820</v>
      </c>
      <c r="D1329" s="2" t="s">
        <v>10311</v>
      </c>
      <c r="F1329" s="2" t="s">
        <v>10312</v>
      </c>
      <c r="G1329" s="2" t="s">
        <v>10313</v>
      </c>
      <c r="H1329" s="2" t="s">
        <v>130</v>
      </c>
      <c r="I1329" s="2" t="s">
        <v>88</v>
      </c>
      <c r="J1329" s="2" t="s">
        <v>625</v>
      </c>
      <c r="K1329" s="2" t="s">
        <v>10311</v>
      </c>
      <c r="L1329" s="2" t="s">
        <v>88</v>
      </c>
      <c r="M1329" s="2" t="s">
        <v>130</v>
      </c>
      <c r="N1329" s="2" t="s">
        <v>10314</v>
      </c>
      <c r="O1329" s="2"/>
      <c r="P1329" s="2" t="s">
        <v>37</v>
      </c>
      <c r="Q1329" s="4" t="n">
        <v>8731</v>
      </c>
      <c r="R1329" s="2" t="s">
        <v>136</v>
      </c>
      <c r="S1329" s="2" t="s">
        <v>39</v>
      </c>
      <c r="T1329" s="2" t="s">
        <v>40</v>
      </c>
      <c r="U1329" s="2" t="s">
        <v>10315</v>
      </c>
      <c r="V1329" s="2"/>
      <c r="W1329" s="2" t="s">
        <v>42</v>
      </c>
      <c r="X1329" s="2" t="s">
        <v>43</v>
      </c>
      <c r="Y1329" s="2" t="s">
        <v>37</v>
      </c>
      <c r="Z1329" s="2" t="s">
        <v>44</v>
      </c>
      <c r="AA1329" s="2"/>
      <c r="AB1329" s="2"/>
      <c r="AC1329" s="2" t="s">
        <v>10316</v>
      </c>
      <c r="AD1329" s="2" t="s">
        <v>46</v>
      </c>
    </row>
    <row r="1330" customFormat="false" ht="15.7" hidden="false" customHeight="true" outlineLevel="0" collapsed="false">
      <c r="A1330" s="2"/>
      <c r="B1330" s="3" t="n">
        <f aca="false">DATE(2009,1,12)</f>
        <v>0</v>
      </c>
      <c r="C1330" s="3" t="n">
        <v>39825</v>
      </c>
      <c r="D1330" s="2" t="s">
        <v>10317</v>
      </c>
      <c r="F1330" s="2" t="s">
        <v>1052</v>
      </c>
      <c r="G1330" s="2" t="s">
        <v>10318</v>
      </c>
      <c r="H1330" s="2" t="s">
        <v>63</v>
      </c>
      <c r="I1330" s="2" t="s">
        <v>1080</v>
      </c>
      <c r="J1330" s="2" t="s">
        <v>35</v>
      </c>
      <c r="K1330" s="2" t="s">
        <v>10317</v>
      </c>
      <c r="L1330" s="2" t="s">
        <v>1080</v>
      </c>
      <c r="M1330" s="2" t="s">
        <v>63</v>
      </c>
      <c r="N1330" s="2" t="s">
        <v>10319</v>
      </c>
      <c r="O1330" s="2"/>
      <c r="P1330" s="2" t="s">
        <v>37</v>
      </c>
      <c r="Q1330" s="4" t="n">
        <v>8731</v>
      </c>
      <c r="R1330" s="2" t="s">
        <v>2201</v>
      </c>
      <c r="S1330" s="2" t="s">
        <v>39</v>
      </c>
      <c r="T1330" s="2" t="s">
        <v>40</v>
      </c>
      <c r="U1330" s="2" t="s">
        <v>10320</v>
      </c>
      <c r="V1330" s="2"/>
      <c r="W1330" s="2" t="s">
        <v>42</v>
      </c>
      <c r="X1330" s="2" t="s">
        <v>43</v>
      </c>
      <c r="Y1330" s="2" t="s">
        <v>37</v>
      </c>
      <c r="Z1330" s="2" t="s">
        <v>44</v>
      </c>
      <c r="AA1330" s="2"/>
      <c r="AB1330" s="2"/>
      <c r="AC1330" s="2" t="s">
        <v>10321</v>
      </c>
      <c r="AD1330" s="2" t="s">
        <v>46</v>
      </c>
    </row>
    <row r="1331" customFormat="false" ht="15.7" hidden="false" customHeight="true" outlineLevel="0" collapsed="false">
      <c r="A1331" s="2"/>
      <c r="B1331" s="3" t="n">
        <f aca="false">DATE(2009,1,12)</f>
        <v>0</v>
      </c>
      <c r="C1331" s="3" t="n">
        <v>39825</v>
      </c>
      <c r="D1331" s="2" t="s">
        <v>10322</v>
      </c>
      <c r="F1331" s="2" t="s">
        <v>3997</v>
      </c>
      <c r="G1331" s="2" t="s">
        <v>10323</v>
      </c>
      <c r="H1331" s="2" t="s">
        <v>305</v>
      </c>
      <c r="I1331" s="2" t="s">
        <v>202</v>
      </c>
      <c r="J1331" s="2" t="s">
        <v>155</v>
      </c>
      <c r="K1331" s="2" t="s">
        <v>10324</v>
      </c>
      <c r="L1331" s="2" t="s">
        <v>202</v>
      </c>
      <c r="M1331" s="2" t="s">
        <v>305</v>
      </c>
      <c r="N1331" s="2" t="s">
        <v>10325</v>
      </c>
      <c r="O1331" s="2"/>
      <c r="P1331" s="2" t="s">
        <v>37</v>
      </c>
      <c r="Q1331" s="4" t="n">
        <v>8731</v>
      </c>
      <c r="R1331" s="2" t="s">
        <v>136</v>
      </c>
      <c r="S1331" s="2" t="s">
        <v>39</v>
      </c>
      <c r="T1331" s="2" t="s">
        <v>40</v>
      </c>
      <c r="U1331" s="2" t="s">
        <v>10326</v>
      </c>
      <c r="V1331" s="2"/>
      <c r="W1331" s="2" t="s">
        <v>138</v>
      </c>
      <c r="X1331" s="2" t="s">
        <v>43</v>
      </c>
      <c r="Y1331" s="2" t="s">
        <v>37</v>
      </c>
      <c r="Z1331" s="2" t="s">
        <v>44</v>
      </c>
      <c r="AA1331" s="2" t="s">
        <v>10327</v>
      </c>
      <c r="AB1331" s="2"/>
      <c r="AC1331" s="2" t="s">
        <v>10328</v>
      </c>
      <c r="AD1331" s="2" t="s">
        <v>46</v>
      </c>
    </row>
    <row r="1332" customFormat="false" ht="15.7" hidden="false" customHeight="true" outlineLevel="0" collapsed="false">
      <c r="A1332" s="2"/>
      <c r="B1332" s="3" t="n">
        <f aca="false">DATE(2009,1,19)</f>
        <v>0</v>
      </c>
      <c r="C1332" s="3" t="n">
        <v>39832</v>
      </c>
      <c r="D1332" s="2" t="s">
        <v>10329</v>
      </c>
      <c r="F1332" s="2" t="s">
        <v>10330</v>
      </c>
      <c r="G1332" s="2" t="s">
        <v>10331</v>
      </c>
      <c r="H1332" s="2" t="s">
        <v>4569</v>
      </c>
      <c r="I1332" s="2" t="s">
        <v>10332</v>
      </c>
      <c r="J1332" s="2" t="s">
        <v>35</v>
      </c>
      <c r="K1332" s="2" t="s">
        <v>10329</v>
      </c>
      <c r="L1332" s="2" t="s">
        <v>10332</v>
      </c>
      <c r="M1332" s="2" t="s">
        <v>4569</v>
      </c>
      <c r="N1332" s="2" t="s">
        <v>10333</v>
      </c>
      <c r="O1332" s="2"/>
      <c r="P1332" s="2" t="s">
        <v>37</v>
      </c>
      <c r="Q1332" s="4" t="n">
        <v>8731</v>
      </c>
      <c r="R1332" s="2" t="s">
        <v>136</v>
      </c>
      <c r="S1332" s="2" t="s">
        <v>39</v>
      </c>
      <c r="T1332" s="2" t="s">
        <v>40</v>
      </c>
      <c r="U1332" s="2" t="s">
        <v>10334</v>
      </c>
      <c r="V1332" s="2"/>
      <c r="W1332" s="2" t="s">
        <v>42</v>
      </c>
      <c r="X1332" s="2" t="s">
        <v>43</v>
      </c>
      <c r="Y1332" s="2" t="s">
        <v>37</v>
      </c>
      <c r="Z1332" s="2" t="s">
        <v>44</v>
      </c>
      <c r="AA1332" s="2"/>
      <c r="AB1332" s="2"/>
      <c r="AC1332" s="2" t="s">
        <v>10335</v>
      </c>
      <c r="AD1332" s="2" t="s">
        <v>46</v>
      </c>
    </row>
    <row r="1333" customFormat="false" ht="15.7" hidden="false" customHeight="true" outlineLevel="0" collapsed="false">
      <c r="A1333" s="2"/>
      <c r="B1333" s="3" t="n">
        <f aca="false">DATE(2009,1,19)</f>
        <v>0</v>
      </c>
      <c r="C1333" s="3" t="n">
        <v>39832</v>
      </c>
      <c r="D1333" s="2" t="s">
        <v>10336</v>
      </c>
      <c r="F1333" s="2" t="s">
        <v>3141</v>
      </c>
      <c r="G1333" s="2" t="s">
        <v>10337</v>
      </c>
      <c r="H1333" s="2" t="s">
        <v>130</v>
      </c>
      <c r="I1333" s="2" t="s">
        <v>2681</v>
      </c>
      <c r="J1333" s="2" t="s">
        <v>35</v>
      </c>
      <c r="K1333" s="2" t="s">
        <v>10336</v>
      </c>
      <c r="L1333" s="2" t="s">
        <v>2681</v>
      </c>
      <c r="M1333" s="2" t="s">
        <v>130</v>
      </c>
      <c r="N1333" s="2" t="s">
        <v>10338</v>
      </c>
      <c r="O1333" s="2"/>
      <c r="P1333" s="2" t="s">
        <v>37</v>
      </c>
      <c r="Q1333" s="4" t="n">
        <v>2834</v>
      </c>
      <c r="R1333" s="2" t="s">
        <v>136</v>
      </c>
      <c r="S1333" s="2" t="s">
        <v>39</v>
      </c>
      <c r="T1333" s="2" t="s">
        <v>40</v>
      </c>
      <c r="U1333" s="2" t="s">
        <v>10339</v>
      </c>
      <c r="V1333" s="2"/>
      <c r="W1333" s="2" t="s">
        <v>1801</v>
      </c>
      <c r="X1333" s="2" t="s">
        <v>43</v>
      </c>
      <c r="Y1333" s="2" t="s">
        <v>37</v>
      </c>
      <c r="Z1333" s="2" t="s">
        <v>44</v>
      </c>
      <c r="AA1333" s="2"/>
      <c r="AB1333" s="2"/>
      <c r="AC1333" s="2" t="s">
        <v>10340</v>
      </c>
      <c r="AD1333" s="2" t="s">
        <v>46</v>
      </c>
    </row>
    <row r="1334" customFormat="false" ht="15.7" hidden="false" customHeight="true" outlineLevel="0" collapsed="false">
      <c r="A1334" s="2"/>
      <c r="B1334" s="3" t="n">
        <f aca="false">DATE(2009,1,20)</f>
        <v>0</v>
      </c>
      <c r="C1334" s="3" t="n">
        <v>39833</v>
      </c>
      <c r="D1334" s="2" t="s">
        <v>10341</v>
      </c>
      <c r="F1334" s="2" t="s">
        <v>10342</v>
      </c>
      <c r="G1334" s="2" t="s">
        <v>10343</v>
      </c>
      <c r="H1334" s="2" t="s">
        <v>10344</v>
      </c>
      <c r="I1334" s="2" t="s">
        <v>2150</v>
      </c>
      <c r="J1334" s="2" t="s">
        <v>35</v>
      </c>
      <c r="K1334" s="2" t="s">
        <v>10341</v>
      </c>
      <c r="L1334" s="2" t="s">
        <v>2150</v>
      </c>
      <c r="M1334" s="2" t="s">
        <v>10344</v>
      </c>
      <c r="N1334" s="2" t="s">
        <v>10345</v>
      </c>
      <c r="O1334" s="2"/>
      <c r="P1334" s="2" t="s">
        <v>37</v>
      </c>
      <c r="Q1334" s="4" t="n">
        <v>3629</v>
      </c>
      <c r="R1334" s="2" t="s">
        <v>136</v>
      </c>
      <c r="S1334" s="2" t="s">
        <v>39</v>
      </c>
      <c r="T1334" s="2" t="s">
        <v>40</v>
      </c>
      <c r="U1334" s="2" t="s">
        <v>10346</v>
      </c>
      <c r="V1334" s="2"/>
      <c r="W1334" s="2" t="s">
        <v>107</v>
      </c>
      <c r="X1334" s="2" t="s">
        <v>43</v>
      </c>
      <c r="Y1334" s="2" t="s">
        <v>37</v>
      </c>
      <c r="Z1334" s="2" t="s">
        <v>44</v>
      </c>
      <c r="AA1334" s="2"/>
      <c r="AB1334" s="2"/>
      <c r="AC1334" s="2" t="s">
        <v>10347</v>
      </c>
      <c r="AD1334" s="2" t="s">
        <v>46</v>
      </c>
    </row>
    <row r="1335" customFormat="false" ht="15.7" hidden="false" customHeight="true" outlineLevel="0" collapsed="false">
      <c r="A1335" s="2"/>
      <c r="B1335" s="3" t="n">
        <f aca="false">DATE(2009,1,22)</f>
        <v>0</v>
      </c>
      <c r="C1335" s="3" t="n">
        <v>39835</v>
      </c>
      <c r="D1335" s="2" t="s">
        <v>10348</v>
      </c>
      <c r="F1335" s="2" t="s">
        <v>10349</v>
      </c>
      <c r="G1335" s="2" t="s">
        <v>10350</v>
      </c>
      <c r="H1335" s="2" t="s">
        <v>5613</v>
      </c>
      <c r="I1335" s="2" t="s">
        <v>51</v>
      </c>
      <c r="J1335" s="2" t="s">
        <v>10351</v>
      </c>
      <c r="K1335" s="2" t="s">
        <v>10348</v>
      </c>
      <c r="L1335" s="2" t="s">
        <v>51</v>
      </c>
      <c r="M1335" s="2" t="s">
        <v>5613</v>
      </c>
      <c r="N1335" s="2" t="s">
        <v>10352</v>
      </c>
      <c r="O1335" s="2"/>
      <c r="P1335" s="2" t="s">
        <v>37</v>
      </c>
      <c r="Q1335" s="4" t="n">
        <v>8731</v>
      </c>
      <c r="R1335" s="2" t="s">
        <v>56</v>
      </c>
      <c r="S1335" s="2" t="s">
        <v>92</v>
      </c>
      <c r="T1335" s="2" t="s">
        <v>40</v>
      </c>
      <c r="U1335" s="2" t="s">
        <v>10353</v>
      </c>
      <c r="V1335" s="2"/>
      <c r="W1335" s="2" t="s">
        <v>42</v>
      </c>
      <c r="X1335" s="2" t="s">
        <v>43</v>
      </c>
      <c r="Y1335" s="2" t="s">
        <v>37</v>
      </c>
      <c r="Z1335" s="2" t="s">
        <v>44</v>
      </c>
      <c r="AA1335" s="2"/>
      <c r="AB1335" s="2"/>
      <c r="AC1335" s="2" t="s">
        <v>10354</v>
      </c>
      <c r="AD1335" s="2" t="s">
        <v>46</v>
      </c>
    </row>
    <row r="1336" customFormat="false" ht="15.7" hidden="false" customHeight="true" outlineLevel="0" collapsed="false">
      <c r="A1336" s="2"/>
      <c r="B1336" s="3" t="n">
        <f aca="false">DATE(2009,1,23)</f>
        <v>0</v>
      </c>
      <c r="C1336" s="3" t="n">
        <v>39836</v>
      </c>
      <c r="D1336" s="2" t="s">
        <v>10355</v>
      </c>
      <c r="F1336" s="2" t="s">
        <v>10175</v>
      </c>
      <c r="G1336" s="2" t="s">
        <v>10356</v>
      </c>
      <c r="H1336" s="2" t="s">
        <v>63</v>
      </c>
      <c r="I1336" s="2" t="s">
        <v>6889</v>
      </c>
      <c r="J1336" s="2" t="s">
        <v>35</v>
      </c>
      <c r="K1336" s="2" t="s">
        <v>10177</v>
      </c>
      <c r="L1336" s="2" t="s">
        <v>2590</v>
      </c>
      <c r="M1336" s="2" t="s">
        <v>130</v>
      </c>
      <c r="N1336" s="2" t="s">
        <v>10357</v>
      </c>
      <c r="O1336" s="2"/>
      <c r="P1336" s="2" t="s">
        <v>37</v>
      </c>
      <c r="Q1336" s="4" t="n">
        <v>2836</v>
      </c>
      <c r="R1336" s="2" t="s">
        <v>402</v>
      </c>
      <c r="S1336" s="2" t="s">
        <v>39</v>
      </c>
      <c r="T1336" s="2" t="s">
        <v>403</v>
      </c>
      <c r="U1336" s="2" t="s">
        <v>10358</v>
      </c>
      <c r="V1336" s="2"/>
      <c r="W1336" s="2" t="s">
        <v>2564</v>
      </c>
      <c r="X1336" s="2" t="s">
        <v>46</v>
      </c>
      <c r="Y1336" s="2" t="s">
        <v>37</v>
      </c>
      <c r="Z1336" s="2" t="s">
        <v>2732</v>
      </c>
      <c r="AA1336" s="2" t="s">
        <v>10359</v>
      </c>
      <c r="AB1336" s="2"/>
      <c r="AC1336" s="2" t="s">
        <v>10360</v>
      </c>
      <c r="AD1336" s="2" t="s">
        <v>46</v>
      </c>
    </row>
    <row r="1337" customFormat="false" ht="15.7" hidden="false" customHeight="true" outlineLevel="0" collapsed="false">
      <c r="A1337" s="2"/>
      <c r="B1337" s="3" t="n">
        <f aca="false">DATE(2009,1,27)</f>
        <v>0</v>
      </c>
      <c r="C1337" s="3" t="n">
        <v>39840</v>
      </c>
      <c r="D1337" s="2" t="s">
        <v>10361</v>
      </c>
      <c r="F1337" s="2" t="s">
        <v>10362</v>
      </c>
      <c r="G1337" s="2" t="s">
        <v>10363</v>
      </c>
      <c r="H1337" s="2" t="s">
        <v>10364</v>
      </c>
      <c r="I1337" s="2" t="s">
        <v>670</v>
      </c>
      <c r="J1337" s="2" t="s">
        <v>101</v>
      </c>
      <c r="K1337" s="2" t="s">
        <v>10361</v>
      </c>
      <c r="L1337" s="2" t="s">
        <v>670</v>
      </c>
      <c r="M1337" s="2" t="s">
        <v>10364</v>
      </c>
      <c r="N1337" s="2" t="s">
        <v>10365</v>
      </c>
      <c r="O1337" s="2"/>
      <c r="P1337" s="2" t="s">
        <v>37</v>
      </c>
      <c r="Q1337" s="4" t="n">
        <v>3511</v>
      </c>
      <c r="R1337" s="2" t="s">
        <v>402</v>
      </c>
      <c r="S1337" s="2" t="s">
        <v>39</v>
      </c>
      <c r="T1337" s="2" t="s">
        <v>40</v>
      </c>
      <c r="U1337" s="2" t="s">
        <v>10366</v>
      </c>
      <c r="V1337" s="2"/>
      <c r="W1337" s="2" t="s">
        <v>107</v>
      </c>
      <c r="X1337" s="2" t="s">
        <v>43</v>
      </c>
      <c r="Y1337" s="2" t="s">
        <v>37</v>
      </c>
      <c r="Z1337" s="2" t="s">
        <v>44</v>
      </c>
      <c r="AA1337" s="2"/>
      <c r="AB1337" s="2"/>
      <c r="AC1337" s="2" t="s">
        <v>10367</v>
      </c>
      <c r="AD1337" s="2" t="s">
        <v>46</v>
      </c>
    </row>
    <row r="1338" customFormat="false" ht="15.7" hidden="false" customHeight="true" outlineLevel="0" collapsed="false">
      <c r="A1338" s="2"/>
      <c r="B1338" s="3" t="n">
        <f aca="false">DATE(2009,1,28)</f>
        <v>0</v>
      </c>
      <c r="C1338" s="3" t="n">
        <v>39841</v>
      </c>
      <c r="D1338" s="2" t="s">
        <v>10368</v>
      </c>
      <c r="F1338" s="2" t="s">
        <v>10369</v>
      </c>
      <c r="G1338" s="2" t="s">
        <v>10370</v>
      </c>
      <c r="H1338" s="2" t="s">
        <v>1101</v>
      </c>
      <c r="I1338" s="2" t="s">
        <v>88</v>
      </c>
      <c r="J1338" s="2" t="s">
        <v>65</v>
      </c>
      <c r="K1338" s="2" t="s">
        <v>10368</v>
      </c>
      <c r="L1338" s="2" t="s">
        <v>88</v>
      </c>
      <c r="M1338" s="2" t="s">
        <v>1101</v>
      </c>
      <c r="N1338" s="2" t="s">
        <v>10371</v>
      </c>
      <c r="O1338" s="2"/>
      <c r="P1338" s="2" t="s">
        <v>37</v>
      </c>
      <c r="Q1338" s="4" t="n">
        <v>8731</v>
      </c>
      <c r="R1338" s="2" t="s">
        <v>2105</v>
      </c>
      <c r="S1338" s="2" t="s">
        <v>39</v>
      </c>
      <c r="T1338" s="2" t="s">
        <v>40</v>
      </c>
      <c r="U1338" s="2" t="s">
        <v>10372</v>
      </c>
      <c r="V1338" s="2"/>
      <c r="W1338" s="2" t="s">
        <v>42</v>
      </c>
      <c r="X1338" s="2" t="s">
        <v>43</v>
      </c>
      <c r="Y1338" s="2" t="s">
        <v>37</v>
      </c>
      <c r="Z1338" s="2" t="s">
        <v>44</v>
      </c>
      <c r="AA1338" s="2"/>
      <c r="AB1338" s="2"/>
      <c r="AC1338" s="2" t="s">
        <v>10373</v>
      </c>
      <c r="AD1338" s="2" t="s">
        <v>46</v>
      </c>
    </row>
    <row r="1339" customFormat="false" ht="15.7" hidden="false" customHeight="true" outlineLevel="0" collapsed="false">
      <c r="A1339" s="2"/>
      <c r="B1339" s="3" t="n">
        <f aca="false">DATE(2009,1,30)</f>
        <v>0</v>
      </c>
      <c r="C1339" s="3" t="n">
        <v>39843</v>
      </c>
      <c r="D1339" s="2" t="s">
        <v>10374</v>
      </c>
      <c r="F1339" s="2" t="s">
        <v>10375</v>
      </c>
      <c r="G1339" s="2" t="s">
        <v>10376</v>
      </c>
      <c r="H1339" s="2" t="s">
        <v>2361</v>
      </c>
      <c r="I1339" s="2" t="s">
        <v>296</v>
      </c>
      <c r="J1339" s="2" t="s">
        <v>575</v>
      </c>
      <c r="K1339" s="2" t="s">
        <v>10374</v>
      </c>
      <c r="L1339" s="2" t="s">
        <v>296</v>
      </c>
      <c r="M1339" s="2" t="s">
        <v>2361</v>
      </c>
      <c r="N1339" s="2" t="s">
        <v>10377</v>
      </c>
      <c r="O1339" s="2"/>
      <c r="P1339" s="2" t="s">
        <v>37</v>
      </c>
      <c r="Q1339" s="4" t="n">
        <v>8731</v>
      </c>
      <c r="R1339" s="2" t="s">
        <v>136</v>
      </c>
      <c r="S1339" s="2" t="s">
        <v>39</v>
      </c>
      <c r="T1339" s="2" t="s">
        <v>40</v>
      </c>
      <c r="U1339" s="2" t="s">
        <v>10378</v>
      </c>
      <c r="V1339" s="2"/>
      <c r="W1339" s="2" t="s">
        <v>42</v>
      </c>
      <c r="X1339" s="2" t="s">
        <v>43</v>
      </c>
      <c r="Y1339" s="2" t="s">
        <v>37</v>
      </c>
      <c r="Z1339" s="2" t="s">
        <v>44</v>
      </c>
      <c r="AA1339" s="2"/>
      <c r="AB1339" s="2"/>
      <c r="AC1339" s="2" t="s">
        <v>10379</v>
      </c>
      <c r="AD1339" s="2" t="s">
        <v>46</v>
      </c>
    </row>
    <row r="1340" customFormat="false" ht="15.7" hidden="false" customHeight="true" outlineLevel="0" collapsed="false">
      <c r="A1340" s="2"/>
      <c r="B1340" s="3" t="n">
        <f aca="false">DATE(2009,2,12)</f>
        <v>0</v>
      </c>
      <c r="C1340" s="3" t="n">
        <v>39856</v>
      </c>
      <c r="D1340" s="2" t="s">
        <v>10380</v>
      </c>
      <c r="F1340" s="2" t="s">
        <v>10381</v>
      </c>
      <c r="G1340" s="2" t="s">
        <v>10382</v>
      </c>
      <c r="H1340" s="2" t="s">
        <v>10383</v>
      </c>
      <c r="I1340" s="2" t="s">
        <v>6245</v>
      </c>
      <c r="J1340" s="2" t="s">
        <v>35</v>
      </c>
      <c r="K1340" s="2" t="s">
        <v>10380</v>
      </c>
      <c r="L1340" s="2" t="s">
        <v>6245</v>
      </c>
      <c r="M1340" s="2" t="s">
        <v>10383</v>
      </c>
      <c r="N1340" s="2" t="s">
        <v>10384</v>
      </c>
      <c r="O1340" s="2"/>
      <c r="P1340" s="2" t="s">
        <v>37</v>
      </c>
      <c r="Q1340" s="4" t="n">
        <v>8731</v>
      </c>
      <c r="R1340" s="2" t="s">
        <v>38</v>
      </c>
      <c r="S1340" s="2" t="s">
        <v>39</v>
      </c>
      <c r="T1340" s="2" t="s">
        <v>403</v>
      </c>
      <c r="U1340" s="2" t="s">
        <v>10385</v>
      </c>
      <c r="V1340" s="2"/>
      <c r="W1340" s="2" t="s">
        <v>42</v>
      </c>
      <c r="X1340" s="2" t="s">
        <v>46</v>
      </c>
      <c r="Y1340" s="2" t="s">
        <v>37</v>
      </c>
      <c r="Z1340" s="2" t="s">
        <v>362</v>
      </c>
      <c r="AA1340" s="2"/>
      <c r="AB1340" s="2"/>
      <c r="AC1340" s="2" t="s">
        <v>10386</v>
      </c>
      <c r="AD1340" s="2" t="s">
        <v>46</v>
      </c>
    </row>
    <row r="1341" customFormat="false" ht="15.7" hidden="false" customHeight="true" outlineLevel="0" collapsed="false">
      <c r="A1341" s="2"/>
      <c r="B1341" s="3" t="n">
        <f aca="false">DATE(2009,2,16)</f>
        <v>0</v>
      </c>
      <c r="C1341" s="3" t="n">
        <v>39860</v>
      </c>
      <c r="D1341" s="2" t="s">
        <v>10387</v>
      </c>
      <c r="F1341" s="2" t="s">
        <v>10388</v>
      </c>
      <c r="G1341" s="2" t="s">
        <v>10389</v>
      </c>
      <c r="H1341" s="2" t="s">
        <v>10390</v>
      </c>
      <c r="I1341" s="2" t="s">
        <v>685</v>
      </c>
      <c r="J1341" s="2" t="s">
        <v>35</v>
      </c>
      <c r="K1341" s="2" t="s">
        <v>10387</v>
      </c>
      <c r="L1341" s="2" t="s">
        <v>685</v>
      </c>
      <c r="M1341" s="2" t="s">
        <v>10390</v>
      </c>
      <c r="N1341" s="2" t="s">
        <v>10391</v>
      </c>
      <c r="O1341" s="2"/>
      <c r="P1341" s="2" t="s">
        <v>37</v>
      </c>
      <c r="Q1341" s="4" t="n">
        <v>3711</v>
      </c>
      <c r="R1341" s="2" t="s">
        <v>688</v>
      </c>
      <c r="S1341" s="2" t="s">
        <v>39</v>
      </c>
      <c r="T1341" s="2" t="s">
        <v>40</v>
      </c>
      <c r="U1341" s="2" t="s">
        <v>10392</v>
      </c>
      <c r="V1341" s="2"/>
      <c r="W1341" s="2" t="s">
        <v>107</v>
      </c>
      <c r="X1341" s="2" t="s">
        <v>43</v>
      </c>
      <c r="Y1341" s="2" t="s">
        <v>37</v>
      </c>
      <c r="Z1341" s="2" t="s">
        <v>44</v>
      </c>
      <c r="AA1341" s="2"/>
      <c r="AB1341" s="2"/>
      <c r="AC1341" s="2" t="s">
        <v>10393</v>
      </c>
      <c r="AD1341" s="2" t="s">
        <v>46</v>
      </c>
    </row>
    <row r="1342" customFormat="false" ht="15.7" hidden="false" customHeight="true" outlineLevel="0" collapsed="false">
      <c r="A1342" s="2"/>
      <c r="B1342" s="3" t="n">
        <f aca="false">DATE(2009,2,17)</f>
        <v>0</v>
      </c>
      <c r="C1342" s="3" t="n">
        <v>39861</v>
      </c>
      <c r="D1342" s="2" t="s">
        <v>10394</v>
      </c>
      <c r="F1342" s="2" t="s">
        <v>10395</v>
      </c>
      <c r="G1342" s="2" t="s">
        <v>10396</v>
      </c>
      <c r="H1342" s="2" t="s">
        <v>130</v>
      </c>
      <c r="I1342" s="2" t="s">
        <v>899</v>
      </c>
      <c r="J1342" s="2" t="s">
        <v>7101</v>
      </c>
      <c r="K1342" s="2" t="s">
        <v>10394</v>
      </c>
      <c r="L1342" s="2" t="s">
        <v>899</v>
      </c>
      <c r="M1342" s="2" t="s">
        <v>130</v>
      </c>
      <c r="N1342" s="2" t="s">
        <v>10397</v>
      </c>
      <c r="O1342" s="2"/>
      <c r="P1342" s="2" t="s">
        <v>37</v>
      </c>
      <c r="Q1342" s="4" t="n">
        <v>8731</v>
      </c>
      <c r="R1342" s="2" t="s">
        <v>869</v>
      </c>
      <c r="S1342" s="2" t="s">
        <v>39</v>
      </c>
      <c r="T1342" s="2" t="s">
        <v>40</v>
      </c>
      <c r="U1342" s="2" t="s">
        <v>10398</v>
      </c>
      <c r="V1342" s="2"/>
      <c r="W1342" s="2" t="s">
        <v>42</v>
      </c>
      <c r="X1342" s="2" t="s">
        <v>43</v>
      </c>
      <c r="Y1342" s="2" t="s">
        <v>37</v>
      </c>
      <c r="Z1342" s="2" t="s">
        <v>44</v>
      </c>
      <c r="AA1342" s="2"/>
      <c r="AB1342" s="2"/>
      <c r="AC1342" s="2" t="s">
        <v>10399</v>
      </c>
      <c r="AD1342" s="2" t="s">
        <v>46</v>
      </c>
    </row>
    <row r="1343" customFormat="false" ht="15.7" hidden="false" customHeight="true" outlineLevel="0" collapsed="false">
      <c r="A1343" s="2"/>
      <c r="B1343" s="3" t="n">
        <f aca="false">DATE(2009,2,23)</f>
        <v>0</v>
      </c>
      <c r="C1343" s="3" t="n">
        <v>39867</v>
      </c>
      <c r="D1343" s="2" t="s">
        <v>10400</v>
      </c>
      <c r="F1343" s="2" t="s">
        <v>10401</v>
      </c>
      <c r="G1343" s="2" t="s">
        <v>10402</v>
      </c>
      <c r="H1343" s="2" t="s">
        <v>10403</v>
      </c>
      <c r="I1343" s="2" t="s">
        <v>5551</v>
      </c>
      <c r="J1343" s="2" t="s">
        <v>35</v>
      </c>
      <c r="K1343" s="2" t="s">
        <v>10400</v>
      </c>
      <c r="L1343" s="2" t="s">
        <v>5551</v>
      </c>
      <c r="M1343" s="2" t="s">
        <v>10403</v>
      </c>
      <c r="N1343" s="2" t="s">
        <v>10404</v>
      </c>
      <c r="O1343" s="2"/>
      <c r="P1343" s="2" t="s">
        <v>37</v>
      </c>
      <c r="Q1343" s="4" t="n">
        <v>8731</v>
      </c>
      <c r="R1343" s="2" t="s">
        <v>38</v>
      </c>
      <c r="S1343" s="2" t="s">
        <v>39</v>
      </c>
      <c r="T1343" s="2" t="s">
        <v>403</v>
      </c>
      <c r="U1343" s="2" t="s">
        <v>10405</v>
      </c>
      <c r="V1343" s="2"/>
      <c r="W1343" s="2" t="s">
        <v>42</v>
      </c>
      <c r="X1343" s="2" t="s">
        <v>46</v>
      </c>
      <c r="Y1343" s="2" t="s">
        <v>37</v>
      </c>
      <c r="Z1343" s="2" t="s">
        <v>362</v>
      </c>
      <c r="AA1343" s="2"/>
      <c r="AB1343" s="2"/>
      <c r="AC1343" s="2" t="s">
        <v>10406</v>
      </c>
      <c r="AD1343" s="2" t="s">
        <v>46</v>
      </c>
    </row>
    <row r="1344" customFormat="false" ht="15.7" hidden="false" customHeight="true" outlineLevel="0" collapsed="false">
      <c r="A1344" s="2"/>
      <c r="B1344" s="3" t="n">
        <f aca="false">DATE(2009,2,27)</f>
        <v>0</v>
      </c>
      <c r="C1344" s="3" t="n">
        <v>39871</v>
      </c>
      <c r="D1344" s="2" t="s">
        <v>10407</v>
      </c>
      <c r="F1344" s="2" t="s">
        <v>10408</v>
      </c>
      <c r="G1344" s="2" t="s">
        <v>10409</v>
      </c>
      <c r="H1344" s="2" t="s">
        <v>130</v>
      </c>
      <c r="I1344" s="2" t="s">
        <v>670</v>
      </c>
      <c r="J1344" s="2" t="s">
        <v>575</v>
      </c>
      <c r="K1344" s="2" t="s">
        <v>10410</v>
      </c>
      <c r="L1344" s="2" t="s">
        <v>670</v>
      </c>
      <c r="M1344" s="2" t="s">
        <v>10411</v>
      </c>
      <c r="N1344" s="2" t="s">
        <v>10412</v>
      </c>
      <c r="O1344" s="2"/>
      <c r="P1344" s="2" t="s">
        <v>37</v>
      </c>
      <c r="Q1344" s="4" t="n">
        <v>8731</v>
      </c>
      <c r="R1344" s="2" t="s">
        <v>136</v>
      </c>
      <c r="S1344" s="2" t="s">
        <v>39</v>
      </c>
      <c r="T1344" s="2" t="s">
        <v>40</v>
      </c>
      <c r="U1344" s="2" t="s">
        <v>10413</v>
      </c>
      <c r="V1344" s="2"/>
      <c r="W1344" s="2" t="s">
        <v>42</v>
      </c>
      <c r="X1344" s="2" t="s">
        <v>43</v>
      </c>
      <c r="Y1344" s="2" t="s">
        <v>37</v>
      </c>
      <c r="Z1344" s="2" t="s">
        <v>44</v>
      </c>
      <c r="AA1344" s="2"/>
      <c r="AB1344" s="2"/>
      <c r="AC1344" s="2" t="s">
        <v>10414</v>
      </c>
      <c r="AD1344" s="2" t="s">
        <v>46</v>
      </c>
    </row>
    <row r="1345" customFormat="false" ht="15.7" hidden="false" customHeight="true" outlineLevel="0" collapsed="false">
      <c r="A1345" s="2"/>
      <c r="B1345" s="3" t="n">
        <f aca="false">DATE(2009,3,4)</f>
        <v>0</v>
      </c>
      <c r="C1345" s="3" t="n">
        <v>39876</v>
      </c>
      <c r="D1345" s="2" t="s">
        <v>10415</v>
      </c>
      <c r="F1345" s="2" t="s">
        <v>10416</v>
      </c>
      <c r="G1345" s="2" t="s">
        <v>10417</v>
      </c>
      <c r="H1345" s="2" t="s">
        <v>10418</v>
      </c>
      <c r="I1345" s="2" t="s">
        <v>51</v>
      </c>
      <c r="J1345" s="2" t="s">
        <v>10419</v>
      </c>
      <c r="K1345" s="2" t="s">
        <v>10415</v>
      </c>
      <c r="L1345" s="2" t="s">
        <v>51</v>
      </c>
      <c r="M1345" s="2" t="s">
        <v>10418</v>
      </c>
      <c r="N1345" s="2" t="s">
        <v>10420</v>
      </c>
      <c r="O1345" s="2"/>
      <c r="P1345" s="2" t="s">
        <v>37</v>
      </c>
      <c r="Q1345" s="4" t="n">
        <v>8731</v>
      </c>
      <c r="R1345" s="2" t="s">
        <v>56</v>
      </c>
      <c r="S1345" s="2" t="s">
        <v>10421</v>
      </c>
      <c r="T1345" s="2" t="s">
        <v>403</v>
      </c>
      <c r="U1345" s="2" t="s">
        <v>10422</v>
      </c>
      <c r="V1345" s="2"/>
      <c r="W1345" s="2" t="s">
        <v>42</v>
      </c>
      <c r="X1345" s="2" t="s">
        <v>46</v>
      </c>
      <c r="Y1345" s="2" t="s">
        <v>37</v>
      </c>
      <c r="Z1345" s="2" t="s">
        <v>362</v>
      </c>
      <c r="AA1345" s="2"/>
      <c r="AB1345" s="2"/>
      <c r="AC1345" s="2" t="s">
        <v>10423</v>
      </c>
      <c r="AD1345" s="2" t="s">
        <v>46</v>
      </c>
    </row>
    <row r="1346" customFormat="false" ht="15.7" hidden="false" customHeight="true" outlineLevel="0" collapsed="false">
      <c r="A1346" s="2"/>
      <c r="B1346" s="3" t="n">
        <f aca="false">DATE(2009,3,6)</f>
        <v>0</v>
      </c>
      <c r="C1346" s="3" t="n">
        <v>39878</v>
      </c>
      <c r="D1346" s="2" t="s">
        <v>10424</v>
      </c>
      <c r="F1346" s="2" t="s">
        <v>10425</v>
      </c>
      <c r="G1346" s="2" t="s">
        <v>10426</v>
      </c>
      <c r="H1346" s="2" t="s">
        <v>305</v>
      </c>
      <c r="I1346" s="2" t="s">
        <v>3696</v>
      </c>
      <c r="J1346" s="2" t="s">
        <v>35</v>
      </c>
      <c r="K1346" s="2" t="s">
        <v>10424</v>
      </c>
      <c r="L1346" s="2" t="s">
        <v>3696</v>
      </c>
      <c r="M1346" s="2" t="s">
        <v>305</v>
      </c>
      <c r="N1346" s="2" t="s">
        <v>10427</v>
      </c>
      <c r="O1346" s="2"/>
      <c r="P1346" s="2" t="s">
        <v>37</v>
      </c>
      <c r="Q1346" s="4" t="n">
        <v>2834</v>
      </c>
      <c r="R1346" s="2" t="s">
        <v>56</v>
      </c>
      <c r="S1346" s="2" t="s">
        <v>2265</v>
      </c>
      <c r="T1346" s="2" t="s">
        <v>40</v>
      </c>
      <c r="U1346" s="2" t="s">
        <v>10428</v>
      </c>
      <c r="V1346" s="2"/>
      <c r="W1346" s="2" t="s">
        <v>1801</v>
      </c>
      <c r="X1346" s="2" t="s">
        <v>43</v>
      </c>
      <c r="Y1346" s="2" t="s">
        <v>37</v>
      </c>
      <c r="Z1346" s="2" t="s">
        <v>44</v>
      </c>
      <c r="AA1346" s="2" t="s">
        <v>10429</v>
      </c>
      <c r="AB1346" s="2"/>
      <c r="AC1346" s="2" t="s">
        <v>10430</v>
      </c>
      <c r="AD1346" s="2" t="s">
        <v>46</v>
      </c>
    </row>
    <row r="1347" customFormat="false" ht="15.7" hidden="false" customHeight="true" outlineLevel="0" collapsed="false">
      <c r="A1347" s="2"/>
      <c r="B1347" s="3" t="n">
        <f aca="false">DATE(2009,3,10)</f>
        <v>0</v>
      </c>
      <c r="C1347" s="3" t="n">
        <v>39882</v>
      </c>
      <c r="D1347" s="2" t="s">
        <v>10431</v>
      </c>
      <c r="F1347" s="2" t="s">
        <v>10432</v>
      </c>
      <c r="G1347" s="2" t="s">
        <v>10433</v>
      </c>
      <c r="H1347" s="2" t="s">
        <v>6253</v>
      </c>
      <c r="I1347" s="2" t="s">
        <v>51</v>
      </c>
      <c r="J1347" s="2" t="s">
        <v>10434</v>
      </c>
      <c r="K1347" s="2" t="s">
        <v>10431</v>
      </c>
      <c r="L1347" s="2" t="s">
        <v>51</v>
      </c>
      <c r="M1347" s="2" t="s">
        <v>6253</v>
      </c>
      <c r="N1347" s="2" t="s">
        <v>10435</v>
      </c>
      <c r="O1347" s="2"/>
      <c r="P1347" s="2" t="s">
        <v>37</v>
      </c>
      <c r="Q1347" s="4" t="n">
        <v>3089</v>
      </c>
      <c r="R1347" s="2" t="s">
        <v>56</v>
      </c>
      <c r="S1347" s="2" t="s">
        <v>1576</v>
      </c>
      <c r="T1347" s="2" t="s">
        <v>40</v>
      </c>
      <c r="U1347" s="2" t="s">
        <v>10436</v>
      </c>
      <c r="V1347" s="2"/>
      <c r="W1347" s="2" t="s">
        <v>107</v>
      </c>
      <c r="X1347" s="2" t="s">
        <v>43</v>
      </c>
      <c r="Y1347" s="2" t="s">
        <v>37</v>
      </c>
      <c r="Z1347" s="2" t="s">
        <v>44</v>
      </c>
      <c r="AA1347" s="2"/>
      <c r="AB1347" s="2"/>
      <c r="AC1347" s="2" t="s">
        <v>10437</v>
      </c>
      <c r="AD1347" s="2" t="s">
        <v>46</v>
      </c>
    </row>
    <row r="1348" customFormat="false" ht="15.7" hidden="false" customHeight="true" outlineLevel="0" collapsed="false">
      <c r="A1348" s="2"/>
      <c r="B1348" s="3" t="n">
        <f aca="false">DATE(2009,3,12)</f>
        <v>0</v>
      </c>
      <c r="C1348" s="3" t="n">
        <v>39884</v>
      </c>
      <c r="D1348" s="2" t="s">
        <v>10438</v>
      </c>
      <c r="F1348" s="2" t="s">
        <v>10439</v>
      </c>
      <c r="G1348" s="2" t="s">
        <v>10440</v>
      </c>
      <c r="H1348" s="2" t="s">
        <v>1806</v>
      </c>
      <c r="I1348" s="2" t="s">
        <v>51</v>
      </c>
      <c r="J1348" s="2" t="s">
        <v>1572</v>
      </c>
      <c r="K1348" s="2" t="s">
        <v>10438</v>
      </c>
      <c r="L1348" s="2" t="s">
        <v>51</v>
      </c>
      <c r="M1348" s="2" t="s">
        <v>1806</v>
      </c>
      <c r="N1348" s="2" t="s">
        <v>10441</v>
      </c>
      <c r="O1348" s="2"/>
      <c r="P1348" s="2" t="s">
        <v>37</v>
      </c>
      <c r="Q1348" s="4" t="n">
        <v>2819</v>
      </c>
      <c r="R1348" s="2" t="s">
        <v>56</v>
      </c>
      <c r="S1348" s="2" t="s">
        <v>1576</v>
      </c>
      <c r="T1348" s="2" t="s">
        <v>40</v>
      </c>
      <c r="U1348" s="2" t="s">
        <v>10442</v>
      </c>
      <c r="V1348" s="2"/>
      <c r="W1348" s="2" t="s">
        <v>42</v>
      </c>
      <c r="X1348" s="2" t="s">
        <v>43</v>
      </c>
      <c r="Y1348" s="2" t="s">
        <v>37</v>
      </c>
      <c r="Z1348" s="2" t="s">
        <v>44</v>
      </c>
      <c r="AA1348" s="2"/>
      <c r="AB1348" s="2"/>
      <c r="AC1348" s="2" t="s">
        <v>10443</v>
      </c>
      <c r="AD1348" s="2" t="s">
        <v>46</v>
      </c>
    </row>
    <row r="1349" customFormat="false" ht="15.7" hidden="false" customHeight="true" outlineLevel="0" collapsed="false">
      <c r="A1349" s="2"/>
      <c r="B1349" s="3" t="n">
        <f aca="false">DATE(2009,3,16)</f>
        <v>0</v>
      </c>
      <c r="C1349" s="3" t="n">
        <v>39888</v>
      </c>
      <c r="D1349" s="2" t="s">
        <v>10444</v>
      </c>
      <c r="F1349" s="2" t="s">
        <v>10445</v>
      </c>
      <c r="G1349" s="2" t="s">
        <v>10446</v>
      </c>
      <c r="H1349" s="2" t="s">
        <v>762</v>
      </c>
      <c r="I1349" s="2" t="s">
        <v>1367</v>
      </c>
      <c r="J1349" s="2" t="s">
        <v>35</v>
      </c>
      <c r="K1349" s="2" t="s">
        <v>10444</v>
      </c>
      <c r="L1349" s="2" t="s">
        <v>1367</v>
      </c>
      <c r="M1349" s="2" t="s">
        <v>762</v>
      </c>
      <c r="N1349" s="2" t="s">
        <v>10447</v>
      </c>
      <c r="O1349" s="2"/>
      <c r="P1349" s="2" t="s">
        <v>37</v>
      </c>
      <c r="Q1349" s="4" t="n">
        <v>8731</v>
      </c>
      <c r="R1349" s="2" t="s">
        <v>136</v>
      </c>
      <c r="S1349" s="2" t="s">
        <v>39</v>
      </c>
      <c r="T1349" s="2" t="s">
        <v>40</v>
      </c>
      <c r="U1349" s="2" t="s">
        <v>10448</v>
      </c>
      <c r="V1349" s="2"/>
      <c r="W1349" s="2" t="s">
        <v>42</v>
      </c>
      <c r="X1349" s="2" t="s">
        <v>43</v>
      </c>
      <c r="Y1349" s="2" t="s">
        <v>37</v>
      </c>
      <c r="Z1349" s="2" t="s">
        <v>44</v>
      </c>
      <c r="AA1349" s="2"/>
      <c r="AB1349" s="2"/>
      <c r="AC1349" s="2" t="s">
        <v>10449</v>
      </c>
      <c r="AD1349" s="2" t="s">
        <v>46</v>
      </c>
    </row>
    <row r="1350" customFormat="false" ht="15.7" hidden="false" customHeight="true" outlineLevel="0" collapsed="false">
      <c r="A1350" s="2"/>
      <c r="B1350" s="3" t="n">
        <f aca="false">DATE(2009,3,17)</f>
        <v>0</v>
      </c>
      <c r="C1350" s="3" t="n">
        <v>39889</v>
      </c>
      <c r="D1350" s="2" t="s">
        <v>10450</v>
      </c>
      <c r="F1350" s="2" t="s">
        <v>10451</v>
      </c>
      <c r="G1350" s="2" t="s">
        <v>10452</v>
      </c>
      <c r="H1350" s="2" t="s">
        <v>1027</v>
      </c>
      <c r="I1350" s="2" t="s">
        <v>1437</v>
      </c>
      <c r="J1350" s="2" t="s">
        <v>35</v>
      </c>
      <c r="K1350" s="2" t="s">
        <v>10450</v>
      </c>
      <c r="L1350" s="2" t="s">
        <v>1437</v>
      </c>
      <c r="M1350" s="2" t="s">
        <v>1027</v>
      </c>
      <c r="N1350" s="2" t="s">
        <v>10453</v>
      </c>
      <c r="O1350" s="2"/>
      <c r="P1350" s="2" t="s">
        <v>37</v>
      </c>
      <c r="Q1350" s="4" t="n">
        <v>8731</v>
      </c>
      <c r="R1350" s="2" t="s">
        <v>1441</v>
      </c>
      <c r="S1350" s="2" t="s">
        <v>39</v>
      </c>
      <c r="T1350" s="2" t="s">
        <v>403</v>
      </c>
      <c r="U1350" s="2" t="s">
        <v>10454</v>
      </c>
      <c r="V1350" s="2"/>
      <c r="W1350" s="2" t="s">
        <v>42</v>
      </c>
      <c r="X1350" s="2" t="s">
        <v>46</v>
      </c>
      <c r="Y1350" s="2" t="s">
        <v>37</v>
      </c>
      <c r="Z1350" s="2" t="s">
        <v>10455</v>
      </c>
      <c r="AA1350" s="2"/>
      <c r="AB1350" s="2"/>
      <c r="AC1350" s="2" t="s">
        <v>10456</v>
      </c>
      <c r="AD1350" s="2" t="s">
        <v>46</v>
      </c>
    </row>
    <row r="1351" customFormat="false" ht="15.7" hidden="false" customHeight="true" outlineLevel="0" collapsed="false">
      <c r="A1351" s="2"/>
      <c r="B1351" s="3" t="n">
        <f aca="false">DATE(2009,3,18)</f>
        <v>0</v>
      </c>
      <c r="C1351" s="3" t="n">
        <v>39890</v>
      </c>
      <c r="D1351" s="2" t="s">
        <v>10457</v>
      </c>
      <c r="F1351" s="2" t="s">
        <v>10458</v>
      </c>
      <c r="G1351" s="2" t="s">
        <v>10459</v>
      </c>
      <c r="H1351" s="2" t="s">
        <v>7521</v>
      </c>
      <c r="I1351" s="2" t="s">
        <v>4325</v>
      </c>
      <c r="J1351" s="2" t="s">
        <v>35</v>
      </c>
      <c r="K1351" s="2" t="s">
        <v>10460</v>
      </c>
      <c r="L1351" s="2" t="s">
        <v>4325</v>
      </c>
      <c r="M1351" s="2" t="s">
        <v>10461</v>
      </c>
      <c r="N1351" s="2" t="s">
        <v>10462</v>
      </c>
      <c r="O1351" s="2"/>
      <c r="P1351" s="2" t="s">
        <v>37</v>
      </c>
      <c r="Q1351" s="4" t="n">
        <v>8731</v>
      </c>
      <c r="R1351" s="2" t="s">
        <v>402</v>
      </c>
      <c r="S1351" s="2" t="s">
        <v>39</v>
      </c>
      <c r="T1351" s="2" t="s">
        <v>403</v>
      </c>
      <c r="U1351" s="2" t="s">
        <v>10463</v>
      </c>
      <c r="V1351" s="2"/>
      <c r="W1351" s="2" t="s">
        <v>42</v>
      </c>
      <c r="X1351" s="2" t="s">
        <v>46</v>
      </c>
      <c r="Y1351" s="2" t="s">
        <v>37</v>
      </c>
      <c r="Z1351" s="2" t="s">
        <v>2080</v>
      </c>
      <c r="AA1351" s="2"/>
      <c r="AB1351" s="2"/>
      <c r="AC1351" s="2" t="s">
        <v>10464</v>
      </c>
      <c r="AD1351" s="2" t="s">
        <v>46</v>
      </c>
    </row>
    <row r="1352" customFormat="false" ht="15.7" hidden="false" customHeight="true" outlineLevel="0" collapsed="false">
      <c r="A1352" s="2"/>
      <c r="B1352" s="3" t="n">
        <f aca="false">DATE(2009,3,20)</f>
        <v>0</v>
      </c>
      <c r="C1352" s="3" t="n">
        <v>39892</v>
      </c>
      <c r="D1352" s="2" t="s">
        <v>10465</v>
      </c>
      <c r="F1352" s="2" t="s">
        <v>408</v>
      </c>
      <c r="G1352" s="2" t="s">
        <v>10466</v>
      </c>
      <c r="H1352" s="2" t="s">
        <v>170</v>
      </c>
      <c r="I1352" s="2" t="s">
        <v>10467</v>
      </c>
      <c r="J1352" s="2" t="s">
        <v>35</v>
      </c>
      <c r="K1352" s="2" t="s">
        <v>10465</v>
      </c>
      <c r="L1352" s="2" t="s">
        <v>10467</v>
      </c>
      <c r="M1352" s="2" t="s">
        <v>170</v>
      </c>
      <c r="N1352" s="2" t="s">
        <v>10468</v>
      </c>
      <c r="O1352" s="2" t="s">
        <v>10469</v>
      </c>
      <c r="P1352" s="2" t="s">
        <v>37</v>
      </c>
      <c r="Q1352" s="4" t="n">
        <v>2836</v>
      </c>
      <c r="R1352" s="2" t="s">
        <v>2237</v>
      </c>
      <c r="S1352" s="2" t="s">
        <v>39</v>
      </c>
      <c r="T1352" s="2" t="s">
        <v>40</v>
      </c>
      <c r="U1352" s="2" t="s">
        <v>10470</v>
      </c>
      <c r="V1352" s="2"/>
      <c r="W1352" s="2" t="s">
        <v>42</v>
      </c>
      <c r="X1352" s="2" t="s">
        <v>46</v>
      </c>
      <c r="Y1352" s="2" t="s">
        <v>37</v>
      </c>
      <c r="Z1352" s="2" t="s">
        <v>756</v>
      </c>
      <c r="AA1352" s="2"/>
      <c r="AB1352" s="2" t="s">
        <v>10471</v>
      </c>
      <c r="AC1352" s="2" t="s">
        <v>10472</v>
      </c>
      <c r="AD1352" s="2" t="s">
        <v>46</v>
      </c>
    </row>
    <row r="1353" customFormat="false" ht="15.7" hidden="false" customHeight="true" outlineLevel="0" collapsed="false">
      <c r="A1353" s="2"/>
      <c r="B1353" s="3" t="n">
        <f aca="false">DATE(2009,3,23)</f>
        <v>0</v>
      </c>
      <c r="C1353" s="3" t="n">
        <v>39895</v>
      </c>
      <c r="D1353" s="2" t="s">
        <v>10473</v>
      </c>
      <c r="F1353" s="2" t="s">
        <v>1260</v>
      </c>
      <c r="G1353" s="2" t="s">
        <v>10474</v>
      </c>
      <c r="H1353" s="2" t="s">
        <v>130</v>
      </c>
      <c r="I1353" s="2" t="s">
        <v>51</v>
      </c>
      <c r="J1353" s="2" t="s">
        <v>994</v>
      </c>
      <c r="K1353" s="2" t="s">
        <v>10473</v>
      </c>
      <c r="L1353" s="2" t="s">
        <v>51</v>
      </c>
      <c r="M1353" s="2" t="s">
        <v>130</v>
      </c>
      <c r="N1353" s="2" t="s">
        <v>10475</v>
      </c>
      <c r="O1353" s="2"/>
      <c r="P1353" s="2" t="s">
        <v>37</v>
      </c>
      <c r="Q1353" s="4" t="n">
        <v>8731</v>
      </c>
      <c r="R1353" s="2" t="s">
        <v>56</v>
      </c>
      <c r="S1353" s="2" t="s">
        <v>92</v>
      </c>
      <c r="T1353" s="2" t="s">
        <v>40</v>
      </c>
      <c r="U1353" s="2" t="s">
        <v>10476</v>
      </c>
      <c r="V1353" s="2"/>
      <c r="W1353" s="2" t="s">
        <v>42</v>
      </c>
      <c r="X1353" s="2" t="s">
        <v>43</v>
      </c>
      <c r="Y1353" s="2" t="s">
        <v>37</v>
      </c>
      <c r="Z1353" s="2" t="s">
        <v>44</v>
      </c>
      <c r="AA1353" s="2"/>
      <c r="AB1353" s="2"/>
      <c r="AC1353" s="2" t="s">
        <v>10477</v>
      </c>
      <c r="AD1353" s="2" t="s">
        <v>46</v>
      </c>
    </row>
    <row r="1354" customFormat="false" ht="15.7" hidden="false" customHeight="true" outlineLevel="0" collapsed="false">
      <c r="A1354" s="2"/>
      <c r="B1354" s="3" t="n">
        <f aca="false">DATE(2009,3,23)</f>
        <v>0</v>
      </c>
      <c r="C1354" s="3" t="n">
        <v>39895</v>
      </c>
      <c r="D1354" s="2" t="s">
        <v>10478</v>
      </c>
      <c r="F1354" s="2" t="s">
        <v>75</v>
      </c>
      <c r="G1354" s="2" t="s">
        <v>10479</v>
      </c>
      <c r="H1354" s="2" t="s">
        <v>63</v>
      </c>
      <c r="I1354" s="2" t="s">
        <v>1904</v>
      </c>
      <c r="J1354" s="2" t="s">
        <v>795</v>
      </c>
      <c r="K1354" s="2" t="s">
        <v>10480</v>
      </c>
      <c r="L1354" s="2" t="s">
        <v>1904</v>
      </c>
      <c r="M1354" s="2" t="s">
        <v>63</v>
      </c>
      <c r="N1354" s="2" t="s">
        <v>10481</v>
      </c>
      <c r="O1354" s="2"/>
      <c r="P1354" s="2" t="s">
        <v>37</v>
      </c>
      <c r="Q1354" s="4" t="n">
        <v>8731</v>
      </c>
      <c r="R1354" s="2" t="s">
        <v>450</v>
      </c>
      <c r="S1354" s="2" t="s">
        <v>39</v>
      </c>
      <c r="T1354" s="2" t="s">
        <v>2444</v>
      </c>
      <c r="U1354" s="2" t="s">
        <v>10482</v>
      </c>
      <c r="V1354" s="2"/>
      <c r="W1354" s="2" t="s">
        <v>344</v>
      </c>
      <c r="X1354" s="2" t="s">
        <v>43</v>
      </c>
      <c r="Y1354" s="2" t="s">
        <v>37</v>
      </c>
      <c r="Z1354" s="2" t="s">
        <v>44</v>
      </c>
      <c r="AA1354" s="2"/>
      <c r="AB1354" s="2"/>
      <c r="AC1354" s="2" t="s">
        <v>10483</v>
      </c>
      <c r="AD1354" s="2" t="s">
        <v>46</v>
      </c>
    </row>
    <row r="1355" customFormat="false" ht="15.7" hidden="false" customHeight="true" outlineLevel="0" collapsed="false">
      <c r="A1355" s="2"/>
      <c r="B1355" s="3" t="n">
        <f aca="false">DATE(2009,3,24)</f>
        <v>0</v>
      </c>
      <c r="C1355" s="3" t="n">
        <v>39896</v>
      </c>
      <c r="D1355" s="2" t="s">
        <v>10484</v>
      </c>
      <c r="F1355" s="2" t="s">
        <v>10485</v>
      </c>
      <c r="G1355" s="2" t="s">
        <v>10486</v>
      </c>
      <c r="H1355" s="2" t="s">
        <v>10487</v>
      </c>
      <c r="I1355" s="2" t="s">
        <v>51</v>
      </c>
      <c r="J1355" s="2" t="s">
        <v>10488</v>
      </c>
      <c r="K1355" s="2" t="s">
        <v>10484</v>
      </c>
      <c r="L1355" s="2" t="s">
        <v>51</v>
      </c>
      <c r="M1355" s="2" t="s">
        <v>10487</v>
      </c>
      <c r="N1355" s="2" t="s">
        <v>10489</v>
      </c>
      <c r="O1355" s="2"/>
      <c r="P1355" s="2" t="s">
        <v>37</v>
      </c>
      <c r="Q1355" s="4" t="n">
        <v>8731</v>
      </c>
      <c r="R1355" s="2" t="s">
        <v>56</v>
      </c>
      <c r="S1355" s="2" t="s">
        <v>92</v>
      </c>
      <c r="T1355" s="2" t="s">
        <v>40</v>
      </c>
      <c r="U1355" s="2" t="s">
        <v>10490</v>
      </c>
      <c r="V1355" s="2"/>
      <c r="W1355" s="2" t="s">
        <v>42</v>
      </c>
      <c r="X1355" s="2" t="s">
        <v>43</v>
      </c>
      <c r="Y1355" s="2" t="s">
        <v>37</v>
      </c>
      <c r="Z1355" s="2" t="s">
        <v>44</v>
      </c>
      <c r="AA1355" s="2"/>
      <c r="AB1355" s="2"/>
      <c r="AC1355" s="2" t="s">
        <v>10491</v>
      </c>
      <c r="AD1355" s="2" t="s">
        <v>46</v>
      </c>
    </row>
    <row r="1356" customFormat="false" ht="15.7" hidden="false" customHeight="true" outlineLevel="0" collapsed="false">
      <c r="A1356" s="2"/>
      <c r="B1356" s="3" t="n">
        <f aca="false">DATE(2009,3,26)</f>
        <v>0</v>
      </c>
      <c r="C1356" s="3" t="n">
        <v>39898</v>
      </c>
      <c r="D1356" s="2" t="s">
        <v>10492</v>
      </c>
      <c r="F1356" s="2" t="s">
        <v>10493</v>
      </c>
      <c r="G1356" s="2" t="s">
        <v>10494</v>
      </c>
      <c r="H1356" s="2" t="s">
        <v>10495</v>
      </c>
      <c r="I1356" s="2" t="s">
        <v>64</v>
      </c>
      <c r="J1356" s="2" t="s">
        <v>65</v>
      </c>
      <c r="K1356" s="2" t="s">
        <v>10496</v>
      </c>
      <c r="L1356" s="2" t="s">
        <v>64</v>
      </c>
      <c r="M1356" s="2" t="s">
        <v>2779</v>
      </c>
      <c r="N1356" s="2" t="s">
        <v>10497</v>
      </c>
      <c r="O1356" s="2"/>
      <c r="P1356" s="2" t="s">
        <v>37</v>
      </c>
      <c r="Q1356" s="4" t="n">
        <v>8731</v>
      </c>
      <c r="R1356" s="2" t="s">
        <v>70</v>
      </c>
      <c r="S1356" s="2" t="s">
        <v>39</v>
      </c>
      <c r="T1356" s="2" t="s">
        <v>403</v>
      </c>
      <c r="U1356" s="2" t="s">
        <v>10498</v>
      </c>
      <c r="V1356" s="2"/>
      <c r="W1356" s="2" t="s">
        <v>42</v>
      </c>
      <c r="X1356" s="2" t="s">
        <v>46</v>
      </c>
      <c r="Y1356" s="2" t="s">
        <v>37</v>
      </c>
      <c r="Z1356" s="2" t="s">
        <v>362</v>
      </c>
      <c r="AA1356" s="2"/>
      <c r="AB1356" s="2"/>
      <c r="AC1356" s="2" t="s">
        <v>10499</v>
      </c>
      <c r="AD1356" s="2" t="s">
        <v>46</v>
      </c>
    </row>
    <row r="1357" customFormat="false" ht="15.7" hidden="false" customHeight="true" outlineLevel="0" collapsed="false">
      <c r="A1357" s="2"/>
      <c r="B1357" s="3" t="n">
        <f aca="false">DATE(2009,3,31)</f>
        <v>0</v>
      </c>
      <c r="C1357" s="3" t="n">
        <v>39903</v>
      </c>
      <c r="D1357" s="2" t="s">
        <v>10500</v>
      </c>
      <c r="F1357" s="2" t="s">
        <v>10501</v>
      </c>
      <c r="G1357" s="2" t="s">
        <v>10502</v>
      </c>
      <c r="H1357" s="2" t="s">
        <v>305</v>
      </c>
      <c r="I1357" s="2" t="s">
        <v>51</v>
      </c>
      <c r="J1357" s="2" t="s">
        <v>10503</v>
      </c>
      <c r="K1357" s="2" t="s">
        <v>10504</v>
      </c>
      <c r="L1357" s="2" t="s">
        <v>51</v>
      </c>
      <c r="M1357" s="2" t="s">
        <v>10505</v>
      </c>
      <c r="N1357" s="2" t="s">
        <v>10506</v>
      </c>
      <c r="O1357" s="2"/>
      <c r="P1357" s="2" t="s">
        <v>37</v>
      </c>
      <c r="Q1357" s="4" t="n">
        <v>8731</v>
      </c>
      <c r="R1357" s="2" t="s">
        <v>56</v>
      </c>
      <c r="S1357" s="2" t="s">
        <v>2265</v>
      </c>
      <c r="T1357" s="2" t="s">
        <v>40</v>
      </c>
      <c r="U1357" s="2" t="s">
        <v>10507</v>
      </c>
      <c r="V1357" s="2"/>
      <c r="W1357" s="2" t="s">
        <v>42</v>
      </c>
      <c r="X1357" s="2" t="s">
        <v>43</v>
      </c>
      <c r="Y1357" s="2" t="s">
        <v>37</v>
      </c>
      <c r="Z1357" s="2" t="s">
        <v>44</v>
      </c>
      <c r="AA1357" s="2"/>
      <c r="AB1357" s="2"/>
      <c r="AC1357" s="2" t="s">
        <v>10508</v>
      </c>
      <c r="AD1357" s="2" t="s">
        <v>46</v>
      </c>
    </row>
    <row r="1358" customFormat="false" ht="15.7" hidden="false" customHeight="true" outlineLevel="0" collapsed="false">
      <c r="A1358" s="2"/>
      <c r="B1358" s="3" t="n">
        <f aca="false">DATE(2009,4,2)</f>
        <v>0</v>
      </c>
      <c r="C1358" s="3" t="n">
        <v>39905</v>
      </c>
      <c r="D1358" s="2" t="s">
        <v>10509</v>
      </c>
      <c r="F1358" s="2" t="s">
        <v>10510</v>
      </c>
      <c r="G1358" s="2" t="s">
        <v>10511</v>
      </c>
      <c r="H1358" s="2" t="s">
        <v>10512</v>
      </c>
      <c r="I1358" s="2" t="s">
        <v>664</v>
      </c>
      <c r="J1358" s="2" t="s">
        <v>132</v>
      </c>
      <c r="K1358" s="2" t="s">
        <v>10509</v>
      </c>
      <c r="L1358" s="2" t="s">
        <v>51</v>
      </c>
      <c r="M1358" s="2" t="s">
        <v>10513</v>
      </c>
      <c r="N1358" s="2" t="s">
        <v>10514</v>
      </c>
      <c r="O1358" s="2"/>
      <c r="P1358" s="2" t="s">
        <v>37</v>
      </c>
      <c r="Q1358" s="4" t="n">
        <v>8731</v>
      </c>
      <c r="R1358" s="2" t="s">
        <v>136</v>
      </c>
      <c r="S1358" s="2" t="s">
        <v>39</v>
      </c>
      <c r="T1358" s="2" t="s">
        <v>40</v>
      </c>
      <c r="U1358" s="2" t="s">
        <v>10515</v>
      </c>
      <c r="V1358" s="2"/>
      <c r="W1358" s="2" t="s">
        <v>42</v>
      </c>
      <c r="X1358" s="2" t="s">
        <v>43</v>
      </c>
      <c r="Y1358" s="2" t="s">
        <v>37</v>
      </c>
      <c r="Z1358" s="2" t="s">
        <v>44</v>
      </c>
      <c r="AA1358" s="2"/>
      <c r="AB1358" s="2"/>
      <c r="AC1358" s="2" t="s">
        <v>10516</v>
      </c>
      <c r="AD1358" s="2" t="s">
        <v>46</v>
      </c>
    </row>
    <row r="1359" customFormat="false" ht="15.7" hidden="false" customHeight="true" outlineLevel="0" collapsed="false">
      <c r="A1359" s="2"/>
      <c r="B1359" s="3" t="n">
        <f aca="false">DATE(2009,4,3)</f>
        <v>0</v>
      </c>
      <c r="C1359" s="3" t="n">
        <v>39906</v>
      </c>
      <c r="D1359" s="2" t="s">
        <v>10517</v>
      </c>
      <c r="F1359" s="2" t="s">
        <v>10518</v>
      </c>
      <c r="G1359" s="2" t="s">
        <v>10519</v>
      </c>
      <c r="H1359" s="2" t="s">
        <v>10520</v>
      </c>
      <c r="I1359" s="2" t="s">
        <v>51</v>
      </c>
      <c r="J1359" s="2" t="s">
        <v>10521</v>
      </c>
      <c r="K1359" s="2" t="s">
        <v>10517</v>
      </c>
      <c r="L1359" s="2" t="s">
        <v>51</v>
      </c>
      <c r="M1359" s="2" t="s">
        <v>10520</v>
      </c>
      <c r="N1359" s="2" t="s">
        <v>10522</v>
      </c>
      <c r="O1359" s="2"/>
      <c r="P1359" s="2" t="s">
        <v>37</v>
      </c>
      <c r="Q1359" s="4" t="n">
        <v>8731</v>
      </c>
      <c r="R1359" s="2" t="s">
        <v>136</v>
      </c>
      <c r="S1359" s="2" t="s">
        <v>39</v>
      </c>
      <c r="T1359" s="2" t="s">
        <v>40</v>
      </c>
      <c r="U1359" s="2" t="s">
        <v>10523</v>
      </c>
      <c r="V1359" s="2"/>
      <c r="W1359" s="2" t="s">
        <v>42</v>
      </c>
      <c r="X1359" s="2" t="s">
        <v>43</v>
      </c>
      <c r="Y1359" s="2" t="s">
        <v>37</v>
      </c>
      <c r="Z1359" s="2" t="s">
        <v>44</v>
      </c>
      <c r="AA1359" s="2"/>
      <c r="AB1359" s="2"/>
      <c r="AC1359" s="2" t="s">
        <v>10524</v>
      </c>
      <c r="AD1359" s="2" t="s">
        <v>46</v>
      </c>
    </row>
    <row r="1360" customFormat="false" ht="15.7" hidden="false" customHeight="true" outlineLevel="0" collapsed="false">
      <c r="A1360" s="2"/>
      <c r="B1360" s="3" t="n">
        <f aca="false">DATE(2009,4,7)</f>
        <v>0</v>
      </c>
      <c r="C1360" s="3" t="n">
        <v>39910</v>
      </c>
      <c r="D1360" s="2" t="s">
        <v>10525</v>
      </c>
      <c r="F1360" s="2" t="s">
        <v>10526</v>
      </c>
      <c r="G1360" s="2" t="s">
        <v>10527</v>
      </c>
      <c r="H1360" s="2" t="s">
        <v>10528</v>
      </c>
      <c r="I1360" s="2" t="s">
        <v>202</v>
      </c>
      <c r="J1360" s="2" t="s">
        <v>203</v>
      </c>
      <c r="K1360" s="2" t="s">
        <v>10529</v>
      </c>
      <c r="L1360" s="2" t="s">
        <v>10530</v>
      </c>
      <c r="M1360" s="2" t="s">
        <v>10528</v>
      </c>
      <c r="N1360" s="2" t="s">
        <v>10531</v>
      </c>
      <c r="O1360" s="2"/>
      <c r="P1360" s="2" t="s">
        <v>37</v>
      </c>
      <c r="Q1360" s="4" t="n">
        <v>8731</v>
      </c>
      <c r="R1360" s="2" t="s">
        <v>56</v>
      </c>
      <c r="S1360" s="2" t="s">
        <v>92</v>
      </c>
      <c r="T1360" s="2" t="s">
        <v>40</v>
      </c>
      <c r="U1360" s="2" t="s">
        <v>10532</v>
      </c>
      <c r="V1360" s="2"/>
      <c r="W1360" s="2" t="s">
        <v>42</v>
      </c>
      <c r="X1360" s="2" t="s">
        <v>43</v>
      </c>
      <c r="Y1360" s="2" t="s">
        <v>37</v>
      </c>
      <c r="Z1360" s="2" t="s">
        <v>44</v>
      </c>
      <c r="AA1360" s="2"/>
      <c r="AB1360" s="2"/>
      <c r="AC1360" s="2" t="s">
        <v>10533</v>
      </c>
      <c r="AD1360" s="2" t="s">
        <v>46</v>
      </c>
    </row>
    <row r="1361" customFormat="false" ht="15.7" hidden="false" customHeight="true" outlineLevel="0" collapsed="false">
      <c r="A1361" s="2"/>
      <c r="B1361" s="3" t="n">
        <f aca="false">DATE(2009,4,13)</f>
        <v>0</v>
      </c>
      <c r="C1361" s="3" t="n">
        <v>39916</v>
      </c>
      <c r="D1361" s="2" t="s">
        <v>10534</v>
      </c>
      <c r="F1361" s="2" t="s">
        <v>303</v>
      </c>
      <c r="G1361" s="2" t="s">
        <v>10535</v>
      </c>
      <c r="H1361" s="2" t="s">
        <v>305</v>
      </c>
      <c r="I1361" s="2" t="s">
        <v>1904</v>
      </c>
      <c r="J1361" s="2" t="s">
        <v>228</v>
      </c>
      <c r="K1361" s="2" t="s">
        <v>10534</v>
      </c>
      <c r="L1361" s="2" t="s">
        <v>1904</v>
      </c>
      <c r="M1361" s="2" t="s">
        <v>305</v>
      </c>
      <c r="N1361" s="2" t="s">
        <v>10536</v>
      </c>
      <c r="O1361" s="2"/>
      <c r="P1361" s="2" t="s">
        <v>37</v>
      </c>
      <c r="Q1361" s="4" t="n">
        <v>8731</v>
      </c>
      <c r="R1361" s="2" t="s">
        <v>450</v>
      </c>
      <c r="S1361" s="2" t="s">
        <v>39</v>
      </c>
      <c r="T1361" s="2" t="s">
        <v>403</v>
      </c>
      <c r="U1361" s="2" t="s">
        <v>10537</v>
      </c>
      <c r="V1361" s="2"/>
      <c r="W1361" s="2" t="s">
        <v>42</v>
      </c>
      <c r="X1361" s="2" t="s">
        <v>46</v>
      </c>
      <c r="Y1361" s="2" t="s">
        <v>37</v>
      </c>
      <c r="Z1361" s="2" t="s">
        <v>2080</v>
      </c>
      <c r="AA1361" s="2"/>
      <c r="AB1361" s="2"/>
      <c r="AC1361" s="2" t="s">
        <v>10538</v>
      </c>
      <c r="AD1361" s="2" t="s">
        <v>46</v>
      </c>
    </row>
    <row r="1362" customFormat="false" ht="15.7" hidden="false" customHeight="true" outlineLevel="0" collapsed="false">
      <c r="A1362" s="2"/>
      <c r="B1362" s="3" t="n">
        <f aca="false">DATE(2009,4,15)</f>
        <v>0</v>
      </c>
      <c r="C1362" s="3" t="n">
        <v>39918</v>
      </c>
      <c r="D1362" s="2" t="s">
        <v>10539</v>
      </c>
      <c r="F1362" s="2" t="s">
        <v>10540</v>
      </c>
      <c r="G1362" s="2" t="s">
        <v>10541</v>
      </c>
      <c r="H1362" s="2" t="s">
        <v>10542</v>
      </c>
      <c r="I1362" s="2" t="s">
        <v>1779</v>
      </c>
      <c r="J1362" s="2" t="s">
        <v>35</v>
      </c>
      <c r="K1362" s="2" t="s">
        <v>10543</v>
      </c>
      <c r="L1362" s="2" t="s">
        <v>1779</v>
      </c>
      <c r="M1362" s="2" t="s">
        <v>10544</v>
      </c>
      <c r="N1362" s="2" t="s">
        <v>10545</v>
      </c>
      <c r="O1362" s="2"/>
      <c r="P1362" s="2" t="s">
        <v>37</v>
      </c>
      <c r="Q1362" s="4" t="n">
        <v>8731</v>
      </c>
      <c r="R1362" s="2" t="s">
        <v>136</v>
      </c>
      <c r="S1362" s="2" t="s">
        <v>39</v>
      </c>
      <c r="T1362" s="2" t="s">
        <v>403</v>
      </c>
      <c r="U1362" s="2" t="s">
        <v>10546</v>
      </c>
      <c r="V1362" s="2"/>
      <c r="W1362" s="2" t="s">
        <v>42</v>
      </c>
      <c r="X1362" s="2" t="s">
        <v>43</v>
      </c>
      <c r="Y1362" s="2" t="s">
        <v>37</v>
      </c>
      <c r="Z1362" s="2" t="s">
        <v>44</v>
      </c>
      <c r="AA1362" s="2"/>
      <c r="AB1362" s="2"/>
      <c r="AC1362" s="2" t="s">
        <v>10547</v>
      </c>
      <c r="AD1362" s="2" t="s">
        <v>46</v>
      </c>
    </row>
    <row r="1363" customFormat="false" ht="15.7" hidden="false" customHeight="true" outlineLevel="0" collapsed="false">
      <c r="A1363" s="2"/>
      <c r="B1363" s="3" t="n">
        <f aca="false">DATE(2009,4,15)</f>
        <v>0</v>
      </c>
      <c r="C1363" s="3" t="n">
        <v>39918</v>
      </c>
      <c r="D1363" s="2" t="s">
        <v>10548</v>
      </c>
      <c r="F1363" s="2" t="s">
        <v>10549</v>
      </c>
      <c r="G1363" s="2" t="s">
        <v>10550</v>
      </c>
      <c r="H1363" s="2" t="s">
        <v>63</v>
      </c>
      <c r="I1363" s="2" t="s">
        <v>51</v>
      </c>
      <c r="J1363" s="2" t="s">
        <v>77</v>
      </c>
      <c r="K1363" s="2" t="s">
        <v>10548</v>
      </c>
      <c r="L1363" s="2" t="s">
        <v>51</v>
      </c>
      <c r="M1363" s="2" t="s">
        <v>63</v>
      </c>
      <c r="N1363" s="2" t="s">
        <v>10551</v>
      </c>
      <c r="O1363" s="2"/>
      <c r="P1363" s="2" t="s">
        <v>37</v>
      </c>
      <c r="Q1363" s="4" t="n">
        <v>8731</v>
      </c>
      <c r="R1363" s="2" t="s">
        <v>56</v>
      </c>
      <c r="S1363" s="2" t="s">
        <v>80</v>
      </c>
      <c r="T1363" s="2" t="s">
        <v>40</v>
      </c>
      <c r="U1363" s="2" t="s">
        <v>10552</v>
      </c>
      <c r="V1363" s="2"/>
      <c r="W1363" s="2" t="s">
        <v>42</v>
      </c>
      <c r="X1363" s="2" t="s">
        <v>43</v>
      </c>
      <c r="Y1363" s="2" t="s">
        <v>37</v>
      </c>
      <c r="Z1363" s="2" t="s">
        <v>44</v>
      </c>
      <c r="AA1363" s="2"/>
      <c r="AB1363" s="2"/>
      <c r="AC1363" s="2" t="s">
        <v>10553</v>
      </c>
      <c r="AD1363" s="2" t="s">
        <v>46</v>
      </c>
    </row>
    <row r="1364" customFormat="false" ht="15.7" hidden="false" customHeight="true" outlineLevel="0" collapsed="false">
      <c r="A1364" s="2"/>
      <c r="B1364" s="3" t="n">
        <f aca="false">DATE(2009,4,16)</f>
        <v>0</v>
      </c>
      <c r="C1364" s="3" t="n">
        <v>39919</v>
      </c>
      <c r="D1364" s="2" t="s">
        <v>10554</v>
      </c>
      <c r="F1364" s="2" t="s">
        <v>10555</v>
      </c>
      <c r="G1364" s="2" t="s">
        <v>10556</v>
      </c>
      <c r="H1364" s="2" t="s">
        <v>130</v>
      </c>
      <c r="I1364" s="2" t="s">
        <v>2294</v>
      </c>
      <c r="J1364" s="2" t="s">
        <v>35</v>
      </c>
      <c r="K1364" s="2" t="s">
        <v>10554</v>
      </c>
      <c r="L1364" s="2" t="s">
        <v>2294</v>
      </c>
      <c r="M1364" s="2" t="s">
        <v>130</v>
      </c>
      <c r="N1364" s="2" t="s">
        <v>10557</v>
      </c>
      <c r="O1364" s="2"/>
      <c r="P1364" s="2" t="s">
        <v>37</v>
      </c>
      <c r="Q1364" s="4" t="n">
        <v>8731</v>
      </c>
      <c r="R1364" s="2" t="s">
        <v>450</v>
      </c>
      <c r="S1364" s="2" t="s">
        <v>39</v>
      </c>
      <c r="T1364" s="2" t="s">
        <v>40</v>
      </c>
      <c r="U1364" s="2" t="s">
        <v>10558</v>
      </c>
      <c r="V1364" s="2"/>
      <c r="W1364" s="2" t="s">
        <v>42</v>
      </c>
      <c r="X1364" s="2" t="s">
        <v>43</v>
      </c>
      <c r="Y1364" s="2" t="s">
        <v>37</v>
      </c>
      <c r="Z1364" s="2" t="s">
        <v>44</v>
      </c>
      <c r="AA1364" s="2"/>
      <c r="AB1364" s="2"/>
      <c r="AC1364" s="2" t="s">
        <v>10559</v>
      </c>
      <c r="AD1364" s="2" t="s">
        <v>46</v>
      </c>
    </row>
    <row r="1365" customFormat="false" ht="15.7" hidden="false" customHeight="true" outlineLevel="0" collapsed="false">
      <c r="A1365" s="2"/>
      <c r="B1365" s="3" t="n">
        <f aca="false">DATE(2009,4,20)</f>
        <v>0</v>
      </c>
      <c r="C1365" s="3" t="n">
        <v>39923</v>
      </c>
      <c r="D1365" s="2" t="s">
        <v>10560</v>
      </c>
      <c r="F1365" s="2" t="s">
        <v>10561</v>
      </c>
      <c r="G1365" s="2" t="s">
        <v>10562</v>
      </c>
      <c r="H1365" s="2" t="s">
        <v>10563</v>
      </c>
      <c r="I1365" s="2" t="s">
        <v>9212</v>
      </c>
      <c r="J1365" s="2" t="s">
        <v>35</v>
      </c>
      <c r="K1365" s="2" t="s">
        <v>10564</v>
      </c>
      <c r="L1365" s="2" t="s">
        <v>9212</v>
      </c>
      <c r="M1365" s="2" t="s">
        <v>10563</v>
      </c>
      <c r="N1365" s="2" t="s">
        <v>10565</v>
      </c>
      <c r="O1365" s="2"/>
      <c r="P1365" s="2" t="s">
        <v>37</v>
      </c>
      <c r="Q1365" s="4" t="n">
        <v>8732</v>
      </c>
      <c r="R1365" s="2" t="s">
        <v>136</v>
      </c>
      <c r="S1365" s="2" t="s">
        <v>39</v>
      </c>
      <c r="T1365" s="2" t="s">
        <v>40</v>
      </c>
      <c r="U1365" s="2" t="s">
        <v>10566</v>
      </c>
      <c r="V1365" s="2"/>
      <c r="W1365" s="2" t="s">
        <v>42</v>
      </c>
      <c r="X1365" s="2" t="s">
        <v>43</v>
      </c>
      <c r="Y1365" s="2" t="s">
        <v>37</v>
      </c>
      <c r="Z1365" s="2" t="s">
        <v>44</v>
      </c>
      <c r="AA1365" s="2"/>
      <c r="AB1365" s="2"/>
      <c r="AC1365" s="2" t="s">
        <v>10567</v>
      </c>
      <c r="AD1365" s="2" t="s">
        <v>46</v>
      </c>
    </row>
    <row r="1366" customFormat="false" ht="15.7" hidden="false" customHeight="true" outlineLevel="0" collapsed="false">
      <c r="A1366" s="2"/>
      <c r="B1366" s="3" t="n">
        <f aca="false">DATE(2009,4,20)</f>
        <v>0</v>
      </c>
      <c r="C1366" s="3" t="n">
        <v>39923</v>
      </c>
      <c r="D1366" s="2" t="s">
        <v>10568</v>
      </c>
      <c r="F1366" s="2" t="s">
        <v>10569</v>
      </c>
      <c r="G1366" s="2" t="s">
        <v>10570</v>
      </c>
      <c r="H1366" s="2" t="s">
        <v>1027</v>
      </c>
      <c r="I1366" s="2" t="s">
        <v>10571</v>
      </c>
      <c r="J1366" s="2" t="s">
        <v>35</v>
      </c>
      <c r="K1366" s="2" t="s">
        <v>10572</v>
      </c>
      <c r="L1366" s="2" t="s">
        <v>10571</v>
      </c>
      <c r="M1366" s="2" t="s">
        <v>1027</v>
      </c>
      <c r="N1366" s="2" t="s">
        <v>10573</v>
      </c>
      <c r="O1366" s="2"/>
      <c r="P1366" s="2" t="s">
        <v>37</v>
      </c>
      <c r="Q1366" s="4" t="n">
        <v>8731</v>
      </c>
      <c r="R1366" s="2" t="s">
        <v>136</v>
      </c>
      <c r="S1366" s="2" t="s">
        <v>39</v>
      </c>
      <c r="T1366" s="2" t="s">
        <v>40</v>
      </c>
      <c r="U1366" s="2" t="s">
        <v>10574</v>
      </c>
      <c r="V1366" s="2"/>
      <c r="W1366" s="2" t="s">
        <v>42</v>
      </c>
      <c r="X1366" s="2" t="s">
        <v>43</v>
      </c>
      <c r="Y1366" s="2" t="s">
        <v>37</v>
      </c>
      <c r="Z1366" s="2" t="s">
        <v>44</v>
      </c>
      <c r="AA1366" s="2"/>
      <c r="AB1366" s="2"/>
      <c r="AC1366" s="2" t="s">
        <v>10575</v>
      </c>
      <c r="AD1366" s="2" t="s">
        <v>46</v>
      </c>
    </row>
    <row r="1367" customFormat="false" ht="15.7" hidden="false" customHeight="true" outlineLevel="0" collapsed="false">
      <c r="A1367" s="2"/>
      <c r="B1367" s="3" t="n">
        <f aca="false">DATE(2009,4,20)</f>
        <v>0</v>
      </c>
      <c r="C1367" s="3" t="n">
        <v>39923</v>
      </c>
      <c r="D1367" s="2" t="s">
        <v>10576</v>
      </c>
      <c r="F1367" s="2" t="s">
        <v>10577</v>
      </c>
      <c r="G1367" s="2" t="s">
        <v>10578</v>
      </c>
      <c r="H1367" s="2" t="s">
        <v>63</v>
      </c>
      <c r="I1367" s="2" t="s">
        <v>257</v>
      </c>
      <c r="J1367" s="2" t="s">
        <v>966</v>
      </c>
      <c r="K1367" s="2" t="s">
        <v>10576</v>
      </c>
      <c r="L1367" s="2" t="s">
        <v>257</v>
      </c>
      <c r="M1367" s="2" t="s">
        <v>63</v>
      </c>
      <c r="N1367" s="2" t="s">
        <v>10579</v>
      </c>
      <c r="O1367" s="2"/>
      <c r="P1367" s="2" t="s">
        <v>37</v>
      </c>
      <c r="Q1367" s="4" t="n">
        <v>8731</v>
      </c>
      <c r="R1367" s="2" t="s">
        <v>136</v>
      </c>
      <c r="S1367" s="2" t="s">
        <v>39</v>
      </c>
      <c r="T1367" s="2" t="s">
        <v>122</v>
      </c>
      <c r="U1367" s="2" t="s">
        <v>10580</v>
      </c>
      <c r="V1367" s="2"/>
      <c r="W1367" s="2" t="s">
        <v>42</v>
      </c>
      <c r="X1367" s="2" t="s">
        <v>43</v>
      </c>
      <c r="Y1367" s="2" t="s">
        <v>37</v>
      </c>
      <c r="Z1367" s="2" t="s">
        <v>44</v>
      </c>
      <c r="AA1367" s="2"/>
      <c r="AB1367" s="2"/>
      <c r="AC1367" s="2" t="s">
        <v>10581</v>
      </c>
      <c r="AD1367" s="2" t="s">
        <v>46</v>
      </c>
    </row>
    <row r="1368" customFormat="false" ht="15.7" hidden="false" customHeight="true" outlineLevel="0" collapsed="false">
      <c r="A1368" s="2"/>
      <c r="B1368" s="3" t="n">
        <f aca="false">DATE(2009,4,28)</f>
        <v>0</v>
      </c>
      <c r="C1368" s="3" t="n">
        <v>39931</v>
      </c>
      <c r="D1368" s="2" t="s">
        <v>10582</v>
      </c>
      <c r="F1368" s="2" t="s">
        <v>10583</v>
      </c>
      <c r="G1368" s="2" t="s">
        <v>10584</v>
      </c>
      <c r="H1368" s="2" t="s">
        <v>10585</v>
      </c>
      <c r="I1368" s="2" t="s">
        <v>51</v>
      </c>
      <c r="J1368" s="2" t="s">
        <v>10586</v>
      </c>
      <c r="K1368" s="2" t="s">
        <v>10582</v>
      </c>
      <c r="L1368" s="2" t="s">
        <v>51</v>
      </c>
      <c r="M1368" s="2" t="s">
        <v>10585</v>
      </c>
      <c r="N1368" s="2" t="s">
        <v>10587</v>
      </c>
      <c r="O1368" s="2"/>
      <c r="P1368" s="2" t="s">
        <v>37</v>
      </c>
      <c r="Q1368" s="4" t="n">
        <v>1389</v>
      </c>
      <c r="R1368" s="2" t="s">
        <v>56</v>
      </c>
      <c r="S1368" s="2" t="s">
        <v>2265</v>
      </c>
      <c r="T1368" s="2" t="s">
        <v>403</v>
      </c>
      <c r="U1368" s="2" t="s">
        <v>10588</v>
      </c>
      <c r="V1368" s="2"/>
      <c r="W1368" s="2" t="s">
        <v>42</v>
      </c>
      <c r="X1368" s="2" t="s">
        <v>46</v>
      </c>
      <c r="Y1368" s="2" t="s">
        <v>37</v>
      </c>
      <c r="Z1368" s="2" t="s">
        <v>2732</v>
      </c>
      <c r="AA1368" s="2"/>
      <c r="AB1368" s="2"/>
      <c r="AC1368" s="2" t="s">
        <v>10589</v>
      </c>
      <c r="AD1368" s="2" t="s">
        <v>46</v>
      </c>
    </row>
    <row r="1369" customFormat="false" ht="15.7" hidden="false" customHeight="true" outlineLevel="0" collapsed="false">
      <c r="A1369" s="2"/>
      <c r="B1369" s="3" t="n">
        <f aca="false">DATE(2009,5,18)</f>
        <v>0</v>
      </c>
      <c r="C1369" s="3" t="n">
        <v>39951</v>
      </c>
      <c r="D1369" s="2" t="s">
        <v>10590</v>
      </c>
      <c r="F1369" s="2" t="s">
        <v>10591</v>
      </c>
      <c r="G1369" s="2" t="s">
        <v>10592</v>
      </c>
      <c r="H1369" s="2" t="s">
        <v>4926</v>
      </c>
      <c r="I1369" s="2" t="s">
        <v>685</v>
      </c>
      <c r="J1369" s="2" t="s">
        <v>35</v>
      </c>
      <c r="K1369" s="2" t="s">
        <v>10593</v>
      </c>
      <c r="L1369" s="2" t="s">
        <v>685</v>
      </c>
      <c r="M1369" s="2" t="s">
        <v>4926</v>
      </c>
      <c r="N1369" s="2" t="s">
        <v>10594</v>
      </c>
      <c r="O1369" s="2"/>
      <c r="P1369" s="2" t="s">
        <v>37</v>
      </c>
      <c r="Q1369" s="4" t="n">
        <v>8731</v>
      </c>
      <c r="R1369" s="2" t="s">
        <v>688</v>
      </c>
      <c r="S1369" s="2" t="s">
        <v>39</v>
      </c>
      <c r="T1369" s="2" t="s">
        <v>40</v>
      </c>
      <c r="U1369" s="2" t="s">
        <v>10595</v>
      </c>
      <c r="V1369" s="2"/>
      <c r="W1369" s="2" t="s">
        <v>42</v>
      </c>
      <c r="X1369" s="2" t="s">
        <v>43</v>
      </c>
      <c r="Y1369" s="2" t="s">
        <v>37</v>
      </c>
      <c r="Z1369" s="2" t="s">
        <v>44</v>
      </c>
      <c r="AA1369" s="2"/>
      <c r="AB1369" s="2"/>
      <c r="AC1369" s="2" t="s">
        <v>10596</v>
      </c>
      <c r="AD1369" s="2" t="s">
        <v>46</v>
      </c>
    </row>
    <row r="1370" customFormat="false" ht="15.7" hidden="false" customHeight="true" outlineLevel="0" collapsed="false">
      <c r="A1370" s="2"/>
      <c r="B1370" s="3" t="n">
        <f aca="false">DATE(2009,5,18)</f>
        <v>0</v>
      </c>
      <c r="C1370" s="3" t="n">
        <v>39951</v>
      </c>
      <c r="D1370" s="2" t="s">
        <v>10597</v>
      </c>
      <c r="F1370" s="2" t="s">
        <v>1230</v>
      </c>
      <c r="G1370" s="2" t="s">
        <v>10598</v>
      </c>
      <c r="H1370" s="2" t="s">
        <v>130</v>
      </c>
      <c r="I1370" s="2" t="s">
        <v>1080</v>
      </c>
      <c r="J1370" s="2" t="s">
        <v>35</v>
      </c>
      <c r="K1370" s="2" t="s">
        <v>10597</v>
      </c>
      <c r="L1370" s="2" t="s">
        <v>1080</v>
      </c>
      <c r="M1370" s="2" t="s">
        <v>130</v>
      </c>
      <c r="N1370" s="2" t="s">
        <v>10599</v>
      </c>
      <c r="O1370" s="2"/>
      <c r="P1370" s="2" t="s">
        <v>37</v>
      </c>
      <c r="Q1370" s="4" t="n">
        <v>8731</v>
      </c>
      <c r="R1370" s="2" t="s">
        <v>2201</v>
      </c>
      <c r="S1370" s="2" t="s">
        <v>39</v>
      </c>
      <c r="T1370" s="2" t="s">
        <v>40</v>
      </c>
      <c r="U1370" s="2" t="s">
        <v>10600</v>
      </c>
      <c r="V1370" s="2"/>
      <c r="W1370" s="2" t="s">
        <v>42</v>
      </c>
      <c r="X1370" s="2" t="s">
        <v>43</v>
      </c>
      <c r="Y1370" s="2" t="s">
        <v>37</v>
      </c>
      <c r="Z1370" s="2" t="s">
        <v>44</v>
      </c>
      <c r="AA1370" s="2"/>
      <c r="AB1370" s="2"/>
      <c r="AC1370" s="2" t="s">
        <v>10601</v>
      </c>
      <c r="AD1370" s="2" t="s">
        <v>46</v>
      </c>
    </row>
    <row r="1371" customFormat="false" ht="15.7" hidden="false" customHeight="true" outlineLevel="0" collapsed="false">
      <c r="A1371" s="2"/>
      <c r="B1371" s="3" t="n">
        <f aca="false">DATE(2009,5,19)</f>
        <v>0</v>
      </c>
      <c r="C1371" s="3" t="n">
        <v>39952</v>
      </c>
      <c r="D1371" s="2" t="s">
        <v>10602</v>
      </c>
      <c r="F1371" s="2" t="s">
        <v>4939</v>
      </c>
      <c r="G1371" s="2" t="s">
        <v>10603</v>
      </c>
      <c r="H1371" s="2" t="s">
        <v>170</v>
      </c>
      <c r="I1371" s="2" t="s">
        <v>180</v>
      </c>
      <c r="J1371" s="2" t="s">
        <v>258</v>
      </c>
      <c r="K1371" s="2" t="s">
        <v>10604</v>
      </c>
      <c r="L1371" s="2" t="s">
        <v>3885</v>
      </c>
      <c r="M1371" s="2" t="s">
        <v>63</v>
      </c>
      <c r="N1371" s="2" t="s">
        <v>10605</v>
      </c>
      <c r="O1371" s="2"/>
      <c r="P1371" s="2" t="s">
        <v>37</v>
      </c>
      <c r="Q1371" s="4" t="n">
        <v>8731</v>
      </c>
      <c r="R1371" s="2" t="s">
        <v>136</v>
      </c>
      <c r="S1371" s="2" t="s">
        <v>39</v>
      </c>
      <c r="T1371" s="2" t="s">
        <v>40</v>
      </c>
      <c r="U1371" s="2" t="s">
        <v>10606</v>
      </c>
      <c r="V1371" s="2"/>
      <c r="W1371" s="2" t="s">
        <v>42</v>
      </c>
      <c r="X1371" s="2" t="s">
        <v>43</v>
      </c>
      <c r="Y1371" s="2" t="s">
        <v>37</v>
      </c>
      <c r="Z1371" s="2" t="s">
        <v>44</v>
      </c>
      <c r="AA1371" s="2"/>
      <c r="AB1371" s="2"/>
      <c r="AC1371" s="2" t="s">
        <v>10607</v>
      </c>
      <c r="AD1371" s="2" t="s">
        <v>46</v>
      </c>
    </row>
    <row r="1372" customFormat="false" ht="15.7" hidden="false" customHeight="true" outlineLevel="0" collapsed="false">
      <c r="A1372" s="2"/>
      <c r="B1372" s="3" t="n">
        <f aca="false">DATE(2009,5,25)</f>
        <v>0</v>
      </c>
      <c r="C1372" s="3" t="n">
        <v>39958</v>
      </c>
      <c r="D1372" s="2" t="s">
        <v>10608</v>
      </c>
      <c r="F1372" s="2" t="s">
        <v>10609</v>
      </c>
      <c r="G1372" s="2" t="s">
        <v>10610</v>
      </c>
      <c r="H1372" s="2" t="s">
        <v>1027</v>
      </c>
      <c r="I1372" s="2" t="s">
        <v>410</v>
      </c>
      <c r="J1372" s="2" t="s">
        <v>331</v>
      </c>
      <c r="K1372" s="2" t="s">
        <v>10608</v>
      </c>
      <c r="L1372" s="2" t="s">
        <v>410</v>
      </c>
      <c r="M1372" s="2" t="s">
        <v>1027</v>
      </c>
      <c r="N1372" s="2" t="s">
        <v>10611</v>
      </c>
      <c r="O1372" s="2"/>
      <c r="P1372" s="2" t="s">
        <v>37</v>
      </c>
      <c r="Q1372" s="4" t="n">
        <v>8731</v>
      </c>
      <c r="R1372" s="2" t="s">
        <v>136</v>
      </c>
      <c r="S1372" s="2" t="s">
        <v>39</v>
      </c>
      <c r="T1372" s="2" t="s">
        <v>40</v>
      </c>
      <c r="U1372" s="2" t="s">
        <v>10612</v>
      </c>
      <c r="V1372" s="2"/>
      <c r="W1372" s="2" t="s">
        <v>42</v>
      </c>
      <c r="X1372" s="2" t="s">
        <v>43</v>
      </c>
      <c r="Y1372" s="2" t="s">
        <v>37</v>
      </c>
      <c r="Z1372" s="2" t="s">
        <v>44</v>
      </c>
      <c r="AA1372" s="2"/>
      <c r="AB1372" s="2"/>
      <c r="AC1372" s="2" t="s">
        <v>10613</v>
      </c>
      <c r="AD1372" s="2" t="s">
        <v>46</v>
      </c>
    </row>
    <row r="1373" customFormat="false" ht="15.7" hidden="false" customHeight="true" outlineLevel="0" collapsed="false">
      <c r="A1373" s="2"/>
      <c r="B1373" s="3" t="n">
        <f aca="false">DATE(2009,5,25)</f>
        <v>0</v>
      </c>
      <c r="C1373" s="3" t="n">
        <v>39958</v>
      </c>
      <c r="D1373" s="2" t="s">
        <v>10614</v>
      </c>
      <c r="F1373" s="2" t="s">
        <v>10615</v>
      </c>
      <c r="G1373" s="2" t="s">
        <v>10616</v>
      </c>
      <c r="H1373" s="2" t="s">
        <v>1020</v>
      </c>
      <c r="I1373" s="2" t="s">
        <v>51</v>
      </c>
      <c r="J1373" s="2" t="s">
        <v>2633</v>
      </c>
      <c r="K1373" s="2" t="s">
        <v>10614</v>
      </c>
      <c r="L1373" s="2" t="s">
        <v>51</v>
      </c>
      <c r="M1373" s="2" t="s">
        <v>1020</v>
      </c>
      <c r="N1373" s="2" t="s">
        <v>10617</v>
      </c>
      <c r="O1373" s="2"/>
      <c r="P1373" s="2" t="s">
        <v>37</v>
      </c>
      <c r="Q1373" s="4" t="n">
        <v>8731</v>
      </c>
      <c r="R1373" s="2" t="s">
        <v>56</v>
      </c>
      <c r="S1373" s="2" t="s">
        <v>80</v>
      </c>
      <c r="T1373" s="2" t="s">
        <v>40</v>
      </c>
      <c r="U1373" s="2" t="s">
        <v>10618</v>
      </c>
      <c r="V1373" s="2"/>
      <c r="W1373" s="2" t="s">
        <v>42</v>
      </c>
      <c r="X1373" s="2" t="s">
        <v>43</v>
      </c>
      <c r="Y1373" s="2" t="s">
        <v>37</v>
      </c>
      <c r="Z1373" s="2" t="s">
        <v>44</v>
      </c>
      <c r="AA1373" s="2"/>
      <c r="AB1373" s="2"/>
      <c r="AC1373" s="2" t="s">
        <v>10619</v>
      </c>
      <c r="AD1373" s="2" t="s">
        <v>46</v>
      </c>
    </row>
    <row r="1374" customFormat="false" ht="15.7" hidden="false" customHeight="true" outlineLevel="0" collapsed="false">
      <c r="A1374" s="2"/>
      <c r="B1374" s="3" t="n">
        <f aca="false">DATE(2009,6,2)</f>
        <v>0</v>
      </c>
      <c r="C1374" s="3" t="n">
        <v>39966</v>
      </c>
      <c r="D1374" s="2" t="s">
        <v>10620</v>
      </c>
      <c r="F1374" s="2" t="s">
        <v>10621</v>
      </c>
      <c r="G1374" s="2" t="s">
        <v>10622</v>
      </c>
      <c r="H1374" s="2" t="s">
        <v>10623</v>
      </c>
      <c r="I1374" s="2" t="s">
        <v>10624</v>
      </c>
      <c r="J1374" s="2" t="s">
        <v>35</v>
      </c>
      <c r="K1374" s="2" t="s">
        <v>10625</v>
      </c>
      <c r="L1374" s="2" t="s">
        <v>10624</v>
      </c>
      <c r="M1374" s="2" t="s">
        <v>10626</v>
      </c>
      <c r="N1374" s="2" t="s">
        <v>10627</v>
      </c>
      <c r="O1374" s="2"/>
      <c r="P1374" s="2" t="s">
        <v>37</v>
      </c>
      <c r="Q1374" s="4" t="n">
        <v>8731</v>
      </c>
      <c r="R1374" s="2" t="s">
        <v>402</v>
      </c>
      <c r="S1374" s="2" t="s">
        <v>39</v>
      </c>
      <c r="T1374" s="2" t="s">
        <v>40</v>
      </c>
      <c r="U1374" s="2" t="s">
        <v>10628</v>
      </c>
      <c r="V1374" s="2"/>
      <c r="W1374" s="2" t="s">
        <v>10629</v>
      </c>
      <c r="X1374" s="2" t="s">
        <v>43</v>
      </c>
      <c r="Y1374" s="2" t="s">
        <v>37</v>
      </c>
      <c r="Z1374" s="2" t="s">
        <v>44</v>
      </c>
      <c r="AA1374" s="2"/>
      <c r="AB1374" s="2"/>
      <c r="AC1374" s="2" t="s">
        <v>10630</v>
      </c>
      <c r="AD1374" s="2" t="s">
        <v>46</v>
      </c>
    </row>
    <row r="1375" customFormat="false" ht="15.7" hidden="false" customHeight="true" outlineLevel="0" collapsed="false">
      <c r="A1375" s="2"/>
      <c r="B1375" s="3" t="n">
        <f aca="false">DATE(2009,6,3)</f>
        <v>0</v>
      </c>
      <c r="C1375" s="3" t="n">
        <v>39967</v>
      </c>
      <c r="D1375" s="2" t="s">
        <v>10631</v>
      </c>
      <c r="F1375" s="2" t="s">
        <v>10632</v>
      </c>
      <c r="G1375" s="2" t="s">
        <v>10633</v>
      </c>
      <c r="H1375" s="2" t="s">
        <v>10634</v>
      </c>
      <c r="I1375" s="2" t="s">
        <v>4179</v>
      </c>
      <c r="J1375" s="2" t="s">
        <v>1897</v>
      </c>
      <c r="K1375" s="2" t="s">
        <v>10631</v>
      </c>
      <c r="L1375" s="2" t="s">
        <v>4179</v>
      </c>
      <c r="M1375" s="2" t="s">
        <v>10634</v>
      </c>
      <c r="N1375" s="2" t="s">
        <v>10635</v>
      </c>
      <c r="O1375" s="2"/>
      <c r="P1375" s="2" t="s">
        <v>37</v>
      </c>
      <c r="Q1375" s="4" t="n">
        <v>8731</v>
      </c>
      <c r="R1375" s="2" t="s">
        <v>136</v>
      </c>
      <c r="S1375" s="2" t="s">
        <v>39</v>
      </c>
      <c r="T1375" s="2" t="s">
        <v>40</v>
      </c>
      <c r="U1375" s="2" t="s">
        <v>10636</v>
      </c>
      <c r="V1375" s="2"/>
      <c r="W1375" s="2" t="s">
        <v>42</v>
      </c>
      <c r="X1375" s="2" t="s">
        <v>43</v>
      </c>
      <c r="Y1375" s="2" t="s">
        <v>37</v>
      </c>
      <c r="Z1375" s="2" t="s">
        <v>44</v>
      </c>
      <c r="AA1375" s="2"/>
      <c r="AB1375" s="2"/>
      <c r="AC1375" s="2" t="s">
        <v>10637</v>
      </c>
      <c r="AD1375" s="2" t="s">
        <v>46</v>
      </c>
    </row>
    <row r="1376" customFormat="false" ht="15.7" hidden="false" customHeight="true" outlineLevel="0" collapsed="false">
      <c r="A1376" s="2"/>
      <c r="B1376" s="3" t="n">
        <f aca="false">DATE(2009,6,9)</f>
        <v>0</v>
      </c>
      <c r="C1376" s="3" t="n">
        <v>39973</v>
      </c>
      <c r="D1376" s="2" t="s">
        <v>10355</v>
      </c>
      <c r="F1376" s="2" t="s">
        <v>10175</v>
      </c>
      <c r="G1376" s="2" t="s">
        <v>10356</v>
      </c>
      <c r="H1376" s="2" t="s">
        <v>63</v>
      </c>
      <c r="I1376" s="2" t="s">
        <v>6889</v>
      </c>
      <c r="J1376" s="2" t="s">
        <v>35</v>
      </c>
      <c r="K1376" s="2" t="s">
        <v>10177</v>
      </c>
      <c r="L1376" s="2" t="s">
        <v>2590</v>
      </c>
      <c r="M1376" s="2" t="s">
        <v>130</v>
      </c>
      <c r="N1376" s="2" t="s">
        <v>10638</v>
      </c>
      <c r="O1376" s="2" t="s">
        <v>10639</v>
      </c>
      <c r="P1376" s="2" t="s">
        <v>37</v>
      </c>
      <c r="Q1376" s="4" t="n">
        <v>2836</v>
      </c>
      <c r="R1376" s="2" t="s">
        <v>402</v>
      </c>
      <c r="S1376" s="2" t="s">
        <v>39</v>
      </c>
      <c r="T1376" s="2" t="s">
        <v>40</v>
      </c>
      <c r="U1376" s="2" t="s">
        <v>10640</v>
      </c>
      <c r="V1376" s="2"/>
      <c r="W1376" s="2" t="s">
        <v>42</v>
      </c>
      <c r="X1376" s="2" t="s">
        <v>46</v>
      </c>
      <c r="Y1376" s="2" t="s">
        <v>37</v>
      </c>
      <c r="Z1376" s="2" t="s">
        <v>2732</v>
      </c>
      <c r="AA1376" s="2"/>
      <c r="AB1376" s="2" t="s">
        <v>10641</v>
      </c>
      <c r="AC1376" s="2" t="s">
        <v>10360</v>
      </c>
      <c r="AD1376" s="2" t="s">
        <v>46</v>
      </c>
    </row>
    <row r="1377" customFormat="false" ht="15.7" hidden="false" customHeight="true" outlineLevel="0" collapsed="false">
      <c r="A1377" s="2"/>
      <c r="B1377" s="3" t="n">
        <f aca="false">DATE(2009,6,9)</f>
        <v>0</v>
      </c>
      <c r="C1377" s="3" t="n">
        <v>39973</v>
      </c>
      <c r="D1377" s="2" t="s">
        <v>10642</v>
      </c>
      <c r="F1377" s="2" t="s">
        <v>10643</v>
      </c>
      <c r="G1377" s="2" t="s">
        <v>10644</v>
      </c>
      <c r="H1377" s="2" t="s">
        <v>10645</v>
      </c>
      <c r="I1377" s="2" t="s">
        <v>670</v>
      </c>
      <c r="J1377" s="2" t="s">
        <v>625</v>
      </c>
      <c r="K1377" s="2" t="s">
        <v>10642</v>
      </c>
      <c r="L1377" s="2" t="s">
        <v>670</v>
      </c>
      <c r="M1377" s="2" t="s">
        <v>10645</v>
      </c>
      <c r="N1377" s="2" t="s">
        <v>10646</v>
      </c>
      <c r="O1377" s="2"/>
      <c r="P1377" s="2" t="s">
        <v>37</v>
      </c>
      <c r="Q1377" s="4" t="n">
        <v>3443</v>
      </c>
      <c r="R1377" s="2" t="s">
        <v>136</v>
      </c>
      <c r="S1377" s="2" t="s">
        <v>39</v>
      </c>
      <c r="T1377" s="2" t="s">
        <v>40</v>
      </c>
      <c r="U1377" s="2" t="s">
        <v>10647</v>
      </c>
      <c r="V1377" s="2"/>
      <c r="W1377" s="2" t="s">
        <v>107</v>
      </c>
      <c r="X1377" s="2" t="s">
        <v>43</v>
      </c>
      <c r="Y1377" s="2" t="s">
        <v>37</v>
      </c>
      <c r="Z1377" s="2" t="s">
        <v>44</v>
      </c>
      <c r="AA1377" s="2" t="s">
        <v>10648</v>
      </c>
      <c r="AB1377" s="2"/>
      <c r="AC1377" s="2" t="s">
        <v>10649</v>
      </c>
      <c r="AD1377" s="2" t="s">
        <v>46</v>
      </c>
    </row>
    <row r="1378" customFormat="false" ht="15.7" hidden="false" customHeight="true" outlineLevel="0" collapsed="false">
      <c r="A1378" s="2"/>
      <c r="B1378" s="3" t="n">
        <f aca="false">DATE(2009,6,9)</f>
        <v>0</v>
      </c>
      <c r="C1378" s="3" t="n">
        <v>39973</v>
      </c>
      <c r="D1378" s="2" t="s">
        <v>10650</v>
      </c>
      <c r="F1378" s="2" t="s">
        <v>10651</v>
      </c>
      <c r="G1378" s="2" t="s">
        <v>10652</v>
      </c>
      <c r="H1378" s="2" t="s">
        <v>10513</v>
      </c>
      <c r="I1378" s="2" t="s">
        <v>6430</v>
      </c>
      <c r="J1378" s="2" t="s">
        <v>35</v>
      </c>
      <c r="K1378" s="2" t="s">
        <v>10650</v>
      </c>
      <c r="L1378" s="2" t="s">
        <v>6430</v>
      </c>
      <c r="M1378" s="2" t="s">
        <v>10513</v>
      </c>
      <c r="N1378" s="2" t="s">
        <v>10653</v>
      </c>
      <c r="O1378" s="2" t="s">
        <v>10654</v>
      </c>
      <c r="P1378" s="2" t="s">
        <v>37</v>
      </c>
      <c r="Q1378" s="4" t="n">
        <v>3613</v>
      </c>
      <c r="R1378" s="2" t="s">
        <v>70</v>
      </c>
      <c r="S1378" s="2" t="s">
        <v>39</v>
      </c>
      <c r="T1378" s="2" t="s">
        <v>40</v>
      </c>
      <c r="U1378" s="2" t="s">
        <v>10655</v>
      </c>
      <c r="V1378" s="2"/>
      <c r="W1378" s="2" t="s">
        <v>1801</v>
      </c>
      <c r="X1378" s="2" t="s">
        <v>46</v>
      </c>
      <c r="Y1378" s="2" t="s">
        <v>37</v>
      </c>
      <c r="Z1378" s="2" t="s">
        <v>10656</v>
      </c>
      <c r="AA1378" s="2"/>
      <c r="AB1378" s="2" t="s">
        <v>10657</v>
      </c>
      <c r="AC1378" s="2" t="s">
        <v>10658</v>
      </c>
      <c r="AD1378" s="2" t="s">
        <v>46</v>
      </c>
    </row>
    <row r="1379" customFormat="false" ht="15.7" hidden="false" customHeight="true" outlineLevel="0" collapsed="false">
      <c r="A1379" s="3" t="n">
        <f aca="false">DATE(2009,6,14)</f>
        <v>0</v>
      </c>
      <c r="B1379" s="3" t="n">
        <f aca="false">DATE(2009,6,14)</f>
        <v>0</v>
      </c>
      <c r="C1379" s="3" t="n">
        <v>39978</v>
      </c>
      <c r="D1379" s="2" t="s">
        <v>10659</v>
      </c>
      <c r="F1379" s="2" t="s">
        <v>10660</v>
      </c>
      <c r="G1379" s="2" t="s">
        <v>10661</v>
      </c>
      <c r="H1379" s="2" t="s">
        <v>10662</v>
      </c>
      <c r="I1379" s="2" t="s">
        <v>1617</v>
      </c>
      <c r="J1379" s="2" t="s">
        <v>10663</v>
      </c>
      <c r="K1379" s="2" t="s">
        <v>10659</v>
      </c>
      <c r="L1379" s="2" t="s">
        <v>1617</v>
      </c>
      <c r="M1379" s="2" t="s">
        <v>10662</v>
      </c>
      <c r="N1379" s="2" t="s">
        <v>10664</v>
      </c>
      <c r="O1379" s="2"/>
      <c r="P1379" s="2" t="s">
        <v>37</v>
      </c>
      <c r="Q1379" s="4" t="n">
        <v>2836</v>
      </c>
      <c r="R1379" s="2" t="s">
        <v>402</v>
      </c>
      <c r="S1379" s="2" t="s">
        <v>39</v>
      </c>
      <c r="T1379" s="2" t="s">
        <v>403</v>
      </c>
      <c r="U1379" s="2" t="s">
        <v>10665</v>
      </c>
      <c r="V1379" s="2"/>
      <c r="W1379" s="2" t="s">
        <v>42</v>
      </c>
      <c r="X1379" s="2" t="s">
        <v>46</v>
      </c>
      <c r="Y1379" s="2" t="s">
        <v>37</v>
      </c>
      <c r="Z1379" s="2" t="s">
        <v>10666</v>
      </c>
      <c r="AA1379" s="2" t="s">
        <v>10667</v>
      </c>
      <c r="AB1379" s="2"/>
      <c r="AC1379" s="2" t="s">
        <v>10668</v>
      </c>
      <c r="AD1379" s="2" t="s">
        <v>46</v>
      </c>
    </row>
    <row r="1380" customFormat="false" ht="15.7" hidden="false" customHeight="true" outlineLevel="0" collapsed="false">
      <c r="A1380" s="2"/>
      <c r="B1380" s="3" t="n">
        <f aca="false">DATE(2009,6,15)</f>
        <v>0</v>
      </c>
      <c r="C1380" s="3" t="n">
        <v>39979</v>
      </c>
      <c r="D1380" s="2" t="s">
        <v>10669</v>
      </c>
      <c r="F1380" s="2" t="s">
        <v>10670</v>
      </c>
      <c r="G1380" s="2" t="s">
        <v>10671</v>
      </c>
      <c r="H1380" s="2" t="s">
        <v>130</v>
      </c>
      <c r="I1380" s="2" t="s">
        <v>131</v>
      </c>
      <c r="J1380" s="2" t="s">
        <v>258</v>
      </c>
      <c r="K1380" s="2" t="s">
        <v>10672</v>
      </c>
      <c r="L1380" s="2" t="s">
        <v>131</v>
      </c>
      <c r="M1380" s="2" t="s">
        <v>130</v>
      </c>
      <c r="N1380" s="2" t="s">
        <v>10673</v>
      </c>
      <c r="O1380" s="2"/>
      <c r="P1380" s="2" t="s">
        <v>37</v>
      </c>
      <c r="Q1380" s="4" t="n">
        <v>8731</v>
      </c>
      <c r="R1380" s="2" t="s">
        <v>136</v>
      </c>
      <c r="S1380" s="2" t="s">
        <v>39</v>
      </c>
      <c r="T1380" s="2" t="s">
        <v>40</v>
      </c>
      <c r="U1380" s="2" t="s">
        <v>10674</v>
      </c>
      <c r="V1380" s="2"/>
      <c r="W1380" s="2" t="s">
        <v>42</v>
      </c>
      <c r="X1380" s="2" t="s">
        <v>43</v>
      </c>
      <c r="Y1380" s="2" t="s">
        <v>37</v>
      </c>
      <c r="Z1380" s="2" t="s">
        <v>44</v>
      </c>
      <c r="AA1380" s="2" t="s">
        <v>10675</v>
      </c>
      <c r="AB1380" s="2"/>
      <c r="AC1380" s="2" t="s">
        <v>10676</v>
      </c>
      <c r="AD1380" s="2" t="s">
        <v>46</v>
      </c>
    </row>
    <row r="1381" customFormat="false" ht="15.7" hidden="false" customHeight="true" outlineLevel="0" collapsed="false">
      <c r="A1381" s="2"/>
      <c r="B1381" s="3" t="n">
        <f aca="false">DATE(2009,6,18)</f>
        <v>0</v>
      </c>
      <c r="C1381" s="3" t="n">
        <v>39982</v>
      </c>
      <c r="D1381" s="2" t="s">
        <v>10677</v>
      </c>
      <c r="F1381" s="2" t="s">
        <v>10678</v>
      </c>
      <c r="G1381" s="2" t="s">
        <v>10679</v>
      </c>
      <c r="H1381" s="2" t="s">
        <v>585</v>
      </c>
      <c r="I1381" s="2" t="s">
        <v>51</v>
      </c>
      <c r="J1381" s="2" t="s">
        <v>5658</v>
      </c>
      <c r="K1381" s="2" t="s">
        <v>10677</v>
      </c>
      <c r="L1381" s="2" t="s">
        <v>51</v>
      </c>
      <c r="M1381" s="2" t="s">
        <v>585</v>
      </c>
      <c r="N1381" s="2" t="s">
        <v>10680</v>
      </c>
      <c r="O1381" s="2"/>
      <c r="P1381" s="2" t="s">
        <v>37</v>
      </c>
      <c r="Q1381" s="4" t="n">
        <v>8731</v>
      </c>
      <c r="R1381" s="2" t="s">
        <v>56</v>
      </c>
      <c r="S1381" s="2" t="s">
        <v>3429</v>
      </c>
      <c r="T1381" s="2" t="s">
        <v>40</v>
      </c>
      <c r="U1381" s="2" t="s">
        <v>10681</v>
      </c>
      <c r="V1381" s="2"/>
      <c r="W1381" s="2" t="s">
        <v>42</v>
      </c>
      <c r="X1381" s="2" t="s">
        <v>43</v>
      </c>
      <c r="Y1381" s="2" t="s">
        <v>37</v>
      </c>
      <c r="Z1381" s="2" t="s">
        <v>44</v>
      </c>
      <c r="AA1381" s="2"/>
      <c r="AB1381" s="2"/>
      <c r="AC1381" s="2" t="s">
        <v>10682</v>
      </c>
      <c r="AD1381" s="2" t="s">
        <v>46</v>
      </c>
    </row>
    <row r="1382" customFormat="false" ht="15.7" hidden="false" customHeight="true" outlineLevel="0" collapsed="false">
      <c r="A1382" s="2"/>
      <c r="B1382" s="3" t="n">
        <f aca="false">DATE(2009,6,18)</f>
        <v>0</v>
      </c>
      <c r="C1382" s="3" t="n">
        <v>39982</v>
      </c>
      <c r="D1382" s="2" t="s">
        <v>10683</v>
      </c>
      <c r="F1382" s="2" t="s">
        <v>10684</v>
      </c>
      <c r="G1382" s="2" t="s">
        <v>10685</v>
      </c>
      <c r="H1382" s="2" t="s">
        <v>10686</v>
      </c>
      <c r="I1382" s="2" t="s">
        <v>10687</v>
      </c>
      <c r="J1382" s="2" t="s">
        <v>35</v>
      </c>
      <c r="K1382" s="2" t="s">
        <v>10688</v>
      </c>
      <c r="L1382" s="2" t="s">
        <v>10687</v>
      </c>
      <c r="M1382" s="2" t="s">
        <v>10689</v>
      </c>
      <c r="N1382" s="2" t="s">
        <v>10690</v>
      </c>
      <c r="O1382" s="2" t="s">
        <v>10691</v>
      </c>
      <c r="P1382" s="2" t="s">
        <v>79</v>
      </c>
      <c r="Q1382" s="4" t="n">
        <v>8731</v>
      </c>
      <c r="R1382" s="2" t="s">
        <v>10692</v>
      </c>
      <c r="S1382" s="2" t="s">
        <v>39</v>
      </c>
      <c r="T1382" s="2" t="s">
        <v>403</v>
      </c>
      <c r="U1382" s="2" t="s">
        <v>10693</v>
      </c>
      <c r="V1382" s="2"/>
      <c r="W1382" s="2" t="s">
        <v>42</v>
      </c>
      <c r="X1382" s="2" t="s">
        <v>46</v>
      </c>
      <c r="Y1382" s="2" t="s">
        <v>37</v>
      </c>
      <c r="Z1382" s="2" t="s">
        <v>362</v>
      </c>
      <c r="AA1382" s="2"/>
      <c r="AB1382" s="2" t="s">
        <v>10694</v>
      </c>
      <c r="AC1382" s="2" t="s">
        <v>10695</v>
      </c>
      <c r="AD1382" s="2" t="s">
        <v>46</v>
      </c>
    </row>
    <row r="1383" customFormat="false" ht="15.7" hidden="false" customHeight="true" outlineLevel="0" collapsed="false">
      <c r="A1383" s="2"/>
      <c r="B1383" s="3" t="n">
        <f aca="false">DATE(2009,6,21)</f>
        <v>0</v>
      </c>
      <c r="C1383" s="3" t="n">
        <v>39985</v>
      </c>
      <c r="D1383" s="2" t="s">
        <v>10696</v>
      </c>
      <c r="F1383" s="2" t="s">
        <v>10697</v>
      </c>
      <c r="G1383" s="2" t="s">
        <v>10698</v>
      </c>
      <c r="H1383" s="2" t="s">
        <v>10699</v>
      </c>
      <c r="I1383" s="2" t="s">
        <v>10700</v>
      </c>
      <c r="J1383" s="2" t="s">
        <v>3231</v>
      </c>
      <c r="K1383" s="2" t="s">
        <v>10696</v>
      </c>
      <c r="L1383" s="2" t="s">
        <v>10700</v>
      </c>
      <c r="M1383" s="2" t="s">
        <v>10699</v>
      </c>
      <c r="N1383" s="2" t="s">
        <v>10701</v>
      </c>
      <c r="O1383" s="2"/>
      <c r="P1383" s="2" t="s">
        <v>37</v>
      </c>
      <c r="Q1383" s="4" t="n">
        <v>3721</v>
      </c>
      <c r="R1383" s="2" t="s">
        <v>9292</v>
      </c>
      <c r="S1383" s="2" t="s">
        <v>39</v>
      </c>
      <c r="T1383" s="2" t="s">
        <v>40</v>
      </c>
      <c r="U1383" s="2" t="s">
        <v>10702</v>
      </c>
      <c r="V1383" s="2"/>
      <c r="W1383" s="2" t="s">
        <v>42</v>
      </c>
      <c r="X1383" s="2" t="s">
        <v>43</v>
      </c>
      <c r="Y1383" s="2" t="s">
        <v>37</v>
      </c>
      <c r="Z1383" s="2" t="s">
        <v>44</v>
      </c>
      <c r="AA1383" s="2"/>
      <c r="AB1383" s="2"/>
      <c r="AC1383" s="2" t="s">
        <v>10703</v>
      </c>
      <c r="AD1383" s="2" t="s">
        <v>46</v>
      </c>
    </row>
    <row r="1384" customFormat="false" ht="15.7" hidden="false" customHeight="true" outlineLevel="0" collapsed="false">
      <c r="A1384" s="2"/>
      <c r="B1384" s="3" t="n">
        <f aca="false">DATE(2009,6,23)</f>
        <v>0</v>
      </c>
      <c r="C1384" s="3" t="n">
        <v>39987</v>
      </c>
      <c r="D1384" s="2" t="s">
        <v>10704</v>
      </c>
      <c r="F1384" s="2" t="s">
        <v>10705</v>
      </c>
      <c r="G1384" s="2" t="s">
        <v>10706</v>
      </c>
      <c r="H1384" s="2" t="s">
        <v>10707</v>
      </c>
      <c r="I1384" s="2" t="s">
        <v>1953</v>
      </c>
      <c r="J1384" s="2" t="s">
        <v>35</v>
      </c>
      <c r="K1384" s="2" t="s">
        <v>10704</v>
      </c>
      <c r="L1384" s="2" t="s">
        <v>1953</v>
      </c>
      <c r="M1384" s="2" t="s">
        <v>10707</v>
      </c>
      <c r="N1384" s="2" t="s">
        <v>10708</v>
      </c>
      <c r="O1384" s="2" t="s">
        <v>10709</v>
      </c>
      <c r="P1384" s="2" t="s">
        <v>37</v>
      </c>
      <c r="Q1384" s="4" t="n">
        <v>8731</v>
      </c>
      <c r="R1384" s="2" t="s">
        <v>1402</v>
      </c>
      <c r="S1384" s="2" t="s">
        <v>39</v>
      </c>
      <c r="T1384" s="2" t="s">
        <v>403</v>
      </c>
      <c r="U1384" s="2" t="s">
        <v>10710</v>
      </c>
      <c r="V1384" s="2"/>
      <c r="W1384" s="2" t="s">
        <v>138</v>
      </c>
      <c r="X1384" s="2" t="s">
        <v>46</v>
      </c>
      <c r="Y1384" s="2" t="s">
        <v>37</v>
      </c>
      <c r="Z1384" s="2" t="s">
        <v>362</v>
      </c>
      <c r="AA1384" s="2"/>
      <c r="AB1384" s="2" t="s">
        <v>10711</v>
      </c>
      <c r="AC1384" s="2" t="s">
        <v>10712</v>
      </c>
      <c r="AD1384" s="2" t="s">
        <v>46</v>
      </c>
    </row>
    <row r="1385" customFormat="false" ht="15.7" hidden="false" customHeight="true" outlineLevel="0" collapsed="false">
      <c r="A1385" s="2"/>
      <c r="B1385" s="3" t="n">
        <f aca="false">DATE(2009,6,29)</f>
        <v>0</v>
      </c>
      <c r="C1385" s="3" t="n">
        <v>39993</v>
      </c>
      <c r="D1385" s="2" t="s">
        <v>10713</v>
      </c>
      <c r="F1385" s="2" t="s">
        <v>10714</v>
      </c>
      <c r="G1385" s="2" t="s">
        <v>10715</v>
      </c>
      <c r="H1385" s="2" t="s">
        <v>305</v>
      </c>
      <c r="I1385" s="2" t="s">
        <v>821</v>
      </c>
      <c r="J1385" s="2" t="s">
        <v>155</v>
      </c>
      <c r="K1385" s="2" t="s">
        <v>10713</v>
      </c>
      <c r="L1385" s="2" t="s">
        <v>821</v>
      </c>
      <c r="M1385" s="2" t="s">
        <v>305</v>
      </c>
      <c r="N1385" s="2" t="s">
        <v>10716</v>
      </c>
      <c r="O1385" s="2"/>
      <c r="P1385" s="2" t="s">
        <v>37</v>
      </c>
      <c r="Q1385" s="4" t="n">
        <v>2834</v>
      </c>
      <c r="R1385" s="2" t="s">
        <v>56</v>
      </c>
      <c r="S1385" s="2"/>
      <c r="T1385" s="2" t="s">
        <v>403</v>
      </c>
      <c r="U1385" s="2" t="s">
        <v>10717</v>
      </c>
      <c r="V1385" s="2"/>
      <c r="W1385" s="2" t="s">
        <v>42</v>
      </c>
      <c r="X1385" s="2" t="s">
        <v>43</v>
      </c>
      <c r="Y1385" s="2" t="s">
        <v>37</v>
      </c>
      <c r="Z1385" s="2" t="s">
        <v>44</v>
      </c>
      <c r="AA1385" s="2"/>
      <c r="AB1385" s="2"/>
      <c r="AC1385" s="2" t="s">
        <v>10718</v>
      </c>
      <c r="AD1385" s="2" t="s">
        <v>46</v>
      </c>
    </row>
    <row r="1386" customFormat="false" ht="15.7" hidden="false" customHeight="true" outlineLevel="0" collapsed="false">
      <c r="A1386" s="2"/>
      <c r="B1386" s="3" t="n">
        <f aca="false">DATE(2009,6,29)</f>
        <v>0</v>
      </c>
      <c r="C1386" s="3" t="n">
        <v>39993</v>
      </c>
      <c r="D1386" s="2" t="s">
        <v>10719</v>
      </c>
      <c r="F1386" s="2" t="s">
        <v>10720</v>
      </c>
      <c r="G1386" s="2" t="s">
        <v>10721</v>
      </c>
      <c r="H1386" s="2" t="s">
        <v>10722</v>
      </c>
      <c r="I1386" s="2" t="s">
        <v>5999</v>
      </c>
      <c r="J1386" s="2" t="s">
        <v>65</v>
      </c>
      <c r="K1386" s="2" t="s">
        <v>10719</v>
      </c>
      <c r="L1386" s="2" t="s">
        <v>5999</v>
      </c>
      <c r="M1386" s="2" t="s">
        <v>10722</v>
      </c>
      <c r="N1386" s="2" t="s">
        <v>10723</v>
      </c>
      <c r="O1386" s="2"/>
      <c r="P1386" s="2" t="s">
        <v>37</v>
      </c>
      <c r="Q1386" s="4" t="n">
        <v>6794</v>
      </c>
      <c r="R1386" s="2" t="s">
        <v>121</v>
      </c>
      <c r="S1386" s="2" t="s">
        <v>39</v>
      </c>
      <c r="T1386" s="2" t="s">
        <v>40</v>
      </c>
      <c r="U1386" s="2" t="s">
        <v>10724</v>
      </c>
      <c r="V1386" s="2"/>
      <c r="W1386" s="2" t="s">
        <v>42</v>
      </c>
      <c r="X1386" s="2" t="s">
        <v>43</v>
      </c>
      <c r="Y1386" s="2" t="s">
        <v>37</v>
      </c>
      <c r="Z1386" s="2" t="s">
        <v>44</v>
      </c>
      <c r="AA1386" s="2"/>
      <c r="AB1386" s="2"/>
      <c r="AC1386" s="2" t="s">
        <v>10725</v>
      </c>
      <c r="AD1386" s="2" t="s">
        <v>46</v>
      </c>
    </row>
    <row r="1387" customFormat="false" ht="15.7" hidden="false" customHeight="true" outlineLevel="0" collapsed="false">
      <c r="A1387" s="3" t="n">
        <f aca="false">DATE(2009,6,29)</f>
        <v>0</v>
      </c>
      <c r="B1387" s="3" t="n">
        <f aca="false">DATE(2009,6,30)</f>
        <v>0</v>
      </c>
      <c r="C1387" s="3" t="n">
        <v>39994</v>
      </c>
      <c r="D1387" s="2" t="s">
        <v>10726</v>
      </c>
      <c r="F1387" s="2" t="s">
        <v>10727</v>
      </c>
      <c r="G1387" s="2" t="s">
        <v>10728</v>
      </c>
      <c r="H1387" s="2" t="s">
        <v>1294</v>
      </c>
      <c r="I1387" s="2" t="s">
        <v>51</v>
      </c>
      <c r="J1387" s="2" t="s">
        <v>1697</v>
      </c>
      <c r="K1387" s="2" t="s">
        <v>10726</v>
      </c>
      <c r="L1387" s="2" t="s">
        <v>51</v>
      </c>
      <c r="M1387" s="2" t="s">
        <v>1294</v>
      </c>
      <c r="N1387" s="2" t="s">
        <v>10729</v>
      </c>
      <c r="O1387" s="2"/>
      <c r="P1387" s="2" t="s">
        <v>37</v>
      </c>
      <c r="Q1387" s="4" t="n">
        <v>2834</v>
      </c>
      <c r="R1387" s="2" t="s">
        <v>56</v>
      </c>
      <c r="S1387" s="2" t="s">
        <v>251</v>
      </c>
      <c r="T1387" s="2" t="s">
        <v>403</v>
      </c>
      <c r="U1387" s="2" t="s">
        <v>10730</v>
      </c>
      <c r="V1387" s="2"/>
      <c r="W1387" s="2" t="s">
        <v>42</v>
      </c>
      <c r="X1387" s="2" t="s">
        <v>43</v>
      </c>
      <c r="Y1387" s="2" t="s">
        <v>37</v>
      </c>
      <c r="Z1387" s="2" t="s">
        <v>44</v>
      </c>
      <c r="AA1387" s="2"/>
      <c r="AB1387" s="2"/>
      <c r="AC1387" s="2" t="s">
        <v>10731</v>
      </c>
      <c r="AD1387" s="2" t="s">
        <v>46</v>
      </c>
    </row>
    <row r="1388" customFormat="false" ht="15.7" hidden="false" customHeight="true" outlineLevel="0" collapsed="false">
      <c r="A1388" s="3" t="n">
        <f aca="false">DATE(2009,6,29)</f>
        <v>0</v>
      </c>
      <c r="B1388" s="3" t="n">
        <f aca="false">DATE(2009,6,30)</f>
        <v>0</v>
      </c>
      <c r="C1388" s="3" t="n">
        <v>39994</v>
      </c>
      <c r="D1388" s="2" t="s">
        <v>10732</v>
      </c>
      <c r="F1388" s="2" t="s">
        <v>10733</v>
      </c>
      <c r="G1388" s="2" t="s">
        <v>10734</v>
      </c>
      <c r="H1388" s="2" t="s">
        <v>130</v>
      </c>
      <c r="I1388" s="2" t="s">
        <v>51</v>
      </c>
      <c r="J1388" s="2" t="s">
        <v>3999</v>
      </c>
      <c r="K1388" s="2" t="s">
        <v>10735</v>
      </c>
      <c r="L1388" s="2" t="s">
        <v>51</v>
      </c>
      <c r="M1388" s="2" t="s">
        <v>130</v>
      </c>
      <c r="N1388" s="2" t="s">
        <v>10736</v>
      </c>
      <c r="O1388" s="2"/>
      <c r="P1388" s="2" t="s">
        <v>37</v>
      </c>
      <c r="Q1388" s="4" t="n">
        <v>2833</v>
      </c>
      <c r="R1388" s="2" t="s">
        <v>56</v>
      </c>
      <c r="S1388" s="2" t="s">
        <v>57</v>
      </c>
      <c r="T1388" s="2" t="s">
        <v>403</v>
      </c>
      <c r="U1388" s="2" t="s">
        <v>10737</v>
      </c>
      <c r="V1388" s="2"/>
      <c r="W1388" s="2" t="s">
        <v>42</v>
      </c>
      <c r="X1388" s="2" t="s">
        <v>43</v>
      </c>
      <c r="Y1388" s="2" t="s">
        <v>37</v>
      </c>
      <c r="Z1388" s="2" t="s">
        <v>44</v>
      </c>
      <c r="AA1388" s="2"/>
      <c r="AB1388" s="2"/>
      <c r="AC1388" s="2" t="s">
        <v>10738</v>
      </c>
      <c r="AD1388" s="2" t="s">
        <v>46</v>
      </c>
    </row>
    <row r="1389" customFormat="false" ht="15.7" hidden="false" customHeight="true" outlineLevel="0" collapsed="false">
      <c r="A1389" s="3" t="n">
        <f aca="false">DATE(2009,6,29)</f>
        <v>0</v>
      </c>
      <c r="B1389" s="3" t="n">
        <f aca="false">DATE(2009,6,30)</f>
        <v>0</v>
      </c>
      <c r="C1389" s="3" t="n">
        <v>39994</v>
      </c>
      <c r="D1389" s="2" t="s">
        <v>10739</v>
      </c>
      <c r="F1389" s="2" t="s">
        <v>10740</v>
      </c>
      <c r="G1389" s="2" t="s">
        <v>10741</v>
      </c>
      <c r="H1389" s="2" t="s">
        <v>717</v>
      </c>
      <c r="I1389" s="2" t="s">
        <v>51</v>
      </c>
      <c r="J1389" s="2" t="s">
        <v>10742</v>
      </c>
      <c r="K1389" s="2" t="s">
        <v>10743</v>
      </c>
      <c r="L1389" s="2" t="s">
        <v>51</v>
      </c>
      <c r="M1389" s="2" t="s">
        <v>10744</v>
      </c>
      <c r="N1389" s="2" t="s">
        <v>10745</v>
      </c>
      <c r="O1389" s="2"/>
      <c r="P1389" s="2" t="s">
        <v>37</v>
      </c>
      <c r="Q1389" s="4" t="n">
        <v>8731</v>
      </c>
      <c r="R1389" s="2" t="s">
        <v>388</v>
      </c>
      <c r="S1389" s="2" t="s">
        <v>3000</v>
      </c>
      <c r="T1389" s="2" t="s">
        <v>403</v>
      </c>
      <c r="U1389" s="2" t="s">
        <v>10746</v>
      </c>
      <c r="V1389" s="2"/>
      <c r="W1389" s="2" t="s">
        <v>42</v>
      </c>
      <c r="X1389" s="2" t="s">
        <v>43</v>
      </c>
      <c r="Y1389" s="2" t="s">
        <v>79</v>
      </c>
      <c r="Z1389" s="2" t="s">
        <v>44</v>
      </c>
      <c r="AA1389" s="2"/>
      <c r="AB1389" s="2"/>
      <c r="AC1389" s="2" t="s">
        <v>10747</v>
      </c>
      <c r="AD1389" s="2" t="s">
        <v>46</v>
      </c>
    </row>
    <row r="1390" customFormat="false" ht="15.7" hidden="false" customHeight="true" outlineLevel="0" collapsed="false">
      <c r="A1390" s="2"/>
      <c r="B1390" s="3" t="n">
        <f aca="false">DATE(2009,6,30)</f>
        <v>0</v>
      </c>
      <c r="C1390" s="3" t="n">
        <v>39994</v>
      </c>
      <c r="D1390" s="2" t="s">
        <v>10748</v>
      </c>
      <c r="F1390" s="2" t="s">
        <v>1378</v>
      </c>
      <c r="G1390" s="2" t="s">
        <v>10749</v>
      </c>
      <c r="H1390" s="2" t="s">
        <v>1027</v>
      </c>
      <c r="I1390" s="2" t="s">
        <v>219</v>
      </c>
      <c r="J1390" s="2" t="s">
        <v>65</v>
      </c>
      <c r="K1390" s="2" t="s">
        <v>10748</v>
      </c>
      <c r="L1390" s="2" t="s">
        <v>219</v>
      </c>
      <c r="M1390" s="2" t="s">
        <v>1027</v>
      </c>
      <c r="N1390" s="2" t="s">
        <v>10750</v>
      </c>
      <c r="O1390" s="2" t="s">
        <v>10751</v>
      </c>
      <c r="P1390" s="2" t="s">
        <v>37</v>
      </c>
      <c r="Q1390" s="4" t="n">
        <v>2836</v>
      </c>
      <c r="R1390" s="2" t="s">
        <v>56</v>
      </c>
      <c r="S1390" s="2" t="s">
        <v>92</v>
      </c>
      <c r="T1390" s="2" t="s">
        <v>403</v>
      </c>
      <c r="U1390" s="2" t="s">
        <v>10752</v>
      </c>
      <c r="V1390" s="2"/>
      <c r="W1390" s="2" t="s">
        <v>42</v>
      </c>
      <c r="X1390" s="2" t="s">
        <v>46</v>
      </c>
      <c r="Y1390" s="2" t="s">
        <v>37</v>
      </c>
      <c r="Z1390" s="2" t="s">
        <v>10753</v>
      </c>
      <c r="AA1390" s="2"/>
      <c r="AB1390" s="2" t="s">
        <v>10754</v>
      </c>
      <c r="AC1390" s="2" t="s">
        <v>10755</v>
      </c>
      <c r="AD1390" s="2" t="s">
        <v>46</v>
      </c>
    </row>
    <row r="1391" customFormat="false" ht="15.7" hidden="false" customHeight="true" outlineLevel="0" collapsed="false">
      <c r="A1391" s="2"/>
      <c r="B1391" s="3" t="n">
        <f aca="false">DATE(2009,6,30)</f>
        <v>0</v>
      </c>
      <c r="C1391" s="3" t="n">
        <v>39994</v>
      </c>
      <c r="D1391" s="2" t="s">
        <v>10748</v>
      </c>
      <c r="F1391" s="2" t="s">
        <v>1378</v>
      </c>
      <c r="G1391" s="2" t="s">
        <v>10749</v>
      </c>
      <c r="H1391" s="2" t="s">
        <v>1027</v>
      </c>
      <c r="I1391" s="2" t="s">
        <v>219</v>
      </c>
      <c r="J1391" s="2" t="s">
        <v>65</v>
      </c>
      <c r="K1391" s="2" t="s">
        <v>10748</v>
      </c>
      <c r="L1391" s="2" t="s">
        <v>219</v>
      </c>
      <c r="M1391" s="2" t="s">
        <v>1027</v>
      </c>
      <c r="N1391" s="2" t="s">
        <v>10750</v>
      </c>
      <c r="O1391" s="2"/>
      <c r="P1391" s="2" t="s">
        <v>37</v>
      </c>
      <c r="Q1391" s="4" t="n">
        <v>2836</v>
      </c>
      <c r="R1391" s="2" t="s">
        <v>56</v>
      </c>
      <c r="S1391" s="2"/>
      <c r="T1391" s="2" t="s">
        <v>403</v>
      </c>
      <c r="U1391" s="2" t="s">
        <v>10756</v>
      </c>
      <c r="V1391" s="2"/>
      <c r="W1391" s="2" t="s">
        <v>42</v>
      </c>
      <c r="X1391" s="2" t="s">
        <v>46</v>
      </c>
      <c r="Y1391" s="2" t="s">
        <v>37</v>
      </c>
      <c r="Z1391" s="2" t="s">
        <v>362</v>
      </c>
      <c r="AA1391" s="2"/>
      <c r="AB1391" s="2"/>
      <c r="AC1391" s="2" t="s">
        <v>10755</v>
      </c>
      <c r="AD1391" s="2" t="s">
        <v>46</v>
      </c>
    </row>
    <row r="1392" customFormat="false" ht="15.7" hidden="false" customHeight="true" outlineLevel="0" collapsed="false">
      <c r="A1392" s="2"/>
      <c r="B1392" s="3" t="n">
        <f aca="false">DATE(2009,6,30)</f>
        <v>0</v>
      </c>
      <c r="C1392" s="3" t="n">
        <v>39994</v>
      </c>
      <c r="D1392" s="2" t="s">
        <v>10757</v>
      </c>
      <c r="F1392" s="2" t="s">
        <v>10758</v>
      </c>
      <c r="G1392" s="2" t="s">
        <v>10759</v>
      </c>
      <c r="H1392" s="2" t="s">
        <v>10760</v>
      </c>
      <c r="I1392" s="2" t="s">
        <v>7014</v>
      </c>
      <c r="J1392" s="2" t="s">
        <v>35</v>
      </c>
      <c r="K1392" s="2" t="s">
        <v>10757</v>
      </c>
      <c r="L1392" s="2" t="s">
        <v>7014</v>
      </c>
      <c r="M1392" s="2" t="s">
        <v>10760</v>
      </c>
      <c r="N1392" s="2" t="s">
        <v>10761</v>
      </c>
      <c r="O1392" s="2"/>
      <c r="P1392" s="2" t="s">
        <v>37</v>
      </c>
      <c r="Q1392" s="4" t="n">
        <v>3589</v>
      </c>
      <c r="R1392" s="2" t="s">
        <v>1448</v>
      </c>
      <c r="S1392" s="2" t="s">
        <v>39</v>
      </c>
      <c r="T1392" s="2" t="s">
        <v>403</v>
      </c>
      <c r="U1392" s="2" t="s">
        <v>10762</v>
      </c>
      <c r="V1392" s="2"/>
      <c r="W1392" s="2" t="s">
        <v>42</v>
      </c>
      <c r="X1392" s="2" t="s">
        <v>46</v>
      </c>
      <c r="Y1392" s="2" t="s">
        <v>37</v>
      </c>
      <c r="Z1392" s="2" t="s">
        <v>362</v>
      </c>
      <c r="AA1392" s="2"/>
      <c r="AB1392" s="2"/>
      <c r="AC1392" s="2" t="s">
        <v>10763</v>
      </c>
      <c r="AD1392" s="2" t="s">
        <v>46</v>
      </c>
    </row>
    <row r="1393" customFormat="false" ht="15.7" hidden="false" customHeight="true" outlineLevel="0" collapsed="false">
      <c r="A1393" s="2"/>
      <c r="B1393" s="3" t="n">
        <f aca="false">DATE(2009,7,2)</f>
        <v>0</v>
      </c>
      <c r="C1393" s="3" t="n">
        <v>39996</v>
      </c>
      <c r="D1393" s="2" t="s">
        <v>10764</v>
      </c>
      <c r="F1393" s="2" t="s">
        <v>10765</v>
      </c>
      <c r="G1393" s="2" t="s">
        <v>10766</v>
      </c>
      <c r="H1393" s="2" t="s">
        <v>10767</v>
      </c>
      <c r="I1393" s="2" t="s">
        <v>51</v>
      </c>
      <c r="J1393" s="2" t="s">
        <v>10768</v>
      </c>
      <c r="K1393" s="2" t="s">
        <v>10769</v>
      </c>
      <c r="L1393" s="2" t="s">
        <v>4179</v>
      </c>
      <c r="M1393" s="2" t="s">
        <v>10767</v>
      </c>
      <c r="N1393" s="2" t="s">
        <v>10770</v>
      </c>
      <c r="O1393" s="2"/>
      <c r="P1393" s="2" t="s">
        <v>37</v>
      </c>
      <c r="Q1393" s="4" t="n">
        <v>2836</v>
      </c>
      <c r="R1393" s="2" t="s">
        <v>724</v>
      </c>
      <c r="S1393" s="2" t="s">
        <v>10771</v>
      </c>
      <c r="T1393" s="2" t="s">
        <v>40</v>
      </c>
      <c r="U1393" s="2" t="s">
        <v>10772</v>
      </c>
      <c r="V1393" s="2"/>
      <c r="W1393" s="2" t="s">
        <v>42</v>
      </c>
      <c r="X1393" s="2" t="s">
        <v>43</v>
      </c>
      <c r="Y1393" s="2" t="s">
        <v>79</v>
      </c>
      <c r="Z1393" s="2" t="s">
        <v>44</v>
      </c>
      <c r="AA1393" s="2"/>
      <c r="AB1393" s="2"/>
      <c r="AC1393" s="2" t="s">
        <v>10773</v>
      </c>
      <c r="AD1393" s="2" t="s">
        <v>46</v>
      </c>
    </row>
    <row r="1394" customFormat="false" ht="15.7" hidden="false" customHeight="true" outlineLevel="0" collapsed="false">
      <c r="A1394" s="2"/>
      <c r="B1394" s="3" t="n">
        <f aca="false">DATE(2009,7,7)</f>
        <v>0</v>
      </c>
      <c r="C1394" s="3" t="n">
        <v>40001</v>
      </c>
      <c r="D1394" s="2" t="s">
        <v>10774</v>
      </c>
      <c r="F1394" s="2" t="s">
        <v>10775</v>
      </c>
      <c r="G1394" s="2" t="s">
        <v>10776</v>
      </c>
      <c r="H1394" s="2" t="s">
        <v>10777</v>
      </c>
      <c r="I1394" s="2" t="s">
        <v>4037</v>
      </c>
      <c r="J1394" s="2" t="s">
        <v>1413</v>
      </c>
      <c r="K1394" s="2" t="s">
        <v>10774</v>
      </c>
      <c r="L1394" s="2" t="s">
        <v>4037</v>
      </c>
      <c r="M1394" s="2" t="s">
        <v>10777</v>
      </c>
      <c r="N1394" s="2" t="s">
        <v>10778</v>
      </c>
      <c r="O1394" s="2"/>
      <c r="P1394" s="2" t="s">
        <v>37</v>
      </c>
      <c r="Q1394" s="4" t="n">
        <v>8731</v>
      </c>
      <c r="R1394" s="2" t="s">
        <v>136</v>
      </c>
      <c r="S1394" s="2" t="s">
        <v>39</v>
      </c>
      <c r="T1394" s="2" t="s">
        <v>403</v>
      </c>
      <c r="U1394" s="2" t="s">
        <v>10779</v>
      </c>
      <c r="V1394" s="2"/>
      <c r="W1394" s="2" t="s">
        <v>42</v>
      </c>
      <c r="X1394" s="2" t="s">
        <v>43</v>
      </c>
      <c r="Y1394" s="2" t="s">
        <v>37</v>
      </c>
      <c r="Z1394" s="2" t="s">
        <v>44</v>
      </c>
      <c r="AA1394" s="2"/>
      <c r="AB1394" s="2"/>
      <c r="AC1394" s="2" t="s">
        <v>10780</v>
      </c>
      <c r="AD1394" s="2" t="s">
        <v>46</v>
      </c>
    </row>
    <row r="1395" customFormat="false" ht="15.7" hidden="false" customHeight="true" outlineLevel="0" collapsed="false">
      <c r="A1395" s="3" t="n">
        <f aca="false">DATE(2009,7,7)</f>
        <v>0</v>
      </c>
      <c r="B1395" s="3" t="n">
        <f aca="false">DATE(2009,7,8)</f>
        <v>0</v>
      </c>
      <c r="C1395" s="3" t="n">
        <v>40002</v>
      </c>
      <c r="D1395" s="2" t="s">
        <v>10781</v>
      </c>
      <c r="F1395" s="2" t="s">
        <v>10782</v>
      </c>
      <c r="G1395" s="2" t="s">
        <v>10783</v>
      </c>
      <c r="H1395" s="2" t="s">
        <v>2857</v>
      </c>
      <c r="I1395" s="2" t="s">
        <v>10784</v>
      </c>
      <c r="J1395" s="2" t="s">
        <v>35</v>
      </c>
      <c r="K1395" s="2" t="s">
        <v>10781</v>
      </c>
      <c r="L1395" s="2" t="s">
        <v>10784</v>
      </c>
      <c r="M1395" s="2" t="s">
        <v>2857</v>
      </c>
      <c r="N1395" s="2" t="s">
        <v>10785</v>
      </c>
      <c r="O1395" s="2"/>
      <c r="P1395" s="2" t="s">
        <v>37</v>
      </c>
      <c r="Q1395" s="4" t="n">
        <v>3674</v>
      </c>
      <c r="R1395" s="2" t="s">
        <v>5774</v>
      </c>
      <c r="S1395" s="2" t="s">
        <v>39</v>
      </c>
      <c r="T1395" s="2" t="s">
        <v>403</v>
      </c>
      <c r="U1395" s="2" t="s">
        <v>10786</v>
      </c>
      <c r="V1395" s="2"/>
      <c r="W1395" s="2" t="s">
        <v>42</v>
      </c>
      <c r="X1395" s="2" t="s">
        <v>43</v>
      </c>
      <c r="Y1395" s="2" t="s">
        <v>37</v>
      </c>
      <c r="Z1395" s="2" t="s">
        <v>44</v>
      </c>
      <c r="AA1395" s="2"/>
      <c r="AB1395" s="2"/>
      <c r="AC1395" s="2" t="s">
        <v>10787</v>
      </c>
      <c r="AD1395" s="2" t="s">
        <v>46</v>
      </c>
    </row>
    <row r="1396" customFormat="false" ht="15.7" hidden="false" customHeight="true" outlineLevel="0" collapsed="false">
      <c r="A1396" s="2"/>
      <c r="B1396" s="3" t="n">
        <f aca="false">DATE(2009,7,9)</f>
        <v>0</v>
      </c>
      <c r="C1396" s="3" t="n">
        <v>40003</v>
      </c>
      <c r="D1396" s="2" t="s">
        <v>10788</v>
      </c>
      <c r="F1396" s="2" t="s">
        <v>10789</v>
      </c>
      <c r="G1396" s="2" t="s">
        <v>10790</v>
      </c>
      <c r="H1396" s="2" t="s">
        <v>9242</v>
      </c>
      <c r="I1396" s="2" t="s">
        <v>51</v>
      </c>
      <c r="J1396" s="2" t="s">
        <v>4647</v>
      </c>
      <c r="K1396" s="2" t="s">
        <v>10788</v>
      </c>
      <c r="L1396" s="2" t="s">
        <v>51</v>
      </c>
      <c r="M1396" s="2" t="s">
        <v>9242</v>
      </c>
      <c r="N1396" s="2" t="s">
        <v>10791</v>
      </c>
      <c r="O1396" s="2"/>
      <c r="P1396" s="2" t="s">
        <v>37</v>
      </c>
      <c r="Q1396" s="4" t="n">
        <v>8071</v>
      </c>
      <c r="R1396" s="2" t="s">
        <v>2201</v>
      </c>
      <c r="S1396" s="2" t="s">
        <v>39</v>
      </c>
      <c r="T1396" s="2" t="s">
        <v>403</v>
      </c>
      <c r="U1396" s="2" t="s">
        <v>10792</v>
      </c>
      <c r="V1396" s="2"/>
      <c r="W1396" s="2" t="s">
        <v>42</v>
      </c>
      <c r="X1396" s="2" t="s">
        <v>46</v>
      </c>
      <c r="Y1396" s="2" t="s">
        <v>37</v>
      </c>
      <c r="Z1396" s="2" t="s">
        <v>362</v>
      </c>
      <c r="AA1396" s="2"/>
      <c r="AB1396" s="2"/>
      <c r="AC1396" s="2" t="s">
        <v>10793</v>
      </c>
      <c r="AD1396" s="2" t="s">
        <v>46</v>
      </c>
    </row>
    <row r="1397" customFormat="false" ht="15.7" hidden="false" customHeight="true" outlineLevel="0" collapsed="false">
      <c r="A1397" s="2"/>
      <c r="B1397" s="3" t="n">
        <f aca="false">DATE(2009,7,13)</f>
        <v>0</v>
      </c>
      <c r="C1397" s="3" t="n">
        <v>40007</v>
      </c>
      <c r="D1397" s="2" t="s">
        <v>10794</v>
      </c>
      <c r="F1397" s="2" t="s">
        <v>10795</v>
      </c>
      <c r="G1397" s="2" t="s">
        <v>10796</v>
      </c>
      <c r="H1397" s="2" t="s">
        <v>10797</v>
      </c>
      <c r="I1397" s="2" t="s">
        <v>10798</v>
      </c>
      <c r="J1397" s="2" t="s">
        <v>35</v>
      </c>
      <c r="K1397" s="2" t="s">
        <v>10794</v>
      </c>
      <c r="L1397" s="2" t="s">
        <v>10798</v>
      </c>
      <c r="M1397" s="2" t="s">
        <v>10797</v>
      </c>
      <c r="N1397" s="2" t="s">
        <v>10799</v>
      </c>
      <c r="O1397" s="2"/>
      <c r="P1397" s="2" t="s">
        <v>37</v>
      </c>
      <c r="Q1397" s="4" t="n">
        <v>9431</v>
      </c>
      <c r="R1397" s="2" t="s">
        <v>1448</v>
      </c>
      <c r="S1397" s="2" t="s">
        <v>39</v>
      </c>
      <c r="T1397" s="2" t="s">
        <v>403</v>
      </c>
      <c r="U1397" s="2" t="s">
        <v>10800</v>
      </c>
      <c r="V1397" s="2"/>
      <c r="W1397" s="2" t="s">
        <v>344</v>
      </c>
      <c r="X1397" s="2" t="s">
        <v>43</v>
      </c>
      <c r="Y1397" s="2" t="s">
        <v>37</v>
      </c>
      <c r="Z1397" s="2" t="s">
        <v>44</v>
      </c>
      <c r="AA1397" s="2"/>
      <c r="AB1397" s="2"/>
      <c r="AC1397" s="2" t="s">
        <v>10801</v>
      </c>
      <c r="AD1397" s="2" t="s">
        <v>46</v>
      </c>
    </row>
    <row r="1398" customFormat="false" ht="15.7" hidden="false" customHeight="true" outlineLevel="0" collapsed="false">
      <c r="A1398" s="2"/>
      <c r="B1398" s="3" t="n">
        <f aca="false">DATE(2009,7,13)</f>
        <v>0</v>
      </c>
      <c r="C1398" s="3" t="n">
        <v>40007</v>
      </c>
      <c r="D1398" s="2" t="s">
        <v>10802</v>
      </c>
      <c r="F1398" s="2" t="s">
        <v>10803</v>
      </c>
      <c r="G1398" s="2" t="s">
        <v>10804</v>
      </c>
      <c r="H1398" s="2" t="s">
        <v>10805</v>
      </c>
      <c r="I1398" s="2" t="s">
        <v>2530</v>
      </c>
      <c r="J1398" s="2" t="s">
        <v>10806</v>
      </c>
      <c r="K1398" s="2" t="s">
        <v>10802</v>
      </c>
      <c r="L1398" s="2" t="s">
        <v>2530</v>
      </c>
      <c r="M1398" s="2" t="s">
        <v>10805</v>
      </c>
      <c r="N1398" s="2" t="s">
        <v>10807</v>
      </c>
      <c r="O1398" s="2"/>
      <c r="P1398" s="2" t="s">
        <v>37</v>
      </c>
      <c r="Q1398" s="4" t="n">
        <v>8732</v>
      </c>
      <c r="R1398" s="2" t="s">
        <v>56</v>
      </c>
      <c r="S1398" s="2" t="s">
        <v>380</v>
      </c>
      <c r="T1398" s="2" t="s">
        <v>40</v>
      </c>
      <c r="U1398" s="2" t="s">
        <v>10808</v>
      </c>
      <c r="V1398" s="2"/>
      <c r="W1398" s="2" t="s">
        <v>42</v>
      </c>
      <c r="X1398" s="2" t="s">
        <v>43</v>
      </c>
      <c r="Y1398" s="2" t="s">
        <v>37</v>
      </c>
      <c r="Z1398" s="2" t="s">
        <v>916</v>
      </c>
      <c r="AA1398" s="2"/>
      <c r="AB1398" s="2"/>
      <c r="AC1398" s="2" t="s">
        <v>10809</v>
      </c>
      <c r="AD1398" s="2" t="s">
        <v>46</v>
      </c>
    </row>
    <row r="1399" customFormat="false" ht="15.7" hidden="false" customHeight="true" outlineLevel="0" collapsed="false">
      <c r="A1399" s="2"/>
      <c r="B1399" s="3" t="n">
        <f aca="false">DATE(2009,7,13)</f>
        <v>0</v>
      </c>
      <c r="C1399" s="3" t="n">
        <v>40007</v>
      </c>
      <c r="D1399" s="2" t="s">
        <v>10810</v>
      </c>
      <c r="F1399" s="2" t="s">
        <v>10811</v>
      </c>
      <c r="G1399" s="2" t="s">
        <v>10812</v>
      </c>
      <c r="H1399" s="2" t="s">
        <v>130</v>
      </c>
      <c r="I1399" s="2" t="s">
        <v>388</v>
      </c>
      <c r="J1399" s="2" t="s">
        <v>1983</v>
      </c>
      <c r="K1399" s="2" t="s">
        <v>10810</v>
      </c>
      <c r="L1399" s="2" t="s">
        <v>388</v>
      </c>
      <c r="M1399" s="2" t="s">
        <v>130</v>
      </c>
      <c r="N1399" s="2" t="s">
        <v>10813</v>
      </c>
      <c r="O1399" s="2"/>
      <c r="P1399" s="2" t="s">
        <v>37</v>
      </c>
      <c r="Q1399" s="4" t="n">
        <v>2834</v>
      </c>
      <c r="R1399" s="2" t="s">
        <v>136</v>
      </c>
      <c r="S1399" s="2" t="s">
        <v>39</v>
      </c>
      <c r="T1399" s="2" t="s">
        <v>40</v>
      </c>
      <c r="U1399" s="2" t="s">
        <v>10814</v>
      </c>
      <c r="V1399" s="2"/>
      <c r="W1399" s="2" t="s">
        <v>42</v>
      </c>
      <c r="X1399" s="2" t="s">
        <v>43</v>
      </c>
      <c r="Y1399" s="2" t="s">
        <v>37</v>
      </c>
      <c r="Z1399" s="2" t="s">
        <v>44</v>
      </c>
      <c r="AA1399" s="2"/>
      <c r="AB1399" s="2"/>
      <c r="AC1399" s="2" t="s">
        <v>10815</v>
      </c>
      <c r="AD1399" s="2" t="s">
        <v>46</v>
      </c>
    </row>
    <row r="1400" customFormat="false" ht="15.7" hidden="false" customHeight="true" outlineLevel="0" collapsed="false">
      <c r="A1400" s="2"/>
      <c r="B1400" s="3" t="n">
        <f aca="false">DATE(2009,7,13)</f>
        <v>0</v>
      </c>
      <c r="C1400" s="3" t="n">
        <v>40007</v>
      </c>
      <c r="D1400" s="2" t="s">
        <v>10816</v>
      </c>
      <c r="F1400" s="2" t="s">
        <v>10817</v>
      </c>
      <c r="G1400" s="2" t="s">
        <v>10818</v>
      </c>
      <c r="H1400" s="2" t="s">
        <v>523</v>
      </c>
      <c r="I1400" s="2" t="s">
        <v>64</v>
      </c>
      <c r="J1400" s="2" t="s">
        <v>203</v>
      </c>
      <c r="K1400" s="2" t="s">
        <v>10816</v>
      </c>
      <c r="L1400" s="2" t="s">
        <v>64</v>
      </c>
      <c r="M1400" s="2" t="s">
        <v>523</v>
      </c>
      <c r="N1400" s="2" t="s">
        <v>10819</v>
      </c>
      <c r="O1400" s="2"/>
      <c r="P1400" s="2" t="s">
        <v>37</v>
      </c>
      <c r="Q1400" s="4" t="n">
        <v>8731</v>
      </c>
      <c r="R1400" s="2" t="s">
        <v>136</v>
      </c>
      <c r="S1400" s="2" t="s">
        <v>39</v>
      </c>
      <c r="T1400" s="2" t="s">
        <v>40</v>
      </c>
      <c r="U1400" s="2" t="s">
        <v>10820</v>
      </c>
      <c r="V1400" s="2"/>
      <c r="W1400" s="2" t="s">
        <v>42</v>
      </c>
      <c r="X1400" s="2" t="s">
        <v>43</v>
      </c>
      <c r="Y1400" s="2" t="s">
        <v>37</v>
      </c>
      <c r="Z1400" s="2" t="s">
        <v>44</v>
      </c>
      <c r="AA1400" s="2"/>
      <c r="AB1400" s="2"/>
      <c r="AC1400" s="2" t="s">
        <v>10821</v>
      </c>
      <c r="AD1400" s="2" t="s">
        <v>46</v>
      </c>
    </row>
    <row r="1401" customFormat="false" ht="15.7" hidden="false" customHeight="true" outlineLevel="0" collapsed="false">
      <c r="A1401" s="2"/>
      <c r="B1401" s="3" t="n">
        <f aca="false">DATE(2009,7,13)</f>
        <v>0</v>
      </c>
      <c r="C1401" s="3" t="n">
        <v>40007</v>
      </c>
      <c r="D1401" s="2" t="s">
        <v>10822</v>
      </c>
      <c r="F1401" s="2" t="s">
        <v>10609</v>
      </c>
      <c r="G1401" s="2" t="s">
        <v>10823</v>
      </c>
      <c r="H1401" s="2" t="s">
        <v>1027</v>
      </c>
      <c r="I1401" s="2" t="s">
        <v>3265</v>
      </c>
      <c r="J1401" s="2" t="s">
        <v>331</v>
      </c>
      <c r="K1401" s="2" t="s">
        <v>10822</v>
      </c>
      <c r="L1401" s="2" t="s">
        <v>3265</v>
      </c>
      <c r="M1401" s="2" t="s">
        <v>1027</v>
      </c>
      <c r="N1401" s="2" t="s">
        <v>10824</v>
      </c>
      <c r="O1401" s="2"/>
      <c r="P1401" s="2" t="s">
        <v>37</v>
      </c>
      <c r="Q1401" s="4" t="n">
        <v>8731</v>
      </c>
      <c r="R1401" s="2" t="s">
        <v>10825</v>
      </c>
      <c r="S1401" s="2" t="s">
        <v>39</v>
      </c>
      <c r="T1401" s="2" t="s">
        <v>403</v>
      </c>
      <c r="U1401" s="2" t="s">
        <v>10826</v>
      </c>
      <c r="V1401" s="2"/>
      <c r="W1401" s="2" t="s">
        <v>42</v>
      </c>
      <c r="X1401" s="2" t="s">
        <v>43</v>
      </c>
      <c r="Y1401" s="2" t="s">
        <v>37</v>
      </c>
      <c r="Z1401" s="2" t="s">
        <v>44</v>
      </c>
      <c r="AA1401" s="2"/>
      <c r="AB1401" s="2"/>
      <c r="AC1401" s="2" t="s">
        <v>10827</v>
      </c>
      <c r="AD1401" s="2" t="s">
        <v>46</v>
      </c>
    </row>
    <row r="1402" customFormat="false" ht="15.7" hidden="false" customHeight="true" outlineLevel="0" collapsed="false">
      <c r="A1402" s="2"/>
      <c r="B1402" s="3" t="n">
        <f aca="false">DATE(2009,7,13)</f>
        <v>0</v>
      </c>
      <c r="C1402" s="3" t="n">
        <v>40007</v>
      </c>
      <c r="D1402" s="2" t="s">
        <v>10828</v>
      </c>
      <c r="F1402" s="2" t="s">
        <v>10829</v>
      </c>
      <c r="G1402" s="2" t="s">
        <v>10830</v>
      </c>
      <c r="H1402" s="2" t="s">
        <v>4803</v>
      </c>
      <c r="I1402" s="2" t="s">
        <v>51</v>
      </c>
      <c r="J1402" s="2" t="s">
        <v>10831</v>
      </c>
      <c r="K1402" s="2" t="s">
        <v>10828</v>
      </c>
      <c r="L1402" s="2" t="s">
        <v>51</v>
      </c>
      <c r="M1402" s="2" t="s">
        <v>4803</v>
      </c>
      <c r="N1402" s="2" t="s">
        <v>10832</v>
      </c>
      <c r="O1402" s="2"/>
      <c r="P1402" s="2" t="s">
        <v>37</v>
      </c>
      <c r="Q1402" s="4" t="n">
        <v>8731</v>
      </c>
      <c r="R1402" s="2" t="s">
        <v>56</v>
      </c>
      <c r="S1402" s="2" t="s">
        <v>788</v>
      </c>
      <c r="T1402" s="2" t="s">
        <v>403</v>
      </c>
      <c r="U1402" s="2" t="s">
        <v>10833</v>
      </c>
      <c r="V1402" s="2"/>
      <c r="W1402" s="2" t="s">
        <v>42</v>
      </c>
      <c r="X1402" s="2" t="s">
        <v>43</v>
      </c>
      <c r="Y1402" s="2" t="s">
        <v>37</v>
      </c>
      <c r="Z1402" s="2" t="s">
        <v>44</v>
      </c>
      <c r="AA1402" s="2"/>
      <c r="AB1402" s="2"/>
      <c r="AC1402" s="2" t="s">
        <v>10834</v>
      </c>
      <c r="AD1402" s="2" t="s">
        <v>46</v>
      </c>
    </row>
    <row r="1403" customFormat="false" ht="15.7" hidden="false" customHeight="true" outlineLevel="0" collapsed="false">
      <c r="A1403" s="2"/>
      <c r="B1403" s="3" t="n">
        <f aca="false">DATE(2009,7,14)</f>
        <v>0</v>
      </c>
      <c r="C1403" s="3" t="n">
        <v>40008</v>
      </c>
      <c r="D1403" s="2" t="s">
        <v>10835</v>
      </c>
      <c r="F1403" s="2" t="s">
        <v>10836</v>
      </c>
      <c r="G1403" s="2" t="s">
        <v>10837</v>
      </c>
      <c r="H1403" s="2" t="s">
        <v>2857</v>
      </c>
      <c r="I1403" s="2" t="s">
        <v>670</v>
      </c>
      <c r="J1403" s="2" t="s">
        <v>625</v>
      </c>
      <c r="K1403" s="2" t="s">
        <v>10838</v>
      </c>
      <c r="L1403" s="2" t="s">
        <v>5999</v>
      </c>
      <c r="M1403" s="2" t="s">
        <v>7311</v>
      </c>
      <c r="N1403" s="2" t="s">
        <v>10839</v>
      </c>
      <c r="O1403" s="2"/>
      <c r="P1403" s="2" t="s">
        <v>37</v>
      </c>
      <c r="Q1403" s="4" t="n">
        <v>8731</v>
      </c>
      <c r="R1403" s="2" t="s">
        <v>136</v>
      </c>
      <c r="S1403" s="2" t="s">
        <v>39</v>
      </c>
      <c r="T1403" s="2" t="s">
        <v>40</v>
      </c>
      <c r="U1403" s="2" t="s">
        <v>10840</v>
      </c>
      <c r="V1403" s="2"/>
      <c r="W1403" s="2" t="s">
        <v>10841</v>
      </c>
      <c r="X1403" s="2" t="s">
        <v>43</v>
      </c>
      <c r="Y1403" s="2" t="s">
        <v>37</v>
      </c>
      <c r="Z1403" s="2" t="s">
        <v>44</v>
      </c>
      <c r="AA1403" s="2"/>
      <c r="AB1403" s="2"/>
      <c r="AC1403" s="2" t="s">
        <v>10842</v>
      </c>
      <c r="AD1403" s="2" t="s">
        <v>46</v>
      </c>
    </row>
    <row r="1404" customFormat="false" ht="15.7" hidden="false" customHeight="true" outlineLevel="0" collapsed="false">
      <c r="A1404" s="2"/>
      <c r="B1404" s="3" t="n">
        <f aca="false">DATE(2009,7,14)</f>
        <v>0</v>
      </c>
      <c r="C1404" s="3" t="n">
        <v>40008</v>
      </c>
      <c r="D1404" s="2" t="s">
        <v>10843</v>
      </c>
      <c r="F1404" s="2" t="s">
        <v>10844</v>
      </c>
      <c r="G1404" s="2" t="s">
        <v>10845</v>
      </c>
      <c r="H1404" s="2" t="s">
        <v>170</v>
      </c>
      <c r="I1404" s="2" t="s">
        <v>51</v>
      </c>
      <c r="J1404" s="2" t="s">
        <v>2190</v>
      </c>
      <c r="K1404" s="2" t="s">
        <v>10843</v>
      </c>
      <c r="L1404" s="2" t="s">
        <v>51</v>
      </c>
      <c r="M1404" s="2" t="s">
        <v>170</v>
      </c>
      <c r="N1404" s="2" t="s">
        <v>10846</v>
      </c>
      <c r="O1404" s="2"/>
      <c r="P1404" s="2" t="s">
        <v>37</v>
      </c>
      <c r="Q1404" s="4" t="n">
        <v>7372</v>
      </c>
      <c r="R1404" s="2" t="s">
        <v>56</v>
      </c>
      <c r="S1404" s="2" t="s">
        <v>92</v>
      </c>
      <c r="T1404" s="2" t="s">
        <v>403</v>
      </c>
      <c r="U1404" s="2" t="s">
        <v>10847</v>
      </c>
      <c r="V1404" s="2"/>
      <c r="W1404" s="2" t="s">
        <v>42</v>
      </c>
      <c r="X1404" s="2" t="s">
        <v>43</v>
      </c>
      <c r="Y1404" s="2" t="s">
        <v>37</v>
      </c>
      <c r="Z1404" s="2" t="s">
        <v>44</v>
      </c>
      <c r="AA1404" s="2"/>
      <c r="AB1404" s="2"/>
      <c r="AC1404" s="2" t="s">
        <v>10848</v>
      </c>
      <c r="AD1404" s="2" t="s">
        <v>46</v>
      </c>
    </row>
    <row r="1405" customFormat="false" ht="15.7" hidden="false" customHeight="true" outlineLevel="0" collapsed="false">
      <c r="A1405" s="2"/>
      <c r="B1405" s="3" t="n">
        <f aca="false">DATE(2009,7,14)</f>
        <v>0</v>
      </c>
      <c r="C1405" s="3" t="n">
        <v>40008</v>
      </c>
      <c r="D1405" s="2" t="s">
        <v>10849</v>
      </c>
      <c r="F1405" s="2" t="s">
        <v>10850</v>
      </c>
      <c r="G1405" s="2" t="s">
        <v>10851</v>
      </c>
      <c r="H1405" s="2" t="s">
        <v>10852</v>
      </c>
      <c r="I1405" s="2" t="s">
        <v>10853</v>
      </c>
      <c r="J1405" s="2" t="s">
        <v>10854</v>
      </c>
      <c r="K1405" s="2" t="s">
        <v>10855</v>
      </c>
      <c r="L1405" s="2" t="s">
        <v>10856</v>
      </c>
      <c r="M1405" s="2" t="s">
        <v>2918</v>
      </c>
      <c r="N1405" s="2" t="s">
        <v>10857</v>
      </c>
      <c r="O1405" s="2"/>
      <c r="P1405" s="2" t="s">
        <v>37</v>
      </c>
      <c r="Q1405" s="4" t="n">
        <v>2834</v>
      </c>
      <c r="R1405" s="2" t="s">
        <v>56</v>
      </c>
      <c r="S1405" s="2" t="s">
        <v>92</v>
      </c>
      <c r="T1405" s="2" t="s">
        <v>403</v>
      </c>
      <c r="U1405" s="2" t="s">
        <v>10858</v>
      </c>
      <c r="V1405" s="2"/>
      <c r="W1405" s="2" t="s">
        <v>42</v>
      </c>
      <c r="X1405" s="2" t="s">
        <v>43</v>
      </c>
      <c r="Y1405" s="2" t="s">
        <v>37</v>
      </c>
      <c r="Z1405" s="2" t="s">
        <v>916</v>
      </c>
      <c r="AA1405" s="2"/>
      <c r="AB1405" s="2"/>
      <c r="AC1405" s="2" t="s">
        <v>10859</v>
      </c>
      <c r="AD1405" s="2" t="s">
        <v>46</v>
      </c>
    </row>
    <row r="1406" customFormat="false" ht="15.7" hidden="false" customHeight="true" outlineLevel="0" collapsed="false">
      <c r="A1406" s="2"/>
      <c r="B1406" s="3" t="n">
        <f aca="false">DATE(2009,7,15)</f>
        <v>0</v>
      </c>
      <c r="C1406" s="3" t="n">
        <v>40009</v>
      </c>
      <c r="D1406" s="2" t="s">
        <v>10860</v>
      </c>
      <c r="F1406" s="2" t="s">
        <v>10861</v>
      </c>
      <c r="G1406" s="2" t="s">
        <v>10862</v>
      </c>
      <c r="H1406" s="2" t="s">
        <v>8894</v>
      </c>
      <c r="I1406" s="2" t="s">
        <v>330</v>
      </c>
      <c r="J1406" s="2" t="s">
        <v>132</v>
      </c>
      <c r="K1406" s="2" t="s">
        <v>10863</v>
      </c>
      <c r="L1406" s="2" t="s">
        <v>487</v>
      </c>
      <c r="M1406" s="2" t="s">
        <v>8894</v>
      </c>
      <c r="N1406" s="2" t="s">
        <v>10864</v>
      </c>
      <c r="O1406" s="2"/>
      <c r="P1406" s="2" t="s">
        <v>37</v>
      </c>
      <c r="Q1406" s="4" t="n">
        <v>8731</v>
      </c>
      <c r="R1406" s="2" t="s">
        <v>2201</v>
      </c>
      <c r="S1406" s="2" t="s">
        <v>39</v>
      </c>
      <c r="T1406" s="2" t="s">
        <v>403</v>
      </c>
      <c r="U1406" s="2" t="s">
        <v>10865</v>
      </c>
      <c r="V1406" s="2"/>
      <c r="W1406" s="2" t="s">
        <v>42</v>
      </c>
      <c r="X1406" s="2" t="s">
        <v>43</v>
      </c>
      <c r="Y1406" s="2" t="s">
        <v>37</v>
      </c>
      <c r="Z1406" s="2" t="s">
        <v>44</v>
      </c>
      <c r="AA1406" s="2"/>
      <c r="AB1406" s="2"/>
      <c r="AC1406" s="2" t="s">
        <v>10866</v>
      </c>
      <c r="AD1406" s="2" t="s">
        <v>46</v>
      </c>
    </row>
    <row r="1407" customFormat="false" ht="15.7" hidden="false" customHeight="true" outlineLevel="0" collapsed="false">
      <c r="A1407" s="2"/>
      <c r="B1407" s="3" t="n">
        <f aca="false">DATE(2009,7,16)</f>
        <v>0</v>
      </c>
      <c r="C1407" s="3" t="n">
        <v>40010</v>
      </c>
      <c r="D1407" s="2" t="s">
        <v>10867</v>
      </c>
      <c r="F1407" s="2" t="s">
        <v>10868</v>
      </c>
      <c r="G1407" s="2" t="s">
        <v>10869</v>
      </c>
      <c r="H1407" s="2" t="s">
        <v>731</v>
      </c>
      <c r="I1407" s="2" t="s">
        <v>3103</v>
      </c>
      <c r="J1407" s="2" t="s">
        <v>7963</v>
      </c>
      <c r="K1407" s="2" t="s">
        <v>10870</v>
      </c>
      <c r="L1407" s="2" t="s">
        <v>3103</v>
      </c>
      <c r="M1407" s="2" t="s">
        <v>1246</v>
      </c>
      <c r="N1407" s="2" t="s">
        <v>10871</v>
      </c>
      <c r="O1407" s="2"/>
      <c r="P1407" s="2" t="s">
        <v>37</v>
      </c>
      <c r="Q1407" s="4" t="n">
        <v>2879</v>
      </c>
      <c r="R1407" s="2" t="s">
        <v>1402</v>
      </c>
      <c r="S1407" s="2" t="s">
        <v>39</v>
      </c>
      <c r="T1407" s="2" t="s">
        <v>40</v>
      </c>
      <c r="U1407" s="2" t="s">
        <v>10872</v>
      </c>
      <c r="V1407" s="2"/>
      <c r="W1407" s="2" t="s">
        <v>42</v>
      </c>
      <c r="X1407" s="2" t="s">
        <v>43</v>
      </c>
      <c r="Y1407" s="2" t="s">
        <v>37</v>
      </c>
      <c r="Z1407" s="2" t="s">
        <v>44</v>
      </c>
      <c r="AA1407" s="2"/>
      <c r="AB1407" s="2"/>
      <c r="AC1407" s="2" t="s">
        <v>10873</v>
      </c>
      <c r="AD1407" s="2" t="s">
        <v>46</v>
      </c>
    </row>
    <row r="1408" customFormat="false" ht="15.7" hidden="false" customHeight="true" outlineLevel="0" collapsed="false">
      <c r="A1408" s="2"/>
      <c r="B1408" s="3" t="n">
        <f aca="false">DATE(2009,7,16)</f>
        <v>0</v>
      </c>
      <c r="C1408" s="3" t="n">
        <v>40010</v>
      </c>
      <c r="D1408" s="2" t="s">
        <v>10874</v>
      </c>
      <c r="F1408" s="2" t="s">
        <v>10875</v>
      </c>
      <c r="G1408" s="2" t="s">
        <v>10876</v>
      </c>
      <c r="H1408" s="2" t="s">
        <v>10877</v>
      </c>
      <c r="I1408" s="2" t="s">
        <v>530</v>
      </c>
      <c r="J1408" s="2" t="s">
        <v>35</v>
      </c>
      <c r="K1408" s="2" t="s">
        <v>10878</v>
      </c>
      <c r="L1408" s="2" t="s">
        <v>388</v>
      </c>
      <c r="M1408" s="2" t="s">
        <v>10879</v>
      </c>
      <c r="N1408" s="2" t="s">
        <v>10880</v>
      </c>
      <c r="O1408" s="2"/>
      <c r="P1408" s="2" t="s">
        <v>37</v>
      </c>
      <c r="Q1408" s="4" t="n">
        <v>8731</v>
      </c>
      <c r="R1408" s="2" t="s">
        <v>450</v>
      </c>
      <c r="S1408" s="2" t="s">
        <v>39</v>
      </c>
      <c r="T1408" s="2" t="s">
        <v>40</v>
      </c>
      <c r="U1408" s="2" t="s">
        <v>10881</v>
      </c>
      <c r="V1408" s="2"/>
      <c r="W1408" s="2" t="s">
        <v>42</v>
      </c>
      <c r="X1408" s="2" t="s">
        <v>43</v>
      </c>
      <c r="Y1408" s="2" t="s">
        <v>37</v>
      </c>
      <c r="Z1408" s="2" t="s">
        <v>44</v>
      </c>
      <c r="AA1408" s="2"/>
      <c r="AB1408" s="2"/>
      <c r="AC1408" s="2" t="s">
        <v>10882</v>
      </c>
      <c r="AD1408" s="2" t="s">
        <v>46</v>
      </c>
    </row>
    <row r="1409" customFormat="false" ht="15.7" hidden="false" customHeight="true" outlineLevel="0" collapsed="false">
      <c r="A1409" s="2"/>
      <c r="B1409" s="3" t="n">
        <f aca="false">DATE(2009,7,17)</f>
        <v>0</v>
      </c>
      <c r="C1409" s="3" t="n">
        <v>40011</v>
      </c>
      <c r="D1409" s="2" t="s">
        <v>10883</v>
      </c>
      <c r="F1409" s="2" t="s">
        <v>5754</v>
      </c>
      <c r="G1409" s="2" t="s">
        <v>10884</v>
      </c>
      <c r="H1409" s="2" t="s">
        <v>130</v>
      </c>
      <c r="I1409" s="2" t="s">
        <v>330</v>
      </c>
      <c r="J1409" s="2" t="s">
        <v>331</v>
      </c>
      <c r="K1409" s="2" t="s">
        <v>10883</v>
      </c>
      <c r="L1409" s="2" t="s">
        <v>330</v>
      </c>
      <c r="M1409" s="2" t="s">
        <v>130</v>
      </c>
      <c r="N1409" s="2" t="s">
        <v>10885</v>
      </c>
      <c r="O1409" s="2"/>
      <c r="P1409" s="2" t="s">
        <v>37</v>
      </c>
      <c r="Q1409" s="4" t="n">
        <v>2834</v>
      </c>
      <c r="R1409" s="2" t="s">
        <v>136</v>
      </c>
      <c r="S1409" s="2" t="s">
        <v>39</v>
      </c>
      <c r="T1409" s="2" t="s">
        <v>40</v>
      </c>
      <c r="U1409" s="2" t="s">
        <v>10886</v>
      </c>
      <c r="V1409" s="2"/>
      <c r="W1409" s="2" t="s">
        <v>42</v>
      </c>
      <c r="X1409" s="2" t="s">
        <v>43</v>
      </c>
      <c r="Y1409" s="2" t="s">
        <v>37</v>
      </c>
      <c r="Z1409" s="2" t="s">
        <v>44</v>
      </c>
      <c r="AA1409" s="2"/>
      <c r="AB1409" s="2"/>
      <c r="AC1409" s="2" t="s">
        <v>10887</v>
      </c>
      <c r="AD1409" s="2" t="s">
        <v>46</v>
      </c>
    </row>
    <row r="1410" customFormat="false" ht="15.7" hidden="false" customHeight="true" outlineLevel="0" collapsed="false">
      <c r="A1410" s="2"/>
      <c r="B1410" s="3" t="n">
        <f aca="false">DATE(2009,7,20)</f>
        <v>0</v>
      </c>
      <c r="C1410" s="3" t="n">
        <v>40014</v>
      </c>
      <c r="D1410" s="2" t="s">
        <v>10888</v>
      </c>
      <c r="F1410" s="2" t="s">
        <v>10889</v>
      </c>
      <c r="G1410" s="2" t="s">
        <v>10890</v>
      </c>
      <c r="H1410" s="2" t="s">
        <v>10891</v>
      </c>
      <c r="I1410" s="2" t="s">
        <v>10892</v>
      </c>
      <c r="J1410" s="2" t="s">
        <v>35</v>
      </c>
      <c r="K1410" s="2" t="s">
        <v>10888</v>
      </c>
      <c r="L1410" s="2" t="s">
        <v>10892</v>
      </c>
      <c r="M1410" s="2" t="s">
        <v>10891</v>
      </c>
      <c r="N1410" s="2" t="s">
        <v>10893</v>
      </c>
      <c r="O1410" s="2"/>
      <c r="P1410" s="2" t="s">
        <v>37</v>
      </c>
      <c r="Q1410" s="4" t="n">
        <v>3812</v>
      </c>
      <c r="R1410" s="2" t="s">
        <v>105</v>
      </c>
      <c r="S1410" s="2" t="s">
        <v>39</v>
      </c>
      <c r="T1410" s="2" t="s">
        <v>40</v>
      </c>
      <c r="U1410" s="2" t="s">
        <v>10894</v>
      </c>
      <c r="V1410" s="2"/>
      <c r="W1410" s="2" t="s">
        <v>42</v>
      </c>
      <c r="X1410" s="2" t="s">
        <v>43</v>
      </c>
      <c r="Y1410" s="2" t="s">
        <v>37</v>
      </c>
      <c r="Z1410" s="2" t="s">
        <v>44</v>
      </c>
      <c r="AA1410" s="2"/>
      <c r="AB1410" s="2"/>
      <c r="AC1410" s="2" t="s">
        <v>10895</v>
      </c>
      <c r="AD1410" s="2" t="s">
        <v>46</v>
      </c>
    </row>
    <row r="1411" customFormat="false" ht="15.7" hidden="false" customHeight="true" outlineLevel="0" collapsed="false">
      <c r="A1411" s="2"/>
      <c r="B1411" s="3" t="n">
        <f aca="false">DATE(2009,7,21)</f>
        <v>0</v>
      </c>
      <c r="C1411" s="3" t="n">
        <v>40015</v>
      </c>
      <c r="D1411" s="2" t="s">
        <v>10896</v>
      </c>
      <c r="F1411" s="2" t="s">
        <v>10897</v>
      </c>
      <c r="G1411" s="2" t="s">
        <v>10898</v>
      </c>
      <c r="H1411" s="2" t="s">
        <v>10899</v>
      </c>
      <c r="I1411" s="2" t="s">
        <v>8623</v>
      </c>
      <c r="J1411" s="2" t="s">
        <v>35</v>
      </c>
      <c r="K1411" s="2" t="s">
        <v>10896</v>
      </c>
      <c r="L1411" s="2" t="s">
        <v>8623</v>
      </c>
      <c r="M1411" s="2" t="s">
        <v>10899</v>
      </c>
      <c r="N1411" s="2" t="s">
        <v>10900</v>
      </c>
      <c r="O1411" s="2"/>
      <c r="P1411" s="2" t="s">
        <v>37</v>
      </c>
      <c r="Q1411" s="4" t="n">
        <v>1011</v>
      </c>
      <c r="R1411" s="2" t="s">
        <v>402</v>
      </c>
      <c r="S1411" s="2" t="s">
        <v>39</v>
      </c>
      <c r="T1411" s="2" t="s">
        <v>40</v>
      </c>
      <c r="U1411" s="2" t="s">
        <v>10901</v>
      </c>
      <c r="V1411" s="2"/>
      <c r="W1411" s="2" t="s">
        <v>10902</v>
      </c>
      <c r="X1411" s="2" t="s">
        <v>46</v>
      </c>
      <c r="Y1411" s="2" t="s">
        <v>37</v>
      </c>
      <c r="Z1411" s="2" t="s">
        <v>2732</v>
      </c>
      <c r="AA1411" s="2"/>
      <c r="AB1411" s="2"/>
      <c r="AC1411" s="2" t="s">
        <v>10903</v>
      </c>
      <c r="AD1411" s="2" t="s">
        <v>46</v>
      </c>
    </row>
    <row r="1412" customFormat="false" ht="15.7" hidden="false" customHeight="true" outlineLevel="0" collapsed="false">
      <c r="A1412" s="2"/>
      <c r="B1412" s="3" t="n">
        <f aca="false">DATE(2009,7,21)</f>
        <v>0</v>
      </c>
      <c r="C1412" s="3" t="n">
        <v>40015</v>
      </c>
      <c r="D1412" s="2" t="s">
        <v>10904</v>
      </c>
      <c r="F1412" s="2" t="s">
        <v>10905</v>
      </c>
      <c r="G1412" s="2" t="s">
        <v>10906</v>
      </c>
      <c r="H1412" s="2" t="s">
        <v>10907</v>
      </c>
      <c r="I1412" s="2" t="s">
        <v>10908</v>
      </c>
      <c r="J1412" s="2" t="s">
        <v>10909</v>
      </c>
      <c r="K1412" s="2" t="s">
        <v>10904</v>
      </c>
      <c r="L1412" s="2" t="s">
        <v>10908</v>
      </c>
      <c r="M1412" s="2" t="s">
        <v>10907</v>
      </c>
      <c r="N1412" s="2" t="s">
        <v>10910</v>
      </c>
      <c r="O1412" s="2"/>
      <c r="P1412" s="2" t="s">
        <v>37</v>
      </c>
      <c r="Q1412" s="4" t="n">
        <v>3663</v>
      </c>
      <c r="R1412" s="2" t="s">
        <v>136</v>
      </c>
      <c r="S1412" s="2" t="s">
        <v>39</v>
      </c>
      <c r="T1412" s="2" t="s">
        <v>403</v>
      </c>
      <c r="U1412" s="2" t="s">
        <v>10911</v>
      </c>
      <c r="V1412" s="2"/>
      <c r="W1412" s="2" t="s">
        <v>10912</v>
      </c>
      <c r="X1412" s="2" t="s">
        <v>43</v>
      </c>
      <c r="Y1412" s="2" t="s">
        <v>37</v>
      </c>
      <c r="Z1412" s="2" t="s">
        <v>916</v>
      </c>
      <c r="AA1412" s="2"/>
      <c r="AB1412" s="2"/>
      <c r="AC1412" s="2" t="s">
        <v>10913</v>
      </c>
      <c r="AD1412" s="2" t="s">
        <v>46</v>
      </c>
    </row>
    <row r="1413" customFormat="false" ht="15.7" hidden="false" customHeight="true" outlineLevel="0" collapsed="false">
      <c r="A1413" s="2"/>
      <c r="B1413" s="3" t="n">
        <f aca="false">DATE(2009,7,30)</f>
        <v>0</v>
      </c>
      <c r="C1413" s="3" t="n">
        <v>40024</v>
      </c>
      <c r="D1413" s="2" t="s">
        <v>10914</v>
      </c>
      <c r="F1413" s="2" t="s">
        <v>10915</v>
      </c>
      <c r="G1413" s="2" t="s">
        <v>10916</v>
      </c>
      <c r="H1413" s="2" t="s">
        <v>8894</v>
      </c>
      <c r="I1413" s="2" t="s">
        <v>10917</v>
      </c>
      <c r="J1413" s="2" t="s">
        <v>35</v>
      </c>
      <c r="K1413" s="2" t="s">
        <v>10914</v>
      </c>
      <c r="L1413" s="2" t="s">
        <v>10917</v>
      </c>
      <c r="M1413" s="2" t="s">
        <v>8894</v>
      </c>
      <c r="N1413" s="2" t="s">
        <v>10918</v>
      </c>
      <c r="O1413" s="2"/>
      <c r="P1413" s="2" t="s">
        <v>37</v>
      </c>
      <c r="Q1413" s="4" t="n">
        <v>8748</v>
      </c>
      <c r="R1413" s="2" t="s">
        <v>136</v>
      </c>
      <c r="S1413" s="2" t="s">
        <v>39</v>
      </c>
      <c r="T1413" s="2" t="s">
        <v>403</v>
      </c>
      <c r="U1413" s="2" t="s">
        <v>10919</v>
      </c>
      <c r="V1413" s="2"/>
      <c r="W1413" s="2" t="s">
        <v>3949</v>
      </c>
      <c r="X1413" s="2" t="s">
        <v>43</v>
      </c>
      <c r="Y1413" s="2" t="s">
        <v>37</v>
      </c>
      <c r="Z1413" s="2" t="s">
        <v>44</v>
      </c>
      <c r="AA1413" s="2"/>
      <c r="AB1413" s="2"/>
      <c r="AC1413" s="2" t="s">
        <v>10920</v>
      </c>
      <c r="AD1413" s="2" t="s">
        <v>46</v>
      </c>
    </row>
    <row r="1414" customFormat="false" ht="15.7" hidden="false" customHeight="true" outlineLevel="0" collapsed="false">
      <c r="A1414" s="2"/>
      <c r="B1414" s="3" t="n">
        <f aca="false">DATE(2009,8,4)</f>
        <v>0</v>
      </c>
      <c r="C1414" s="3" t="n">
        <v>40029</v>
      </c>
      <c r="D1414" s="2" t="s">
        <v>10921</v>
      </c>
      <c r="F1414" s="2" t="s">
        <v>10922</v>
      </c>
      <c r="G1414" s="2" t="s">
        <v>10923</v>
      </c>
      <c r="H1414" s="2" t="s">
        <v>523</v>
      </c>
      <c r="I1414" s="2" t="s">
        <v>51</v>
      </c>
      <c r="J1414" s="2" t="s">
        <v>2873</v>
      </c>
      <c r="K1414" s="2" t="s">
        <v>10921</v>
      </c>
      <c r="L1414" s="2" t="s">
        <v>51</v>
      </c>
      <c r="M1414" s="2" t="s">
        <v>523</v>
      </c>
      <c r="N1414" s="2" t="s">
        <v>10924</v>
      </c>
      <c r="O1414" s="2"/>
      <c r="P1414" s="2" t="s">
        <v>37</v>
      </c>
      <c r="Q1414" s="4" t="n">
        <v>8731</v>
      </c>
      <c r="R1414" s="2" t="s">
        <v>56</v>
      </c>
      <c r="S1414" s="2" t="s">
        <v>92</v>
      </c>
      <c r="T1414" s="2" t="s">
        <v>403</v>
      </c>
      <c r="U1414" s="2" t="s">
        <v>10925</v>
      </c>
      <c r="V1414" s="2"/>
      <c r="W1414" s="2" t="s">
        <v>42</v>
      </c>
      <c r="X1414" s="2" t="s">
        <v>43</v>
      </c>
      <c r="Y1414" s="2" t="s">
        <v>37</v>
      </c>
      <c r="Z1414" s="2" t="s">
        <v>44</v>
      </c>
      <c r="AA1414" s="2"/>
      <c r="AB1414" s="2"/>
      <c r="AC1414" s="2" t="s">
        <v>10926</v>
      </c>
      <c r="AD1414" s="2" t="s">
        <v>46</v>
      </c>
    </row>
    <row r="1415" customFormat="false" ht="15.7" hidden="false" customHeight="true" outlineLevel="0" collapsed="false">
      <c r="A1415" s="2"/>
      <c r="B1415" s="3" t="n">
        <f aca="false">DATE(2009,8,6)</f>
        <v>0</v>
      </c>
      <c r="C1415" s="3" t="n">
        <v>40031</v>
      </c>
      <c r="D1415" s="2" t="s">
        <v>10927</v>
      </c>
      <c r="F1415" s="2" t="s">
        <v>10928</v>
      </c>
      <c r="G1415" s="2" t="s">
        <v>10929</v>
      </c>
      <c r="H1415" s="2" t="s">
        <v>170</v>
      </c>
      <c r="I1415" s="2" t="s">
        <v>296</v>
      </c>
      <c r="J1415" s="2" t="s">
        <v>625</v>
      </c>
      <c r="K1415" s="2" t="s">
        <v>10927</v>
      </c>
      <c r="L1415" s="2" t="s">
        <v>296</v>
      </c>
      <c r="M1415" s="2" t="s">
        <v>170</v>
      </c>
      <c r="N1415" s="2" t="s">
        <v>10930</v>
      </c>
      <c r="O1415" s="2"/>
      <c r="P1415" s="2" t="s">
        <v>37</v>
      </c>
      <c r="Q1415" s="4" t="n">
        <v>2836</v>
      </c>
      <c r="R1415" s="2" t="s">
        <v>136</v>
      </c>
      <c r="S1415" s="2" t="s">
        <v>39</v>
      </c>
      <c r="T1415" s="2" t="s">
        <v>403</v>
      </c>
      <c r="U1415" s="2" t="s">
        <v>10931</v>
      </c>
      <c r="V1415" s="2"/>
      <c r="W1415" s="2" t="s">
        <v>42</v>
      </c>
      <c r="X1415" s="2" t="s">
        <v>43</v>
      </c>
      <c r="Y1415" s="2" t="s">
        <v>37</v>
      </c>
      <c r="Z1415" s="2" t="s">
        <v>44</v>
      </c>
      <c r="AA1415" s="2"/>
      <c r="AB1415" s="2"/>
      <c r="AC1415" s="2" t="s">
        <v>10932</v>
      </c>
      <c r="AD1415" s="2" t="s">
        <v>46</v>
      </c>
    </row>
    <row r="1416" customFormat="false" ht="15.7" hidden="false" customHeight="true" outlineLevel="0" collapsed="false">
      <c r="A1416" s="2"/>
      <c r="B1416" s="3" t="n">
        <f aca="false">DATE(2009,8,14)</f>
        <v>0</v>
      </c>
      <c r="C1416" s="3" t="n">
        <v>40039</v>
      </c>
      <c r="D1416" s="2" t="s">
        <v>10933</v>
      </c>
      <c r="F1416" s="2" t="s">
        <v>10934</v>
      </c>
      <c r="G1416" s="2" t="s">
        <v>10935</v>
      </c>
      <c r="H1416" s="2" t="s">
        <v>1101</v>
      </c>
      <c r="I1416" s="2" t="s">
        <v>51</v>
      </c>
      <c r="J1416" s="2" t="s">
        <v>171</v>
      </c>
      <c r="K1416" s="2" t="s">
        <v>10933</v>
      </c>
      <c r="L1416" s="2" t="s">
        <v>51</v>
      </c>
      <c r="M1416" s="2" t="s">
        <v>1101</v>
      </c>
      <c r="N1416" s="2" t="s">
        <v>10936</v>
      </c>
      <c r="O1416" s="2"/>
      <c r="P1416" s="2" t="s">
        <v>37</v>
      </c>
      <c r="Q1416" s="4" t="n">
        <v>2836</v>
      </c>
      <c r="R1416" s="2" t="s">
        <v>56</v>
      </c>
      <c r="S1416" s="2" t="s">
        <v>92</v>
      </c>
      <c r="T1416" s="2" t="s">
        <v>673</v>
      </c>
      <c r="U1416" s="2" t="s">
        <v>10937</v>
      </c>
      <c r="V1416" s="2"/>
      <c r="W1416" s="2" t="s">
        <v>344</v>
      </c>
      <c r="X1416" s="2" t="s">
        <v>43</v>
      </c>
      <c r="Y1416" s="2" t="s">
        <v>37</v>
      </c>
      <c r="Z1416" s="2" t="s">
        <v>44</v>
      </c>
      <c r="AA1416" s="2"/>
      <c r="AB1416" s="2"/>
      <c r="AC1416" s="2" t="s">
        <v>10938</v>
      </c>
      <c r="AD1416" s="2" t="s">
        <v>46</v>
      </c>
    </row>
    <row r="1417" customFormat="false" ht="15.7" hidden="false" customHeight="true" outlineLevel="0" collapsed="false">
      <c r="A1417" s="2"/>
      <c r="B1417" s="3" t="n">
        <f aca="false">DATE(2009,8,18)</f>
        <v>0</v>
      </c>
      <c r="C1417" s="3" t="n">
        <v>40043</v>
      </c>
      <c r="D1417" s="2" t="s">
        <v>10939</v>
      </c>
      <c r="F1417" s="2" t="s">
        <v>10940</v>
      </c>
      <c r="G1417" s="2" t="s">
        <v>10941</v>
      </c>
      <c r="H1417" s="2" t="s">
        <v>10942</v>
      </c>
      <c r="I1417" s="2" t="s">
        <v>10943</v>
      </c>
      <c r="J1417" s="2" t="s">
        <v>10944</v>
      </c>
      <c r="K1417" s="2" t="s">
        <v>10945</v>
      </c>
      <c r="L1417" s="2" t="s">
        <v>10943</v>
      </c>
      <c r="M1417" s="2" t="s">
        <v>10946</v>
      </c>
      <c r="N1417" s="2" t="s">
        <v>10947</v>
      </c>
      <c r="O1417" s="2"/>
      <c r="P1417" s="2" t="s">
        <v>37</v>
      </c>
      <c r="Q1417" s="4" t="n">
        <v>8731</v>
      </c>
      <c r="R1417" s="2" t="s">
        <v>56</v>
      </c>
      <c r="S1417" s="2" t="s">
        <v>1622</v>
      </c>
      <c r="T1417" s="2" t="s">
        <v>403</v>
      </c>
      <c r="U1417" s="2" t="s">
        <v>10948</v>
      </c>
      <c r="V1417" s="2"/>
      <c r="W1417" s="2" t="s">
        <v>42</v>
      </c>
      <c r="X1417" s="2" t="s">
        <v>43</v>
      </c>
      <c r="Y1417" s="2" t="s">
        <v>37</v>
      </c>
      <c r="Z1417" s="2" t="s">
        <v>8596</v>
      </c>
      <c r="AA1417" s="2"/>
      <c r="AB1417" s="2"/>
      <c r="AC1417" s="2" t="s">
        <v>10949</v>
      </c>
      <c r="AD1417" s="2" t="s">
        <v>46</v>
      </c>
    </row>
    <row r="1418" customFormat="false" ht="15.7" hidden="false" customHeight="true" outlineLevel="0" collapsed="false">
      <c r="A1418" s="2"/>
      <c r="B1418" s="3" t="n">
        <f aca="false">DATE(2009,8,19)</f>
        <v>0</v>
      </c>
      <c r="C1418" s="3" t="n">
        <v>40044</v>
      </c>
      <c r="D1418" s="2" t="s">
        <v>10950</v>
      </c>
      <c r="F1418" s="2" t="s">
        <v>10951</v>
      </c>
      <c r="G1418" s="2" t="s">
        <v>10952</v>
      </c>
      <c r="H1418" s="2" t="s">
        <v>8409</v>
      </c>
      <c r="I1418" s="2" t="s">
        <v>51</v>
      </c>
      <c r="J1418" s="2" t="s">
        <v>10953</v>
      </c>
      <c r="K1418" s="2" t="s">
        <v>10950</v>
      </c>
      <c r="L1418" s="2" t="s">
        <v>51</v>
      </c>
      <c r="M1418" s="2" t="s">
        <v>8409</v>
      </c>
      <c r="N1418" s="2" t="s">
        <v>10954</v>
      </c>
      <c r="O1418" s="2"/>
      <c r="P1418" s="2" t="s">
        <v>37</v>
      </c>
      <c r="Q1418" s="4" t="n">
        <v>2869</v>
      </c>
      <c r="R1418" s="2" t="s">
        <v>56</v>
      </c>
      <c r="S1418" s="2" t="s">
        <v>10955</v>
      </c>
      <c r="T1418" s="2" t="s">
        <v>403</v>
      </c>
      <c r="U1418" s="2" t="s">
        <v>10956</v>
      </c>
      <c r="V1418" s="2"/>
      <c r="W1418" s="2" t="s">
        <v>42</v>
      </c>
      <c r="X1418" s="2" t="s">
        <v>43</v>
      </c>
      <c r="Y1418" s="2" t="s">
        <v>37</v>
      </c>
      <c r="Z1418" s="2" t="s">
        <v>44</v>
      </c>
      <c r="AA1418" s="2"/>
      <c r="AB1418" s="2"/>
      <c r="AC1418" s="2" t="s">
        <v>10957</v>
      </c>
      <c r="AD1418" s="2" t="s">
        <v>46</v>
      </c>
    </row>
    <row r="1419" customFormat="false" ht="15.7" hidden="false" customHeight="true" outlineLevel="0" collapsed="false">
      <c r="A1419" s="2"/>
      <c r="B1419" s="3" t="n">
        <f aca="false">DATE(2009,8,24)</f>
        <v>0</v>
      </c>
      <c r="C1419" s="3" t="n">
        <v>40049</v>
      </c>
      <c r="D1419" s="2" t="s">
        <v>10958</v>
      </c>
      <c r="F1419" s="2" t="s">
        <v>10959</v>
      </c>
      <c r="G1419" s="2" t="s">
        <v>10960</v>
      </c>
      <c r="H1419" s="2" t="s">
        <v>10961</v>
      </c>
      <c r="I1419" s="2" t="s">
        <v>2530</v>
      </c>
      <c r="J1419" s="2" t="s">
        <v>10962</v>
      </c>
      <c r="K1419" s="2" t="s">
        <v>10963</v>
      </c>
      <c r="L1419" s="2" t="s">
        <v>10964</v>
      </c>
      <c r="M1419" s="2" t="s">
        <v>10965</v>
      </c>
      <c r="N1419" s="2" t="s">
        <v>10966</v>
      </c>
      <c r="O1419" s="2"/>
      <c r="P1419" s="2" t="s">
        <v>37</v>
      </c>
      <c r="Q1419" s="4" t="n">
        <v>8731</v>
      </c>
      <c r="R1419" s="2" t="s">
        <v>56</v>
      </c>
      <c r="S1419" s="2" t="s">
        <v>1484</v>
      </c>
      <c r="T1419" s="2" t="s">
        <v>403</v>
      </c>
      <c r="U1419" s="2" t="s">
        <v>10967</v>
      </c>
      <c r="V1419" s="2"/>
      <c r="W1419" s="2" t="s">
        <v>42</v>
      </c>
      <c r="X1419" s="2" t="s">
        <v>43</v>
      </c>
      <c r="Y1419" s="2" t="s">
        <v>37</v>
      </c>
      <c r="Z1419" s="2" t="s">
        <v>916</v>
      </c>
      <c r="AA1419" s="2"/>
      <c r="AB1419" s="2"/>
      <c r="AC1419" s="2" t="s">
        <v>10968</v>
      </c>
      <c r="AD1419" s="2" t="s">
        <v>46</v>
      </c>
    </row>
    <row r="1420" customFormat="false" ht="15.7" hidden="false" customHeight="true" outlineLevel="0" collapsed="false">
      <c r="A1420" s="2"/>
      <c r="B1420" s="3" t="n">
        <f aca="false">DATE(2009,8,25)</f>
        <v>0</v>
      </c>
      <c r="C1420" s="3" t="n">
        <v>40050</v>
      </c>
      <c r="D1420" s="2" t="s">
        <v>10969</v>
      </c>
      <c r="F1420" s="2" t="s">
        <v>10970</v>
      </c>
      <c r="G1420" s="2" t="s">
        <v>10971</v>
      </c>
      <c r="H1420" s="2" t="s">
        <v>2283</v>
      </c>
      <c r="I1420" s="2" t="s">
        <v>51</v>
      </c>
      <c r="J1420" s="2" t="s">
        <v>2633</v>
      </c>
      <c r="K1420" s="2" t="s">
        <v>10972</v>
      </c>
      <c r="L1420" s="2" t="s">
        <v>131</v>
      </c>
      <c r="M1420" s="2" t="s">
        <v>10973</v>
      </c>
      <c r="N1420" s="2" t="s">
        <v>10974</v>
      </c>
      <c r="O1420" s="2"/>
      <c r="P1420" s="2" t="s">
        <v>37</v>
      </c>
      <c r="Q1420" s="4" t="n">
        <v>8731</v>
      </c>
      <c r="R1420" s="2" t="s">
        <v>56</v>
      </c>
      <c r="S1420" s="2" t="s">
        <v>80</v>
      </c>
      <c r="T1420" s="2" t="s">
        <v>403</v>
      </c>
      <c r="U1420" s="2" t="s">
        <v>10975</v>
      </c>
      <c r="V1420" s="2"/>
      <c r="W1420" s="2" t="s">
        <v>42</v>
      </c>
      <c r="X1420" s="2" t="s">
        <v>43</v>
      </c>
      <c r="Y1420" s="2" t="s">
        <v>37</v>
      </c>
      <c r="Z1420" s="2" t="s">
        <v>44</v>
      </c>
      <c r="AA1420" s="2"/>
      <c r="AB1420" s="2"/>
      <c r="AC1420" s="2" t="s">
        <v>10976</v>
      </c>
      <c r="AD1420" s="2" t="s">
        <v>46</v>
      </c>
    </row>
    <row r="1421" customFormat="false" ht="15.7" hidden="false" customHeight="true" outlineLevel="0" collapsed="false">
      <c r="A1421" s="2"/>
      <c r="B1421" s="3" t="n">
        <f aca="false">DATE(2009,8,26)</f>
        <v>0</v>
      </c>
      <c r="C1421" s="3" t="n">
        <v>40051</v>
      </c>
      <c r="D1421" s="2" t="s">
        <v>10977</v>
      </c>
      <c r="F1421" s="2" t="s">
        <v>10978</v>
      </c>
      <c r="G1421" s="2" t="s">
        <v>10979</v>
      </c>
      <c r="H1421" s="2" t="s">
        <v>10980</v>
      </c>
      <c r="I1421" s="2" t="s">
        <v>51</v>
      </c>
      <c r="J1421" s="2" t="s">
        <v>10981</v>
      </c>
      <c r="K1421" s="2" t="s">
        <v>10982</v>
      </c>
      <c r="L1421" s="2" t="s">
        <v>51</v>
      </c>
      <c r="M1421" s="2" t="s">
        <v>10980</v>
      </c>
      <c r="N1421" s="2" t="s">
        <v>10983</v>
      </c>
      <c r="O1421" s="2"/>
      <c r="P1421" s="2" t="s">
        <v>37</v>
      </c>
      <c r="Q1421" s="4" t="n">
        <v>3433</v>
      </c>
      <c r="R1421" s="2" t="s">
        <v>56</v>
      </c>
      <c r="S1421" s="2" t="s">
        <v>2265</v>
      </c>
      <c r="T1421" s="2" t="s">
        <v>403</v>
      </c>
      <c r="U1421" s="2" t="s">
        <v>10984</v>
      </c>
      <c r="V1421" s="2"/>
      <c r="W1421" s="2" t="s">
        <v>10985</v>
      </c>
      <c r="X1421" s="2" t="s">
        <v>43</v>
      </c>
      <c r="Y1421" s="2" t="s">
        <v>37</v>
      </c>
      <c r="Z1421" s="2" t="s">
        <v>44</v>
      </c>
      <c r="AA1421" s="2"/>
      <c r="AB1421" s="2"/>
      <c r="AC1421" s="2" t="s">
        <v>10986</v>
      </c>
      <c r="AD1421" s="2" t="s">
        <v>46</v>
      </c>
    </row>
    <row r="1422" customFormat="false" ht="15.7" hidden="false" customHeight="true" outlineLevel="0" collapsed="false">
      <c r="A1422" s="2"/>
      <c r="B1422" s="3" t="n">
        <f aca="false">DATE(2009,8,27)</f>
        <v>0</v>
      </c>
      <c r="C1422" s="3" t="n">
        <v>40052</v>
      </c>
      <c r="D1422" s="2" t="s">
        <v>10987</v>
      </c>
      <c r="F1422" s="2" t="s">
        <v>10988</v>
      </c>
      <c r="G1422" s="2" t="s">
        <v>10989</v>
      </c>
      <c r="H1422" s="2" t="s">
        <v>8066</v>
      </c>
      <c r="I1422" s="2" t="s">
        <v>10990</v>
      </c>
      <c r="J1422" s="2" t="s">
        <v>35</v>
      </c>
      <c r="K1422" s="2" t="s">
        <v>10991</v>
      </c>
      <c r="L1422" s="2" t="s">
        <v>10990</v>
      </c>
      <c r="M1422" s="2" t="s">
        <v>10992</v>
      </c>
      <c r="N1422" s="2" t="s">
        <v>10993</v>
      </c>
      <c r="O1422" s="2"/>
      <c r="P1422" s="2" t="s">
        <v>37</v>
      </c>
      <c r="Q1422" s="4" t="n">
        <v>8731</v>
      </c>
      <c r="R1422" s="2" t="s">
        <v>450</v>
      </c>
      <c r="S1422" s="2" t="s">
        <v>39</v>
      </c>
      <c r="T1422" s="2" t="s">
        <v>403</v>
      </c>
      <c r="U1422" s="2" t="s">
        <v>10994</v>
      </c>
      <c r="V1422" s="2"/>
      <c r="W1422" s="2" t="s">
        <v>10985</v>
      </c>
      <c r="X1422" s="2" t="s">
        <v>43</v>
      </c>
      <c r="Y1422" s="2" t="s">
        <v>37</v>
      </c>
      <c r="Z1422" s="2" t="s">
        <v>44</v>
      </c>
      <c r="AA1422" s="2"/>
      <c r="AB1422" s="2"/>
      <c r="AC1422" s="2" t="s">
        <v>10995</v>
      </c>
      <c r="AD1422" s="2" t="s">
        <v>46</v>
      </c>
    </row>
    <row r="1423" customFormat="false" ht="15.7" hidden="false" customHeight="true" outlineLevel="0" collapsed="false">
      <c r="A1423" s="2"/>
      <c r="B1423" s="3" t="n">
        <f aca="false">DATE(2009,8,27)</f>
        <v>0</v>
      </c>
      <c r="C1423" s="3" t="n">
        <v>40052</v>
      </c>
      <c r="D1423" s="2" t="s">
        <v>10996</v>
      </c>
      <c r="F1423" s="2" t="s">
        <v>10997</v>
      </c>
      <c r="G1423" s="2" t="s">
        <v>10998</v>
      </c>
      <c r="H1423" s="2" t="s">
        <v>10999</v>
      </c>
      <c r="I1423" s="2" t="s">
        <v>51</v>
      </c>
      <c r="J1423" s="2" t="s">
        <v>11000</v>
      </c>
      <c r="K1423" s="2" t="s">
        <v>10996</v>
      </c>
      <c r="L1423" s="2" t="s">
        <v>51</v>
      </c>
      <c r="M1423" s="2" t="s">
        <v>10999</v>
      </c>
      <c r="N1423" s="2" t="s">
        <v>11001</v>
      </c>
      <c r="O1423" s="2"/>
      <c r="P1423" s="2" t="s">
        <v>37</v>
      </c>
      <c r="Q1423" s="4" t="n">
        <v>8748</v>
      </c>
      <c r="R1423" s="2" t="s">
        <v>56</v>
      </c>
      <c r="S1423" s="2" t="s">
        <v>2265</v>
      </c>
      <c r="T1423" s="2" t="s">
        <v>403</v>
      </c>
      <c r="U1423" s="2" t="s">
        <v>11002</v>
      </c>
      <c r="V1423" s="2"/>
      <c r="W1423" s="2" t="s">
        <v>42</v>
      </c>
      <c r="X1423" s="2" t="s">
        <v>43</v>
      </c>
      <c r="Y1423" s="2" t="s">
        <v>37</v>
      </c>
      <c r="Z1423" s="2" t="s">
        <v>44</v>
      </c>
      <c r="AA1423" s="2"/>
      <c r="AB1423" s="2"/>
      <c r="AC1423" s="2" t="s">
        <v>11003</v>
      </c>
      <c r="AD1423" s="2" t="s">
        <v>46</v>
      </c>
    </row>
    <row r="1424" customFormat="false" ht="15.7" hidden="false" customHeight="true" outlineLevel="0" collapsed="false">
      <c r="A1424" s="2"/>
      <c r="B1424" s="3" t="n">
        <f aca="false">DATE(2009,8,31)</f>
        <v>0</v>
      </c>
      <c r="C1424" s="3" t="n">
        <v>40056</v>
      </c>
      <c r="D1424" s="2" t="s">
        <v>11004</v>
      </c>
      <c r="F1424" s="2" t="s">
        <v>11005</v>
      </c>
      <c r="G1424" s="2" t="s">
        <v>11006</v>
      </c>
      <c r="H1424" s="2" t="s">
        <v>11007</v>
      </c>
      <c r="I1424" s="2" t="s">
        <v>34</v>
      </c>
      <c r="J1424" s="2" t="s">
        <v>35</v>
      </c>
      <c r="K1424" s="2" t="s">
        <v>11008</v>
      </c>
      <c r="L1424" s="2" t="s">
        <v>11009</v>
      </c>
      <c r="M1424" s="2" t="s">
        <v>3500</v>
      </c>
      <c r="N1424" s="2" t="s">
        <v>11010</v>
      </c>
      <c r="O1424" s="2"/>
      <c r="P1424" s="2" t="s">
        <v>37</v>
      </c>
      <c r="Q1424" s="4" t="n">
        <v>3713</v>
      </c>
      <c r="R1424" s="2" t="s">
        <v>38</v>
      </c>
      <c r="S1424" s="2" t="s">
        <v>39</v>
      </c>
      <c r="T1424" s="2" t="s">
        <v>673</v>
      </c>
      <c r="U1424" s="2" t="s">
        <v>11011</v>
      </c>
      <c r="V1424" s="2"/>
      <c r="W1424" s="2" t="s">
        <v>10912</v>
      </c>
      <c r="X1424" s="2" t="s">
        <v>46</v>
      </c>
      <c r="Y1424" s="2" t="s">
        <v>37</v>
      </c>
      <c r="Z1424" s="2" t="s">
        <v>362</v>
      </c>
      <c r="AA1424" s="2"/>
      <c r="AB1424" s="2"/>
      <c r="AC1424" s="2" t="s">
        <v>11012</v>
      </c>
      <c r="AD1424" s="2" t="s">
        <v>46</v>
      </c>
    </row>
    <row r="1425" customFormat="false" ht="15.7" hidden="false" customHeight="true" outlineLevel="0" collapsed="false">
      <c r="A1425" s="2"/>
      <c r="B1425" s="3" t="n">
        <f aca="false">DATE(2009,9,8)</f>
        <v>0</v>
      </c>
      <c r="C1425" s="3" t="n">
        <v>40064</v>
      </c>
      <c r="D1425" s="2" t="s">
        <v>11013</v>
      </c>
      <c r="F1425" s="2" t="s">
        <v>11014</v>
      </c>
      <c r="G1425" s="2" t="s">
        <v>11015</v>
      </c>
      <c r="H1425" s="2" t="s">
        <v>247</v>
      </c>
      <c r="I1425" s="2" t="s">
        <v>51</v>
      </c>
      <c r="J1425" s="2" t="s">
        <v>11016</v>
      </c>
      <c r="K1425" s="2" t="s">
        <v>11017</v>
      </c>
      <c r="L1425" s="2" t="s">
        <v>51</v>
      </c>
      <c r="M1425" s="2" t="s">
        <v>3053</v>
      </c>
      <c r="N1425" s="2" t="s">
        <v>11018</v>
      </c>
      <c r="O1425" s="2"/>
      <c r="P1425" s="2" t="s">
        <v>37</v>
      </c>
      <c r="Q1425" s="4" t="n">
        <v>8731</v>
      </c>
      <c r="R1425" s="2" t="s">
        <v>56</v>
      </c>
      <c r="S1425" s="2" t="s">
        <v>2265</v>
      </c>
      <c r="T1425" s="2" t="s">
        <v>403</v>
      </c>
      <c r="U1425" s="2" t="s">
        <v>11019</v>
      </c>
      <c r="V1425" s="2"/>
      <c r="W1425" s="2" t="s">
        <v>107</v>
      </c>
      <c r="X1425" s="2" t="s">
        <v>43</v>
      </c>
      <c r="Y1425" s="2" t="s">
        <v>37</v>
      </c>
      <c r="Z1425" s="2" t="s">
        <v>44</v>
      </c>
      <c r="AA1425" s="2"/>
      <c r="AB1425" s="2"/>
      <c r="AC1425" s="2" t="s">
        <v>11020</v>
      </c>
      <c r="AD1425" s="2" t="s">
        <v>46</v>
      </c>
    </row>
    <row r="1426" customFormat="false" ht="15.7" hidden="false" customHeight="true" outlineLevel="0" collapsed="false">
      <c r="A1426" s="2"/>
      <c r="B1426" s="3" t="n">
        <f aca="false">DATE(2009,9,8)</f>
        <v>0</v>
      </c>
      <c r="C1426" s="3" t="n">
        <v>40064</v>
      </c>
      <c r="D1426" s="2" t="s">
        <v>11021</v>
      </c>
      <c r="F1426" s="2" t="s">
        <v>11022</v>
      </c>
      <c r="G1426" s="2" t="s">
        <v>11023</v>
      </c>
      <c r="H1426" s="2" t="s">
        <v>130</v>
      </c>
      <c r="I1426" s="2" t="s">
        <v>11024</v>
      </c>
      <c r="J1426" s="2" t="s">
        <v>35</v>
      </c>
      <c r="K1426" s="2" t="s">
        <v>11021</v>
      </c>
      <c r="L1426" s="2" t="s">
        <v>11024</v>
      </c>
      <c r="M1426" s="2" t="s">
        <v>130</v>
      </c>
      <c r="N1426" s="2" t="s">
        <v>11025</v>
      </c>
      <c r="O1426" s="2"/>
      <c r="P1426" s="2" t="s">
        <v>37</v>
      </c>
      <c r="Q1426" s="4" t="n">
        <v>8731</v>
      </c>
      <c r="R1426" s="2" t="s">
        <v>136</v>
      </c>
      <c r="S1426" s="2" t="s">
        <v>39</v>
      </c>
      <c r="T1426" s="2" t="s">
        <v>40</v>
      </c>
      <c r="U1426" s="2" t="s">
        <v>11026</v>
      </c>
      <c r="V1426" s="2"/>
      <c r="W1426" s="2" t="s">
        <v>42</v>
      </c>
      <c r="X1426" s="2" t="s">
        <v>43</v>
      </c>
      <c r="Y1426" s="2" t="s">
        <v>37</v>
      </c>
      <c r="Z1426" s="2" t="s">
        <v>44</v>
      </c>
      <c r="AA1426" s="2" t="s">
        <v>11027</v>
      </c>
      <c r="AB1426" s="2"/>
      <c r="AC1426" s="2" t="s">
        <v>11028</v>
      </c>
      <c r="AD1426" s="2" t="s">
        <v>46</v>
      </c>
    </row>
    <row r="1427" customFormat="false" ht="15.7" hidden="false" customHeight="true" outlineLevel="0" collapsed="false">
      <c r="A1427" s="2"/>
      <c r="B1427" s="3" t="n">
        <f aca="false">DATE(2009,9,9)</f>
        <v>0</v>
      </c>
      <c r="C1427" s="3" t="n">
        <v>40065</v>
      </c>
      <c r="D1427" s="2" t="s">
        <v>11029</v>
      </c>
      <c r="F1427" s="2" t="s">
        <v>11030</v>
      </c>
      <c r="G1427" s="2" t="s">
        <v>11031</v>
      </c>
      <c r="H1427" s="2" t="s">
        <v>11032</v>
      </c>
      <c r="I1427" s="2" t="s">
        <v>4325</v>
      </c>
      <c r="J1427" s="2" t="s">
        <v>35</v>
      </c>
      <c r="K1427" s="2" t="s">
        <v>11033</v>
      </c>
      <c r="L1427" s="2" t="s">
        <v>11034</v>
      </c>
      <c r="M1427" s="2" t="s">
        <v>11035</v>
      </c>
      <c r="N1427" s="2" t="s">
        <v>11036</v>
      </c>
      <c r="O1427" s="2"/>
      <c r="P1427" s="2" t="s">
        <v>37</v>
      </c>
      <c r="Q1427" s="4" t="n">
        <v>8731</v>
      </c>
      <c r="R1427" s="2" t="s">
        <v>402</v>
      </c>
      <c r="S1427" s="2" t="s">
        <v>39</v>
      </c>
      <c r="T1427" s="2" t="s">
        <v>403</v>
      </c>
      <c r="U1427" s="2" t="s">
        <v>11037</v>
      </c>
      <c r="V1427" s="2"/>
      <c r="W1427" s="2" t="s">
        <v>42</v>
      </c>
      <c r="X1427" s="2" t="s">
        <v>43</v>
      </c>
      <c r="Y1427" s="2" t="s">
        <v>37</v>
      </c>
      <c r="Z1427" s="2" t="s">
        <v>44</v>
      </c>
      <c r="AA1427" s="2"/>
      <c r="AB1427" s="2"/>
      <c r="AC1427" s="2" t="s">
        <v>11038</v>
      </c>
      <c r="AD1427" s="2" t="s">
        <v>46</v>
      </c>
    </row>
    <row r="1428" customFormat="false" ht="15.7" hidden="false" customHeight="true" outlineLevel="0" collapsed="false">
      <c r="A1428" s="2"/>
      <c r="B1428" s="3" t="n">
        <f aca="false">DATE(2009,9,10)</f>
        <v>0</v>
      </c>
      <c r="C1428" s="3" t="n">
        <v>40066</v>
      </c>
      <c r="D1428" s="2" t="s">
        <v>11039</v>
      </c>
      <c r="F1428" s="2" t="s">
        <v>11040</v>
      </c>
      <c r="G1428" s="2" t="s">
        <v>11041</v>
      </c>
      <c r="H1428" s="2" t="s">
        <v>11042</v>
      </c>
      <c r="I1428" s="2" t="s">
        <v>4325</v>
      </c>
      <c r="J1428" s="2" t="s">
        <v>35</v>
      </c>
      <c r="K1428" s="2" t="s">
        <v>11039</v>
      </c>
      <c r="L1428" s="2" t="s">
        <v>4325</v>
      </c>
      <c r="M1428" s="2" t="s">
        <v>11042</v>
      </c>
      <c r="N1428" s="2" t="s">
        <v>11043</v>
      </c>
      <c r="O1428" s="2"/>
      <c r="P1428" s="2" t="s">
        <v>37</v>
      </c>
      <c r="Q1428" s="4" t="n">
        <v>8731</v>
      </c>
      <c r="R1428" s="2" t="s">
        <v>402</v>
      </c>
      <c r="S1428" s="2" t="s">
        <v>39</v>
      </c>
      <c r="T1428" s="2" t="s">
        <v>403</v>
      </c>
      <c r="U1428" s="2" t="s">
        <v>11044</v>
      </c>
      <c r="V1428" s="2"/>
      <c r="W1428" s="2" t="s">
        <v>42</v>
      </c>
      <c r="X1428" s="2" t="s">
        <v>43</v>
      </c>
      <c r="Y1428" s="2" t="s">
        <v>37</v>
      </c>
      <c r="Z1428" s="2" t="s">
        <v>44</v>
      </c>
      <c r="AA1428" s="2"/>
      <c r="AB1428" s="2"/>
      <c r="AC1428" s="2" t="s">
        <v>11045</v>
      </c>
      <c r="AD1428" s="2" t="s">
        <v>46</v>
      </c>
    </row>
    <row r="1429" customFormat="false" ht="15.7" hidden="false" customHeight="true" outlineLevel="0" collapsed="false">
      <c r="A1429" s="2"/>
      <c r="B1429" s="3" t="n">
        <f aca="false">DATE(2009,9,17)</f>
        <v>0</v>
      </c>
      <c r="C1429" s="3" t="n">
        <v>40073</v>
      </c>
      <c r="D1429" s="2" t="s">
        <v>11046</v>
      </c>
      <c r="F1429" s="2" t="s">
        <v>11047</v>
      </c>
      <c r="G1429" s="2" t="s">
        <v>11048</v>
      </c>
      <c r="H1429" s="2" t="s">
        <v>2312</v>
      </c>
      <c r="I1429" s="2" t="s">
        <v>388</v>
      </c>
      <c r="J1429" s="2" t="s">
        <v>514</v>
      </c>
      <c r="K1429" s="2" t="s">
        <v>11046</v>
      </c>
      <c r="L1429" s="2" t="s">
        <v>388</v>
      </c>
      <c r="M1429" s="2" t="s">
        <v>2312</v>
      </c>
      <c r="N1429" s="2" t="s">
        <v>11049</v>
      </c>
      <c r="O1429" s="2" t="s">
        <v>11050</v>
      </c>
      <c r="P1429" s="2" t="s">
        <v>37</v>
      </c>
      <c r="Q1429" s="4" t="n">
        <v>8733</v>
      </c>
      <c r="R1429" s="2" t="s">
        <v>450</v>
      </c>
      <c r="S1429" s="2" t="s">
        <v>39</v>
      </c>
      <c r="T1429" s="2" t="s">
        <v>40</v>
      </c>
      <c r="U1429" s="2" t="s">
        <v>11051</v>
      </c>
      <c r="V1429" s="2"/>
      <c r="W1429" s="2" t="s">
        <v>42</v>
      </c>
      <c r="X1429" s="2" t="s">
        <v>46</v>
      </c>
      <c r="Y1429" s="2" t="s">
        <v>37</v>
      </c>
      <c r="Z1429" s="2" t="s">
        <v>362</v>
      </c>
      <c r="AA1429" s="2"/>
      <c r="AB1429" s="2" t="s">
        <v>11052</v>
      </c>
      <c r="AC1429" s="2" t="s">
        <v>11053</v>
      </c>
      <c r="AD1429" s="2" t="s">
        <v>46</v>
      </c>
    </row>
    <row r="1430" customFormat="false" ht="15.7" hidden="false" customHeight="true" outlineLevel="0" collapsed="false">
      <c r="A1430" s="2"/>
      <c r="B1430" s="3" t="n">
        <f aca="false">DATE(2009,10,5)</f>
        <v>0</v>
      </c>
      <c r="C1430" s="3" t="n">
        <v>40091</v>
      </c>
      <c r="D1430" s="2" t="s">
        <v>11054</v>
      </c>
      <c r="F1430" s="2" t="s">
        <v>11055</v>
      </c>
      <c r="G1430" s="2" t="s">
        <v>11056</v>
      </c>
      <c r="H1430" s="2" t="s">
        <v>63</v>
      </c>
      <c r="I1430" s="2" t="s">
        <v>219</v>
      </c>
      <c r="J1430" s="2" t="s">
        <v>671</v>
      </c>
      <c r="K1430" s="2" t="s">
        <v>11054</v>
      </c>
      <c r="L1430" s="2" t="s">
        <v>219</v>
      </c>
      <c r="M1430" s="2" t="s">
        <v>63</v>
      </c>
      <c r="N1430" s="2" t="s">
        <v>11057</v>
      </c>
      <c r="O1430" s="2"/>
      <c r="P1430" s="2" t="s">
        <v>37</v>
      </c>
      <c r="Q1430" s="4" t="n">
        <v>2836</v>
      </c>
      <c r="R1430" s="2" t="s">
        <v>136</v>
      </c>
      <c r="S1430" s="2" t="s">
        <v>39</v>
      </c>
      <c r="T1430" s="2" t="s">
        <v>403</v>
      </c>
      <c r="U1430" s="2" t="s">
        <v>11058</v>
      </c>
      <c r="V1430" s="2"/>
      <c r="W1430" s="2" t="s">
        <v>42</v>
      </c>
      <c r="X1430" s="2" t="s">
        <v>43</v>
      </c>
      <c r="Y1430" s="2" t="s">
        <v>37</v>
      </c>
      <c r="Z1430" s="2" t="s">
        <v>44</v>
      </c>
      <c r="AA1430" s="2"/>
      <c r="AB1430" s="2"/>
      <c r="AC1430" s="2" t="s">
        <v>11059</v>
      </c>
      <c r="AD1430" s="2" t="s">
        <v>46</v>
      </c>
    </row>
    <row r="1431" customFormat="false" ht="15.7" hidden="false" customHeight="true" outlineLevel="0" collapsed="false">
      <c r="A1431" s="2"/>
      <c r="B1431" s="3" t="n">
        <f aca="false">DATE(2009,10,5)</f>
        <v>0</v>
      </c>
      <c r="C1431" s="3" t="n">
        <v>40091</v>
      </c>
      <c r="D1431" s="2" t="s">
        <v>11060</v>
      </c>
      <c r="F1431" s="2" t="s">
        <v>11061</v>
      </c>
      <c r="G1431" s="2" t="s">
        <v>11062</v>
      </c>
      <c r="H1431" s="2" t="s">
        <v>10528</v>
      </c>
      <c r="I1431" s="2" t="s">
        <v>388</v>
      </c>
      <c r="J1431" s="2" t="s">
        <v>625</v>
      </c>
      <c r="K1431" s="2" t="s">
        <v>11060</v>
      </c>
      <c r="L1431" s="2" t="s">
        <v>388</v>
      </c>
      <c r="M1431" s="2" t="s">
        <v>10528</v>
      </c>
      <c r="N1431" s="2" t="s">
        <v>11063</v>
      </c>
      <c r="O1431" s="2"/>
      <c r="P1431" s="2" t="s">
        <v>37</v>
      </c>
      <c r="Q1431" s="4" t="n">
        <v>8731</v>
      </c>
      <c r="R1431" s="2" t="s">
        <v>136</v>
      </c>
      <c r="S1431" s="2" t="s">
        <v>39</v>
      </c>
      <c r="T1431" s="2" t="s">
        <v>403</v>
      </c>
      <c r="U1431" s="2" t="s">
        <v>11064</v>
      </c>
      <c r="V1431" s="2"/>
      <c r="W1431" s="2" t="s">
        <v>42</v>
      </c>
      <c r="X1431" s="2" t="s">
        <v>43</v>
      </c>
      <c r="Y1431" s="2" t="s">
        <v>37</v>
      </c>
      <c r="Z1431" s="2" t="s">
        <v>44</v>
      </c>
      <c r="AA1431" s="2"/>
      <c r="AB1431" s="2"/>
      <c r="AC1431" s="2" t="s">
        <v>11065</v>
      </c>
      <c r="AD1431" s="2" t="s">
        <v>46</v>
      </c>
    </row>
    <row r="1432" customFormat="false" ht="15.7" hidden="false" customHeight="true" outlineLevel="0" collapsed="false">
      <c r="A1432" s="2"/>
      <c r="B1432" s="3" t="n">
        <f aca="false">DATE(2009,10,6)</f>
        <v>0</v>
      </c>
      <c r="C1432" s="3" t="n">
        <v>40092</v>
      </c>
      <c r="D1432" s="2" t="s">
        <v>11066</v>
      </c>
      <c r="F1432" s="2" t="s">
        <v>11067</v>
      </c>
      <c r="G1432" s="2" t="s">
        <v>11068</v>
      </c>
      <c r="H1432" s="2" t="s">
        <v>11069</v>
      </c>
      <c r="I1432" s="2" t="s">
        <v>11070</v>
      </c>
      <c r="J1432" s="2" t="s">
        <v>35</v>
      </c>
      <c r="K1432" s="2" t="s">
        <v>11070</v>
      </c>
      <c r="L1432" s="2" t="s">
        <v>11070</v>
      </c>
      <c r="M1432" s="2" t="s">
        <v>11071</v>
      </c>
      <c r="N1432" s="2" t="s">
        <v>11072</v>
      </c>
      <c r="O1432" s="2" t="s">
        <v>11073</v>
      </c>
      <c r="P1432" s="2" t="s">
        <v>37</v>
      </c>
      <c r="Q1432" s="4" t="n">
        <v>8731</v>
      </c>
      <c r="R1432" s="2" t="s">
        <v>688</v>
      </c>
      <c r="S1432" s="2" t="s">
        <v>39</v>
      </c>
      <c r="T1432" s="2" t="s">
        <v>11074</v>
      </c>
      <c r="U1432" s="2" t="s">
        <v>11075</v>
      </c>
      <c r="V1432" s="2"/>
      <c r="W1432" s="2" t="s">
        <v>42</v>
      </c>
      <c r="X1432" s="2" t="s">
        <v>46</v>
      </c>
      <c r="Y1432" s="2" t="s">
        <v>37</v>
      </c>
      <c r="Z1432" s="2" t="s">
        <v>987</v>
      </c>
      <c r="AA1432" s="2"/>
      <c r="AB1432" s="2" t="s">
        <v>11076</v>
      </c>
      <c r="AC1432" s="2" t="s">
        <v>11077</v>
      </c>
      <c r="AD1432" s="2" t="s">
        <v>46</v>
      </c>
    </row>
    <row r="1433" customFormat="false" ht="15.7" hidden="false" customHeight="true" outlineLevel="0" collapsed="false">
      <c r="A1433" s="2"/>
      <c r="B1433" s="3" t="n">
        <f aca="false">DATE(2009,10,15)</f>
        <v>0</v>
      </c>
      <c r="C1433" s="3" t="n">
        <v>40101</v>
      </c>
      <c r="D1433" s="2" t="s">
        <v>11078</v>
      </c>
      <c r="F1433" s="2" t="s">
        <v>11079</v>
      </c>
      <c r="G1433" s="2" t="s">
        <v>11080</v>
      </c>
      <c r="H1433" s="2" t="s">
        <v>11081</v>
      </c>
      <c r="I1433" s="2" t="s">
        <v>1973</v>
      </c>
      <c r="J1433" s="2" t="s">
        <v>35</v>
      </c>
      <c r="K1433" s="2" t="s">
        <v>11078</v>
      </c>
      <c r="L1433" s="2" t="s">
        <v>1973</v>
      </c>
      <c r="M1433" s="2" t="s">
        <v>11081</v>
      </c>
      <c r="N1433" s="2" t="s">
        <v>11082</v>
      </c>
      <c r="O1433" s="2"/>
      <c r="P1433" s="2" t="s">
        <v>37</v>
      </c>
      <c r="Q1433" s="4" t="n">
        <v>1081</v>
      </c>
      <c r="R1433" s="2" t="s">
        <v>1402</v>
      </c>
      <c r="S1433" s="2" t="s">
        <v>39</v>
      </c>
      <c r="T1433" s="2" t="s">
        <v>403</v>
      </c>
      <c r="U1433" s="2" t="s">
        <v>11083</v>
      </c>
      <c r="V1433" s="2"/>
      <c r="W1433" s="2" t="s">
        <v>11084</v>
      </c>
      <c r="X1433" s="2" t="s">
        <v>43</v>
      </c>
      <c r="Y1433" s="2" t="s">
        <v>37</v>
      </c>
      <c r="Z1433" s="2" t="s">
        <v>44</v>
      </c>
      <c r="AA1433" s="2"/>
      <c r="AB1433" s="2"/>
      <c r="AC1433" s="2" t="s">
        <v>11085</v>
      </c>
      <c r="AD1433" s="2" t="s">
        <v>46</v>
      </c>
    </row>
    <row r="1434" customFormat="false" ht="15.7" hidden="false" customHeight="true" outlineLevel="0" collapsed="false">
      <c r="A1434" s="2"/>
      <c r="B1434" s="3" t="n">
        <f aca="false">DATE(2009,10,15)</f>
        <v>0</v>
      </c>
      <c r="C1434" s="3" t="n">
        <v>40101</v>
      </c>
      <c r="D1434" s="2" t="s">
        <v>11086</v>
      </c>
      <c r="F1434" s="2" t="s">
        <v>11087</v>
      </c>
      <c r="G1434" s="2" t="s">
        <v>11088</v>
      </c>
      <c r="H1434" s="2" t="s">
        <v>1020</v>
      </c>
      <c r="I1434" s="2" t="s">
        <v>51</v>
      </c>
      <c r="J1434" s="2" t="s">
        <v>3478</v>
      </c>
      <c r="K1434" s="2" t="s">
        <v>11089</v>
      </c>
      <c r="L1434" s="2" t="s">
        <v>51</v>
      </c>
      <c r="M1434" s="2" t="s">
        <v>3840</v>
      </c>
      <c r="N1434" s="2" t="s">
        <v>11090</v>
      </c>
      <c r="O1434" s="2"/>
      <c r="P1434" s="2" t="s">
        <v>37</v>
      </c>
      <c r="Q1434" s="4" t="n">
        <v>8731</v>
      </c>
      <c r="R1434" s="2" t="s">
        <v>56</v>
      </c>
      <c r="S1434" s="2" t="s">
        <v>1484</v>
      </c>
      <c r="T1434" s="2" t="s">
        <v>403</v>
      </c>
      <c r="U1434" s="2" t="s">
        <v>11091</v>
      </c>
      <c r="V1434" s="2"/>
      <c r="W1434" s="2" t="s">
        <v>42</v>
      </c>
      <c r="X1434" s="2" t="s">
        <v>43</v>
      </c>
      <c r="Y1434" s="2" t="s">
        <v>37</v>
      </c>
      <c r="Z1434" s="2" t="s">
        <v>44</v>
      </c>
      <c r="AA1434" s="2"/>
      <c r="AB1434" s="2"/>
      <c r="AC1434" s="2" t="s">
        <v>11092</v>
      </c>
      <c r="AD1434" s="2" t="s">
        <v>46</v>
      </c>
    </row>
    <row r="1435" customFormat="false" ht="15.7" hidden="false" customHeight="true" outlineLevel="0" collapsed="false">
      <c r="A1435" s="2"/>
      <c r="B1435" s="3" t="n">
        <f aca="false">DATE(2009,10,20)</f>
        <v>0</v>
      </c>
      <c r="C1435" s="3" t="n">
        <v>40106</v>
      </c>
      <c r="D1435" s="2" t="s">
        <v>918</v>
      </c>
      <c r="F1435" s="2" t="s">
        <v>919</v>
      </c>
      <c r="G1435" s="2" t="s">
        <v>920</v>
      </c>
      <c r="H1435" s="2" t="s">
        <v>130</v>
      </c>
      <c r="I1435" s="2" t="s">
        <v>921</v>
      </c>
      <c r="J1435" s="2" t="s">
        <v>35</v>
      </c>
      <c r="K1435" s="2" t="s">
        <v>918</v>
      </c>
      <c r="L1435" s="2" t="s">
        <v>921</v>
      </c>
      <c r="M1435" s="2" t="s">
        <v>130</v>
      </c>
      <c r="N1435" s="2" t="s">
        <v>11093</v>
      </c>
      <c r="O1435" s="2"/>
      <c r="P1435" s="2" t="s">
        <v>37</v>
      </c>
      <c r="Q1435" s="4" t="n">
        <v>8731</v>
      </c>
      <c r="R1435" s="2" t="s">
        <v>136</v>
      </c>
      <c r="S1435" s="2" t="s">
        <v>39</v>
      </c>
      <c r="T1435" s="2" t="s">
        <v>403</v>
      </c>
      <c r="U1435" s="2" t="s">
        <v>11094</v>
      </c>
      <c r="V1435" s="2"/>
      <c r="W1435" s="2" t="s">
        <v>4487</v>
      </c>
      <c r="X1435" s="2" t="s">
        <v>43</v>
      </c>
      <c r="Y1435" s="2" t="s">
        <v>37</v>
      </c>
      <c r="Z1435" s="2" t="s">
        <v>44</v>
      </c>
      <c r="AA1435" s="2"/>
      <c r="AB1435" s="2"/>
      <c r="AC1435" s="2" t="s">
        <v>924</v>
      </c>
      <c r="AD1435" s="2" t="s">
        <v>46</v>
      </c>
    </row>
    <row r="1436" customFormat="false" ht="15.7" hidden="false" customHeight="true" outlineLevel="0" collapsed="false">
      <c r="A1436" s="2"/>
      <c r="B1436" s="3" t="n">
        <f aca="false">DATE(2009,10,22)</f>
        <v>0</v>
      </c>
      <c r="C1436" s="3" t="n">
        <v>40108</v>
      </c>
      <c r="D1436" s="2" t="s">
        <v>11095</v>
      </c>
      <c r="F1436" s="2" t="s">
        <v>11096</v>
      </c>
      <c r="G1436" s="2" t="s">
        <v>11097</v>
      </c>
      <c r="H1436" s="2" t="s">
        <v>1027</v>
      </c>
      <c r="I1436" s="2" t="s">
        <v>7027</v>
      </c>
      <c r="J1436" s="2" t="s">
        <v>35</v>
      </c>
      <c r="K1436" s="2" t="s">
        <v>11098</v>
      </c>
      <c r="L1436" s="2" t="s">
        <v>7027</v>
      </c>
      <c r="M1436" s="2" t="s">
        <v>9318</v>
      </c>
      <c r="N1436" s="2" t="s">
        <v>11099</v>
      </c>
      <c r="O1436" s="2"/>
      <c r="P1436" s="2" t="s">
        <v>37</v>
      </c>
      <c r="Q1436" s="4" t="n">
        <v>8731</v>
      </c>
      <c r="R1436" s="2" t="s">
        <v>136</v>
      </c>
      <c r="S1436" s="2" t="s">
        <v>39</v>
      </c>
      <c r="T1436" s="2" t="s">
        <v>403</v>
      </c>
      <c r="U1436" s="2" t="s">
        <v>11100</v>
      </c>
      <c r="V1436" s="2"/>
      <c r="W1436" s="2" t="s">
        <v>42</v>
      </c>
      <c r="X1436" s="2" t="s">
        <v>43</v>
      </c>
      <c r="Y1436" s="2" t="s">
        <v>37</v>
      </c>
      <c r="Z1436" s="2" t="s">
        <v>44</v>
      </c>
      <c r="AA1436" s="2"/>
      <c r="AB1436" s="2"/>
      <c r="AC1436" s="2" t="s">
        <v>11101</v>
      </c>
      <c r="AD1436" s="2" t="s">
        <v>46</v>
      </c>
    </row>
    <row r="1437" customFormat="false" ht="15.7" hidden="false" customHeight="true" outlineLevel="0" collapsed="false">
      <c r="A1437" s="2"/>
      <c r="B1437" s="3" t="n">
        <f aca="false">DATE(2009,10,27)</f>
        <v>0</v>
      </c>
      <c r="C1437" s="3" t="n">
        <v>40113</v>
      </c>
      <c r="D1437" s="2" t="s">
        <v>11102</v>
      </c>
      <c r="F1437" s="2" t="s">
        <v>11103</v>
      </c>
      <c r="G1437" s="2" t="s">
        <v>11104</v>
      </c>
      <c r="H1437" s="2" t="s">
        <v>6604</v>
      </c>
      <c r="I1437" s="2" t="s">
        <v>5408</v>
      </c>
      <c r="J1437" s="2" t="s">
        <v>35</v>
      </c>
      <c r="K1437" s="2" t="s">
        <v>11102</v>
      </c>
      <c r="L1437" s="2" t="s">
        <v>5408</v>
      </c>
      <c r="M1437" s="2" t="s">
        <v>6604</v>
      </c>
      <c r="N1437" s="2" t="s">
        <v>11105</v>
      </c>
      <c r="O1437" s="2" t="s">
        <v>11106</v>
      </c>
      <c r="P1437" s="2" t="s">
        <v>37</v>
      </c>
      <c r="Q1437" s="2" t="s">
        <v>7386</v>
      </c>
      <c r="R1437" s="2" t="s">
        <v>450</v>
      </c>
      <c r="S1437" s="2" t="s">
        <v>39</v>
      </c>
      <c r="T1437" s="2" t="s">
        <v>40</v>
      </c>
      <c r="U1437" s="2" t="s">
        <v>11107</v>
      </c>
      <c r="V1437" s="2"/>
      <c r="W1437" s="2" t="s">
        <v>4101</v>
      </c>
      <c r="X1437" s="2" t="s">
        <v>46</v>
      </c>
      <c r="Y1437" s="2" t="s">
        <v>37</v>
      </c>
      <c r="Z1437" s="2" t="s">
        <v>987</v>
      </c>
      <c r="AA1437" s="2"/>
      <c r="AB1437" s="2" t="s">
        <v>11108</v>
      </c>
      <c r="AC1437" s="2" t="s">
        <v>11109</v>
      </c>
      <c r="AD1437" s="2" t="s">
        <v>46</v>
      </c>
    </row>
    <row r="1438" customFormat="false" ht="15.7" hidden="false" customHeight="true" outlineLevel="0" collapsed="false">
      <c r="A1438" s="2"/>
      <c r="B1438" s="3" t="n">
        <f aca="false">DATE(2009,10,27)</f>
        <v>0</v>
      </c>
      <c r="C1438" s="3" t="n">
        <v>40113</v>
      </c>
      <c r="D1438" s="2" t="s">
        <v>11110</v>
      </c>
      <c r="F1438" s="2" t="s">
        <v>11111</v>
      </c>
      <c r="G1438" s="2" t="s">
        <v>11112</v>
      </c>
      <c r="H1438" s="2" t="s">
        <v>11113</v>
      </c>
      <c r="I1438" s="2" t="s">
        <v>2948</v>
      </c>
      <c r="J1438" s="2" t="s">
        <v>1413</v>
      </c>
      <c r="K1438" s="2" t="s">
        <v>11114</v>
      </c>
      <c r="L1438" s="2" t="s">
        <v>2948</v>
      </c>
      <c r="M1438" s="2" t="s">
        <v>11115</v>
      </c>
      <c r="N1438" s="2" t="s">
        <v>11116</v>
      </c>
      <c r="O1438" s="2" t="s">
        <v>11117</v>
      </c>
      <c r="P1438" s="2" t="s">
        <v>37</v>
      </c>
      <c r="Q1438" s="4" t="n">
        <v>6794</v>
      </c>
      <c r="R1438" s="2" t="s">
        <v>9420</v>
      </c>
      <c r="S1438" s="2" t="s">
        <v>39</v>
      </c>
      <c r="T1438" s="2" t="s">
        <v>40</v>
      </c>
      <c r="U1438" s="2" t="s">
        <v>11118</v>
      </c>
      <c r="V1438" s="2"/>
      <c r="W1438" s="2" t="s">
        <v>42</v>
      </c>
      <c r="X1438" s="2" t="s">
        <v>46</v>
      </c>
      <c r="Y1438" s="2" t="s">
        <v>37</v>
      </c>
      <c r="Z1438" s="2" t="s">
        <v>362</v>
      </c>
      <c r="AA1438" s="2"/>
      <c r="AB1438" s="2" t="s">
        <v>11119</v>
      </c>
      <c r="AC1438" s="2" t="s">
        <v>11120</v>
      </c>
      <c r="AD1438" s="2" t="s">
        <v>46</v>
      </c>
    </row>
    <row r="1439" customFormat="false" ht="15.7" hidden="false" customHeight="true" outlineLevel="0" collapsed="false">
      <c r="A1439" s="2"/>
      <c r="B1439" s="3" t="n">
        <f aca="false">DATE(2009,10,28)</f>
        <v>0</v>
      </c>
      <c r="C1439" s="3" t="n">
        <v>40114</v>
      </c>
      <c r="D1439" s="2" t="s">
        <v>11121</v>
      </c>
      <c r="F1439" s="2" t="s">
        <v>11122</v>
      </c>
      <c r="G1439" s="2" t="s">
        <v>11123</v>
      </c>
      <c r="H1439" s="2" t="s">
        <v>1042</v>
      </c>
      <c r="I1439" s="2" t="s">
        <v>51</v>
      </c>
      <c r="J1439" s="2" t="s">
        <v>7462</v>
      </c>
      <c r="K1439" s="2" t="s">
        <v>11121</v>
      </c>
      <c r="L1439" s="2" t="s">
        <v>51</v>
      </c>
      <c r="M1439" s="2" t="s">
        <v>1042</v>
      </c>
      <c r="N1439" s="2" t="s">
        <v>11124</v>
      </c>
      <c r="O1439" s="2"/>
      <c r="P1439" s="2" t="s">
        <v>37</v>
      </c>
      <c r="Q1439" s="4" t="n">
        <v>3674</v>
      </c>
      <c r="R1439" s="2" t="s">
        <v>56</v>
      </c>
      <c r="S1439" s="2" t="s">
        <v>2265</v>
      </c>
      <c r="T1439" s="2" t="s">
        <v>403</v>
      </c>
      <c r="U1439" s="2" t="s">
        <v>11125</v>
      </c>
      <c r="V1439" s="2"/>
      <c r="W1439" s="2" t="s">
        <v>42</v>
      </c>
      <c r="X1439" s="2" t="s">
        <v>43</v>
      </c>
      <c r="Y1439" s="2" t="s">
        <v>37</v>
      </c>
      <c r="Z1439" s="2" t="s">
        <v>44</v>
      </c>
      <c r="AA1439" s="2"/>
      <c r="AB1439" s="2"/>
      <c r="AC1439" s="2" t="s">
        <v>11126</v>
      </c>
      <c r="AD1439" s="2" t="s">
        <v>46</v>
      </c>
    </row>
    <row r="1440" customFormat="false" ht="15.7" hidden="false" customHeight="true" outlineLevel="0" collapsed="false">
      <c r="A1440" s="2"/>
      <c r="B1440" s="3" t="n">
        <f aca="false">DATE(2009,10,29)</f>
        <v>0</v>
      </c>
      <c r="C1440" s="3" t="n">
        <v>40115</v>
      </c>
      <c r="D1440" s="2" t="s">
        <v>11127</v>
      </c>
      <c r="F1440" s="2" t="s">
        <v>11128</v>
      </c>
      <c r="G1440" s="2" t="s">
        <v>11129</v>
      </c>
      <c r="H1440" s="2" t="s">
        <v>130</v>
      </c>
      <c r="I1440" s="2" t="s">
        <v>4325</v>
      </c>
      <c r="J1440" s="2" t="s">
        <v>35</v>
      </c>
      <c r="K1440" s="2" t="s">
        <v>11127</v>
      </c>
      <c r="L1440" s="2" t="s">
        <v>4325</v>
      </c>
      <c r="M1440" s="2" t="s">
        <v>130</v>
      </c>
      <c r="N1440" s="2" t="s">
        <v>11130</v>
      </c>
      <c r="O1440" s="2" t="s">
        <v>11131</v>
      </c>
      <c r="P1440" s="2" t="s">
        <v>37</v>
      </c>
      <c r="Q1440" s="4" t="n">
        <v>8731</v>
      </c>
      <c r="R1440" s="2" t="s">
        <v>402</v>
      </c>
      <c r="S1440" s="2" t="s">
        <v>39</v>
      </c>
      <c r="T1440" s="2" t="s">
        <v>40</v>
      </c>
      <c r="U1440" s="2" t="s">
        <v>11132</v>
      </c>
      <c r="V1440" s="2"/>
      <c r="W1440" s="2" t="s">
        <v>42</v>
      </c>
      <c r="X1440" s="2" t="s">
        <v>46</v>
      </c>
      <c r="Y1440" s="2" t="s">
        <v>37</v>
      </c>
      <c r="Z1440" s="2" t="s">
        <v>5706</v>
      </c>
      <c r="AA1440" s="2"/>
      <c r="AB1440" s="2" t="s">
        <v>11133</v>
      </c>
      <c r="AC1440" s="2" t="s">
        <v>11134</v>
      </c>
      <c r="AD1440" s="2" t="s">
        <v>46</v>
      </c>
    </row>
    <row r="1441" customFormat="false" ht="15.7" hidden="false" customHeight="true" outlineLevel="0" collapsed="false">
      <c r="A1441" s="2"/>
      <c r="B1441" s="3" t="n">
        <f aca="false">DATE(2009,10,30)</f>
        <v>0</v>
      </c>
      <c r="C1441" s="3" t="n">
        <v>40116</v>
      </c>
      <c r="D1441" s="2" t="s">
        <v>11135</v>
      </c>
      <c r="F1441" s="2" t="s">
        <v>11136</v>
      </c>
      <c r="G1441" s="2" t="s">
        <v>11137</v>
      </c>
      <c r="H1441" s="2" t="s">
        <v>1027</v>
      </c>
      <c r="I1441" s="2" t="s">
        <v>219</v>
      </c>
      <c r="J1441" s="2" t="s">
        <v>313</v>
      </c>
      <c r="K1441" s="2" t="s">
        <v>11135</v>
      </c>
      <c r="L1441" s="2" t="s">
        <v>219</v>
      </c>
      <c r="M1441" s="2" t="s">
        <v>1027</v>
      </c>
      <c r="N1441" s="2" t="s">
        <v>11138</v>
      </c>
      <c r="O1441" s="2"/>
      <c r="P1441" s="2" t="s">
        <v>37</v>
      </c>
      <c r="Q1441" s="4" t="n">
        <v>8734</v>
      </c>
      <c r="R1441" s="2" t="s">
        <v>136</v>
      </c>
      <c r="S1441" s="2" t="s">
        <v>39</v>
      </c>
      <c r="T1441" s="2" t="s">
        <v>403</v>
      </c>
      <c r="U1441" s="2" t="s">
        <v>11139</v>
      </c>
      <c r="V1441" s="2"/>
      <c r="W1441" s="2" t="s">
        <v>4487</v>
      </c>
      <c r="X1441" s="2" t="s">
        <v>43</v>
      </c>
      <c r="Y1441" s="2" t="s">
        <v>37</v>
      </c>
      <c r="Z1441" s="2" t="s">
        <v>44</v>
      </c>
      <c r="AA1441" s="2"/>
      <c r="AB1441" s="2"/>
      <c r="AC1441" s="2" t="s">
        <v>11140</v>
      </c>
      <c r="AD1441" s="2" t="s">
        <v>46</v>
      </c>
    </row>
    <row r="1442" customFormat="false" ht="15.7" hidden="false" customHeight="true" outlineLevel="0" collapsed="false">
      <c r="A1442" s="2"/>
      <c r="B1442" s="3" t="n">
        <f aca="false">DATE(2009,11,2)</f>
        <v>0</v>
      </c>
      <c r="C1442" s="3" t="n">
        <v>40119</v>
      </c>
      <c r="D1442" s="2" t="s">
        <v>11141</v>
      </c>
      <c r="F1442" s="2" t="s">
        <v>11142</v>
      </c>
      <c r="G1442" s="2" t="s">
        <v>11143</v>
      </c>
      <c r="H1442" s="2" t="s">
        <v>11144</v>
      </c>
      <c r="I1442" s="2" t="s">
        <v>11145</v>
      </c>
      <c r="J1442" s="2" t="s">
        <v>1305</v>
      </c>
      <c r="K1442" s="2" t="s">
        <v>11141</v>
      </c>
      <c r="L1442" s="2" t="s">
        <v>11145</v>
      </c>
      <c r="M1442" s="2" t="s">
        <v>11144</v>
      </c>
      <c r="N1442" s="2" t="s">
        <v>11146</v>
      </c>
      <c r="O1442" s="2"/>
      <c r="P1442" s="2" t="s">
        <v>37</v>
      </c>
      <c r="Q1442" s="4" t="n">
        <v>8731</v>
      </c>
      <c r="R1442" s="2" t="s">
        <v>136</v>
      </c>
      <c r="S1442" s="2" t="s">
        <v>39</v>
      </c>
      <c r="T1442" s="2" t="s">
        <v>403</v>
      </c>
      <c r="U1442" s="2" t="s">
        <v>11147</v>
      </c>
      <c r="V1442" s="2"/>
      <c r="W1442" s="2" t="s">
        <v>10985</v>
      </c>
      <c r="X1442" s="2" t="s">
        <v>43</v>
      </c>
      <c r="Y1442" s="2" t="s">
        <v>37</v>
      </c>
      <c r="Z1442" s="2" t="s">
        <v>11148</v>
      </c>
      <c r="AA1442" s="2"/>
      <c r="AB1442" s="2"/>
      <c r="AC1442" s="2" t="s">
        <v>11149</v>
      </c>
      <c r="AD1442" s="2" t="s">
        <v>46</v>
      </c>
    </row>
    <row r="1443" customFormat="false" ht="15.7" hidden="false" customHeight="true" outlineLevel="0" collapsed="false">
      <c r="A1443" s="2"/>
      <c r="B1443" s="3" t="n">
        <f aca="false">DATE(2009,11,2)</f>
        <v>0</v>
      </c>
      <c r="C1443" s="3" t="n">
        <v>40119</v>
      </c>
      <c r="D1443" s="2" t="s">
        <v>11150</v>
      </c>
      <c r="F1443" s="2" t="s">
        <v>11151</v>
      </c>
      <c r="G1443" s="2" t="s">
        <v>11152</v>
      </c>
      <c r="H1443" s="2" t="s">
        <v>523</v>
      </c>
      <c r="I1443" s="2" t="s">
        <v>330</v>
      </c>
      <c r="J1443" s="2" t="s">
        <v>900</v>
      </c>
      <c r="K1443" s="2" t="s">
        <v>11150</v>
      </c>
      <c r="L1443" s="2" t="s">
        <v>330</v>
      </c>
      <c r="M1443" s="2" t="s">
        <v>523</v>
      </c>
      <c r="N1443" s="2" t="s">
        <v>11153</v>
      </c>
      <c r="O1443" s="2"/>
      <c r="P1443" s="2" t="s">
        <v>37</v>
      </c>
      <c r="Q1443" s="4" t="n">
        <v>8731</v>
      </c>
      <c r="R1443" s="2" t="s">
        <v>136</v>
      </c>
      <c r="S1443" s="2" t="s">
        <v>39</v>
      </c>
      <c r="T1443" s="2" t="s">
        <v>403</v>
      </c>
      <c r="U1443" s="2" t="s">
        <v>11154</v>
      </c>
      <c r="V1443" s="2"/>
      <c r="W1443" s="2" t="s">
        <v>42</v>
      </c>
      <c r="X1443" s="2" t="s">
        <v>43</v>
      </c>
      <c r="Y1443" s="2" t="s">
        <v>37</v>
      </c>
      <c r="Z1443" s="2" t="s">
        <v>44</v>
      </c>
      <c r="AA1443" s="2"/>
      <c r="AB1443" s="2"/>
      <c r="AC1443" s="2" t="s">
        <v>11155</v>
      </c>
      <c r="AD1443" s="2" t="s">
        <v>46</v>
      </c>
    </row>
    <row r="1444" customFormat="false" ht="15.7" hidden="false" customHeight="true" outlineLevel="0" collapsed="false">
      <c r="A1444" s="2"/>
      <c r="B1444" s="3" t="n">
        <f aca="false">DATE(2009,11,9)</f>
        <v>0</v>
      </c>
      <c r="C1444" s="3" t="n">
        <v>40126</v>
      </c>
      <c r="D1444" s="2" t="s">
        <v>11156</v>
      </c>
      <c r="F1444" s="2" t="s">
        <v>11157</v>
      </c>
      <c r="G1444" s="2" t="s">
        <v>11158</v>
      </c>
      <c r="H1444" s="2" t="s">
        <v>11159</v>
      </c>
      <c r="I1444" s="2" t="s">
        <v>530</v>
      </c>
      <c r="J1444" s="2" t="s">
        <v>35</v>
      </c>
      <c r="K1444" s="2" t="s">
        <v>10878</v>
      </c>
      <c r="L1444" s="2" t="s">
        <v>388</v>
      </c>
      <c r="M1444" s="2" t="s">
        <v>10879</v>
      </c>
      <c r="N1444" s="2" t="s">
        <v>11160</v>
      </c>
      <c r="O1444" s="2"/>
      <c r="P1444" s="2" t="s">
        <v>37</v>
      </c>
      <c r="Q1444" s="4" t="n">
        <v>8731</v>
      </c>
      <c r="R1444" s="2" t="s">
        <v>136</v>
      </c>
      <c r="S1444" s="2" t="s">
        <v>39</v>
      </c>
      <c r="T1444" s="2" t="s">
        <v>403</v>
      </c>
      <c r="U1444" s="2" t="s">
        <v>11161</v>
      </c>
      <c r="V1444" s="2"/>
      <c r="W1444" s="2" t="s">
        <v>42</v>
      </c>
      <c r="X1444" s="2" t="s">
        <v>43</v>
      </c>
      <c r="Y1444" s="2" t="s">
        <v>37</v>
      </c>
      <c r="Z1444" s="2" t="s">
        <v>44</v>
      </c>
      <c r="AA1444" s="2"/>
      <c r="AB1444" s="2"/>
      <c r="AC1444" s="2" t="s">
        <v>11162</v>
      </c>
      <c r="AD1444" s="2" t="s">
        <v>46</v>
      </c>
    </row>
    <row r="1445" customFormat="false" ht="15.7" hidden="false" customHeight="true" outlineLevel="0" collapsed="false">
      <c r="A1445" s="2"/>
      <c r="B1445" s="3" t="n">
        <f aca="false">DATE(2009,11,13)</f>
        <v>0</v>
      </c>
      <c r="C1445" s="3" t="n">
        <v>40130</v>
      </c>
      <c r="D1445" s="2" t="s">
        <v>11163</v>
      </c>
      <c r="F1445" s="2" t="s">
        <v>11164</v>
      </c>
      <c r="G1445" s="2" t="s">
        <v>11165</v>
      </c>
      <c r="H1445" s="2" t="s">
        <v>11166</v>
      </c>
      <c r="I1445" s="2" t="s">
        <v>670</v>
      </c>
      <c r="J1445" s="2" t="s">
        <v>625</v>
      </c>
      <c r="K1445" s="2" t="s">
        <v>11163</v>
      </c>
      <c r="L1445" s="2" t="s">
        <v>670</v>
      </c>
      <c r="M1445" s="2" t="s">
        <v>11166</v>
      </c>
      <c r="N1445" s="2" t="s">
        <v>11167</v>
      </c>
      <c r="O1445" s="2"/>
      <c r="P1445" s="2" t="s">
        <v>37</v>
      </c>
      <c r="Q1445" s="4" t="n">
        <v>1221</v>
      </c>
      <c r="R1445" s="2" t="s">
        <v>402</v>
      </c>
      <c r="S1445" s="2" t="s">
        <v>39</v>
      </c>
      <c r="T1445" s="2" t="s">
        <v>40</v>
      </c>
      <c r="U1445" s="2" t="s">
        <v>11168</v>
      </c>
      <c r="V1445" s="2"/>
      <c r="W1445" s="2" t="s">
        <v>1050</v>
      </c>
      <c r="X1445" s="2" t="s">
        <v>46</v>
      </c>
      <c r="Y1445" s="2" t="s">
        <v>37</v>
      </c>
      <c r="Z1445" s="2" t="s">
        <v>362</v>
      </c>
      <c r="AA1445" s="2"/>
      <c r="AB1445" s="2"/>
      <c r="AC1445" s="2" t="s">
        <v>11169</v>
      </c>
      <c r="AD1445" s="2" t="s">
        <v>46</v>
      </c>
    </row>
    <row r="1446" customFormat="false" ht="15.7" hidden="false" customHeight="true" outlineLevel="0" collapsed="false">
      <c r="A1446" s="2"/>
      <c r="B1446" s="3" t="n">
        <f aca="false">DATE(2009,11,23)</f>
        <v>0</v>
      </c>
      <c r="C1446" s="3" t="n">
        <v>40140</v>
      </c>
      <c r="D1446" s="2" t="s">
        <v>11170</v>
      </c>
      <c r="F1446" s="2" t="s">
        <v>11136</v>
      </c>
      <c r="G1446" s="2" t="s">
        <v>11171</v>
      </c>
      <c r="H1446" s="2" t="s">
        <v>63</v>
      </c>
      <c r="I1446" s="2" t="s">
        <v>64</v>
      </c>
      <c r="J1446" s="2" t="s">
        <v>5725</v>
      </c>
      <c r="K1446" s="2" t="s">
        <v>11170</v>
      </c>
      <c r="L1446" s="2" t="s">
        <v>64</v>
      </c>
      <c r="M1446" s="2" t="s">
        <v>63</v>
      </c>
      <c r="N1446" s="2" t="s">
        <v>11172</v>
      </c>
      <c r="O1446" s="2"/>
      <c r="P1446" s="2" t="s">
        <v>37</v>
      </c>
      <c r="Q1446" s="4" t="n">
        <v>8734</v>
      </c>
      <c r="R1446" s="2" t="s">
        <v>70</v>
      </c>
      <c r="S1446" s="2" t="s">
        <v>39</v>
      </c>
      <c r="T1446" s="2" t="s">
        <v>403</v>
      </c>
      <c r="U1446" s="2" t="s">
        <v>11173</v>
      </c>
      <c r="V1446" s="2"/>
      <c r="W1446" s="2" t="s">
        <v>42</v>
      </c>
      <c r="X1446" s="2" t="s">
        <v>43</v>
      </c>
      <c r="Y1446" s="2" t="s">
        <v>37</v>
      </c>
      <c r="Z1446" s="2" t="s">
        <v>44</v>
      </c>
      <c r="AA1446" s="2"/>
      <c r="AB1446" s="2"/>
      <c r="AC1446" s="2" t="s">
        <v>11174</v>
      </c>
      <c r="AD1446" s="2" t="s">
        <v>46</v>
      </c>
    </row>
    <row r="1447" customFormat="false" ht="15.7" hidden="false" customHeight="true" outlineLevel="0" collapsed="false">
      <c r="A1447" s="2"/>
      <c r="B1447" s="3" t="n">
        <f aca="false">DATE(2009,11,24)</f>
        <v>0</v>
      </c>
      <c r="C1447" s="3" t="n">
        <v>40141</v>
      </c>
      <c r="D1447" s="2" t="s">
        <v>11175</v>
      </c>
      <c r="F1447" s="2" t="s">
        <v>11176</v>
      </c>
      <c r="G1447" s="2" t="s">
        <v>11177</v>
      </c>
      <c r="H1447" s="2" t="s">
        <v>9771</v>
      </c>
      <c r="I1447" s="2" t="s">
        <v>5647</v>
      </c>
      <c r="J1447" s="2" t="s">
        <v>35</v>
      </c>
      <c r="K1447" s="2" t="s">
        <v>11178</v>
      </c>
      <c r="L1447" s="2" t="s">
        <v>5647</v>
      </c>
      <c r="M1447" s="2" t="s">
        <v>11179</v>
      </c>
      <c r="N1447" s="2" t="s">
        <v>11180</v>
      </c>
      <c r="O1447" s="2"/>
      <c r="P1447" s="2" t="s">
        <v>37</v>
      </c>
      <c r="Q1447" s="4" t="n">
        <v>8731</v>
      </c>
      <c r="R1447" s="2" t="s">
        <v>136</v>
      </c>
      <c r="S1447" s="2" t="s">
        <v>39</v>
      </c>
      <c r="T1447" s="2" t="s">
        <v>40</v>
      </c>
      <c r="U1447" s="2" t="s">
        <v>11181</v>
      </c>
      <c r="V1447" s="2"/>
      <c r="W1447" s="2" t="s">
        <v>42</v>
      </c>
      <c r="X1447" s="2" t="s">
        <v>43</v>
      </c>
      <c r="Y1447" s="2" t="s">
        <v>37</v>
      </c>
      <c r="Z1447" s="2" t="s">
        <v>44</v>
      </c>
      <c r="AA1447" s="2"/>
      <c r="AB1447" s="2"/>
      <c r="AC1447" s="2" t="s">
        <v>11182</v>
      </c>
      <c r="AD1447" s="2" t="s">
        <v>46</v>
      </c>
    </row>
    <row r="1448" customFormat="false" ht="15.7" hidden="false" customHeight="true" outlineLevel="0" collapsed="false">
      <c r="A1448" s="2"/>
      <c r="B1448" s="3" t="n">
        <f aca="false">DATE(2009,11,25)</f>
        <v>0</v>
      </c>
      <c r="C1448" s="3" t="n">
        <v>40142</v>
      </c>
      <c r="D1448" s="2" t="s">
        <v>11183</v>
      </c>
      <c r="F1448" s="2" t="s">
        <v>11184</v>
      </c>
      <c r="G1448" s="2" t="s">
        <v>11185</v>
      </c>
      <c r="H1448" s="2" t="s">
        <v>11186</v>
      </c>
      <c r="I1448" s="2" t="s">
        <v>1645</v>
      </c>
      <c r="J1448" s="2" t="s">
        <v>35</v>
      </c>
      <c r="K1448" s="2" t="s">
        <v>11187</v>
      </c>
      <c r="L1448" s="2" t="s">
        <v>1645</v>
      </c>
      <c r="M1448" s="2" t="s">
        <v>11188</v>
      </c>
      <c r="N1448" s="2" t="s">
        <v>11189</v>
      </c>
      <c r="O1448" s="2"/>
      <c r="P1448" s="2" t="s">
        <v>37</v>
      </c>
      <c r="Q1448" s="4" t="n">
        <v>8731</v>
      </c>
      <c r="R1448" s="2" t="s">
        <v>1402</v>
      </c>
      <c r="S1448" s="2" t="s">
        <v>39</v>
      </c>
      <c r="T1448" s="2" t="s">
        <v>403</v>
      </c>
      <c r="U1448" s="2" t="s">
        <v>11190</v>
      </c>
      <c r="V1448" s="2"/>
      <c r="W1448" s="2" t="s">
        <v>42</v>
      </c>
      <c r="X1448" s="2" t="s">
        <v>43</v>
      </c>
      <c r="Y1448" s="2" t="s">
        <v>37</v>
      </c>
      <c r="Z1448" s="2" t="s">
        <v>44</v>
      </c>
      <c r="AA1448" s="2"/>
      <c r="AB1448" s="2"/>
      <c r="AC1448" s="2" t="s">
        <v>11191</v>
      </c>
      <c r="AD1448" s="2" t="s">
        <v>46</v>
      </c>
    </row>
    <row r="1449" customFormat="false" ht="15.7" hidden="false" customHeight="true" outlineLevel="0" collapsed="false">
      <c r="A1449" s="2"/>
      <c r="B1449" s="3" t="n">
        <f aca="false">DATE(2009,11,25)</f>
        <v>0</v>
      </c>
      <c r="C1449" s="3" t="n">
        <v>40142</v>
      </c>
      <c r="D1449" s="2" t="s">
        <v>11192</v>
      </c>
      <c r="F1449" s="2" t="s">
        <v>11193</v>
      </c>
      <c r="G1449" s="2" t="s">
        <v>11194</v>
      </c>
      <c r="H1449" s="2" t="s">
        <v>305</v>
      </c>
      <c r="I1449" s="2" t="s">
        <v>4325</v>
      </c>
      <c r="J1449" s="2" t="s">
        <v>35</v>
      </c>
      <c r="K1449" s="2" t="s">
        <v>11192</v>
      </c>
      <c r="L1449" s="2" t="s">
        <v>4325</v>
      </c>
      <c r="M1449" s="2" t="s">
        <v>305</v>
      </c>
      <c r="N1449" s="2" t="s">
        <v>11195</v>
      </c>
      <c r="O1449" s="2" t="s">
        <v>11196</v>
      </c>
      <c r="P1449" s="2" t="s">
        <v>37</v>
      </c>
      <c r="Q1449" s="4" t="n">
        <v>2836</v>
      </c>
      <c r="R1449" s="2" t="s">
        <v>402</v>
      </c>
      <c r="S1449" s="2" t="s">
        <v>39</v>
      </c>
      <c r="T1449" s="2" t="s">
        <v>403</v>
      </c>
      <c r="U1449" s="2" t="s">
        <v>11197</v>
      </c>
      <c r="V1449" s="2"/>
      <c r="W1449" s="2" t="s">
        <v>42</v>
      </c>
      <c r="X1449" s="2" t="s">
        <v>46</v>
      </c>
      <c r="Y1449" s="2" t="s">
        <v>37</v>
      </c>
      <c r="Z1449" s="2" t="s">
        <v>5823</v>
      </c>
      <c r="AA1449" s="2"/>
      <c r="AB1449" s="2" t="s">
        <v>11198</v>
      </c>
      <c r="AC1449" s="2" t="s">
        <v>11199</v>
      </c>
      <c r="AD1449" s="2" t="s">
        <v>46</v>
      </c>
    </row>
    <row r="1450" customFormat="false" ht="15.7" hidden="false" customHeight="true" outlineLevel="0" collapsed="false">
      <c r="A1450" s="2"/>
      <c r="B1450" s="3" t="n">
        <f aca="false">DATE(2009,12,7)</f>
        <v>0</v>
      </c>
      <c r="C1450" s="3" t="n">
        <v>40154</v>
      </c>
      <c r="D1450" s="2" t="s">
        <v>11200</v>
      </c>
      <c r="F1450" s="2" t="s">
        <v>11201</v>
      </c>
      <c r="G1450" s="2" t="s">
        <v>11202</v>
      </c>
      <c r="H1450" s="2" t="s">
        <v>762</v>
      </c>
      <c r="I1450" s="2" t="s">
        <v>1645</v>
      </c>
      <c r="J1450" s="2" t="s">
        <v>35</v>
      </c>
      <c r="K1450" s="2" t="s">
        <v>11200</v>
      </c>
      <c r="L1450" s="2" t="s">
        <v>1645</v>
      </c>
      <c r="M1450" s="2" t="s">
        <v>762</v>
      </c>
      <c r="N1450" s="2" t="s">
        <v>11203</v>
      </c>
      <c r="O1450" s="2"/>
      <c r="P1450" s="2" t="s">
        <v>37</v>
      </c>
      <c r="Q1450" s="4" t="n">
        <v>2836</v>
      </c>
      <c r="R1450" s="2" t="s">
        <v>136</v>
      </c>
      <c r="S1450" s="2" t="s">
        <v>39</v>
      </c>
      <c r="T1450" s="2" t="s">
        <v>40</v>
      </c>
      <c r="U1450" s="2" t="s">
        <v>11204</v>
      </c>
      <c r="V1450" s="2"/>
      <c r="W1450" s="2" t="s">
        <v>344</v>
      </c>
      <c r="X1450" s="2" t="s">
        <v>43</v>
      </c>
      <c r="Y1450" s="2" t="s">
        <v>37</v>
      </c>
      <c r="Z1450" s="2" t="s">
        <v>44</v>
      </c>
      <c r="AA1450" s="2"/>
      <c r="AB1450" s="2"/>
      <c r="AC1450" s="2" t="s">
        <v>11205</v>
      </c>
      <c r="AD1450" s="2" t="s">
        <v>46</v>
      </c>
    </row>
    <row r="1451" customFormat="false" ht="15.7" hidden="false" customHeight="true" outlineLevel="0" collapsed="false">
      <c r="A1451" s="2"/>
      <c r="B1451" s="3" t="n">
        <f aca="false">DATE(2009,12,8)</f>
        <v>0</v>
      </c>
      <c r="C1451" s="3" t="n">
        <v>40155</v>
      </c>
      <c r="D1451" s="2" t="s">
        <v>11206</v>
      </c>
      <c r="F1451" s="2" t="s">
        <v>11207</v>
      </c>
      <c r="G1451" s="2" t="s">
        <v>11208</v>
      </c>
      <c r="H1451" s="2" t="s">
        <v>130</v>
      </c>
      <c r="I1451" s="2" t="s">
        <v>51</v>
      </c>
      <c r="J1451" s="2" t="s">
        <v>5866</v>
      </c>
      <c r="K1451" s="2" t="s">
        <v>11206</v>
      </c>
      <c r="L1451" s="2" t="s">
        <v>51</v>
      </c>
      <c r="M1451" s="2" t="s">
        <v>130</v>
      </c>
      <c r="N1451" s="2" t="s">
        <v>11209</v>
      </c>
      <c r="O1451" s="2"/>
      <c r="P1451" s="2" t="s">
        <v>37</v>
      </c>
      <c r="Q1451" s="4" t="n">
        <v>8731</v>
      </c>
      <c r="R1451" s="2" t="s">
        <v>136</v>
      </c>
      <c r="S1451" s="2" t="s">
        <v>39</v>
      </c>
      <c r="T1451" s="2" t="s">
        <v>40</v>
      </c>
      <c r="U1451" s="2" t="s">
        <v>11210</v>
      </c>
      <c r="V1451" s="2"/>
      <c r="W1451" s="2" t="s">
        <v>42</v>
      </c>
      <c r="X1451" s="2" t="s">
        <v>43</v>
      </c>
      <c r="Y1451" s="2" t="s">
        <v>37</v>
      </c>
      <c r="Z1451" s="2" t="s">
        <v>44</v>
      </c>
      <c r="AA1451" s="2" t="s">
        <v>11211</v>
      </c>
      <c r="AB1451" s="2"/>
      <c r="AC1451" s="2" t="s">
        <v>11212</v>
      </c>
      <c r="AD1451" s="2" t="s">
        <v>46</v>
      </c>
    </row>
    <row r="1452" customFormat="false" ht="15.7" hidden="false" customHeight="true" outlineLevel="0" collapsed="false">
      <c r="A1452" s="2"/>
      <c r="B1452" s="3" t="n">
        <f aca="false">DATE(2009,12,9)</f>
        <v>0</v>
      </c>
      <c r="C1452" s="3" t="n">
        <v>40156</v>
      </c>
      <c r="D1452" s="2" t="s">
        <v>11213</v>
      </c>
      <c r="F1452" s="2" t="s">
        <v>11214</v>
      </c>
      <c r="G1452" s="2" t="s">
        <v>11215</v>
      </c>
      <c r="H1452" s="2" t="s">
        <v>238</v>
      </c>
      <c r="I1452" s="2" t="s">
        <v>1080</v>
      </c>
      <c r="J1452" s="2" t="s">
        <v>35</v>
      </c>
      <c r="K1452" s="2" t="s">
        <v>11213</v>
      </c>
      <c r="L1452" s="2" t="s">
        <v>1080</v>
      </c>
      <c r="M1452" s="2" t="s">
        <v>238</v>
      </c>
      <c r="N1452" s="2" t="s">
        <v>11216</v>
      </c>
      <c r="O1452" s="2"/>
      <c r="P1452" s="2" t="s">
        <v>37</v>
      </c>
      <c r="Q1452" s="4" t="n">
        <v>2833</v>
      </c>
      <c r="R1452" s="2" t="s">
        <v>2201</v>
      </c>
      <c r="S1452" s="2" t="s">
        <v>39</v>
      </c>
      <c r="T1452" s="2" t="s">
        <v>40</v>
      </c>
      <c r="U1452" s="2" t="s">
        <v>11217</v>
      </c>
      <c r="V1452" s="2"/>
      <c r="W1452" s="2" t="s">
        <v>42</v>
      </c>
      <c r="X1452" s="2" t="s">
        <v>43</v>
      </c>
      <c r="Y1452" s="2" t="s">
        <v>37</v>
      </c>
      <c r="Z1452" s="2" t="s">
        <v>44</v>
      </c>
      <c r="AA1452" s="2"/>
      <c r="AB1452" s="2"/>
      <c r="AC1452" s="2" t="s">
        <v>11218</v>
      </c>
      <c r="AD1452" s="2" t="s">
        <v>46</v>
      </c>
    </row>
    <row r="1453" customFormat="false" ht="15.7" hidden="false" customHeight="true" outlineLevel="0" collapsed="false">
      <c r="A1453" s="2"/>
      <c r="B1453" s="3" t="n">
        <f aca="false">DATE(2009,12,10)</f>
        <v>0</v>
      </c>
      <c r="C1453" s="3" t="n">
        <v>40157</v>
      </c>
      <c r="D1453" s="2" t="s">
        <v>11219</v>
      </c>
      <c r="F1453" s="2" t="s">
        <v>11220</v>
      </c>
      <c r="G1453" s="2" t="s">
        <v>11221</v>
      </c>
      <c r="H1453" s="2" t="s">
        <v>11222</v>
      </c>
      <c r="I1453" s="2" t="s">
        <v>4325</v>
      </c>
      <c r="J1453" s="2" t="s">
        <v>35</v>
      </c>
      <c r="K1453" s="2" t="s">
        <v>11223</v>
      </c>
      <c r="L1453" s="2" t="s">
        <v>11224</v>
      </c>
      <c r="M1453" s="2" t="s">
        <v>11225</v>
      </c>
      <c r="N1453" s="2" t="s">
        <v>11226</v>
      </c>
      <c r="O1453" s="2" t="s">
        <v>11227</v>
      </c>
      <c r="P1453" s="2" t="s">
        <v>37</v>
      </c>
      <c r="Q1453" s="4" t="n">
        <v>3621</v>
      </c>
      <c r="R1453" s="2" t="s">
        <v>402</v>
      </c>
      <c r="S1453" s="2" t="s">
        <v>39</v>
      </c>
      <c r="T1453" s="2" t="s">
        <v>403</v>
      </c>
      <c r="U1453" s="2" t="s">
        <v>11228</v>
      </c>
      <c r="V1453" s="2"/>
      <c r="W1453" s="2" t="s">
        <v>697</v>
      </c>
      <c r="X1453" s="2" t="s">
        <v>46</v>
      </c>
      <c r="Y1453" s="2" t="s">
        <v>37</v>
      </c>
      <c r="Z1453" s="2" t="s">
        <v>362</v>
      </c>
      <c r="AA1453" s="2" t="s">
        <v>11229</v>
      </c>
      <c r="AB1453" s="2" t="s">
        <v>11230</v>
      </c>
      <c r="AC1453" s="2" t="s">
        <v>11231</v>
      </c>
      <c r="AD1453" s="2" t="s">
        <v>46</v>
      </c>
    </row>
    <row r="1454" customFormat="false" ht="15.7" hidden="false" customHeight="true" outlineLevel="0" collapsed="false">
      <c r="A1454" s="2"/>
      <c r="B1454" s="3" t="n">
        <f aca="false">DATE(2009,12,15)</f>
        <v>0</v>
      </c>
      <c r="C1454" s="3" t="n">
        <v>40162</v>
      </c>
      <c r="D1454" s="2" t="s">
        <v>11232</v>
      </c>
      <c r="F1454" s="2" t="s">
        <v>11233</v>
      </c>
      <c r="G1454" s="2" t="s">
        <v>11234</v>
      </c>
      <c r="H1454" s="2" t="s">
        <v>7948</v>
      </c>
      <c r="I1454" s="2" t="s">
        <v>51</v>
      </c>
      <c r="J1454" s="2" t="s">
        <v>11235</v>
      </c>
      <c r="K1454" s="2" t="s">
        <v>11232</v>
      </c>
      <c r="L1454" s="2" t="s">
        <v>51</v>
      </c>
      <c r="M1454" s="2" t="s">
        <v>7948</v>
      </c>
      <c r="N1454" s="2" t="s">
        <v>11236</v>
      </c>
      <c r="O1454" s="2"/>
      <c r="P1454" s="2" t="s">
        <v>37</v>
      </c>
      <c r="Q1454" s="4" t="n">
        <v>8731</v>
      </c>
      <c r="R1454" s="2" t="s">
        <v>56</v>
      </c>
      <c r="S1454" s="2" t="s">
        <v>3429</v>
      </c>
      <c r="T1454" s="2" t="s">
        <v>403</v>
      </c>
      <c r="U1454" s="2" t="s">
        <v>11237</v>
      </c>
      <c r="V1454" s="2"/>
      <c r="W1454" s="2" t="s">
        <v>42</v>
      </c>
      <c r="X1454" s="2" t="s">
        <v>43</v>
      </c>
      <c r="Y1454" s="2" t="s">
        <v>37</v>
      </c>
      <c r="Z1454" s="2" t="s">
        <v>44</v>
      </c>
      <c r="AA1454" s="2"/>
      <c r="AB1454" s="2"/>
      <c r="AC1454" s="2" t="s">
        <v>11238</v>
      </c>
      <c r="AD1454" s="2" t="s">
        <v>46</v>
      </c>
    </row>
    <row r="1455" customFormat="false" ht="15.7" hidden="false" customHeight="true" outlineLevel="0" collapsed="false">
      <c r="A1455" s="2"/>
      <c r="B1455" s="3" t="n">
        <f aca="false">DATE(2010,1,7)</f>
        <v>0</v>
      </c>
      <c r="C1455" s="3" t="n">
        <v>40185</v>
      </c>
      <c r="D1455" s="2" t="s">
        <v>11239</v>
      </c>
      <c r="F1455" s="2" t="s">
        <v>11240</v>
      </c>
      <c r="G1455" s="2" t="s">
        <v>11241</v>
      </c>
      <c r="H1455" s="2" t="s">
        <v>130</v>
      </c>
      <c r="I1455" s="2" t="s">
        <v>9212</v>
      </c>
      <c r="J1455" s="2" t="s">
        <v>35</v>
      </c>
      <c r="K1455" s="2" t="s">
        <v>11239</v>
      </c>
      <c r="L1455" s="2" t="s">
        <v>9212</v>
      </c>
      <c r="M1455" s="2" t="s">
        <v>130</v>
      </c>
      <c r="N1455" s="2" t="s">
        <v>11242</v>
      </c>
      <c r="O1455" s="2"/>
      <c r="P1455" s="2" t="s">
        <v>37</v>
      </c>
      <c r="Q1455" s="4" t="n">
        <v>2834</v>
      </c>
      <c r="R1455" s="2" t="s">
        <v>136</v>
      </c>
      <c r="S1455" s="2" t="s">
        <v>39</v>
      </c>
      <c r="T1455" s="2" t="s">
        <v>40</v>
      </c>
      <c r="U1455" s="2" t="s">
        <v>11243</v>
      </c>
      <c r="V1455" s="2"/>
      <c r="W1455" s="2" t="s">
        <v>42</v>
      </c>
      <c r="X1455" s="2" t="s">
        <v>43</v>
      </c>
      <c r="Y1455" s="2" t="s">
        <v>37</v>
      </c>
      <c r="Z1455" s="2" t="s">
        <v>44</v>
      </c>
      <c r="AA1455" s="2"/>
      <c r="AB1455" s="2"/>
      <c r="AC1455" s="2" t="s">
        <v>11244</v>
      </c>
      <c r="AD1455" s="2" t="s">
        <v>46</v>
      </c>
    </row>
    <row r="1456" customFormat="false" ht="15.7" hidden="false" customHeight="true" outlineLevel="0" collapsed="false">
      <c r="A1456" s="2"/>
      <c r="B1456" s="3" t="n">
        <f aca="false">DATE(2010,1,17)</f>
        <v>0</v>
      </c>
      <c r="C1456" s="3" t="n">
        <v>40195</v>
      </c>
      <c r="D1456" s="2" t="s">
        <v>11245</v>
      </c>
      <c r="F1456" s="2" t="s">
        <v>11246</v>
      </c>
      <c r="G1456" s="2" t="s">
        <v>11247</v>
      </c>
      <c r="H1456" s="2" t="s">
        <v>11248</v>
      </c>
      <c r="I1456" s="2" t="s">
        <v>11249</v>
      </c>
      <c r="J1456" s="2" t="s">
        <v>11250</v>
      </c>
      <c r="K1456" s="2" t="s">
        <v>11251</v>
      </c>
      <c r="L1456" s="2" t="s">
        <v>11249</v>
      </c>
      <c r="M1456" s="2" t="s">
        <v>11252</v>
      </c>
      <c r="N1456" s="2" t="s">
        <v>11253</v>
      </c>
      <c r="O1456" s="2"/>
      <c r="P1456" s="2" t="s">
        <v>37</v>
      </c>
      <c r="Q1456" s="4" t="n">
        <v>8731</v>
      </c>
      <c r="R1456" s="2" t="s">
        <v>9292</v>
      </c>
      <c r="S1456" s="2" t="s">
        <v>39</v>
      </c>
      <c r="T1456" s="2" t="s">
        <v>403</v>
      </c>
      <c r="U1456" s="2" t="s">
        <v>11254</v>
      </c>
      <c r="V1456" s="2"/>
      <c r="W1456" s="2" t="s">
        <v>42</v>
      </c>
      <c r="X1456" s="2" t="s">
        <v>46</v>
      </c>
      <c r="Y1456" s="2" t="s">
        <v>37</v>
      </c>
      <c r="Z1456" s="2" t="s">
        <v>11255</v>
      </c>
      <c r="AA1456" s="2"/>
      <c r="AB1456" s="2"/>
      <c r="AC1456" s="2" t="s">
        <v>11256</v>
      </c>
      <c r="AD1456" s="2" t="s">
        <v>46</v>
      </c>
    </row>
    <row r="1457" customFormat="false" ht="15.7" hidden="false" customHeight="true" outlineLevel="0" collapsed="false">
      <c r="A1457" s="2"/>
      <c r="B1457" s="3" t="n">
        <f aca="false">DATE(2010,1,19)</f>
        <v>0</v>
      </c>
      <c r="C1457" s="3" t="n">
        <v>40197</v>
      </c>
      <c r="D1457" s="2" t="s">
        <v>11257</v>
      </c>
      <c r="F1457" s="2" t="s">
        <v>6853</v>
      </c>
      <c r="G1457" s="2" t="s">
        <v>11258</v>
      </c>
      <c r="H1457" s="2" t="s">
        <v>130</v>
      </c>
      <c r="I1457" s="2" t="s">
        <v>88</v>
      </c>
      <c r="J1457" s="2" t="s">
        <v>203</v>
      </c>
      <c r="K1457" s="2" t="s">
        <v>11257</v>
      </c>
      <c r="L1457" s="2" t="s">
        <v>88</v>
      </c>
      <c r="M1457" s="2" t="s">
        <v>130</v>
      </c>
      <c r="N1457" s="2" t="s">
        <v>11259</v>
      </c>
      <c r="O1457" s="2"/>
      <c r="P1457" s="2" t="s">
        <v>37</v>
      </c>
      <c r="Q1457" s="4" t="n">
        <v>2836</v>
      </c>
      <c r="R1457" s="2" t="s">
        <v>136</v>
      </c>
      <c r="S1457" s="2" t="s">
        <v>39</v>
      </c>
      <c r="T1457" s="2" t="s">
        <v>40</v>
      </c>
      <c r="U1457" s="2" t="s">
        <v>11260</v>
      </c>
      <c r="V1457" s="2"/>
      <c r="W1457" s="2" t="s">
        <v>42</v>
      </c>
      <c r="X1457" s="2" t="s">
        <v>43</v>
      </c>
      <c r="Y1457" s="2" t="s">
        <v>37</v>
      </c>
      <c r="Z1457" s="2" t="s">
        <v>44</v>
      </c>
      <c r="AA1457" s="2" t="s">
        <v>11261</v>
      </c>
      <c r="AB1457" s="2"/>
      <c r="AC1457" s="2" t="s">
        <v>11262</v>
      </c>
      <c r="AD1457" s="2" t="s">
        <v>46</v>
      </c>
    </row>
    <row r="1458" customFormat="false" ht="15.7" hidden="false" customHeight="true" outlineLevel="0" collapsed="false">
      <c r="A1458" s="2"/>
      <c r="B1458" s="3" t="n">
        <f aca="false">DATE(2010,1,19)</f>
        <v>0</v>
      </c>
      <c r="C1458" s="3" t="n">
        <v>40197</v>
      </c>
      <c r="D1458" s="2" t="s">
        <v>11263</v>
      </c>
      <c r="F1458" s="2" t="s">
        <v>11264</v>
      </c>
      <c r="G1458" s="2" t="s">
        <v>11265</v>
      </c>
      <c r="H1458" s="2" t="s">
        <v>11266</v>
      </c>
      <c r="I1458" s="2" t="s">
        <v>867</v>
      </c>
      <c r="J1458" s="2" t="s">
        <v>35</v>
      </c>
      <c r="K1458" s="2" t="s">
        <v>11263</v>
      </c>
      <c r="L1458" s="2" t="s">
        <v>867</v>
      </c>
      <c r="M1458" s="2" t="s">
        <v>11266</v>
      </c>
      <c r="N1458" s="2" t="s">
        <v>11267</v>
      </c>
      <c r="O1458" s="2"/>
      <c r="P1458" s="2" t="s">
        <v>37</v>
      </c>
      <c r="Q1458" s="4" t="n">
        <v>2836</v>
      </c>
      <c r="R1458" s="2" t="s">
        <v>869</v>
      </c>
      <c r="S1458" s="2" t="s">
        <v>39</v>
      </c>
      <c r="T1458" s="2" t="s">
        <v>40</v>
      </c>
      <c r="U1458" s="2" t="s">
        <v>11268</v>
      </c>
      <c r="V1458" s="2"/>
      <c r="W1458" s="2" t="s">
        <v>697</v>
      </c>
      <c r="X1458" s="2" t="s">
        <v>43</v>
      </c>
      <c r="Y1458" s="2" t="s">
        <v>37</v>
      </c>
      <c r="Z1458" s="2" t="s">
        <v>44</v>
      </c>
      <c r="AA1458" s="2"/>
      <c r="AB1458" s="2"/>
      <c r="AC1458" s="2" t="s">
        <v>11269</v>
      </c>
      <c r="AD1458" s="2" t="s">
        <v>46</v>
      </c>
    </row>
    <row r="1459" customFormat="false" ht="15.7" hidden="false" customHeight="true" outlineLevel="0" collapsed="false">
      <c r="A1459" s="2"/>
      <c r="B1459" s="3" t="n">
        <f aca="false">DATE(2010,1,19)</f>
        <v>0</v>
      </c>
      <c r="C1459" s="3" t="n">
        <v>40197</v>
      </c>
      <c r="D1459" s="2" t="s">
        <v>11270</v>
      </c>
      <c r="F1459" s="2" t="s">
        <v>11271</v>
      </c>
      <c r="G1459" s="2" t="s">
        <v>11272</v>
      </c>
      <c r="H1459" s="2" t="s">
        <v>11273</v>
      </c>
      <c r="I1459" s="2" t="s">
        <v>11274</v>
      </c>
      <c r="J1459" s="2" t="s">
        <v>35</v>
      </c>
      <c r="K1459" s="2" t="s">
        <v>11270</v>
      </c>
      <c r="L1459" s="2" t="s">
        <v>11274</v>
      </c>
      <c r="M1459" s="2" t="s">
        <v>11273</v>
      </c>
      <c r="N1459" s="2" t="s">
        <v>11275</v>
      </c>
      <c r="O1459" s="2"/>
      <c r="P1459" s="2" t="s">
        <v>79</v>
      </c>
      <c r="Q1459" s="4" t="n">
        <v>2836</v>
      </c>
      <c r="R1459" s="2" t="s">
        <v>402</v>
      </c>
      <c r="S1459" s="2" t="s">
        <v>39</v>
      </c>
      <c r="T1459" s="2" t="s">
        <v>403</v>
      </c>
      <c r="U1459" s="2" t="s">
        <v>11276</v>
      </c>
      <c r="V1459" s="2"/>
      <c r="W1459" s="2" t="s">
        <v>82</v>
      </c>
      <c r="X1459" s="2" t="s">
        <v>46</v>
      </c>
      <c r="Y1459" s="2" t="s">
        <v>37</v>
      </c>
      <c r="Z1459" s="2" t="s">
        <v>362</v>
      </c>
      <c r="AA1459" s="2" t="s">
        <v>11277</v>
      </c>
      <c r="AB1459" s="2"/>
      <c r="AC1459" s="2" t="s">
        <v>11278</v>
      </c>
      <c r="AD1459" s="2" t="s">
        <v>46</v>
      </c>
    </row>
    <row r="1460" customFormat="false" ht="15.7" hidden="false" customHeight="true" outlineLevel="0" collapsed="false">
      <c r="A1460" s="2"/>
      <c r="B1460" s="3" t="n">
        <f aca="false">DATE(2010,1,19)</f>
        <v>0</v>
      </c>
      <c r="C1460" s="3" t="n">
        <v>40197</v>
      </c>
      <c r="D1460" s="2" t="s">
        <v>11279</v>
      </c>
      <c r="F1460" s="2" t="s">
        <v>11280</v>
      </c>
      <c r="G1460" s="2" t="s">
        <v>11281</v>
      </c>
      <c r="H1460" s="2" t="s">
        <v>170</v>
      </c>
      <c r="I1460" s="2" t="s">
        <v>51</v>
      </c>
      <c r="J1460" s="2" t="s">
        <v>171</v>
      </c>
      <c r="K1460" s="2" t="s">
        <v>11279</v>
      </c>
      <c r="L1460" s="2" t="s">
        <v>51</v>
      </c>
      <c r="M1460" s="2" t="s">
        <v>170</v>
      </c>
      <c r="N1460" s="2" t="s">
        <v>11282</v>
      </c>
      <c r="O1460" s="2"/>
      <c r="P1460" s="2" t="s">
        <v>37</v>
      </c>
      <c r="Q1460" s="4" t="n">
        <v>2836</v>
      </c>
      <c r="R1460" s="2" t="s">
        <v>56</v>
      </c>
      <c r="S1460" s="2" t="s">
        <v>2265</v>
      </c>
      <c r="T1460" s="2" t="s">
        <v>40</v>
      </c>
      <c r="U1460" s="2" t="s">
        <v>11283</v>
      </c>
      <c r="V1460" s="2"/>
      <c r="W1460" s="2" t="s">
        <v>42</v>
      </c>
      <c r="X1460" s="2" t="s">
        <v>43</v>
      </c>
      <c r="Y1460" s="2" t="s">
        <v>37</v>
      </c>
      <c r="Z1460" s="2" t="s">
        <v>44</v>
      </c>
      <c r="AA1460" s="2"/>
      <c r="AB1460" s="2"/>
      <c r="AC1460" s="2" t="s">
        <v>11284</v>
      </c>
      <c r="AD1460" s="2" t="s">
        <v>46</v>
      </c>
    </row>
    <row r="1461" customFormat="false" ht="15.7" hidden="false" customHeight="true" outlineLevel="0" collapsed="false">
      <c r="A1461" s="2"/>
      <c r="B1461" s="3" t="n">
        <f aca="false">DATE(2010,1,20)</f>
        <v>0</v>
      </c>
      <c r="C1461" s="3" t="n">
        <v>40198</v>
      </c>
      <c r="D1461" s="2" t="s">
        <v>11285</v>
      </c>
      <c r="F1461" s="2" t="s">
        <v>11286</v>
      </c>
      <c r="G1461" s="2" t="s">
        <v>11287</v>
      </c>
      <c r="H1461" s="2" t="s">
        <v>11288</v>
      </c>
      <c r="I1461" s="2" t="s">
        <v>4325</v>
      </c>
      <c r="J1461" s="2" t="s">
        <v>35</v>
      </c>
      <c r="K1461" s="2" t="s">
        <v>11289</v>
      </c>
      <c r="L1461" s="2" t="s">
        <v>8326</v>
      </c>
      <c r="M1461" s="2" t="s">
        <v>11290</v>
      </c>
      <c r="N1461" s="2" t="s">
        <v>11291</v>
      </c>
      <c r="O1461" s="2"/>
      <c r="P1461" s="2" t="s">
        <v>37</v>
      </c>
      <c r="Q1461" s="4" t="n">
        <v>8732</v>
      </c>
      <c r="R1461" s="2" t="s">
        <v>402</v>
      </c>
      <c r="S1461" s="2" t="s">
        <v>39</v>
      </c>
      <c r="T1461" s="2" t="s">
        <v>403</v>
      </c>
      <c r="U1461" s="2" t="s">
        <v>11292</v>
      </c>
      <c r="V1461" s="2"/>
      <c r="W1461" s="2" t="s">
        <v>42</v>
      </c>
      <c r="X1461" s="2" t="s">
        <v>46</v>
      </c>
      <c r="Y1461" s="2" t="s">
        <v>37</v>
      </c>
      <c r="Z1461" s="2" t="s">
        <v>987</v>
      </c>
      <c r="AA1461" s="2" t="s">
        <v>11293</v>
      </c>
      <c r="AB1461" s="2"/>
      <c r="AC1461" s="2" t="s">
        <v>11294</v>
      </c>
      <c r="AD1461" s="2" t="s">
        <v>46</v>
      </c>
    </row>
    <row r="1462" customFormat="false" ht="15.7" hidden="false" customHeight="true" outlineLevel="0" collapsed="false">
      <c r="A1462" s="2"/>
      <c r="B1462" s="3" t="n">
        <f aca="false">DATE(2010,1,20)</f>
        <v>0</v>
      </c>
      <c r="C1462" s="3" t="n">
        <v>40198</v>
      </c>
      <c r="D1462" s="2" t="s">
        <v>11295</v>
      </c>
      <c r="F1462" s="2" t="s">
        <v>11296</v>
      </c>
      <c r="G1462" s="2" t="s">
        <v>11297</v>
      </c>
      <c r="H1462" s="2" t="s">
        <v>11298</v>
      </c>
      <c r="I1462" s="2" t="s">
        <v>459</v>
      </c>
      <c r="J1462" s="2" t="s">
        <v>35</v>
      </c>
      <c r="K1462" s="2" t="s">
        <v>11295</v>
      </c>
      <c r="L1462" s="2" t="s">
        <v>459</v>
      </c>
      <c r="M1462" s="2" t="s">
        <v>11298</v>
      </c>
      <c r="N1462" s="2" t="s">
        <v>11299</v>
      </c>
      <c r="O1462" s="2"/>
      <c r="P1462" s="2" t="s">
        <v>37</v>
      </c>
      <c r="Q1462" s="4" t="n">
        <v>7549</v>
      </c>
      <c r="R1462" s="2" t="s">
        <v>461</v>
      </c>
      <c r="S1462" s="2" t="s">
        <v>39</v>
      </c>
      <c r="T1462" s="2" t="s">
        <v>40</v>
      </c>
      <c r="U1462" s="2" t="s">
        <v>11300</v>
      </c>
      <c r="V1462" s="2"/>
      <c r="W1462" s="2" t="s">
        <v>11301</v>
      </c>
      <c r="X1462" s="2" t="s">
        <v>43</v>
      </c>
      <c r="Y1462" s="2" t="s">
        <v>37</v>
      </c>
      <c r="Z1462" s="2" t="s">
        <v>44</v>
      </c>
      <c r="AA1462" s="2"/>
      <c r="AB1462" s="2"/>
      <c r="AC1462" s="2" t="s">
        <v>11302</v>
      </c>
      <c r="AD1462" s="2" t="s">
        <v>46</v>
      </c>
    </row>
    <row r="1463" customFormat="false" ht="15.7" hidden="false" customHeight="true" outlineLevel="0" collapsed="false">
      <c r="A1463" s="2"/>
      <c r="B1463" s="3" t="n">
        <f aca="false">DATE(2010,1,20)</f>
        <v>0</v>
      </c>
      <c r="C1463" s="3" t="n">
        <v>40198</v>
      </c>
      <c r="D1463" s="2" t="s">
        <v>11303</v>
      </c>
      <c r="F1463" s="2" t="s">
        <v>11304</v>
      </c>
      <c r="G1463" s="2" t="s">
        <v>11305</v>
      </c>
      <c r="H1463" s="2" t="s">
        <v>11306</v>
      </c>
      <c r="I1463" s="2" t="s">
        <v>11307</v>
      </c>
      <c r="J1463" s="2" t="s">
        <v>35</v>
      </c>
      <c r="K1463" s="2" t="s">
        <v>11303</v>
      </c>
      <c r="L1463" s="2" t="s">
        <v>11307</v>
      </c>
      <c r="M1463" s="2" t="s">
        <v>11306</v>
      </c>
      <c r="N1463" s="2" t="s">
        <v>11308</v>
      </c>
      <c r="O1463" s="2"/>
      <c r="P1463" s="2" t="s">
        <v>37</v>
      </c>
      <c r="Q1463" s="4" t="n">
        <v>8731</v>
      </c>
      <c r="R1463" s="2" t="s">
        <v>2118</v>
      </c>
      <c r="S1463" s="2" t="s">
        <v>39</v>
      </c>
      <c r="T1463" s="2" t="s">
        <v>40</v>
      </c>
      <c r="U1463" s="2" t="s">
        <v>11309</v>
      </c>
      <c r="V1463" s="2"/>
      <c r="W1463" s="2" t="s">
        <v>42</v>
      </c>
      <c r="X1463" s="2" t="s">
        <v>43</v>
      </c>
      <c r="Y1463" s="2" t="s">
        <v>37</v>
      </c>
      <c r="Z1463" s="2" t="s">
        <v>44</v>
      </c>
      <c r="AA1463" s="2"/>
      <c r="AB1463" s="2"/>
      <c r="AC1463" s="2" t="s">
        <v>11310</v>
      </c>
      <c r="AD1463" s="2" t="s">
        <v>46</v>
      </c>
    </row>
    <row r="1464" customFormat="false" ht="15.7" hidden="false" customHeight="true" outlineLevel="0" collapsed="false">
      <c r="A1464" s="2"/>
      <c r="B1464" s="3" t="n">
        <f aca="false">DATE(2010,2,7)</f>
        <v>0</v>
      </c>
      <c r="C1464" s="3" t="n">
        <v>40216</v>
      </c>
      <c r="D1464" s="2" t="s">
        <v>11311</v>
      </c>
      <c r="F1464" s="2" t="s">
        <v>11312</v>
      </c>
      <c r="G1464" s="2" t="s">
        <v>11313</v>
      </c>
      <c r="H1464" s="2" t="s">
        <v>523</v>
      </c>
      <c r="I1464" s="2" t="s">
        <v>1080</v>
      </c>
      <c r="J1464" s="2" t="s">
        <v>35</v>
      </c>
      <c r="K1464" s="2" t="s">
        <v>11314</v>
      </c>
      <c r="L1464" s="2" t="s">
        <v>1080</v>
      </c>
      <c r="M1464" s="2" t="s">
        <v>6991</v>
      </c>
      <c r="N1464" s="2" t="s">
        <v>11315</v>
      </c>
      <c r="O1464" s="2"/>
      <c r="P1464" s="2" t="s">
        <v>37</v>
      </c>
      <c r="Q1464" s="4" t="n">
        <v>8731</v>
      </c>
      <c r="R1464" s="2" t="s">
        <v>2201</v>
      </c>
      <c r="S1464" s="2" t="s">
        <v>39</v>
      </c>
      <c r="T1464" s="2" t="s">
        <v>2444</v>
      </c>
      <c r="U1464" s="2" t="s">
        <v>11316</v>
      </c>
      <c r="V1464" s="2"/>
      <c r="W1464" s="2" t="s">
        <v>42</v>
      </c>
      <c r="X1464" s="2" t="s">
        <v>43</v>
      </c>
      <c r="Y1464" s="2" t="s">
        <v>37</v>
      </c>
      <c r="Z1464" s="2" t="s">
        <v>44</v>
      </c>
      <c r="AA1464" s="2"/>
      <c r="AB1464" s="2"/>
      <c r="AC1464" s="2" t="s">
        <v>11317</v>
      </c>
      <c r="AD1464" s="2" t="s">
        <v>46</v>
      </c>
    </row>
    <row r="1465" customFormat="false" ht="15.7" hidden="false" customHeight="true" outlineLevel="0" collapsed="false">
      <c r="A1465" s="2"/>
      <c r="B1465" s="3" t="n">
        <f aca="false">DATE(2010,2,12)</f>
        <v>0</v>
      </c>
      <c r="C1465" s="3" t="n">
        <v>40221</v>
      </c>
      <c r="D1465" s="2" t="s">
        <v>11318</v>
      </c>
      <c r="F1465" s="2" t="s">
        <v>11319</v>
      </c>
      <c r="G1465" s="2" t="s">
        <v>11320</v>
      </c>
      <c r="H1465" s="2" t="s">
        <v>130</v>
      </c>
      <c r="I1465" s="2" t="s">
        <v>4325</v>
      </c>
      <c r="J1465" s="2" t="s">
        <v>35</v>
      </c>
      <c r="K1465" s="2" t="s">
        <v>11318</v>
      </c>
      <c r="L1465" s="2" t="s">
        <v>4325</v>
      </c>
      <c r="M1465" s="2" t="s">
        <v>130</v>
      </c>
      <c r="N1465" s="2" t="s">
        <v>11321</v>
      </c>
      <c r="O1465" s="2"/>
      <c r="P1465" s="2" t="s">
        <v>37</v>
      </c>
      <c r="Q1465" s="4" t="n">
        <v>8731</v>
      </c>
      <c r="R1465" s="2" t="s">
        <v>402</v>
      </c>
      <c r="S1465" s="2" t="s">
        <v>39</v>
      </c>
      <c r="T1465" s="2" t="s">
        <v>40</v>
      </c>
      <c r="U1465" s="2" t="s">
        <v>11322</v>
      </c>
      <c r="V1465" s="2"/>
      <c r="W1465" s="2" t="s">
        <v>5464</v>
      </c>
      <c r="X1465" s="2" t="s">
        <v>43</v>
      </c>
      <c r="Y1465" s="2" t="s">
        <v>37</v>
      </c>
      <c r="Z1465" s="2" t="s">
        <v>44</v>
      </c>
      <c r="AA1465" s="2" t="s">
        <v>11323</v>
      </c>
      <c r="AB1465" s="2"/>
      <c r="AC1465" s="2" t="s">
        <v>11324</v>
      </c>
      <c r="AD1465" s="2" t="s">
        <v>46</v>
      </c>
    </row>
    <row r="1466" customFormat="false" ht="15.7" hidden="false" customHeight="true" outlineLevel="0" collapsed="false">
      <c r="A1466" s="2"/>
      <c r="B1466" s="3" t="n">
        <f aca="false">DATE(2010,2,25)</f>
        <v>0</v>
      </c>
      <c r="C1466" s="3" t="n">
        <v>40234</v>
      </c>
      <c r="D1466" s="2" t="s">
        <v>11325</v>
      </c>
      <c r="F1466" s="2" t="s">
        <v>11326</v>
      </c>
      <c r="G1466" s="2" t="s">
        <v>11327</v>
      </c>
      <c r="H1466" s="2" t="s">
        <v>11328</v>
      </c>
      <c r="I1466" s="2" t="s">
        <v>8623</v>
      </c>
      <c r="J1466" s="2" t="s">
        <v>35</v>
      </c>
      <c r="K1466" s="2" t="s">
        <v>11329</v>
      </c>
      <c r="L1466" s="2" t="s">
        <v>8623</v>
      </c>
      <c r="M1466" s="2" t="s">
        <v>11328</v>
      </c>
      <c r="N1466" s="2" t="s">
        <v>11330</v>
      </c>
      <c r="O1466" s="2"/>
      <c r="P1466" s="2" t="s">
        <v>37</v>
      </c>
      <c r="Q1466" s="4" t="n">
        <v>8731</v>
      </c>
      <c r="R1466" s="2" t="s">
        <v>1402</v>
      </c>
      <c r="S1466" s="2" t="s">
        <v>39</v>
      </c>
      <c r="T1466" s="2" t="s">
        <v>40</v>
      </c>
      <c r="U1466" s="2" t="s">
        <v>11331</v>
      </c>
      <c r="V1466" s="2"/>
      <c r="W1466" s="2" t="s">
        <v>11084</v>
      </c>
      <c r="X1466" s="2" t="s">
        <v>46</v>
      </c>
      <c r="Y1466" s="2" t="s">
        <v>37</v>
      </c>
      <c r="Z1466" s="2" t="s">
        <v>11332</v>
      </c>
      <c r="AA1466" s="2" t="s">
        <v>11333</v>
      </c>
      <c r="AB1466" s="2"/>
      <c r="AC1466" s="2" t="s">
        <v>11334</v>
      </c>
      <c r="AD1466" s="2" t="s">
        <v>46</v>
      </c>
    </row>
    <row r="1467" customFormat="false" ht="15.7" hidden="false" customHeight="true" outlineLevel="0" collapsed="false">
      <c r="A1467" s="2"/>
      <c r="B1467" s="3" t="n">
        <f aca="false">DATE(2010,3,1)</f>
        <v>0</v>
      </c>
      <c r="C1467" s="3" t="n">
        <v>40238</v>
      </c>
      <c r="D1467" s="2" t="s">
        <v>11335</v>
      </c>
      <c r="F1467" s="2" t="s">
        <v>11336</v>
      </c>
      <c r="G1467" s="2" t="s">
        <v>11337</v>
      </c>
      <c r="H1467" s="2" t="s">
        <v>11338</v>
      </c>
      <c r="I1467" s="2" t="s">
        <v>51</v>
      </c>
      <c r="J1467" s="2" t="s">
        <v>11339</v>
      </c>
      <c r="K1467" s="2" t="s">
        <v>11335</v>
      </c>
      <c r="L1467" s="2" t="s">
        <v>51</v>
      </c>
      <c r="M1467" s="2" t="s">
        <v>11338</v>
      </c>
      <c r="N1467" s="2" t="s">
        <v>11340</v>
      </c>
      <c r="O1467" s="2" t="s">
        <v>11341</v>
      </c>
      <c r="P1467" s="2" t="s">
        <v>37</v>
      </c>
      <c r="Q1467" s="4" t="n">
        <v>2834</v>
      </c>
      <c r="R1467" s="2" t="s">
        <v>56</v>
      </c>
      <c r="S1467" s="2" t="s">
        <v>2265</v>
      </c>
      <c r="T1467" s="2" t="s">
        <v>40</v>
      </c>
      <c r="U1467" s="2" t="s">
        <v>11342</v>
      </c>
      <c r="V1467" s="2"/>
      <c r="W1467" s="2" t="s">
        <v>744</v>
      </c>
      <c r="X1467" s="2" t="s">
        <v>46</v>
      </c>
      <c r="Y1467" s="2" t="s">
        <v>37</v>
      </c>
      <c r="Z1467" s="2" t="s">
        <v>362</v>
      </c>
      <c r="AA1467" s="2"/>
      <c r="AB1467" s="2" t="s">
        <v>11343</v>
      </c>
      <c r="AC1467" s="2" t="s">
        <v>11344</v>
      </c>
      <c r="AD1467" s="2" t="s">
        <v>46</v>
      </c>
    </row>
    <row r="1468" customFormat="false" ht="15.7" hidden="false" customHeight="true" outlineLevel="0" collapsed="false">
      <c r="A1468" s="2"/>
      <c r="B1468" s="3" t="n">
        <f aca="false">DATE(2010,3,3)</f>
        <v>0</v>
      </c>
      <c r="C1468" s="3" t="n">
        <v>40240</v>
      </c>
      <c r="D1468" s="2" t="s">
        <v>11345</v>
      </c>
      <c r="F1468" s="2" t="s">
        <v>11346</v>
      </c>
      <c r="G1468" s="2" t="s">
        <v>11347</v>
      </c>
      <c r="H1468" s="2" t="s">
        <v>130</v>
      </c>
      <c r="I1468" s="2" t="s">
        <v>4179</v>
      </c>
      <c r="J1468" s="2" t="s">
        <v>132</v>
      </c>
      <c r="K1468" s="2" t="s">
        <v>11345</v>
      </c>
      <c r="L1468" s="2" t="s">
        <v>4179</v>
      </c>
      <c r="M1468" s="2" t="s">
        <v>130</v>
      </c>
      <c r="N1468" s="2" t="s">
        <v>11348</v>
      </c>
      <c r="O1468" s="2"/>
      <c r="P1468" s="2" t="s">
        <v>37</v>
      </c>
      <c r="Q1468" s="4" t="n">
        <v>2834</v>
      </c>
      <c r="R1468" s="2" t="s">
        <v>56</v>
      </c>
      <c r="S1468" s="2" t="s">
        <v>2265</v>
      </c>
      <c r="T1468" s="2" t="s">
        <v>403</v>
      </c>
      <c r="U1468" s="2" t="s">
        <v>11349</v>
      </c>
      <c r="V1468" s="2"/>
      <c r="W1468" s="2" t="s">
        <v>4487</v>
      </c>
      <c r="X1468" s="2" t="s">
        <v>46</v>
      </c>
      <c r="Y1468" s="2" t="s">
        <v>37</v>
      </c>
      <c r="Z1468" s="2" t="s">
        <v>362</v>
      </c>
      <c r="AA1468" s="2"/>
      <c r="AB1468" s="2"/>
      <c r="AC1468" s="2" t="s">
        <v>11350</v>
      </c>
      <c r="AD1468" s="2" t="s">
        <v>46</v>
      </c>
    </row>
    <row r="1469" customFormat="false" ht="15.7" hidden="false" customHeight="true" outlineLevel="0" collapsed="false">
      <c r="A1469" s="2"/>
      <c r="B1469" s="3" t="n">
        <f aca="false">DATE(2010,3,15)</f>
        <v>0</v>
      </c>
      <c r="C1469" s="3" t="n">
        <v>40252</v>
      </c>
      <c r="D1469" s="2" t="s">
        <v>11351</v>
      </c>
      <c r="F1469" s="2" t="s">
        <v>11352</v>
      </c>
      <c r="G1469" s="2" t="s">
        <v>11353</v>
      </c>
      <c r="H1469" s="2" t="s">
        <v>130</v>
      </c>
      <c r="I1469" s="2" t="s">
        <v>435</v>
      </c>
      <c r="J1469" s="2" t="s">
        <v>7101</v>
      </c>
      <c r="K1469" s="2" t="s">
        <v>11351</v>
      </c>
      <c r="L1469" s="2" t="s">
        <v>435</v>
      </c>
      <c r="M1469" s="2" t="s">
        <v>130</v>
      </c>
      <c r="N1469" s="2" t="s">
        <v>11354</v>
      </c>
      <c r="O1469" s="2"/>
      <c r="P1469" s="2" t="s">
        <v>37</v>
      </c>
      <c r="Q1469" s="4" t="n">
        <v>6794</v>
      </c>
      <c r="R1469" s="2" t="s">
        <v>136</v>
      </c>
      <c r="S1469" s="2" t="s">
        <v>39</v>
      </c>
      <c r="T1469" s="2" t="s">
        <v>122</v>
      </c>
      <c r="U1469" s="2" t="s">
        <v>11355</v>
      </c>
      <c r="V1469" s="2"/>
      <c r="W1469" s="2" t="s">
        <v>11356</v>
      </c>
      <c r="X1469" s="2" t="s">
        <v>43</v>
      </c>
      <c r="Y1469" s="2" t="s">
        <v>37</v>
      </c>
      <c r="Z1469" s="2" t="s">
        <v>44</v>
      </c>
      <c r="AA1469" s="2"/>
      <c r="AB1469" s="2"/>
      <c r="AC1469" s="2" t="s">
        <v>11357</v>
      </c>
      <c r="AD1469" s="2" t="s">
        <v>46</v>
      </c>
    </row>
    <row r="1470" customFormat="false" ht="15.7" hidden="false" customHeight="true" outlineLevel="0" collapsed="false">
      <c r="A1470" s="2"/>
      <c r="B1470" s="3" t="n">
        <f aca="false">DATE(2010,3,30)</f>
        <v>0</v>
      </c>
      <c r="C1470" s="3" t="n">
        <v>40267</v>
      </c>
      <c r="D1470" s="2" t="s">
        <v>11358</v>
      </c>
      <c r="F1470" s="2" t="s">
        <v>1059</v>
      </c>
      <c r="G1470" s="2" t="s">
        <v>11359</v>
      </c>
      <c r="H1470" s="2" t="s">
        <v>130</v>
      </c>
      <c r="I1470" s="2" t="s">
        <v>330</v>
      </c>
      <c r="J1470" s="2" t="s">
        <v>132</v>
      </c>
      <c r="K1470" s="2" t="s">
        <v>11358</v>
      </c>
      <c r="L1470" s="2" t="s">
        <v>330</v>
      </c>
      <c r="M1470" s="2" t="s">
        <v>130</v>
      </c>
      <c r="N1470" s="2" t="s">
        <v>11360</v>
      </c>
      <c r="O1470" s="2"/>
      <c r="P1470" s="2" t="s">
        <v>37</v>
      </c>
      <c r="Q1470" s="4" t="n">
        <v>2834</v>
      </c>
      <c r="R1470" s="2" t="s">
        <v>2201</v>
      </c>
      <c r="S1470" s="2" t="s">
        <v>39</v>
      </c>
      <c r="T1470" s="2" t="s">
        <v>122</v>
      </c>
      <c r="U1470" s="2" t="s">
        <v>11361</v>
      </c>
      <c r="V1470" s="2"/>
      <c r="W1470" s="2" t="s">
        <v>4487</v>
      </c>
      <c r="X1470" s="2" t="s">
        <v>43</v>
      </c>
      <c r="Y1470" s="2" t="s">
        <v>37</v>
      </c>
      <c r="Z1470" s="2" t="s">
        <v>44</v>
      </c>
      <c r="AA1470" s="2"/>
      <c r="AB1470" s="2"/>
      <c r="AC1470" s="2" t="s">
        <v>11362</v>
      </c>
      <c r="AD1470" s="2" t="s">
        <v>46</v>
      </c>
    </row>
    <row r="1471" customFormat="false" ht="15.7" hidden="false" customHeight="true" outlineLevel="0" collapsed="false">
      <c r="A1471" s="2"/>
      <c r="B1471" s="3" t="n">
        <f aca="false">DATE(2010,4,15)</f>
        <v>0</v>
      </c>
      <c r="C1471" s="3" t="n">
        <v>40283</v>
      </c>
      <c r="D1471" s="2" t="s">
        <v>11363</v>
      </c>
      <c r="F1471" s="2" t="s">
        <v>11364</v>
      </c>
      <c r="G1471" s="2" t="s">
        <v>11365</v>
      </c>
      <c r="H1471" s="2" t="s">
        <v>130</v>
      </c>
      <c r="I1471" s="2" t="s">
        <v>51</v>
      </c>
      <c r="J1471" s="2" t="s">
        <v>828</v>
      </c>
      <c r="K1471" s="2" t="s">
        <v>11363</v>
      </c>
      <c r="L1471" s="2" t="s">
        <v>51</v>
      </c>
      <c r="M1471" s="2" t="s">
        <v>130</v>
      </c>
      <c r="N1471" s="2" t="s">
        <v>11366</v>
      </c>
      <c r="O1471" s="2"/>
      <c r="P1471" s="2" t="s">
        <v>37</v>
      </c>
      <c r="Q1471" s="4" t="n">
        <v>2834</v>
      </c>
      <c r="R1471" s="2" t="s">
        <v>56</v>
      </c>
      <c r="S1471" s="2" t="s">
        <v>80</v>
      </c>
      <c r="T1471" s="2" t="s">
        <v>122</v>
      </c>
      <c r="U1471" s="2" t="s">
        <v>11367</v>
      </c>
      <c r="V1471" s="2"/>
      <c r="W1471" s="2" t="s">
        <v>11368</v>
      </c>
      <c r="X1471" s="2" t="s">
        <v>43</v>
      </c>
      <c r="Y1471" s="2" t="s">
        <v>37</v>
      </c>
      <c r="Z1471" s="2" t="s">
        <v>44</v>
      </c>
      <c r="AA1471" s="2" t="s">
        <v>11369</v>
      </c>
      <c r="AB1471" s="2"/>
      <c r="AC1471" s="2" t="s">
        <v>11370</v>
      </c>
      <c r="AD1471" s="2" t="s">
        <v>46</v>
      </c>
    </row>
    <row r="1472" customFormat="false" ht="15.7" hidden="false" customHeight="true" outlineLevel="0" collapsed="false">
      <c r="A1472" s="2"/>
      <c r="B1472" s="3" t="n">
        <f aca="false">DATE(2010,5,5)</f>
        <v>0</v>
      </c>
      <c r="C1472" s="3" t="n">
        <v>40303</v>
      </c>
      <c r="D1472" s="2" t="s">
        <v>11371</v>
      </c>
      <c r="F1472" s="2" t="s">
        <v>11372</v>
      </c>
      <c r="G1472" s="2" t="s">
        <v>11373</v>
      </c>
      <c r="H1472" s="2" t="s">
        <v>11374</v>
      </c>
      <c r="I1472" s="2" t="s">
        <v>51</v>
      </c>
      <c r="J1472" s="2" t="s">
        <v>10981</v>
      </c>
      <c r="K1472" s="2" t="s">
        <v>11371</v>
      </c>
      <c r="L1472" s="2" t="s">
        <v>51</v>
      </c>
      <c r="M1472" s="2" t="s">
        <v>11374</v>
      </c>
      <c r="N1472" s="2" t="s">
        <v>11375</v>
      </c>
      <c r="O1472" s="2"/>
      <c r="P1472" s="2" t="s">
        <v>37</v>
      </c>
      <c r="Q1472" s="4" t="n">
        <v>8748</v>
      </c>
      <c r="R1472" s="2" t="s">
        <v>56</v>
      </c>
      <c r="S1472" s="2" t="s">
        <v>788</v>
      </c>
      <c r="T1472" s="2" t="s">
        <v>40</v>
      </c>
      <c r="U1472" s="2" t="s">
        <v>11376</v>
      </c>
      <c r="V1472" s="2"/>
      <c r="W1472" s="2" t="s">
        <v>11377</v>
      </c>
      <c r="X1472" s="2" t="s">
        <v>43</v>
      </c>
      <c r="Y1472" s="2" t="s">
        <v>37</v>
      </c>
      <c r="Z1472" s="2" t="s">
        <v>44</v>
      </c>
      <c r="AA1472" s="2"/>
      <c r="AB1472" s="2"/>
      <c r="AC1472" s="2" t="s">
        <v>11378</v>
      </c>
      <c r="AD1472" s="2" t="s">
        <v>46</v>
      </c>
    </row>
    <row r="1473" customFormat="false" ht="15.7" hidden="false" customHeight="true" outlineLevel="0" collapsed="false">
      <c r="A1473" s="2"/>
      <c r="B1473" s="3" t="n">
        <f aca="false">DATE(2010,5,10)</f>
        <v>0</v>
      </c>
      <c r="C1473" s="3" t="n">
        <v>40308</v>
      </c>
      <c r="D1473" s="2" t="s">
        <v>11379</v>
      </c>
      <c r="F1473" s="2" t="s">
        <v>11380</v>
      </c>
      <c r="G1473" s="2" t="s">
        <v>11381</v>
      </c>
      <c r="H1473" s="2" t="s">
        <v>130</v>
      </c>
      <c r="I1473" s="2" t="s">
        <v>131</v>
      </c>
      <c r="J1473" s="2" t="s">
        <v>132</v>
      </c>
      <c r="K1473" s="2" t="s">
        <v>1811</v>
      </c>
      <c r="L1473" s="2" t="s">
        <v>1287</v>
      </c>
      <c r="M1473" s="2" t="s">
        <v>130</v>
      </c>
      <c r="N1473" s="2" t="s">
        <v>11382</v>
      </c>
      <c r="O1473" s="2"/>
      <c r="P1473" s="2" t="s">
        <v>37</v>
      </c>
      <c r="Q1473" s="4" t="n">
        <v>8731</v>
      </c>
      <c r="R1473" s="2" t="s">
        <v>136</v>
      </c>
      <c r="S1473" s="2" t="s">
        <v>39</v>
      </c>
      <c r="T1473" s="2" t="s">
        <v>40</v>
      </c>
      <c r="U1473" s="2" t="s">
        <v>11383</v>
      </c>
      <c r="V1473" s="2"/>
      <c r="W1473" s="2" t="s">
        <v>42</v>
      </c>
      <c r="X1473" s="2" t="s">
        <v>43</v>
      </c>
      <c r="Y1473" s="2" t="s">
        <v>37</v>
      </c>
      <c r="Z1473" s="2" t="s">
        <v>44</v>
      </c>
      <c r="AA1473" s="2"/>
      <c r="AB1473" s="2"/>
      <c r="AC1473" s="2" t="s">
        <v>11384</v>
      </c>
      <c r="AD1473" s="2" t="s">
        <v>46</v>
      </c>
    </row>
    <row r="1474" customFormat="false" ht="15.7" hidden="false" customHeight="true" outlineLevel="0" collapsed="false">
      <c r="A1474" s="2"/>
      <c r="B1474" s="3" t="n">
        <f aca="false">DATE(2010,5,12)</f>
        <v>0</v>
      </c>
      <c r="C1474" s="3" t="n">
        <v>40310</v>
      </c>
      <c r="D1474" s="2" t="s">
        <v>11385</v>
      </c>
      <c r="F1474" s="2" t="s">
        <v>11386</v>
      </c>
      <c r="G1474" s="2" t="s">
        <v>11387</v>
      </c>
      <c r="H1474" s="2" t="s">
        <v>11388</v>
      </c>
      <c r="I1474" s="2" t="s">
        <v>459</v>
      </c>
      <c r="J1474" s="2" t="s">
        <v>35</v>
      </c>
      <c r="K1474" s="2" t="s">
        <v>11389</v>
      </c>
      <c r="L1474" s="2" t="s">
        <v>459</v>
      </c>
      <c r="M1474" s="2" t="s">
        <v>11390</v>
      </c>
      <c r="N1474" s="2" t="s">
        <v>11391</v>
      </c>
      <c r="O1474" s="2"/>
      <c r="P1474" s="2" t="s">
        <v>37</v>
      </c>
      <c r="Q1474" s="4" t="n">
        <v>7011</v>
      </c>
      <c r="R1474" s="2" t="s">
        <v>3154</v>
      </c>
      <c r="S1474" s="2" t="s">
        <v>39</v>
      </c>
      <c r="T1474" s="2" t="s">
        <v>403</v>
      </c>
      <c r="U1474" s="2" t="s">
        <v>11392</v>
      </c>
      <c r="V1474" s="2"/>
      <c r="W1474" s="2" t="s">
        <v>42</v>
      </c>
      <c r="X1474" s="2" t="s">
        <v>46</v>
      </c>
      <c r="Y1474" s="2" t="s">
        <v>37</v>
      </c>
      <c r="Z1474" s="2" t="s">
        <v>362</v>
      </c>
      <c r="AA1474" s="2"/>
      <c r="AB1474" s="2"/>
      <c r="AC1474" s="2" t="s">
        <v>11393</v>
      </c>
      <c r="AD1474" s="2" t="s">
        <v>46</v>
      </c>
    </row>
    <row r="1475" customFormat="false" ht="15.7" hidden="false" customHeight="true" outlineLevel="0" collapsed="false">
      <c r="A1475" s="2"/>
      <c r="B1475" s="3" t="n">
        <f aca="false">DATE(2010,5,12)</f>
        <v>0</v>
      </c>
      <c r="C1475" s="3" t="n">
        <v>40310</v>
      </c>
      <c r="D1475" s="2" t="s">
        <v>11394</v>
      </c>
      <c r="F1475" s="2" t="s">
        <v>11395</v>
      </c>
      <c r="G1475" s="2" t="s">
        <v>11396</v>
      </c>
      <c r="H1475" s="2" t="s">
        <v>11397</v>
      </c>
      <c r="I1475" s="2" t="s">
        <v>51</v>
      </c>
      <c r="J1475" s="2" t="s">
        <v>5249</v>
      </c>
      <c r="K1475" s="2" t="s">
        <v>11398</v>
      </c>
      <c r="L1475" s="2" t="s">
        <v>51</v>
      </c>
      <c r="M1475" s="2" t="s">
        <v>11399</v>
      </c>
      <c r="N1475" s="2" t="s">
        <v>11400</v>
      </c>
      <c r="O1475" s="2"/>
      <c r="P1475" s="2" t="s">
        <v>37</v>
      </c>
      <c r="Q1475" s="4" t="n">
        <v>8099</v>
      </c>
      <c r="R1475" s="2" t="s">
        <v>136</v>
      </c>
      <c r="S1475" s="2" t="s">
        <v>39</v>
      </c>
      <c r="T1475" s="2" t="s">
        <v>403</v>
      </c>
      <c r="U1475" s="2" t="s">
        <v>11401</v>
      </c>
      <c r="V1475" s="2"/>
      <c r="W1475" s="2" t="s">
        <v>42</v>
      </c>
      <c r="X1475" s="2" t="s">
        <v>43</v>
      </c>
      <c r="Y1475" s="2" t="s">
        <v>37</v>
      </c>
      <c r="Z1475" s="2" t="s">
        <v>44</v>
      </c>
      <c r="AA1475" s="2"/>
      <c r="AB1475" s="2"/>
      <c r="AC1475" s="2" t="s">
        <v>11402</v>
      </c>
      <c r="AD1475" s="2" t="s">
        <v>46</v>
      </c>
    </row>
    <row r="1476" customFormat="false" ht="15.7" hidden="false" customHeight="true" outlineLevel="0" collapsed="false">
      <c r="A1476" s="2"/>
      <c r="B1476" s="3" t="n">
        <f aca="false">DATE(2010,5,18)</f>
        <v>0</v>
      </c>
      <c r="C1476" s="3" t="n">
        <v>40316</v>
      </c>
      <c r="D1476" s="2" t="s">
        <v>11403</v>
      </c>
      <c r="F1476" s="2" t="s">
        <v>11404</v>
      </c>
      <c r="G1476" s="2" t="s">
        <v>11405</v>
      </c>
      <c r="H1476" s="2" t="s">
        <v>11406</v>
      </c>
      <c r="I1476" s="2" t="s">
        <v>51</v>
      </c>
      <c r="J1476" s="2" t="s">
        <v>2873</v>
      </c>
      <c r="K1476" s="2" t="s">
        <v>11407</v>
      </c>
      <c r="L1476" s="2" t="s">
        <v>51</v>
      </c>
      <c r="M1476" s="2" t="s">
        <v>11408</v>
      </c>
      <c r="N1476" s="2" t="s">
        <v>11409</v>
      </c>
      <c r="O1476" s="2"/>
      <c r="P1476" s="2" t="s">
        <v>37</v>
      </c>
      <c r="Q1476" s="4" t="n">
        <v>8731</v>
      </c>
      <c r="R1476" s="2" t="s">
        <v>56</v>
      </c>
      <c r="S1476" s="2" t="s">
        <v>2265</v>
      </c>
      <c r="T1476" s="2" t="s">
        <v>40</v>
      </c>
      <c r="U1476" s="2" t="s">
        <v>11410</v>
      </c>
      <c r="V1476" s="2"/>
      <c r="W1476" s="2" t="s">
        <v>42</v>
      </c>
      <c r="X1476" s="2" t="s">
        <v>43</v>
      </c>
      <c r="Y1476" s="2" t="s">
        <v>37</v>
      </c>
      <c r="Z1476" s="2" t="s">
        <v>44</v>
      </c>
      <c r="AA1476" s="2"/>
      <c r="AB1476" s="2"/>
      <c r="AC1476" s="2" t="s">
        <v>11411</v>
      </c>
      <c r="AD1476" s="2" t="s">
        <v>46</v>
      </c>
    </row>
    <row r="1477" customFormat="false" ht="15.7" hidden="false" customHeight="true" outlineLevel="0" collapsed="false">
      <c r="A1477" s="2"/>
      <c r="B1477" s="3" t="n">
        <f aca="false">DATE(2010,5,19)</f>
        <v>0</v>
      </c>
      <c r="C1477" s="3" t="n">
        <v>40317</v>
      </c>
      <c r="D1477" s="2" t="s">
        <v>11412</v>
      </c>
      <c r="F1477" s="2" t="s">
        <v>11413</v>
      </c>
      <c r="G1477" s="2" t="s">
        <v>11414</v>
      </c>
      <c r="H1477" s="2" t="s">
        <v>551</v>
      </c>
      <c r="I1477" s="2" t="s">
        <v>11415</v>
      </c>
      <c r="J1477" s="2" t="s">
        <v>35</v>
      </c>
      <c r="K1477" s="2" t="s">
        <v>11412</v>
      </c>
      <c r="L1477" s="2" t="s">
        <v>11415</v>
      </c>
      <c r="M1477" s="2" t="s">
        <v>551</v>
      </c>
      <c r="N1477" s="2" t="s">
        <v>11416</v>
      </c>
      <c r="O1477" s="2"/>
      <c r="P1477" s="2" t="s">
        <v>37</v>
      </c>
      <c r="Q1477" s="4" t="n">
        <v>8731</v>
      </c>
      <c r="R1477" s="2" t="s">
        <v>121</v>
      </c>
      <c r="S1477" s="2" t="s">
        <v>39</v>
      </c>
      <c r="T1477" s="2" t="s">
        <v>403</v>
      </c>
      <c r="U1477" s="2" t="s">
        <v>11417</v>
      </c>
      <c r="V1477" s="2"/>
      <c r="W1477" s="2" t="s">
        <v>42</v>
      </c>
      <c r="X1477" s="2" t="s">
        <v>46</v>
      </c>
      <c r="Y1477" s="2" t="s">
        <v>37</v>
      </c>
      <c r="Z1477" s="2" t="s">
        <v>362</v>
      </c>
      <c r="AA1477" s="2" t="s">
        <v>11418</v>
      </c>
      <c r="AB1477" s="2"/>
      <c r="AC1477" s="2" t="s">
        <v>11419</v>
      </c>
      <c r="AD1477" s="2" t="s">
        <v>46</v>
      </c>
    </row>
    <row r="1478" customFormat="false" ht="15.7" hidden="false" customHeight="true" outlineLevel="0" collapsed="false">
      <c r="A1478" s="2"/>
      <c r="B1478" s="3" t="n">
        <f aca="false">DATE(2010,5,20)</f>
        <v>0</v>
      </c>
      <c r="C1478" s="3" t="n">
        <v>40318</v>
      </c>
      <c r="D1478" s="2" t="s">
        <v>11420</v>
      </c>
      <c r="F1478" s="2" t="s">
        <v>11421</v>
      </c>
      <c r="G1478" s="2" t="s">
        <v>11422</v>
      </c>
      <c r="H1478" s="2" t="s">
        <v>11423</v>
      </c>
      <c r="I1478" s="2" t="s">
        <v>899</v>
      </c>
      <c r="J1478" s="2" t="s">
        <v>132</v>
      </c>
      <c r="K1478" s="2" t="s">
        <v>11420</v>
      </c>
      <c r="L1478" s="2" t="s">
        <v>899</v>
      </c>
      <c r="M1478" s="2" t="s">
        <v>11423</v>
      </c>
      <c r="N1478" s="2" t="s">
        <v>11424</v>
      </c>
      <c r="O1478" s="2"/>
      <c r="P1478" s="2" t="s">
        <v>37</v>
      </c>
      <c r="Q1478" s="4" t="n">
        <v>2999</v>
      </c>
      <c r="R1478" s="2" t="s">
        <v>136</v>
      </c>
      <c r="S1478" s="2" t="s">
        <v>39</v>
      </c>
      <c r="T1478" s="2" t="s">
        <v>40</v>
      </c>
      <c r="U1478" s="2" t="s">
        <v>11425</v>
      </c>
      <c r="V1478" s="2"/>
      <c r="W1478" s="2" t="s">
        <v>4505</v>
      </c>
      <c r="X1478" s="2" t="s">
        <v>43</v>
      </c>
      <c r="Y1478" s="2" t="s">
        <v>37</v>
      </c>
      <c r="Z1478" s="2" t="s">
        <v>44</v>
      </c>
      <c r="AA1478" s="2"/>
      <c r="AB1478" s="2"/>
      <c r="AC1478" s="2" t="s">
        <v>11426</v>
      </c>
      <c r="AD1478" s="2" t="s">
        <v>46</v>
      </c>
    </row>
    <row r="1479" customFormat="false" ht="15.7" hidden="false" customHeight="true" outlineLevel="0" collapsed="false">
      <c r="A1479" s="2"/>
      <c r="B1479" s="3" t="n">
        <f aca="false">DATE(2010,5,24)</f>
        <v>0</v>
      </c>
      <c r="C1479" s="3" t="n">
        <v>40322</v>
      </c>
      <c r="D1479" s="2" t="s">
        <v>11427</v>
      </c>
      <c r="F1479" s="2" t="s">
        <v>2814</v>
      </c>
      <c r="G1479" s="2" t="s">
        <v>11428</v>
      </c>
      <c r="H1479" s="2" t="s">
        <v>1770</v>
      </c>
      <c r="I1479" s="2" t="s">
        <v>11429</v>
      </c>
      <c r="J1479" s="2" t="s">
        <v>35</v>
      </c>
      <c r="K1479" s="2" t="s">
        <v>11427</v>
      </c>
      <c r="L1479" s="2" t="s">
        <v>11429</v>
      </c>
      <c r="M1479" s="2" t="s">
        <v>1770</v>
      </c>
      <c r="N1479" s="2" t="s">
        <v>11430</v>
      </c>
      <c r="O1479" s="2"/>
      <c r="P1479" s="2" t="s">
        <v>37</v>
      </c>
      <c r="Q1479" s="4" t="n">
        <v>8731</v>
      </c>
      <c r="R1479" s="2" t="s">
        <v>1402</v>
      </c>
      <c r="S1479" s="2" t="s">
        <v>39</v>
      </c>
      <c r="T1479" s="2" t="s">
        <v>40</v>
      </c>
      <c r="U1479" s="2" t="s">
        <v>11431</v>
      </c>
      <c r="V1479" s="2"/>
      <c r="W1479" s="2" t="s">
        <v>42</v>
      </c>
      <c r="X1479" s="2" t="s">
        <v>43</v>
      </c>
      <c r="Y1479" s="2" t="s">
        <v>37</v>
      </c>
      <c r="Z1479" s="2" t="s">
        <v>44</v>
      </c>
      <c r="AA1479" s="2"/>
      <c r="AB1479" s="2"/>
      <c r="AC1479" s="2" t="s">
        <v>11432</v>
      </c>
      <c r="AD1479" s="2" t="s">
        <v>46</v>
      </c>
    </row>
    <row r="1480" customFormat="false" ht="15.7" hidden="false" customHeight="true" outlineLevel="0" collapsed="false">
      <c r="A1480" s="2"/>
      <c r="B1480" s="3" t="n">
        <f aca="false">DATE(2010,5,26)</f>
        <v>0</v>
      </c>
      <c r="C1480" s="3" t="n">
        <v>40324</v>
      </c>
      <c r="D1480" s="2" t="s">
        <v>11433</v>
      </c>
      <c r="F1480" s="2" t="s">
        <v>11434</v>
      </c>
      <c r="G1480" s="2" t="s">
        <v>11435</v>
      </c>
      <c r="H1480" s="2" t="s">
        <v>368</v>
      </c>
      <c r="I1480" s="2" t="s">
        <v>965</v>
      </c>
      <c r="J1480" s="2" t="s">
        <v>331</v>
      </c>
      <c r="K1480" s="2" t="s">
        <v>11433</v>
      </c>
      <c r="L1480" s="2" t="s">
        <v>965</v>
      </c>
      <c r="M1480" s="2" t="s">
        <v>368</v>
      </c>
      <c r="N1480" s="2" t="s">
        <v>11436</v>
      </c>
      <c r="O1480" s="2"/>
      <c r="P1480" s="2" t="s">
        <v>37</v>
      </c>
      <c r="Q1480" s="4" t="n">
        <v>8733</v>
      </c>
      <c r="R1480" s="2" t="s">
        <v>56</v>
      </c>
      <c r="S1480" s="2" t="s">
        <v>2265</v>
      </c>
      <c r="T1480" s="2" t="s">
        <v>40</v>
      </c>
      <c r="U1480" s="2" t="s">
        <v>11437</v>
      </c>
      <c r="V1480" s="2"/>
      <c r="W1480" s="2" t="s">
        <v>42</v>
      </c>
      <c r="X1480" s="2" t="s">
        <v>43</v>
      </c>
      <c r="Y1480" s="2" t="s">
        <v>37</v>
      </c>
      <c r="Z1480" s="2" t="s">
        <v>44</v>
      </c>
      <c r="AA1480" s="2"/>
      <c r="AB1480" s="2"/>
      <c r="AC1480" s="2" t="s">
        <v>11438</v>
      </c>
      <c r="AD1480" s="2" t="s">
        <v>46</v>
      </c>
    </row>
    <row r="1481" customFormat="false" ht="15.7" hidden="false" customHeight="true" outlineLevel="0" collapsed="false">
      <c r="A1481" s="2"/>
      <c r="B1481" s="3" t="n">
        <f aca="false">DATE(2010,5,27)</f>
        <v>0</v>
      </c>
      <c r="C1481" s="3" t="n">
        <v>40325</v>
      </c>
      <c r="D1481" s="2" t="s">
        <v>11439</v>
      </c>
      <c r="F1481" s="2" t="s">
        <v>11440</v>
      </c>
      <c r="G1481" s="2" t="s">
        <v>11441</v>
      </c>
      <c r="H1481" s="2" t="s">
        <v>11442</v>
      </c>
      <c r="I1481" s="2" t="s">
        <v>11443</v>
      </c>
      <c r="J1481" s="2" t="s">
        <v>35</v>
      </c>
      <c r="K1481" s="2" t="s">
        <v>11444</v>
      </c>
      <c r="L1481" s="2" t="s">
        <v>11443</v>
      </c>
      <c r="M1481" s="2" t="s">
        <v>11445</v>
      </c>
      <c r="N1481" s="2" t="s">
        <v>11446</v>
      </c>
      <c r="O1481" s="2"/>
      <c r="P1481" s="2" t="s">
        <v>37</v>
      </c>
      <c r="Q1481" s="4" t="n">
        <v>2869</v>
      </c>
      <c r="R1481" s="2" t="s">
        <v>136</v>
      </c>
      <c r="S1481" s="2" t="s">
        <v>39</v>
      </c>
      <c r="T1481" s="2" t="s">
        <v>40</v>
      </c>
      <c r="U1481" s="2" t="s">
        <v>11447</v>
      </c>
      <c r="V1481" s="2"/>
      <c r="W1481" s="2" t="s">
        <v>42</v>
      </c>
      <c r="X1481" s="2" t="s">
        <v>43</v>
      </c>
      <c r="Y1481" s="2" t="s">
        <v>37</v>
      </c>
      <c r="Z1481" s="2" t="s">
        <v>44</v>
      </c>
      <c r="AA1481" s="2"/>
      <c r="AB1481" s="2"/>
      <c r="AC1481" s="2" t="s">
        <v>11448</v>
      </c>
      <c r="AD1481" s="2" t="s">
        <v>46</v>
      </c>
    </row>
    <row r="1482" customFormat="false" ht="15.7" hidden="false" customHeight="true" outlineLevel="0" collapsed="false">
      <c r="A1482" s="2"/>
      <c r="B1482" s="3" t="n">
        <f aca="false">DATE(2010,6,1)</f>
        <v>0</v>
      </c>
      <c r="C1482" s="3" t="n">
        <v>40330</v>
      </c>
      <c r="D1482" s="2" t="s">
        <v>11449</v>
      </c>
      <c r="F1482" s="2" t="s">
        <v>11450</v>
      </c>
      <c r="G1482" s="2" t="s">
        <v>11451</v>
      </c>
      <c r="H1482" s="2" t="s">
        <v>2918</v>
      </c>
      <c r="I1482" s="2" t="s">
        <v>11452</v>
      </c>
      <c r="J1482" s="2" t="s">
        <v>11453</v>
      </c>
      <c r="K1482" s="2" t="s">
        <v>11454</v>
      </c>
      <c r="L1482" s="2" t="s">
        <v>11455</v>
      </c>
      <c r="M1482" s="2" t="s">
        <v>2918</v>
      </c>
      <c r="N1482" s="2" t="s">
        <v>11456</v>
      </c>
      <c r="O1482" s="2"/>
      <c r="P1482" s="2" t="s">
        <v>37</v>
      </c>
      <c r="Q1482" s="4" t="n">
        <v>2834</v>
      </c>
      <c r="R1482" s="2" t="s">
        <v>136</v>
      </c>
      <c r="S1482" s="2" t="s">
        <v>39</v>
      </c>
      <c r="T1482" s="2" t="s">
        <v>122</v>
      </c>
      <c r="U1482" s="2" t="s">
        <v>11457</v>
      </c>
      <c r="V1482" s="2"/>
      <c r="W1482" s="2" t="s">
        <v>42</v>
      </c>
      <c r="X1482" s="2" t="s">
        <v>43</v>
      </c>
      <c r="Y1482" s="2" t="s">
        <v>37</v>
      </c>
      <c r="Z1482" s="2" t="s">
        <v>916</v>
      </c>
      <c r="AA1482" s="2"/>
      <c r="AB1482" s="2"/>
      <c r="AC1482" s="2" t="s">
        <v>11458</v>
      </c>
      <c r="AD1482" s="2" t="s">
        <v>46</v>
      </c>
    </row>
    <row r="1483" customFormat="false" ht="15.7" hidden="false" customHeight="true" outlineLevel="0" collapsed="false">
      <c r="A1483" s="2"/>
      <c r="B1483" s="3" t="n">
        <f aca="false">DATE(2010,6,3)</f>
        <v>0</v>
      </c>
      <c r="C1483" s="3" t="n">
        <v>40332</v>
      </c>
      <c r="D1483" s="2" t="s">
        <v>11459</v>
      </c>
      <c r="F1483" s="2" t="s">
        <v>11460</v>
      </c>
      <c r="G1483" s="2" t="s">
        <v>11461</v>
      </c>
      <c r="H1483" s="2" t="s">
        <v>11462</v>
      </c>
      <c r="I1483" s="2" t="s">
        <v>11463</v>
      </c>
      <c r="J1483" s="2" t="s">
        <v>35</v>
      </c>
      <c r="K1483" s="2" t="s">
        <v>11464</v>
      </c>
      <c r="L1483" s="2" t="s">
        <v>11463</v>
      </c>
      <c r="M1483" s="2" t="s">
        <v>11465</v>
      </c>
      <c r="N1483" s="2" t="s">
        <v>11466</v>
      </c>
      <c r="O1483" s="2"/>
      <c r="P1483" s="2" t="s">
        <v>37</v>
      </c>
      <c r="Q1483" s="4" t="n">
        <v>3531</v>
      </c>
      <c r="R1483" s="2" t="s">
        <v>7068</v>
      </c>
      <c r="S1483" s="2" t="s">
        <v>39</v>
      </c>
      <c r="T1483" s="2" t="s">
        <v>40</v>
      </c>
      <c r="U1483" s="2" t="s">
        <v>11467</v>
      </c>
      <c r="V1483" s="2"/>
      <c r="W1483" s="2" t="s">
        <v>42</v>
      </c>
      <c r="X1483" s="2" t="s">
        <v>46</v>
      </c>
      <c r="Y1483" s="2" t="s">
        <v>37</v>
      </c>
      <c r="Z1483" s="2" t="s">
        <v>362</v>
      </c>
      <c r="AA1483" s="2"/>
      <c r="AB1483" s="2"/>
      <c r="AC1483" s="2" t="s">
        <v>11468</v>
      </c>
      <c r="AD1483" s="2" t="s">
        <v>46</v>
      </c>
    </row>
    <row r="1484" customFormat="false" ht="15.7" hidden="false" customHeight="true" outlineLevel="0" collapsed="false">
      <c r="A1484" s="2"/>
      <c r="B1484" s="3" t="n">
        <f aca="false">DATE(2010,6,4)</f>
        <v>0</v>
      </c>
      <c r="C1484" s="3" t="n">
        <v>40333</v>
      </c>
      <c r="D1484" s="2" t="s">
        <v>11469</v>
      </c>
      <c r="F1484" s="2" t="s">
        <v>11470</v>
      </c>
      <c r="G1484" s="2" t="s">
        <v>11471</v>
      </c>
      <c r="H1484" s="2" t="s">
        <v>170</v>
      </c>
      <c r="I1484" s="2" t="s">
        <v>330</v>
      </c>
      <c r="J1484" s="2" t="s">
        <v>950</v>
      </c>
      <c r="K1484" s="2" t="s">
        <v>11472</v>
      </c>
      <c r="L1484" s="2" t="s">
        <v>330</v>
      </c>
      <c r="M1484" s="2" t="s">
        <v>170</v>
      </c>
      <c r="N1484" s="2" t="s">
        <v>11473</v>
      </c>
      <c r="O1484" s="2"/>
      <c r="P1484" s="2" t="s">
        <v>37</v>
      </c>
      <c r="Q1484" s="4" t="n">
        <v>8731</v>
      </c>
      <c r="R1484" s="2" t="s">
        <v>136</v>
      </c>
      <c r="S1484" s="2" t="s">
        <v>39</v>
      </c>
      <c r="T1484" s="2" t="s">
        <v>40</v>
      </c>
      <c r="U1484" s="2" t="s">
        <v>11474</v>
      </c>
      <c r="V1484" s="2"/>
      <c r="W1484" s="2" t="s">
        <v>42</v>
      </c>
      <c r="X1484" s="2" t="s">
        <v>43</v>
      </c>
      <c r="Y1484" s="2" t="s">
        <v>37</v>
      </c>
      <c r="Z1484" s="2" t="s">
        <v>44</v>
      </c>
      <c r="AA1484" s="2"/>
      <c r="AB1484" s="2"/>
      <c r="AC1484" s="2" t="s">
        <v>11475</v>
      </c>
      <c r="AD1484" s="2" t="s">
        <v>46</v>
      </c>
    </row>
    <row r="1485" customFormat="false" ht="15.7" hidden="false" customHeight="true" outlineLevel="0" collapsed="false">
      <c r="A1485" s="2"/>
      <c r="B1485" s="3" t="n">
        <f aca="false">DATE(2010,6,9)</f>
        <v>0</v>
      </c>
      <c r="C1485" s="3" t="n">
        <v>40338</v>
      </c>
      <c r="D1485" s="2" t="s">
        <v>11476</v>
      </c>
      <c r="F1485" s="2" t="s">
        <v>11477</v>
      </c>
      <c r="G1485" s="2" t="s">
        <v>11478</v>
      </c>
      <c r="H1485" s="2" t="s">
        <v>11479</v>
      </c>
      <c r="I1485" s="2" t="s">
        <v>5173</v>
      </c>
      <c r="J1485" s="2" t="s">
        <v>35</v>
      </c>
      <c r="K1485" s="2" t="s">
        <v>11476</v>
      </c>
      <c r="L1485" s="2" t="s">
        <v>5173</v>
      </c>
      <c r="M1485" s="2" t="s">
        <v>11479</v>
      </c>
      <c r="N1485" s="2" t="s">
        <v>11480</v>
      </c>
      <c r="O1485" s="2"/>
      <c r="P1485" s="2" t="s">
        <v>37</v>
      </c>
      <c r="Q1485" s="4" t="n">
        <v>8732</v>
      </c>
      <c r="R1485" s="2" t="s">
        <v>38</v>
      </c>
      <c r="S1485" s="2" t="s">
        <v>39</v>
      </c>
      <c r="T1485" s="2" t="s">
        <v>40</v>
      </c>
      <c r="U1485" s="2" t="s">
        <v>11481</v>
      </c>
      <c r="V1485" s="2"/>
      <c r="W1485" s="2" t="s">
        <v>42</v>
      </c>
      <c r="X1485" s="2" t="s">
        <v>46</v>
      </c>
      <c r="Y1485" s="2" t="s">
        <v>37</v>
      </c>
      <c r="Z1485" s="2" t="s">
        <v>362</v>
      </c>
      <c r="AA1485" s="2"/>
      <c r="AB1485" s="2"/>
      <c r="AC1485" s="2" t="s">
        <v>11482</v>
      </c>
      <c r="AD1485" s="2" t="s">
        <v>46</v>
      </c>
    </row>
    <row r="1486" customFormat="false" ht="15.7" hidden="false" customHeight="true" outlineLevel="0" collapsed="false">
      <c r="A1486" s="2"/>
      <c r="B1486" s="3" t="n">
        <f aca="false">DATE(2010,6,15)</f>
        <v>0</v>
      </c>
      <c r="C1486" s="3" t="n">
        <v>40344</v>
      </c>
      <c r="D1486" s="2" t="s">
        <v>11483</v>
      </c>
      <c r="F1486" s="2" t="s">
        <v>1902</v>
      </c>
      <c r="G1486" s="2" t="s">
        <v>11484</v>
      </c>
      <c r="H1486" s="2" t="s">
        <v>305</v>
      </c>
      <c r="I1486" s="2" t="s">
        <v>11485</v>
      </c>
      <c r="J1486" s="2" t="s">
        <v>35</v>
      </c>
      <c r="K1486" s="2" t="s">
        <v>11483</v>
      </c>
      <c r="L1486" s="2" t="s">
        <v>11485</v>
      </c>
      <c r="M1486" s="2" t="s">
        <v>305</v>
      </c>
      <c r="N1486" s="2" t="s">
        <v>11486</v>
      </c>
      <c r="O1486" s="2"/>
      <c r="P1486" s="2" t="s">
        <v>37</v>
      </c>
      <c r="Q1486" s="4" t="n">
        <v>2834</v>
      </c>
      <c r="R1486" s="2" t="s">
        <v>136</v>
      </c>
      <c r="S1486" s="2" t="s">
        <v>39</v>
      </c>
      <c r="T1486" s="2" t="s">
        <v>403</v>
      </c>
      <c r="U1486" s="2" t="s">
        <v>11487</v>
      </c>
      <c r="V1486" s="2"/>
      <c r="W1486" s="2" t="s">
        <v>42</v>
      </c>
      <c r="X1486" s="2" t="s">
        <v>43</v>
      </c>
      <c r="Y1486" s="2" t="s">
        <v>37</v>
      </c>
      <c r="Z1486" s="2" t="s">
        <v>44</v>
      </c>
      <c r="AA1486" s="2"/>
      <c r="AB1486" s="2"/>
      <c r="AC1486" s="2" t="s">
        <v>11488</v>
      </c>
      <c r="AD1486" s="2" t="s">
        <v>46</v>
      </c>
    </row>
    <row r="1487" customFormat="false" ht="15.7" hidden="false" customHeight="true" outlineLevel="0" collapsed="false">
      <c r="A1487" s="2"/>
      <c r="B1487" s="3" t="n">
        <f aca="false">DATE(2010,6,17)</f>
        <v>0</v>
      </c>
      <c r="C1487" s="3" t="n">
        <v>40346</v>
      </c>
      <c r="D1487" s="2" t="s">
        <v>11489</v>
      </c>
      <c r="F1487" s="2" t="s">
        <v>11490</v>
      </c>
      <c r="G1487" s="2" t="s">
        <v>11491</v>
      </c>
      <c r="H1487" s="2" t="s">
        <v>305</v>
      </c>
      <c r="I1487" s="2" t="s">
        <v>131</v>
      </c>
      <c r="J1487" s="2" t="s">
        <v>132</v>
      </c>
      <c r="K1487" s="2" t="s">
        <v>11492</v>
      </c>
      <c r="L1487" s="2" t="s">
        <v>131</v>
      </c>
      <c r="M1487" s="2" t="s">
        <v>684</v>
      </c>
      <c r="N1487" s="2" t="s">
        <v>11493</v>
      </c>
      <c r="O1487" s="2"/>
      <c r="P1487" s="2" t="s">
        <v>37</v>
      </c>
      <c r="Q1487" s="4" t="n">
        <v>2836</v>
      </c>
      <c r="R1487" s="2" t="s">
        <v>136</v>
      </c>
      <c r="S1487" s="2" t="s">
        <v>39</v>
      </c>
      <c r="T1487" s="2" t="s">
        <v>40</v>
      </c>
      <c r="U1487" s="2" t="s">
        <v>11494</v>
      </c>
      <c r="V1487" s="2"/>
      <c r="W1487" s="2" t="s">
        <v>42</v>
      </c>
      <c r="X1487" s="2" t="s">
        <v>43</v>
      </c>
      <c r="Y1487" s="2" t="s">
        <v>37</v>
      </c>
      <c r="Z1487" s="2" t="s">
        <v>44</v>
      </c>
      <c r="AA1487" s="2"/>
      <c r="AB1487" s="2"/>
      <c r="AC1487" s="2" t="s">
        <v>11495</v>
      </c>
      <c r="AD1487" s="2" t="s">
        <v>46</v>
      </c>
    </row>
    <row r="1488" customFormat="false" ht="15.7" hidden="false" customHeight="true" outlineLevel="0" collapsed="false">
      <c r="A1488" s="2"/>
      <c r="B1488" s="3" t="n">
        <f aca="false">DATE(2010,6,18)</f>
        <v>0</v>
      </c>
      <c r="C1488" s="3" t="n">
        <v>40347</v>
      </c>
      <c r="D1488" s="2" t="s">
        <v>11496</v>
      </c>
      <c r="F1488" s="2" t="s">
        <v>11497</v>
      </c>
      <c r="G1488" s="2" t="s">
        <v>11498</v>
      </c>
      <c r="H1488" s="2" t="s">
        <v>11499</v>
      </c>
      <c r="I1488" s="2" t="s">
        <v>3470</v>
      </c>
      <c r="J1488" s="2" t="s">
        <v>625</v>
      </c>
      <c r="K1488" s="2" t="s">
        <v>11500</v>
      </c>
      <c r="L1488" s="2" t="s">
        <v>1431</v>
      </c>
      <c r="M1488" s="2" t="s">
        <v>63</v>
      </c>
      <c r="N1488" s="2" t="s">
        <v>11501</v>
      </c>
      <c r="O1488" s="2"/>
      <c r="P1488" s="2" t="s">
        <v>37</v>
      </c>
      <c r="Q1488" s="4" t="n">
        <v>2836</v>
      </c>
      <c r="R1488" s="2" t="s">
        <v>136</v>
      </c>
      <c r="S1488" s="2" t="s">
        <v>39</v>
      </c>
      <c r="T1488" s="2" t="s">
        <v>40</v>
      </c>
      <c r="U1488" s="2" t="s">
        <v>11502</v>
      </c>
      <c r="V1488" s="2"/>
      <c r="W1488" s="2" t="s">
        <v>82</v>
      </c>
      <c r="X1488" s="2" t="s">
        <v>43</v>
      </c>
      <c r="Y1488" s="2" t="s">
        <v>37</v>
      </c>
      <c r="Z1488" s="2" t="s">
        <v>44</v>
      </c>
      <c r="AA1488" s="2"/>
      <c r="AB1488" s="2"/>
      <c r="AC1488" s="2" t="s">
        <v>11503</v>
      </c>
      <c r="AD1488" s="2" t="s">
        <v>46</v>
      </c>
    </row>
    <row r="1489" customFormat="false" ht="15.7" hidden="false" customHeight="true" outlineLevel="0" collapsed="false">
      <c r="A1489" s="2"/>
      <c r="B1489" s="3" t="n">
        <f aca="false">DATE(2010,6,18)</f>
        <v>0</v>
      </c>
      <c r="C1489" s="3" t="n">
        <v>40347</v>
      </c>
      <c r="D1489" s="2" t="s">
        <v>11504</v>
      </c>
      <c r="F1489" s="2" t="s">
        <v>11505</v>
      </c>
      <c r="G1489" s="2" t="s">
        <v>11506</v>
      </c>
      <c r="H1489" s="2" t="s">
        <v>1042</v>
      </c>
      <c r="I1489" s="2" t="s">
        <v>11507</v>
      </c>
      <c r="J1489" s="2" t="s">
        <v>35</v>
      </c>
      <c r="K1489" s="2" t="s">
        <v>11508</v>
      </c>
      <c r="L1489" s="2" t="s">
        <v>11507</v>
      </c>
      <c r="M1489" s="2" t="s">
        <v>1042</v>
      </c>
      <c r="N1489" s="2" t="s">
        <v>11509</v>
      </c>
      <c r="O1489" s="2"/>
      <c r="P1489" s="2" t="s">
        <v>37</v>
      </c>
      <c r="Q1489" s="4" t="n">
        <v>8731</v>
      </c>
      <c r="R1489" s="2" t="s">
        <v>402</v>
      </c>
      <c r="S1489" s="2" t="s">
        <v>39</v>
      </c>
      <c r="T1489" s="2" t="s">
        <v>403</v>
      </c>
      <c r="U1489" s="2" t="s">
        <v>11510</v>
      </c>
      <c r="V1489" s="2"/>
      <c r="W1489" s="2" t="s">
        <v>42</v>
      </c>
      <c r="X1489" s="2" t="s">
        <v>43</v>
      </c>
      <c r="Y1489" s="2" t="s">
        <v>37</v>
      </c>
      <c r="Z1489" s="2" t="s">
        <v>44</v>
      </c>
      <c r="AA1489" s="2" t="s">
        <v>11511</v>
      </c>
      <c r="AB1489" s="2"/>
      <c r="AC1489" s="2" t="s">
        <v>11512</v>
      </c>
      <c r="AD1489" s="2" t="s">
        <v>46</v>
      </c>
    </row>
    <row r="1490" customFormat="false" ht="15.7" hidden="false" customHeight="true" outlineLevel="0" collapsed="false">
      <c r="A1490" s="2"/>
      <c r="B1490" s="3" t="n">
        <f aca="false">DATE(2010,6,18)</f>
        <v>0</v>
      </c>
      <c r="C1490" s="3" t="n">
        <v>40347</v>
      </c>
      <c r="D1490" s="2" t="s">
        <v>11513</v>
      </c>
      <c r="F1490" s="2" t="s">
        <v>11514</v>
      </c>
      <c r="G1490" s="2" t="s">
        <v>11515</v>
      </c>
      <c r="H1490" s="2" t="s">
        <v>11516</v>
      </c>
      <c r="I1490" s="2" t="s">
        <v>51</v>
      </c>
      <c r="J1490" s="2" t="s">
        <v>11517</v>
      </c>
      <c r="K1490" s="2" t="s">
        <v>11513</v>
      </c>
      <c r="L1490" s="2" t="s">
        <v>51</v>
      </c>
      <c r="M1490" s="2" t="s">
        <v>11516</v>
      </c>
      <c r="N1490" s="2" t="s">
        <v>11518</v>
      </c>
      <c r="O1490" s="2"/>
      <c r="P1490" s="2" t="s">
        <v>37</v>
      </c>
      <c r="Q1490" s="4" t="n">
        <v>3845</v>
      </c>
      <c r="R1490" s="2" t="s">
        <v>56</v>
      </c>
      <c r="S1490" s="2" t="s">
        <v>2265</v>
      </c>
      <c r="T1490" s="2" t="s">
        <v>40</v>
      </c>
      <c r="U1490" s="2" t="s">
        <v>11519</v>
      </c>
      <c r="V1490" s="2"/>
      <c r="W1490" s="2" t="s">
        <v>42</v>
      </c>
      <c r="X1490" s="2" t="s">
        <v>43</v>
      </c>
      <c r="Y1490" s="2" t="s">
        <v>37</v>
      </c>
      <c r="Z1490" s="2" t="s">
        <v>44</v>
      </c>
      <c r="AA1490" s="2"/>
      <c r="AB1490" s="2"/>
      <c r="AC1490" s="2" t="s">
        <v>11520</v>
      </c>
      <c r="AD1490" s="2" t="s">
        <v>46</v>
      </c>
    </row>
    <row r="1491" customFormat="false" ht="15.7" hidden="false" customHeight="true" outlineLevel="0" collapsed="false">
      <c r="A1491" s="2"/>
      <c r="B1491" s="3" t="n">
        <f aca="false">DATE(2010,6,21)</f>
        <v>0</v>
      </c>
      <c r="C1491" s="3" t="n">
        <v>40350</v>
      </c>
      <c r="D1491" s="2" t="s">
        <v>11521</v>
      </c>
      <c r="F1491" s="2" t="s">
        <v>4939</v>
      </c>
      <c r="G1491" s="2" t="s">
        <v>11522</v>
      </c>
      <c r="H1491" s="2" t="s">
        <v>170</v>
      </c>
      <c r="I1491" s="2" t="s">
        <v>724</v>
      </c>
      <c r="J1491" s="2" t="s">
        <v>65</v>
      </c>
      <c r="K1491" s="2" t="s">
        <v>11521</v>
      </c>
      <c r="L1491" s="2" t="s">
        <v>724</v>
      </c>
      <c r="M1491" s="2" t="s">
        <v>170</v>
      </c>
      <c r="N1491" s="2" t="s">
        <v>11523</v>
      </c>
      <c r="O1491" s="2"/>
      <c r="P1491" s="2" t="s">
        <v>37</v>
      </c>
      <c r="Q1491" s="4" t="n">
        <v>2836</v>
      </c>
      <c r="R1491" s="2" t="s">
        <v>136</v>
      </c>
      <c r="S1491" s="2" t="s">
        <v>39</v>
      </c>
      <c r="T1491" s="2" t="s">
        <v>40</v>
      </c>
      <c r="U1491" s="2" t="s">
        <v>11524</v>
      </c>
      <c r="V1491" s="2"/>
      <c r="W1491" s="2" t="s">
        <v>42</v>
      </c>
      <c r="X1491" s="2" t="s">
        <v>43</v>
      </c>
      <c r="Y1491" s="2" t="s">
        <v>37</v>
      </c>
      <c r="Z1491" s="2" t="s">
        <v>44</v>
      </c>
      <c r="AA1491" s="2"/>
      <c r="AB1491" s="2"/>
      <c r="AC1491" s="2" t="s">
        <v>11525</v>
      </c>
      <c r="AD1491" s="2" t="s">
        <v>46</v>
      </c>
    </row>
    <row r="1492" customFormat="false" ht="15.7" hidden="false" customHeight="true" outlineLevel="0" collapsed="false">
      <c r="A1492" s="2"/>
      <c r="B1492" s="3" t="n">
        <f aca="false">DATE(2010,6,21)</f>
        <v>0</v>
      </c>
      <c r="C1492" s="3" t="n">
        <v>40350</v>
      </c>
      <c r="D1492" s="2" t="s">
        <v>11526</v>
      </c>
      <c r="F1492" s="2" t="s">
        <v>11527</v>
      </c>
      <c r="G1492" s="2" t="s">
        <v>11528</v>
      </c>
      <c r="H1492" s="2" t="s">
        <v>537</v>
      </c>
      <c r="I1492" s="2" t="s">
        <v>899</v>
      </c>
      <c r="J1492" s="2" t="s">
        <v>258</v>
      </c>
      <c r="K1492" s="2" t="s">
        <v>11529</v>
      </c>
      <c r="L1492" s="2" t="s">
        <v>549</v>
      </c>
      <c r="M1492" s="2" t="s">
        <v>11530</v>
      </c>
      <c r="N1492" s="2" t="s">
        <v>11531</v>
      </c>
      <c r="O1492" s="2"/>
      <c r="P1492" s="2" t="s">
        <v>79</v>
      </c>
      <c r="Q1492" s="4" t="n">
        <v>2835</v>
      </c>
      <c r="R1492" s="2" t="s">
        <v>136</v>
      </c>
      <c r="S1492" s="2" t="s">
        <v>39</v>
      </c>
      <c r="T1492" s="2" t="s">
        <v>40</v>
      </c>
      <c r="U1492" s="2" t="s">
        <v>11532</v>
      </c>
      <c r="V1492" s="2"/>
      <c r="W1492" s="2" t="s">
        <v>42</v>
      </c>
      <c r="X1492" s="2" t="s">
        <v>43</v>
      </c>
      <c r="Y1492" s="2" t="s">
        <v>37</v>
      </c>
      <c r="Z1492" s="2" t="s">
        <v>44</v>
      </c>
      <c r="AA1492" s="2"/>
      <c r="AB1492" s="2"/>
      <c r="AC1492" s="2" t="s">
        <v>11533</v>
      </c>
      <c r="AD1492" s="2" t="s">
        <v>46</v>
      </c>
    </row>
    <row r="1493" customFormat="false" ht="15.7" hidden="false" customHeight="true" outlineLevel="0" collapsed="false">
      <c r="A1493" s="2"/>
      <c r="B1493" s="3" t="n">
        <f aca="false">DATE(2010,6,22)</f>
        <v>0</v>
      </c>
      <c r="C1493" s="3" t="n">
        <v>40351</v>
      </c>
      <c r="D1493" s="2" t="s">
        <v>11534</v>
      </c>
      <c r="F1493" s="2" t="s">
        <v>1865</v>
      </c>
      <c r="G1493" s="2" t="s">
        <v>11535</v>
      </c>
      <c r="H1493" s="2" t="s">
        <v>130</v>
      </c>
      <c r="I1493" s="2" t="s">
        <v>410</v>
      </c>
      <c r="J1493" s="2" t="s">
        <v>966</v>
      </c>
      <c r="K1493" s="2" t="s">
        <v>11536</v>
      </c>
      <c r="L1493" s="2" t="s">
        <v>410</v>
      </c>
      <c r="M1493" s="2" t="s">
        <v>130</v>
      </c>
      <c r="N1493" s="2" t="s">
        <v>11537</v>
      </c>
      <c r="O1493" s="2"/>
      <c r="P1493" s="2" t="s">
        <v>37</v>
      </c>
      <c r="Q1493" s="4" t="n">
        <v>8731</v>
      </c>
      <c r="R1493" s="2" t="s">
        <v>136</v>
      </c>
      <c r="S1493" s="2" t="s">
        <v>39</v>
      </c>
      <c r="T1493" s="2" t="s">
        <v>122</v>
      </c>
      <c r="U1493" s="2" t="s">
        <v>11538</v>
      </c>
      <c r="V1493" s="2"/>
      <c r="W1493" s="2" t="s">
        <v>773</v>
      </c>
      <c r="X1493" s="2" t="s">
        <v>43</v>
      </c>
      <c r="Y1493" s="2" t="s">
        <v>37</v>
      </c>
      <c r="Z1493" s="2" t="s">
        <v>44</v>
      </c>
      <c r="AA1493" s="2" t="s">
        <v>11539</v>
      </c>
      <c r="AB1493" s="2"/>
      <c r="AC1493" s="2" t="s">
        <v>11540</v>
      </c>
      <c r="AD1493" s="2" t="s">
        <v>46</v>
      </c>
    </row>
    <row r="1494" customFormat="false" ht="15.7" hidden="false" customHeight="true" outlineLevel="0" collapsed="false">
      <c r="A1494" s="2"/>
      <c r="B1494" s="3" t="n">
        <f aca="false">DATE(2010,6,22)</f>
        <v>0</v>
      </c>
      <c r="C1494" s="3" t="n">
        <v>40351</v>
      </c>
      <c r="D1494" s="2" t="s">
        <v>11541</v>
      </c>
      <c r="F1494" s="2" t="s">
        <v>5489</v>
      </c>
      <c r="G1494" s="2" t="s">
        <v>11542</v>
      </c>
      <c r="H1494" s="2" t="s">
        <v>130</v>
      </c>
      <c r="I1494" s="2" t="s">
        <v>965</v>
      </c>
      <c r="J1494" s="2" t="s">
        <v>132</v>
      </c>
      <c r="K1494" s="2" t="s">
        <v>11543</v>
      </c>
      <c r="L1494" s="2" t="s">
        <v>965</v>
      </c>
      <c r="M1494" s="2" t="s">
        <v>305</v>
      </c>
      <c r="N1494" s="2" t="s">
        <v>11544</v>
      </c>
      <c r="O1494" s="2"/>
      <c r="P1494" s="2" t="s">
        <v>37</v>
      </c>
      <c r="Q1494" s="4" t="n">
        <v>2834</v>
      </c>
      <c r="R1494" s="2" t="s">
        <v>136</v>
      </c>
      <c r="S1494" s="2" t="s">
        <v>39</v>
      </c>
      <c r="T1494" s="2" t="s">
        <v>403</v>
      </c>
      <c r="U1494" s="2" t="s">
        <v>11545</v>
      </c>
      <c r="V1494" s="2"/>
      <c r="W1494" s="2" t="s">
        <v>42</v>
      </c>
      <c r="X1494" s="2" t="s">
        <v>43</v>
      </c>
      <c r="Y1494" s="2" t="s">
        <v>37</v>
      </c>
      <c r="Z1494" s="2" t="s">
        <v>44</v>
      </c>
      <c r="AA1494" s="2" t="s">
        <v>11546</v>
      </c>
      <c r="AB1494" s="2"/>
      <c r="AC1494" s="2" t="s">
        <v>11547</v>
      </c>
      <c r="AD1494" s="2" t="s">
        <v>46</v>
      </c>
    </row>
    <row r="1495" customFormat="false" ht="15.7" hidden="false" customHeight="true" outlineLevel="0" collapsed="false">
      <c r="A1495" s="2"/>
      <c r="B1495" s="3" t="n">
        <f aca="false">DATE(2010,6,23)</f>
        <v>0</v>
      </c>
      <c r="C1495" s="3" t="n">
        <v>40352</v>
      </c>
      <c r="D1495" s="2" t="s">
        <v>11548</v>
      </c>
      <c r="F1495" s="2" t="s">
        <v>11549</v>
      </c>
      <c r="G1495" s="2" t="s">
        <v>11550</v>
      </c>
      <c r="H1495" s="2" t="s">
        <v>993</v>
      </c>
      <c r="I1495" s="2" t="s">
        <v>899</v>
      </c>
      <c r="J1495" s="2" t="s">
        <v>488</v>
      </c>
      <c r="K1495" s="2" t="s">
        <v>11548</v>
      </c>
      <c r="L1495" s="2" t="s">
        <v>899</v>
      </c>
      <c r="M1495" s="2" t="s">
        <v>993</v>
      </c>
      <c r="N1495" s="2" t="s">
        <v>11551</v>
      </c>
      <c r="O1495" s="2"/>
      <c r="P1495" s="2" t="s">
        <v>37</v>
      </c>
      <c r="Q1495" s="4" t="n">
        <v>2836</v>
      </c>
      <c r="R1495" s="2" t="s">
        <v>136</v>
      </c>
      <c r="S1495" s="2" t="s">
        <v>39</v>
      </c>
      <c r="T1495" s="2" t="s">
        <v>40</v>
      </c>
      <c r="U1495" s="2" t="s">
        <v>11552</v>
      </c>
      <c r="V1495" s="2"/>
      <c r="W1495" s="2" t="s">
        <v>42</v>
      </c>
      <c r="X1495" s="2" t="s">
        <v>43</v>
      </c>
      <c r="Y1495" s="2" t="s">
        <v>37</v>
      </c>
      <c r="Z1495" s="2" t="s">
        <v>44</v>
      </c>
      <c r="AA1495" s="2"/>
      <c r="AB1495" s="2"/>
      <c r="AC1495" s="2" t="s">
        <v>11553</v>
      </c>
      <c r="AD1495" s="2" t="s">
        <v>46</v>
      </c>
    </row>
    <row r="1496" customFormat="false" ht="15.7" hidden="false" customHeight="true" outlineLevel="0" collapsed="false">
      <c r="A1496" s="2"/>
      <c r="B1496" s="3" t="n">
        <f aca="false">DATE(2010,6,25)</f>
        <v>0</v>
      </c>
      <c r="C1496" s="3" t="n">
        <v>40354</v>
      </c>
      <c r="D1496" s="2" t="s">
        <v>11554</v>
      </c>
      <c r="F1496" s="2" t="s">
        <v>11555</v>
      </c>
      <c r="G1496" s="2" t="s">
        <v>11556</v>
      </c>
      <c r="H1496" s="2" t="s">
        <v>305</v>
      </c>
      <c r="I1496" s="2" t="s">
        <v>965</v>
      </c>
      <c r="J1496" s="2" t="s">
        <v>132</v>
      </c>
      <c r="K1496" s="2" t="s">
        <v>11554</v>
      </c>
      <c r="L1496" s="2" t="s">
        <v>965</v>
      </c>
      <c r="M1496" s="2" t="s">
        <v>305</v>
      </c>
      <c r="N1496" s="2" t="s">
        <v>11557</v>
      </c>
      <c r="O1496" s="2"/>
      <c r="P1496" s="2" t="s">
        <v>37</v>
      </c>
      <c r="Q1496" s="4" t="n">
        <v>2836</v>
      </c>
      <c r="R1496" s="2" t="s">
        <v>136</v>
      </c>
      <c r="S1496" s="2" t="s">
        <v>39</v>
      </c>
      <c r="T1496" s="2" t="s">
        <v>40</v>
      </c>
      <c r="U1496" s="2" t="s">
        <v>11558</v>
      </c>
      <c r="V1496" s="2"/>
      <c r="W1496" s="2" t="s">
        <v>82</v>
      </c>
      <c r="X1496" s="2" t="s">
        <v>43</v>
      </c>
      <c r="Y1496" s="2" t="s">
        <v>37</v>
      </c>
      <c r="Z1496" s="2" t="s">
        <v>44</v>
      </c>
      <c r="AA1496" s="2" t="s">
        <v>11559</v>
      </c>
      <c r="AB1496" s="2"/>
      <c r="AC1496" s="2" t="s">
        <v>11560</v>
      </c>
      <c r="AD1496" s="2" t="s">
        <v>46</v>
      </c>
    </row>
    <row r="1497" customFormat="false" ht="15.7" hidden="false" customHeight="true" outlineLevel="0" collapsed="false">
      <c r="A1497" s="2"/>
      <c r="B1497" s="3" t="n">
        <f aca="false">DATE(2010,7,5)</f>
        <v>0</v>
      </c>
      <c r="C1497" s="3" t="n">
        <v>40364</v>
      </c>
      <c r="D1497" s="2" t="s">
        <v>11561</v>
      </c>
      <c r="F1497" s="2" t="s">
        <v>11562</v>
      </c>
      <c r="G1497" s="2" t="s">
        <v>11563</v>
      </c>
      <c r="H1497" s="2" t="s">
        <v>11564</v>
      </c>
      <c r="I1497" s="2" t="s">
        <v>330</v>
      </c>
      <c r="J1497" s="2" t="s">
        <v>132</v>
      </c>
      <c r="K1497" s="2" t="s">
        <v>11561</v>
      </c>
      <c r="L1497" s="2" t="s">
        <v>330</v>
      </c>
      <c r="M1497" s="2" t="s">
        <v>11564</v>
      </c>
      <c r="N1497" s="2" t="s">
        <v>11565</v>
      </c>
      <c r="O1497" s="2"/>
      <c r="P1497" s="2" t="s">
        <v>37</v>
      </c>
      <c r="Q1497" s="4" t="n">
        <v>2834</v>
      </c>
      <c r="R1497" s="2" t="s">
        <v>2201</v>
      </c>
      <c r="S1497" s="2" t="s">
        <v>39</v>
      </c>
      <c r="T1497" s="2" t="s">
        <v>40</v>
      </c>
      <c r="U1497" s="2" t="s">
        <v>11566</v>
      </c>
      <c r="V1497" s="2"/>
      <c r="W1497" s="2" t="s">
        <v>42</v>
      </c>
      <c r="X1497" s="2" t="s">
        <v>43</v>
      </c>
      <c r="Y1497" s="2" t="s">
        <v>37</v>
      </c>
      <c r="Z1497" s="2" t="s">
        <v>44</v>
      </c>
      <c r="AA1497" s="2"/>
      <c r="AB1497" s="2"/>
      <c r="AC1497" s="2" t="s">
        <v>11567</v>
      </c>
      <c r="AD1497" s="2" t="s">
        <v>46</v>
      </c>
    </row>
    <row r="1498" customFormat="false" ht="15.7" hidden="false" customHeight="true" outlineLevel="0" collapsed="false">
      <c r="A1498" s="2"/>
      <c r="B1498" s="3" t="n">
        <f aca="false">DATE(2010,7,7)</f>
        <v>0</v>
      </c>
      <c r="C1498" s="3" t="n">
        <v>40366</v>
      </c>
      <c r="D1498" s="2" t="s">
        <v>11568</v>
      </c>
      <c r="F1498" s="2" t="s">
        <v>1865</v>
      </c>
      <c r="G1498" s="2" t="s">
        <v>11569</v>
      </c>
      <c r="H1498" s="2" t="s">
        <v>130</v>
      </c>
      <c r="I1498" s="2" t="s">
        <v>568</v>
      </c>
      <c r="J1498" s="2" t="s">
        <v>65</v>
      </c>
      <c r="K1498" s="2" t="s">
        <v>11570</v>
      </c>
      <c r="L1498" s="2" t="s">
        <v>568</v>
      </c>
      <c r="M1498" s="2" t="s">
        <v>63</v>
      </c>
      <c r="N1498" s="2" t="s">
        <v>11571</v>
      </c>
      <c r="O1498" s="2"/>
      <c r="P1498" s="2" t="s">
        <v>37</v>
      </c>
      <c r="Q1498" s="4" t="n">
        <v>2834</v>
      </c>
      <c r="R1498" s="2" t="s">
        <v>136</v>
      </c>
      <c r="S1498" s="2" t="s">
        <v>39</v>
      </c>
      <c r="T1498" s="2" t="s">
        <v>403</v>
      </c>
      <c r="U1498" s="2" t="s">
        <v>11572</v>
      </c>
      <c r="V1498" s="2"/>
      <c r="W1498" s="2" t="s">
        <v>42</v>
      </c>
      <c r="X1498" s="2" t="s">
        <v>43</v>
      </c>
      <c r="Y1498" s="2" t="s">
        <v>37</v>
      </c>
      <c r="Z1498" s="2" t="s">
        <v>44</v>
      </c>
      <c r="AA1498" s="2"/>
      <c r="AB1498" s="2"/>
      <c r="AC1498" s="2" t="s">
        <v>11573</v>
      </c>
      <c r="AD1498" s="2" t="s">
        <v>46</v>
      </c>
    </row>
    <row r="1499" customFormat="false" ht="15.7" hidden="false" customHeight="true" outlineLevel="0" collapsed="false">
      <c r="A1499" s="2"/>
      <c r="B1499" s="3" t="n">
        <f aca="false">DATE(2010,7,12)</f>
        <v>0</v>
      </c>
      <c r="C1499" s="3" t="n">
        <v>40371</v>
      </c>
      <c r="D1499" s="2" t="s">
        <v>11574</v>
      </c>
      <c r="F1499" s="2" t="s">
        <v>11575</v>
      </c>
      <c r="G1499" s="2" t="s">
        <v>11576</v>
      </c>
      <c r="H1499" s="2" t="s">
        <v>1271</v>
      </c>
      <c r="I1499" s="2" t="s">
        <v>11577</v>
      </c>
      <c r="J1499" s="2" t="s">
        <v>35</v>
      </c>
      <c r="K1499" s="2" t="s">
        <v>11574</v>
      </c>
      <c r="L1499" s="2" t="s">
        <v>11577</v>
      </c>
      <c r="M1499" s="2" t="s">
        <v>1271</v>
      </c>
      <c r="N1499" s="2" t="s">
        <v>11578</v>
      </c>
      <c r="O1499" s="2"/>
      <c r="P1499" s="2" t="s">
        <v>37</v>
      </c>
      <c r="Q1499" s="4" t="n">
        <v>2834</v>
      </c>
      <c r="R1499" s="2" t="s">
        <v>136</v>
      </c>
      <c r="S1499" s="2" t="s">
        <v>39</v>
      </c>
      <c r="T1499" s="2" t="s">
        <v>403</v>
      </c>
      <c r="U1499" s="2" t="s">
        <v>11579</v>
      </c>
      <c r="V1499" s="2"/>
      <c r="W1499" s="2" t="s">
        <v>42</v>
      </c>
      <c r="X1499" s="2" t="s">
        <v>43</v>
      </c>
      <c r="Y1499" s="2" t="s">
        <v>37</v>
      </c>
      <c r="Z1499" s="2" t="s">
        <v>44</v>
      </c>
      <c r="AA1499" s="2"/>
      <c r="AB1499" s="2"/>
      <c r="AC1499" s="2" t="s">
        <v>11580</v>
      </c>
      <c r="AD1499" s="2" t="s">
        <v>46</v>
      </c>
    </row>
    <row r="1500" customFormat="false" ht="15.7" hidden="false" customHeight="true" outlineLevel="0" collapsed="false">
      <c r="A1500" s="2"/>
      <c r="B1500" s="3" t="n">
        <f aca="false">DATE(2010,7,12)</f>
        <v>0</v>
      </c>
      <c r="C1500" s="3" t="n">
        <v>40371</v>
      </c>
      <c r="D1500" s="2" t="s">
        <v>11581</v>
      </c>
      <c r="F1500" s="2" t="s">
        <v>1254</v>
      </c>
      <c r="G1500" s="2" t="s">
        <v>11582</v>
      </c>
      <c r="H1500" s="2" t="s">
        <v>305</v>
      </c>
      <c r="I1500" s="2" t="s">
        <v>330</v>
      </c>
      <c r="J1500" s="2" t="s">
        <v>258</v>
      </c>
      <c r="K1500" s="2" t="s">
        <v>11583</v>
      </c>
      <c r="L1500" s="2" t="s">
        <v>11584</v>
      </c>
      <c r="M1500" s="2" t="s">
        <v>523</v>
      </c>
      <c r="N1500" s="2" t="s">
        <v>11585</v>
      </c>
      <c r="O1500" s="2"/>
      <c r="P1500" s="2" t="s">
        <v>37</v>
      </c>
      <c r="Q1500" s="4" t="n">
        <v>2834</v>
      </c>
      <c r="R1500" s="2" t="s">
        <v>56</v>
      </c>
      <c r="S1500" s="2" t="s">
        <v>2265</v>
      </c>
      <c r="T1500" s="2" t="s">
        <v>40</v>
      </c>
      <c r="U1500" s="2" t="s">
        <v>11586</v>
      </c>
      <c r="V1500" s="2"/>
      <c r="W1500" s="2" t="s">
        <v>42</v>
      </c>
      <c r="X1500" s="2" t="s">
        <v>46</v>
      </c>
      <c r="Y1500" s="2" t="s">
        <v>37</v>
      </c>
      <c r="Z1500" s="2" t="s">
        <v>362</v>
      </c>
      <c r="AA1500" s="2"/>
      <c r="AB1500" s="2"/>
      <c r="AC1500" s="2" t="s">
        <v>11587</v>
      </c>
      <c r="AD1500" s="2" t="s">
        <v>46</v>
      </c>
    </row>
    <row r="1501" customFormat="false" ht="15.7" hidden="false" customHeight="true" outlineLevel="0" collapsed="false">
      <c r="A1501" s="2"/>
      <c r="B1501" s="3" t="n">
        <f aca="false">DATE(2010,7,12)</f>
        <v>0</v>
      </c>
      <c r="C1501" s="3" t="n">
        <v>40371</v>
      </c>
      <c r="D1501" s="2" t="s">
        <v>11588</v>
      </c>
      <c r="F1501" s="2" t="s">
        <v>11589</v>
      </c>
      <c r="G1501" s="2" t="s">
        <v>11590</v>
      </c>
      <c r="H1501" s="2" t="s">
        <v>11591</v>
      </c>
      <c r="I1501" s="2" t="s">
        <v>664</v>
      </c>
      <c r="J1501" s="2" t="s">
        <v>1897</v>
      </c>
      <c r="K1501" s="2" t="s">
        <v>11588</v>
      </c>
      <c r="L1501" s="2" t="s">
        <v>664</v>
      </c>
      <c r="M1501" s="2" t="s">
        <v>11591</v>
      </c>
      <c r="N1501" s="2" t="s">
        <v>11592</v>
      </c>
      <c r="O1501" s="2"/>
      <c r="P1501" s="2" t="s">
        <v>37</v>
      </c>
      <c r="Q1501" s="4" t="n">
        <v>8731</v>
      </c>
      <c r="R1501" s="2" t="s">
        <v>136</v>
      </c>
      <c r="S1501" s="2" t="s">
        <v>39</v>
      </c>
      <c r="T1501" s="2" t="s">
        <v>40</v>
      </c>
      <c r="U1501" s="2" t="s">
        <v>11593</v>
      </c>
      <c r="V1501" s="2"/>
      <c r="W1501" s="2" t="s">
        <v>42</v>
      </c>
      <c r="X1501" s="2" t="s">
        <v>43</v>
      </c>
      <c r="Y1501" s="2" t="s">
        <v>37</v>
      </c>
      <c r="Z1501" s="2" t="s">
        <v>44</v>
      </c>
      <c r="AA1501" s="2"/>
      <c r="AB1501" s="2"/>
      <c r="AC1501" s="2" t="s">
        <v>11594</v>
      </c>
      <c r="AD1501" s="2" t="s">
        <v>46</v>
      </c>
    </row>
    <row r="1502" customFormat="false" ht="15.7" hidden="false" customHeight="true" outlineLevel="0" collapsed="false">
      <c r="A1502" s="2"/>
      <c r="B1502" s="3" t="n">
        <f aca="false">DATE(2010,7,12)</f>
        <v>0</v>
      </c>
      <c r="C1502" s="3" t="n">
        <v>40371</v>
      </c>
      <c r="D1502" s="2" t="s">
        <v>11595</v>
      </c>
      <c r="F1502" s="2" t="s">
        <v>11596</v>
      </c>
      <c r="G1502" s="2" t="s">
        <v>11597</v>
      </c>
      <c r="H1502" s="2" t="s">
        <v>11598</v>
      </c>
      <c r="I1502" s="2" t="s">
        <v>369</v>
      </c>
      <c r="J1502" s="2" t="s">
        <v>35</v>
      </c>
      <c r="K1502" s="2" t="s">
        <v>11599</v>
      </c>
      <c r="L1502" s="2" t="s">
        <v>369</v>
      </c>
      <c r="M1502" s="2" t="s">
        <v>11600</v>
      </c>
      <c r="N1502" s="2" t="s">
        <v>11601</v>
      </c>
      <c r="O1502" s="2"/>
      <c r="P1502" s="2" t="s">
        <v>37</v>
      </c>
      <c r="Q1502" s="4" t="n">
        <v>2899</v>
      </c>
      <c r="R1502" s="2" t="s">
        <v>105</v>
      </c>
      <c r="S1502" s="2" t="s">
        <v>39</v>
      </c>
      <c r="T1502" s="2" t="s">
        <v>403</v>
      </c>
      <c r="U1502" s="2" t="s">
        <v>11602</v>
      </c>
      <c r="V1502" s="2"/>
      <c r="W1502" s="2" t="s">
        <v>42</v>
      </c>
      <c r="X1502" s="2" t="s">
        <v>46</v>
      </c>
      <c r="Y1502" s="2" t="s">
        <v>37</v>
      </c>
      <c r="Z1502" s="2" t="s">
        <v>362</v>
      </c>
      <c r="AA1502" s="2"/>
      <c r="AB1502" s="2"/>
      <c r="AC1502" s="2" t="s">
        <v>11603</v>
      </c>
      <c r="AD1502" s="2" t="s">
        <v>46</v>
      </c>
    </row>
    <row r="1503" customFormat="false" ht="15.7" hidden="false" customHeight="true" outlineLevel="0" collapsed="false">
      <c r="A1503" s="2"/>
      <c r="B1503" s="3" t="n">
        <f aca="false">DATE(2010,7,12)</f>
        <v>0</v>
      </c>
      <c r="C1503" s="3" t="n">
        <v>40371</v>
      </c>
      <c r="D1503" s="2" t="s">
        <v>11604</v>
      </c>
      <c r="F1503" s="2" t="s">
        <v>11605</v>
      </c>
      <c r="G1503" s="2" t="s">
        <v>11606</v>
      </c>
      <c r="H1503" s="2" t="s">
        <v>523</v>
      </c>
      <c r="I1503" s="2" t="s">
        <v>330</v>
      </c>
      <c r="J1503" s="2" t="s">
        <v>4616</v>
      </c>
      <c r="K1503" s="2" t="s">
        <v>11604</v>
      </c>
      <c r="L1503" s="2" t="s">
        <v>330</v>
      </c>
      <c r="M1503" s="2" t="s">
        <v>523</v>
      </c>
      <c r="N1503" s="2" t="s">
        <v>11607</v>
      </c>
      <c r="O1503" s="2"/>
      <c r="P1503" s="2" t="s">
        <v>37</v>
      </c>
      <c r="Q1503" s="4" t="n">
        <v>2834</v>
      </c>
      <c r="R1503" s="2" t="s">
        <v>136</v>
      </c>
      <c r="S1503" s="2" t="s">
        <v>39</v>
      </c>
      <c r="T1503" s="2" t="s">
        <v>403</v>
      </c>
      <c r="U1503" s="2" t="s">
        <v>11608</v>
      </c>
      <c r="V1503" s="2"/>
      <c r="W1503" s="2" t="s">
        <v>42</v>
      </c>
      <c r="X1503" s="2" t="s">
        <v>46</v>
      </c>
      <c r="Y1503" s="2" t="s">
        <v>37</v>
      </c>
      <c r="Z1503" s="2" t="s">
        <v>362</v>
      </c>
      <c r="AA1503" s="2"/>
      <c r="AB1503" s="2"/>
      <c r="AC1503" s="2" t="s">
        <v>11609</v>
      </c>
      <c r="AD1503" s="2" t="s">
        <v>46</v>
      </c>
    </row>
    <row r="1504" customFormat="false" ht="15.7" hidden="false" customHeight="true" outlineLevel="0" collapsed="false">
      <c r="A1504" s="2"/>
      <c r="B1504" s="3" t="n">
        <f aca="false">DATE(2010,7,28)</f>
        <v>0</v>
      </c>
      <c r="C1504" s="3" t="n">
        <v>40387</v>
      </c>
      <c r="D1504" s="2" t="s">
        <v>11610</v>
      </c>
      <c r="F1504" s="2" t="s">
        <v>11611</v>
      </c>
      <c r="G1504" s="2" t="s">
        <v>11612</v>
      </c>
      <c r="H1504" s="2" t="s">
        <v>11613</v>
      </c>
      <c r="I1504" s="2" t="s">
        <v>8387</v>
      </c>
      <c r="J1504" s="2" t="s">
        <v>35</v>
      </c>
      <c r="K1504" s="2" t="s">
        <v>11610</v>
      </c>
      <c r="L1504" s="2" t="s">
        <v>8387</v>
      </c>
      <c r="M1504" s="2" t="s">
        <v>11613</v>
      </c>
      <c r="N1504" s="2" t="s">
        <v>11614</v>
      </c>
      <c r="O1504" s="2"/>
      <c r="P1504" s="2" t="s">
        <v>37</v>
      </c>
      <c r="Q1504" s="4" t="n">
        <v>3399</v>
      </c>
      <c r="R1504" s="2" t="s">
        <v>1402</v>
      </c>
      <c r="S1504" s="2" t="s">
        <v>39</v>
      </c>
      <c r="T1504" s="2" t="s">
        <v>403</v>
      </c>
      <c r="U1504" s="2" t="s">
        <v>11615</v>
      </c>
      <c r="V1504" s="2"/>
      <c r="W1504" s="2" t="s">
        <v>42</v>
      </c>
      <c r="X1504" s="2" t="s">
        <v>46</v>
      </c>
      <c r="Y1504" s="2" t="s">
        <v>37</v>
      </c>
      <c r="Z1504" s="2" t="s">
        <v>362</v>
      </c>
      <c r="AA1504" s="2"/>
      <c r="AB1504" s="2"/>
      <c r="AC1504" s="2" t="s">
        <v>11616</v>
      </c>
      <c r="AD1504" s="2" t="s">
        <v>46</v>
      </c>
    </row>
    <row r="1505" customFormat="false" ht="15.7" hidden="false" customHeight="true" outlineLevel="0" collapsed="false">
      <c r="A1505" s="2"/>
      <c r="B1505" s="3" t="n">
        <f aca="false">DATE(2010,7,29)</f>
        <v>0</v>
      </c>
      <c r="C1505" s="3" t="n">
        <v>40388</v>
      </c>
      <c r="D1505" s="2" t="s">
        <v>11617</v>
      </c>
      <c r="F1505" s="2" t="s">
        <v>11618</v>
      </c>
      <c r="G1505" s="2" t="s">
        <v>11619</v>
      </c>
      <c r="H1505" s="2" t="s">
        <v>11620</v>
      </c>
      <c r="I1505" s="2" t="s">
        <v>670</v>
      </c>
      <c r="J1505" s="2" t="s">
        <v>514</v>
      </c>
      <c r="K1505" s="2" t="s">
        <v>11621</v>
      </c>
      <c r="L1505" s="2" t="s">
        <v>670</v>
      </c>
      <c r="M1505" s="2" t="s">
        <v>130</v>
      </c>
      <c r="N1505" s="2" t="s">
        <v>11622</v>
      </c>
      <c r="O1505" s="2"/>
      <c r="P1505" s="2" t="s">
        <v>37</v>
      </c>
      <c r="Q1505" s="4" t="n">
        <v>2834</v>
      </c>
      <c r="R1505" s="2" t="s">
        <v>402</v>
      </c>
      <c r="S1505" s="2" t="s">
        <v>39</v>
      </c>
      <c r="T1505" s="2" t="s">
        <v>403</v>
      </c>
      <c r="U1505" s="2" t="s">
        <v>11623</v>
      </c>
      <c r="V1505" s="2"/>
      <c r="W1505" s="2" t="s">
        <v>42</v>
      </c>
      <c r="X1505" s="2" t="s">
        <v>46</v>
      </c>
      <c r="Y1505" s="2" t="s">
        <v>37</v>
      </c>
      <c r="Z1505" s="2" t="s">
        <v>362</v>
      </c>
      <c r="AA1505" s="2"/>
      <c r="AB1505" s="2"/>
      <c r="AC1505" s="2" t="s">
        <v>11624</v>
      </c>
      <c r="AD1505" s="2" t="s">
        <v>46</v>
      </c>
    </row>
    <row r="1506" customFormat="false" ht="15.7" hidden="false" customHeight="true" outlineLevel="0" collapsed="false">
      <c r="A1506" s="2"/>
      <c r="B1506" s="3" t="n">
        <f aca="false">DATE(2010,8,4)</f>
        <v>0</v>
      </c>
      <c r="C1506" s="3" t="n">
        <v>40394</v>
      </c>
      <c r="D1506" s="2" t="s">
        <v>11625</v>
      </c>
      <c r="F1506" s="2" t="s">
        <v>11626</v>
      </c>
      <c r="G1506" s="2" t="s">
        <v>11627</v>
      </c>
      <c r="H1506" s="2" t="s">
        <v>11628</v>
      </c>
      <c r="I1506" s="2" t="s">
        <v>670</v>
      </c>
      <c r="J1506" s="2" t="s">
        <v>65</v>
      </c>
      <c r="K1506" s="2" t="s">
        <v>11625</v>
      </c>
      <c r="L1506" s="2" t="s">
        <v>670</v>
      </c>
      <c r="M1506" s="2" t="s">
        <v>11628</v>
      </c>
      <c r="N1506" s="2" t="s">
        <v>11629</v>
      </c>
      <c r="O1506" s="2"/>
      <c r="P1506" s="2" t="s">
        <v>37</v>
      </c>
      <c r="Q1506" s="4" t="n">
        <v>3845</v>
      </c>
      <c r="R1506" s="2" t="s">
        <v>402</v>
      </c>
      <c r="S1506" s="2" t="s">
        <v>39</v>
      </c>
      <c r="T1506" s="2" t="s">
        <v>403</v>
      </c>
      <c r="U1506" s="2" t="s">
        <v>11630</v>
      </c>
      <c r="V1506" s="2"/>
      <c r="W1506" s="2" t="s">
        <v>1050</v>
      </c>
      <c r="X1506" s="2" t="s">
        <v>46</v>
      </c>
      <c r="Y1506" s="2" t="s">
        <v>37</v>
      </c>
      <c r="Z1506" s="2" t="s">
        <v>362</v>
      </c>
      <c r="AA1506" s="2"/>
      <c r="AB1506" s="2"/>
      <c r="AC1506" s="2" t="s">
        <v>11631</v>
      </c>
      <c r="AD1506" s="2" t="s">
        <v>46</v>
      </c>
    </row>
    <row r="1507" customFormat="false" ht="15.7" hidden="false" customHeight="true" outlineLevel="0" collapsed="false">
      <c r="A1507" s="2"/>
      <c r="B1507" s="3" t="n">
        <f aca="false">DATE(2010,8,6)</f>
        <v>0</v>
      </c>
      <c r="C1507" s="3" t="n">
        <v>40396</v>
      </c>
      <c r="D1507" s="2" t="s">
        <v>11632</v>
      </c>
      <c r="F1507" s="2" t="s">
        <v>2814</v>
      </c>
      <c r="G1507" s="2" t="s">
        <v>11633</v>
      </c>
      <c r="H1507" s="2" t="s">
        <v>551</v>
      </c>
      <c r="I1507" s="2" t="s">
        <v>7116</v>
      </c>
      <c r="J1507" s="2" t="s">
        <v>514</v>
      </c>
      <c r="K1507" s="2" t="s">
        <v>11632</v>
      </c>
      <c r="L1507" s="2" t="s">
        <v>7116</v>
      </c>
      <c r="M1507" s="2" t="s">
        <v>551</v>
      </c>
      <c r="N1507" s="2" t="s">
        <v>11634</v>
      </c>
      <c r="O1507" s="2"/>
      <c r="P1507" s="2" t="s">
        <v>37</v>
      </c>
      <c r="Q1507" s="4" t="n">
        <v>8731</v>
      </c>
      <c r="R1507" s="2" t="s">
        <v>9292</v>
      </c>
      <c r="S1507" s="2" t="s">
        <v>39</v>
      </c>
      <c r="T1507" s="2" t="s">
        <v>403</v>
      </c>
      <c r="U1507" s="2" t="s">
        <v>11635</v>
      </c>
      <c r="V1507" s="2"/>
      <c r="W1507" s="2" t="s">
        <v>42</v>
      </c>
      <c r="X1507" s="2" t="s">
        <v>46</v>
      </c>
      <c r="Y1507" s="2" t="s">
        <v>37</v>
      </c>
      <c r="Z1507" s="2" t="s">
        <v>987</v>
      </c>
      <c r="AA1507" s="2" t="s">
        <v>11636</v>
      </c>
      <c r="AB1507" s="2"/>
      <c r="AC1507" s="2" t="s">
        <v>11637</v>
      </c>
      <c r="AD1507" s="2" t="s">
        <v>46</v>
      </c>
    </row>
    <row r="1508" customFormat="false" ht="15.7" hidden="false" customHeight="true" outlineLevel="0" collapsed="false">
      <c r="A1508" s="2"/>
      <c r="B1508" s="3" t="n">
        <f aca="false">DATE(2010,8,13)</f>
        <v>0</v>
      </c>
      <c r="C1508" s="3" t="n">
        <v>40403</v>
      </c>
      <c r="D1508" s="2" t="s">
        <v>11638</v>
      </c>
      <c r="F1508" s="2" t="s">
        <v>11639</v>
      </c>
      <c r="G1508" s="2" t="s">
        <v>11640</v>
      </c>
      <c r="H1508" s="2" t="s">
        <v>11641</v>
      </c>
      <c r="I1508" s="2" t="s">
        <v>51</v>
      </c>
      <c r="J1508" s="2" t="s">
        <v>6373</v>
      </c>
      <c r="K1508" s="2" t="s">
        <v>11638</v>
      </c>
      <c r="L1508" s="2" t="s">
        <v>51</v>
      </c>
      <c r="M1508" s="2" t="s">
        <v>11641</v>
      </c>
      <c r="N1508" s="2" t="s">
        <v>11642</v>
      </c>
      <c r="O1508" s="2"/>
      <c r="P1508" s="2" t="s">
        <v>37</v>
      </c>
      <c r="Q1508" s="4" t="n">
        <v>2834</v>
      </c>
      <c r="R1508" s="2" t="s">
        <v>56</v>
      </c>
      <c r="S1508" s="2" t="s">
        <v>2265</v>
      </c>
      <c r="T1508" s="2" t="s">
        <v>403</v>
      </c>
      <c r="U1508" s="2" t="s">
        <v>11643</v>
      </c>
      <c r="V1508" s="2"/>
      <c r="W1508" s="2" t="s">
        <v>42</v>
      </c>
      <c r="X1508" s="2" t="s">
        <v>46</v>
      </c>
      <c r="Y1508" s="2" t="s">
        <v>37</v>
      </c>
      <c r="Z1508" s="2" t="s">
        <v>362</v>
      </c>
      <c r="AA1508" s="2"/>
      <c r="AB1508" s="2"/>
      <c r="AC1508" s="2" t="s">
        <v>11644</v>
      </c>
      <c r="AD1508" s="2" t="s">
        <v>46</v>
      </c>
    </row>
    <row r="1509" customFormat="false" ht="15.7" hidden="false" customHeight="true" outlineLevel="0" collapsed="false">
      <c r="A1509" s="2"/>
      <c r="B1509" s="3" t="n">
        <f aca="false">DATE(2010,8,31)</f>
        <v>0</v>
      </c>
      <c r="C1509" s="3" t="n">
        <v>40421</v>
      </c>
      <c r="D1509" s="2" t="s">
        <v>11645</v>
      </c>
      <c r="F1509" s="2" t="s">
        <v>11646</v>
      </c>
      <c r="G1509" s="2" t="s">
        <v>11647</v>
      </c>
      <c r="H1509" s="2" t="s">
        <v>1101</v>
      </c>
      <c r="I1509" s="2" t="s">
        <v>4553</v>
      </c>
      <c r="J1509" s="2" t="s">
        <v>35</v>
      </c>
      <c r="K1509" s="2" t="s">
        <v>11648</v>
      </c>
      <c r="L1509" s="2" t="s">
        <v>4553</v>
      </c>
      <c r="M1509" s="2" t="s">
        <v>1027</v>
      </c>
      <c r="N1509" s="2" t="s">
        <v>11649</v>
      </c>
      <c r="O1509" s="2"/>
      <c r="P1509" s="2" t="s">
        <v>37</v>
      </c>
      <c r="Q1509" s="4" t="n">
        <v>8731</v>
      </c>
      <c r="R1509" s="2" t="s">
        <v>136</v>
      </c>
      <c r="S1509" s="2" t="s">
        <v>39</v>
      </c>
      <c r="T1509" s="2" t="s">
        <v>40</v>
      </c>
      <c r="U1509" s="2" t="s">
        <v>11650</v>
      </c>
      <c r="V1509" s="2"/>
      <c r="W1509" s="2" t="s">
        <v>697</v>
      </c>
      <c r="X1509" s="2" t="s">
        <v>43</v>
      </c>
      <c r="Y1509" s="2" t="s">
        <v>37</v>
      </c>
      <c r="Z1509" s="2" t="s">
        <v>44</v>
      </c>
      <c r="AA1509" s="2"/>
      <c r="AB1509" s="2"/>
      <c r="AC1509" s="2" t="s">
        <v>11651</v>
      </c>
      <c r="AD1509" s="2" t="s">
        <v>46</v>
      </c>
    </row>
    <row r="1510" customFormat="false" ht="15.7" hidden="false" customHeight="true" outlineLevel="0" collapsed="false">
      <c r="A1510" s="2"/>
      <c r="B1510" s="3" t="n">
        <f aca="false">DATE(2010,8,31)</f>
        <v>0</v>
      </c>
      <c r="C1510" s="3" t="n">
        <v>40421</v>
      </c>
      <c r="D1510" s="2" t="s">
        <v>11652</v>
      </c>
      <c r="F1510" s="2" t="s">
        <v>11653</v>
      </c>
      <c r="G1510" s="2" t="s">
        <v>11654</v>
      </c>
      <c r="H1510" s="2" t="s">
        <v>3313</v>
      </c>
      <c r="I1510" s="2" t="s">
        <v>1904</v>
      </c>
      <c r="J1510" s="2" t="s">
        <v>4399</v>
      </c>
      <c r="K1510" s="2" t="s">
        <v>11652</v>
      </c>
      <c r="L1510" s="2" t="s">
        <v>1904</v>
      </c>
      <c r="M1510" s="2" t="s">
        <v>3313</v>
      </c>
      <c r="N1510" s="2" t="s">
        <v>11655</v>
      </c>
      <c r="O1510" s="2" t="s">
        <v>11656</v>
      </c>
      <c r="P1510" s="2" t="s">
        <v>37</v>
      </c>
      <c r="Q1510" s="4" t="n">
        <v>2835</v>
      </c>
      <c r="R1510" s="2" t="s">
        <v>56</v>
      </c>
      <c r="S1510" s="2" t="s">
        <v>10955</v>
      </c>
      <c r="T1510" s="2" t="s">
        <v>40</v>
      </c>
      <c r="U1510" s="2" t="s">
        <v>11657</v>
      </c>
      <c r="V1510" s="2"/>
      <c r="W1510" s="2" t="s">
        <v>42</v>
      </c>
      <c r="X1510" s="2" t="s">
        <v>46</v>
      </c>
      <c r="Y1510" s="2" t="s">
        <v>37</v>
      </c>
      <c r="Z1510" s="2" t="s">
        <v>362</v>
      </c>
      <c r="AA1510" s="2" t="s">
        <v>11658</v>
      </c>
      <c r="AB1510" s="2" t="s">
        <v>11659</v>
      </c>
      <c r="AC1510" s="2" t="s">
        <v>11660</v>
      </c>
      <c r="AD1510" s="2" t="s">
        <v>46</v>
      </c>
    </row>
    <row r="1511" customFormat="false" ht="15.7" hidden="false" customHeight="true" outlineLevel="0" collapsed="false">
      <c r="A1511" s="2"/>
      <c r="B1511" s="3" t="n">
        <f aca="false">DATE(2010,9,2)</f>
        <v>0</v>
      </c>
      <c r="C1511" s="3" t="n">
        <v>40423</v>
      </c>
      <c r="D1511" s="2" t="s">
        <v>11661</v>
      </c>
      <c r="F1511" s="2" t="s">
        <v>11662</v>
      </c>
      <c r="G1511" s="2" t="s">
        <v>11663</v>
      </c>
      <c r="H1511" s="2" t="s">
        <v>1340</v>
      </c>
      <c r="I1511" s="2" t="s">
        <v>51</v>
      </c>
      <c r="J1511" s="2" t="s">
        <v>11664</v>
      </c>
      <c r="K1511" s="2" t="s">
        <v>11665</v>
      </c>
      <c r="L1511" s="2" t="s">
        <v>51</v>
      </c>
      <c r="M1511" s="2" t="s">
        <v>1343</v>
      </c>
      <c r="N1511" s="2" t="s">
        <v>11666</v>
      </c>
      <c r="O1511" s="2"/>
      <c r="P1511" s="2" t="s">
        <v>37</v>
      </c>
      <c r="Q1511" s="4" t="n">
        <v>8731</v>
      </c>
      <c r="R1511" s="2" t="s">
        <v>136</v>
      </c>
      <c r="S1511" s="2" t="s">
        <v>39</v>
      </c>
      <c r="T1511" s="2" t="s">
        <v>40</v>
      </c>
      <c r="U1511" s="2" t="s">
        <v>11667</v>
      </c>
      <c r="V1511" s="2"/>
      <c r="W1511" s="2" t="s">
        <v>138</v>
      </c>
      <c r="X1511" s="2" t="s">
        <v>43</v>
      </c>
      <c r="Y1511" s="2" t="s">
        <v>37</v>
      </c>
      <c r="Z1511" s="2" t="s">
        <v>44</v>
      </c>
      <c r="AA1511" s="2"/>
      <c r="AB1511" s="2"/>
      <c r="AC1511" s="2" t="s">
        <v>11668</v>
      </c>
      <c r="AD1511" s="2" t="s">
        <v>46</v>
      </c>
    </row>
    <row r="1512" customFormat="false" ht="15.7" hidden="false" customHeight="true" outlineLevel="0" collapsed="false">
      <c r="A1512" s="2"/>
      <c r="B1512" s="3" t="n">
        <f aca="false">DATE(2010,9,2)</f>
        <v>0</v>
      </c>
      <c r="C1512" s="3" t="n">
        <v>40423</v>
      </c>
      <c r="D1512" s="2" t="s">
        <v>11669</v>
      </c>
      <c r="F1512" s="2" t="s">
        <v>11670</v>
      </c>
      <c r="G1512" s="2" t="s">
        <v>11671</v>
      </c>
      <c r="H1512" s="2" t="s">
        <v>5386</v>
      </c>
      <c r="I1512" s="2" t="s">
        <v>664</v>
      </c>
      <c r="J1512" s="2" t="s">
        <v>3303</v>
      </c>
      <c r="K1512" s="2" t="s">
        <v>11669</v>
      </c>
      <c r="L1512" s="2" t="s">
        <v>664</v>
      </c>
      <c r="M1512" s="2" t="s">
        <v>5386</v>
      </c>
      <c r="N1512" s="2" t="s">
        <v>11672</v>
      </c>
      <c r="O1512" s="2"/>
      <c r="P1512" s="2" t="s">
        <v>37</v>
      </c>
      <c r="Q1512" s="4" t="n">
        <v>8731</v>
      </c>
      <c r="R1512" s="2" t="s">
        <v>136</v>
      </c>
      <c r="S1512" s="2" t="s">
        <v>39</v>
      </c>
      <c r="T1512" s="2" t="s">
        <v>40</v>
      </c>
      <c r="U1512" s="2" t="s">
        <v>11673</v>
      </c>
      <c r="V1512" s="2"/>
      <c r="W1512" s="2" t="s">
        <v>42</v>
      </c>
      <c r="X1512" s="2" t="s">
        <v>43</v>
      </c>
      <c r="Y1512" s="2" t="s">
        <v>37</v>
      </c>
      <c r="Z1512" s="2" t="s">
        <v>44</v>
      </c>
      <c r="AA1512" s="2"/>
      <c r="AB1512" s="2"/>
      <c r="AC1512" s="2" t="s">
        <v>11674</v>
      </c>
      <c r="AD1512" s="2" t="s">
        <v>46</v>
      </c>
    </row>
    <row r="1513" customFormat="false" ht="15.7" hidden="false" customHeight="true" outlineLevel="0" collapsed="false">
      <c r="A1513" s="2"/>
      <c r="B1513" s="3" t="n">
        <f aca="false">DATE(2010,9,2)</f>
        <v>0</v>
      </c>
      <c r="C1513" s="3" t="n">
        <v>40423</v>
      </c>
      <c r="D1513" s="2" t="s">
        <v>11675</v>
      </c>
      <c r="F1513" s="2" t="s">
        <v>2761</v>
      </c>
      <c r="G1513" s="2" t="s">
        <v>11676</v>
      </c>
      <c r="H1513" s="2" t="s">
        <v>130</v>
      </c>
      <c r="I1513" s="2" t="s">
        <v>219</v>
      </c>
      <c r="J1513" s="2" t="s">
        <v>65</v>
      </c>
      <c r="K1513" s="2" t="s">
        <v>11675</v>
      </c>
      <c r="L1513" s="2" t="s">
        <v>219</v>
      </c>
      <c r="M1513" s="2" t="s">
        <v>130</v>
      </c>
      <c r="N1513" s="2" t="s">
        <v>11677</v>
      </c>
      <c r="O1513" s="2"/>
      <c r="P1513" s="2" t="s">
        <v>37</v>
      </c>
      <c r="Q1513" s="4" t="n">
        <v>2834</v>
      </c>
      <c r="R1513" s="2" t="s">
        <v>136</v>
      </c>
      <c r="S1513" s="2" t="s">
        <v>39</v>
      </c>
      <c r="T1513" s="2" t="s">
        <v>40</v>
      </c>
      <c r="U1513" s="2" t="s">
        <v>11678</v>
      </c>
      <c r="V1513" s="2"/>
      <c r="W1513" s="2" t="s">
        <v>42</v>
      </c>
      <c r="X1513" s="2" t="s">
        <v>43</v>
      </c>
      <c r="Y1513" s="2" t="s">
        <v>37</v>
      </c>
      <c r="Z1513" s="2" t="s">
        <v>44</v>
      </c>
      <c r="AA1513" s="2"/>
      <c r="AB1513" s="2"/>
      <c r="AC1513" s="2" t="s">
        <v>11679</v>
      </c>
      <c r="AD1513" s="2" t="s">
        <v>46</v>
      </c>
    </row>
    <row r="1514" customFormat="false" ht="15.7" hidden="false" customHeight="true" outlineLevel="0" collapsed="false">
      <c r="A1514" s="2"/>
      <c r="B1514" s="3" t="n">
        <f aca="false">DATE(2010,9,15)</f>
        <v>0</v>
      </c>
      <c r="C1514" s="3" t="n">
        <v>40436</v>
      </c>
      <c r="D1514" s="2" t="s">
        <v>11680</v>
      </c>
      <c r="F1514" s="2" t="s">
        <v>3087</v>
      </c>
      <c r="G1514" s="2" t="s">
        <v>11681</v>
      </c>
      <c r="H1514" s="2" t="s">
        <v>1020</v>
      </c>
      <c r="I1514" s="2" t="s">
        <v>388</v>
      </c>
      <c r="J1514" s="2" t="s">
        <v>1413</v>
      </c>
      <c r="K1514" s="2" t="s">
        <v>11680</v>
      </c>
      <c r="L1514" s="2" t="s">
        <v>388</v>
      </c>
      <c r="M1514" s="2" t="s">
        <v>1020</v>
      </c>
      <c r="N1514" s="2" t="s">
        <v>11682</v>
      </c>
      <c r="O1514" s="2"/>
      <c r="P1514" s="2" t="s">
        <v>37</v>
      </c>
      <c r="Q1514" s="4" t="n">
        <v>8731</v>
      </c>
      <c r="R1514" s="2" t="s">
        <v>136</v>
      </c>
      <c r="S1514" s="2" t="s">
        <v>39</v>
      </c>
      <c r="T1514" s="2" t="s">
        <v>40</v>
      </c>
      <c r="U1514" s="2" t="s">
        <v>11683</v>
      </c>
      <c r="V1514" s="2"/>
      <c r="W1514" s="2" t="s">
        <v>42</v>
      </c>
      <c r="X1514" s="2" t="s">
        <v>43</v>
      </c>
      <c r="Y1514" s="2" t="s">
        <v>37</v>
      </c>
      <c r="Z1514" s="2" t="s">
        <v>44</v>
      </c>
      <c r="AA1514" s="2"/>
      <c r="AB1514" s="2"/>
      <c r="AC1514" s="2" t="s">
        <v>11684</v>
      </c>
      <c r="AD1514" s="2" t="s">
        <v>46</v>
      </c>
    </row>
    <row r="1515" customFormat="false" ht="15.7" hidden="false" customHeight="true" outlineLevel="0" collapsed="false">
      <c r="A1515" s="2"/>
      <c r="B1515" s="3" t="n">
        <f aca="false">DATE(2010,9,23)</f>
        <v>0</v>
      </c>
      <c r="C1515" s="3" t="n">
        <v>40444</v>
      </c>
      <c r="D1515" s="2" t="s">
        <v>11685</v>
      </c>
      <c r="F1515" s="2" t="s">
        <v>11686</v>
      </c>
      <c r="G1515" s="2" t="s">
        <v>11687</v>
      </c>
      <c r="H1515" s="2" t="s">
        <v>2553</v>
      </c>
      <c r="I1515" s="2" t="s">
        <v>154</v>
      </c>
      <c r="J1515" s="2" t="s">
        <v>1413</v>
      </c>
      <c r="K1515" s="2" t="s">
        <v>11685</v>
      </c>
      <c r="L1515" s="2" t="s">
        <v>154</v>
      </c>
      <c r="M1515" s="2" t="s">
        <v>2553</v>
      </c>
      <c r="N1515" s="2" t="s">
        <v>11688</v>
      </c>
      <c r="O1515" s="2"/>
      <c r="P1515" s="2" t="s">
        <v>37</v>
      </c>
      <c r="Q1515" s="4" t="n">
        <v>2899</v>
      </c>
      <c r="R1515" s="2" t="s">
        <v>56</v>
      </c>
      <c r="S1515" s="2" t="s">
        <v>2265</v>
      </c>
      <c r="T1515" s="2" t="s">
        <v>403</v>
      </c>
      <c r="U1515" s="2" t="s">
        <v>11689</v>
      </c>
      <c r="V1515" s="2"/>
      <c r="W1515" s="2" t="s">
        <v>42</v>
      </c>
      <c r="X1515" s="2" t="s">
        <v>46</v>
      </c>
      <c r="Y1515" s="2" t="s">
        <v>37</v>
      </c>
      <c r="Z1515" s="2" t="s">
        <v>362</v>
      </c>
      <c r="AA1515" s="2"/>
      <c r="AB1515" s="2"/>
      <c r="AC1515" s="2" t="s">
        <v>11690</v>
      </c>
      <c r="AD1515" s="2" t="s">
        <v>46</v>
      </c>
    </row>
    <row r="1516" customFormat="false" ht="15.7" hidden="false" customHeight="true" outlineLevel="0" collapsed="false">
      <c r="A1516" s="2"/>
      <c r="B1516" s="3" t="n">
        <f aca="false">DATE(2010,9,27)</f>
        <v>0</v>
      </c>
      <c r="C1516" s="3" t="n">
        <v>40448</v>
      </c>
      <c r="D1516" s="2" t="s">
        <v>11691</v>
      </c>
      <c r="F1516" s="2" t="s">
        <v>11692</v>
      </c>
      <c r="G1516" s="2" t="s">
        <v>11693</v>
      </c>
      <c r="H1516" s="2" t="s">
        <v>5477</v>
      </c>
      <c r="I1516" s="2" t="s">
        <v>11694</v>
      </c>
      <c r="J1516" s="2" t="s">
        <v>35</v>
      </c>
      <c r="K1516" s="2" t="s">
        <v>11695</v>
      </c>
      <c r="L1516" s="2" t="s">
        <v>11694</v>
      </c>
      <c r="M1516" s="2" t="s">
        <v>11696</v>
      </c>
      <c r="N1516" s="2" t="s">
        <v>11697</v>
      </c>
      <c r="O1516" s="2"/>
      <c r="P1516" s="2" t="s">
        <v>37</v>
      </c>
      <c r="Q1516" s="4" t="n">
        <v>8731</v>
      </c>
      <c r="R1516" s="2" t="s">
        <v>450</v>
      </c>
      <c r="S1516" s="2" t="s">
        <v>39</v>
      </c>
      <c r="T1516" s="2" t="s">
        <v>403</v>
      </c>
      <c r="U1516" s="2" t="s">
        <v>11698</v>
      </c>
      <c r="V1516" s="2"/>
      <c r="W1516" s="2" t="s">
        <v>42</v>
      </c>
      <c r="X1516" s="2" t="s">
        <v>46</v>
      </c>
      <c r="Y1516" s="2" t="s">
        <v>37</v>
      </c>
      <c r="Z1516" s="2" t="s">
        <v>987</v>
      </c>
      <c r="AA1516" s="2"/>
      <c r="AB1516" s="2"/>
      <c r="AC1516" s="2" t="s">
        <v>11699</v>
      </c>
      <c r="AD1516" s="2" t="s">
        <v>46</v>
      </c>
    </row>
    <row r="1517" customFormat="false" ht="15.7" hidden="false" customHeight="true" outlineLevel="0" collapsed="false">
      <c r="A1517" s="2"/>
      <c r="B1517" s="3" t="n">
        <f aca="false">DATE(2010,9,27)</f>
        <v>0</v>
      </c>
      <c r="C1517" s="3" t="n">
        <v>40448</v>
      </c>
      <c r="D1517" s="2" t="s">
        <v>11700</v>
      </c>
      <c r="F1517" s="2" t="s">
        <v>11701</v>
      </c>
      <c r="G1517" s="2" t="s">
        <v>11702</v>
      </c>
      <c r="H1517" s="2" t="s">
        <v>130</v>
      </c>
      <c r="I1517" s="2" t="s">
        <v>4325</v>
      </c>
      <c r="J1517" s="2" t="s">
        <v>35</v>
      </c>
      <c r="K1517" s="2" t="s">
        <v>11703</v>
      </c>
      <c r="L1517" s="2" t="s">
        <v>4325</v>
      </c>
      <c r="M1517" s="2" t="s">
        <v>230</v>
      </c>
      <c r="N1517" s="2" t="s">
        <v>11704</v>
      </c>
      <c r="O1517" s="2"/>
      <c r="P1517" s="2" t="s">
        <v>37</v>
      </c>
      <c r="Q1517" s="4" t="n">
        <v>2834</v>
      </c>
      <c r="R1517" s="2" t="s">
        <v>402</v>
      </c>
      <c r="S1517" s="2" t="s">
        <v>39</v>
      </c>
      <c r="T1517" s="2" t="s">
        <v>403</v>
      </c>
      <c r="U1517" s="2" t="s">
        <v>11705</v>
      </c>
      <c r="V1517" s="2"/>
      <c r="W1517" s="2" t="s">
        <v>42</v>
      </c>
      <c r="X1517" s="2" t="s">
        <v>46</v>
      </c>
      <c r="Y1517" s="2" t="s">
        <v>37</v>
      </c>
      <c r="Z1517" s="2" t="s">
        <v>987</v>
      </c>
      <c r="AA1517" s="2"/>
      <c r="AB1517" s="2"/>
      <c r="AC1517" s="2" t="s">
        <v>11706</v>
      </c>
      <c r="AD1517" s="2" t="s">
        <v>46</v>
      </c>
    </row>
    <row r="1518" customFormat="false" ht="15.7" hidden="false" customHeight="true" outlineLevel="0" collapsed="false">
      <c r="A1518" s="2"/>
      <c r="B1518" s="3" t="n">
        <f aca="false">DATE(2010,9,28)</f>
        <v>0</v>
      </c>
      <c r="C1518" s="3" t="n">
        <v>40449</v>
      </c>
      <c r="D1518" s="2" t="s">
        <v>11707</v>
      </c>
      <c r="F1518" s="2" t="s">
        <v>11708</v>
      </c>
      <c r="G1518" s="2" t="s">
        <v>11709</v>
      </c>
      <c r="H1518" s="2" t="s">
        <v>1027</v>
      </c>
      <c r="I1518" s="2" t="s">
        <v>51</v>
      </c>
      <c r="J1518" s="2" t="s">
        <v>2873</v>
      </c>
      <c r="K1518" s="2" t="s">
        <v>11710</v>
      </c>
      <c r="L1518" s="2" t="s">
        <v>51</v>
      </c>
      <c r="M1518" s="2" t="s">
        <v>1027</v>
      </c>
      <c r="N1518" s="2" t="s">
        <v>11711</v>
      </c>
      <c r="O1518" s="2"/>
      <c r="P1518" s="2" t="s">
        <v>37</v>
      </c>
      <c r="Q1518" s="4" t="n">
        <v>2836</v>
      </c>
      <c r="R1518" s="2" t="s">
        <v>402</v>
      </c>
      <c r="S1518" s="2" t="s">
        <v>39</v>
      </c>
      <c r="T1518" s="2" t="s">
        <v>40</v>
      </c>
      <c r="U1518" s="2" t="s">
        <v>11712</v>
      </c>
      <c r="V1518" s="2"/>
      <c r="W1518" s="2" t="s">
        <v>697</v>
      </c>
      <c r="X1518" s="2" t="s">
        <v>43</v>
      </c>
      <c r="Y1518" s="2" t="s">
        <v>37</v>
      </c>
      <c r="Z1518" s="2" t="s">
        <v>44</v>
      </c>
      <c r="AA1518" s="2"/>
      <c r="AB1518" s="2"/>
      <c r="AC1518" s="2" t="s">
        <v>11713</v>
      </c>
      <c r="AD1518" s="2" t="s">
        <v>46</v>
      </c>
    </row>
    <row r="1519" customFormat="false" ht="15.7" hidden="false" customHeight="true" outlineLevel="0" collapsed="false">
      <c r="A1519" s="2"/>
      <c r="B1519" s="3" t="n">
        <f aca="false">DATE(2010,9,28)</f>
        <v>0</v>
      </c>
      <c r="C1519" s="3" t="n">
        <v>40449</v>
      </c>
      <c r="D1519" s="2" t="s">
        <v>11714</v>
      </c>
      <c r="F1519" s="2" t="s">
        <v>11715</v>
      </c>
      <c r="G1519" s="2" t="s">
        <v>11716</v>
      </c>
      <c r="H1519" s="2" t="s">
        <v>11717</v>
      </c>
      <c r="I1519" s="2" t="s">
        <v>11718</v>
      </c>
      <c r="J1519" s="2" t="s">
        <v>35</v>
      </c>
      <c r="K1519" s="2" t="s">
        <v>11714</v>
      </c>
      <c r="L1519" s="2" t="s">
        <v>11718</v>
      </c>
      <c r="M1519" s="2" t="s">
        <v>11717</v>
      </c>
      <c r="N1519" s="2" t="s">
        <v>11719</v>
      </c>
      <c r="O1519" s="2"/>
      <c r="P1519" s="2" t="s">
        <v>37</v>
      </c>
      <c r="Q1519" s="4" t="n">
        <v>3845</v>
      </c>
      <c r="R1519" s="2" t="s">
        <v>136</v>
      </c>
      <c r="S1519" s="2" t="s">
        <v>39</v>
      </c>
      <c r="T1519" s="2" t="s">
        <v>403</v>
      </c>
      <c r="U1519" s="2" t="s">
        <v>11720</v>
      </c>
      <c r="V1519" s="2"/>
      <c r="W1519" s="2" t="s">
        <v>42</v>
      </c>
      <c r="X1519" s="2" t="s">
        <v>43</v>
      </c>
      <c r="Y1519" s="2" t="s">
        <v>37</v>
      </c>
      <c r="Z1519" s="2" t="s">
        <v>44</v>
      </c>
      <c r="AA1519" s="2"/>
      <c r="AB1519" s="2"/>
      <c r="AC1519" s="2" t="s">
        <v>11721</v>
      </c>
      <c r="AD1519" s="2" t="s">
        <v>46</v>
      </c>
    </row>
    <row r="1520" customFormat="false" ht="15.7" hidden="false" customHeight="true" outlineLevel="0" collapsed="false">
      <c r="A1520" s="2"/>
      <c r="B1520" s="3" t="n">
        <f aca="false">DATE(2010,9,30)</f>
        <v>0</v>
      </c>
      <c r="C1520" s="3" t="n">
        <v>40451</v>
      </c>
      <c r="D1520" s="2" t="s">
        <v>11722</v>
      </c>
      <c r="F1520" s="2" t="s">
        <v>256</v>
      </c>
      <c r="G1520" s="2" t="s">
        <v>11723</v>
      </c>
      <c r="H1520" s="2" t="s">
        <v>170</v>
      </c>
      <c r="I1520" s="2" t="s">
        <v>2590</v>
      </c>
      <c r="J1520" s="2" t="s">
        <v>35</v>
      </c>
      <c r="K1520" s="2" t="s">
        <v>11722</v>
      </c>
      <c r="L1520" s="2" t="s">
        <v>2590</v>
      </c>
      <c r="M1520" s="2" t="s">
        <v>170</v>
      </c>
      <c r="N1520" s="2" t="s">
        <v>11724</v>
      </c>
      <c r="O1520" s="2"/>
      <c r="P1520" s="2" t="s">
        <v>37</v>
      </c>
      <c r="Q1520" s="4" t="n">
        <v>8731</v>
      </c>
      <c r="R1520" s="2" t="s">
        <v>402</v>
      </c>
      <c r="S1520" s="2" t="s">
        <v>39</v>
      </c>
      <c r="T1520" s="2" t="s">
        <v>40</v>
      </c>
      <c r="U1520" s="2" t="s">
        <v>11725</v>
      </c>
      <c r="V1520" s="2"/>
      <c r="W1520" s="2" t="s">
        <v>2564</v>
      </c>
      <c r="X1520" s="2" t="s">
        <v>46</v>
      </c>
      <c r="Y1520" s="2" t="s">
        <v>37</v>
      </c>
      <c r="Z1520" s="2" t="s">
        <v>756</v>
      </c>
      <c r="AA1520" s="2"/>
      <c r="AB1520" s="2"/>
      <c r="AC1520" s="2" t="s">
        <v>11726</v>
      </c>
      <c r="AD1520" s="2" t="s">
        <v>46</v>
      </c>
    </row>
    <row r="1521" customFormat="false" ht="15.7" hidden="false" customHeight="true" outlineLevel="0" collapsed="false">
      <c r="A1521" s="2"/>
      <c r="B1521" s="3" t="n">
        <f aca="false">DATE(2010,10,6)</f>
        <v>0</v>
      </c>
      <c r="C1521" s="3" t="n">
        <v>40457</v>
      </c>
      <c r="D1521" s="2" t="s">
        <v>11727</v>
      </c>
      <c r="F1521" s="2" t="s">
        <v>11728</v>
      </c>
      <c r="G1521" s="2" t="s">
        <v>11729</v>
      </c>
      <c r="H1521" s="2" t="s">
        <v>11730</v>
      </c>
      <c r="I1521" s="2" t="s">
        <v>538</v>
      </c>
      <c r="J1521" s="2" t="s">
        <v>35</v>
      </c>
      <c r="K1521" s="2" t="s">
        <v>11727</v>
      </c>
      <c r="L1521" s="2" t="s">
        <v>538</v>
      </c>
      <c r="M1521" s="2" t="s">
        <v>11730</v>
      </c>
      <c r="N1521" s="2" t="s">
        <v>11731</v>
      </c>
      <c r="O1521" s="2"/>
      <c r="P1521" s="2" t="s">
        <v>37</v>
      </c>
      <c r="Q1521" s="4" t="n">
        <v>2833</v>
      </c>
      <c r="R1521" s="2" t="s">
        <v>450</v>
      </c>
      <c r="S1521" s="2" t="s">
        <v>39</v>
      </c>
      <c r="T1521" s="2" t="s">
        <v>403</v>
      </c>
      <c r="U1521" s="2" t="s">
        <v>11732</v>
      </c>
      <c r="V1521" s="2"/>
      <c r="W1521" s="2" t="s">
        <v>42</v>
      </c>
      <c r="X1521" s="2" t="s">
        <v>46</v>
      </c>
      <c r="Y1521" s="2" t="s">
        <v>37</v>
      </c>
      <c r="Z1521" s="2" t="s">
        <v>362</v>
      </c>
      <c r="AA1521" s="2"/>
      <c r="AB1521" s="2"/>
      <c r="AC1521" s="2" t="s">
        <v>11733</v>
      </c>
      <c r="AD1521" s="2" t="s">
        <v>46</v>
      </c>
    </row>
    <row r="1522" customFormat="false" ht="15.7" hidden="false" customHeight="true" outlineLevel="0" collapsed="false">
      <c r="A1522" s="2"/>
      <c r="B1522" s="3" t="n">
        <f aca="false">DATE(2010,10,6)</f>
        <v>0</v>
      </c>
      <c r="C1522" s="3" t="n">
        <v>40457</v>
      </c>
      <c r="D1522" s="2" t="s">
        <v>11734</v>
      </c>
      <c r="F1522" s="2" t="s">
        <v>11735</v>
      </c>
      <c r="G1522" s="2" t="s">
        <v>11736</v>
      </c>
      <c r="H1522" s="2" t="s">
        <v>11737</v>
      </c>
      <c r="I1522" s="2" t="s">
        <v>549</v>
      </c>
      <c r="J1522" s="2" t="s">
        <v>732</v>
      </c>
      <c r="K1522" s="2" t="s">
        <v>11734</v>
      </c>
      <c r="L1522" s="2" t="s">
        <v>549</v>
      </c>
      <c r="M1522" s="2" t="s">
        <v>11737</v>
      </c>
      <c r="N1522" s="2" t="s">
        <v>11738</v>
      </c>
      <c r="O1522" s="2"/>
      <c r="P1522" s="2" t="s">
        <v>37</v>
      </c>
      <c r="Q1522" s="4" t="n">
        <v>2821</v>
      </c>
      <c r="R1522" s="2" t="s">
        <v>136</v>
      </c>
      <c r="S1522" s="2" t="s">
        <v>39</v>
      </c>
      <c r="T1522" s="2" t="s">
        <v>403</v>
      </c>
      <c r="U1522" s="2" t="s">
        <v>11739</v>
      </c>
      <c r="V1522" s="2"/>
      <c r="W1522" s="2" t="s">
        <v>697</v>
      </c>
      <c r="X1522" s="2" t="s">
        <v>46</v>
      </c>
      <c r="Y1522" s="2" t="s">
        <v>37</v>
      </c>
      <c r="Z1522" s="2" t="s">
        <v>362</v>
      </c>
      <c r="AA1522" s="2"/>
      <c r="AB1522" s="2"/>
      <c r="AC1522" s="2" t="s">
        <v>11740</v>
      </c>
      <c r="AD1522" s="2" t="s">
        <v>46</v>
      </c>
    </row>
    <row r="1523" customFormat="false" ht="15.7" hidden="false" customHeight="true" outlineLevel="0" collapsed="false">
      <c r="A1523" s="2"/>
      <c r="B1523" s="3" t="n">
        <f aca="false">DATE(2010,10,12)</f>
        <v>0</v>
      </c>
      <c r="C1523" s="3" t="n">
        <v>40463</v>
      </c>
      <c r="D1523" s="2" t="s">
        <v>11741</v>
      </c>
      <c r="F1523" s="2" t="s">
        <v>11742</v>
      </c>
      <c r="G1523" s="2" t="s">
        <v>11743</v>
      </c>
      <c r="H1523" s="2" t="s">
        <v>523</v>
      </c>
      <c r="I1523" s="2" t="s">
        <v>6134</v>
      </c>
      <c r="J1523" s="2" t="s">
        <v>203</v>
      </c>
      <c r="K1523" s="2" t="s">
        <v>11741</v>
      </c>
      <c r="L1523" s="2" t="s">
        <v>6134</v>
      </c>
      <c r="M1523" s="2" t="s">
        <v>523</v>
      </c>
      <c r="N1523" s="2" t="s">
        <v>11744</v>
      </c>
      <c r="O1523" s="2"/>
      <c r="P1523" s="2" t="s">
        <v>37</v>
      </c>
      <c r="Q1523" s="4" t="n">
        <v>2834</v>
      </c>
      <c r="R1523" s="2" t="s">
        <v>136</v>
      </c>
      <c r="S1523" s="2" t="s">
        <v>39</v>
      </c>
      <c r="T1523" s="2" t="s">
        <v>403</v>
      </c>
      <c r="U1523" s="2" t="s">
        <v>11745</v>
      </c>
      <c r="V1523" s="2"/>
      <c r="W1523" s="2" t="s">
        <v>42</v>
      </c>
      <c r="X1523" s="2" t="s">
        <v>46</v>
      </c>
      <c r="Y1523" s="2" t="s">
        <v>37</v>
      </c>
      <c r="Z1523" s="2" t="s">
        <v>362</v>
      </c>
      <c r="AA1523" s="2"/>
      <c r="AB1523" s="2"/>
      <c r="AC1523" s="2" t="s">
        <v>11746</v>
      </c>
      <c r="AD1523" s="2" t="s">
        <v>46</v>
      </c>
    </row>
    <row r="1524" customFormat="false" ht="15.7" hidden="false" customHeight="true" outlineLevel="0" collapsed="false">
      <c r="A1524" s="2"/>
      <c r="B1524" s="3" t="n">
        <f aca="false">DATE(2010,10,21)</f>
        <v>0</v>
      </c>
      <c r="C1524" s="3" t="n">
        <v>40472</v>
      </c>
      <c r="D1524" s="2" t="s">
        <v>11747</v>
      </c>
      <c r="F1524" s="2" t="s">
        <v>11748</v>
      </c>
      <c r="G1524" s="2" t="s">
        <v>11749</v>
      </c>
      <c r="H1524" s="2" t="s">
        <v>130</v>
      </c>
      <c r="I1524" s="2" t="s">
        <v>51</v>
      </c>
      <c r="J1524" s="2" t="s">
        <v>171</v>
      </c>
      <c r="K1524" s="2" t="s">
        <v>11750</v>
      </c>
      <c r="L1524" s="2" t="s">
        <v>11751</v>
      </c>
      <c r="M1524" s="2" t="s">
        <v>11752</v>
      </c>
      <c r="N1524" s="2" t="s">
        <v>11753</v>
      </c>
      <c r="O1524" s="2"/>
      <c r="P1524" s="2" t="s">
        <v>37</v>
      </c>
      <c r="Q1524" s="4" t="n">
        <v>2835</v>
      </c>
      <c r="R1524" s="2" t="s">
        <v>56</v>
      </c>
      <c r="S1524" s="2" t="s">
        <v>2265</v>
      </c>
      <c r="T1524" s="2" t="s">
        <v>673</v>
      </c>
      <c r="U1524" s="2" t="s">
        <v>11754</v>
      </c>
      <c r="V1524" s="2"/>
      <c r="W1524" s="2" t="s">
        <v>107</v>
      </c>
      <c r="X1524" s="2" t="s">
        <v>46</v>
      </c>
      <c r="Y1524" s="2" t="s">
        <v>37</v>
      </c>
      <c r="Z1524" s="2" t="s">
        <v>362</v>
      </c>
      <c r="AA1524" s="2"/>
      <c r="AB1524" s="2"/>
      <c r="AC1524" s="2" t="s">
        <v>11755</v>
      </c>
      <c r="AD1524" s="2" t="s">
        <v>46</v>
      </c>
    </row>
    <row r="1525" customFormat="false" ht="15.7" hidden="false" customHeight="true" outlineLevel="0" collapsed="false">
      <c r="A1525" s="2"/>
      <c r="B1525" s="3" t="n">
        <f aca="false">DATE(2010,10,28)</f>
        <v>0</v>
      </c>
      <c r="C1525" s="3" t="n">
        <v>40479</v>
      </c>
      <c r="D1525" s="2" t="s">
        <v>11756</v>
      </c>
      <c r="F1525" s="2" t="s">
        <v>11757</v>
      </c>
      <c r="G1525" s="2" t="s">
        <v>11758</v>
      </c>
      <c r="H1525" s="2" t="s">
        <v>11759</v>
      </c>
      <c r="I1525" s="2" t="s">
        <v>11760</v>
      </c>
      <c r="J1525" s="2" t="s">
        <v>116</v>
      </c>
      <c r="K1525" s="2" t="s">
        <v>11756</v>
      </c>
      <c r="L1525" s="2" t="s">
        <v>11760</v>
      </c>
      <c r="M1525" s="2" t="s">
        <v>11759</v>
      </c>
      <c r="N1525" s="2" t="s">
        <v>11761</v>
      </c>
      <c r="O1525" s="2"/>
      <c r="P1525" s="2" t="s">
        <v>37</v>
      </c>
      <c r="Q1525" s="4" t="n">
        <v>3674</v>
      </c>
      <c r="R1525" s="2" t="s">
        <v>2165</v>
      </c>
      <c r="S1525" s="2" t="s">
        <v>39</v>
      </c>
      <c r="T1525" s="2" t="s">
        <v>403</v>
      </c>
      <c r="U1525" s="2" t="s">
        <v>11762</v>
      </c>
      <c r="V1525" s="2"/>
      <c r="W1525" s="2" t="s">
        <v>11763</v>
      </c>
      <c r="X1525" s="2" t="s">
        <v>46</v>
      </c>
      <c r="Y1525" s="2" t="s">
        <v>37</v>
      </c>
      <c r="Z1525" s="2" t="s">
        <v>11764</v>
      </c>
      <c r="AA1525" s="2" t="s">
        <v>11765</v>
      </c>
      <c r="AB1525" s="2"/>
      <c r="AC1525" s="2" t="s">
        <v>11766</v>
      </c>
      <c r="AD1525" s="2" t="s">
        <v>46</v>
      </c>
    </row>
    <row r="1526" customFormat="false" ht="15.7" hidden="false" customHeight="true" outlineLevel="0" collapsed="false">
      <c r="A1526" s="2"/>
      <c r="B1526" s="3" t="n">
        <f aca="false">DATE(2010,10,29)</f>
        <v>0</v>
      </c>
      <c r="C1526" s="3" t="n">
        <v>40480</v>
      </c>
      <c r="D1526" s="2" t="s">
        <v>11767</v>
      </c>
      <c r="F1526" s="2" t="s">
        <v>7622</v>
      </c>
      <c r="G1526" s="2" t="s">
        <v>11768</v>
      </c>
      <c r="H1526" s="2" t="s">
        <v>130</v>
      </c>
      <c r="I1526" s="2" t="s">
        <v>330</v>
      </c>
      <c r="J1526" s="2" t="s">
        <v>966</v>
      </c>
      <c r="K1526" s="2" t="s">
        <v>11767</v>
      </c>
      <c r="L1526" s="2" t="s">
        <v>330</v>
      </c>
      <c r="M1526" s="2" t="s">
        <v>130</v>
      </c>
      <c r="N1526" s="2" t="s">
        <v>11769</v>
      </c>
      <c r="O1526" s="2"/>
      <c r="P1526" s="2" t="s">
        <v>37</v>
      </c>
      <c r="Q1526" s="4" t="n">
        <v>2836</v>
      </c>
      <c r="R1526" s="2" t="s">
        <v>136</v>
      </c>
      <c r="S1526" s="2" t="s">
        <v>39</v>
      </c>
      <c r="T1526" s="2" t="s">
        <v>40</v>
      </c>
      <c r="U1526" s="2" t="s">
        <v>11770</v>
      </c>
      <c r="V1526" s="2"/>
      <c r="W1526" s="2" t="s">
        <v>1050</v>
      </c>
      <c r="X1526" s="2" t="s">
        <v>43</v>
      </c>
      <c r="Y1526" s="2" t="s">
        <v>37</v>
      </c>
      <c r="Z1526" s="2" t="s">
        <v>44</v>
      </c>
      <c r="AA1526" s="2" t="s">
        <v>11771</v>
      </c>
      <c r="AB1526" s="2"/>
      <c r="AC1526" s="2" t="s">
        <v>11772</v>
      </c>
      <c r="AD1526" s="2" t="s">
        <v>46</v>
      </c>
    </row>
    <row r="1527" customFormat="false" ht="15.7" hidden="false" customHeight="true" outlineLevel="0" collapsed="false">
      <c r="A1527" s="2"/>
      <c r="B1527" s="3" t="n">
        <f aca="false">DATE(2010,11,11)</f>
        <v>0</v>
      </c>
      <c r="C1527" s="3" t="n">
        <v>40493</v>
      </c>
      <c r="D1527" s="2" t="s">
        <v>11773</v>
      </c>
      <c r="F1527" s="2" t="s">
        <v>11774</v>
      </c>
      <c r="G1527" s="2" t="s">
        <v>11775</v>
      </c>
      <c r="H1527" s="2" t="s">
        <v>11776</v>
      </c>
      <c r="I1527" s="2" t="s">
        <v>568</v>
      </c>
      <c r="J1527" s="2" t="s">
        <v>65</v>
      </c>
      <c r="K1527" s="2" t="s">
        <v>11773</v>
      </c>
      <c r="L1527" s="2" t="s">
        <v>568</v>
      </c>
      <c r="M1527" s="2" t="s">
        <v>11776</v>
      </c>
      <c r="N1527" s="2" t="s">
        <v>11777</v>
      </c>
      <c r="O1527" s="2"/>
      <c r="P1527" s="2" t="s">
        <v>37</v>
      </c>
      <c r="Q1527" s="4" t="n">
        <v>2836</v>
      </c>
      <c r="R1527" s="2" t="s">
        <v>56</v>
      </c>
      <c r="S1527" s="2"/>
      <c r="T1527" s="2" t="s">
        <v>122</v>
      </c>
      <c r="U1527" s="2" t="s">
        <v>11778</v>
      </c>
      <c r="V1527" s="2"/>
      <c r="W1527" s="2" t="s">
        <v>42</v>
      </c>
      <c r="X1527" s="2" t="s">
        <v>46</v>
      </c>
      <c r="Y1527" s="2" t="s">
        <v>37</v>
      </c>
      <c r="Z1527" s="2" t="s">
        <v>362</v>
      </c>
      <c r="AA1527" s="2"/>
      <c r="AB1527" s="2"/>
      <c r="AC1527" s="2" t="s">
        <v>11779</v>
      </c>
      <c r="AD1527" s="2" t="s">
        <v>46</v>
      </c>
    </row>
    <row r="1528" customFormat="false" ht="15.7" hidden="false" customHeight="true" outlineLevel="0" collapsed="false">
      <c r="A1528" s="2"/>
      <c r="B1528" s="3" t="n">
        <f aca="false">DATE(2010,11,17)</f>
        <v>0</v>
      </c>
      <c r="C1528" s="3" t="n">
        <v>40499</v>
      </c>
      <c r="D1528" s="2" t="s">
        <v>11780</v>
      </c>
      <c r="F1528" s="2" t="s">
        <v>11781</v>
      </c>
      <c r="G1528" s="2" t="s">
        <v>11782</v>
      </c>
      <c r="H1528" s="2" t="s">
        <v>523</v>
      </c>
      <c r="I1528" s="2" t="s">
        <v>664</v>
      </c>
      <c r="J1528" s="2" t="s">
        <v>331</v>
      </c>
      <c r="K1528" s="2" t="s">
        <v>11780</v>
      </c>
      <c r="L1528" s="2" t="s">
        <v>664</v>
      </c>
      <c r="M1528" s="2" t="s">
        <v>523</v>
      </c>
      <c r="N1528" s="2" t="s">
        <v>11783</v>
      </c>
      <c r="O1528" s="2"/>
      <c r="P1528" s="2" t="s">
        <v>37</v>
      </c>
      <c r="Q1528" s="4" t="n">
        <v>8731</v>
      </c>
      <c r="R1528" s="2" t="s">
        <v>136</v>
      </c>
      <c r="S1528" s="2" t="s">
        <v>39</v>
      </c>
      <c r="T1528" s="2" t="s">
        <v>40</v>
      </c>
      <c r="U1528" s="2" t="s">
        <v>11784</v>
      </c>
      <c r="V1528" s="2"/>
      <c r="W1528" s="2" t="s">
        <v>42</v>
      </c>
      <c r="X1528" s="2" t="s">
        <v>43</v>
      </c>
      <c r="Y1528" s="2" t="s">
        <v>37</v>
      </c>
      <c r="Z1528" s="2" t="s">
        <v>44</v>
      </c>
      <c r="AA1528" s="2"/>
      <c r="AB1528" s="2"/>
      <c r="AC1528" s="2" t="s">
        <v>11785</v>
      </c>
      <c r="AD1528" s="2" t="s">
        <v>46</v>
      </c>
    </row>
    <row r="1529" customFormat="false" ht="15.7" hidden="false" customHeight="true" outlineLevel="0" collapsed="false">
      <c r="A1529" s="2"/>
      <c r="B1529" s="3" t="n">
        <f aca="false">DATE(2010,11,18)</f>
        <v>0</v>
      </c>
      <c r="C1529" s="3" t="n">
        <v>40500</v>
      </c>
      <c r="D1529" s="2" t="s">
        <v>11786</v>
      </c>
      <c r="F1529" s="2" t="s">
        <v>4939</v>
      </c>
      <c r="G1529" s="2" t="s">
        <v>11787</v>
      </c>
      <c r="H1529" s="2" t="s">
        <v>170</v>
      </c>
      <c r="I1529" s="2" t="s">
        <v>180</v>
      </c>
      <c r="J1529" s="2" t="s">
        <v>132</v>
      </c>
      <c r="K1529" s="2" t="s">
        <v>11786</v>
      </c>
      <c r="L1529" s="2" t="s">
        <v>180</v>
      </c>
      <c r="M1529" s="2" t="s">
        <v>170</v>
      </c>
      <c r="N1529" s="2" t="s">
        <v>11788</v>
      </c>
      <c r="O1529" s="2"/>
      <c r="P1529" s="2" t="s">
        <v>37</v>
      </c>
      <c r="Q1529" s="4" t="n">
        <v>2836</v>
      </c>
      <c r="R1529" s="2" t="s">
        <v>136</v>
      </c>
      <c r="S1529" s="2" t="s">
        <v>39</v>
      </c>
      <c r="T1529" s="2" t="s">
        <v>40</v>
      </c>
      <c r="U1529" s="2" t="s">
        <v>11789</v>
      </c>
      <c r="V1529" s="2"/>
      <c r="W1529" s="2" t="s">
        <v>42</v>
      </c>
      <c r="X1529" s="2" t="s">
        <v>43</v>
      </c>
      <c r="Y1529" s="2" t="s">
        <v>37</v>
      </c>
      <c r="Z1529" s="2" t="s">
        <v>44</v>
      </c>
      <c r="AA1529" s="2"/>
      <c r="AB1529" s="2"/>
      <c r="AC1529" s="2" t="s">
        <v>11790</v>
      </c>
      <c r="AD1529" s="2" t="s">
        <v>46</v>
      </c>
    </row>
    <row r="1530" customFormat="false" ht="15.7" hidden="false" customHeight="true" outlineLevel="0" collapsed="false">
      <c r="A1530" s="2"/>
      <c r="B1530" s="3" t="n">
        <f aca="false">DATE(2010,12,2)</f>
        <v>0</v>
      </c>
      <c r="C1530" s="3" t="n">
        <v>40514</v>
      </c>
      <c r="D1530" s="2" t="s">
        <v>11791</v>
      </c>
      <c r="F1530" s="2" t="s">
        <v>11792</v>
      </c>
      <c r="G1530" s="2" t="s">
        <v>11793</v>
      </c>
      <c r="H1530" s="2" t="s">
        <v>11794</v>
      </c>
      <c r="I1530" s="2" t="s">
        <v>11795</v>
      </c>
      <c r="J1530" s="2" t="s">
        <v>3906</v>
      </c>
      <c r="K1530" s="2" t="s">
        <v>11791</v>
      </c>
      <c r="L1530" s="2" t="s">
        <v>11795</v>
      </c>
      <c r="M1530" s="2" t="s">
        <v>11794</v>
      </c>
      <c r="N1530" s="2" t="s">
        <v>11796</v>
      </c>
      <c r="O1530" s="2"/>
      <c r="P1530" s="2" t="s">
        <v>37</v>
      </c>
      <c r="Q1530" s="4" t="n">
        <v>2899</v>
      </c>
      <c r="R1530" s="2" t="s">
        <v>1208</v>
      </c>
      <c r="S1530" s="2" t="s">
        <v>39</v>
      </c>
      <c r="T1530" s="2" t="s">
        <v>403</v>
      </c>
      <c r="U1530" s="2" t="s">
        <v>11797</v>
      </c>
      <c r="V1530" s="2"/>
      <c r="W1530" s="2" t="s">
        <v>42</v>
      </c>
      <c r="X1530" s="2" t="s">
        <v>46</v>
      </c>
      <c r="Y1530" s="2" t="s">
        <v>37</v>
      </c>
      <c r="Z1530" s="2" t="s">
        <v>11798</v>
      </c>
      <c r="AA1530" s="2"/>
      <c r="AB1530" s="2"/>
      <c r="AC1530" s="2" t="s">
        <v>11799</v>
      </c>
      <c r="AD1530" s="2" t="s">
        <v>46</v>
      </c>
    </row>
    <row r="1531" customFormat="false" ht="15.7" hidden="false" customHeight="true" outlineLevel="0" collapsed="false">
      <c r="A1531" s="2"/>
      <c r="B1531" s="3" t="n">
        <f aca="false">DATE(2010,12,8)</f>
        <v>0</v>
      </c>
      <c r="C1531" s="3" t="n">
        <v>40520</v>
      </c>
      <c r="D1531" s="2" t="s">
        <v>11800</v>
      </c>
      <c r="F1531" s="2" t="s">
        <v>11801</v>
      </c>
      <c r="G1531" s="2" t="s">
        <v>11802</v>
      </c>
      <c r="H1531" s="2" t="s">
        <v>11803</v>
      </c>
      <c r="I1531" s="2" t="s">
        <v>388</v>
      </c>
      <c r="J1531" s="2" t="s">
        <v>7963</v>
      </c>
      <c r="K1531" s="2" t="s">
        <v>11804</v>
      </c>
      <c r="L1531" s="2" t="s">
        <v>388</v>
      </c>
      <c r="M1531" s="2" t="s">
        <v>230</v>
      </c>
      <c r="N1531" s="2" t="s">
        <v>11805</v>
      </c>
      <c r="O1531" s="2"/>
      <c r="P1531" s="2" t="s">
        <v>37</v>
      </c>
      <c r="Q1531" s="4" t="n">
        <v>2834</v>
      </c>
      <c r="R1531" s="2" t="s">
        <v>2201</v>
      </c>
      <c r="S1531" s="2" t="s">
        <v>39</v>
      </c>
      <c r="T1531" s="2" t="s">
        <v>403</v>
      </c>
      <c r="U1531" s="2" t="s">
        <v>11806</v>
      </c>
      <c r="V1531" s="2"/>
      <c r="W1531" s="2" t="s">
        <v>42</v>
      </c>
      <c r="X1531" s="2" t="s">
        <v>46</v>
      </c>
      <c r="Y1531" s="2" t="s">
        <v>37</v>
      </c>
      <c r="Z1531" s="2" t="s">
        <v>362</v>
      </c>
      <c r="AA1531" s="2"/>
      <c r="AB1531" s="2"/>
      <c r="AC1531" s="2" t="s">
        <v>11807</v>
      </c>
      <c r="AD1531" s="2" t="s">
        <v>46</v>
      </c>
    </row>
    <row r="1532" customFormat="false" ht="15.7" hidden="false" customHeight="true" outlineLevel="0" collapsed="false">
      <c r="A1532" s="2"/>
      <c r="B1532" s="3" t="n">
        <f aca="false">DATE(2010,12,8)</f>
        <v>0</v>
      </c>
      <c r="C1532" s="3" t="n">
        <v>40520</v>
      </c>
      <c r="D1532" s="2" t="s">
        <v>11808</v>
      </c>
      <c r="F1532" s="2" t="s">
        <v>1324</v>
      </c>
      <c r="G1532" s="2" t="s">
        <v>11809</v>
      </c>
      <c r="H1532" s="2" t="s">
        <v>63</v>
      </c>
      <c r="I1532" s="2" t="s">
        <v>435</v>
      </c>
      <c r="J1532" s="2" t="s">
        <v>258</v>
      </c>
      <c r="K1532" s="2" t="s">
        <v>11808</v>
      </c>
      <c r="L1532" s="2" t="s">
        <v>435</v>
      </c>
      <c r="M1532" s="2" t="s">
        <v>63</v>
      </c>
      <c r="N1532" s="2" t="s">
        <v>11810</v>
      </c>
      <c r="O1532" s="2"/>
      <c r="P1532" s="2" t="s">
        <v>37</v>
      </c>
      <c r="Q1532" s="4" t="n">
        <v>2835</v>
      </c>
      <c r="R1532" s="2" t="s">
        <v>136</v>
      </c>
      <c r="S1532" s="2" t="s">
        <v>39</v>
      </c>
      <c r="T1532" s="2" t="s">
        <v>40</v>
      </c>
      <c r="U1532" s="2" t="s">
        <v>11811</v>
      </c>
      <c r="V1532" s="2"/>
      <c r="W1532" s="2" t="s">
        <v>697</v>
      </c>
      <c r="X1532" s="2" t="s">
        <v>43</v>
      </c>
      <c r="Y1532" s="2" t="s">
        <v>37</v>
      </c>
      <c r="Z1532" s="2" t="s">
        <v>44</v>
      </c>
      <c r="AA1532" s="2" t="s">
        <v>11812</v>
      </c>
      <c r="AB1532" s="2"/>
      <c r="AC1532" s="2" t="s">
        <v>11813</v>
      </c>
      <c r="AD1532" s="2" t="s">
        <v>46</v>
      </c>
    </row>
    <row r="1533" customFormat="false" ht="15.7" hidden="false" customHeight="true" outlineLevel="0" collapsed="false">
      <c r="A1533" s="2"/>
      <c r="B1533" s="3" t="n">
        <f aca="false">DATE(2010,12,11)</f>
        <v>0</v>
      </c>
      <c r="C1533" s="3" t="n">
        <v>40523</v>
      </c>
      <c r="D1533" s="2" t="s">
        <v>11814</v>
      </c>
      <c r="F1533" s="2" t="s">
        <v>11815</v>
      </c>
      <c r="G1533" s="2" t="s">
        <v>11816</v>
      </c>
      <c r="H1533" s="2" t="s">
        <v>11817</v>
      </c>
      <c r="I1533" s="2" t="s">
        <v>11818</v>
      </c>
      <c r="J1533" s="2" t="s">
        <v>1305</v>
      </c>
      <c r="K1533" s="2" t="s">
        <v>11819</v>
      </c>
      <c r="L1533" s="2" t="s">
        <v>11818</v>
      </c>
      <c r="M1533" s="2" t="s">
        <v>11820</v>
      </c>
      <c r="N1533" s="2" t="s">
        <v>11821</v>
      </c>
      <c r="O1533" s="2" t="s">
        <v>11822</v>
      </c>
      <c r="P1533" s="2" t="s">
        <v>37</v>
      </c>
      <c r="Q1533" s="4" t="n">
        <v>2874</v>
      </c>
      <c r="R1533" s="2" t="s">
        <v>402</v>
      </c>
      <c r="S1533" s="2" t="s">
        <v>39</v>
      </c>
      <c r="T1533" s="2" t="s">
        <v>403</v>
      </c>
      <c r="U1533" s="2" t="s">
        <v>11823</v>
      </c>
      <c r="V1533" s="2"/>
      <c r="W1533" s="2" t="s">
        <v>42</v>
      </c>
      <c r="X1533" s="2" t="s">
        <v>46</v>
      </c>
      <c r="Y1533" s="2" t="s">
        <v>37</v>
      </c>
      <c r="Z1533" s="2" t="s">
        <v>11824</v>
      </c>
      <c r="AA1533" s="2"/>
      <c r="AB1533" s="2" t="s">
        <v>11825</v>
      </c>
      <c r="AC1533" s="2" t="s">
        <v>11826</v>
      </c>
      <c r="AD1533" s="2" t="s">
        <v>46</v>
      </c>
    </row>
    <row r="1534" customFormat="false" ht="15.7" hidden="false" customHeight="true" outlineLevel="0" collapsed="false">
      <c r="A1534" s="2"/>
      <c r="B1534" s="3" t="n">
        <f aca="false">DATE(2010,12,15)</f>
        <v>0</v>
      </c>
      <c r="C1534" s="3" t="n">
        <v>40527</v>
      </c>
      <c r="D1534" s="2" t="s">
        <v>11827</v>
      </c>
      <c r="F1534" s="2" t="s">
        <v>11828</v>
      </c>
      <c r="G1534" s="2" t="s">
        <v>11829</v>
      </c>
      <c r="H1534" s="2" t="s">
        <v>11830</v>
      </c>
      <c r="I1534" s="2" t="s">
        <v>7327</v>
      </c>
      <c r="J1534" s="2" t="s">
        <v>1456</v>
      </c>
      <c r="K1534" s="2" t="s">
        <v>11831</v>
      </c>
      <c r="L1534" s="2" t="s">
        <v>7327</v>
      </c>
      <c r="M1534" s="2" t="s">
        <v>11832</v>
      </c>
      <c r="N1534" s="2" t="s">
        <v>11833</v>
      </c>
      <c r="O1534" s="2"/>
      <c r="P1534" s="2" t="s">
        <v>37</v>
      </c>
      <c r="Q1534" s="4" t="n">
        <v>8711</v>
      </c>
      <c r="R1534" s="2" t="s">
        <v>1208</v>
      </c>
      <c r="S1534" s="2" t="s">
        <v>39</v>
      </c>
      <c r="T1534" s="2" t="s">
        <v>403</v>
      </c>
      <c r="U1534" s="2" t="s">
        <v>11834</v>
      </c>
      <c r="V1534" s="2"/>
      <c r="W1534" s="2" t="s">
        <v>42</v>
      </c>
      <c r="X1534" s="2" t="s">
        <v>46</v>
      </c>
      <c r="Y1534" s="2" t="s">
        <v>37</v>
      </c>
      <c r="Z1534" s="2" t="s">
        <v>362</v>
      </c>
      <c r="AA1534" s="2"/>
      <c r="AB1534" s="2"/>
      <c r="AC1534" s="2" t="s">
        <v>11835</v>
      </c>
      <c r="AD1534" s="2" t="s">
        <v>46</v>
      </c>
    </row>
    <row r="1535" customFormat="false" ht="15.7" hidden="false" customHeight="true" outlineLevel="0" collapsed="false">
      <c r="A1535" s="2"/>
      <c r="B1535" s="3" t="n">
        <f aca="false">DATE(2010,12,16)</f>
        <v>0</v>
      </c>
      <c r="C1535" s="3" t="n">
        <v>40528</v>
      </c>
      <c r="D1535" s="2" t="s">
        <v>11836</v>
      </c>
      <c r="F1535" s="2" t="s">
        <v>11837</v>
      </c>
      <c r="G1535" s="2" t="s">
        <v>11838</v>
      </c>
      <c r="H1535" s="2" t="s">
        <v>130</v>
      </c>
      <c r="I1535" s="2" t="s">
        <v>88</v>
      </c>
      <c r="J1535" s="2" t="s">
        <v>1705</v>
      </c>
      <c r="K1535" s="2" t="s">
        <v>11839</v>
      </c>
      <c r="L1535" s="2" t="s">
        <v>11840</v>
      </c>
      <c r="M1535" s="2" t="s">
        <v>130</v>
      </c>
      <c r="N1535" s="2" t="s">
        <v>11841</v>
      </c>
      <c r="O1535" s="2"/>
      <c r="P1535" s="2" t="s">
        <v>37</v>
      </c>
      <c r="Q1535" s="4" t="n">
        <v>8731</v>
      </c>
      <c r="R1535" s="2" t="s">
        <v>296</v>
      </c>
      <c r="S1535" s="2" t="s">
        <v>11842</v>
      </c>
      <c r="T1535" s="2" t="s">
        <v>40</v>
      </c>
      <c r="U1535" s="2" t="s">
        <v>11843</v>
      </c>
      <c r="V1535" s="2"/>
      <c r="W1535" s="2" t="s">
        <v>773</v>
      </c>
      <c r="X1535" s="2" t="s">
        <v>43</v>
      </c>
      <c r="Y1535" s="2" t="s">
        <v>79</v>
      </c>
      <c r="Z1535" s="2" t="s">
        <v>44</v>
      </c>
      <c r="AA1535" s="2" t="s">
        <v>11844</v>
      </c>
      <c r="AB1535" s="2"/>
      <c r="AC1535" s="2" t="s">
        <v>11845</v>
      </c>
      <c r="AD1535" s="2" t="s">
        <v>46</v>
      </c>
    </row>
    <row r="1536" customFormat="false" ht="15.7" hidden="false" customHeight="true" outlineLevel="0" collapsed="false">
      <c r="A1536" s="2"/>
      <c r="B1536" s="3" t="n">
        <f aca="false">DATE(2010,12,16)</f>
        <v>0</v>
      </c>
      <c r="C1536" s="3" t="n">
        <v>40528</v>
      </c>
      <c r="D1536" s="2" t="s">
        <v>11846</v>
      </c>
      <c r="F1536" s="2" t="s">
        <v>11847</v>
      </c>
      <c r="G1536" s="2" t="s">
        <v>11848</v>
      </c>
      <c r="H1536" s="2" t="s">
        <v>11849</v>
      </c>
      <c r="I1536" s="2" t="s">
        <v>2749</v>
      </c>
      <c r="J1536" s="2" t="s">
        <v>65</v>
      </c>
      <c r="K1536" s="2" t="s">
        <v>11850</v>
      </c>
      <c r="L1536" s="2" t="s">
        <v>2749</v>
      </c>
      <c r="M1536" s="2" t="s">
        <v>8409</v>
      </c>
      <c r="N1536" s="2" t="s">
        <v>11851</v>
      </c>
      <c r="O1536" s="2"/>
      <c r="P1536" s="2" t="s">
        <v>37</v>
      </c>
      <c r="Q1536" s="4" t="n">
        <v>2869</v>
      </c>
      <c r="R1536" s="2" t="s">
        <v>136</v>
      </c>
      <c r="S1536" s="2" t="s">
        <v>39</v>
      </c>
      <c r="T1536" s="2" t="s">
        <v>403</v>
      </c>
      <c r="U1536" s="2" t="s">
        <v>11852</v>
      </c>
      <c r="V1536" s="2"/>
      <c r="W1536" s="2" t="s">
        <v>42</v>
      </c>
      <c r="X1536" s="2" t="s">
        <v>46</v>
      </c>
      <c r="Y1536" s="2" t="s">
        <v>37</v>
      </c>
      <c r="Z1536" s="2" t="s">
        <v>362</v>
      </c>
      <c r="AA1536" s="2"/>
      <c r="AB1536" s="2"/>
      <c r="AC1536" s="2" t="s">
        <v>11853</v>
      </c>
      <c r="AD1536" s="2" t="s">
        <v>46</v>
      </c>
    </row>
    <row r="1537" customFormat="false" ht="15.7" hidden="false" customHeight="true" outlineLevel="0" collapsed="false">
      <c r="A1537" s="2"/>
      <c r="B1537" s="3" t="n">
        <f aca="false">DATE(2010,12,20)</f>
        <v>0</v>
      </c>
      <c r="C1537" s="3" t="n">
        <v>40532</v>
      </c>
      <c r="D1537" s="2" t="s">
        <v>11854</v>
      </c>
      <c r="F1537" s="2" t="s">
        <v>11855</v>
      </c>
      <c r="G1537" s="2" t="s">
        <v>11856</v>
      </c>
      <c r="H1537" s="2" t="s">
        <v>63</v>
      </c>
      <c r="I1537" s="2" t="s">
        <v>899</v>
      </c>
      <c r="J1537" s="2" t="s">
        <v>3906</v>
      </c>
      <c r="K1537" s="2" t="s">
        <v>11854</v>
      </c>
      <c r="L1537" s="2" t="s">
        <v>899</v>
      </c>
      <c r="M1537" s="2" t="s">
        <v>63</v>
      </c>
      <c r="N1537" s="2" t="s">
        <v>11857</v>
      </c>
      <c r="O1537" s="2"/>
      <c r="P1537" s="2" t="s">
        <v>37</v>
      </c>
      <c r="Q1537" s="4" t="n">
        <v>8731</v>
      </c>
      <c r="R1537" s="2" t="s">
        <v>136</v>
      </c>
      <c r="S1537" s="2" t="s">
        <v>39</v>
      </c>
      <c r="T1537" s="2" t="s">
        <v>40</v>
      </c>
      <c r="U1537" s="2" t="s">
        <v>11858</v>
      </c>
      <c r="V1537" s="2"/>
      <c r="W1537" s="2" t="s">
        <v>42</v>
      </c>
      <c r="X1537" s="2" t="s">
        <v>43</v>
      </c>
      <c r="Y1537" s="2" t="s">
        <v>37</v>
      </c>
      <c r="Z1537" s="2" t="s">
        <v>44</v>
      </c>
      <c r="AA1537" s="2"/>
      <c r="AB1537" s="2"/>
      <c r="AC1537" s="2" t="s">
        <v>11859</v>
      </c>
      <c r="AD1537" s="2" t="s">
        <v>46</v>
      </c>
    </row>
    <row r="1538" customFormat="false" ht="15.7" hidden="false" customHeight="true" outlineLevel="0" collapsed="false">
      <c r="A1538" s="2"/>
      <c r="B1538" s="3" t="n">
        <f aca="false">DATE(2010,12,21)</f>
        <v>0</v>
      </c>
      <c r="C1538" s="3" t="n">
        <v>40533</v>
      </c>
      <c r="D1538" s="2" t="s">
        <v>11860</v>
      </c>
      <c r="F1538" s="2" t="s">
        <v>11861</v>
      </c>
      <c r="G1538" s="2" t="s">
        <v>11862</v>
      </c>
      <c r="H1538" s="2" t="s">
        <v>8119</v>
      </c>
      <c r="I1538" s="2" t="s">
        <v>664</v>
      </c>
      <c r="J1538" s="2" t="s">
        <v>7101</v>
      </c>
      <c r="K1538" s="2" t="s">
        <v>11860</v>
      </c>
      <c r="L1538" s="2" t="s">
        <v>664</v>
      </c>
      <c r="M1538" s="2" t="s">
        <v>8119</v>
      </c>
      <c r="N1538" s="2" t="s">
        <v>11863</v>
      </c>
      <c r="O1538" s="2"/>
      <c r="P1538" s="2" t="s">
        <v>37</v>
      </c>
      <c r="Q1538" s="4" t="n">
        <v>8731</v>
      </c>
      <c r="R1538" s="2" t="s">
        <v>136</v>
      </c>
      <c r="S1538" s="2" t="s">
        <v>39</v>
      </c>
      <c r="T1538" s="2" t="s">
        <v>2444</v>
      </c>
      <c r="U1538" s="2" t="s">
        <v>11864</v>
      </c>
      <c r="V1538" s="2"/>
      <c r="W1538" s="2" t="s">
        <v>1050</v>
      </c>
      <c r="X1538" s="2" t="s">
        <v>43</v>
      </c>
      <c r="Y1538" s="2" t="s">
        <v>37</v>
      </c>
      <c r="Z1538" s="2" t="s">
        <v>44</v>
      </c>
      <c r="AA1538" s="2" t="s">
        <v>11865</v>
      </c>
      <c r="AB1538" s="2"/>
      <c r="AC1538" s="2" t="s">
        <v>11866</v>
      </c>
      <c r="AD1538" s="2" t="s">
        <v>46</v>
      </c>
    </row>
    <row r="1539" customFormat="false" ht="15.7" hidden="false" customHeight="true" outlineLevel="0" collapsed="false">
      <c r="A1539" s="2"/>
      <c r="B1539" s="3" t="n">
        <f aca="false">DATE(2010,12,23)</f>
        <v>0</v>
      </c>
      <c r="C1539" s="3" t="n">
        <v>40535</v>
      </c>
      <c r="D1539" s="2" t="s">
        <v>11867</v>
      </c>
      <c r="F1539" s="2" t="s">
        <v>11868</v>
      </c>
      <c r="G1539" s="2" t="s">
        <v>11869</v>
      </c>
      <c r="H1539" s="2" t="s">
        <v>3313</v>
      </c>
      <c r="I1539" s="2" t="s">
        <v>11870</v>
      </c>
      <c r="J1539" s="2" t="s">
        <v>35</v>
      </c>
      <c r="K1539" s="2" t="s">
        <v>11871</v>
      </c>
      <c r="L1539" s="2" t="s">
        <v>11872</v>
      </c>
      <c r="M1539" s="2" t="s">
        <v>6991</v>
      </c>
      <c r="N1539" s="2" t="s">
        <v>11873</v>
      </c>
      <c r="O1539" s="2"/>
      <c r="P1539" s="2" t="s">
        <v>37</v>
      </c>
      <c r="Q1539" s="4" t="n">
        <v>2834</v>
      </c>
      <c r="R1539" s="2" t="s">
        <v>136</v>
      </c>
      <c r="S1539" s="2" t="s">
        <v>39</v>
      </c>
      <c r="T1539" s="2" t="s">
        <v>403</v>
      </c>
      <c r="U1539" s="2" t="s">
        <v>11874</v>
      </c>
      <c r="V1539" s="2"/>
      <c r="W1539" s="2" t="s">
        <v>42</v>
      </c>
      <c r="X1539" s="2" t="s">
        <v>43</v>
      </c>
      <c r="Y1539" s="2" t="s">
        <v>37</v>
      </c>
      <c r="Z1539" s="2" t="s">
        <v>44</v>
      </c>
      <c r="AA1539" s="2"/>
      <c r="AB1539" s="2"/>
      <c r="AC1539" s="2" t="s">
        <v>11875</v>
      </c>
      <c r="AD1539" s="2" t="s">
        <v>46</v>
      </c>
    </row>
    <row r="1540" customFormat="false" ht="15.7" hidden="false" customHeight="true" outlineLevel="0" collapsed="false">
      <c r="A1540" s="2"/>
      <c r="B1540" s="3" t="n">
        <f aca="false">DATE(2010,12,27)</f>
        <v>0</v>
      </c>
      <c r="C1540" s="3" t="n">
        <v>40539</v>
      </c>
      <c r="D1540" s="2" t="s">
        <v>11876</v>
      </c>
      <c r="F1540" s="2" t="s">
        <v>11877</v>
      </c>
      <c r="G1540" s="2" t="s">
        <v>11878</v>
      </c>
      <c r="H1540" s="2" t="s">
        <v>11879</v>
      </c>
      <c r="I1540" s="2" t="s">
        <v>34</v>
      </c>
      <c r="J1540" s="2" t="s">
        <v>35</v>
      </c>
      <c r="K1540" s="2" t="s">
        <v>11876</v>
      </c>
      <c r="L1540" s="2" t="s">
        <v>34</v>
      </c>
      <c r="M1540" s="2" t="s">
        <v>11879</v>
      </c>
      <c r="N1540" s="2" t="s">
        <v>11880</v>
      </c>
      <c r="O1540" s="2"/>
      <c r="P1540" s="2" t="s">
        <v>37</v>
      </c>
      <c r="Q1540" s="4" t="n">
        <v>2879</v>
      </c>
      <c r="R1540" s="2" t="s">
        <v>38</v>
      </c>
      <c r="S1540" s="2" t="s">
        <v>39</v>
      </c>
      <c r="T1540" s="2" t="s">
        <v>403</v>
      </c>
      <c r="U1540" s="2" t="s">
        <v>11881</v>
      </c>
      <c r="V1540" s="2"/>
      <c r="W1540" s="2" t="s">
        <v>42</v>
      </c>
      <c r="X1540" s="2" t="s">
        <v>46</v>
      </c>
      <c r="Y1540" s="2" t="s">
        <v>37</v>
      </c>
      <c r="Z1540" s="2" t="s">
        <v>11882</v>
      </c>
      <c r="AA1540" s="2"/>
      <c r="AB1540" s="2"/>
      <c r="AC1540" s="2" t="s">
        <v>11883</v>
      </c>
      <c r="AD1540" s="2" t="s">
        <v>46</v>
      </c>
    </row>
    <row r="1541" customFormat="false" ht="15.7" hidden="false" customHeight="true" outlineLevel="0" collapsed="false">
      <c r="A1541" s="2"/>
      <c r="B1541" s="3" t="n">
        <f aca="false">DATE(2010,12,31)</f>
        <v>0</v>
      </c>
      <c r="C1541" s="3" t="n">
        <v>40543</v>
      </c>
      <c r="D1541" s="2" t="s">
        <v>11884</v>
      </c>
      <c r="F1541" s="2" t="s">
        <v>11885</v>
      </c>
      <c r="G1541" s="2" t="s">
        <v>11886</v>
      </c>
      <c r="H1541" s="2" t="s">
        <v>130</v>
      </c>
      <c r="I1541" s="2" t="s">
        <v>51</v>
      </c>
      <c r="J1541" s="2" t="s">
        <v>9350</v>
      </c>
      <c r="K1541" s="2" t="s">
        <v>11884</v>
      </c>
      <c r="L1541" s="2" t="s">
        <v>51</v>
      </c>
      <c r="M1541" s="2" t="s">
        <v>130</v>
      </c>
      <c r="N1541" s="2" t="s">
        <v>11887</v>
      </c>
      <c r="O1541" s="2"/>
      <c r="P1541" s="2" t="s">
        <v>37</v>
      </c>
      <c r="Q1541" s="4" t="n">
        <v>8731</v>
      </c>
      <c r="R1541" s="2" t="s">
        <v>56</v>
      </c>
      <c r="S1541" s="2" t="s">
        <v>2265</v>
      </c>
      <c r="T1541" s="2" t="s">
        <v>40</v>
      </c>
      <c r="U1541" s="2" t="s">
        <v>11888</v>
      </c>
      <c r="V1541" s="2"/>
      <c r="W1541" s="2" t="s">
        <v>42</v>
      </c>
      <c r="X1541" s="2" t="s">
        <v>43</v>
      </c>
      <c r="Y1541" s="2" t="s">
        <v>37</v>
      </c>
      <c r="Z1541" s="2" t="s">
        <v>44</v>
      </c>
      <c r="AA1541" s="2"/>
      <c r="AB1541" s="2"/>
      <c r="AC1541" s="2" t="s">
        <v>11889</v>
      </c>
      <c r="AD1541" s="2" t="s">
        <v>46</v>
      </c>
    </row>
    <row r="1542" customFormat="false" ht="15.7" hidden="false" customHeight="true" outlineLevel="0" collapsed="false">
      <c r="A1542" s="2"/>
      <c r="B1542" s="3" t="n">
        <f aca="false">DATE(2010,12,31)</f>
        <v>0</v>
      </c>
      <c r="C1542" s="3" t="n">
        <v>40543</v>
      </c>
      <c r="D1542" s="2" t="s">
        <v>11890</v>
      </c>
      <c r="F1542" s="2" t="s">
        <v>11891</v>
      </c>
      <c r="G1542" s="2" t="s">
        <v>11892</v>
      </c>
      <c r="H1542" s="2" t="s">
        <v>11893</v>
      </c>
      <c r="I1542" s="2" t="s">
        <v>11894</v>
      </c>
      <c r="J1542" s="2" t="s">
        <v>35</v>
      </c>
      <c r="K1542" s="2" t="s">
        <v>11890</v>
      </c>
      <c r="L1542" s="2" t="s">
        <v>11894</v>
      </c>
      <c r="M1542" s="2" t="s">
        <v>11893</v>
      </c>
      <c r="N1542" s="2" t="s">
        <v>11895</v>
      </c>
      <c r="O1542" s="2"/>
      <c r="P1542" s="2" t="s">
        <v>37</v>
      </c>
      <c r="Q1542" s="4" t="n">
        <v>3511</v>
      </c>
      <c r="R1542" s="2" t="s">
        <v>1208</v>
      </c>
      <c r="S1542" s="2" t="s">
        <v>39</v>
      </c>
      <c r="T1542" s="2" t="s">
        <v>403</v>
      </c>
      <c r="U1542" s="2" t="s">
        <v>11896</v>
      </c>
      <c r="V1542" s="2"/>
      <c r="W1542" s="2" t="s">
        <v>11897</v>
      </c>
      <c r="X1542" s="2" t="s">
        <v>46</v>
      </c>
      <c r="Y1542" s="2" t="s">
        <v>37</v>
      </c>
      <c r="Z1542" s="2" t="s">
        <v>987</v>
      </c>
      <c r="AA1542" s="2"/>
      <c r="AB1542" s="2"/>
      <c r="AC1542" s="2" t="s">
        <v>11898</v>
      </c>
      <c r="AD1542" s="2" t="s">
        <v>46</v>
      </c>
    </row>
    <row r="1543" customFormat="false" ht="15.7" hidden="false" customHeight="true" outlineLevel="0" collapsed="false">
      <c r="A1543" s="2"/>
      <c r="B1543" s="3" t="n">
        <f aca="false">DATE(2011,1,3)</f>
        <v>0</v>
      </c>
      <c r="C1543" s="3" t="n">
        <v>40546</v>
      </c>
      <c r="D1543" s="2" t="s">
        <v>11899</v>
      </c>
      <c r="F1543" s="2" t="s">
        <v>11900</v>
      </c>
      <c r="G1543" s="2" t="s">
        <v>11901</v>
      </c>
      <c r="H1543" s="2" t="s">
        <v>170</v>
      </c>
      <c r="I1543" s="2" t="s">
        <v>5999</v>
      </c>
      <c r="J1543" s="2" t="s">
        <v>65</v>
      </c>
      <c r="K1543" s="2" t="s">
        <v>11899</v>
      </c>
      <c r="L1543" s="2" t="s">
        <v>5999</v>
      </c>
      <c r="M1543" s="2" t="s">
        <v>170</v>
      </c>
      <c r="N1543" s="2" t="s">
        <v>11902</v>
      </c>
      <c r="O1543" s="2"/>
      <c r="P1543" s="2" t="s">
        <v>37</v>
      </c>
      <c r="Q1543" s="4" t="n">
        <v>3845</v>
      </c>
      <c r="R1543" s="2" t="s">
        <v>136</v>
      </c>
      <c r="S1543" s="2" t="s">
        <v>39</v>
      </c>
      <c r="T1543" s="2" t="s">
        <v>403</v>
      </c>
      <c r="U1543" s="2" t="s">
        <v>11903</v>
      </c>
      <c r="V1543" s="2"/>
      <c r="W1543" s="2" t="s">
        <v>82</v>
      </c>
      <c r="X1543" s="2" t="s">
        <v>46</v>
      </c>
      <c r="Y1543" s="2" t="s">
        <v>37</v>
      </c>
      <c r="Z1543" s="2" t="s">
        <v>362</v>
      </c>
      <c r="AA1543" s="2"/>
      <c r="AB1543" s="2"/>
      <c r="AC1543" s="2" t="s">
        <v>11904</v>
      </c>
      <c r="AD1543" s="2" t="s">
        <v>46</v>
      </c>
    </row>
    <row r="1544" customFormat="false" ht="15.7" hidden="false" customHeight="true" outlineLevel="0" collapsed="false">
      <c r="A1544" s="2"/>
      <c r="B1544" s="3" t="n">
        <f aca="false">DATE(2011,1,4)</f>
        <v>0</v>
      </c>
      <c r="C1544" s="3" t="n">
        <v>40547</v>
      </c>
      <c r="D1544" s="2" t="s">
        <v>11905</v>
      </c>
      <c r="F1544" s="2" t="s">
        <v>3852</v>
      </c>
      <c r="G1544" s="2" t="s">
        <v>11906</v>
      </c>
      <c r="H1544" s="2" t="s">
        <v>63</v>
      </c>
      <c r="I1544" s="2" t="s">
        <v>899</v>
      </c>
      <c r="J1544" s="2" t="s">
        <v>795</v>
      </c>
      <c r="K1544" s="2" t="s">
        <v>11905</v>
      </c>
      <c r="L1544" s="2" t="s">
        <v>899</v>
      </c>
      <c r="M1544" s="2" t="s">
        <v>63</v>
      </c>
      <c r="N1544" s="2" t="s">
        <v>11907</v>
      </c>
      <c r="O1544" s="2"/>
      <c r="P1544" s="2" t="s">
        <v>37</v>
      </c>
      <c r="Q1544" s="4" t="n">
        <v>2834</v>
      </c>
      <c r="R1544" s="2" t="s">
        <v>136</v>
      </c>
      <c r="S1544" s="2" t="s">
        <v>39</v>
      </c>
      <c r="T1544" s="2" t="s">
        <v>40</v>
      </c>
      <c r="U1544" s="2" t="s">
        <v>11908</v>
      </c>
      <c r="V1544" s="2"/>
      <c r="W1544" s="2" t="s">
        <v>42</v>
      </c>
      <c r="X1544" s="2" t="s">
        <v>43</v>
      </c>
      <c r="Y1544" s="2" t="s">
        <v>37</v>
      </c>
      <c r="Z1544" s="2" t="s">
        <v>44</v>
      </c>
      <c r="AA1544" s="2"/>
      <c r="AB1544" s="2"/>
      <c r="AC1544" s="2" t="s">
        <v>11909</v>
      </c>
      <c r="AD1544" s="2" t="s">
        <v>46</v>
      </c>
    </row>
    <row r="1545" customFormat="false" ht="15.7" hidden="false" customHeight="true" outlineLevel="0" collapsed="false">
      <c r="A1545" s="2"/>
      <c r="B1545" s="3" t="n">
        <f aca="false">DATE(2011,1,5)</f>
        <v>0</v>
      </c>
      <c r="C1545" s="3" t="n">
        <v>40548</v>
      </c>
      <c r="D1545" s="2" t="s">
        <v>11910</v>
      </c>
      <c r="F1545" s="2" t="s">
        <v>11911</v>
      </c>
      <c r="G1545" s="2" t="s">
        <v>11912</v>
      </c>
      <c r="H1545" s="2" t="s">
        <v>130</v>
      </c>
      <c r="I1545" s="2" t="s">
        <v>51</v>
      </c>
      <c r="J1545" s="2" t="s">
        <v>11913</v>
      </c>
      <c r="K1545" s="2" t="s">
        <v>11910</v>
      </c>
      <c r="L1545" s="2" t="s">
        <v>51</v>
      </c>
      <c r="M1545" s="2" t="s">
        <v>130</v>
      </c>
      <c r="N1545" s="2" t="s">
        <v>11914</v>
      </c>
      <c r="O1545" s="2"/>
      <c r="P1545" s="2" t="s">
        <v>37</v>
      </c>
      <c r="Q1545" s="4" t="n">
        <v>2834</v>
      </c>
      <c r="R1545" s="2" t="s">
        <v>56</v>
      </c>
      <c r="S1545" s="2" t="s">
        <v>2265</v>
      </c>
      <c r="T1545" s="2" t="s">
        <v>403</v>
      </c>
      <c r="U1545" s="2" t="s">
        <v>11915</v>
      </c>
      <c r="V1545" s="2"/>
      <c r="W1545" s="2" t="s">
        <v>773</v>
      </c>
      <c r="X1545" s="2" t="s">
        <v>46</v>
      </c>
      <c r="Y1545" s="2" t="s">
        <v>37</v>
      </c>
      <c r="Z1545" s="2" t="s">
        <v>362</v>
      </c>
      <c r="AA1545" s="2"/>
      <c r="AB1545" s="2"/>
      <c r="AC1545" s="2" t="s">
        <v>11916</v>
      </c>
      <c r="AD1545" s="2" t="s">
        <v>46</v>
      </c>
    </row>
    <row r="1546" customFormat="false" ht="15.7" hidden="false" customHeight="true" outlineLevel="0" collapsed="false">
      <c r="A1546" s="2"/>
      <c r="B1546" s="3" t="n">
        <f aca="false">DATE(2011,1,5)</f>
        <v>0</v>
      </c>
      <c r="C1546" s="3" t="n">
        <v>40548</v>
      </c>
      <c r="D1546" s="2" t="s">
        <v>11917</v>
      </c>
      <c r="F1546" s="2" t="s">
        <v>256</v>
      </c>
      <c r="G1546" s="2" t="s">
        <v>11918</v>
      </c>
      <c r="H1546" s="2" t="s">
        <v>170</v>
      </c>
      <c r="I1546" s="2" t="s">
        <v>1713</v>
      </c>
      <c r="J1546" s="2" t="s">
        <v>35</v>
      </c>
      <c r="K1546" s="2" t="s">
        <v>11917</v>
      </c>
      <c r="L1546" s="2" t="s">
        <v>1713</v>
      </c>
      <c r="M1546" s="2" t="s">
        <v>170</v>
      </c>
      <c r="N1546" s="2" t="s">
        <v>11919</v>
      </c>
      <c r="O1546" s="2"/>
      <c r="P1546" s="2" t="s">
        <v>37</v>
      </c>
      <c r="Q1546" s="4" t="n">
        <v>2836</v>
      </c>
      <c r="R1546" s="2" t="s">
        <v>1717</v>
      </c>
      <c r="S1546" s="2" t="s">
        <v>39</v>
      </c>
      <c r="T1546" s="2" t="s">
        <v>403</v>
      </c>
      <c r="U1546" s="2" t="s">
        <v>11920</v>
      </c>
      <c r="V1546" s="2"/>
      <c r="W1546" s="2" t="s">
        <v>42</v>
      </c>
      <c r="X1546" s="2" t="s">
        <v>46</v>
      </c>
      <c r="Y1546" s="2" t="s">
        <v>37</v>
      </c>
      <c r="Z1546" s="2" t="s">
        <v>362</v>
      </c>
      <c r="AA1546" s="2"/>
      <c r="AB1546" s="2"/>
      <c r="AC1546" s="2" t="s">
        <v>11921</v>
      </c>
      <c r="AD1546" s="2" t="s">
        <v>46</v>
      </c>
    </row>
    <row r="1547" customFormat="false" ht="15.7" hidden="false" customHeight="true" outlineLevel="0" collapsed="false">
      <c r="A1547" s="2"/>
      <c r="B1547" s="3" t="n">
        <f aca="false">DATE(2011,1,5)</f>
        <v>0</v>
      </c>
      <c r="C1547" s="3" t="n">
        <v>40548</v>
      </c>
      <c r="D1547" s="2" t="s">
        <v>11922</v>
      </c>
      <c r="F1547" s="2" t="s">
        <v>11923</v>
      </c>
      <c r="G1547" s="2" t="s">
        <v>11924</v>
      </c>
      <c r="H1547" s="2" t="s">
        <v>11925</v>
      </c>
      <c r="I1547" s="2" t="s">
        <v>821</v>
      </c>
      <c r="J1547" s="2" t="s">
        <v>625</v>
      </c>
      <c r="K1547" s="2" t="s">
        <v>11922</v>
      </c>
      <c r="L1547" s="2" t="s">
        <v>821</v>
      </c>
      <c r="M1547" s="2" t="s">
        <v>11925</v>
      </c>
      <c r="N1547" s="2" t="s">
        <v>11926</v>
      </c>
      <c r="O1547" s="2"/>
      <c r="P1547" s="2" t="s">
        <v>37</v>
      </c>
      <c r="Q1547" s="4" t="n">
        <v>2836</v>
      </c>
      <c r="R1547" s="2" t="s">
        <v>136</v>
      </c>
      <c r="S1547" s="2" t="s">
        <v>39</v>
      </c>
      <c r="T1547" s="2" t="s">
        <v>40</v>
      </c>
      <c r="U1547" s="2" t="s">
        <v>11927</v>
      </c>
      <c r="V1547" s="2"/>
      <c r="W1547" s="2" t="s">
        <v>42</v>
      </c>
      <c r="X1547" s="2" t="s">
        <v>43</v>
      </c>
      <c r="Y1547" s="2" t="s">
        <v>37</v>
      </c>
      <c r="Z1547" s="2" t="s">
        <v>44</v>
      </c>
      <c r="AA1547" s="2"/>
      <c r="AB1547" s="2"/>
      <c r="AC1547" s="2" t="s">
        <v>11928</v>
      </c>
      <c r="AD1547" s="2" t="s">
        <v>46</v>
      </c>
    </row>
    <row r="1548" customFormat="false" ht="15.7" hidden="false" customHeight="true" outlineLevel="0" collapsed="false">
      <c r="A1548" s="2"/>
      <c r="B1548" s="3" t="n">
        <f aca="false">DATE(2011,1,6)</f>
        <v>0</v>
      </c>
      <c r="C1548" s="3" t="n">
        <v>40549</v>
      </c>
      <c r="D1548" s="2" t="s">
        <v>11929</v>
      </c>
      <c r="F1548" s="2" t="s">
        <v>4971</v>
      </c>
      <c r="G1548" s="2" t="s">
        <v>11930</v>
      </c>
      <c r="H1548" s="2" t="s">
        <v>130</v>
      </c>
      <c r="I1548" s="2" t="s">
        <v>51</v>
      </c>
      <c r="J1548" s="2" t="s">
        <v>171</v>
      </c>
      <c r="K1548" s="2" t="s">
        <v>11929</v>
      </c>
      <c r="L1548" s="2" t="s">
        <v>51</v>
      </c>
      <c r="M1548" s="2" t="s">
        <v>130</v>
      </c>
      <c r="N1548" s="2" t="s">
        <v>11931</v>
      </c>
      <c r="O1548" s="2"/>
      <c r="P1548" s="2" t="s">
        <v>37</v>
      </c>
      <c r="Q1548" s="4" t="n">
        <v>2834</v>
      </c>
      <c r="R1548" s="2" t="s">
        <v>402</v>
      </c>
      <c r="S1548" s="2" t="s">
        <v>39</v>
      </c>
      <c r="T1548" s="2" t="s">
        <v>40</v>
      </c>
      <c r="U1548" s="2" t="s">
        <v>11932</v>
      </c>
      <c r="V1548" s="2"/>
      <c r="W1548" s="2" t="s">
        <v>42</v>
      </c>
      <c r="X1548" s="2" t="s">
        <v>43</v>
      </c>
      <c r="Y1548" s="2" t="s">
        <v>37</v>
      </c>
      <c r="Z1548" s="2" t="s">
        <v>44</v>
      </c>
      <c r="AA1548" s="2"/>
      <c r="AB1548" s="2"/>
      <c r="AC1548" s="2" t="s">
        <v>11933</v>
      </c>
      <c r="AD1548" s="2" t="s">
        <v>46</v>
      </c>
    </row>
    <row r="1549" customFormat="false" ht="15.7" hidden="false" customHeight="true" outlineLevel="0" collapsed="false">
      <c r="A1549" s="2"/>
      <c r="B1549" s="3" t="n">
        <f aca="false">DATE(2011,1,6)</f>
        <v>0</v>
      </c>
      <c r="C1549" s="3" t="n">
        <v>40549</v>
      </c>
      <c r="D1549" s="2" t="s">
        <v>11934</v>
      </c>
      <c r="F1549" s="2" t="s">
        <v>11935</v>
      </c>
      <c r="G1549" s="2" t="s">
        <v>11936</v>
      </c>
      <c r="H1549" s="2" t="s">
        <v>11937</v>
      </c>
      <c r="I1549" s="2" t="s">
        <v>11938</v>
      </c>
      <c r="J1549" s="2" t="s">
        <v>35</v>
      </c>
      <c r="K1549" s="2" t="s">
        <v>11934</v>
      </c>
      <c r="L1549" s="2" t="s">
        <v>11938</v>
      </c>
      <c r="M1549" s="2" t="s">
        <v>11937</v>
      </c>
      <c r="N1549" s="2" t="s">
        <v>11939</v>
      </c>
      <c r="O1549" s="2"/>
      <c r="P1549" s="2" t="s">
        <v>37</v>
      </c>
      <c r="Q1549" s="4" t="n">
        <v>2899</v>
      </c>
      <c r="R1549" s="2" t="s">
        <v>121</v>
      </c>
      <c r="S1549" s="2" t="s">
        <v>39</v>
      </c>
      <c r="T1549" s="2" t="s">
        <v>403</v>
      </c>
      <c r="U1549" s="2" t="s">
        <v>11940</v>
      </c>
      <c r="V1549" s="2"/>
      <c r="W1549" s="2" t="s">
        <v>42</v>
      </c>
      <c r="X1549" s="2" t="s">
        <v>46</v>
      </c>
      <c r="Y1549" s="2" t="s">
        <v>37</v>
      </c>
      <c r="Z1549" s="2" t="s">
        <v>362</v>
      </c>
      <c r="AA1549" s="2" t="s">
        <v>11941</v>
      </c>
      <c r="AB1549" s="2"/>
      <c r="AC1549" s="2" t="s">
        <v>11942</v>
      </c>
      <c r="AD1549" s="2" t="s">
        <v>46</v>
      </c>
    </row>
    <row r="1550" customFormat="false" ht="15.7" hidden="false" customHeight="true" outlineLevel="0" collapsed="false">
      <c r="A1550" s="2"/>
      <c r="B1550" s="3" t="n">
        <f aca="false">DATE(2011,1,11)</f>
        <v>0</v>
      </c>
      <c r="C1550" s="3" t="n">
        <v>40554</v>
      </c>
      <c r="D1550" s="2" t="s">
        <v>11943</v>
      </c>
      <c r="F1550" s="2" t="s">
        <v>11944</v>
      </c>
      <c r="G1550" s="2" t="s">
        <v>11945</v>
      </c>
      <c r="H1550" s="2" t="s">
        <v>523</v>
      </c>
      <c r="I1550" s="2" t="s">
        <v>330</v>
      </c>
      <c r="J1550" s="2" t="s">
        <v>331</v>
      </c>
      <c r="K1550" s="2" t="s">
        <v>11943</v>
      </c>
      <c r="L1550" s="2" t="s">
        <v>330</v>
      </c>
      <c r="M1550" s="2" t="s">
        <v>523</v>
      </c>
      <c r="N1550" s="2" t="s">
        <v>11946</v>
      </c>
      <c r="O1550" s="2"/>
      <c r="P1550" s="2" t="s">
        <v>37</v>
      </c>
      <c r="Q1550" s="4" t="n">
        <v>2834</v>
      </c>
      <c r="R1550" s="2" t="s">
        <v>136</v>
      </c>
      <c r="S1550" s="2" t="s">
        <v>39</v>
      </c>
      <c r="T1550" s="2" t="s">
        <v>40</v>
      </c>
      <c r="U1550" s="2" t="s">
        <v>11947</v>
      </c>
      <c r="V1550" s="2"/>
      <c r="W1550" s="2" t="s">
        <v>138</v>
      </c>
      <c r="X1550" s="2" t="s">
        <v>43</v>
      </c>
      <c r="Y1550" s="2" t="s">
        <v>37</v>
      </c>
      <c r="Z1550" s="2" t="s">
        <v>44</v>
      </c>
      <c r="AA1550" s="2" t="s">
        <v>11948</v>
      </c>
      <c r="AB1550" s="2"/>
      <c r="AC1550" s="2" t="s">
        <v>11949</v>
      </c>
      <c r="AD1550" s="2" t="s">
        <v>46</v>
      </c>
    </row>
    <row r="1551" customFormat="false" ht="15.7" hidden="false" customHeight="true" outlineLevel="0" collapsed="false">
      <c r="A1551" s="2"/>
      <c r="B1551" s="3" t="n">
        <f aca="false">DATE(2011,1,11)</f>
        <v>0</v>
      </c>
      <c r="C1551" s="3" t="n">
        <v>40554</v>
      </c>
      <c r="D1551" s="2" t="s">
        <v>11950</v>
      </c>
      <c r="F1551" s="2" t="s">
        <v>11951</v>
      </c>
      <c r="G1551" s="2" t="s">
        <v>11952</v>
      </c>
      <c r="H1551" s="2" t="s">
        <v>130</v>
      </c>
      <c r="I1551" s="2" t="s">
        <v>51</v>
      </c>
      <c r="J1551" s="2" t="s">
        <v>11953</v>
      </c>
      <c r="K1551" s="2" t="s">
        <v>11954</v>
      </c>
      <c r="L1551" s="2" t="s">
        <v>131</v>
      </c>
      <c r="M1551" s="2" t="s">
        <v>130</v>
      </c>
      <c r="N1551" s="2" t="s">
        <v>11955</v>
      </c>
      <c r="O1551" s="2"/>
      <c r="P1551" s="2" t="s">
        <v>37</v>
      </c>
      <c r="Q1551" s="4" t="n">
        <v>2836</v>
      </c>
      <c r="R1551" s="2" t="s">
        <v>56</v>
      </c>
      <c r="S1551" s="2" t="s">
        <v>2265</v>
      </c>
      <c r="T1551" s="2" t="s">
        <v>40</v>
      </c>
      <c r="U1551" s="2" t="s">
        <v>11956</v>
      </c>
      <c r="V1551" s="2"/>
      <c r="W1551" s="2" t="s">
        <v>773</v>
      </c>
      <c r="X1551" s="2" t="s">
        <v>43</v>
      </c>
      <c r="Y1551" s="2" t="s">
        <v>37</v>
      </c>
      <c r="Z1551" s="2" t="s">
        <v>44</v>
      </c>
      <c r="AA1551" s="2"/>
      <c r="AB1551" s="2"/>
      <c r="AC1551" s="2" t="s">
        <v>11957</v>
      </c>
      <c r="AD1551" s="2" t="s">
        <v>46</v>
      </c>
    </row>
    <row r="1552" customFormat="false" ht="15.7" hidden="false" customHeight="true" outlineLevel="0" collapsed="false">
      <c r="A1552" s="2"/>
      <c r="B1552" s="3" t="n">
        <f aca="false">DATE(2011,1,14)</f>
        <v>0</v>
      </c>
      <c r="C1552" s="3" t="n">
        <v>40557</v>
      </c>
      <c r="D1552" s="2" t="s">
        <v>11958</v>
      </c>
      <c r="F1552" s="2" t="s">
        <v>11959</v>
      </c>
      <c r="G1552" s="2" t="s">
        <v>11960</v>
      </c>
      <c r="H1552" s="2" t="s">
        <v>130</v>
      </c>
      <c r="I1552" s="2" t="s">
        <v>11961</v>
      </c>
      <c r="J1552" s="2" t="s">
        <v>35</v>
      </c>
      <c r="K1552" s="2" t="s">
        <v>11958</v>
      </c>
      <c r="L1552" s="2" t="s">
        <v>11961</v>
      </c>
      <c r="M1552" s="2" t="s">
        <v>130</v>
      </c>
      <c r="N1552" s="2" t="s">
        <v>11962</v>
      </c>
      <c r="O1552" s="2"/>
      <c r="P1552" s="2" t="s">
        <v>37</v>
      </c>
      <c r="Q1552" s="4" t="n">
        <v>2834</v>
      </c>
      <c r="R1552" s="2" t="s">
        <v>11963</v>
      </c>
      <c r="S1552" s="2" t="s">
        <v>39</v>
      </c>
      <c r="T1552" s="2" t="s">
        <v>40</v>
      </c>
      <c r="U1552" s="2" t="s">
        <v>11964</v>
      </c>
      <c r="V1552" s="2"/>
      <c r="W1552" s="2" t="s">
        <v>773</v>
      </c>
      <c r="X1552" s="2" t="s">
        <v>46</v>
      </c>
      <c r="Y1552" s="2" t="s">
        <v>37</v>
      </c>
      <c r="Z1552" s="2" t="s">
        <v>362</v>
      </c>
      <c r="AA1552" s="2"/>
      <c r="AB1552" s="2"/>
      <c r="AC1552" s="2" t="s">
        <v>11965</v>
      </c>
      <c r="AD1552" s="2" t="s">
        <v>46</v>
      </c>
    </row>
    <row r="1553" customFormat="false" ht="15.7" hidden="false" customHeight="true" outlineLevel="0" collapsed="false">
      <c r="A1553" s="2"/>
      <c r="B1553" s="3" t="n">
        <f aca="false">DATE(2011,1,17)</f>
        <v>0</v>
      </c>
      <c r="C1553" s="3" t="n">
        <v>40560</v>
      </c>
      <c r="D1553" s="2" t="s">
        <v>11966</v>
      </c>
      <c r="F1553" s="2" t="s">
        <v>11967</v>
      </c>
      <c r="G1553" s="2" t="s">
        <v>11968</v>
      </c>
      <c r="H1553" s="2" t="s">
        <v>63</v>
      </c>
      <c r="I1553" s="2" t="s">
        <v>4705</v>
      </c>
      <c r="J1553" s="2" t="s">
        <v>35</v>
      </c>
      <c r="K1553" s="2" t="s">
        <v>11969</v>
      </c>
      <c r="L1553" s="2" t="s">
        <v>3501</v>
      </c>
      <c r="M1553" s="2" t="s">
        <v>130</v>
      </c>
      <c r="N1553" s="2" t="s">
        <v>11970</v>
      </c>
      <c r="O1553" s="2"/>
      <c r="P1553" s="2" t="s">
        <v>37</v>
      </c>
      <c r="Q1553" s="4" t="n">
        <v>2834</v>
      </c>
      <c r="R1553" s="2" t="s">
        <v>136</v>
      </c>
      <c r="S1553" s="2" t="s">
        <v>39</v>
      </c>
      <c r="T1553" s="2" t="s">
        <v>40</v>
      </c>
      <c r="U1553" s="2" t="s">
        <v>11971</v>
      </c>
      <c r="V1553" s="2"/>
      <c r="W1553" s="2" t="s">
        <v>11972</v>
      </c>
      <c r="X1553" s="2" t="s">
        <v>43</v>
      </c>
      <c r="Y1553" s="2" t="s">
        <v>37</v>
      </c>
      <c r="Z1553" s="2" t="s">
        <v>44</v>
      </c>
      <c r="AA1553" s="2"/>
      <c r="AB1553" s="2"/>
      <c r="AC1553" s="2" t="s">
        <v>11973</v>
      </c>
      <c r="AD1553" s="2" t="s">
        <v>46</v>
      </c>
    </row>
    <row r="1554" customFormat="false" ht="15.7" hidden="false" customHeight="true" outlineLevel="0" collapsed="false">
      <c r="A1554" s="2"/>
      <c r="B1554" s="3" t="n">
        <f aca="false">DATE(2011,1,19)</f>
        <v>0</v>
      </c>
      <c r="C1554" s="3" t="n">
        <v>40562</v>
      </c>
      <c r="D1554" s="2" t="s">
        <v>11974</v>
      </c>
      <c r="F1554" s="2" t="s">
        <v>11975</v>
      </c>
      <c r="G1554" s="2" t="s">
        <v>11976</v>
      </c>
      <c r="H1554" s="2" t="s">
        <v>11977</v>
      </c>
      <c r="I1554" s="2" t="s">
        <v>670</v>
      </c>
      <c r="J1554" s="2" t="s">
        <v>155</v>
      </c>
      <c r="K1554" s="2" t="s">
        <v>11978</v>
      </c>
      <c r="L1554" s="2" t="s">
        <v>11034</v>
      </c>
      <c r="M1554" s="2" t="s">
        <v>11979</v>
      </c>
      <c r="N1554" s="2" t="s">
        <v>11980</v>
      </c>
      <c r="O1554" s="2"/>
      <c r="P1554" s="2" t="s">
        <v>37</v>
      </c>
      <c r="Q1554" s="4" t="n">
        <v>7373</v>
      </c>
      <c r="R1554" s="2" t="s">
        <v>402</v>
      </c>
      <c r="S1554" s="2" t="s">
        <v>39</v>
      </c>
      <c r="T1554" s="2" t="s">
        <v>40</v>
      </c>
      <c r="U1554" s="2" t="s">
        <v>11981</v>
      </c>
      <c r="V1554" s="2"/>
      <c r="W1554" s="2" t="s">
        <v>344</v>
      </c>
      <c r="X1554" s="2" t="s">
        <v>46</v>
      </c>
      <c r="Y1554" s="2" t="s">
        <v>37</v>
      </c>
      <c r="Z1554" s="2" t="s">
        <v>362</v>
      </c>
      <c r="AA1554" s="2"/>
      <c r="AB1554" s="2"/>
      <c r="AC1554" s="2" t="s">
        <v>11982</v>
      </c>
      <c r="AD1554" s="2" t="s">
        <v>46</v>
      </c>
    </row>
    <row r="1555" customFormat="false" ht="15.7" hidden="false" customHeight="true" outlineLevel="0" collapsed="false">
      <c r="A1555" s="2"/>
      <c r="B1555" s="3" t="n">
        <f aca="false">DATE(2011,1,19)</f>
        <v>0</v>
      </c>
      <c r="C1555" s="3" t="n">
        <v>40562</v>
      </c>
      <c r="D1555" s="2" t="s">
        <v>11983</v>
      </c>
      <c r="F1555" s="2" t="s">
        <v>11984</v>
      </c>
      <c r="G1555" s="2" t="s">
        <v>11985</v>
      </c>
      <c r="H1555" s="2" t="s">
        <v>11986</v>
      </c>
      <c r="I1555" s="2" t="s">
        <v>4325</v>
      </c>
      <c r="J1555" s="2" t="s">
        <v>35</v>
      </c>
      <c r="K1555" s="2" t="s">
        <v>11983</v>
      </c>
      <c r="L1555" s="2" t="s">
        <v>4325</v>
      </c>
      <c r="M1555" s="2" t="s">
        <v>11986</v>
      </c>
      <c r="N1555" s="2" t="s">
        <v>11987</v>
      </c>
      <c r="O1555" s="2"/>
      <c r="P1555" s="2" t="s">
        <v>37</v>
      </c>
      <c r="Q1555" s="4" t="n">
        <v>8731</v>
      </c>
      <c r="R1555" s="2" t="s">
        <v>402</v>
      </c>
      <c r="S1555" s="2" t="s">
        <v>39</v>
      </c>
      <c r="T1555" s="2" t="s">
        <v>40</v>
      </c>
      <c r="U1555" s="2" t="s">
        <v>11988</v>
      </c>
      <c r="V1555" s="2"/>
      <c r="W1555" s="2" t="s">
        <v>42</v>
      </c>
      <c r="X1555" s="2" t="s">
        <v>46</v>
      </c>
      <c r="Y1555" s="2" t="s">
        <v>37</v>
      </c>
      <c r="Z1555" s="2" t="s">
        <v>362</v>
      </c>
      <c r="AA1555" s="2"/>
      <c r="AB1555" s="2"/>
      <c r="AC1555" s="2" t="s">
        <v>11989</v>
      </c>
      <c r="AD1555" s="2" t="s">
        <v>46</v>
      </c>
    </row>
    <row r="1556" customFormat="false" ht="15.7" hidden="false" customHeight="true" outlineLevel="0" collapsed="false">
      <c r="A1556" s="2"/>
      <c r="B1556" s="3" t="n">
        <f aca="false">DATE(2011,2,1)</f>
        <v>0</v>
      </c>
      <c r="C1556" s="3" t="n">
        <v>40575</v>
      </c>
      <c r="D1556" s="2" t="s">
        <v>11990</v>
      </c>
      <c r="F1556" s="2" t="s">
        <v>11991</v>
      </c>
      <c r="G1556" s="2" t="s">
        <v>11992</v>
      </c>
      <c r="H1556" s="2" t="s">
        <v>523</v>
      </c>
      <c r="I1556" s="2" t="s">
        <v>3265</v>
      </c>
      <c r="J1556" s="2" t="s">
        <v>258</v>
      </c>
      <c r="K1556" s="2" t="s">
        <v>11990</v>
      </c>
      <c r="L1556" s="2" t="s">
        <v>3265</v>
      </c>
      <c r="M1556" s="2" t="s">
        <v>523</v>
      </c>
      <c r="N1556" s="2" t="s">
        <v>11993</v>
      </c>
      <c r="O1556" s="2"/>
      <c r="P1556" s="2" t="s">
        <v>37</v>
      </c>
      <c r="Q1556" s="4" t="n">
        <v>2836</v>
      </c>
      <c r="R1556" s="2" t="s">
        <v>56</v>
      </c>
      <c r="S1556" s="2" t="s">
        <v>2265</v>
      </c>
      <c r="T1556" s="2" t="s">
        <v>403</v>
      </c>
      <c r="U1556" s="2" t="s">
        <v>11994</v>
      </c>
      <c r="V1556" s="2"/>
      <c r="W1556" s="2" t="s">
        <v>42</v>
      </c>
      <c r="X1556" s="2" t="s">
        <v>46</v>
      </c>
      <c r="Y1556" s="2" t="s">
        <v>37</v>
      </c>
      <c r="Z1556" s="2" t="s">
        <v>362</v>
      </c>
      <c r="AA1556" s="2"/>
      <c r="AB1556" s="2"/>
      <c r="AC1556" s="2" t="s">
        <v>11995</v>
      </c>
      <c r="AD1556" s="2" t="s">
        <v>46</v>
      </c>
    </row>
    <row r="1557" customFormat="false" ht="15.7" hidden="false" customHeight="true" outlineLevel="0" collapsed="false">
      <c r="A1557" s="2"/>
      <c r="B1557" s="3" t="n">
        <f aca="false">DATE(2011,2,3)</f>
        <v>0</v>
      </c>
      <c r="C1557" s="3" t="n">
        <v>40577</v>
      </c>
      <c r="D1557" s="2" t="s">
        <v>11996</v>
      </c>
      <c r="F1557" s="2" t="s">
        <v>11997</v>
      </c>
      <c r="G1557" s="2" t="s">
        <v>11998</v>
      </c>
      <c r="H1557" s="2" t="s">
        <v>11999</v>
      </c>
      <c r="I1557" s="2" t="s">
        <v>12000</v>
      </c>
      <c r="J1557" s="2" t="s">
        <v>1305</v>
      </c>
      <c r="K1557" s="2" t="s">
        <v>11996</v>
      </c>
      <c r="L1557" s="2" t="s">
        <v>12000</v>
      </c>
      <c r="M1557" s="2" t="s">
        <v>11999</v>
      </c>
      <c r="N1557" s="2" t="s">
        <v>12001</v>
      </c>
      <c r="O1557" s="2"/>
      <c r="P1557" s="2" t="s">
        <v>37</v>
      </c>
      <c r="Q1557" s="4" t="n">
        <v>2873</v>
      </c>
      <c r="R1557" s="2" t="s">
        <v>105</v>
      </c>
      <c r="S1557" s="2" t="s">
        <v>39</v>
      </c>
      <c r="T1557" s="2" t="s">
        <v>403</v>
      </c>
      <c r="U1557" s="2" t="s">
        <v>12002</v>
      </c>
      <c r="V1557" s="2"/>
      <c r="W1557" s="2" t="s">
        <v>107</v>
      </c>
      <c r="X1557" s="2" t="s">
        <v>46</v>
      </c>
      <c r="Y1557" s="2" t="s">
        <v>37</v>
      </c>
      <c r="Z1557" s="2" t="s">
        <v>11255</v>
      </c>
      <c r="AA1557" s="2"/>
      <c r="AB1557" s="2"/>
      <c r="AC1557" s="2" t="s">
        <v>12003</v>
      </c>
      <c r="AD1557" s="2" t="s">
        <v>46</v>
      </c>
    </row>
    <row r="1558" customFormat="false" ht="15.7" hidden="false" customHeight="true" outlineLevel="0" collapsed="false">
      <c r="A1558" s="2"/>
      <c r="B1558" s="3" t="n">
        <f aca="false">DATE(2011,2,9)</f>
        <v>0</v>
      </c>
      <c r="C1558" s="3" t="n">
        <v>40583</v>
      </c>
      <c r="D1558" s="2" t="s">
        <v>12004</v>
      </c>
      <c r="F1558" s="2" t="s">
        <v>1138</v>
      </c>
      <c r="G1558" s="2" t="s">
        <v>12005</v>
      </c>
      <c r="H1558" s="2" t="s">
        <v>305</v>
      </c>
      <c r="I1558" s="2" t="s">
        <v>12006</v>
      </c>
      <c r="J1558" s="2" t="s">
        <v>35</v>
      </c>
      <c r="K1558" s="2" t="s">
        <v>12007</v>
      </c>
      <c r="L1558" s="2" t="s">
        <v>12006</v>
      </c>
      <c r="M1558" s="2" t="s">
        <v>551</v>
      </c>
      <c r="N1558" s="2" t="s">
        <v>12008</v>
      </c>
      <c r="O1558" s="2"/>
      <c r="P1558" s="2" t="s">
        <v>37</v>
      </c>
      <c r="Q1558" s="4" t="n">
        <v>2834</v>
      </c>
      <c r="R1558" s="2" t="s">
        <v>136</v>
      </c>
      <c r="S1558" s="2" t="s">
        <v>39</v>
      </c>
      <c r="T1558" s="2" t="s">
        <v>403</v>
      </c>
      <c r="U1558" s="2" t="s">
        <v>12009</v>
      </c>
      <c r="V1558" s="2"/>
      <c r="W1558" s="2" t="s">
        <v>42</v>
      </c>
      <c r="X1558" s="2" t="s">
        <v>46</v>
      </c>
      <c r="Y1558" s="2" t="s">
        <v>37</v>
      </c>
      <c r="Z1558" s="2" t="s">
        <v>362</v>
      </c>
      <c r="AA1558" s="2"/>
      <c r="AB1558" s="2"/>
      <c r="AC1558" s="2" t="s">
        <v>12010</v>
      </c>
      <c r="AD1558" s="2" t="s">
        <v>46</v>
      </c>
    </row>
    <row r="1559" customFormat="false" ht="15.7" hidden="false" customHeight="true" outlineLevel="0" collapsed="false">
      <c r="A1559" s="2"/>
      <c r="B1559" s="3" t="n">
        <f aca="false">DATE(2011,2,10)</f>
        <v>0</v>
      </c>
      <c r="C1559" s="3" t="n">
        <v>40584</v>
      </c>
      <c r="D1559" s="2" t="s">
        <v>12011</v>
      </c>
      <c r="F1559" s="2" t="s">
        <v>12012</v>
      </c>
      <c r="G1559" s="2" t="s">
        <v>12013</v>
      </c>
      <c r="H1559" s="2" t="s">
        <v>130</v>
      </c>
      <c r="I1559" s="2" t="s">
        <v>51</v>
      </c>
      <c r="J1559" s="2" t="s">
        <v>12014</v>
      </c>
      <c r="K1559" s="2" t="s">
        <v>12011</v>
      </c>
      <c r="L1559" s="2" t="s">
        <v>51</v>
      </c>
      <c r="M1559" s="2" t="s">
        <v>130</v>
      </c>
      <c r="N1559" s="2" t="s">
        <v>12015</v>
      </c>
      <c r="O1559" s="2"/>
      <c r="P1559" s="2" t="s">
        <v>37</v>
      </c>
      <c r="Q1559" s="4" t="n">
        <v>8731</v>
      </c>
      <c r="R1559" s="2" t="s">
        <v>56</v>
      </c>
      <c r="S1559" s="2" t="s">
        <v>2265</v>
      </c>
      <c r="T1559" s="2" t="s">
        <v>403</v>
      </c>
      <c r="U1559" s="2" t="s">
        <v>12016</v>
      </c>
      <c r="V1559" s="2"/>
      <c r="W1559" s="2" t="s">
        <v>42</v>
      </c>
      <c r="X1559" s="2" t="s">
        <v>46</v>
      </c>
      <c r="Y1559" s="2" t="s">
        <v>37</v>
      </c>
      <c r="Z1559" s="2" t="s">
        <v>362</v>
      </c>
      <c r="AA1559" s="2"/>
      <c r="AB1559" s="2"/>
      <c r="AC1559" s="2" t="s">
        <v>12017</v>
      </c>
      <c r="AD1559" s="2" t="s">
        <v>46</v>
      </c>
    </row>
    <row r="1560" customFormat="false" ht="15.7" hidden="false" customHeight="true" outlineLevel="0" collapsed="false">
      <c r="A1560" s="2"/>
      <c r="B1560" s="3" t="n">
        <f aca="false">DATE(2011,2,16)</f>
        <v>0</v>
      </c>
      <c r="C1560" s="3" t="n">
        <v>40590</v>
      </c>
      <c r="D1560" s="2" t="s">
        <v>12018</v>
      </c>
      <c r="F1560" s="2" t="s">
        <v>12019</v>
      </c>
      <c r="G1560" s="2" t="s">
        <v>12020</v>
      </c>
      <c r="H1560" s="2" t="s">
        <v>12021</v>
      </c>
      <c r="I1560" s="2" t="s">
        <v>1544</v>
      </c>
      <c r="J1560" s="2" t="s">
        <v>4399</v>
      </c>
      <c r="K1560" s="2" t="s">
        <v>12018</v>
      </c>
      <c r="L1560" s="2" t="s">
        <v>1544</v>
      </c>
      <c r="M1560" s="2" t="s">
        <v>12021</v>
      </c>
      <c r="N1560" s="2" t="s">
        <v>12022</v>
      </c>
      <c r="O1560" s="2"/>
      <c r="P1560" s="2" t="s">
        <v>37</v>
      </c>
      <c r="Q1560" s="4" t="n">
        <v>2869</v>
      </c>
      <c r="R1560" s="2" t="s">
        <v>70</v>
      </c>
      <c r="S1560" s="2" t="s">
        <v>39</v>
      </c>
      <c r="T1560" s="2" t="s">
        <v>403</v>
      </c>
      <c r="U1560" s="2" t="s">
        <v>12023</v>
      </c>
      <c r="V1560" s="2"/>
      <c r="W1560" s="2" t="s">
        <v>42</v>
      </c>
      <c r="X1560" s="2" t="s">
        <v>46</v>
      </c>
      <c r="Y1560" s="2" t="s">
        <v>37</v>
      </c>
      <c r="Z1560" s="2" t="s">
        <v>362</v>
      </c>
      <c r="AA1560" s="2"/>
      <c r="AB1560" s="2"/>
      <c r="AC1560" s="2" t="s">
        <v>12024</v>
      </c>
      <c r="AD1560" s="2" t="s">
        <v>46</v>
      </c>
    </row>
    <row r="1561" customFormat="false" ht="15.7" hidden="false" customHeight="true" outlineLevel="0" collapsed="false">
      <c r="A1561" s="3" t="n">
        <f aca="false">DATE(2017,2,15)</f>
        <v>0</v>
      </c>
      <c r="B1561" s="3" t="n">
        <f aca="false">DATE(2011,2,16)</f>
        <v>0</v>
      </c>
      <c r="C1561" s="3" t="n">
        <v>40590</v>
      </c>
      <c r="D1561" s="2" t="s">
        <v>12025</v>
      </c>
      <c r="F1561" s="2" t="s">
        <v>12026</v>
      </c>
      <c r="G1561" s="2" t="s">
        <v>12027</v>
      </c>
      <c r="H1561" s="2" t="s">
        <v>12028</v>
      </c>
      <c r="I1561" s="2" t="s">
        <v>12029</v>
      </c>
      <c r="J1561" s="2" t="s">
        <v>35</v>
      </c>
      <c r="K1561" s="2" t="s">
        <v>12030</v>
      </c>
      <c r="L1561" s="2" t="s">
        <v>12031</v>
      </c>
      <c r="M1561" s="2" t="s">
        <v>12032</v>
      </c>
      <c r="N1561" s="2" t="s">
        <v>12033</v>
      </c>
      <c r="O1561" s="2"/>
      <c r="P1561" s="2" t="s">
        <v>37</v>
      </c>
      <c r="Q1561" s="4" t="n">
        <v>8731</v>
      </c>
      <c r="R1561" s="2" t="s">
        <v>12034</v>
      </c>
      <c r="S1561" s="2" t="s">
        <v>39</v>
      </c>
      <c r="T1561" s="2" t="s">
        <v>40</v>
      </c>
      <c r="U1561" s="2" t="s">
        <v>12035</v>
      </c>
      <c r="V1561" s="2"/>
      <c r="W1561" s="2" t="s">
        <v>42</v>
      </c>
      <c r="X1561" s="2" t="s">
        <v>43</v>
      </c>
      <c r="Y1561" s="2" t="s">
        <v>37</v>
      </c>
      <c r="Z1561" s="2" t="s">
        <v>44</v>
      </c>
      <c r="AA1561" s="2"/>
      <c r="AB1561" s="2"/>
      <c r="AC1561" s="2" t="s">
        <v>12036</v>
      </c>
      <c r="AD1561" s="2" t="s">
        <v>46</v>
      </c>
    </row>
    <row r="1562" customFormat="false" ht="15.7" hidden="false" customHeight="true" outlineLevel="0" collapsed="false">
      <c r="A1562" s="2"/>
      <c r="B1562" s="3" t="n">
        <f aca="false">DATE(2011,3,1)</f>
        <v>0</v>
      </c>
      <c r="C1562" s="3" t="n">
        <v>40603</v>
      </c>
      <c r="D1562" s="2" t="s">
        <v>12037</v>
      </c>
      <c r="F1562" s="2" t="s">
        <v>11701</v>
      </c>
      <c r="G1562" s="2" t="s">
        <v>12038</v>
      </c>
      <c r="H1562" s="2" t="s">
        <v>130</v>
      </c>
      <c r="I1562" s="2" t="s">
        <v>12039</v>
      </c>
      <c r="J1562" s="2" t="s">
        <v>35</v>
      </c>
      <c r="K1562" s="2" t="s">
        <v>12040</v>
      </c>
      <c r="L1562" s="2" t="s">
        <v>12039</v>
      </c>
      <c r="M1562" s="2" t="s">
        <v>12041</v>
      </c>
      <c r="N1562" s="2" t="s">
        <v>12042</v>
      </c>
      <c r="O1562" s="2"/>
      <c r="P1562" s="2" t="s">
        <v>37</v>
      </c>
      <c r="Q1562" s="4" t="n">
        <v>2834</v>
      </c>
      <c r="R1562" s="2" t="s">
        <v>12043</v>
      </c>
      <c r="S1562" s="2" t="s">
        <v>39</v>
      </c>
      <c r="T1562" s="2" t="s">
        <v>403</v>
      </c>
      <c r="U1562" s="2" t="s">
        <v>12044</v>
      </c>
      <c r="V1562" s="2"/>
      <c r="W1562" s="2" t="s">
        <v>42</v>
      </c>
      <c r="X1562" s="2" t="s">
        <v>46</v>
      </c>
      <c r="Y1562" s="2" t="s">
        <v>37</v>
      </c>
      <c r="Z1562" s="2" t="s">
        <v>362</v>
      </c>
      <c r="AA1562" s="2"/>
      <c r="AB1562" s="2"/>
      <c r="AC1562" s="2" t="s">
        <v>12045</v>
      </c>
      <c r="AD1562" s="2" t="s">
        <v>46</v>
      </c>
    </row>
    <row r="1563" customFormat="false" ht="15.7" hidden="false" customHeight="true" outlineLevel="0" collapsed="false">
      <c r="A1563" s="2"/>
      <c r="B1563" s="3" t="n">
        <f aca="false">DATE(2011,3,2)</f>
        <v>0</v>
      </c>
      <c r="C1563" s="3" t="n">
        <v>40604</v>
      </c>
      <c r="D1563" s="2" t="s">
        <v>12046</v>
      </c>
      <c r="F1563" s="2" t="s">
        <v>12047</v>
      </c>
      <c r="G1563" s="2" t="s">
        <v>12048</v>
      </c>
      <c r="H1563" s="2" t="s">
        <v>7280</v>
      </c>
      <c r="I1563" s="2" t="s">
        <v>296</v>
      </c>
      <c r="J1563" s="2" t="s">
        <v>625</v>
      </c>
      <c r="K1563" s="2" t="s">
        <v>12046</v>
      </c>
      <c r="L1563" s="2" t="s">
        <v>296</v>
      </c>
      <c r="M1563" s="2" t="s">
        <v>7280</v>
      </c>
      <c r="N1563" s="2" t="s">
        <v>12049</v>
      </c>
      <c r="O1563" s="2"/>
      <c r="P1563" s="2" t="s">
        <v>37</v>
      </c>
      <c r="Q1563" s="4" t="n">
        <v>8731</v>
      </c>
      <c r="R1563" s="2" t="s">
        <v>1448</v>
      </c>
      <c r="S1563" s="2" t="s">
        <v>39</v>
      </c>
      <c r="T1563" s="2" t="s">
        <v>40</v>
      </c>
      <c r="U1563" s="2" t="s">
        <v>12050</v>
      </c>
      <c r="V1563" s="2"/>
      <c r="W1563" s="2" t="s">
        <v>82</v>
      </c>
      <c r="X1563" s="2" t="s">
        <v>43</v>
      </c>
      <c r="Y1563" s="2" t="s">
        <v>37</v>
      </c>
      <c r="Z1563" s="2" t="s">
        <v>44</v>
      </c>
      <c r="AA1563" s="2"/>
      <c r="AB1563" s="2"/>
      <c r="AC1563" s="2" t="s">
        <v>12051</v>
      </c>
      <c r="AD1563" s="2" t="s">
        <v>46</v>
      </c>
    </row>
    <row r="1564" customFormat="false" ht="15.7" hidden="false" customHeight="true" outlineLevel="0" collapsed="false">
      <c r="A1564" s="2"/>
      <c r="B1564" s="3" t="n">
        <f aca="false">DATE(2011,3,2)</f>
        <v>0</v>
      </c>
      <c r="C1564" s="3" t="n">
        <v>40604</v>
      </c>
      <c r="D1564" s="2" t="s">
        <v>12052</v>
      </c>
      <c r="F1564" s="2" t="s">
        <v>12053</v>
      </c>
      <c r="G1564" s="2" t="s">
        <v>12054</v>
      </c>
      <c r="H1564" s="2" t="s">
        <v>130</v>
      </c>
      <c r="I1564" s="2" t="s">
        <v>5551</v>
      </c>
      <c r="J1564" s="2" t="s">
        <v>35</v>
      </c>
      <c r="K1564" s="2" t="s">
        <v>12052</v>
      </c>
      <c r="L1564" s="2" t="s">
        <v>5551</v>
      </c>
      <c r="M1564" s="2" t="s">
        <v>130</v>
      </c>
      <c r="N1564" s="2" t="s">
        <v>12055</v>
      </c>
      <c r="O1564" s="2"/>
      <c r="P1564" s="2" t="s">
        <v>37</v>
      </c>
      <c r="Q1564" s="4" t="n">
        <v>2834</v>
      </c>
      <c r="R1564" s="2" t="s">
        <v>38</v>
      </c>
      <c r="S1564" s="2" t="s">
        <v>39</v>
      </c>
      <c r="T1564" s="2" t="s">
        <v>403</v>
      </c>
      <c r="U1564" s="2" t="s">
        <v>12056</v>
      </c>
      <c r="V1564" s="2"/>
      <c r="W1564" s="2" t="s">
        <v>42</v>
      </c>
      <c r="X1564" s="2" t="s">
        <v>46</v>
      </c>
      <c r="Y1564" s="2" t="s">
        <v>37</v>
      </c>
      <c r="Z1564" s="2" t="s">
        <v>362</v>
      </c>
      <c r="AA1564" s="2"/>
      <c r="AB1564" s="2"/>
      <c r="AC1564" s="2" t="s">
        <v>12057</v>
      </c>
      <c r="AD1564" s="2" t="s">
        <v>46</v>
      </c>
    </row>
    <row r="1565" customFormat="false" ht="15.7" hidden="false" customHeight="true" outlineLevel="0" collapsed="false">
      <c r="A1565" s="2"/>
      <c r="B1565" s="3" t="n">
        <f aca="false">DATE(2011,3,2)</f>
        <v>0</v>
      </c>
      <c r="C1565" s="3" t="n">
        <v>40604</v>
      </c>
      <c r="D1565" s="2" t="s">
        <v>12058</v>
      </c>
      <c r="F1565" s="2" t="s">
        <v>12059</v>
      </c>
      <c r="G1565" s="2" t="s">
        <v>12060</v>
      </c>
      <c r="H1565" s="2" t="s">
        <v>12061</v>
      </c>
      <c r="I1565" s="2" t="s">
        <v>12062</v>
      </c>
      <c r="J1565" s="2" t="s">
        <v>116</v>
      </c>
      <c r="K1565" s="2" t="s">
        <v>12063</v>
      </c>
      <c r="L1565" s="2" t="s">
        <v>12064</v>
      </c>
      <c r="M1565" s="2" t="s">
        <v>12061</v>
      </c>
      <c r="N1565" s="2" t="s">
        <v>12065</v>
      </c>
      <c r="O1565" s="2"/>
      <c r="P1565" s="2" t="s">
        <v>37</v>
      </c>
      <c r="Q1565" s="4" t="n">
        <v>2834</v>
      </c>
      <c r="R1565" s="2" t="s">
        <v>1208</v>
      </c>
      <c r="S1565" s="2" t="s">
        <v>39</v>
      </c>
      <c r="T1565" s="2" t="s">
        <v>403</v>
      </c>
      <c r="U1565" s="2" t="s">
        <v>12066</v>
      </c>
      <c r="V1565" s="2"/>
      <c r="W1565" s="2" t="s">
        <v>42</v>
      </c>
      <c r="X1565" s="2" t="s">
        <v>46</v>
      </c>
      <c r="Y1565" s="2" t="s">
        <v>37</v>
      </c>
      <c r="Z1565" s="2" t="s">
        <v>12067</v>
      </c>
      <c r="AA1565" s="2"/>
      <c r="AB1565" s="2"/>
      <c r="AC1565" s="2" t="s">
        <v>12068</v>
      </c>
      <c r="AD1565" s="2" t="s">
        <v>46</v>
      </c>
    </row>
    <row r="1566" customFormat="false" ht="15.7" hidden="false" customHeight="true" outlineLevel="0" collapsed="false">
      <c r="A1566" s="2"/>
      <c r="B1566" s="3" t="n">
        <f aca="false">DATE(2011,3,4)</f>
        <v>0</v>
      </c>
      <c r="C1566" s="3" t="n">
        <v>40606</v>
      </c>
      <c r="D1566" s="2" t="s">
        <v>12069</v>
      </c>
      <c r="F1566" s="2" t="s">
        <v>12070</v>
      </c>
      <c r="G1566" s="2" t="s">
        <v>12071</v>
      </c>
      <c r="H1566" s="2" t="s">
        <v>130</v>
      </c>
      <c r="I1566" s="2" t="s">
        <v>3265</v>
      </c>
      <c r="J1566" s="2" t="s">
        <v>132</v>
      </c>
      <c r="K1566" s="2" t="s">
        <v>12069</v>
      </c>
      <c r="L1566" s="2" t="s">
        <v>3265</v>
      </c>
      <c r="M1566" s="2" t="s">
        <v>130</v>
      </c>
      <c r="N1566" s="2" t="s">
        <v>12072</v>
      </c>
      <c r="O1566" s="2"/>
      <c r="P1566" s="2" t="s">
        <v>37</v>
      </c>
      <c r="Q1566" s="4" t="n">
        <v>2834</v>
      </c>
      <c r="R1566" s="2" t="s">
        <v>402</v>
      </c>
      <c r="S1566" s="2" t="s">
        <v>39</v>
      </c>
      <c r="T1566" s="2" t="s">
        <v>403</v>
      </c>
      <c r="U1566" s="2" t="s">
        <v>12073</v>
      </c>
      <c r="V1566" s="2"/>
      <c r="W1566" s="2" t="s">
        <v>42</v>
      </c>
      <c r="X1566" s="2" t="s">
        <v>46</v>
      </c>
      <c r="Y1566" s="2" t="s">
        <v>37</v>
      </c>
      <c r="Z1566" s="2" t="s">
        <v>362</v>
      </c>
      <c r="AA1566" s="2"/>
      <c r="AB1566" s="2"/>
      <c r="AC1566" s="2" t="s">
        <v>12074</v>
      </c>
      <c r="AD1566" s="2" t="s">
        <v>46</v>
      </c>
    </row>
    <row r="1567" customFormat="false" ht="15.7" hidden="false" customHeight="true" outlineLevel="0" collapsed="false">
      <c r="A1567" s="2"/>
      <c r="B1567" s="3" t="n">
        <f aca="false">DATE(2011,3,7)</f>
        <v>0</v>
      </c>
      <c r="C1567" s="3" t="n">
        <v>40609</v>
      </c>
      <c r="D1567" s="2" t="s">
        <v>12075</v>
      </c>
      <c r="F1567" s="2" t="s">
        <v>12076</v>
      </c>
      <c r="G1567" s="2" t="s">
        <v>12077</v>
      </c>
      <c r="H1567" s="2" t="s">
        <v>12078</v>
      </c>
      <c r="I1567" s="2" t="s">
        <v>6838</v>
      </c>
      <c r="J1567" s="2" t="s">
        <v>35</v>
      </c>
      <c r="K1567" s="2" t="s">
        <v>12079</v>
      </c>
      <c r="L1567" s="2" t="s">
        <v>6838</v>
      </c>
      <c r="M1567" s="2" t="s">
        <v>12078</v>
      </c>
      <c r="N1567" s="2" t="s">
        <v>12080</v>
      </c>
      <c r="O1567" s="2"/>
      <c r="P1567" s="2" t="s">
        <v>37</v>
      </c>
      <c r="Q1567" s="4" t="n">
        <v>8731</v>
      </c>
      <c r="R1567" s="2" t="s">
        <v>402</v>
      </c>
      <c r="S1567" s="2" t="s">
        <v>39</v>
      </c>
      <c r="T1567" s="2" t="s">
        <v>403</v>
      </c>
      <c r="U1567" s="2" t="s">
        <v>12081</v>
      </c>
      <c r="V1567" s="2"/>
      <c r="W1567" s="2" t="s">
        <v>42</v>
      </c>
      <c r="X1567" s="2" t="s">
        <v>46</v>
      </c>
      <c r="Y1567" s="2" t="s">
        <v>37</v>
      </c>
      <c r="Z1567" s="2" t="s">
        <v>2732</v>
      </c>
      <c r="AA1567" s="2" t="s">
        <v>12082</v>
      </c>
      <c r="AB1567" s="2"/>
      <c r="AC1567" s="2" t="s">
        <v>12083</v>
      </c>
      <c r="AD1567" s="2" t="s">
        <v>46</v>
      </c>
    </row>
    <row r="1568" customFormat="false" ht="15.7" hidden="false" customHeight="true" outlineLevel="0" collapsed="false">
      <c r="A1568" s="2"/>
      <c r="B1568" s="3" t="n">
        <f aca="false">DATE(2011,3,8)</f>
        <v>0</v>
      </c>
      <c r="C1568" s="3" t="n">
        <v>40610</v>
      </c>
      <c r="D1568" s="2" t="s">
        <v>12084</v>
      </c>
      <c r="F1568" s="2" t="s">
        <v>12085</v>
      </c>
      <c r="G1568" s="2" t="s">
        <v>12086</v>
      </c>
      <c r="H1568" s="2" t="s">
        <v>130</v>
      </c>
      <c r="I1568" s="2" t="s">
        <v>12087</v>
      </c>
      <c r="J1568" s="2" t="s">
        <v>35</v>
      </c>
      <c r="K1568" s="2" t="s">
        <v>12084</v>
      </c>
      <c r="L1568" s="2" t="s">
        <v>12087</v>
      </c>
      <c r="M1568" s="2" t="s">
        <v>130</v>
      </c>
      <c r="N1568" s="2" t="s">
        <v>12088</v>
      </c>
      <c r="O1568" s="2"/>
      <c r="P1568" s="2" t="s">
        <v>37</v>
      </c>
      <c r="Q1568" s="4" t="n">
        <v>2834</v>
      </c>
      <c r="R1568" s="2" t="s">
        <v>11963</v>
      </c>
      <c r="S1568" s="2" t="s">
        <v>39</v>
      </c>
      <c r="T1568" s="2" t="s">
        <v>403</v>
      </c>
      <c r="U1568" s="2" t="s">
        <v>12089</v>
      </c>
      <c r="V1568" s="2"/>
      <c r="W1568" s="2" t="s">
        <v>42</v>
      </c>
      <c r="X1568" s="2" t="s">
        <v>46</v>
      </c>
      <c r="Y1568" s="2" t="s">
        <v>37</v>
      </c>
      <c r="Z1568" s="2" t="s">
        <v>362</v>
      </c>
      <c r="AA1568" s="2"/>
      <c r="AB1568" s="2"/>
      <c r="AC1568" s="2" t="s">
        <v>12090</v>
      </c>
      <c r="AD1568" s="2" t="s">
        <v>46</v>
      </c>
    </row>
    <row r="1569" customFormat="false" ht="15.7" hidden="false" customHeight="true" outlineLevel="0" collapsed="false">
      <c r="A1569" s="2"/>
      <c r="B1569" s="3" t="n">
        <f aca="false">DATE(2011,3,9)</f>
        <v>0</v>
      </c>
      <c r="C1569" s="3" t="n">
        <v>40611</v>
      </c>
      <c r="D1569" s="2" t="s">
        <v>12091</v>
      </c>
      <c r="F1569" s="2" t="s">
        <v>12092</v>
      </c>
      <c r="G1569" s="2" t="s">
        <v>12093</v>
      </c>
      <c r="H1569" s="2" t="s">
        <v>12094</v>
      </c>
      <c r="I1569" s="2" t="s">
        <v>12095</v>
      </c>
      <c r="J1569" s="2" t="s">
        <v>35</v>
      </c>
      <c r="K1569" s="2" t="s">
        <v>12096</v>
      </c>
      <c r="L1569" s="2" t="s">
        <v>12095</v>
      </c>
      <c r="M1569" s="2" t="s">
        <v>12097</v>
      </c>
      <c r="N1569" s="2" t="s">
        <v>12098</v>
      </c>
      <c r="O1569" s="2"/>
      <c r="P1569" s="2" t="s">
        <v>37</v>
      </c>
      <c r="Q1569" s="4" t="n">
        <v>3728</v>
      </c>
      <c r="R1569" s="2" t="s">
        <v>136</v>
      </c>
      <c r="S1569" s="2" t="s">
        <v>39</v>
      </c>
      <c r="T1569" s="2" t="s">
        <v>403</v>
      </c>
      <c r="U1569" s="2" t="s">
        <v>12099</v>
      </c>
      <c r="V1569" s="2"/>
      <c r="W1569" s="2" t="s">
        <v>42</v>
      </c>
      <c r="X1569" s="2" t="s">
        <v>43</v>
      </c>
      <c r="Y1569" s="2" t="s">
        <v>37</v>
      </c>
      <c r="Z1569" s="2" t="s">
        <v>44</v>
      </c>
      <c r="AA1569" s="2"/>
      <c r="AB1569" s="2"/>
      <c r="AC1569" s="2" t="s">
        <v>12100</v>
      </c>
      <c r="AD1569" s="2" t="s">
        <v>46</v>
      </c>
    </row>
    <row r="1570" customFormat="false" ht="15.7" hidden="false" customHeight="true" outlineLevel="0" collapsed="false">
      <c r="A1570" s="2"/>
      <c r="B1570" s="3" t="n">
        <f aca="false">DATE(2011,3,9)</f>
        <v>0</v>
      </c>
      <c r="C1570" s="3" t="n">
        <v>40611</v>
      </c>
      <c r="D1570" s="2" t="s">
        <v>12101</v>
      </c>
      <c r="F1570" s="2" t="s">
        <v>12102</v>
      </c>
      <c r="G1570" s="2" t="s">
        <v>12103</v>
      </c>
      <c r="H1570" s="2" t="s">
        <v>8866</v>
      </c>
      <c r="I1570" s="2" t="s">
        <v>2848</v>
      </c>
      <c r="J1570" s="2" t="s">
        <v>35</v>
      </c>
      <c r="K1570" s="2" t="s">
        <v>12104</v>
      </c>
      <c r="L1570" s="2" t="s">
        <v>2848</v>
      </c>
      <c r="M1570" s="2" t="s">
        <v>12105</v>
      </c>
      <c r="N1570" s="2" t="s">
        <v>12106</v>
      </c>
      <c r="O1570" s="2"/>
      <c r="P1570" s="2" t="s">
        <v>37</v>
      </c>
      <c r="Q1570" s="4" t="n">
        <v>8731</v>
      </c>
      <c r="R1570" s="2" t="s">
        <v>10692</v>
      </c>
      <c r="S1570" s="2" t="s">
        <v>39</v>
      </c>
      <c r="T1570" s="2" t="s">
        <v>40</v>
      </c>
      <c r="U1570" s="2" t="s">
        <v>12107</v>
      </c>
      <c r="V1570" s="2"/>
      <c r="W1570" s="2" t="s">
        <v>42</v>
      </c>
      <c r="X1570" s="2" t="s">
        <v>43</v>
      </c>
      <c r="Y1570" s="2" t="s">
        <v>37</v>
      </c>
      <c r="Z1570" s="2" t="s">
        <v>44</v>
      </c>
      <c r="AA1570" s="2" t="s">
        <v>12108</v>
      </c>
      <c r="AB1570" s="2"/>
      <c r="AC1570" s="2" t="s">
        <v>12109</v>
      </c>
      <c r="AD1570" s="2" t="s">
        <v>46</v>
      </c>
    </row>
    <row r="1571" customFormat="false" ht="15.7" hidden="false" customHeight="true" outlineLevel="0" collapsed="false">
      <c r="A1571" s="2"/>
      <c r="B1571" s="3" t="n">
        <f aca="false">DATE(2011,3,9)</f>
        <v>0</v>
      </c>
      <c r="C1571" s="3" t="n">
        <v>40611</v>
      </c>
      <c r="D1571" s="2" t="s">
        <v>12110</v>
      </c>
      <c r="F1571" s="2" t="s">
        <v>12111</v>
      </c>
      <c r="G1571" s="2" t="s">
        <v>12112</v>
      </c>
      <c r="H1571" s="2" t="s">
        <v>12113</v>
      </c>
      <c r="I1571" s="2" t="s">
        <v>3223</v>
      </c>
      <c r="J1571" s="2" t="s">
        <v>116</v>
      </c>
      <c r="K1571" s="2" t="s">
        <v>12114</v>
      </c>
      <c r="L1571" s="2" t="s">
        <v>3223</v>
      </c>
      <c r="M1571" s="2" t="s">
        <v>12113</v>
      </c>
      <c r="N1571" s="2" t="s">
        <v>12115</v>
      </c>
      <c r="O1571" s="2"/>
      <c r="P1571" s="2" t="s">
        <v>37</v>
      </c>
      <c r="Q1571" s="4" t="n">
        <v>3711</v>
      </c>
      <c r="R1571" s="2" t="s">
        <v>402</v>
      </c>
      <c r="S1571" s="2" t="s">
        <v>39</v>
      </c>
      <c r="T1571" s="2" t="s">
        <v>403</v>
      </c>
      <c r="U1571" s="2" t="s">
        <v>12116</v>
      </c>
      <c r="V1571" s="2"/>
      <c r="W1571" s="2" t="s">
        <v>697</v>
      </c>
      <c r="X1571" s="2" t="s">
        <v>46</v>
      </c>
      <c r="Y1571" s="2" t="s">
        <v>37</v>
      </c>
      <c r="Z1571" s="2" t="s">
        <v>7389</v>
      </c>
      <c r="AA1571" s="2" t="s">
        <v>12117</v>
      </c>
      <c r="AB1571" s="2"/>
      <c r="AC1571" s="2" t="s">
        <v>12118</v>
      </c>
      <c r="AD1571" s="2" t="s">
        <v>46</v>
      </c>
    </row>
    <row r="1572" customFormat="false" ht="15.7" hidden="false" customHeight="true" outlineLevel="0" collapsed="false">
      <c r="A1572" s="2"/>
      <c r="B1572" s="3" t="n">
        <f aca="false">DATE(2011,3,10)</f>
        <v>0</v>
      </c>
      <c r="C1572" s="3" t="n">
        <v>40612</v>
      </c>
      <c r="D1572" s="2" t="s">
        <v>12119</v>
      </c>
      <c r="F1572" s="2" t="s">
        <v>12120</v>
      </c>
      <c r="G1572" s="2" t="s">
        <v>12121</v>
      </c>
      <c r="H1572" s="2" t="s">
        <v>12122</v>
      </c>
      <c r="I1572" s="2" t="s">
        <v>3103</v>
      </c>
      <c r="J1572" s="2" t="s">
        <v>65</v>
      </c>
      <c r="K1572" s="2" t="s">
        <v>12119</v>
      </c>
      <c r="L1572" s="2" t="s">
        <v>3103</v>
      </c>
      <c r="M1572" s="2" t="s">
        <v>12122</v>
      </c>
      <c r="N1572" s="2" t="s">
        <v>12123</v>
      </c>
      <c r="O1572" s="2"/>
      <c r="P1572" s="2" t="s">
        <v>37</v>
      </c>
      <c r="Q1572" s="4" t="n">
        <v>3841</v>
      </c>
      <c r="R1572" s="2" t="s">
        <v>1402</v>
      </c>
      <c r="S1572" s="2" t="s">
        <v>39</v>
      </c>
      <c r="T1572" s="2" t="s">
        <v>40</v>
      </c>
      <c r="U1572" s="2" t="s">
        <v>12124</v>
      </c>
      <c r="V1572" s="2"/>
      <c r="W1572" s="2" t="s">
        <v>82</v>
      </c>
      <c r="X1572" s="2" t="s">
        <v>43</v>
      </c>
      <c r="Y1572" s="2" t="s">
        <v>37</v>
      </c>
      <c r="Z1572" s="2" t="s">
        <v>44</v>
      </c>
      <c r="AA1572" s="2"/>
      <c r="AB1572" s="2"/>
      <c r="AC1572" s="2" t="s">
        <v>12125</v>
      </c>
      <c r="AD1572" s="2" t="s">
        <v>46</v>
      </c>
    </row>
    <row r="1573" customFormat="false" ht="15.7" hidden="false" customHeight="true" outlineLevel="0" collapsed="false">
      <c r="A1573" s="2"/>
      <c r="B1573" s="3" t="n">
        <f aca="false">DATE(2011,3,12)</f>
        <v>0</v>
      </c>
      <c r="C1573" s="3" t="n">
        <v>40614</v>
      </c>
      <c r="D1573" s="2" t="s">
        <v>12126</v>
      </c>
      <c r="F1573" s="2" t="s">
        <v>12127</v>
      </c>
      <c r="G1573" s="2" t="s">
        <v>12128</v>
      </c>
      <c r="H1573" s="2" t="s">
        <v>551</v>
      </c>
      <c r="I1573" s="2" t="s">
        <v>4325</v>
      </c>
      <c r="J1573" s="2" t="s">
        <v>35</v>
      </c>
      <c r="K1573" s="2" t="s">
        <v>12126</v>
      </c>
      <c r="L1573" s="2" t="s">
        <v>4325</v>
      </c>
      <c r="M1573" s="2" t="s">
        <v>551</v>
      </c>
      <c r="N1573" s="2" t="s">
        <v>12129</v>
      </c>
      <c r="O1573" s="2"/>
      <c r="P1573" s="2" t="s">
        <v>37</v>
      </c>
      <c r="Q1573" s="4" t="n">
        <v>6719</v>
      </c>
      <c r="R1573" s="2" t="s">
        <v>402</v>
      </c>
      <c r="S1573" s="2" t="s">
        <v>39</v>
      </c>
      <c r="T1573" s="2" t="s">
        <v>403</v>
      </c>
      <c r="U1573" s="2" t="s">
        <v>12130</v>
      </c>
      <c r="V1573" s="2"/>
      <c r="W1573" s="2" t="s">
        <v>42</v>
      </c>
      <c r="X1573" s="2" t="s">
        <v>46</v>
      </c>
      <c r="Y1573" s="2" t="s">
        <v>37</v>
      </c>
      <c r="Z1573" s="2" t="s">
        <v>362</v>
      </c>
      <c r="AA1573" s="2"/>
      <c r="AB1573" s="2"/>
      <c r="AC1573" s="2" t="s">
        <v>12131</v>
      </c>
      <c r="AD1573" s="2" t="s">
        <v>46</v>
      </c>
    </row>
    <row r="1574" customFormat="false" ht="15.7" hidden="false" customHeight="true" outlineLevel="0" collapsed="false">
      <c r="A1574" s="2"/>
      <c r="B1574" s="3" t="n">
        <f aca="false">DATE(2011,3,14)</f>
        <v>0</v>
      </c>
      <c r="C1574" s="3" t="n">
        <v>40616</v>
      </c>
      <c r="D1574" s="2" t="s">
        <v>12132</v>
      </c>
      <c r="F1574" s="2" t="s">
        <v>12133</v>
      </c>
      <c r="G1574" s="2" t="s">
        <v>12134</v>
      </c>
      <c r="H1574" s="2" t="s">
        <v>12135</v>
      </c>
      <c r="I1574" s="2" t="s">
        <v>12136</v>
      </c>
      <c r="J1574" s="2" t="s">
        <v>2160</v>
      </c>
      <c r="K1574" s="2" t="s">
        <v>12137</v>
      </c>
      <c r="L1574" s="2" t="s">
        <v>12136</v>
      </c>
      <c r="M1574" s="2" t="s">
        <v>12138</v>
      </c>
      <c r="N1574" s="2" t="s">
        <v>12139</v>
      </c>
      <c r="O1574" s="2"/>
      <c r="P1574" s="2" t="s">
        <v>37</v>
      </c>
      <c r="Q1574" s="4" t="n">
        <v>8731</v>
      </c>
      <c r="R1574" s="2" t="s">
        <v>402</v>
      </c>
      <c r="S1574" s="2" t="s">
        <v>39</v>
      </c>
      <c r="T1574" s="2" t="s">
        <v>403</v>
      </c>
      <c r="U1574" s="2" t="s">
        <v>12140</v>
      </c>
      <c r="V1574" s="2"/>
      <c r="W1574" s="2" t="s">
        <v>12141</v>
      </c>
      <c r="X1574" s="2" t="s">
        <v>46</v>
      </c>
      <c r="Y1574" s="2" t="s">
        <v>37</v>
      </c>
      <c r="Z1574" s="2" t="s">
        <v>12142</v>
      </c>
      <c r="AA1574" s="2" t="s">
        <v>12143</v>
      </c>
      <c r="AB1574" s="2"/>
      <c r="AC1574" s="2" t="s">
        <v>12144</v>
      </c>
      <c r="AD1574" s="2" t="s">
        <v>46</v>
      </c>
    </row>
    <row r="1575" customFormat="false" ht="15.7" hidden="false" customHeight="true" outlineLevel="0" collapsed="false">
      <c r="A1575" s="2"/>
      <c r="B1575" s="3" t="n">
        <f aca="false">DATE(2011,3,16)</f>
        <v>0</v>
      </c>
      <c r="C1575" s="3" t="n">
        <v>40618</v>
      </c>
      <c r="D1575" s="2" t="s">
        <v>12145</v>
      </c>
      <c r="F1575" s="2" t="s">
        <v>12146</v>
      </c>
      <c r="G1575" s="2" t="s">
        <v>12147</v>
      </c>
      <c r="H1575" s="2" t="s">
        <v>2312</v>
      </c>
      <c r="I1575" s="2" t="s">
        <v>530</v>
      </c>
      <c r="J1575" s="2" t="s">
        <v>35</v>
      </c>
      <c r="K1575" s="2" t="s">
        <v>11046</v>
      </c>
      <c r="L1575" s="2" t="s">
        <v>388</v>
      </c>
      <c r="M1575" s="2" t="s">
        <v>2312</v>
      </c>
      <c r="N1575" s="2" t="s">
        <v>12148</v>
      </c>
      <c r="O1575" s="2"/>
      <c r="P1575" s="2" t="s">
        <v>37</v>
      </c>
      <c r="Q1575" s="4" t="n">
        <v>8731</v>
      </c>
      <c r="R1575" s="2" t="s">
        <v>450</v>
      </c>
      <c r="S1575" s="2" t="s">
        <v>39</v>
      </c>
      <c r="T1575" s="2" t="s">
        <v>403</v>
      </c>
      <c r="U1575" s="2" t="s">
        <v>12149</v>
      </c>
      <c r="V1575" s="2"/>
      <c r="W1575" s="2" t="s">
        <v>42</v>
      </c>
      <c r="X1575" s="2" t="s">
        <v>46</v>
      </c>
      <c r="Y1575" s="2" t="s">
        <v>37</v>
      </c>
      <c r="Z1575" s="2" t="s">
        <v>362</v>
      </c>
      <c r="AA1575" s="2" t="s">
        <v>12150</v>
      </c>
      <c r="AB1575" s="2"/>
      <c r="AC1575" s="2" t="s">
        <v>12151</v>
      </c>
      <c r="AD1575" s="2" t="s">
        <v>46</v>
      </c>
    </row>
    <row r="1576" customFormat="false" ht="15.7" hidden="false" customHeight="true" outlineLevel="0" collapsed="false">
      <c r="A1576" s="2"/>
      <c r="B1576" s="3" t="n">
        <f aca="false">DATE(2011,3,16)</f>
        <v>0</v>
      </c>
      <c r="C1576" s="3" t="n">
        <v>40618</v>
      </c>
      <c r="D1576" s="2" t="s">
        <v>12152</v>
      </c>
      <c r="F1576" s="2" t="s">
        <v>12153</v>
      </c>
      <c r="G1576" s="2" t="s">
        <v>12154</v>
      </c>
      <c r="H1576" s="2" t="s">
        <v>1101</v>
      </c>
      <c r="I1576" s="2" t="s">
        <v>11795</v>
      </c>
      <c r="J1576" s="2" t="s">
        <v>331</v>
      </c>
      <c r="K1576" s="2" t="s">
        <v>12152</v>
      </c>
      <c r="L1576" s="2" t="s">
        <v>11795</v>
      </c>
      <c r="M1576" s="2" t="s">
        <v>1101</v>
      </c>
      <c r="N1576" s="2" t="s">
        <v>12155</v>
      </c>
      <c r="O1576" s="2"/>
      <c r="P1576" s="2" t="s">
        <v>37</v>
      </c>
      <c r="Q1576" s="4" t="n">
        <v>2836</v>
      </c>
      <c r="R1576" s="2" t="s">
        <v>56</v>
      </c>
      <c r="S1576" s="2" t="s">
        <v>2265</v>
      </c>
      <c r="T1576" s="2" t="s">
        <v>40</v>
      </c>
      <c r="U1576" s="2" t="s">
        <v>12156</v>
      </c>
      <c r="V1576" s="2"/>
      <c r="W1576" s="2" t="s">
        <v>42</v>
      </c>
      <c r="X1576" s="2" t="s">
        <v>46</v>
      </c>
      <c r="Y1576" s="2" t="s">
        <v>37</v>
      </c>
      <c r="Z1576" s="2" t="s">
        <v>362</v>
      </c>
      <c r="AA1576" s="2"/>
      <c r="AB1576" s="2"/>
      <c r="AC1576" s="2" t="s">
        <v>12157</v>
      </c>
      <c r="AD1576" s="2" t="s">
        <v>46</v>
      </c>
    </row>
    <row r="1577" customFormat="false" ht="15.7" hidden="false" customHeight="true" outlineLevel="0" collapsed="false">
      <c r="A1577" s="2"/>
      <c r="B1577" s="3" t="n">
        <f aca="false">DATE(2011,3,17)</f>
        <v>0</v>
      </c>
      <c r="C1577" s="3" t="n">
        <v>40619</v>
      </c>
      <c r="D1577" s="2" t="s">
        <v>12158</v>
      </c>
      <c r="F1577" s="2" t="s">
        <v>12159</v>
      </c>
      <c r="G1577" s="2" t="s">
        <v>12160</v>
      </c>
      <c r="H1577" s="2" t="s">
        <v>12161</v>
      </c>
      <c r="I1577" s="2" t="s">
        <v>670</v>
      </c>
      <c r="J1577" s="2" t="s">
        <v>203</v>
      </c>
      <c r="K1577" s="2" t="s">
        <v>12162</v>
      </c>
      <c r="L1577" s="2" t="s">
        <v>5999</v>
      </c>
      <c r="M1577" s="2" t="s">
        <v>3053</v>
      </c>
      <c r="N1577" s="2" t="s">
        <v>12163</v>
      </c>
      <c r="O1577" s="2"/>
      <c r="P1577" s="2" t="s">
        <v>37</v>
      </c>
      <c r="Q1577" s="4" t="n">
        <v>2835</v>
      </c>
      <c r="R1577" s="2" t="s">
        <v>402</v>
      </c>
      <c r="S1577" s="2" t="s">
        <v>39</v>
      </c>
      <c r="T1577" s="2" t="s">
        <v>40</v>
      </c>
      <c r="U1577" s="2" t="s">
        <v>12164</v>
      </c>
      <c r="V1577" s="2"/>
      <c r="W1577" s="2" t="s">
        <v>2209</v>
      </c>
      <c r="X1577" s="2" t="s">
        <v>43</v>
      </c>
      <c r="Y1577" s="2" t="s">
        <v>37</v>
      </c>
      <c r="Z1577" s="2" t="s">
        <v>44</v>
      </c>
      <c r="AA1577" s="2"/>
      <c r="AB1577" s="2"/>
      <c r="AC1577" s="2" t="s">
        <v>12165</v>
      </c>
      <c r="AD1577" s="2" t="s">
        <v>46</v>
      </c>
    </row>
    <row r="1578" customFormat="false" ht="15.7" hidden="false" customHeight="true" outlineLevel="0" collapsed="false">
      <c r="A1578" s="2"/>
      <c r="B1578" s="3" t="n">
        <f aca="false">DATE(2011,3,21)</f>
        <v>0</v>
      </c>
      <c r="C1578" s="3" t="n">
        <v>40623</v>
      </c>
      <c r="D1578" s="2" t="s">
        <v>12166</v>
      </c>
      <c r="F1578" s="2" t="s">
        <v>12167</v>
      </c>
      <c r="G1578" s="2" t="s">
        <v>12168</v>
      </c>
      <c r="H1578" s="2" t="s">
        <v>3469</v>
      </c>
      <c r="I1578" s="2" t="s">
        <v>899</v>
      </c>
      <c r="J1578" s="2" t="s">
        <v>132</v>
      </c>
      <c r="K1578" s="2" t="s">
        <v>12169</v>
      </c>
      <c r="L1578" s="2" t="s">
        <v>410</v>
      </c>
      <c r="M1578" s="2" t="s">
        <v>814</v>
      </c>
      <c r="N1578" s="2" t="s">
        <v>12170</v>
      </c>
      <c r="O1578" s="2"/>
      <c r="P1578" s="2" t="s">
        <v>37</v>
      </c>
      <c r="Q1578" s="4" t="n">
        <v>2836</v>
      </c>
      <c r="R1578" s="2" t="s">
        <v>136</v>
      </c>
      <c r="S1578" s="2" t="s">
        <v>39</v>
      </c>
      <c r="T1578" s="2" t="s">
        <v>40</v>
      </c>
      <c r="U1578" s="2" t="s">
        <v>12171</v>
      </c>
      <c r="V1578" s="2"/>
      <c r="W1578" s="2" t="s">
        <v>42</v>
      </c>
      <c r="X1578" s="2" t="s">
        <v>43</v>
      </c>
      <c r="Y1578" s="2" t="s">
        <v>37</v>
      </c>
      <c r="Z1578" s="2" t="s">
        <v>44</v>
      </c>
      <c r="AA1578" s="2"/>
      <c r="AB1578" s="2"/>
      <c r="AC1578" s="2" t="s">
        <v>12172</v>
      </c>
      <c r="AD1578" s="2" t="s">
        <v>46</v>
      </c>
    </row>
    <row r="1579" customFormat="false" ht="15.7" hidden="false" customHeight="true" outlineLevel="0" collapsed="false">
      <c r="A1579" s="2"/>
      <c r="B1579" s="3" t="n">
        <f aca="false">DATE(2011,3,21)</f>
        <v>0</v>
      </c>
      <c r="C1579" s="3" t="n">
        <v>40623</v>
      </c>
      <c r="D1579" s="2" t="s">
        <v>12173</v>
      </c>
      <c r="F1579" s="2" t="s">
        <v>12174</v>
      </c>
      <c r="G1579" s="2" t="s">
        <v>12175</v>
      </c>
      <c r="H1579" s="2" t="s">
        <v>12176</v>
      </c>
      <c r="I1579" s="2" t="s">
        <v>51</v>
      </c>
      <c r="J1579" s="2" t="s">
        <v>5249</v>
      </c>
      <c r="K1579" s="2" t="s">
        <v>12173</v>
      </c>
      <c r="L1579" s="2" t="s">
        <v>51</v>
      </c>
      <c r="M1579" s="2" t="s">
        <v>12176</v>
      </c>
      <c r="N1579" s="2" t="s">
        <v>12177</v>
      </c>
      <c r="O1579" s="2"/>
      <c r="P1579" s="2" t="s">
        <v>37</v>
      </c>
      <c r="Q1579" s="4" t="n">
        <v>2869</v>
      </c>
      <c r="R1579" s="2" t="s">
        <v>56</v>
      </c>
      <c r="S1579" s="2" t="s">
        <v>2265</v>
      </c>
      <c r="T1579" s="2" t="s">
        <v>403</v>
      </c>
      <c r="U1579" s="2" t="s">
        <v>12178</v>
      </c>
      <c r="V1579" s="2"/>
      <c r="W1579" s="2" t="s">
        <v>42</v>
      </c>
      <c r="X1579" s="2" t="s">
        <v>46</v>
      </c>
      <c r="Y1579" s="2" t="s">
        <v>37</v>
      </c>
      <c r="Z1579" s="2" t="s">
        <v>362</v>
      </c>
      <c r="AA1579" s="2"/>
      <c r="AB1579" s="2"/>
      <c r="AC1579" s="2" t="s">
        <v>12179</v>
      </c>
      <c r="AD1579" s="2" t="s">
        <v>46</v>
      </c>
    </row>
    <row r="1580" customFormat="false" ht="15.7" hidden="false" customHeight="true" outlineLevel="0" collapsed="false">
      <c r="A1580" s="2"/>
      <c r="B1580" s="3" t="n">
        <f aca="false">DATE(2011,3,22)</f>
        <v>0</v>
      </c>
      <c r="C1580" s="3" t="n">
        <v>40624</v>
      </c>
      <c r="D1580" s="2" t="s">
        <v>12180</v>
      </c>
      <c r="F1580" s="2" t="s">
        <v>12181</v>
      </c>
      <c r="G1580" s="2" t="s">
        <v>12182</v>
      </c>
      <c r="H1580" s="2" t="s">
        <v>63</v>
      </c>
      <c r="I1580" s="2" t="s">
        <v>51</v>
      </c>
      <c r="J1580" s="2" t="s">
        <v>12183</v>
      </c>
      <c r="K1580" s="2" t="s">
        <v>12180</v>
      </c>
      <c r="L1580" s="2" t="s">
        <v>51</v>
      </c>
      <c r="M1580" s="2" t="s">
        <v>63</v>
      </c>
      <c r="N1580" s="2" t="s">
        <v>12184</v>
      </c>
      <c r="O1580" s="2"/>
      <c r="P1580" s="2" t="s">
        <v>37</v>
      </c>
      <c r="Q1580" s="4" t="n">
        <v>2834</v>
      </c>
      <c r="R1580" s="2" t="s">
        <v>56</v>
      </c>
      <c r="S1580" s="2" t="s">
        <v>2265</v>
      </c>
      <c r="T1580" s="2" t="s">
        <v>40</v>
      </c>
      <c r="U1580" s="2" t="s">
        <v>12185</v>
      </c>
      <c r="V1580" s="2"/>
      <c r="W1580" s="2" t="s">
        <v>697</v>
      </c>
      <c r="X1580" s="2" t="s">
        <v>43</v>
      </c>
      <c r="Y1580" s="2" t="s">
        <v>37</v>
      </c>
      <c r="Z1580" s="2" t="s">
        <v>44</v>
      </c>
      <c r="AA1580" s="2" t="s">
        <v>12186</v>
      </c>
      <c r="AB1580" s="2"/>
      <c r="AC1580" s="2" t="s">
        <v>12187</v>
      </c>
      <c r="AD1580" s="2" t="s">
        <v>46</v>
      </c>
    </row>
    <row r="1581" customFormat="false" ht="15.7" hidden="false" customHeight="true" outlineLevel="0" collapsed="false">
      <c r="A1581" s="2"/>
      <c r="B1581" s="3" t="n">
        <f aca="false">DATE(2011,3,24)</f>
        <v>0</v>
      </c>
      <c r="C1581" s="3" t="n">
        <v>40626</v>
      </c>
      <c r="D1581" s="2" t="s">
        <v>12188</v>
      </c>
      <c r="F1581" s="2" t="s">
        <v>12189</v>
      </c>
      <c r="G1581" s="2" t="s">
        <v>12190</v>
      </c>
      <c r="H1581" s="2" t="s">
        <v>9318</v>
      </c>
      <c r="I1581" s="2" t="s">
        <v>568</v>
      </c>
      <c r="J1581" s="2" t="s">
        <v>575</v>
      </c>
      <c r="K1581" s="2" t="s">
        <v>12191</v>
      </c>
      <c r="L1581" s="2" t="s">
        <v>568</v>
      </c>
      <c r="M1581" s="2" t="s">
        <v>9318</v>
      </c>
      <c r="N1581" s="2" t="s">
        <v>12192</v>
      </c>
      <c r="O1581" s="2"/>
      <c r="P1581" s="2" t="s">
        <v>37</v>
      </c>
      <c r="Q1581" s="4" t="n">
        <v>2834</v>
      </c>
      <c r="R1581" s="2" t="s">
        <v>688</v>
      </c>
      <c r="S1581" s="2" t="s">
        <v>39</v>
      </c>
      <c r="T1581" s="2" t="s">
        <v>403</v>
      </c>
      <c r="U1581" s="2" t="s">
        <v>12193</v>
      </c>
      <c r="V1581" s="2"/>
      <c r="W1581" s="2" t="s">
        <v>42</v>
      </c>
      <c r="X1581" s="2" t="s">
        <v>46</v>
      </c>
      <c r="Y1581" s="2" t="s">
        <v>37</v>
      </c>
      <c r="Z1581" s="2" t="s">
        <v>362</v>
      </c>
      <c r="AA1581" s="2"/>
      <c r="AB1581" s="2"/>
      <c r="AC1581" s="2" t="s">
        <v>12194</v>
      </c>
      <c r="AD1581" s="2" t="s">
        <v>46</v>
      </c>
    </row>
    <row r="1582" customFormat="false" ht="15.7" hidden="false" customHeight="true" outlineLevel="0" collapsed="false">
      <c r="A1582" s="2"/>
      <c r="B1582" s="3" t="n">
        <f aca="false">DATE(2011,3,28)</f>
        <v>0</v>
      </c>
      <c r="C1582" s="3" t="n">
        <v>40630</v>
      </c>
      <c r="D1582" s="2" t="s">
        <v>12195</v>
      </c>
      <c r="F1582" s="2" t="s">
        <v>12196</v>
      </c>
      <c r="G1582" s="2" t="s">
        <v>12197</v>
      </c>
      <c r="H1582" s="2" t="s">
        <v>12198</v>
      </c>
      <c r="I1582" s="2" t="s">
        <v>100</v>
      </c>
      <c r="J1582" s="2" t="s">
        <v>575</v>
      </c>
      <c r="K1582" s="2" t="s">
        <v>12199</v>
      </c>
      <c r="L1582" s="2" t="s">
        <v>100</v>
      </c>
      <c r="M1582" s="2" t="s">
        <v>12200</v>
      </c>
      <c r="N1582" s="2" t="s">
        <v>12201</v>
      </c>
      <c r="O1582" s="2"/>
      <c r="P1582" s="2" t="s">
        <v>37</v>
      </c>
      <c r="Q1582" s="4" t="n">
        <v>3851</v>
      </c>
      <c r="R1582" s="2" t="s">
        <v>105</v>
      </c>
      <c r="S1582" s="2" t="s">
        <v>39</v>
      </c>
      <c r="T1582" s="2" t="s">
        <v>403</v>
      </c>
      <c r="U1582" s="2" t="s">
        <v>12202</v>
      </c>
      <c r="V1582" s="2"/>
      <c r="W1582" s="2" t="s">
        <v>42</v>
      </c>
      <c r="X1582" s="2" t="s">
        <v>46</v>
      </c>
      <c r="Y1582" s="2" t="s">
        <v>37</v>
      </c>
      <c r="Z1582" s="2" t="s">
        <v>362</v>
      </c>
      <c r="AA1582" s="2"/>
      <c r="AB1582" s="2"/>
      <c r="AC1582" s="2" t="s">
        <v>12203</v>
      </c>
      <c r="AD1582" s="2" t="s">
        <v>46</v>
      </c>
    </row>
    <row r="1583" customFormat="false" ht="15.7" hidden="false" customHeight="true" outlineLevel="0" collapsed="false">
      <c r="A1583" s="2"/>
      <c r="B1583" s="3" t="n">
        <f aca="false">DATE(2011,3,29)</f>
        <v>0</v>
      </c>
      <c r="C1583" s="3" t="n">
        <v>40631</v>
      </c>
      <c r="D1583" s="2" t="s">
        <v>12204</v>
      </c>
      <c r="F1583" s="2" t="s">
        <v>12205</v>
      </c>
      <c r="G1583" s="2" t="s">
        <v>12206</v>
      </c>
      <c r="H1583" s="2" t="s">
        <v>2674</v>
      </c>
      <c r="I1583" s="2" t="s">
        <v>6134</v>
      </c>
      <c r="J1583" s="2" t="s">
        <v>65</v>
      </c>
      <c r="K1583" s="2" t="s">
        <v>12204</v>
      </c>
      <c r="L1583" s="2" t="s">
        <v>6134</v>
      </c>
      <c r="M1583" s="2" t="s">
        <v>2674</v>
      </c>
      <c r="N1583" s="2" t="s">
        <v>12207</v>
      </c>
      <c r="O1583" s="2"/>
      <c r="P1583" s="2" t="s">
        <v>37</v>
      </c>
      <c r="Q1583" s="4" t="n">
        <v>8731</v>
      </c>
      <c r="R1583" s="2" t="s">
        <v>3154</v>
      </c>
      <c r="S1583" s="2" t="s">
        <v>39</v>
      </c>
      <c r="T1583" s="2" t="s">
        <v>40</v>
      </c>
      <c r="U1583" s="2" t="s">
        <v>12208</v>
      </c>
      <c r="V1583" s="2"/>
      <c r="W1583" s="2" t="s">
        <v>42</v>
      </c>
      <c r="X1583" s="2" t="s">
        <v>43</v>
      </c>
      <c r="Y1583" s="2" t="s">
        <v>37</v>
      </c>
      <c r="Z1583" s="2" t="s">
        <v>44</v>
      </c>
      <c r="AA1583" s="2"/>
      <c r="AB1583" s="2"/>
      <c r="AC1583" s="2" t="s">
        <v>12209</v>
      </c>
      <c r="AD1583" s="2" t="s">
        <v>46</v>
      </c>
    </row>
    <row r="1584" customFormat="false" ht="15.7" hidden="false" customHeight="true" outlineLevel="0" collapsed="false">
      <c r="A1584" s="2"/>
      <c r="B1584" s="3" t="n">
        <f aca="false">DATE(2011,3,29)</f>
        <v>0</v>
      </c>
      <c r="C1584" s="3" t="n">
        <v>40631</v>
      </c>
      <c r="D1584" s="2" t="s">
        <v>12210</v>
      </c>
      <c r="F1584" s="2" t="s">
        <v>12211</v>
      </c>
      <c r="G1584" s="2" t="s">
        <v>12212</v>
      </c>
      <c r="H1584" s="2" t="s">
        <v>1806</v>
      </c>
      <c r="I1584" s="2" t="s">
        <v>670</v>
      </c>
      <c r="J1584" s="2" t="s">
        <v>1807</v>
      </c>
      <c r="K1584" s="2" t="s">
        <v>12210</v>
      </c>
      <c r="L1584" s="2" t="s">
        <v>670</v>
      </c>
      <c r="M1584" s="2" t="s">
        <v>1806</v>
      </c>
      <c r="N1584" s="2" t="s">
        <v>12213</v>
      </c>
      <c r="O1584" s="2"/>
      <c r="P1584" s="2" t="s">
        <v>37</v>
      </c>
      <c r="Q1584" s="4" t="n">
        <v>2899</v>
      </c>
      <c r="R1584" s="2" t="s">
        <v>402</v>
      </c>
      <c r="S1584" s="2" t="s">
        <v>39</v>
      </c>
      <c r="T1584" s="2" t="s">
        <v>403</v>
      </c>
      <c r="U1584" s="2" t="s">
        <v>12214</v>
      </c>
      <c r="V1584" s="2"/>
      <c r="W1584" s="2" t="s">
        <v>42</v>
      </c>
      <c r="X1584" s="2" t="s">
        <v>46</v>
      </c>
      <c r="Y1584" s="2" t="s">
        <v>37</v>
      </c>
      <c r="Z1584" s="2" t="s">
        <v>362</v>
      </c>
      <c r="AA1584" s="2"/>
      <c r="AB1584" s="2"/>
      <c r="AC1584" s="2" t="s">
        <v>12215</v>
      </c>
      <c r="AD1584" s="2" t="s">
        <v>46</v>
      </c>
    </row>
    <row r="1585" customFormat="false" ht="15.7" hidden="false" customHeight="true" outlineLevel="0" collapsed="false">
      <c r="A1585" s="2"/>
      <c r="B1585" s="3" t="n">
        <f aca="false">DATE(2011,3,31)</f>
        <v>0</v>
      </c>
      <c r="C1585" s="3" t="n">
        <v>40633</v>
      </c>
      <c r="D1585" s="2" t="s">
        <v>12216</v>
      </c>
      <c r="F1585" s="2" t="s">
        <v>12217</v>
      </c>
      <c r="G1585" s="2" t="s">
        <v>12218</v>
      </c>
      <c r="H1585" s="2" t="s">
        <v>12219</v>
      </c>
      <c r="I1585" s="2" t="s">
        <v>51</v>
      </c>
      <c r="J1585" s="2" t="s">
        <v>2633</v>
      </c>
      <c r="K1585" s="2" t="s">
        <v>12216</v>
      </c>
      <c r="L1585" s="2" t="s">
        <v>51</v>
      </c>
      <c r="M1585" s="2" t="s">
        <v>12219</v>
      </c>
      <c r="N1585" s="2" t="s">
        <v>12220</v>
      </c>
      <c r="O1585" s="2"/>
      <c r="P1585" s="2" t="s">
        <v>37</v>
      </c>
      <c r="Q1585" s="4" t="n">
        <v>8071</v>
      </c>
      <c r="R1585" s="2" t="s">
        <v>56</v>
      </c>
      <c r="S1585" s="2" t="s">
        <v>2265</v>
      </c>
      <c r="T1585" s="2" t="s">
        <v>403</v>
      </c>
      <c r="U1585" s="2" t="s">
        <v>12221</v>
      </c>
      <c r="V1585" s="2"/>
      <c r="W1585" s="2" t="s">
        <v>42</v>
      </c>
      <c r="X1585" s="2" t="s">
        <v>46</v>
      </c>
      <c r="Y1585" s="2" t="s">
        <v>37</v>
      </c>
      <c r="Z1585" s="2" t="s">
        <v>362</v>
      </c>
      <c r="AA1585" s="2"/>
      <c r="AB1585" s="2"/>
      <c r="AC1585" s="2" t="s">
        <v>12222</v>
      </c>
      <c r="AD1585" s="2" t="s">
        <v>46</v>
      </c>
    </row>
    <row r="1586" customFormat="false" ht="15.7" hidden="false" customHeight="true" outlineLevel="0" collapsed="false">
      <c r="A1586" s="2"/>
      <c r="B1586" s="3" t="n">
        <f aca="false">DATE(2011,4,1)</f>
        <v>0</v>
      </c>
      <c r="C1586" s="3" t="n">
        <v>40634</v>
      </c>
      <c r="D1586" s="2" t="s">
        <v>12223</v>
      </c>
      <c r="F1586" s="2" t="s">
        <v>12224</v>
      </c>
      <c r="G1586" s="2" t="s">
        <v>12225</v>
      </c>
      <c r="H1586" s="2" t="s">
        <v>12226</v>
      </c>
      <c r="I1586" s="2" t="s">
        <v>12227</v>
      </c>
      <c r="J1586" s="2" t="s">
        <v>35</v>
      </c>
      <c r="K1586" s="2" t="s">
        <v>12223</v>
      </c>
      <c r="L1586" s="2" t="s">
        <v>12227</v>
      </c>
      <c r="M1586" s="2" t="s">
        <v>12226</v>
      </c>
      <c r="N1586" s="2" t="s">
        <v>12228</v>
      </c>
      <c r="O1586" s="2"/>
      <c r="P1586" s="2" t="s">
        <v>37</v>
      </c>
      <c r="Q1586" s="4" t="n">
        <v>3679</v>
      </c>
      <c r="R1586" s="2" t="s">
        <v>136</v>
      </c>
      <c r="S1586" s="2" t="s">
        <v>39</v>
      </c>
      <c r="T1586" s="2" t="s">
        <v>403</v>
      </c>
      <c r="U1586" s="2" t="s">
        <v>12229</v>
      </c>
      <c r="V1586" s="2"/>
      <c r="W1586" s="2" t="s">
        <v>42</v>
      </c>
      <c r="X1586" s="2" t="s">
        <v>43</v>
      </c>
      <c r="Y1586" s="2" t="s">
        <v>37</v>
      </c>
      <c r="Z1586" s="2" t="s">
        <v>44</v>
      </c>
      <c r="AA1586" s="2"/>
      <c r="AB1586" s="2"/>
      <c r="AC1586" s="2" t="s">
        <v>12230</v>
      </c>
      <c r="AD1586" s="2" t="s">
        <v>46</v>
      </c>
    </row>
    <row r="1587" customFormat="false" ht="15.7" hidden="false" customHeight="true" outlineLevel="0" collapsed="false">
      <c r="A1587" s="2"/>
      <c r="B1587" s="3" t="n">
        <f aca="false">DATE(2011,4,4)</f>
        <v>0</v>
      </c>
      <c r="C1587" s="3" t="n">
        <v>40637</v>
      </c>
      <c r="D1587" s="2" t="s">
        <v>12231</v>
      </c>
      <c r="F1587" s="2" t="s">
        <v>2814</v>
      </c>
      <c r="G1587" s="2" t="s">
        <v>12232</v>
      </c>
      <c r="H1587" s="2" t="s">
        <v>1770</v>
      </c>
      <c r="I1587" s="2" t="s">
        <v>11429</v>
      </c>
      <c r="J1587" s="2" t="s">
        <v>35</v>
      </c>
      <c r="K1587" s="2" t="s">
        <v>12231</v>
      </c>
      <c r="L1587" s="2" t="s">
        <v>11429</v>
      </c>
      <c r="M1587" s="2" t="s">
        <v>1770</v>
      </c>
      <c r="N1587" s="2" t="s">
        <v>12233</v>
      </c>
      <c r="O1587" s="2"/>
      <c r="P1587" s="2" t="s">
        <v>37</v>
      </c>
      <c r="Q1587" s="4" t="n">
        <v>2834</v>
      </c>
      <c r="R1587" s="2" t="s">
        <v>1402</v>
      </c>
      <c r="S1587" s="2" t="s">
        <v>39</v>
      </c>
      <c r="T1587" s="2" t="s">
        <v>403</v>
      </c>
      <c r="U1587" s="2" t="s">
        <v>12234</v>
      </c>
      <c r="V1587" s="2"/>
      <c r="W1587" s="2" t="s">
        <v>42</v>
      </c>
      <c r="X1587" s="2" t="s">
        <v>46</v>
      </c>
      <c r="Y1587" s="2" t="s">
        <v>37</v>
      </c>
      <c r="Z1587" s="2" t="s">
        <v>362</v>
      </c>
      <c r="AA1587" s="2"/>
      <c r="AB1587" s="2"/>
      <c r="AC1587" s="2" t="s">
        <v>12235</v>
      </c>
      <c r="AD1587" s="2" t="s">
        <v>46</v>
      </c>
    </row>
    <row r="1588" customFormat="false" ht="15.7" hidden="false" customHeight="true" outlineLevel="0" collapsed="false">
      <c r="A1588" s="2"/>
      <c r="B1588" s="3" t="n">
        <f aca="false">DATE(2011,4,6)</f>
        <v>0</v>
      </c>
      <c r="C1588" s="3" t="n">
        <v>40639</v>
      </c>
      <c r="D1588" s="2" t="s">
        <v>12236</v>
      </c>
      <c r="F1588" s="2" t="s">
        <v>12237</v>
      </c>
      <c r="G1588" s="2" t="s">
        <v>12238</v>
      </c>
      <c r="H1588" s="2" t="s">
        <v>12239</v>
      </c>
      <c r="I1588" s="2" t="s">
        <v>12240</v>
      </c>
      <c r="J1588" s="2" t="s">
        <v>12241</v>
      </c>
      <c r="K1588" s="2" t="s">
        <v>12236</v>
      </c>
      <c r="L1588" s="2" t="s">
        <v>12240</v>
      </c>
      <c r="M1588" s="2" t="s">
        <v>12239</v>
      </c>
      <c r="N1588" s="2" t="s">
        <v>12242</v>
      </c>
      <c r="O1588" s="2"/>
      <c r="P1588" s="2" t="s">
        <v>37</v>
      </c>
      <c r="Q1588" s="4" t="n">
        <v>8733</v>
      </c>
      <c r="R1588" s="2" t="s">
        <v>136</v>
      </c>
      <c r="S1588" s="2" t="s">
        <v>39</v>
      </c>
      <c r="T1588" s="2" t="s">
        <v>40</v>
      </c>
      <c r="U1588" s="2" t="s">
        <v>12243</v>
      </c>
      <c r="V1588" s="2"/>
      <c r="W1588" s="2" t="s">
        <v>42</v>
      </c>
      <c r="X1588" s="2" t="s">
        <v>43</v>
      </c>
      <c r="Y1588" s="2" t="s">
        <v>37</v>
      </c>
      <c r="Z1588" s="2" t="s">
        <v>916</v>
      </c>
      <c r="AA1588" s="2"/>
      <c r="AB1588" s="2"/>
      <c r="AC1588" s="2" t="s">
        <v>12244</v>
      </c>
      <c r="AD1588" s="2" t="s">
        <v>46</v>
      </c>
    </row>
    <row r="1589" customFormat="false" ht="15.7" hidden="false" customHeight="true" outlineLevel="0" collapsed="false">
      <c r="A1589" s="2"/>
      <c r="B1589" s="3" t="n">
        <f aca="false">DATE(2011,4,7)</f>
        <v>0</v>
      </c>
      <c r="C1589" s="3" t="n">
        <v>40640</v>
      </c>
      <c r="D1589" s="2" t="s">
        <v>12245</v>
      </c>
      <c r="F1589" s="2" t="s">
        <v>12246</v>
      </c>
      <c r="G1589" s="2" t="s">
        <v>12247</v>
      </c>
      <c r="H1589" s="2" t="s">
        <v>523</v>
      </c>
      <c r="I1589" s="2" t="s">
        <v>8108</v>
      </c>
      <c r="J1589" s="2" t="s">
        <v>35</v>
      </c>
      <c r="K1589" s="2" t="s">
        <v>12245</v>
      </c>
      <c r="L1589" s="2" t="s">
        <v>8108</v>
      </c>
      <c r="M1589" s="2" t="s">
        <v>523</v>
      </c>
      <c r="N1589" s="2" t="s">
        <v>12248</v>
      </c>
      <c r="O1589" s="2"/>
      <c r="P1589" s="2" t="s">
        <v>37</v>
      </c>
      <c r="Q1589" s="4" t="n">
        <v>8731</v>
      </c>
      <c r="R1589" s="2" t="s">
        <v>136</v>
      </c>
      <c r="S1589" s="2" t="s">
        <v>39</v>
      </c>
      <c r="T1589" s="2" t="s">
        <v>40</v>
      </c>
      <c r="U1589" s="2" t="s">
        <v>12249</v>
      </c>
      <c r="V1589" s="2"/>
      <c r="W1589" s="2" t="s">
        <v>42</v>
      </c>
      <c r="X1589" s="2" t="s">
        <v>43</v>
      </c>
      <c r="Y1589" s="2" t="s">
        <v>37</v>
      </c>
      <c r="Z1589" s="2" t="s">
        <v>44</v>
      </c>
      <c r="AA1589" s="2"/>
      <c r="AB1589" s="2"/>
      <c r="AC1589" s="2" t="s">
        <v>12250</v>
      </c>
      <c r="AD1589" s="2" t="s">
        <v>46</v>
      </c>
    </row>
    <row r="1590" customFormat="false" ht="15.7" hidden="false" customHeight="true" outlineLevel="0" collapsed="false">
      <c r="A1590" s="2"/>
      <c r="B1590" s="3" t="n">
        <f aca="false">DATE(2011,4,11)</f>
        <v>0</v>
      </c>
      <c r="C1590" s="3" t="n">
        <v>40644</v>
      </c>
      <c r="D1590" s="2" t="s">
        <v>12251</v>
      </c>
      <c r="F1590" s="2" t="s">
        <v>7050</v>
      </c>
      <c r="G1590" s="2" t="s">
        <v>12252</v>
      </c>
      <c r="H1590" s="2" t="s">
        <v>305</v>
      </c>
      <c r="I1590" s="2" t="s">
        <v>131</v>
      </c>
      <c r="J1590" s="2" t="s">
        <v>795</v>
      </c>
      <c r="K1590" s="2" t="s">
        <v>12251</v>
      </c>
      <c r="L1590" s="2" t="s">
        <v>131</v>
      </c>
      <c r="M1590" s="2" t="s">
        <v>305</v>
      </c>
      <c r="N1590" s="2" t="s">
        <v>12253</v>
      </c>
      <c r="O1590" s="2"/>
      <c r="P1590" s="2" t="s">
        <v>37</v>
      </c>
      <c r="Q1590" s="4" t="n">
        <v>2836</v>
      </c>
      <c r="R1590" s="2" t="s">
        <v>56</v>
      </c>
      <c r="S1590" s="2" t="s">
        <v>2265</v>
      </c>
      <c r="T1590" s="2" t="s">
        <v>40</v>
      </c>
      <c r="U1590" s="2" t="s">
        <v>12254</v>
      </c>
      <c r="V1590" s="2"/>
      <c r="W1590" s="2" t="s">
        <v>42</v>
      </c>
      <c r="X1590" s="2" t="s">
        <v>43</v>
      </c>
      <c r="Y1590" s="2" t="s">
        <v>37</v>
      </c>
      <c r="Z1590" s="2" t="s">
        <v>44</v>
      </c>
      <c r="AA1590" s="2"/>
      <c r="AB1590" s="2"/>
      <c r="AC1590" s="2" t="s">
        <v>12255</v>
      </c>
      <c r="AD1590" s="2" t="s">
        <v>46</v>
      </c>
    </row>
    <row r="1591" customFormat="false" ht="15.7" hidden="false" customHeight="true" outlineLevel="0" collapsed="false">
      <c r="A1591" s="2"/>
      <c r="B1591" s="3" t="n">
        <f aca="false">DATE(2011,4,12)</f>
        <v>0</v>
      </c>
      <c r="C1591" s="3" t="n">
        <v>40645</v>
      </c>
      <c r="D1591" s="2" t="s">
        <v>12256</v>
      </c>
      <c r="F1591" s="2" t="s">
        <v>12257</v>
      </c>
      <c r="G1591" s="2" t="s">
        <v>12258</v>
      </c>
      <c r="H1591" s="2" t="s">
        <v>12259</v>
      </c>
      <c r="I1591" s="2" t="s">
        <v>670</v>
      </c>
      <c r="J1591" s="2" t="s">
        <v>65</v>
      </c>
      <c r="K1591" s="2" t="s">
        <v>12256</v>
      </c>
      <c r="L1591" s="2" t="s">
        <v>670</v>
      </c>
      <c r="M1591" s="2" t="s">
        <v>12259</v>
      </c>
      <c r="N1591" s="2" t="s">
        <v>12260</v>
      </c>
      <c r="O1591" s="2"/>
      <c r="P1591" s="2" t="s">
        <v>37</v>
      </c>
      <c r="Q1591" s="4" t="n">
        <v>3663</v>
      </c>
      <c r="R1591" s="2" t="s">
        <v>402</v>
      </c>
      <c r="S1591" s="2" t="s">
        <v>39</v>
      </c>
      <c r="T1591" s="2" t="s">
        <v>40</v>
      </c>
      <c r="U1591" s="2" t="s">
        <v>12261</v>
      </c>
      <c r="V1591" s="2"/>
      <c r="W1591" s="2" t="s">
        <v>42</v>
      </c>
      <c r="X1591" s="2" t="s">
        <v>43</v>
      </c>
      <c r="Y1591" s="2" t="s">
        <v>37</v>
      </c>
      <c r="Z1591" s="2" t="s">
        <v>44</v>
      </c>
      <c r="AA1591" s="2"/>
      <c r="AB1591" s="2"/>
      <c r="AC1591" s="2" t="s">
        <v>12262</v>
      </c>
      <c r="AD1591" s="2" t="s">
        <v>46</v>
      </c>
    </row>
    <row r="1592" customFormat="false" ht="15.7" hidden="false" customHeight="true" outlineLevel="0" collapsed="false">
      <c r="A1592" s="2"/>
      <c r="B1592" s="3" t="n">
        <f aca="false">DATE(2011,4,12)</f>
        <v>0</v>
      </c>
      <c r="C1592" s="3" t="n">
        <v>40645</v>
      </c>
      <c r="D1592" s="2" t="s">
        <v>12263</v>
      </c>
      <c r="F1592" s="2" t="s">
        <v>12264</v>
      </c>
      <c r="G1592" s="2" t="s">
        <v>12265</v>
      </c>
      <c r="H1592" s="2" t="s">
        <v>12266</v>
      </c>
      <c r="I1592" s="2" t="s">
        <v>2530</v>
      </c>
      <c r="J1592" s="2" t="s">
        <v>2531</v>
      </c>
      <c r="K1592" s="2" t="s">
        <v>12263</v>
      </c>
      <c r="L1592" s="2" t="s">
        <v>2530</v>
      </c>
      <c r="M1592" s="2" t="s">
        <v>12266</v>
      </c>
      <c r="N1592" s="2" t="s">
        <v>12267</v>
      </c>
      <c r="O1592" s="2" t="s">
        <v>12268</v>
      </c>
      <c r="P1592" s="2" t="s">
        <v>37</v>
      </c>
      <c r="Q1592" s="4" t="n">
        <v>3761</v>
      </c>
      <c r="R1592" s="2" t="s">
        <v>56</v>
      </c>
      <c r="S1592" s="2" t="s">
        <v>2265</v>
      </c>
      <c r="T1592" s="2" t="s">
        <v>40</v>
      </c>
      <c r="U1592" s="2" t="s">
        <v>12269</v>
      </c>
      <c r="V1592" s="2"/>
      <c r="W1592" s="2" t="s">
        <v>42</v>
      </c>
      <c r="X1592" s="2" t="s">
        <v>46</v>
      </c>
      <c r="Y1592" s="2" t="s">
        <v>37</v>
      </c>
      <c r="Z1592" s="2" t="s">
        <v>452</v>
      </c>
      <c r="AA1592" s="2"/>
      <c r="AB1592" s="2" t="s">
        <v>12270</v>
      </c>
      <c r="AC1592" s="2" t="s">
        <v>12271</v>
      </c>
      <c r="AD1592" s="2" t="s">
        <v>46</v>
      </c>
    </row>
    <row r="1593" customFormat="false" ht="15.7" hidden="false" customHeight="true" outlineLevel="0" collapsed="false">
      <c r="A1593" s="2"/>
      <c r="B1593" s="3" t="n">
        <f aca="false">DATE(2011,4,15)</f>
        <v>0</v>
      </c>
      <c r="C1593" s="3" t="n">
        <v>40648</v>
      </c>
      <c r="D1593" s="2" t="s">
        <v>12272</v>
      </c>
      <c r="F1593" s="2" t="s">
        <v>12273</v>
      </c>
      <c r="G1593" s="2" t="s">
        <v>12274</v>
      </c>
      <c r="H1593" s="2" t="s">
        <v>523</v>
      </c>
      <c r="I1593" s="2" t="s">
        <v>51</v>
      </c>
      <c r="J1593" s="2" t="s">
        <v>12275</v>
      </c>
      <c r="K1593" s="2" t="s">
        <v>12272</v>
      </c>
      <c r="L1593" s="2" t="s">
        <v>51</v>
      </c>
      <c r="M1593" s="2" t="s">
        <v>523</v>
      </c>
      <c r="N1593" s="2" t="s">
        <v>12276</v>
      </c>
      <c r="O1593" s="2"/>
      <c r="P1593" s="2" t="s">
        <v>37</v>
      </c>
      <c r="Q1593" s="4" t="n">
        <v>8731</v>
      </c>
      <c r="R1593" s="2" t="s">
        <v>56</v>
      </c>
      <c r="S1593" s="2" t="s">
        <v>2265</v>
      </c>
      <c r="T1593" s="2" t="s">
        <v>403</v>
      </c>
      <c r="U1593" s="2" t="s">
        <v>12277</v>
      </c>
      <c r="V1593" s="2"/>
      <c r="W1593" s="2" t="s">
        <v>42</v>
      </c>
      <c r="X1593" s="2" t="s">
        <v>46</v>
      </c>
      <c r="Y1593" s="2" t="s">
        <v>37</v>
      </c>
      <c r="Z1593" s="2" t="s">
        <v>362</v>
      </c>
      <c r="AA1593" s="2"/>
      <c r="AB1593" s="2"/>
      <c r="AC1593" s="2" t="s">
        <v>12278</v>
      </c>
      <c r="AD1593" s="2" t="s">
        <v>46</v>
      </c>
    </row>
    <row r="1594" customFormat="false" ht="15.7" hidden="false" customHeight="true" outlineLevel="0" collapsed="false">
      <c r="A1594" s="2"/>
      <c r="B1594" s="3" t="n">
        <f aca="false">DATE(2011,4,20)</f>
        <v>0</v>
      </c>
      <c r="C1594" s="3" t="n">
        <v>40653</v>
      </c>
      <c r="D1594" s="2" t="s">
        <v>12279</v>
      </c>
      <c r="F1594" s="2" t="s">
        <v>12280</v>
      </c>
      <c r="G1594" s="2" t="s">
        <v>12281</v>
      </c>
      <c r="H1594" s="2" t="s">
        <v>12282</v>
      </c>
      <c r="I1594" s="2" t="s">
        <v>12283</v>
      </c>
      <c r="J1594" s="2" t="s">
        <v>35</v>
      </c>
      <c r="K1594" s="2" t="s">
        <v>12279</v>
      </c>
      <c r="L1594" s="2" t="s">
        <v>12283</v>
      </c>
      <c r="M1594" s="2" t="s">
        <v>12282</v>
      </c>
      <c r="N1594" s="2" t="s">
        <v>12284</v>
      </c>
      <c r="O1594" s="2"/>
      <c r="P1594" s="2" t="s">
        <v>37</v>
      </c>
      <c r="Q1594" s="4" t="n">
        <v>8731</v>
      </c>
      <c r="R1594" s="2" t="s">
        <v>136</v>
      </c>
      <c r="S1594" s="2" t="s">
        <v>39</v>
      </c>
      <c r="T1594" s="2" t="s">
        <v>40</v>
      </c>
      <c r="U1594" s="2" t="s">
        <v>12285</v>
      </c>
      <c r="V1594" s="2"/>
      <c r="W1594" s="2" t="s">
        <v>42</v>
      </c>
      <c r="X1594" s="2" t="s">
        <v>43</v>
      </c>
      <c r="Y1594" s="2" t="s">
        <v>37</v>
      </c>
      <c r="Z1594" s="2" t="s">
        <v>44</v>
      </c>
      <c r="AA1594" s="2"/>
      <c r="AB1594" s="2"/>
      <c r="AC1594" s="2" t="s">
        <v>12286</v>
      </c>
      <c r="AD1594" s="2" t="s">
        <v>46</v>
      </c>
    </row>
    <row r="1595" customFormat="false" ht="15.7" hidden="false" customHeight="true" outlineLevel="0" collapsed="false">
      <c r="A1595" s="2"/>
      <c r="B1595" s="3" t="n">
        <f aca="false">DATE(2011,4,20)</f>
        <v>0</v>
      </c>
      <c r="C1595" s="3" t="n">
        <v>40653</v>
      </c>
      <c r="D1595" s="2" t="s">
        <v>12287</v>
      </c>
      <c r="F1595" s="2" t="s">
        <v>12288</v>
      </c>
      <c r="G1595" s="2" t="s">
        <v>12289</v>
      </c>
      <c r="H1595" s="2" t="s">
        <v>2271</v>
      </c>
      <c r="I1595" s="2" t="s">
        <v>12290</v>
      </c>
      <c r="J1595" s="2" t="s">
        <v>35</v>
      </c>
      <c r="K1595" s="2" t="s">
        <v>12291</v>
      </c>
      <c r="L1595" s="2" t="s">
        <v>12290</v>
      </c>
      <c r="M1595" s="2" t="s">
        <v>12292</v>
      </c>
      <c r="N1595" s="2" t="s">
        <v>12293</v>
      </c>
      <c r="O1595" s="2"/>
      <c r="P1595" s="2" t="s">
        <v>37</v>
      </c>
      <c r="Q1595" s="4" t="n">
        <v>8731</v>
      </c>
      <c r="R1595" s="2" t="s">
        <v>136</v>
      </c>
      <c r="S1595" s="2" t="s">
        <v>39</v>
      </c>
      <c r="T1595" s="2" t="s">
        <v>40</v>
      </c>
      <c r="U1595" s="2" t="s">
        <v>12294</v>
      </c>
      <c r="V1595" s="2"/>
      <c r="W1595" s="2" t="s">
        <v>42</v>
      </c>
      <c r="X1595" s="2" t="s">
        <v>43</v>
      </c>
      <c r="Y1595" s="2" t="s">
        <v>37</v>
      </c>
      <c r="Z1595" s="2" t="s">
        <v>44</v>
      </c>
      <c r="AA1595" s="2"/>
      <c r="AB1595" s="2"/>
      <c r="AC1595" s="2" t="s">
        <v>12295</v>
      </c>
      <c r="AD1595" s="2" t="s">
        <v>46</v>
      </c>
    </row>
    <row r="1596" customFormat="false" ht="15.7" hidden="false" customHeight="true" outlineLevel="0" collapsed="false">
      <c r="A1596" s="2"/>
      <c r="B1596" s="3" t="n">
        <f aca="false">DATE(2011,4,20)</f>
        <v>0</v>
      </c>
      <c r="C1596" s="3" t="n">
        <v>40653</v>
      </c>
      <c r="D1596" s="2" t="s">
        <v>12296</v>
      </c>
      <c r="F1596" s="2" t="s">
        <v>12297</v>
      </c>
      <c r="G1596" s="2" t="s">
        <v>12298</v>
      </c>
      <c r="H1596" s="2" t="s">
        <v>551</v>
      </c>
      <c r="I1596" s="2" t="s">
        <v>12299</v>
      </c>
      <c r="J1596" s="2" t="s">
        <v>35</v>
      </c>
      <c r="K1596" s="2" t="s">
        <v>12300</v>
      </c>
      <c r="L1596" s="2" t="s">
        <v>12299</v>
      </c>
      <c r="M1596" s="2" t="s">
        <v>12301</v>
      </c>
      <c r="N1596" s="2" t="s">
        <v>12302</v>
      </c>
      <c r="O1596" s="2"/>
      <c r="P1596" s="2" t="s">
        <v>37</v>
      </c>
      <c r="Q1596" s="4" t="n">
        <v>2834</v>
      </c>
      <c r="R1596" s="2" t="s">
        <v>38</v>
      </c>
      <c r="S1596" s="2" t="s">
        <v>39</v>
      </c>
      <c r="T1596" s="2" t="s">
        <v>403</v>
      </c>
      <c r="U1596" s="2" t="s">
        <v>12303</v>
      </c>
      <c r="V1596" s="2"/>
      <c r="W1596" s="2" t="s">
        <v>42</v>
      </c>
      <c r="X1596" s="2" t="s">
        <v>46</v>
      </c>
      <c r="Y1596" s="2" t="s">
        <v>37</v>
      </c>
      <c r="Z1596" s="2" t="s">
        <v>362</v>
      </c>
      <c r="AA1596" s="2"/>
      <c r="AB1596" s="2"/>
      <c r="AC1596" s="2" t="s">
        <v>12304</v>
      </c>
      <c r="AD1596" s="2" t="s">
        <v>46</v>
      </c>
    </row>
    <row r="1597" customFormat="false" ht="15.7" hidden="false" customHeight="true" outlineLevel="0" collapsed="false">
      <c r="A1597" s="2"/>
      <c r="B1597" s="3" t="n">
        <f aca="false">DATE(2011,4,26)</f>
        <v>0</v>
      </c>
      <c r="C1597" s="3" t="n">
        <v>40659</v>
      </c>
      <c r="D1597" s="2" t="s">
        <v>12305</v>
      </c>
      <c r="F1597" s="2" t="s">
        <v>12306</v>
      </c>
      <c r="G1597" s="2" t="s">
        <v>12307</v>
      </c>
      <c r="H1597" s="2" t="s">
        <v>9866</v>
      </c>
      <c r="I1597" s="2" t="s">
        <v>3802</v>
      </c>
      <c r="J1597" s="2" t="s">
        <v>35</v>
      </c>
      <c r="K1597" s="2" t="s">
        <v>12305</v>
      </c>
      <c r="L1597" s="2" t="s">
        <v>3802</v>
      </c>
      <c r="M1597" s="2" t="s">
        <v>9866</v>
      </c>
      <c r="N1597" s="2" t="s">
        <v>12308</v>
      </c>
      <c r="O1597" s="2"/>
      <c r="P1597" s="2" t="s">
        <v>37</v>
      </c>
      <c r="Q1597" s="4" t="n">
        <v>8731</v>
      </c>
      <c r="R1597" s="2" t="s">
        <v>402</v>
      </c>
      <c r="S1597" s="2" t="s">
        <v>39</v>
      </c>
      <c r="T1597" s="2" t="s">
        <v>403</v>
      </c>
      <c r="U1597" s="2" t="s">
        <v>12309</v>
      </c>
      <c r="V1597" s="2"/>
      <c r="W1597" s="2" t="s">
        <v>42</v>
      </c>
      <c r="X1597" s="2" t="s">
        <v>46</v>
      </c>
      <c r="Y1597" s="2" t="s">
        <v>37</v>
      </c>
      <c r="Z1597" s="2" t="s">
        <v>362</v>
      </c>
      <c r="AA1597" s="2"/>
      <c r="AB1597" s="2"/>
      <c r="AC1597" s="2" t="s">
        <v>12310</v>
      </c>
      <c r="AD1597" s="2" t="s">
        <v>46</v>
      </c>
    </row>
    <row r="1598" customFormat="false" ht="15.7" hidden="false" customHeight="true" outlineLevel="0" collapsed="false">
      <c r="A1598" s="2"/>
      <c r="B1598" s="3" t="n">
        <f aca="false">DATE(2011,5,2)</f>
        <v>0</v>
      </c>
      <c r="C1598" s="3" t="n">
        <v>40665</v>
      </c>
      <c r="D1598" s="2" t="s">
        <v>12311</v>
      </c>
      <c r="F1598" s="2" t="s">
        <v>256</v>
      </c>
      <c r="G1598" s="2" t="s">
        <v>12312</v>
      </c>
      <c r="H1598" s="2" t="s">
        <v>170</v>
      </c>
      <c r="I1598" s="2" t="s">
        <v>487</v>
      </c>
      <c r="J1598" s="2" t="s">
        <v>331</v>
      </c>
      <c r="K1598" s="2" t="s">
        <v>12311</v>
      </c>
      <c r="L1598" s="2" t="s">
        <v>487</v>
      </c>
      <c r="M1598" s="2" t="s">
        <v>170</v>
      </c>
      <c r="N1598" s="2" t="s">
        <v>12313</v>
      </c>
      <c r="O1598" s="2"/>
      <c r="P1598" s="2" t="s">
        <v>37</v>
      </c>
      <c r="Q1598" s="4" t="n">
        <v>2836</v>
      </c>
      <c r="R1598" s="2" t="s">
        <v>1448</v>
      </c>
      <c r="S1598" s="2" t="s">
        <v>39</v>
      </c>
      <c r="T1598" s="2" t="s">
        <v>403</v>
      </c>
      <c r="U1598" s="2" t="s">
        <v>12314</v>
      </c>
      <c r="V1598" s="2"/>
      <c r="W1598" s="2" t="s">
        <v>42</v>
      </c>
      <c r="X1598" s="2" t="s">
        <v>46</v>
      </c>
      <c r="Y1598" s="2" t="s">
        <v>37</v>
      </c>
      <c r="Z1598" s="2" t="s">
        <v>362</v>
      </c>
      <c r="AA1598" s="2"/>
      <c r="AB1598" s="2"/>
      <c r="AC1598" s="2" t="s">
        <v>12315</v>
      </c>
      <c r="AD1598" s="2" t="s">
        <v>46</v>
      </c>
    </row>
    <row r="1599" customFormat="false" ht="15.7" hidden="false" customHeight="true" outlineLevel="0" collapsed="false">
      <c r="A1599" s="2"/>
      <c r="B1599" s="3" t="n">
        <f aca="false">DATE(2011,5,2)</f>
        <v>0</v>
      </c>
      <c r="C1599" s="3" t="n">
        <v>40665</v>
      </c>
      <c r="D1599" s="2" t="s">
        <v>12316</v>
      </c>
      <c r="F1599" s="2" t="s">
        <v>12317</v>
      </c>
      <c r="G1599" s="2" t="s">
        <v>12318</v>
      </c>
      <c r="H1599" s="2" t="s">
        <v>12319</v>
      </c>
      <c r="I1599" s="2" t="s">
        <v>3802</v>
      </c>
      <c r="J1599" s="2" t="s">
        <v>35</v>
      </c>
      <c r="K1599" s="2" t="s">
        <v>12316</v>
      </c>
      <c r="L1599" s="2" t="s">
        <v>3802</v>
      </c>
      <c r="M1599" s="2" t="s">
        <v>12319</v>
      </c>
      <c r="N1599" s="2" t="s">
        <v>12320</v>
      </c>
      <c r="O1599" s="2" t="s">
        <v>12321</v>
      </c>
      <c r="P1599" s="2" t="s">
        <v>37</v>
      </c>
      <c r="Q1599" s="4" t="n">
        <v>8731</v>
      </c>
      <c r="R1599" s="2" t="s">
        <v>402</v>
      </c>
      <c r="S1599" s="2" t="s">
        <v>39</v>
      </c>
      <c r="T1599" s="2" t="s">
        <v>40</v>
      </c>
      <c r="U1599" s="2" t="s">
        <v>12322</v>
      </c>
      <c r="V1599" s="2"/>
      <c r="W1599" s="2" t="s">
        <v>42</v>
      </c>
      <c r="X1599" s="2" t="s">
        <v>46</v>
      </c>
      <c r="Y1599" s="2" t="s">
        <v>37</v>
      </c>
      <c r="Z1599" s="2" t="s">
        <v>362</v>
      </c>
      <c r="AA1599" s="2"/>
      <c r="AB1599" s="2" t="s">
        <v>12323</v>
      </c>
      <c r="AC1599" s="2" t="s">
        <v>12324</v>
      </c>
      <c r="AD1599" s="2" t="s">
        <v>46</v>
      </c>
    </row>
    <row r="1600" customFormat="false" ht="15.7" hidden="false" customHeight="true" outlineLevel="0" collapsed="false">
      <c r="A1600" s="2"/>
      <c r="B1600" s="3" t="n">
        <f aca="false">DATE(2011,5,3)</f>
        <v>0</v>
      </c>
      <c r="C1600" s="3" t="n">
        <v>40666</v>
      </c>
      <c r="D1600" s="2" t="s">
        <v>12325</v>
      </c>
      <c r="F1600" s="2" t="s">
        <v>12326</v>
      </c>
      <c r="G1600" s="2" t="s">
        <v>12327</v>
      </c>
      <c r="H1600" s="2" t="s">
        <v>12328</v>
      </c>
      <c r="I1600" s="2" t="s">
        <v>3802</v>
      </c>
      <c r="J1600" s="2" t="s">
        <v>35</v>
      </c>
      <c r="K1600" s="2" t="s">
        <v>12325</v>
      </c>
      <c r="L1600" s="2" t="s">
        <v>3802</v>
      </c>
      <c r="M1600" s="2" t="s">
        <v>12328</v>
      </c>
      <c r="N1600" s="2" t="s">
        <v>12329</v>
      </c>
      <c r="O1600" s="2"/>
      <c r="P1600" s="2" t="s">
        <v>37</v>
      </c>
      <c r="Q1600" s="4" t="n">
        <v>8731</v>
      </c>
      <c r="R1600" s="2" t="s">
        <v>402</v>
      </c>
      <c r="S1600" s="2" t="s">
        <v>39</v>
      </c>
      <c r="T1600" s="2" t="s">
        <v>403</v>
      </c>
      <c r="U1600" s="2" t="s">
        <v>12330</v>
      </c>
      <c r="V1600" s="2"/>
      <c r="W1600" s="2" t="s">
        <v>42</v>
      </c>
      <c r="X1600" s="2" t="s">
        <v>46</v>
      </c>
      <c r="Y1600" s="2" t="s">
        <v>37</v>
      </c>
      <c r="Z1600" s="2" t="s">
        <v>362</v>
      </c>
      <c r="AA1600" s="2"/>
      <c r="AB1600" s="2"/>
      <c r="AC1600" s="2" t="s">
        <v>12331</v>
      </c>
      <c r="AD1600" s="2" t="s">
        <v>46</v>
      </c>
    </row>
    <row r="1601" customFormat="false" ht="15.7" hidden="false" customHeight="true" outlineLevel="0" collapsed="false">
      <c r="A1601" s="2"/>
      <c r="B1601" s="3" t="n">
        <f aca="false">DATE(2011,5,6)</f>
        <v>0</v>
      </c>
      <c r="C1601" s="3" t="n">
        <v>40669</v>
      </c>
      <c r="D1601" s="2" t="s">
        <v>12332</v>
      </c>
      <c r="F1601" s="2" t="s">
        <v>12333</v>
      </c>
      <c r="G1601" s="2" t="s">
        <v>12334</v>
      </c>
      <c r="H1601" s="2" t="s">
        <v>7311</v>
      </c>
      <c r="I1601" s="2" t="s">
        <v>7116</v>
      </c>
      <c r="J1601" s="2" t="s">
        <v>65</v>
      </c>
      <c r="K1601" s="2" t="s">
        <v>12332</v>
      </c>
      <c r="L1601" s="2" t="s">
        <v>7116</v>
      </c>
      <c r="M1601" s="2" t="s">
        <v>7311</v>
      </c>
      <c r="N1601" s="2" t="s">
        <v>12335</v>
      </c>
      <c r="O1601" s="2"/>
      <c r="P1601" s="2" t="s">
        <v>37</v>
      </c>
      <c r="Q1601" s="4" t="n">
        <v>8731</v>
      </c>
      <c r="R1601" s="2" t="s">
        <v>136</v>
      </c>
      <c r="S1601" s="2" t="s">
        <v>39</v>
      </c>
      <c r="T1601" s="2" t="s">
        <v>403</v>
      </c>
      <c r="U1601" s="2" t="s">
        <v>12336</v>
      </c>
      <c r="V1601" s="2"/>
      <c r="W1601" s="2" t="s">
        <v>138</v>
      </c>
      <c r="X1601" s="2" t="s">
        <v>43</v>
      </c>
      <c r="Y1601" s="2" t="s">
        <v>37</v>
      </c>
      <c r="Z1601" s="2" t="s">
        <v>44</v>
      </c>
      <c r="AA1601" s="2"/>
      <c r="AB1601" s="2"/>
      <c r="AC1601" s="2" t="s">
        <v>12337</v>
      </c>
      <c r="AD1601" s="2" t="s">
        <v>46</v>
      </c>
    </row>
    <row r="1602" customFormat="false" ht="15.7" hidden="false" customHeight="true" outlineLevel="0" collapsed="false">
      <c r="A1602" s="2"/>
      <c r="B1602" s="3" t="n">
        <f aca="false">DATE(2011,5,11)</f>
        <v>0</v>
      </c>
      <c r="C1602" s="3" t="n">
        <v>40674</v>
      </c>
      <c r="D1602" s="2" t="s">
        <v>6852</v>
      </c>
      <c r="F1602" s="2" t="s">
        <v>6853</v>
      </c>
      <c r="G1602" s="2" t="s">
        <v>6854</v>
      </c>
      <c r="H1602" s="2" t="s">
        <v>63</v>
      </c>
      <c r="I1602" s="2" t="s">
        <v>6423</v>
      </c>
      <c r="J1602" s="2" t="s">
        <v>35</v>
      </c>
      <c r="K1602" s="2" t="s">
        <v>6852</v>
      </c>
      <c r="L1602" s="2" t="s">
        <v>6423</v>
      </c>
      <c r="M1602" s="2" t="s">
        <v>63</v>
      </c>
      <c r="N1602" s="2" t="s">
        <v>12338</v>
      </c>
      <c r="O1602" s="2"/>
      <c r="P1602" s="2" t="s">
        <v>37</v>
      </c>
      <c r="Q1602" s="4" t="n">
        <v>2834</v>
      </c>
      <c r="R1602" s="2" t="s">
        <v>136</v>
      </c>
      <c r="S1602" s="2" t="s">
        <v>39</v>
      </c>
      <c r="T1602" s="2" t="s">
        <v>403</v>
      </c>
      <c r="U1602" s="2" t="s">
        <v>12339</v>
      </c>
      <c r="V1602" s="2"/>
      <c r="W1602" s="2" t="s">
        <v>42</v>
      </c>
      <c r="X1602" s="2" t="s">
        <v>43</v>
      </c>
      <c r="Y1602" s="2" t="s">
        <v>37</v>
      </c>
      <c r="Z1602" s="2" t="s">
        <v>44</v>
      </c>
      <c r="AA1602" s="2"/>
      <c r="AB1602" s="2"/>
      <c r="AC1602" s="2" t="s">
        <v>6858</v>
      </c>
      <c r="AD1602" s="2" t="s">
        <v>46</v>
      </c>
    </row>
    <row r="1603" customFormat="false" ht="15.7" hidden="false" customHeight="true" outlineLevel="0" collapsed="false">
      <c r="A1603" s="2"/>
      <c r="B1603" s="3" t="n">
        <f aca="false">DATE(2011,5,17)</f>
        <v>0</v>
      </c>
      <c r="C1603" s="3" t="n">
        <v>40680</v>
      </c>
      <c r="D1603" s="2" t="s">
        <v>12340</v>
      </c>
      <c r="F1603" s="2" t="s">
        <v>12341</v>
      </c>
      <c r="G1603" s="2" t="s">
        <v>12342</v>
      </c>
      <c r="H1603" s="2" t="s">
        <v>12343</v>
      </c>
      <c r="I1603" s="2" t="s">
        <v>11429</v>
      </c>
      <c r="J1603" s="2" t="s">
        <v>35</v>
      </c>
      <c r="K1603" s="2" t="s">
        <v>12340</v>
      </c>
      <c r="L1603" s="2" t="s">
        <v>11429</v>
      </c>
      <c r="M1603" s="2" t="s">
        <v>12343</v>
      </c>
      <c r="N1603" s="2" t="s">
        <v>12344</v>
      </c>
      <c r="O1603" s="2"/>
      <c r="P1603" s="2" t="s">
        <v>37</v>
      </c>
      <c r="Q1603" s="4" t="n">
        <v>2899</v>
      </c>
      <c r="R1603" s="2" t="s">
        <v>1402</v>
      </c>
      <c r="S1603" s="2" t="s">
        <v>39</v>
      </c>
      <c r="T1603" s="2" t="s">
        <v>403</v>
      </c>
      <c r="U1603" s="2" t="s">
        <v>12345</v>
      </c>
      <c r="V1603" s="2"/>
      <c r="W1603" s="2" t="s">
        <v>42</v>
      </c>
      <c r="X1603" s="2" t="s">
        <v>46</v>
      </c>
      <c r="Y1603" s="2" t="s">
        <v>37</v>
      </c>
      <c r="Z1603" s="2" t="s">
        <v>362</v>
      </c>
      <c r="AA1603" s="2"/>
      <c r="AB1603" s="2"/>
      <c r="AC1603" s="2" t="s">
        <v>12346</v>
      </c>
      <c r="AD1603" s="2" t="s">
        <v>46</v>
      </c>
    </row>
    <row r="1604" customFormat="false" ht="15.7" hidden="false" customHeight="true" outlineLevel="0" collapsed="false">
      <c r="A1604" s="2"/>
      <c r="B1604" s="3" t="n">
        <f aca="false">DATE(2011,5,20)</f>
        <v>0</v>
      </c>
      <c r="C1604" s="3" t="n">
        <v>40683</v>
      </c>
      <c r="D1604" s="2" t="s">
        <v>11934</v>
      </c>
      <c r="F1604" s="2" t="s">
        <v>11935</v>
      </c>
      <c r="G1604" s="2" t="s">
        <v>11936</v>
      </c>
      <c r="H1604" s="2" t="s">
        <v>11937</v>
      </c>
      <c r="I1604" s="2" t="s">
        <v>11938</v>
      </c>
      <c r="J1604" s="2" t="s">
        <v>35</v>
      </c>
      <c r="K1604" s="2" t="s">
        <v>11934</v>
      </c>
      <c r="L1604" s="2" t="s">
        <v>11938</v>
      </c>
      <c r="M1604" s="2" t="s">
        <v>11937</v>
      </c>
      <c r="N1604" s="2" t="s">
        <v>12347</v>
      </c>
      <c r="O1604" s="2"/>
      <c r="P1604" s="2" t="s">
        <v>37</v>
      </c>
      <c r="Q1604" s="4" t="n">
        <v>2899</v>
      </c>
      <c r="R1604" s="2" t="s">
        <v>402</v>
      </c>
      <c r="S1604" s="2" t="s">
        <v>39</v>
      </c>
      <c r="T1604" s="2" t="s">
        <v>40</v>
      </c>
      <c r="U1604" s="2" t="s">
        <v>12348</v>
      </c>
      <c r="V1604" s="2"/>
      <c r="W1604" s="2" t="s">
        <v>42</v>
      </c>
      <c r="X1604" s="2" t="s">
        <v>46</v>
      </c>
      <c r="Y1604" s="2" t="s">
        <v>37</v>
      </c>
      <c r="Z1604" s="2" t="s">
        <v>362</v>
      </c>
      <c r="AA1604" s="2"/>
      <c r="AB1604" s="2"/>
      <c r="AC1604" s="2" t="s">
        <v>11942</v>
      </c>
      <c r="AD1604" s="2" t="s">
        <v>46</v>
      </c>
    </row>
    <row r="1605" customFormat="false" ht="15.7" hidden="false" customHeight="true" outlineLevel="0" collapsed="false">
      <c r="A1605" s="2"/>
      <c r="B1605" s="3" t="n">
        <f aca="false">DATE(2011,5,24)</f>
        <v>0</v>
      </c>
      <c r="C1605" s="3" t="n">
        <v>40687</v>
      </c>
      <c r="D1605" s="2" t="s">
        <v>12349</v>
      </c>
      <c r="F1605" s="2" t="s">
        <v>12350</v>
      </c>
      <c r="G1605" s="2" t="s">
        <v>12351</v>
      </c>
      <c r="H1605" s="2" t="s">
        <v>305</v>
      </c>
      <c r="I1605" s="2" t="s">
        <v>330</v>
      </c>
      <c r="J1605" s="2" t="s">
        <v>132</v>
      </c>
      <c r="K1605" s="2" t="s">
        <v>12349</v>
      </c>
      <c r="L1605" s="2" t="s">
        <v>330</v>
      </c>
      <c r="M1605" s="2" t="s">
        <v>305</v>
      </c>
      <c r="N1605" s="2" t="s">
        <v>12352</v>
      </c>
      <c r="O1605" s="2"/>
      <c r="P1605" s="2" t="s">
        <v>37</v>
      </c>
      <c r="Q1605" s="4" t="n">
        <v>2834</v>
      </c>
      <c r="R1605" s="2" t="s">
        <v>38</v>
      </c>
      <c r="S1605" s="2" t="s">
        <v>39</v>
      </c>
      <c r="T1605" s="2" t="s">
        <v>403</v>
      </c>
      <c r="U1605" s="2" t="s">
        <v>12353</v>
      </c>
      <c r="V1605" s="2"/>
      <c r="W1605" s="2" t="s">
        <v>82</v>
      </c>
      <c r="X1605" s="2" t="s">
        <v>46</v>
      </c>
      <c r="Y1605" s="2" t="s">
        <v>37</v>
      </c>
      <c r="Z1605" s="2" t="s">
        <v>362</v>
      </c>
      <c r="AA1605" s="2"/>
      <c r="AB1605" s="2"/>
      <c r="AC1605" s="2" t="s">
        <v>12354</v>
      </c>
      <c r="AD1605" s="2" t="s">
        <v>46</v>
      </c>
    </row>
    <row r="1606" customFormat="false" ht="15.7" hidden="false" customHeight="true" outlineLevel="0" collapsed="false">
      <c r="A1606" s="2"/>
      <c r="B1606" s="3" t="n">
        <f aca="false">DATE(2011,5,24)</f>
        <v>0</v>
      </c>
      <c r="C1606" s="3" t="n">
        <v>40687</v>
      </c>
      <c r="D1606" s="2" t="s">
        <v>12355</v>
      </c>
      <c r="F1606" s="2" t="s">
        <v>12356</v>
      </c>
      <c r="G1606" s="2" t="s">
        <v>12357</v>
      </c>
      <c r="H1606" s="2" t="s">
        <v>6091</v>
      </c>
      <c r="I1606" s="2" t="s">
        <v>9832</v>
      </c>
      <c r="J1606" s="2" t="s">
        <v>35</v>
      </c>
      <c r="K1606" s="2" t="s">
        <v>12355</v>
      </c>
      <c r="L1606" s="2" t="s">
        <v>9832</v>
      </c>
      <c r="M1606" s="2" t="s">
        <v>6091</v>
      </c>
      <c r="N1606" s="2" t="s">
        <v>12358</v>
      </c>
      <c r="O1606" s="2"/>
      <c r="P1606" s="2" t="s">
        <v>37</v>
      </c>
      <c r="Q1606" s="4" t="n">
        <v>8731</v>
      </c>
      <c r="R1606" s="2" t="s">
        <v>136</v>
      </c>
      <c r="S1606" s="2" t="s">
        <v>39</v>
      </c>
      <c r="T1606" s="2" t="s">
        <v>40</v>
      </c>
      <c r="U1606" s="2" t="s">
        <v>12359</v>
      </c>
      <c r="V1606" s="2"/>
      <c r="W1606" s="2" t="s">
        <v>42</v>
      </c>
      <c r="X1606" s="2" t="s">
        <v>43</v>
      </c>
      <c r="Y1606" s="2" t="s">
        <v>37</v>
      </c>
      <c r="Z1606" s="2" t="s">
        <v>44</v>
      </c>
      <c r="AA1606" s="2"/>
      <c r="AB1606" s="2"/>
      <c r="AC1606" s="2" t="s">
        <v>12360</v>
      </c>
      <c r="AD1606" s="2" t="s">
        <v>46</v>
      </c>
    </row>
    <row r="1607" customFormat="false" ht="15.7" hidden="false" customHeight="true" outlineLevel="0" collapsed="false">
      <c r="A1607" s="2"/>
      <c r="B1607" s="3" t="n">
        <f aca="false">DATE(2011,5,25)</f>
        <v>0</v>
      </c>
      <c r="C1607" s="3" t="n">
        <v>40688</v>
      </c>
      <c r="D1607" s="2" t="s">
        <v>12361</v>
      </c>
      <c r="F1607" s="2" t="s">
        <v>12362</v>
      </c>
      <c r="G1607" s="2" t="s">
        <v>12363</v>
      </c>
      <c r="H1607" s="2" t="s">
        <v>305</v>
      </c>
      <c r="I1607" s="2" t="s">
        <v>131</v>
      </c>
      <c r="J1607" s="2" t="s">
        <v>795</v>
      </c>
      <c r="K1607" s="2" t="s">
        <v>12361</v>
      </c>
      <c r="L1607" s="2" t="s">
        <v>131</v>
      </c>
      <c r="M1607" s="2" t="s">
        <v>305</v>
      </c>
      <c r="N1607" s="2" t="s">
        <v>12364</v>
      </c>
      <c r="O1607" s="2"/>
      <c r="P1607" s="2" t="s">
        <v>37</v>
      </c>
      <c r="Q1607" s="4" t="n">
        <v>2834</v>
      </c>
      <c r="R1607" s="2" t="s">
        <v>136</v>
      </c>
      <c r="S1607" s="2" t="s">
        <v>39</v>
      </c>
      <c r="T1607" s="2" t="s">
        <v>40</v>
      </c>
      <c r="U1607" s="2" t="s">
        <v>12365</v>
      </c>
      <c r="V1607" s="2"/>
      <c r="W1607" s="2" t="s">
        <v>42</v>
      </c>
      <c r="X1607" s="2" t="s">
        <v>43</v>
      </c>
      <c r="Y1607" s="2" t="s">
        <v>37</v>
      </c>
      <c r="Z1607" s="2" t="s">
        <v>44</v>
      </c>
      <c r="AA1607" s="2"/>
      <c r="AB1607" s="2"/>
      <c r="AC1607" s="2" t="s">
        <v>12366</v>
      </c>
      <c r="AD1607" s="2" t="s">
        <v>46</v>
      </c>
    </row>
    <row r="1608" customFormat="false" ht="15.7" hidden="false" customHeight="true" outlineLevel="0" collapsed="false">
      <c r="A1608" s="2"/>
      <c r="B1608" s="3" t="n">
        <f aca="false">DATE(2011,5,25)</f>
        <v>0</v>
      </c>
      <c r="C1608" s="3" t="n">
        <v>40688</v>
      </c>
      <c r="D1608" s="2" t="s">
        <v>12367</v>
      </c>
      <c r="F1608" s="2" t="s">
        <v>12368</v>
      </c>
      <c r="G1608" s="2" t="s">
        <v>12369</v>
      </c>
      <c r="H1608" s="2" t="s">
        <v>12370</v>
      </c>
      <c r="I1608" s="2" t="s">
        <v>965</v>
      </c>
      <c r="J1608" s="2" t="s">
        <v>331</v>
      </c>
      <c r="K1608" s="2" t="s">
        <v>12367</v>
      </c>
      <c r="L1608" s="2" t="s">
        <v>965</v>
      </c>
      <c r="M1608" s="2" t="s">
        <v>12370</v>
      </c>
      <c r="N1608" s="2" t="s">
        <v>12371</v>
      </c>
      <c r="O1608" s="2"/>
      <c r="P1608" s="2" t="s">
        <v>37</v>
      </c>
      <c r="Q1608" s="4" t="n">
        <v>8731</v>
      </c>
      <c r="R1608" s="2" t="s">
        <v>136</v>
      </c>
      <c r="S1608" s="2" t="s">
        <v>39</v>
      </c>
      <c r="T1608" s="2" t="s">
        <v>40</v>
      </c>
      <c r="U1608" s="2" t="s">
        <v>12372</v>
      </c>
      <c r="V1608" s="2"/>
      <c r="W1608" s="2" t="s">
        <v>42</v>
      </c>
      <c r="X1608" s="2" t="s">
        <v>43</v>
      </c>
      <c r="Y1608" s="2" t="s">
        <v>37</v>
      </c>
      <c r="Z1608" s="2" t="s">
        <v>44</v>
      </c>
      <c r="AA1608" s="2"/>
      <c r="AB1608" s="2"/>
      <c r="AC1608" s="2" t="s">
        <v>12373</v>
      </c>
      <c r="AD1608" s="2" t="s">
        <v>46</v>
      </c>
    </row>
    <row r="1609" customFormat="false" ht="15.7" hidden="false" customHeight="true" outlineLevel="0" collapsed="false">
      <c r="A1609" s="2"/>
      <c r="B1609" s="3" t="n">
        <f aca="false">DATE(2011,5,27)</f>
        <v>0</v>
      </c>
      <c r="C1609" s="3" t="n">
        <v>40690</v>
      </c>
      <c r="D1609" s="2" t="s">
        <v>12374</v>
      </c>
      <c r="F1609" s="2" t="s">
        <v>12375</v>
      </c>
      <c r="G1609" s="2" t="s">
        <v>12376</v>
      </c>
      <c r="H1609" s="2" t="s">
        <v>12377</v>
      </c>
      <c r="I1609" s="2" t="s">
        <v>12378</v>
      </c>
      <c r="J1609" s="2" t="s">
        <v>35</v>
      </c>
      <c r="K1609" s="2" t="s">
        <v>12374</v>
      </c>
      <c r="L1609" s="2" t="s">
        <v>12378</v>
      </c>
      <c r="M1609" s="2" t="s">
        <v>12377</v>
      </c>
      <c r="N1609" s="2" t="s">
        <v>12379</v>
      </c>
      <c r="O1609" s="2"/>
      <c r="P1609" s="2" t="s">
        <v>37</v>
      </c>
      <c r="Q1609" s="4" t="n">
        <v>8731</v>
      </c>
      <c r="R1609" s="2" t="s">
        <v>450</v>
      </c>
      <c r="S1609" s="2" t="s">
        <v>39</v>
      </c>
      <c r="T1609" s="2" t="s">
        <v>403</v>
      </c>
      <c r="U1609" s="2" t="s">
        <v>12380</v>
      </c>
      <c r="V1609" s="2"/>
      <c r="W1609" s="2" t="s">
        <v>42</v>
      </c>
      <c r="X1609" s="2" t="s">
        <v>46</v>
      </c>
      <c r="Y1609" s="2" t="s">
        <v>37</v>
      </c>
      <c r="Z1609" s="2" t="s">
        <v>362</v>
      </c>
      <c r="AA1609" s="2"/>
      <c r="AB1609" s="2"/>
      <c r="AC1609" s="2" t="s">
        <v>12381</v>
      </c>
      <c r="AD1609" s="2" t="s">
        <v>46</v>
      </c>
    </row>
    <row r="1610" customFormat="false" ht="15.7" hidden="false" customHeight="true" outlineLevel="0" collapsed="false">
      <c r="A1610" s="2"/>
      <c r="B1610" s="3" t="n">
        <f aca="false">DATE(2011,6,2)</f>
        <v>0</v>
      </c>
      <c r="C1610" s="3" t="n">
        <v>40696</v>
      </c>
      <c r="D1610" s="2" t="s">
        <v>12382</v>
      </c>
      <c r="F1610" s="2" t="s">
        <v>12383</v>
      </c>
      <c r="G1610" s="2" t="s">
        <v>12384</v>
      </c>
      <c r="H1610" s="2" t="s">
        <v>12385</v>
      </c>
      <c r="I1610" s="2" t="s">
        <v>2181</v>
      </c>
      <c r="J1610" s="2" t="s">
        <v>35</v>
      </c>
      <c r="K1610" s="2" t="s">
        <v>12386</v>
      </c>
      <c r="L1610" s="2" t="s">
        <v>6889</v>
      </c>
      <c r="M1610" s="2" t="s">
        <v>12385</v>
      </c>
      <c r="N1610" s="2" t="s">
        <v>12387</v>
      </c>
      <c r="O1610" s="2" t="s">
        <v>12388</v>
      </c>
      <c r="P1610" s="2" t="s">
        <v>37</v>
      </c>
      <c r="Q1610" s="4" t="n">
        <v>2834</v>
      </c>
      <c r="R1610" s="2" t="s">
        <v>402</v>
      </c>
      <c r="S1610" s="2" t="s">
        <v>39</v>
      </c>
      <c r="T1610" s="2" t="s">
        <v>40</v>
      </c>
      <c r="U1610" s="2" t="s">
        <v>12389</v>
      </c>
      <c r="V1610" s="2"/>
      <c r="W1610" s="2" t="s">
        <v>2564</v>
      </c>
      <c r="X1610" s="2" t="s">
        <v>46</v>
      </c>
      <c r="Y1610" s="2" t="s">
        <v>37</v>
      </c>
      <c r="Z1610" s="2" t="s">
        <v>987</v>
      </c>
      <c r="AA1610" s="2" t="s">
        <v>12390</v>
      </c>
      <c r="AB1610" s="2" t="s">
        <v>12391</v>
      </c>
      <c r="AC1610" s="2" t="s">
        <v>12392</v>
      </c>
      <c r="AD1610" s="2" t="s">
        <v>46</v>
      </c>
    </row>
    <row r="1611" customFormat="false" ht="15.7" hidden="false" customHeight="true" outlineLevel="0" collapsed="false">
      <c r="A1611" s="2"/>
      <c r="B1611" s="3" t="n">
        <f aca="false">DATE(2011,6,2)</f>
        <v>0</v>
      </c>
      <c r="C1611" s="3" t="n">
        <v>40696</v>
      </c>
      <c r="D1611" s="2" t="s">
        <v>12393</v>
      </c>
      <c r="F1611" s="2" t="s">
        <v>12394</v>
      </c>
      <c r="G1611" s="2" t="s">
        <v>12395</v>
      </c>
      <c r="H1611" s="2" t="s">
        <v>12396</v>
      </c>
      <c r="I1611" s="2" t="s">
        <v>12397</v>
      </c>
      <c r="J1611" s="2" t="s">
        <v>35</v>
      </c>
      <c r="K1611" s="2" t="s">
        <v>12393</v>
      </c>
      <c r="L1611" s="2" t="s">
        <v>12397</v>
      </c>
      <c r="M1611" s="2" t="s">
        <v>12396</v>
      </c>
      <c r="N1611" s="2" t="s">
        <v>12398</v>
      </c>
      <c r="O1611" s="2"/>
      <c r="P1611" s="2" t="s">
        <v>37</v>
      </c>
      <c r="Q1611" s="4" t="n">
        <v>8099</v>
      </c>
      <c r="R1611" s="2" t="s">
        <v>2952</v>
      </c>
      <c r="S1611" s="2" t="s">
        <v>39</v>
      </c>
      <c r="T1611" s="2" t="s">
        <v>403</v>
      </c>
      <c r="U1611" s="2" t="s">
        <v>12399</v>
      </c>
      <c r="V1611" s="2"/>
      <c r="W1611" s="2" t="s">
        <v>42</v>
      </c>
      <c r="X1611" s="2" t="s">
        <v>46</v>
      </c>
      <c r="Y1611" s="2" t="s">
        <v>37</v>
      </c>
      <c r="Z1611" s="2" t="s">
        <v>362</v>
      </c>
      <c r="AA1611" s="2"/>
      <c r="AB1611" s="2"/>
      <c r="AC1611" s="2" t="s">
        <v>12400</v>
      </c>
      <c r="AD1611" s="2" t="s">
        <v>46</v>
      </c>
    </row>
    <row r="1612" customFormat="false" ht="15.7" hidden="false" customHeight="true" outlineLevel="0" collapsed="false">
      <c r="A1612" s="2"/>
      <c r="B1612" s="3" t="n">
        <f aca="false">DATE(2011,6,5)</f>
        <v>0</v>
      </c>
      <c r="C1612" s="3" t="n">
        <v>40699</v>
      </c>
      <c r="D1612" s="2" t="s">
        <v>12401</v>
      </c>
      <c r="F1612" s="2" t="s">
        <v>1858</v>
      </c>
      <c r="G1612" s="2" t="s">
        <v>12402</v>
      </c>
      <c r="H1612" s="2" t="s">
        <v>305</v>
      </c>
      <c r="I1612" s="2" t="s">
        <v>11224</v>
      </c>
      <c r="J1612" s="2" t="s">
        <v>35</v>
      </c>
      <c r="K1612" s="2" t="s">
        <v>12401</v>
      </c>
      <c r="L1612" s="2" t="s">
        <v>11224</v>
      </c>
      <c r="M1612" s="2" t="s">
        <v>305</v>
      </c>
      <c r="N1612" s="2" t="s">
        <v>12403</v>
      </c>
      <c r="O1612" s="2"/>
      <c r="P1612" s="2" t="s">
        <v>37</v>
      </c>
      <c r="Q1612" s="4" t="n">
        <v>2834</v>
      </c>
      <c r="R1612" s="2" t="s">
        <v>402</v>
      </c>
      <c r="S1612" s="2" t="s">
        <v>39</v>
      </c>
      <c r="T1612" s="2" t="s">
        <v>403</v>
      </c>
      <c r="U1612" s="2" t="s">
        <v>12404</v>
      </c>
      <c r="V1612" s="2"/>
      <c r="W1612" s="2" t="s">
        <v>697</v>
      </c>
      <c r="X1612" s="2" t="s">
        <v>46</v>
      </c>
      <c r="Y1612" s="2" t="s">
        <v>37</v>
      </c>
      <c r="Z1612" s="2" t="s">
        <v>362</v>
      </c>
      <c r="AA1612" s="2" t="s">
        <v>12405</v>
      </c>
      <c r="AB1612" s="2"/>
      <c r="AC1612" s="2" t="s">
        <v>12406</v>
      </c>
      <c r="AD1612" s="2" t="s">
        <v>46</v>
      </c>
    </row>
    <row r="1613" customFormat="false" ht="15.7" hidden="false" customHeight="true" outlineLevel="0" collapsed="false">
      <c r="A1613" s="2"/>
      <c r="B1613" s="3" t="n">
        <f aca="false">DATE(2011,6,7)</f>
        <v>0</v>
      </c>
      <c r="C1613" s="3" t="n">
        <v>40701</v>
      </c>
      <c r="D1613" s="2" t="s">
        <v>12407</v>
      </c>
      <c r="F1613" s="2" t="s">
        <v>12408</v>
      </c>
      <c r="G1613" s="2" t="s">
        <v>12409</v>
      </c>
      <c r="H1613" s="2" t="s">
        <v>12410</v>
      </c>
      <c r="I1613" s="2" t="s">
        <v>388</v>
      </c>
      <c r="J1613" s="2" t="s">
        <v>514</v>
      </c>
      <c r="K1613" s="2" t="s">
        <v>12411</v>
      </c>
      <c r="L1613" s="2" t="s">
        <v>388</v>
      </c>
      <c r="M1613" s="2" t="s">
        <v>12412</v>
      </c>
      <c r="N1613" s="2" t="s">
        <v>12413</v>
      </c>
      <c r="O1613" s="2"/>
      <c r="P1613" s="2" t="s">
        <v>37</v>
      </c>
      <c r="Q1613" s="4" t="n">
        <v>2834</v>
      </c>
      <c r="R1613" s="2" t="s">
        <v>136</v>
      </c>
      <c r="S1613" s="2" t="s">
        <v>39</v>
      </c>
      <c r="T1613" s="2" t="s">
        <v>40</v>
      </c>
      <c r="U1613" s="2" t="s">
        <v>12414</v>
      </c>
      <c r="V1613" s="2"/>
      <c r="W1613" s="2" t="s">
        <v>42</v>
      </c>
      <c r="X1613" s="2" t="s">
        <v>43</v>
      </c>
      <c r="Y1613" s="2" t="s">
        <v>37</v>
      </c>
      <c r="Z1613" s="2" t="s">
        <v>44</v>
      </c>
      <c r="AA1613" s="2"/>
      <c r="AB1613" s="2"/>
      <c r="AC1613" s="2" t="s">
        <v>12415</v>
      </c>
      <c r="AD1613" s="2" t="s">
        <v>46</v>
      </c>
    </row>
    <row r="1614" customFormat="false" ht="15.7" hidden="false" customHeight="true" outlineLevel="0" collapsed="false">
      <c r="A1614" s="2"/>
      <c r="B1614" s="3" t="n">
        <f aca="false">DATE(2011,6,12)</f>
        <v>0</v>
      </c>
      <c r="C1614" s="3" t="n">
        <v>40706</v>
      </c>
      <c r="D1614" s="2" t="s">
        <v>12416</v>
      </c>
      <c r="F1614" s="2" t="s">
        <v>12417</v>
      </c>
      <c r="G1614" s="2" t="s">
        <v>12418</v>
      </c>
      <c r="H1614" s="2" t="s">
        <v>12419</v>
      </c>
      <c r="I1614" s="2" t="s">
        <v>4325</v>
      </c>
      <c r="J1614" s="2" t="s">
        <v>35</v>
      </c>
      <c r="K1614" s="2" t="s">
        <v>12420</v>
      </c>
      <c r="L1614" s="2" t="s">
        <v>11224</v>
      </c>
      <c r="M1614" s="2" t="s">
        <v>12421</v>
      </c>
      <c r="N1614" s="2" t="s">
        <v>12422</v>
      </c>
      <c r="O1614" s="2"/>
      <c r="P1614" s="2" t="s">
        <v>37</v>
      </c>
      <c r="Q1614" s="4" t="n">
        <v>8731</v>
      </c>
      <c r="R1614" s="2" t="s">
        <v>402</v>
      </c>
      <c r="S1614" s="2" t="s">
        <v>39</v>
      </c>
      <c r="T1614" s="2" t="s">
        <v>40</v>
      </c>
      <c r="U1614" s="2" t="s">
        <v>12423</v>
      </c>
      <c r="V1614" s="2"/>
      <c r="W1614" s="2" t="s">
        <v>2209</v>
      </c>
      <c r="X1614" s="2" t="s">
        <v>46</v>
      </c>
      <c r="Y1614" s="2" t="s">
        <v>37</v>
      </c>
      <c r="Z1614" s="2" t="s">
        <v>987</v>
      </c>
      <c r="AA1614" s="2" t="s">
        <v>12424</v>
      </c>
      <c r="AB1614" s="2"/>
      <c r="AC1614" s="2" t="s">
        <v>12425</v>
      </c>
      <c r="AD1614" s="2" t="s">
        <v>46</v>
      </c>
    </row>
    <row r="1615" customFormat="false" ht="15.7" hidden="false" customHeight="true" outlineLevel="0" collapsed="false">
      <c r="A1615" s="2"/>
      <c r="B1615" s="3" t="n">
        <f aca="false">DATE(2011,6,16)</f>
        <v>0</v>
      </c>
      <c r="C1615" s="3" t="n">
        <v>40710</v>
      </c>
      <c r="D1615" s="2" t="s">
        <v>12426</v>
      </c>
      <c r="F1615" s="2" t="s">
        <v>12427</v>
      </c>
      <c r="G1615" s="2" t="s">
        <v>12428</v>
      </c>
      <c r="H1615" s="2" t="s">
        <v>63</v>
      </c>
      <c r="I1615" s="2" t="s">
        <v>2850</v>
      </c>
      <c r="J1615" s="2" t="s">
        <v>35</v>
      </c>
      <c r="K1615" s="2" t="s">
        <v>12429</v>
      </c>
      <c r="L1615" s="2" t="s">
        <v>2850</v>
      </c>
      <c r="M1615" s="2" t="s">
        <v>63</v>
      </c>
      <c r="N1615" s="2" t="s">
        <v>12430</v>
      </c>
      <c r="O1615" s="2"/>
      <c r="P1615" s="2" t="s">
        <v>37</v>
      </c>
      <c r="Q1615" s="4" t="n">
        <v>2834</v>
      </c>
      <c r="R1615" s="2" t="s">
        <v>136</v>
      </c>
      <c r="S1615" s="2" t="s">
        <v>39</v>
      </c>
      <c r="T1615" s="2" t="s">
        <v>40</v>
      </c>
      <c r="U1615" s="2" t="s">
        <v>12431</v>
      </c>
      <c r="V1615" s="2"/>
      <c r="W1615" s="2" t="s">
        <v>12432</v>
      </c>
      <c r="X1615" s="2" t="s">
        <v>43</v>
      </c>
      <c r="Y1615" s="2" t="s">
        <v>37</v>
      </c>
      <c r="Z1615" s="2" t="s">
        <v>44</v>
      </c>
      <c r="AA1615" s="2"/>
      <c r="AB1615" s="2"/>
      <c r="AC1615" s="2" t="s">
        <v>12433</v>
      </c>
      <c r="AD1615" s="2" t="s">
        <v>46</v>
      </c>
    </row>
    <row r="1616" customFormat="false" ht="15.7" hidden="false" customHeight="true" outlineLevel="0" collapsed="false">
      <c r="A1616" s="2"/>
      <c r="B1616" s="3" t="n">
        <f aca="false">DATE(2011,6,20)</f>
        <v>0</v>
      </c>
      <c r="C1616" s="3" t="n">
        <v>40714</v>
      </c>
      <c r="D1616" s="2" t="s">
        <v>12434</v>
      </c>
      <c r="F1616" s="2" t="s">
        <v>12435</v>
      </c>
      <c r="G1616" s="2" t="s">
        <v>12436</v>
      </c>
      <c r="H1616" s="2" t="s">
        <v>12437</v>
      </c>
      <c r="I1616" s="2" t="s">
        <v>568</v>
      </c>
      <c r="J1616" s="2" t="s">
        <v>514</v>
      </c>
      <c r="K1616" s="2" t="s">
        <v>12434</v>
      </c>
      <c r="L1616" s="2" t="s">
        <v>568</v>
      </c>
      <c r="M1616" s="2" t="s">
        <v>12437</v>
      </c>
      <c r="N1616" s="2" t="s">
        <v>12438</v>
      </c>
      <c r="O1616" s="2"/>
      <c r="P1616" s="2" t="s">
        <v>37</v>
      </c>
      <c r="Q1616" s="4" t="n">
        <v>3728</v>
      </c>
      <c r="R1616" s="2" t="s">
        <v>688</v>
      </c>
      <c r="S1616" s="2" t="s">
        <v>39</v>
      </c>
      <c r="T1616" s="2" t="s">
        <v>403</v>
      </c>
      <c r="U1616" s="2" t="s">
        <v>12439</v>
      </c>
      <c r="V1616" s="2"/>
      <c r="W1616" s="2" t="s">
        <v>12440</v>
      </c>
      <c r="X1616" s="2" t="s">
        <v>46</v>
      </c>
      <c r="Y1616" s="2" t="s">
        <v>37</v>
      </c>
      <c r="Z1616" s="2" t="s">
        <v>362</v>
      </c>
      <c r="AA1616" s="2"/>
      <c r="AB1616" s="2"/>
      <c r="AC1616" s="2" t="s">
        <v>12441</v>
      </c>
      <c r="AD1616" s="2" t="s">
        <v>46</v>
      </c>
    </row>
    <row r="1617" customFormat="false" ht="15.7" hidden="false" customHeight="true" outlineLevel="0" collapsed="false">
      <c r="A1617" s="2"/>
      <c r="B1617" s="3" t="n">
        <f aca="false">DATE(2011,6,29)</f>
        <v>0</v>
      </c>
      <c r="C1617" s="3" t="n">
        <v>40723</v>
      </c>
      <c r="D1617" s="2" t="s">
        <v>12442</v>
      </c>
      <c r="F1617" s="2" t="s">
        <v>7325</v>
      </c>
      <c r="G1617" s="2" t="s">
        <v>12443</v>
      </c>
      <c r="H1617" s="2" t="s">
        <v>387</v>
      </c>
      <c r="I1617" s="2" t="s">
        <v>202</v>
      </c>
      <c r="J1617" s="2" t="s">
        <v>1456</v>
      </c>
      <c r="K1617" s="2" t="s">
        <v>12442</v>
      </c>
      <c r="L1617" s="2" t="s">
        <v>202</v>
      </c>
      <c r="M1617" s="2" t="s">
        <v>387</v>
      </c>
      <c r="N1617" s="2" t="s">
        <v>12444</v>
      </c>
      <c r="O1617" s="2"/>
      <c r="P1617" s="2" t="s">
        <v>37</v>
      </c>
      <c r="Q1617" s="4" t="n">
        <v>8731</v>
      </c>
      <c r="R1617" s="2" t="s">
        <v>869</v>
      </c>
      <c r="S1617" s="2" t="s">
        <v>39</v>
      </c>
      <c r="T1617" s="2" t="s">
        <v>40</v>
      </c>
      <c r="U1617" s="2" t="s">
        <v>12445</v>
      </c>
      <c r="V1617" s="2"/>
      <c r="W1617" s="2" t="s">
        <v>72</v>
      </c>
      <c r="X1617" s="2" t="s">
        <v>43</v>
      </c>
      <c r="Y1617" s="2" t="s">
        <v>37</v>
      </c>
      <c r="Z1617" s="2" t="s">
        <v>44</v>
      </c>
      <c r="AA1617" s="2"/>
      <c r="AB1617" s="2"/>
      <c r="AC1617" s="2" t="s">
        <v>12446</v>
      </c>
      <c r="AD1617" s="2" t="s">
        <v>46</v>
      </c>
    </row>
    <row r="1618" customFormat="false" ht="15.7" hidden="false" customHeight="true" outlineLevel="0" collapsed="false">
      <c r="A1618" s="2"/>
      <c r="B1618" s="3" t="n">
        <f aca="false">DATE(2011,6,30)</f>
        <v>0</v>
      </c>
      <c r="C1618" s="3" t="n">
        <v>40724</v>
      </c>
      <c r="D1618" s="2" t="s">
        <v>12447</v>
      </c>
      <c r="F1618" s="2" t="s">
        <v>12448</v>
      </c>
      <c r="G1618" s="2" t="s">
        <v>12449</v>
      </c>
      <c r="H1618" s="2" t="s">
        <v>368</v>
      </c>
      <c r="I1618" s="2" t="s">
        <v>257</v>
      </c>
      <c r="J1618" s="2" t="s">
        <v>331</v>
      </c>
      <c r="K1618" s="2" t="s">
        <v>12447</v>
      </c>
      <c r="L1618" s="2" t="s">
        <v>257</v>
      </c>
      <c r="M1618" s="2" t="s">
        <v>368</v>
      </c>
      <c r="N1618" s="2" t="s">
        <v>12450</v>
      </c>
      <c r="O1618" s="2"/>
      <c r="P1618" s="2" t="s">
        <v>37</v>
      </c>
      <c r="Q1618" s="4" t="n">
        <v>8731</v>
      </c>
      <c r="R1618" s="2" t="s">
        <v>5704</v>
      </c>
      <c r="S1618" s="2" t="s">
        <v>39</v>
      </c>
      <c r="T1618" s="2" t="s">
        <v>403</v>
      </c>
      <c r="U1618" s="2" t="s">
        <v>12451</v>
      </c>
      <c r="V1618" s="2"/>
      <c r="W1618" s="2" t="s">
        <v>42</v>
      </c>
      <c r="X1618" s="2" t="s">
        <v>43</v>
      </c>
      <c r="Y1618" s="2" t="s">
        <v>37</v>
      </c>
      <c r="Z1618" s="2" t="s">
        <v>44</v>
      </c>
      <c r="AA1618" s="2" t="s">
        <v>12452</v>
      </c>
      <c r="AB1618" s="2"/>
      <c r="AC1618" s="2" t="s">
        <v>12453</v>
      </c>
      <c r="AD1618" s="2" t="s">
        <v>46</v>
      </c>
    </row>
    <row r="1619" customFormat="false" ht="15.7" hidden="false" customHeight="true" outlineLevel="0" collapsed="false">
      <c r="A1619" s="2"/>
      <c r="B1619" s="3" t="n">
        <f aca="false">DATE(2011,7,4)</f>
        <v>0</v>
      </c>
      <c r="C1619" s="3" t="n">
        <v>40728</v>
      </c>
      <c r="D1619" s="2" t="s">
        <v>12454</v>
      </c>
      <c r="F1619" s="2" t="s">
        <v>12455</v>
      </c>
      <c r="G1619" s="2" t="s">
        <v>12456</v>
      </c>
      <c r="H1619" s="2" t="s">
        <v>12457</v>
      </c>
      <c r="I1619" s="2" t="s">
        <v>6838</v>
      </c>
      <c r="J1619" s="2" t="s">
        <v>35</v>
      </c>
      <c r="K1619" s="2" t="s">
        <v>12458</v>
      </c>
      <c r="L1619" s="2" t="s">
        <v>6838</v>
      </c>
      <c r="M1619" s="2" t="s">
        <v>1574</v>
      </c>
      <c r="N1619" s="2" t="s">
        <v>12459</v>
      </c>
      <c r="O1619" s="2"/>
      <c r="P1619" s="2" t="s">
        <v>37</v>
      </c>
      <c r="Q1619" s="4" t="n">
        <v>3751</v>
      </c>
      <c r="R1619" s="2" t="s">
        <v>2225</v>
      </c>
      <c r="S1619" s="2" t="s">
        <v>39</v>
      </c>
      <c r="T1619" s="2" t="s">
        <v>403</v>
      </c>
      <c r="U1619" s="2" t="s">
        <v>12460</v>
      </c>
      <c r="V1619" s="2"/>
      <c r="W1619" s="2" t="s">
        <v>107</v>
      </c>
      <c r="X1619" s="2" t="s">
        <v>46</v>
      </c>
      <c r="Y1619" s="2" t="s">
        <v>37</v>
      </c>
      <c r="Z1619" s="2" t="s">
        <v>362</v>
      </c>
      <c r="AA1619" s="2" t="s">
        <v>12461</v>
      </c>
      <c r="AB1619" s="2"/>
      <c r="AC1619" s="2" t="s">
        <v>12462</v>
      </c>
      <c r="AD1619" s="2" t="s">
        <v>46</v>
      </c>
    </row>
    <row r="1620" customFormat="false" ht="15.7" hidden="false" customHeight="true" outlineLevel="0" collapsed="false">
      <c r="A1620" s="2"/>
      <c r="B1620" s="3" t="n">
        <f aca="false">DATE(2011,7,5)</f>
        <v>0</v>
      </c>
      <c r="C1620" s="3" t="n">
        <v>40729</v>
      </c>
      <c r="D1620" s="2" t="s">
        <v>12463</v>
      </c>
      <c r="F1620" s="2" t="s">
        <v>12464</v>
      </c>
      <c r="G1620" s="2" t="s">
        <v>12465</v>
      </c>
      <c r="H1620" s="2" t="s">
        <v>12466</v>
      </c>
      <c r="I1620" s="2" t="s">
        <v>4325</v>
      </c>
      <c r="J1620" s="2" t="s">
        <v>35</v>
      </c>
      <c r="K1620" s="2" t="s">
        <v>12463</v>
      </c>
      <c r="L1620" s="2" t="s">
        <v>4325</v>
      </c>
      <c r="M1620" s="2" t="s">
        <v>12466</v>
      </c>
      <c r="N1620" s="2" t="s">
        <v>12467</v>
      </c>
      <c r="O1620" s="2"/>
      <c r="P1620" s="2" t="s">
        <v>37</v>
      </c>
      <c r="Q1620" s="4" t="n">
        <v>3357</v>
      </c>
      <c r="R1620" s="2" t="s">
        <v>3154</v>
      </c>
      <c r="S1620" s="2" t="s">
        <v>39</v>
      </c>
      <c r="T1620" s="2" t="s">
        <v>403</v>
      </c>
      <c r="U1620" s="2" t="s">
        <v>12468</v>
      </c>
      <c r="V1620" s="2"/>
      <c r="W1620" s="2" t="s">
        <v>2564</v>
      </c>
      <c r="X1620" s="2" t="s">
        <v>46</v>
      </c>
      <c r="Y1620" s="2" t="s">
        <v>37</v>
      </c>
      <c r="Z1620" s="2" t="s">
        <v>108</v>
      </c>
      <c r="AA1620" s="2" t="s">
        <v>12469</v>
      </c>
      <c r="AB1620" s="2"/>
      <c r="AC1620" s="2" t="s">
        <v>12470</v>
      </c>
      <c r="AD1620" s="2" t="s">
        <v>46</v>
      </c>
    </row>
    <row r="1621" customFormat="false" ht="15.7" hidden="false" customHeight="true" outlineLevel="0" collapsed="false">
      <c r="A1621" s="2"/>
      <c r="B1621" s="3" t="n">
        <f aca="false">DATE(2011,7,6)</f>
        <v>0</v>
      </c>
      <c r="C1621" s="3" t="n">
        <v>40730</v>
      </c>
      <c r="D1621" s="2" t="s">
        <v>12471</v>
      </c>
      <c r="F1621" s="2" t="s">
        <v>12472</v>
      </c>
      <c r="G1621" s="2" t="s">
        <v>12473</v>
      </c>
      <c r="H1621" s="2" t="s">
        <v>12474</v>
      </c>
      <c r="I1621" s="2" t="s">
        <v>12475</v>
      </c>
      <c r="J1621" s="2" t="s">
        <v>35</v>
      </c>
      <c r="K1621" s="2" t="s">
        <v>12476</v>
      </c>
      <c r="L1621" s="2" t="s">
        <v>12475</v>
      </c>
      <c r="M1621" s="2" t="s">
        <v>12477</v>
      </c>
      <c r="N1621" s="2" t="s">
        <v>12478</v>
      </c>
      <c r="O1621" s="2"/>
      <c r="P1621" s="2" t="s">
        <v>37</v>
      </c>
      <c r="Q1621" s="4" t="n">
        <v>3593</v>
      </c>
      <c r="R1621" s="2" t="s">
        <v>105</v>
      </c>
      <c r="S1621" s="2" t="s">
        <v>39</v>
      </c>
      <c r="T1621" s="2" t="s">
        <v>40</v>
      </c>
      <c r="U1621" s="2" t="s">
        <v>12479</v>
      </c>
      <c r="V1621" s="2"/>
      <c r="W1621" s="2" t="s">
        <v>773</v>
      </c>
      <c r="X1621" s="2" t="s">
        <v>46</v>
      </c>
      <c r="Y1621" s="2" t="s">
        <v>37</v>
      </c>
      <c r="Z1621" s="2" t="s">
        <v>362</v>
      </c>
      <c r="AA1621" s="2"/>
      <c r="AB1621" s="2"/>
      <c r="AC1621" s="2" t="s">
        <v>12480</v>
      </c>
      <c r="AD1621" s="2" t="s">
        <v>46</v>
      </c>
    </row>
    <row r="1622" customFormat="false" ht="15.7" hidden="false" customHeight="true" outlineLevel="0" collapsed="false">
      <c r="A1622" s="2"/>
      <c r="B1622" s="3" t="n">
        <f aca="false">DATE(2011,7,6)</f>
        <v>0</v>
      </c>
      <c r="C1622" s="3" t="n">
        <v>40730</v>
      </c>
      <c r="D1622" s="2" t="s">
        <v>12481</v>
      </c>
      <c r="F1622" s="2" t="s">
        <v>12482</v>
      </c>
      <c r="G1622" s="2" t="s">
        <v>12483</v>
      </c>
      <c r="H1622" s="2" t="s">
        <v>63</v>
      </c>
      <c r="I1622" s="2" t="s">
        <v>568</v>
      </c>
      <c r="J1622" s="2" t="s">
        <v>220</v>
      </c>
      <c r="K1622" s="2" t="s">
        <v>12481</v>
      </c>
      <c r="L1622" s="2" t="s">
        <v>568</v>
      </c>
      <c r="M1622" s="2" t="s">
        <v>63</v>
      </c>
      <c r="N1622" s="2" t="s">
        <v>12484</v>
      </c>
      <c r="O1622" s="2"/>
      <c r="P1622" s="2" t="s">
        <v>37</v>
      </c>
      <c r="Q1622" s="4" t="n">
        <v>2834</v>
      </c>
      <c r="R1622" s="2" t="s">
        <v>136</v>
      </c>
      <c r="S1622" s="2" t="s">
        <v>39</v>
      </c>
      <c r="T1622" s="2" t="s">
        <v>40</v>
      </c>
      <c r="U1622" s="2" t="s">
        <v>12485</v>
      </c>
      <c r="V1622" s="2"/>
      <c r="W1622" s="2" t="s">
        <v>1050</v>
      </c>
      <c r="X1622" s="2" t="s">
        <v>43</v>
      </c>
      <c r="Y1622" s="2" t="s">
        <v>37</v>
      </c>
      <c r="Z1622" s="2" t="s">
        <v>44</v>
      </c>
      <c r="AA1622" s="2" t="s">
        <v>12486</v>
      </c>
      <c r="AB1622" s="2"/>
      <c r="AC1622" s="2" t="s">
        <v>12487</v>
      </c>
      <c r="AD1622" s="2" t="s">
        <v>46</v>
      </c>
    </row>
    <row r="1623" customFormat="false" ht="15.7" hidden="false" customHeight="true" outlineLevel="0" collapsed="false">
      <c r="A1623" s="2"/>
      <c r="B1623" s="3" t="n">
        <f aca="false">DATE(2011,7,6)</f>
        <v>0</v>
      </c>
      <c r="C1623" s="3" t="n">
        <v>40730</v>
      </c>
      <c r="D1623" s="2" t="s">
        <v>12488</v>
      </c>
      <c r="F1623" s="2" t="s">
        <v>12489</v>
      </c>
      <c r="G1623" s="2" t="s">
        <v>12490</v>
      </c>
      <c r="H1623" s="2" t="s">
        <v>12491</v>
      </c>
      <c r="I1623" s="2" t="s">
        <v>4317</v>
      </c>
      <c r="J1623" s="2" t="s">
        <v>35</v>
      </c>
      <c r="K1623" s="2" t="s">
        <v>12492</v>
      </c>
      <c r="L1623" s="2" t="s">
        <v>4317</v>
      </c>
      <c r="M1623" s="2" t="s">
        <v>2857</v>
      </c>
      <c r="N1623" s="2" t="s">
        <v>12493</v>
      </c>
      <c r="O1623" s="2"/>
      <c r="P1623" s="2" t="s">
        <v>37</v>
      </c>
      <c r="Q1623" s="4" t="n">
        <v>3565</v>
      </c>
      <c r="R1623" s="2" t="s">
        <v>136</v>
      </c>
      <c r="S1623" s="2" t="s">
        <v>39</v>
      </c>
      <c r="T1623" s="2" t="s">
        <v>40</v>
      </c>
      <c r="U1623" s="2" t="s">
        <v>12494</v>
      </c>
      <c r="V1623" s="2"/>
      <c r="W1623" s="2" t="s">
        <v>42</v>
      </c>
      <c r="X1623" s="2" t="s">
        <v>43</v>
      </c>
      <c r="Y1623" s="2" t="s">
        <v>37</v>
      </c>
      <c r="Z1623" s="2" t="s">
        <v>44</v>
      </c>
      <c r="AA1623" s="2"/>
      <c r="AB1623" s="2"/>
      <c r="AC1623" s="2" t="s">
        <v>12495</v>
      </c>
      <c r="AD1623" s="2" t="s">
        <v>46</v>
      </c>
    </row>
    <row r="1624" customFormat="false" ht="15.7" hidden="false" customHeight="true" outlineLevel="0" collapsed="false">
      <c r="A1624" s="2"/>
      <c r="B1624" s="3" t="n">
        <f aca="false">DATE(2011,7,7)</f>
        <v>0</v>
      </c>
      <c r="C1624" s="3" t="n">
        <v>40731</v>
      </c>
      <c r="D1624" s="2" t="s">
        <v>12496</v>
      </c>
      <c r="F1624" s="2" t="s">
        <v>12497</v>
      </c>
      <c r="G1624" s="2" t="s">
        <v>12498</v>
      </c>
      <c r="H1624" s="2" t="s">
        <v>12499</v>
      </c>
      <c r="I1624" s="2" t="s">
        <v>51</v>
      </c>
      <c r="J1624" s="2" t="s">
        <v>2338</v>
      </c>
      <c r="K1624" s="2" t="s">
        <v>12500</v>
      </c>
      <c r="L1624" s="2" t="s">
        <v>664</v>
      </c>
      <c r="M1624" s="2" t="s">
        <v>12499</v>
      </c>
      <c r="N1624" s="2" t="s">
        <v>12501</v>
      </c>
      <c r="O1624" s="2"/>
      <c r="P1624" s="2" t="s">
        <v>37</v>
      </c>
      <c r="Q1624" s="4" t="n">
        <v>8731</v>
      </c>
      <c r="R1624" s="2" t="s">
        <v>56</v>
      </c>
      <c r="S1624" s="2" t="s">
        <v>2265</v>
      </c>
      <c r="T1624" s="2" t="s">
        <v>403</v>
      </c>
      <c r="U1624" s="2" t="s">
        <v>12502</v>
      </c>
      <c r="V1624" s="2"/>
      <c r="W1624" s="2" t="s">
        <v>138</v>
      </c>
      <c r="X1624" s="2" t="s">
        <v>43</v>
      </c>
      <c r="Y1624" s="2" t="s">
        <v>37</v>
      </c>
      <c r="Z1624" s="2" t="s">
        <v>44</v>
      </c>
      <c r="AA1624" s="2"/>
      <c r="AB1624" s="2"/>
      <c r="AC1624" s="2" t="s">
        <v>12503</v>
      </c>
      <c r="AD1624" s="2" t="s">
        <v>46</v>
      </c>
    </row>
    <row r="1625" customFormat="false" ht="15.7" hidden="false" customHeight="true" outlineLevel="0" collapsed="false">
      <c r="A1625" s="2"/>
      <c r="B1625" s="3" t="n">
        <f aca="false">DATE(2011,7,7)</f>
        <v>0</v>
      </c>
      <c r="C1625" s="3" t="n">
        <v>40731</v>
      </c>
      <c r="D1625" s="2" t="s">
        <v>12504</v>
      </c>
      <c r="F1625" s="2" t="s">
        <v>12505</v>
      </c>
      <c r="G1625" s="2" t="s">
        <v>12506</v>
      </c>
      <c r="H1625" s="2" t="s">
        <v>12507</v>
      </c>
      <c r="I1625" s="2" t="s">
        <v>180</v>
      </c>
      <c r="J1625" s="2" t="s">
        <v>6730</v>
      </c>
      <c r="K1625" s="2" t="s">
        <v>12504</v>
      </c>
      <c r="L1625" s="2" t="s">
        <v>180</v>
      </c>
      <c r="M1625" s="2" t="s">
        <v>12507</v>
      </c>
      <c r="N1625" s="2" t="s">
        <v>12508</v>
      </c>
      <c r="O1625" s="2"/>
      <c r="P1625" s="2" t="s">
        <v>37</v>
      </c>
      <c r="Q1625" s="4" t="n">
        <v>2836</v>
      </c>
      <c r="R1625" s="2" t="s">
        <v>56</v>
      </c>
      <c r="S1625" s="2" t="s">
        <v>788</v>
      </c>
      <c r="T1625" s="2" t="s">
        <v>40</v>
      </c>
      <c r="U1625" s="2" t="s">
        <v>12509</v>
      </c>
      <c r="V1625" s="2"/>
      <c r="W1625" s="2" t="s">
        <v>42</v>
      </c>
      <c r="X1625" s="2" t="s">
        <v>43</v>
      </c>
      <c r="Y1625" s="2" t="s">
        <v>37</v>
      </c>
      <c r="Z1625" s="2" t="s">
        <v>44</v>
      </c>
      <c r="AA1625" s="2"/>
      <c r="AB1625" s="2"/>
      <c r="AC1625" s="2" t="s">
        <v>12510</v>
      </c>
      <c r="AD1625" s="2" t="s">
        <v>46</v>
      </c>
    </row>
    <row r="1626" customFormat="false" ht="15.7" hidden="false" customHeight="true" outlineLevel="0" collapsed="false">
      <c r="A1626" s="2"/>
      <c r="B1626" s="3" t="n">
        <f aca="false">DATE(2011,7,11)</f>
        <v>0</v>
      </c>
      <c r="C1626" s="3" t="n">
        <v>40735</v>
      </c>
      <c r="D1626" s="2" t="s">
        <v>12511</v>
      </c>
      <c r="F1626" s="2" t="s">
        <v>12512</v>
      </c>
      <c r="G1626" s="2" t="s">
        <v>12513</v>
      </c>
      <c r="H1626" s="2" t="s">
        <v>2215</v>
      </c>
      <c r="I1626" s="2" t="s">
        <v>3265</v>
      </c>
      <c r="J1626" s="2" t="s">
        <v>331</v>
      </c>
      <c r="K1626" s="2" t="s">
        <v>12511</v>
      </c>
      <c r="L1626" s="2" t="s">
        <v>3265</v>
      </c>
      <c r="M1626" s="2" t="s">
        <v>2215</v>
      </c>
      <c r="N1626" s="2" t="s">
        <v>12514</v>
      </c>
      <c r="O1626" s="2"/>
      <c r="P1626" s="2" t="s">
        <v>37</v>
      </c>
      <c r="Q1626" s="4" t="n">
        <v>3826</v>
      </c>
      <c r="R1626" s="2" t="s">
        <v>402</v>
      </c>
      <c r="S1626" s="2" t="s">
        <v>39</v>
      </c>
      <c r="T1626" s="2" t="s">
        <v>40</v>
      </c>
      <c r="U1626" s="2" t="s">
        <v>12515</v>
      </c>
      <c r="V1626" s="2"/>
      <c r="W1626" s="2" t="s">
        <v>42</v>
      </c>
      <c r="X1626" s="2" t="s">
        <v>43</v>
      </c>
      <c r="Y1626" s="2" t="s">
        <v>37</v>
      </c>
      <c r="Z1626" s="2" t="s">
        <v>44</v>
      </c>
      <c r="AA1626" s="2"/>
      <c r="AB1626" s="2"/>
      <c r="AC1626" s="2" t="s">
        <v>12516</v>
      </c>
      <c r="AD1626" s="2" t="s">
        <v>46</v>
      </c>
    </row>
    <row r="1627" customFormat="false" ht="15.7" hidden="false" customHeight="true" outlineLevel="0" collapsed="false">
      <c r="A1627" s="2"/>
      <c r="B1627" s="3" t="n">
        <f aca="false">DATE(2011,7,11)</f>
        <v>0</v>
      </c>
      <c r="C1627" s="3" t="n">
        <v>40735</v>
      </c>
      <c r="D1627" s="2" t="s">
        <v>12517</v>
      </c>
      <c r="F1627" s="2" t="s">
        <v>12518</v>
      </c>
      <c r="G1627" s="2" t="s">
        <v>12519</v>
      </c>
      <c r="H1627" s="2" t="s">
        <v>478</v>
      </c>
      <c r="I1627" s="2" t="s">
        <v>921</v>
      </c>
      <c r="J1627" s="2" t="s">
        <v>35</v>
      </c>
      <c r="K1627" s="2" t="s">
        <v>12520</v>
      </c>
      <c r="L1627" s="2" t="s">
        <v>3885</v>
      </c>
      <c r="M1627" s="2" t="s">
        <v>478</v>
      </c>
      <c r="N1627" s="2" t="s">
        <v>12521</v>
      </c>
      <c r="O1627" s="2"/>
      <c r="P1627" s="2" t="s">
        <v>37</v>
      </c>
      <c r="Q1627" s="4" t="n">
        <v>2834</v>
      </c>
      <c r="R1627" s="2" t="s">
        <v>38</v>
      </c>
      <c r="S1627" s="2" t="s">
        <v>39</v>
      </c>
      <c r="T1627" s="2" t="s">
        <v>40</v>
      </c>
      <c r="U1627" s="2" t="s">
        <v>12522</v>
      </c>
      <c r="V1627" s="2"/>
      <c r="W1627" s="2" t="s">
        <v>697</v>
      </c>
      <c r="X1627" s="2" t="s">
        <v>43</v>
      </c>
      <c r="Y1627" s="2" t="s">
        <v>37</v>
      </c>
      <c r="Z1627" s="2" t="s">
        <v>44</v>
      </c>
      <c r="AA1627" s="2"/>
      <c r="AB1627" s="2"/>
      <c r="AC1627" s="2" t="s">
        <v>12523</v>
      </c>
      <c r="AD1627" s="2" t="s">
        <v>46</v>
      </c>
    </row>
    <row r="1628" customFormat="false" ht="15.7" hidden="false" customHeight="true" outlineLevel="0" collapsed="false">
      <c r="A1628" s="2"/>
      <c r="B1628" s="3" t="n">
        <f aca="false">DATE(2011,7,11)</f>
        <v>0</v>
      </c>
      <c r="C1628" s="3" t="n">
        <v>40735</v>
      </c>
      <c r="D1628" s="2" t="s">
        <v>12524</v>
      </c>
      <c r="F1628" s="2" t="s">
        <v>12525</v>
      </c>
      <c r="G1628" s="2" t="s">
        <v>12526</v>
      </c>
      <c r="H1628" s="2" t="s">
        <v>6522</v>
      </c>
      <c r="I1628" s="2" t="s">
        <v>388</v>
      </c>
      <c r="J1628" s="2" t="s">
        <v>65</v>
      </c>
      <c r="K1628" s="2" t="s">
        <v>12524</v>
      </c>
      <c r="L1628" s="2" t="s">
        <v>388</v>
      </c>
      <c r="M1628" s="2" t="s">
        <v>6522</v>
      </c>
      <c r="N1628" s="2" t="s">
        <v>12527</v>
      </c>
      <c r="O1628" s="2"/>
      <c r="P1628" s="2" t="s">
        <v>37</v>
      </c>
      <c r="Q1628" s="4" t="n">
        <v>3842</v>
      </c>
      <c r="R1628" s="2" t="s">
        <v>56</v>
      </c>
      <c r="S1628" s="2" t="s">
        <v>92</v>
      </c>
      <c r="T1628" s="2" t="s">
        <v>40</v>
      </c>
      <c r="U1628" s="2" t="s">
        <v>12528</v>
      </c>
      <c r="V1628" s="2"/>
      <c r="W1628" s="2" t="s">
        <v>2475</v>
      </c>
      <c r="X1628" s="2" t="s">
        <v>46</v>
      </c>
      <c r="Y1628" s="2" t="s">
        <v>37</v>
      </c>
      <c r="Z1628" s="2" t="s">
        <v>2080</v>
      </c>
      <c r="AA1628" s="2" t="s">
        <v>12529</v>
      </c>
      <c r="AB1628" s="2"/>
      <c r="AC1628" s="2" t="s">
        <v>12530</v>
      </c>
      <c r="AD1628" s="2" t="s">
        <v>46</v>
      </c>
    </row>
    <row r="1629" customFormat="false" ht="15.7" hidden="false" customHeight="true" outlineLevel="0" collapsed="false">
      <c r="A1629" s="2"/>
      <c r="B1629" s="3" t="n">
        <f aca="false">DATE(2011,7,11)</f>
        <v>0</v>
      </c>
      <c r="C1629" s="3" t="n">
        <v>40735</v>
      </c>
      <c r="D1629" s="2" t="s">
        <v>12531</v>
      </c>
      <c r="F1629" s="2" t="s">
        <v>12532</v>
      </c>
      <c r="G1629" s="2" t="s">
        <v>12533</v>
      </c>
      <c r="H1629" s="2" t="s">
        <v>170</v>
      </c>
      <c r="I1629" s="2" t="s">
        <v>51</v>
      </c>
      <c r="J1629" s="2" t="s">
        <v>187</v>
      </c>
      <c r="K1629" s="2" t="s">
        <v>12531</v>
      </c>
      <c r="L1629" s="2" t="s">
        <v>51</v>
      </c>
      <c r="M1629" s="2" t="s">
        <v>170</v>
      </c>
      <c r="N1629" s="2" t="s">
        <v>12534</v>
      </c>
      <c r="O1629" s="2"/>
      <c r="P1629" s="2" t="s">
        <v>37</v>
      </c>
      <c r="Q1629" s="4" t="n">
        <v>8731</v>
      </c>
      <c r="R1629" s="2" t="s">
        <v>136</v>
      </c>
      <c r="S1629" s="2" t="s">
        <v>39</v>
      </c>
      <c r="T1629" s="2" t="s">
        <v>40</v>
      </c>
      <c r="U1629" s="2" t="s">
        <v>12535</v>
      </c>
      <c r="V1629" s="2"/>
      <c r="W1629" s="2" t="s">
        <v>744</v>
      </c>
      <c r="X1629" s="2" t="s">
        <v>43</v>
      </c>
      <c r="Y1629" s="2" t="s">
        <v>37</v>
      </c>
      <c r="Z1629" s="2" t="s">
        <v>44</v>
      </c>
      <c r="AA1629" s="2"/>
      <c r="AB1629" s="2"/>
      <c r="AC1629" s="2" t="s">
        <v>12536</v>
      </c>
      <c r="AD1629" s="2" t="s">
        <v>46</v>
      </c>
    </row>
    <row r="1630" customFormat="false" ht="15.7" hidden="false" customHeight="true" outlineLevel="0" collapsed="false">
      <c r="A1630" s="2"/>
      <c r="B1630" s="3" t="n">
        <f aca="false">DATE(2011,7,14)</f>
        <v>0</v>
      </c>
      <c r="C1630" s="3" t="n">
        <v>40738</v>
      </c>
      <c r="D1630" s="2" t="s">
        <v>12537</v>
      </c>
      <c r="F1630" s="2" t="s">
        <v>12538</v>
      </c>
      <c r="G1630" s="2" t="s">
        <v>12539</v>
      </c>
      <c r="H1630" s="2" t="s">
        <v>12540</v>
      </c>
      <c r="I1630" s="2" t="s">
        <v>100</v>
      </c>
      <c r="J1630" s="2" t="s">
        <v>575</v>
      </c>
      <c r="K1630" s="2" t="s">
        <v>12541</v>
      </c>
      <c r="L1630" s="2" t="s">
        <v>100</v>
      </c>
      <c r="M1630" s="2" t="s">
        <v>12542</v>
      </c>
      <c r="N1630" s="2" t="s">
        <v>12543</v>
      </c>
      <c r="O1630" s="2"/>
      <c r="P1630" s="2" t="s">
        <v>37</v>
      </c>
      <c r="Q1630" s="4" t="n">
        <v>3827</v>
      </c>
      <c r="R1630" s="2" t="s">
        <v>136</v>
      </c>
      <c r="S1630" s="2" t="s">
        <v>39</v>
      </c>
      <c r="T1630" s="2" t="s">
        <v>40</v>
      </c>
      <c r="U1630" s="2" t="s">
        <v>12544</v>
      </c>
      <c r="V1630" s="2"/>
      <c r="W1630" s="2" t="s">
        <v>697</v>
      </c>
      <c r="X1630" s="2" t="s">
        <v>43</v>
      </c>
      <c r="Y1630" s="2" t="s">
        <v>37</v>
      </c>
      <c r="Z1630" s="2" t="s">
        <v>44</v>
      </c>
      <c r="AA1630" s="2"/>
      <c r="AB1630" s="2"/>
      <c r="AC1630" s="2" t="s">
        <v>12545</v>
      </c>
      <c r="AD1630" s="2" t="s">
        <v>46</v>
      </c>
    </row>
    <row r="1631" customFormat="false" ht="15.7" hidden="false" customHeight="true" outlineLevel="0" collapsed="false">
      <c r="A1631" s="2"/>
      <c r="B1631" s="3" t="n">
        <f aca="false">DATE(2011,7,18)</f>
        <v>0</v>
      </c>
      <c r="C1631" s="3" t="n">
        <v>40742</v>
      </c>
      <c r="D1631" s="2" t="s">
        <v>12546</v>
      </c>
      <c r="F1631" s="2" t="s">
        <v>12547</v>
      </c>
      <c r="G1631" s="2" t="s">
        <v>12548</v>
      </c>
      <c r="H1631" s="2" t="s">
        <v>12549</v>
      </c>
      <c r="I1631" s="2" t="s">
        <v>12550</v>
      </c>
      <c r="J1631" s="2" t="s">
        <v>116</v>
      </c>
      <c r="K1631" s="2" t="s">
        <v>12551</v>
      </c>
      <c r="L1631" s="2" t="s">
        <v>12552</v>
      </c>
      <c r="M1631" s="2" t="s">
        <v>12553</v>
      </c>
      <c r="N1631" s="2" t="s">
        <v>12554</v>
      </c>
      <c r="O1631" s="2"/>
      <c r="P1631" s="2" t="s">
        <v>37</v>
      </c>
      <c r="Q1631" s="4" t="n">
        <v>8732</v>
      </c>
      <c r="R1631" s="2" t="s">
        <v>2129</v>
      </c>
      <c r="S1631" s="2" t="s">
        <v>39</v>
      </c>
      <c r="T1631" s="2" t="s">
        <v>40</v>
      </c>
      <c r="U1631" s="2" t="s">
        <v>12555</v>
      </c>
      <c r="V1631" s="2"/>
      <c r="W1631" s="2" t="s">
        <v>11301</v>
      </c>
      <c r="X1631" s="2" t="s">
        <v>43</v>
      </c>
      <c r="Y1631" s="2" t="s">
        <v>37</v>
      </c>
      <c r="Z1631" s="2" t="s">
        <v>916</v>
      </c>
      <c r="AA1631" s="2"/>
      <c r="AB1631" s="2"/>
      <c r="AC1631" s="2" t="s">
        <v>12556</v>
      </c>
      <c r="AD1631" s="2" t="s">
        <v>46</v>
      </c>
    </row>
    <row r="1632" customFormat="false" ht="15.7" hidden="false" customHeight="true" outlineLevel="0" collapsed="false">
      <c r="A1632" s="2"/>
      <c r="B1632" s="3" t="n">
        <f aca="false">DATE(2011,7,19)</f>
        <v>0</v>
      </c>
      <c r="C1632" s="3" t="n">
        <v>40743</v>
      </c>
      <c r="D1632" s="2" t="s">
        <v>12557</v>
      </c>
      <c r="F1632" s="2" t="s">
        <v>12558</v>
      </c>
      <c r="G1632" s="2" t="s">
        <v>12559</v>
      </c>
      <c r="H1632" s="2" t="s">
        <v>12560</v>
      </c>
      <c r="I1632" s="2" t="s">
        <v>51</v>
      </c>
      <c r="J1632" s="2" t="s">
        <v>12561</v>
      </c>
      <c r="K1632" s="2" t="s">
        <v>12562</v>
      </c>
      <c r="L1632" s="2" t="s">
        <v>664</v>
      </c>
      <c r="M1632" s="2" t="s">
        <v>12563</v>
      </c>
      <c r="N1632" s="2" t="s">
        <v>12564</v>
      </c>
      <c r="O1632" s="2"/>
      <c r="P1632" s="2" t="s">
        <v>37</v>
      </c>
      <c r="Q1632" s="4" t="n">
        <v>8731</v>
      </c>
      <c r="R1632" s="2" t="s">
        <v>56</v>
      </c>
      <c r="S1632" s="2" t="s">
        <v>977</v>
      </c>
      <c r="T1632" s="2" t="s">
        <v>40</v>
      </c>
      <c r="U1632" s="2" t="s">
        <v>12565</v>
      </c>
      <c r="V1632" s="2"/>
      <c r="W1632" s="2" t="s">
        <v>42</v>
      </c>
      <c r="X1632" s="2" t="s">
        <v>43</v>
      </c>
      <c r="Y1632" s="2" t="s">
        <v>37</v>
      </c>
      <c r="Z1632" s="2" t="s">
        <v>44</v>
      </c>
      <c r="AA1632" s="2"/>
      <c r="AB1632" s="2"/>
      <c r="AC1632" s="2" t="s">
        <v>12566</v>
      </c>
      <c r="AD1632" s="2" t="s">
        <v>46</v>
      </c>
    </row>
    <row r="1633" customFormat="false" ht="15.7" hidden="false" customHeight="true" outlineLevel="0" collapsed="false">
      <c r="A1633" s="2"/>
      <c r="B1633" s="3" t="n">
        <f aca="false">DATE(2011,7,20)</f>
        <v>0</v>
      </c>
      <c r="C1633" s="3" t="n">
        <v>40744</v>
      </c>
      <c r="D1633" s="2" t="s">
        <v>12567</v>
      </c>
      <c r="F1633" s="2" t="s">
        <v>385</v>
      </c>
      <c r="G1633" s="2" t="s">
        <v>12568</v>
      </c>
      <c r="H1633" s="2" t="s">
        <v>387</v>
      </c>
      <c r="I1633" s="2" t="s">
        <v>435</v>
      </c>
      <c r="J1633" s="2" t="s">
        <v>3303</v>
      </c>
      <c r="K1633" s="2" t="s">
        <v>12569</v>
      </c>
      <c r="L1633" s="2" t="s">
        <v>435</v>
      </c>
      <c r="M1633" s="2" t="s">
        <v>2779</v>
      </c>
      <c r="N1633" s="2" t="s">
        <v>12570</v>
      </c>
      <c r="O1633" s="2"/>
      <c r="P1633" s="2" t="s">
        <v>37</v>
      </c>
      <c r="Q1633" s="4" t="n">
        <v>8731</v>
      </c>
      <c r="R1633" s="2" t="s">
        <v>56</v>
      </c>
      <c r="S1633" s="2" t="s">
        <v>1576</v>
      </c>
      <c r="T1633" s="2" t="s">
        <v>40</v>
      </c>
      <c r="U1633" s="2" t="s">
        <v>12571</v>
      </c>
      <c r="V1633" s="2"/>
      <c r="W1633" s="2" t="s">
        <v>42</v>
      </c>
      <c r="X1633" s="2" t="s">
        <v>43</v>
      </c>
      <c r="Y1633" s="2" t="s">
        <v>37</v>
      </c>
      <c r="Z1633" s="2" t="s">
        <v>44</v>
      </c>
      <c r="AA1633" s="2"/>
      <c r="AB1633" s="2"/>
      <c r="AC1633" s="2" t="s">
        <v>12572</v>
      </c>
      <c r="AD1633" s="2" t="s">
        <v>46</v>
      </c>
    </row>
    <row r="1634" customFormat="false" ht="15.7" hidden="false" customHeight="true" outlineLevel="0" collapsed="false">
      <c r="A1634" s="2"/>
      <c r="B1634" s="3" t="n">
        <f aca="false">DATE(2011,7,20)</f>
        <v>0</v>
      </c>
      <c r="C1634" s="3" t="n">
        <v>40744</v>
      </c>
      <c r="D1634" s="2" t="s">
        <v>12573</v>
      </c>
      <c r="F1634" s="2" t="s">
        <v>12574</v>
      </c>
      <c r="G1634" s="2" t="s">
        <v>12575</v>
      </c>
      <c r="H1634" s="2" t="s">
        <v>12507</v>
      </c>
      <c r="I1634" s="2" t="s">
        <v>670</v>
      </c>
      <c r="J1634" s="2" t="s">
        <v>65</v>
      </c>
      <c r="K1634" s="2" t="s">
        <v>12576</v>
      </c>
      <c r="L1634" s="2" t="s">
        <v>670</v>
      </c>
      <c r="M1634" s="2" t="s">
        <v>12041</v>
      </c>
      <c r="N1634" s="2" t="s">
        <v>12577</v>
      </c>
      <c r="O1634" s="2"/>
      <c r="P1634" s="2" t="s">
        <v>37</v>
      </c>
      <c r="Q1634" s="4" t="n">
        <v>8731</v>
      </c>
      <c r="R1634" s="2" t="s">
        <v>402</v>
      </c>
      <c r="S1634" s="2" t="s">
        <v>39</v>
      </c>
      <c r="T1634" s="2" t="s">
        <v>40</v>
      </c>
      <c r="U1634" s="2" t="s">
        <v>12578</v>
      </c>
      <c r="V1634" s="2"/>
      <c r="W1634" s="2" t="s">
        <v>42</v>
      </c>
      <c r="X1634" s="2" t="s">
        <v>43</v>
      </c>
      <c r="Y1634" s="2" t="s">
        <v>37</v>
      </c>
      <c r="Z1634" s="2" t="s">
        <v>44</v>
      </c>
      <c r="AA1634" s="2"/>
      <c r="AB1634" s="2"/>
      <c r="AC1634" s="2" t="s">
        <v>12579</v>
      </c>
      <c r="AD1634" s="2" t="s">
        <v>46</v>
      </c>
    </row>
    <row r="1635" customFormat="false" ht="15.7" hidden="false" customHeight="true" outlineLevel="0" collapsed="false">
      <c r="A1635" s="2"/>
      <c r="B1635" s="3" t="n">
        <f aca="false">DATE(2011,7,22)</f>
        <v>0</v>
      </c>
      <c r="C1635" s="3" t="n">
        <v>40746</v>
      </c>
      <c r="D1635" s="2" t="s">
        <v>12580</v>
      </c>
      <c r="F1635" s="2" t="s">
        <v>12581</v>
      </c>
      <c r="G1635" s="2" t="s">
        <v>12582</v>
      </c>
      <c r="H1635" s="2" t="s">
        <v>551</v>
      </c>
      <c r="I1635" s="2" t="s">
        <v>4179</v>
      </c>
      <c r="J1635" s="2" t="s">
        <v>12583</v>
      </c>
      <c r="K1635" s="2" t="s">
        <v>12580</v>
      </c>
      <c r="L1635" s="2" t="s">
        <v>4179</v>
      </c>
      <c r="M1635" s="2" t="s">
        <v>551</v>
      </c>
      <c r="N1635" s="2" t="s">
        <v>12584</v>
      </c>
      <c r="O1635" s="2"/>
      <c r="P1635" s="2" t="s">
        <v>37</v>
      </c>
      <c r="Q1635" s="4" t="n">
        <v>2834</v>
      </c>
      <c r="R1635" s="2" t="s">
        <v>56</v>
      </c>
      <c r="S1635" s="2" t="s">
        <v>2265</v>
      </c>
      <c r="T1635" s="2" t="s">
        <v>403</v>
      </c>
      <c r="U1635" s="2" t="s">
        <v>12585</v>
      </c>
      <c r="V1635" s="2"/>
      <c r="W1635" s="2" t="s">
        <v>138</v>
      </c>
      <c r="X1635" s="2" t="s">
        <v>43</v>
      </c>
      <c r="Y1635" s="2" t="s">
        <v>37</v>
      </c>
      <c r="Z1635" s="2" t="s">
        <v>44</v>
      </c>
      <c r="AA1635" s="2"/>
      <c r="AB1635" s="2"/>
      <c r="AC1635" s="2" t="s">
        <v>12586</v>
      </c>
      <c r="AD1635" s="2" t="s">
        <v>46</v>
      </c>
    </row>
    <row r="1636" customFormat="false" ht="15.7" hidden="false" customHeight="true" outlineLevel="0" collapsed="false">
      <c r="A1636" s="2"/>
      <c r="B1636" s="3" t="n">
        <f aca="false">DATE(2011,7,24)</f>
        <v>0</v>
      </c>
      <c r="C1636" s="3" t="n">
        <v>40748</v>
      </c>
      <c r="D1636" s="2" t="s">
        <v>12587</v>
      </c>
      <c r="F1636" s="2" t="s">
        <v>12588</v>
      </c>
      <c r="G1636" s="2" t="s">
        <v>12589</v>
      </c>
      <c r="H1636" s="2" t="s">
        <v>12590</v>
      </c>
      <c r="I1636" s="2" t="s">
        <v>12591</v>
      </c>
      <c r="J1636" s="2" t="s">
        <v>35</v>
      </c>
      <c r="K1636" s="2" t="s">
        <v>12592</v>
      </c>
      <c r="L1636" s="2" t="s">
        <v>12591</v>
      </c>
      <c r="M1636" s="2" t="s">
        <v>12593</v>
      </c>
      <c r="N1636" s="2" t="s">
        <v>12594</v>
      </c>
      <c r="O1636" s="2"/>
      <c r="P1636" s="2" t="s">
        <v>37</v>
      </c>
      <c r="Q1636" s="4" t="n">
        <v>2851</v>
      </c>
      <c r="R1636" s="2" t="s">
        <v>12595</v>
      </c>
      <c r="S1636" s="2" t="s">
        <v>39</v>
      </c>
      <c r="T1636" s="2" t="s">
        <v>40</v>
      </c>
      <c r="U1636" s="2" t="s">
        <v>12596</v>
      </c>
      <c r="V1636" s="2"/>
      <c r="W1636" s="2" t="s">
        <v>138</v>
      </c>
      <c r="X1636" s="2" t="s">
        <v>46</v>
      </c>
      <c r="Y1636" s="2" t="s">
        <v>37</v>
      </c>
      <c r="Z1636" s="2" t="s">
        <v>362</v>
      </c>
      <c r="AA1636" s="2"/>
      <c r="AB1636" s="2"/>
      <c r="AC1636" s="2" t="s">
        <v>12597</v>
      </c>
      <c r="AD1636" s="2" t="s">
        <v>46</v>
      </c>
    </row>
    <row r="1637" customFormat="false" ht="15.7" hidden="false" customHeight="true" outlineLevel="0" collapsed="false">
      <c r="A1637" s="2"/>
      <c r="B1637" s="3" t="n">
        <f aca="false">DATE(2011,7,25)</f>
        <v>0</v>
      </c>
      <c r="C1637" s="3" t="n">
        <v>40749</v>
      </c>
      <c r="D1637" s="2" t="s">
        <v>12598</v>
      </c>
      <c r="F1637" s="2" t="s">
        <v>12599</v>
      </c>
      <c r="G1637" s="2" t="s">
        <v>12600</v>
      </c>
      <c r="H1637" s="2" t="s">
        <v>12601</v>
      </c>
      <c r="I1637" s="2" t="s">
        <v>12602</v>
      </c>
      <c r="J1637" s="2" t="s">
        <v>35</v>
      </c>
      <c r="K1637" s="2" t="s">
        <v>12598</v>
      </c>
      <c r="L1637" s="2" t="s">
        <v>12602</v>
      </c>
      <c r="M1637" s="2" t="s">
        <v>12601</v>
      </c>
      <c r="N1637" s="2" t="s">
        <v>12603</v>
      </c>
      <c r="O1637" s="2"/>
      <c r="P1637" s="2" t="s">
        <v>37</v>
      </c>
      <c r="Q1637" s="4" t="n">
        <v>3523</v>
      </c>
      <c r="R1637" s="2" t="s">
        <v>402</v>
      </c>
      <c r="S1637" s="2" t="s">
        <v>39</v>
      </c>
      <c r="T1637" s="2" t="s">
        <v>403</v>
      </c>
      <c r="U1637" s="2" t="s">
        <v>12604</v>
      </c>
      <c r="V1637" s="2"/>
      <c r="W1637" s="2" t="s">
        <v>2564</v>
      </c>
      <c r="X1637" s="2" t="s">
        <v>46</v>
      </c>
      <c r="Y1637" s="2" t="s">
        <v>37</v>
      </c>
      <c r="Z1637" s="2" t="s">
        <v>12605</v>
      </c>
      <c r="AA1637" s="2" t="s">
        <v>12606</v>
      </c>
      <c r="AB1637" s="2"/>
      <c r="AC1637" s="2" t="s">
        <v>12607</v>
      </c>
      <c r="AD1637" s="2" t="s">
        <v>46</v>
      </c>
    </row>
    <row r="1638" customFormat="false" ht="15.7" hidden="false" customHeight="true" outlineLevel="0" collapsed="false">
      <c r="A1638" s="2"/>
      <c r="B1638" s="3" t="n">
        <f aca="false">DATE(2011,7,25)</f>
        <v>0</v>
      </c>
      <c r="C1638" s="3" t="n">
        <v>40749</v>
      </c>
      <c r="D1638" s="2" t="s">
        <v>12608</v>
      </c>
      <c r="F1638" s="2" t="s">
        <v>12609</v>
      </c>
      <c r="G1638" s="2" t="s">
        <v>12610</v>
      </c>
      <c r="H1638" s="2" t="s">
        <v>3913</v>
      </c>
      <c r="I1638" s="2" t="s">
        <v>388</v>
      </c>
      <c r="J1638" s="2" t="s">
        <v>313</v>
      </c>
      <c r="K1638" s="2" t="s">
        <v>12608</v>
      </c>
      <c r="L1638" s="2" t="s">
        <v>388</v>
      </c>
      <c r="M1638" s="2" t="s">
        <v>3913</v>
      </c>
      <c r="N1638" s="2" t="s">
        <v>12611</v>
      </c>
      <c r="O1638" s="2"/>
      <c r="P1638" s="2" t="s">
        <v>37</v>
      </c>
      <c r="Q1638" s="4" t="n">
        <v>8731</v>
      </c>
      <c r="R1638" s="2" t="s">
        <v>2201</v>
      </c>
      <c r="S1638" s="2" t="s">
        <v>39</v>
      </c>
      <c r="T1638" s="2" t="s">
        <v>673</v>
      </c>
      <c r="U1638" s="2" t="s">
        <v>12612</v>
      </c>
      <c r="V1638" s="2"/>
      <c r="W1638" s="2" t="s">
        <v>42</v>
      </c>
      <c r="X1638" s="2" t="s">
        <v>43</v>
      </c>
      <c r="Y1638" s="2" t="s">
        <v>37</v>
      </c>
      <c r="Z1638" s="2" t="s">
        <v>44</v>
      </c>
      <c r="AA1638" s="2"/>
      <c r="AB1638" s="2"/>
      <c r="AC1638" s="2" t="s">
        <v>12613</v>
      </c>
      <c r="AD1638" s="2" t="s">
        <v>46</v>
      </c>
    </row>
    <row r="1639" customFormat="false" ht="15.7" hidden="false" customHeight="true" outlineLevel="0" collapsed="false">
      <c r="A1639" s="2"/>
      <c r="B1639" s="3" t="n">
        <f aca="false">DATE(2011,7,25)</f>
        <v>0</v>
      </c>
      <c r="C1639" s="3" t="n">
        <v>40749</v>
      </c>
      <c r="D1639" s="2" t="s">
        <v>12614</v>
      </c>
      <c r="F1639" s="2" t="s">
        <v>12615</v>
      </c>
      <c r="G1639" s="2" t="s">
        <v>12616</v>
      </c>
      <c r="H1639" s="2" t="s">
        <v>762</v>
      </c>
      <c r="I1639" s="2" t="s">
        <v>3265</v>
      </c>
      <c r="J1639" s="2" t="s">
        <v>228</v>
      </c>
      <c r="K1639" s="2" t="s">
        <v>12617</v>
      </c>
      <c r="L1639" s="2" t="s">
        <v>3265</v>
      </c>
      <c r="M1639" s="2" t="s">
        <v>523</v>
      </c>
      <c r="N1639" s="2" t="s">
        <v>12618</v>
      </c>
      <c r="O1639" s="2"/>
      <c r="P1639" s="2" t="s">
        <v>37</v>
      </c>
      <c r="Q1639" s="4" t="n">
        <v>8731</v>
      </c>
      <c r="R1639" s="2" t="s">
        <v>136</v>
      </c>
      <c r="S1639" s="2" t="s">
        <v>39</v>
      </c>
      <c r="T1639" s="2" t="s">
        <v>40</v>
      </c>
      <c r="U1639" s="2" t="s">
        <v>12619</v>
      </c>
      <c r="V1639" s="2"/>
      <c r="W1639" s="2" t="s">
        <v>42</v>
      </c>
      <c r="X1639" s="2" t="s">
        <v>43</v>
      </c>
      <c r="Y1639" s="2" t="s">
        <v>37</v>
      </c>
      <c r="Z1639" s="2" t="s">
        <v>44</v>
      </c>
      <c r="AA1639" s="2"/>
      <c r="AB1639" s="2"/>
      <c r="AC1639" s="2" t="s">
        <v>12620</v>
      </c>
      <c r="AD1639" s="2" t="s">
        <v>46</v>
      </c>
    </row>
    <row r="1640" customFormat="false" ht="15.7" hidden="false" customHeight="true" outlineLevel="0" collapsed="false">
      <c r="A1640" s="2"/>
      <c r="B1640" s="3" t="n">
        <f aca="false">DATE(2011,7,25)</f>
        <v>0</v>
      </c>
      <c r="C1640" s="3" t="n">
        <v>40749</v>
      </c>
      <c r="D1640" s="2" t="s">
        <v>12621</v>
      </c>
      <c r="F1640" s="2" t="s">
        <v>12622</v>
      </c>
      <c r="G1640" s="2" t="s">
        <v>12623</v>
      </c>
      <c r="H1640" s="2" t="s">
        <v>130</v>
      </c>
      <c r="I1640" s="2" t="s">
        <v>1904</v>
      </c>
      <c r="J1640" s="2" t="s">
        <v>950</v>
      </c>
      <c r="K1640" s="2" t="s">
        <v>12621</v>
      </c>
      <c r="L1640" s="2" t="s">
        <v>1904</v>
      </c>
      <c r="M1640" s="2" t="s">
        <v>130</v>
      </c>
      <c r="N1640" s="2" t="s">
        <v>12624</v>
      </c>
      <c r="O1640" s="2"/>
      <c r="P1640" s="2" t="s">
        <v>37</v>
      </c>
      <c r="Q1640" s="4" t="n">
        <v>2834</v>
      </c>
      <c r="R1640" s="2" t="s">
        <v>136</v>
      </c>
      <c r="S1640" s="2" t="s">
        <v>39</v>
      </c>
      <c r="T1640" s="2" t="s">
        <v>40</v>
      </c>
      <c r="U1640" s="2" t="s">
        <v>12625</v>
      </c>
      <c r="V1640" s="2"/>
      <c r="W1640" s="2" t="s">
        <v>42</v>
      </c>
      <c r="X1640" s="2" t="s">
        <v>43</v>
      </c>
      <c r="Y1640" s="2" t="s">
        <v>37</v>
      </c>
      <c r="Z1640" s="2" t="s">
        <v>44</v>
      </c>
      <c r="AA1640" s="2" t="s">
        <v>12626</v>
      </c>
      <c r="AB1640" s="2"/>
      <c r="AC1640" s="2" t="s">
        <v>12627</v>
      </c>
      <c r="AD1640" s="2" t="s">
        <v>46</v>
      </c>
    </row>
    <row r="1641" customFormat="false" ht="15.7" hidden="false" customHeight="true" outlineLevel="0" collapsed="false">
      <c r="A1641" s="2"/>
      <c r="B1641" s="3" t="n">
        <f aca="false">DATE(2011,7,26)</f>
        <v>0</v>
      </c>
      <c r="C1641" s="3" t="n">
        <v>40750</v>
      </c>
      <c r="D1641" s="2" t="s">
        <v>12628</v>
      </c>
      <c r="F1641" s="2" t="s">
        <v>12629</v>
      </c>
      <c r="G1641" s="2" t="s">
        <v>12630</v>
      </c>
      <c r="H1641" s="2" t="s">
        <v>1027</v>
      </c>
      <c r="I1641" s="2" t="s">
        <v>88</v>
      </c>
      <c r="J1641" s="2" t="s">
        <v>313</v>
      </c>
      <c r="K1641" s="2" t="s">
        <v>12631</v>
      </c>
      <c r="L1641" s="2" t="s">
        <v>88</v>
      </c>
      <c r="M1641" s="2" t="s">
        <v>230</v>
      </c>
      <c r="N1641" s="2" t="s">
        <v>12632</v>
      </c>
      <c r="O1641" s="2"/>
      <c r="P1641" s="2" t="s">
        <v>37</v>
      </c>
      <c r="Q1641" s="4" t="n">
        <v>8731</v>
      </c>
      <c r="R1641" s="2" t="s">
        <v>136</v>
      </c>
      <c r="S1641" s="2" t="s">
        <v>39</v>
      </c>
      <c r="T1641" s="2" t="s">
        <v>40</v>
      </c>
      <c r="U1641" s="2" t="s">
        <v>12633</v>
      </c>
      <c r="V1641" s="2"/>
      <c r="W1641" s="2" t="s">
        <v>42</v>
      </c>
      <c r="X1641" s="2" t="s">
        <v>43</v>
      </c>
      <c r="Y1641" s="2" t="s">
        <v>37</v>
      </c>
      <c r="Z1641" s="2" t="s">
        <v>44</v>
      </c>
      <c r="AA1641" s="2"/>
      <c r="AB1641" s="2"/>
      <c r="AC1641" s="2" t="s">
        <v>12634</v>
      </c>
      <c r="AD1641" s="2" t="s">
        <v>46</v>
      </c>
    </row>
    <row r="1642" customFormat="false" ht="15.7" hidden="false" customHeight="true" outlineLevel="0" collapsed="false">
      <c r="A1642" s="2"/>
      <c r="B1642" s="3" t="n">
        <f aca="false">DATE(2011,7,27)</f>
        <v>0</v>
      </c>
      <c r="C1642" s="3" t="n">
        <v>40751</v>
      </c>
      <c r="D1642" s="2" t="s">
        <v>12635</v>
      </c>
      <c r="F1642" s="2" t="s">
        <v>12636</v>
      </c>
      <c r="G1642" s="2" t="s">
        <v>12637</v>
      </c>
      <c r="H1642" s="2" t="s">
        <v>134</v>
      </c>
      <c r="I1642" s="2" t="s">
        <v>131</v>
      </c>
      <c r="J1642" s="2" t="s">
        <v>132</v>
      </c>
      <c r="K1642" s="2" t="s">
        <v>12635</v>
      </c>
      <c r="L1642" s="2" t="s">
        <v>131</v>
      </c>
      <c r="M1642" s="2" t="s">
        <v>134</v>
      </c>
      <c r="N1642" s="2" t="s">
        <v>12638</v>
      </c>
      <c r="O1642" s="2"/>
      <c r="P1642" s="2" t="s">
        <v>37</v>
      </c>
      <c r="Q1642" s="4" t="n">
        <v>8731</v>
      </c>
      <c r="R1642" s="2" t="s">
        <v>136</v>
      </c>
      <c r="S1642" s="2" t="s">
        <v>39</v>
      </c>
      <c r="T1642" s="2" t="s">
        <v>40</v>
      </c>
      <c r="U1642" s="2" t="s">
        <v>12639</v>
      </c>
      <c r="V1642" s="2"/>
      <c r="W1642" s="2" t="s">
        <v>42</v>
      </c>
      <c r="X1642" s="2" t="s">
        <v>43</v>
      </c>
      <c r="Y1642" s="2" t="s">
        <v>37</v>
      </c>
      <c r="Z1642" s="2" t="s">
        <v>44</v>
      </c>
      <c r="AA1642" s="2" t="s">
        <v>12640</v>
      </c>
      <c r="AB1642" s="2"/>
      <c r="AC1642" s="2" t="s">
        <v>12641</v>
      </c>
      <c r="AD1642" s="2" t="s">
        <v>46</v>
      </c>
    </row>
    <row r="1643" customFormat="false" ht="15.7" hidden="false" customHeight="true" outlineLevel="0" collapsed="false">
      <c r="A1643" s="2"/>
      <c r="B1643" s="3" t="n">
        <f aca="false">DATE(2011,7,27)</f>
        <v>0</v>
      </c>
      <c r="C1643" s="3" t="n">
        <v>40751</v>
      </c>
      <c r="D1643" s="2" t="s">
        <v>12642</v>
      </c>
      <c r="F1643" s="2" t="s">
        <v>12643</v>
      </c>
      <c r="G1643" s="2" t="s">
        <v>12644</v>
      </c>
      <c r="H1643" s="2" t="s">
        <v>3840</v>
      </c>
      <c r="I1643" s="2" t="s">
        <v>51</v>
      </c>
      <c r="J1643" s="2" t="s">
        <v>12645</v>
      </c>
      <c r="K1643" s="2" t="s">
        <v>12646</v>
      </c>
      <c r="L1643" s="2" t="s">
        <v>51</v>
      </c>
      <c r="M1643" s="2" t="s">
        <v>551</v>
      </c>
      <c r="N1643" s="2" t="s">
        <v>12647</v>
      </c>
      <c r="O1643" s="2"/>
      <c r="P1643" s="2" t="s">
        <v>37</v>
      </c>
      <c r="Q1643" s="4" t="n">
        <v>8731</v>
      </c>
      <c r="R1643" s="2" t="s">
        <v>56</v>
      </c>
      <c r="S1643" s="2" t="s">
        <v>2265</v>
      </c>
      <c r="T1643" s="2" t="s">
        <v>40</v>
      </c>
      <c r="U1643" s="2" t="s">
        <v>12648</v>
      </c>
      <c r="V1643" s="2"/>
      <c r="W1643" s="2" t="s">
        <v>42</v>
      </c>
      <c r="X1643" s="2" t="s">
        <v>46</v>
      </c>
      <c r="Y1643" s="2" t="s">
        <v>37</v>
      </c>
      <c r="Z1643" s="2" t="s">
        <v>362</v>
      </c>
      <c r="AA1643" s="2"/>
      <c r="AB1643" s="2"/>
      <c r="AC1643" s="2" t="s">
        <v>12649</v>
      </c>
      <c r="AD1643" s="2" t="s">
        <v>46</v>
      </c>
    </row>
    <row r="1644" customFormat="false" ht="15.7" hidden="false" customHeight="true" outlineLevel="0" collapsed="false">
      <c r="A1644" s="2"/>
      <c r="B1644" s="3" t="n">
        <f aca="false">DATE(2011,7,27)</f>
        <v>0</v>
      </c>
      <c r="C1644" s="3" t="n">
        <v>40751</v>
      </c>
      <c r="D1644" s="2" t="s">
        <v>12650</v>
      </c>
      <c r="F1644" s="2" t="s">
        <v>12651</v>
      </c>
      <c r="G1644" s="2" t="s">
        <v>12652</v>
      </c>
      <c r="H1644" s="2" t="s">
        <v>12653</v>
      </c>
      <c r="I1644" s="2" t="s">
        <v>12654</v>
      </c>
      <c r="J1644" s="2" t="s">
        <v>12655</v>
      </c>
      <c r="K1644" s="2" t="s">
        <v>12656</v>
      </c>
      <c r="L1644" s="2" t="s">
        <v>12657</v>
      </c>
      <c r="M1644" s="2" t="s">
        <v>12658</v>
      </c>
      <c r="N1644" s="2" t="s">
        <v>12659</v>
      </c>
      <c r="O1644" s="2"/>
      <c r="P1644" s="2" t="s">
        <v>37</v>
      </c>
      <c r="Q1644" s="4" t="n">
        <v>3679</v>
      </c>
      <c r="R1644" s="2" t="s">
        <v>70</v>
      </c>
      <c r="S1644" s="2" t="s">
        <v>39</v>
      </c>
      <c r="T1644" s="2" t="s">
        <v>40</v>
      </c>
      <c r="U1644" s="2" t="s">
        <v>12660</v>
      </c>
      <c r="V1644" s="2"/>
      <c r="W1644" s="2" t="s">
        <v>697</v>
      </c>
      <c r="X1644" s="2" t="s">
        <v>46</v>
      </c>
      <c r="Y1644" s="2" t="s">
        <v>37</v>
      </c>
      <c r="Z1644" s="2" t="s">
        <v>12661</v>
      </c>
      <c r="AA1644" s="2"/>
      <c r="AB1644" s="2"/>
      <c r="AC1644" s="2" t="s">
        <v>12662</v>
      </c>
      <c r="AD1644" s="2" t="s">
        <v>46</v>
      </c>
    </row>
    <row r="1645" customFormat="false" ht="15.7" hidden="false" customHeight="true" outlineLevel="0" collapsed="false">
      <c r="A1645" s="2"/>
      <c r="B1645" s="3" t="n">
        <f aca="false">DATE(2011,7,28)</f>
        <v>0</v>
      </c>
      <c r="C1645" s="3" t="n">
        <v>40752</v>
      </c>
      <c r="D1645" s="2" t="s">
        <v>12663</v>
      </c>
      <c r="F1645" s="2" t="s">
        <v>12664</v>
      </c>
      <c r="G1645" s="2" t="s">
        <v>12665</v>
      </c>
      <c r="H1645" s="2" t="s">
        <v>12666</v>
      </c>
      <c r="I1645" s="2" t="s">
        <v>12378</v>
      </c>
      <c r="J1645" s="2" t="s">
        <v>35</v>
      </c>
      <c r="K1645" s="2" t="s">
        <v>12667</v>
      </c>
      <c r="L1645" s="2" t="s">
        <v>12378</v>
      </c>
      <c r="M1645" s="2" t="s">
        <v>12666</v>
      </c>
      <c r="N1645" s="2" t="s">
        <v>12668</v>
      </c>
      <c r="O1645" s="2"/>
      <c r="P1645" s="2" t="s">
        <v>37</v>
      </c>
      <c r="Q1645" s="4" t="n">
        <v>2834</v>
      </c>
      <c r="R1645" s="2" t="s">
        <v>38</v>
      </c>
      <c r="S1645" s="2" t="s">
        <v>39</v>
      </c>
      <c r="T1645" s="2" t="s">
        <v>122</v>
      </c>
      <c r="U1645" s="2" t="s">
        <v>12669</v>
      </c>
      <c r="V1645" s="2"/>
      <c r="W1645" s="2" t="s">
        <v>697</v>
      </c>
      <c r="X1645" s="2" t="s">
        <v>46</v>
      </c>
      <c r="Y1645" s="2" t="s">
        <v>37</v>
      </c>
      <c r="Z1645" s="2" t="s">
        <v>987</v>
      </c>
      <c r="AA1645" s="2"/>
      <c r="AB1645" s="2"/>
      <c r="AC1645" s="2" t="s">
        <v>12670</v>
      </c>
      <c r="AD1645" s="2" t="s">
        <v>46</v>
      </c>
    </row>
    <row r="1646" customFormat="false" ht="15.7" hidden="false" customHeight="true" outlineLevel="0" collapsed="false">
      <c r="A1646" s="2"/>
      <c r="B1646" s="3" t="n">
        <f aca="false">DATE(2011,7,28)</f>
        <v>0</v>
      </c>
      <c r="C1646" s="3" t="n">
        <v>40752</v>
      </c>
      <c r="D1646" s="2" t="s">
        <v>12671</v>
      </c>
      <c r="F1646" s="2" t="s">
        <v>12672</v>
      </c>
      <c r="G1646" s="2" t="s">
        <v>12673</v>
      </c>
      <c r="H1646" s="2" t="s">
        <v>762</v>
      </c>
      <c r="I1646" s="2" t="s">
        <v>51</v>
      </c>
      <c r="J1646" s="2" t="s">
        <v>4804</v>
      </c>
      <c r="K1646" s="2" t="s">
        <v>12674</v>
      </c>
      <c r="L1646" s="2" t="s">
        <v>51</v>
      </c>
      <c r="M1646" s="2" t="s">
        <v>2779</v>
      </c>
      <c r="N1646" s="2" t="s">
        <v>12675</v>
      </c>
      <c r="O1646" s="2"/>
      <c r="P1646" s="2" t="s">
        <v>37</v>
      </c>
      <c r="Q1646" s="4" t="n">
        <v>8731</v>
      </c>
      <c r="R1646" s="2" t="s">
        <v>56</v>
      </c>
      <c r="S1646" s="2" t="s">
        <v>2265</v>
      </c>
      <c r="T1646" s="2" t="s">
        <v>40</v>
      </c>
      <c r="U1646" s="2" t="s">
        <v>12676</v>
      </c>
      <c r="V1646" s="2"/>
      <c r="W1646" s="2" t="s">
        <v>42</v>
      </c>
      <c r="X1646" s="2" t="s">
        <v>43</v>
      </c>
      <c r="Y1646" s="2" t="s">
        <v>37</v>
      </c>
      <c r="Z1646" s="2" t="s">
        <v>44</v>
      </c>
      <c r="AA1646" s="2"/>
      <c r="AB1646" s="2"/>
      <c r="AC1646" s="2" t="s">
        <v>12677</v>
      </c>
      <c r="AD1646" s="2" t="s">
        <v>46</v>
      </c>
    </row>
    <row r="1647" customFormat="false" ht="15.7" hidden="false" customHeight="true" outlineLevel="0" collapsed="false">
      <c r="A1647" s="2"/>
      <c r="B1647" s="3" t="n">
        <f aca="false">DATE(2011,7,28)</f>
        <v>0</v>
      </c>
      <c r="C1647" s="3" t="n">
        <v>40752</v>
      </c>
      <c r="D1647" s="2" t="s">
        <v>12678</v>
      </c>
      <c r="F1647" s="2" t="s">
        <v>12679</v>
      </c>
      <c r="G1647" s="2" t="s">
        <v>12680</v>
      </c>
      <c r="H1647" s="2" t="s">
        <v>12681</v>
      </c>
      <c r="I1647" s="2" t="s">
        <v>51</v>
      </c>
      <c r="J1647" s="2" t="s">
        <v>3704</v>
      </c>
      <c r="K1647" s="2" t="s">
        <v>12682</v>
      </c>
      <c r="L1647" s="2" t="s">
        <v>1431</v>
      </c>
      <c r="M1647" s="2" t="s">
        <v>12683</v>
      </c>
      <c r="N1647" s="2" t="s">
        <v>12684</v>
      </c>
      <c r="O1647" s="2"/>
      <c r="P1647" s="2" t="s">
        <v>37</v>
      </c>
      <c r="Q1647" s="4" t="n">
        <v>2841</v>
      </c>
      <c r="R1647" s="2" t="s">
        <v>56</v>
      </c>
      <c r="S1647" s="2" t="s">
        <v>2265</v>
      </c>
      <c r="T1647" s="2" t="s">
        <v>40</v>
      </c>
      <c r="U1647" s="2" t="s">
        <v>12685</v>
      </c>
      <c r="V1647" s="2"/>
      <c r="W1647" s="2" t="s">
        <v>878</v>
      </c>
      <c r="X1647" s="2" t="s">
        <v>43</v>
      </c>
      <c r="Y1647" s="2" t="s">
        <v>37</v>
      </c>
      <c r="Z1647" s="2" t="s">
        <v>44</v>
      </c>
      <c r="AA1647" s="2"/>
      <c r="AB1647" s="2"/>
      <c r="AC1647" s="2" t="s">
        <v>12686</v>
      </c>
      <c r="AD1647" s="2" t="s">
        <v>46</v>
      </c>
    </row>
    <row r="1648" customFormat="false" ht="15.7" hidden="false" customHeight="true" outlineLevel="0" collapsed="false">
      <c r="A1648" s="2"/>
      <c r="B1648" s="3" t="n">
        <f aca="false">DATE(2011,7,29)</f>
        <v>0</v>
      </c>
      <c r="C1648" s="3" t="n">
        <v>40753</v>
      </c>
      <c r="D1648" s="2" t="s">
        <v>12687</v>
      </c>
      <c r="F1648" s="2" t="s">
        <v>12688</v>
      </c>
      <c r="G1648" s="2" t="s">
        <v>12689</v>
      </c>
      <c r="H1648" s="2" t="s">
        <v>11620</v>
      </c>
      <c r="I1648" s="2" t="s">
        <v>34</v>
      </c>
      <c r="J1648" s="2" t="s">
        <v>35</v>
      </c>
      <c r="K1648" s="2" t="s">
        <v>12687</v>
      </c>
      <c r="L1648" s="2" t="s">
        <v>34</v>
      </c>
      <c r="M1648" s="2" t="s">
        <v>11620</v>
      </c>
      <c r="N1648" s="2" t="s">
        <v>12690</v>
      </c>
      <c r="O1648" s="2"/>
      <c r="P1648" s="2" t="s">
        <v>37</v>
      </c>
      <c r="Q1648" s="4" t="n">
        <v>8731</v>
      </c>
      <c r="R1648" s="2" t="s">
        <v>136</v>
      </c>
      <c r="S1648" s="2" t="s">
        <v>39</v>
      </c>
      <c r="T1648" s="2" t="s">
        <v>40</v>
      </c>
      <c r="U1648" s="2" t="s">
        <v>12691</v>
      </c>
      <c r="V1648" s="2"/>
      <c r="W1648" s="2" t="s">
        <v>42</v>
      </c>
      <c r="X1648" s="2" t="s">
        <v>43</v>
      </c>
      <c r="Y1648" s="2" t="s">
        <v>37</v>
      </c>
      <c r="Z1648" s="2" t="s">
        <v>44</v>
      </c>
      <c r="AA1648" s="2"/>
      <c r="AB1648" s="2"/>
      <c r="AC1648" s="2" t="s">
        <v>12692</v>
      </c>
      <c r="AD1648" s="2" t="s">
        <v>46</v>
      </c>
    </row>
    <row r="1649" customFormat="false" ht="15.7" hidden="false" customHeight="true" outlineLevel="0" collapsed="false">
      <c r="A1649" s="2"/>
      <c r="B1649" s="3" t="n">
        <f aca="false">DATE(2011,8,1)</f>
        <v>0</v>
      </c>
      <c r="C1649" s="3" t="n">
        <v>40756</v>
      </c>
      <c r="D1649" s="2" t="s">
        <v>12693</v>
      </c>
      <c r="F1649" s="2" t="s">
        <v>12694</v>
      </c>
      <c r="G1649" s="2" t="s">
        <v>12695</v>
      </c>
      <c r="H1649" s="2" t="s">
        <v>12696</v>
      </c>
      <c r="I1649" s="2" t="s">
        <v>2530</v>
      </c>
      <c r="J1649" s="2" t="s">
        <v>12697</v>
      </c>
      <c r="K1649" s="2" t="s">
        <v>12698</v>
      </c>
      <c r="L1649" s="2" t="s">
        <v>2530</v>
      </c>
      <c r="M1649" s="2" t="s">
        <v>12696</v>
      </c>
      <c r="N1649" s="2" t="s">
        <v>12699</v>
      </c>
      <c r="O1649" s="2"/>
      <c r="P1649" s="2" t="s">
        <v>37</v>
      </c>
      <c r="Q1649" s="4" t="n">
        <v>7375</v>
      </c>
      <c r="R1649" s="2" t="s">
        <v>56</v>
      </c>
      <c r="S1649" s="2" t="s">
        <v>2265</v>
      </c>
      <c r="T1649" s="2" t="s">
        <v>40</v>
      </c>
      <c r="U1649" s="2" t="s">
        <v>12700</v>
      </c>
      <c r="V1649" s="2"/>
      <c r="W1649" s="2" t="s">
        <v>42</v>
      </c>
      <c r="X1649" s="2" t="s">
        <v>43</v>
      </c>
      <c r="Y1649" s="2" t="s">
        <v>37</v>
      </c>
      <c r="Z1649" s="2" t="s">
        <v>916</v>
      </c>
      <c r="AA1649" s="2"/>
      <c r="AB1649" s="2"/>
      <c r="AC1649" s="2" t="s">
        <v>12701</v>
      </c>
      <c r="AD1649" s="2" t="s">
        <v>46</v>
      </c>
    </row>
    <row r="1650" customFormat="false" ht="15.7" hidden="false" customHeight="true" outlineLevel="0" collapsed="false">
      <c r="A1650" s="2"/>
      <c r="B1650" s="3" t="n">
        <f aca="false">DATE(2011,8,3)</f>
        <v>0</v>
      </c>
      <c r="C1650" s="3" t="n">
        <v>40758</v>
      </c>
      <c r="D1650" s="2" t="s">
        <v>12702</v>
      </c>
      <c r="F1650" s="2" t="s">
        <v>12703</v>
      </c>
      <c r="G1650" s="2" t="s">
        <v>12704</v>
      </c>
      <c r="H1650" s="2" t="s">
        <v>12705</v>
      </c>
      <c r="I1650" s="2" t="s">
        <v>388</v>
      </c>
      <c r="J1650" s="2" t="s">
        <v>203</v>
      </c>
      <c r="K1650" s="2" t="s">
        <v>12706</v>
      </c>
      <c r="L1650" s="2" t="s">
        <v>388</v>
      </c>
      <c r="M1650" s="2" t="s">
        <v>12705</v>
      </c>
      <c r="N1650" s="2" t="s">
        <v>12707</v>
      </c>
      <c r="O1650" s="2"/>
      <c r="P1650" s="2" t="s">
        <v>37</v>
      </c>
      <c r="Q1650" s="4" t="n">
        <v>8731</v>
      </c>
      <c r="R1650" s="2" t="s">
        <v>136</v>
      </c>
      <c r="S1650" s="2" t="s">
        <v>39</v>
      </c>
      <c r="T1650" s="2" t="s">
        <v>40</v>
      </c>
      <c r="U1650" s="2" t="s">
        <v>12708</v>
      </c>
      <c r="V1650" s="2"/>
      <c r="W1650" s="2" t="s">
        <v>42</v>
      </c>
      <c r="X1650" s="2" t="s">
        <v>43</v>
      </c>
      <c r="Y1650" s="2" t="s">
        <v>37</v>
      </c>
      <c r="Z1650" s="2" t="s">
        <v>44</v>
      </c>
      <c r="AA1650" s="2"/>
      <c r="AB1650" s="2"/>
      <c r="AC1650" s="2" t="s">
        <v>12709</v>
      </c>
      <c r="AD1650" s="2" t="s">
        <v>46</v>
      </c>
    </row>
    <row r="1651" customFormat="false" ht="15.7" hidden="false" customHeight="true" outlineLevel="0" collapsed="false">
      <c r="A1651" s="2"/>
      <c r="B1651" s="3" t="n">
        <f aca="false">DATE(2011,8,3)</f>
        <v>0</v>
      </c>
      <c r="C1651" s="3" t="n">
        <v>40758</v>
      </c>
      <c r="D1651" s="2" t="s">
        <v>12710</v>
      </c>
      <c r="F1651" s="2" t="s">
        <v>12711</v>
      </c>
      <c r="G1651" s="2" t="s">
        <v>12712</v>
      </c>
      <c r="H1651" s="2" t="s">
        <v>130</v>
      </c>
      <c r="I1651" s="2" t="s">
        <v>821</v>
      </c>
      <c r="J1651" s="2" t="s">
        <v>514</v>
      </c>
      <c r="K1651" s="2" t="s">
        <v>12713</v>
      </c>
      <c r="L1651" s="2" t="s">
        <v>821</v>
      </c>
      <c r="M1651" s="2" t="s">
        <v>130</v>
      </c>
      <c r="N1651" s="2" t="s">
        <v>12714</v>
      </c>
      <c r="O1651" s="2"/>
      <c r="P1651" s="2" t="s">
        <v>37</v>
      </c>
      <c r="Q1651" s="4" t="n">
        <v>2834</v>
      </c>
      <c r="R1651" s="2" t="s">
        <v>136</v>
      </c>
      <c r="S1651" s="2" t="s">
        <v>39</v>
      </c>
      <c r="T1651" s="2" t="s">
        <v>403</v>
      </c>
      <c r="U1651" s="2" t="s">
        <v>12715</v>
      </c>
      <c r="V1651" s="2"/>
      <c r="W1651" s="2" t="s">
        <v>42</v>
      </c>
      <c r="X1651" s="2" t="s">
        <v>43</v>
      </c>
      <c r="Y1651" s="2" t="s">
        <v>37</v>
      </c>
      <c r="Z1651" s="2" t="s">
        <v>44</v>
      </c>
      <c r="AA1651" s="2"/>
      <c r="AB1651" s="2"/>
      <c r="AC1651" s="2" t="s">
        <v>12716</v>
      </c>
      <c r="AD1651" s="2" t="s">
        <v>46</v>
      </c>
    </row>
    <row r="1652" customFormat="false" ht="15.7" hidden="false" customHeight="true" outlineLevel="0" collapsed="false">
      <c r="A1652" s="2"/>
      <c r="B1652" s="3" t="n">
        <f aca="false">DATE(2011,8,8)</f>
        <v>0</v>
      </c>
      <c r="C1652" s="3" t="n">
        <v>40763</v>
      </c>
      <c r="D1652" s="2" t="s">
        <v>12717</v>
      </c>
      <c r="F1652" s="2" t="s">
        <v>12574</v>
      </c>
      <c r="G1652" s="2" t="s">
        <v>12718</v>
      </c>
      <c r="H1652" s="2" t="s">
        <v>12507</v>
      </c>
      <c r="I1652" s="2" t="s">
        <v>670</v>
      </c>
      <c r="J1652" s="2" t="s">
        <v>65</v>
      </c>
      <c r="K1652" s="2" t="s">
        <v>12717</v>
      </c>
      <c r="L1652" s="2" t="s">
        <v>670</v>
      </c>
      <c r="M1652" s="2" t="s">
        <v>12507</v>
      </c>
      <c r="N1652" s="2" t="s">
        <v>12719</v>
      </c>
      <c r="O1652" s="2"/>
      <c r="P1652" s="2" t="s">
        <v>37</v>
      </c>
      <c r="Q1652" s="4" t="n">
        <v>8731</v>
      </c>
      <c r="R1652" s="2" t="s">
        <v>402</v>
      </c>
      <c r="S1652" s="2" t="s">
        <v>39</v>
      </c>
      <c r="T1652" s="2" t="s">
        <v>40</v>
      </c>
      <c r="U1652" s="2" t="s">
        <v>12720</v>
      </c>
      <c r="V1652" s="2"/>
      <c r="W1652" s="2" t="s">
        <v>42</v>
      </c>
      <c r="X1652" s="2" t="s">
        <v>43</v>
      </c>
      <c r="Y1652" s="2" t="s">
        <v>37</v>
      </c>
      <c r="Z1652" s="2" t="s">
        <v>44</v>
      </c>
      <c r="AA1652" s="2"/>
      <c r="AB1652" s="2"/>
      <c r="AC1652" s="2" t="s">
        <v>12721</v>
      </c>
      <c r="AD1652" s="2" t="s">
        <v>46</v>
      </c>
    </row>
    <row r="1653" customFormat="false" ht="15.7" hidden="false" customHeight="true" outlineLevel="0" collapsed="false">
      <c r="A1653" s="2"/>
      <c r="B1653" s="3" t="n">
        <f aca="false">DATE(2011,8,8)</f>
        <v>0</v>
      </c>
      <c r="C1653" s="3" t="n">
        <v>40763</v>
      </c>
      <c r="D1653" s="2" t="s">
        <v>12722</v>
      </c>
      <c r="F1653" s="2" t="s">
        <v>12723</v>
      </c>
      <c r="G1653" s="2" t="s">
        <v>12724</v>
      </c>
      <c r="H1653" s="2" t="s">
        <v>130</v>
      </c>
      <c r="I1653" s="2" t="s">
        <v>51</v>
      </c>
      <c r="J1653" s="2" t="s">
        <v>2858</v>
      </c>
      <c r="K1653" s="2" t="s">
        <v>12725</v>
      </c>
      <c r="L1653" s="2" t="s">
        <v>88</v>
      </c>
      <c r="M1653" s="2" t="s">
        <v>130</v>
      </c>
      <c r="N1653" s="2" t="s">
        <v>12726</v>
      </c>
      <c r="O1653" s="2"/>
      <c r="P1653" s="2" t="s">
        <v>37</v>
      </c>
      <c r="Q1653" s="4" t="n">
        <v>8731</v>
      </c>
      <c r="R1653" s="2" t="s">
        <v>56</v>
      </c>
      <c r="S1653" s="2" t="s">
        <v>2265</v>
      </c>
      <c r="T1653" s="2" t="s">
        <v>40</v>
      </c>
      <c r="U1653" s="2" t="s">
        <v>12727</v>
      </c>
      <c r="V1653" s="2"/>
      <c r="W1653" s="2" t="s">
        <v>42</v>
      </c>
      <c r="X1653" s="2" t="s">
        <v>43</v>
      </c>
      <c r="Y1653" s="2" t="s">
        <v>37</v>
      </c>
      <c r="Z1653" s="2" t="s">
        <v>44</v>
      </c>
      <c r="AA1653" s="2" t="s">
        <v>12728</v>
      </c>
      <c r="AB1653" s="2"/>
      <c r="AC1653" s="2" t="s">
        <v>12729</v>
      </c>
      <c r="AD1653" s="2" t="s">
        <v>46</v>
      </c>
    </row>
    <row r="1654" customFormat="false" ht="15.7" hidden="false" customHeight="true" outlineLevel="0" collapsed="false">
      <c r="A1654" s="2"/>
      <c r="B1654" s="3" t="n">
        <f aca="false">DATE(2011,8,8)</f>
        <v>0</v>
      </c>
      <c r="C1654" s="3" t="n">
        <v>40763</v>
      </c>
      <c r="D1654" s="2" t="s">
        <v>12730</v>
      </c>
      <c r="F1654" s="2" t="s">
        <v>12731</v>
      </c>
      <c r="G1654" s="2" t="s">
        <v>12732</v>
      </c>
      <c r="H1654" s="2" t="s">
        <v>368</v>
      </c>
      <c r="I1654" s="2" t="s">
        <v>51</v>
      </c>
      <c r="J1654" s="2" t="s">
        <v>2338</v>
      </c>
      <c r="K1654" s="2" t="s">
        <v>12730</v>
      </c>
      <c r="L1654" s="2" t="s">
        <v>51</v>
      </c>
      <c r="M1654" s="2" t="s">
        <v>368</v>
      </c>
      <c r="N1654" s="2" t="s">
        <v>12733</v>
      </c>
      <c r="O1654" s="2"/>
      <c r="P1654" s="2" t="s">
        <v>37</v>
      </c>
      <c r="Q1654" s="4" t="n">
        <v>8731</v>
      </c>
      <c r="R1654" s="2" t="s">
        <v>56</v>
      </c>
      <c r="S1654" s="2" t="s">
        <v>92</v>
      </c>
      <c r="T1654" s="2" t="s">
        <v>40</v>
      </c>
      <c r="U1654" s="2" t="s">
        <v>12734</v>
      </c>
      <c r="V1654" s="2"/>
      <c r="W1654" s="2" t="s">
        <v>42</v>
      </c>
      <c r="X1654" s="2" t="s">
        <v>43</v>
      </c>
      <c r="Y1654" s="2" t="s">
        <v>37</v>
      </c>
      <c r="Z1654" s="2" t="s">
        <v>44</v>
      </c>
      <c r="AA1654" s="2" t="s">
        <v>12735</v>
      </c>
      <c r="AB1654" s="2"/>
      <c r="AC1654" s="2" t="s">
        <v>12736</v>
      </c>
      <c r="AD1654" s="2" t="s">
        <v>46</v>
      </c>
    </row>
    <row r="1655" customFormat="false" ht="15.7" hidden="false" customHeight="true" outlineLevel="0" collapsed="false">
      <c r="A1655" s="2"/>
      <c r="B1655" s="3" t="n">
        <f aca="false">DATE(2011,8,9)</f>
        <v>0</v>
      </c>
      <c r="C1655" s="3" t="n">
        <v>40764</v>
      </c>
      <c r="D1655" s="2" t="s">
        <v>12737</v>
      </c>
      <c r="F1655" s="2" t="s">
        <v>12738</v>
      </c>
      <c r="G1655" s="2" t="s">
        <v>12739</v>
      </c>
      <c r="H1655" s="2" t="s">
        <v>898</v>
      </c>
      <c r="I1655" s="2" t="s">
        <v>388</v>
      </c>
      <c r="J1655" s="2" t="s">
        <v>514</v>
      </c>
      <c r="K1655" s="2" t="s">
        <v>12737</v>
      </c>
      <c r="L1655" s="2" t="s">
        <v>388</v>
      </c>
      <c r="M1655" s="2" t="s">
        <v>898</v>
      </c>
      <c r="N1655" s="2" t="s">
        <v>12740</v>
      </c>
      <c r="O1655" s="2"/>
      <c r="P1655" s="2" t="s">
        <v>37</v>
      </c>
      <c r="Q1655" s="4" t="n">
        <v>8731</v>
      </c>
      <c r="R1655" s="2" t="s">
        <v>2201</v>
      </c>
      <c r="S1655" s="2" t="s">
        <v>39</v>
      </c>
      <c r="T1655" s="2" t="s">
        <v>40</v>
      </c>
      <c r="U1655" s="2" t="s">
        <v>12741</v>
      </c>
      <c r="V1655" s="2"/>
      <c r="W1655" s="2" t="s">
        <v>42</v>
      </c>
      <c r="X1655" s="2" t="s">
        <v>43</v>
      </c>
      <c r="Y1655" s="2" t="s">
        <v>37</v>
      </c>
      <c r="Z1655" s="2" t="s">
        <v>44</v>
      </c>
      <c r="AA1655" s="2"/>
      <c r="AB1655" s="2"/>
      <c r="AC1655" s="2" t="s">
        <v>12742</v>
      </c>
      <c r="AD1655" s="2" t="s">
        <v>46</v>
      </c>
    </row>
    <row r="1656" customFormat="false" ht="15.7" hidden="false" customHeight="true" outlineLevel="0" collapsed="false">
      <c r="A1656" s="2"/>
      <c r="B1656" s="3" t="n">
        <f aca="false">DATE(2011,8,10)</f>
        <v>0</v>
      </c>
      <c r="C1656" s="3" t="n">
        <v>40765</v>
      </c>
      <c r="D1656" s="2" t="s">
        <v>12743</v>
      </c>
      <c r="F1656" s="2" t="s">
        <v>12744</v>
      </c>
      <c r="G1656" s="2" t="s">
        <v>12745</v>
      </c>
      <c r="H1656" s="2" t="s">
        <v>523</v>
      </c>
      <c r="I1656" s="2" t="s">
        <v>51</v>
      </c>
      <c r="J1656" s="2" t="s">
        <v>504</v>
      </c>
      <c r="K1656" s="2" t="s">
        <v>12746</v>
      </c>
      <c r="L1656" s="2" t="s">
        <v>51</v>
      </c>
      <c r="M1656" s="2" t="s">
        <v>50</v>
      </c>
      <c r="N1656" s="2" t="s">
        <v>12747</v>
      </c>
      <c r="O1656" s="2"/>
      <c r="P1656" s="2" t="s">
        <v>37</v>
      </c>
      <c r="Q1656" s="4" t="n">
        <v>8731</v>
      </c>
      <c r="R1656" s="2" t="s">
        <v>56</v>
      </c>
      <c r="S1656" s="2" t="s">
        <v>80</v>
      </c>
      <c r="T1656" s="2" t="s">
        <v>40</v>
      </c>
      <c r="U1656" s="2" t="s">
        <v>12748</v>
      </c>
      <c r="V1656" s="2"/>
      <c r="W1656" s="2" t="s">
        <v>42</v>
      </c>
      <c r="X1656" s="2" t="s">
        <v>43</v>
      </c>
      <c r="Y1656" s="2" t="s">
        <v>37</v>
      </c>
      <c r="Z1656" s="2" t="s">
        <v>44</v>
      </c>
      <c r="AA1656" s="2"/>
      <c r="AB1656" s="2"/>
      <c r="AC1656" s="2" t="s">
        <v>12749</v>
      </c>
      <c r="AD1656" s="2" t="s">
        <v>46</v>
      </c>
    </row>
    <row r="1657" customFormat="false" ht="15.7" hidden="false" customHeight="true" outlineLevel="0" collapsed="false">
      <c r="A1657" s="2"/>
      <c r="B1657" s="3" t="n">
        <f aca="false">DATE(2011,8,10)</f>
        <v>0</v>
      </c>
      <c r="C1657" s="3" t="n">
        <v>40765</v>
      </c>
      <c r="D1657" s="2" t="s">
        <v>12750</v>
      </c>
      <c r="F1657" s="2" t="s">
        <v>256</v>
      </c>
      <c r="G1657" s="2" t="s">
        <v>12751</v>
      </c>
      <c r="H1657" s="2" t="s">
        <v>170</v>
      </c>
      <c r="I1657" s="2" t="s">
        <v>12752</v>
      </c>
      <c r="J1657" s="2" t="s">
        <v>1983</v>
      </c>
      <c r="K1657" s="2" t="s">
        <v>12750</v>
      </c>
      <c r="L1657" s="2" t="s">
        <v>12752</v>
      </c>
      <c r="M1657" s="2" t="s">
        <v>170</v>
      </c>
      <c r="N1657" s="2" t="s">
        <v>12753</v>
      </c>
      <c r="O1657" s="2"/>
      <c r="P1657" s="2" t="s">
        <v>37</v>
      </c>
      <c r="Q1657" s="4" t="n">
        <v>2834</v>
      </c>
      <c r="R1657" s="2" t="s">
        <v>136</v>
      </c>
      <c r="S1657" s="2" t="s">
        <v>39</v>
      </c>
      <c r="T1657" s="2" t="s">
        <v>40</v>
      </c>
      <c r="U1657" s="2" t="s">
        <v>12754</v>
      </c>
      <c r="V1657" s="2"/>
      <c r="W1657" s="2" t="s">
        <v>138</v>
      </c>
      <c r="X1657" s="2" t="s">
        <v>43</v>
      </c>
      <c r="Y1657" s="2" t="s">
        <v>37</v>
      </c>
      <c r="Z1657" s="2" t="s">
        <v>44</v>
      </c>
      <c r="AA1657" s="2"/>
      <c r="AB1657" s="2"/>
      <c r="AC1657" s="2" t="s">
        <v>12755</v>
      </c>
      <c r="AD1657" s="2" t="s">
        <v>46</v>
      </c>
    </row>
    <row r="1658" customFormat="false" ht="15.7" hidden="false" customHeight="true" outlineLevel="0" collapsed="false">
      <c r="A1658" s="2"/>
      <c r="B1658" s="3" t="n">
        <f aca="false">DATE(2011,8,10)</f>
        <v>0</v>
      </c>
      <c r="C1658" s="3" t="n">
        <v>40765</v>
      </c>
      <c r="D1658" s="2" t="s">
        <v>12756</v>
      </c>
      <c r="F1658" s="2" t="s">
        <v>12757</v>
      </c>
      <c r="G1658" s="2" t="s">
        <v>12758</v>
      </c>
      <c r="H1658" s="2" t="s">
        <v>130</v>
      </c>
      <c r="I1658" s="2" t="s">
        <v>568</v>
      </c>
      <c r="J1658" s="2" t="s">
        <v>575</v>
      </c>
      <c r="K1658" s="2" t="s">
        <v>12759</v>
      </c>
      <c r="L1658" s="2" t="s">
        <v>12760</v>
      </c>
      <c r="M1658" s="2" t="s">
        <v>230</v>
      </c>
      <c r="N1658" s="2" t="s">
        <v>12761</v>
      </c>
      <c r="O1658" s="2"/>
      <c r="P1658" s="2" t="s">
        <v>37</v>
      </c>
      <c r="Q1658" s="4" t="n">
        <v>8731</v>
      </c>
      <c r="R1658" s="2" t="s">
        <v>136</v>
      </c>
      <c r="S1658" s="2" t="s">
        <v>39</v>
      </c>
      <c r="T1658" s="2" t="s">
        <v>40</v>
      </c>
      <c r="U1658" s="2" t="s">
        <v>12762</v>
      </c>
      <c r="V1658" s="2"/>
      <c r="W1658" s="2" t="s">
        <v>42</v>
      </c>
      <c r="X1658" s="2" t="s">
        <v>43</v>
      </c>
      <c r="Y1658" s="2" t="s">
        <v>37</v>
      </c>
      <c r="Z1658" s="2" t="s">
        <v>44</v>
      </c>
      <c r="AA1658" s="2"/>
      <c r="AB1658" s="2"/>
      <c r="AC1658" s="2" t="s">
        <v>12763</v>
      </c>
      <c r="AD1658" s="2" t="s">
        <v>46</v>
      </c>
    </row>
    <row r="1659" customFormat="false" ht="15.7" hidden="false" customHeight="true" outlineLevel="0" collapsed="false">
      <c r="A1659" s="2"/>
      <c r="B1659" s="3" t="n">
        <f aca="false">DATE(2011,8,11)</f>
        <v>0</v>
      </c>
      <c r="C1659" s="3" t="n">
        <v>40766</v>
      </c>
      <c r="D1659" s="2" t="s">
        <v>12764</v>
      </c>
      <c r="F1659" s="2" t="s">
        <v>12765</v>
      </c>
      <c r="G1659" s="2" t="s">
        <v>12766</v>
      </c>
      <c r="H1659" s="2" t="s">
        <v>5080</v>
      </c>
      <c r="I1659" s="2" t="s">
        <v>100</v>
      </c>
      <c r="J1659" s="2" t="s">
        <v>65</v>
      </c>
      <c r="K1659" s="2" t="s">
        <v>12767</v>
      </c>
      <c r="L1659" s="2" t="s">
        <v>100</v>
      </c>
      <c r="M1659" s="2" t="s">
        <v>5080</v>
      </c>
      <c r="N1659" s="2" t="s">
        <v>12768</v>
      </c>
      <c r="O1659" s="2"/>
      <c r="P1659" s="2" t="s">
        <v>37</v>
      </c>
      <c r="Q1659" s="4" t="n">
        <v>3841</v>
      </c>
      <c r="R1659" s="2" t="s">
        <v>136</v>
      </c>
      <c r="S1659" s="2" t="s">
        <v>39</v>
      </c>
      <c r="T1659" s="2" t="s">
        <v>40</v>
      </c>
      <c r="U1659" s="2" t="s">
        <v>12769</v>
      </c>
      <c r="V1659" s="2"/>
      <c r="W1659" s="2" t="s">
        <v>1050</v>
      </c>
      <c r="X1659" s="2" t="s">
        <v>43</v>
      </c>
      <c r="Y1659" s="2" t="s">
        <v>37</v>
      </c>
      <c r="Z1659" s="2" t="s">
        <v>44</v>
      </c>
      <c r="AA1659" s="2"/>
      <c r="AB1659" s="2"/>
      <c r="AC1659" s="2" t="s">
        <v>12770</v>
      </c>
      <c r="AD1659" s="2" t="s">
        <v>46</v>
      </c>
    </row>
    <row r="1660" customFormat="false" ht="15.7" hidden="false" customHeight="true" outlineLevel="0" collapsed="false">
      <c r="A1660" s="2"/>
      <c r="B1660" s="3" t="n">
        <f aca="false">DATE(2011,8,11)</f>
        <v>0</v>
      </c>
      <c r="C1660" s="3" t="n">
        <v>40766</v>
      </c>
      <c r="D1660" s="2" t="s">
        <v>12771</v>
      </c>
      <c r="F1660" s="2" t="s">
        <v>12772</v>
      </c>
      <c r="G1660" s="2" t="s">
        <v>12773</v>
      </c>
      <c r="H1660" s="2" t="s">
        <v>5613</v>
      </c>
      <c r="I1660" s="2" t="s">
        <v>540</v>
      </c>
      <c r="J1660" s="2" t="s">
        <v>35</v>
      </c>
      <c r="K1660" s="2" t="s">
        <v>12774</v>
      </c>
      <c r="L1660" s="2" t="s">
        <v>296</v>
      </c>
      <c r="M1660" s="2" t="s">
        <v>63</v>
      </c>
      <c r="N1660" s="2" t="s">
        <v>12775</v>
      </c>
      <c r="O1660" s="2"/>
      <c r="P1660" s="2" t="s">
        <v>37</v>
      </c>
      <c r="Q1660" s="4" t="n">
        <v>2834</v>
      </c>
      <c r="R1660" s="2" t="s">
        <v>1448</v>
      </c>
      <c r="S1660" s="2" t="s">
        <v>39</v>
      </c>
      <c r="T1660" s="2" t="s">
        <v>40</v>
      </c>
      <c r="U1660" s="2" t="s">
        <v>12776</v>
      </c>
      <c r="V1660" s="2"/>
      <c r="W1660" s="2" t="s">
        <v>138</v>
      </c>
      <c r="X1660" s="2" t="s">
        <v>43</v>
      </c>
      <c r="Y1660" s="2" t="s">
        <v>37</v>
      </c>
      <c r="Z1660" s="2" t="s">
        <v>44</v>
      </c>
      <c r="AA1660" s="2"/>
      <c r="AB1660" s="2"/>
      <c r="AC1660" s="2" t="s">
        <v>12777</v>
      </c>
      <c r="AD1660" s="2" t="s">
        <v>46</v>
      </c>
    </row>
    <row r="1661" customFormat="false" ht="15.7" hidden="false" customHeight="true" outlineLevel="0" collapsed="false">
      <c r="A1661" s="2"/>
      <c r="B1661" s="3" t="n">
        <f aca="false">DATE(2011,8,15)</f>
        <v>0</v>
      </c>
      <c r="C1661" s="3" t="n">
        <v>40770</v>
      </c>
      <c r="D1661" s="2" t="s">
        <v>12778</v>
      </c>
      <c r="F1661" s="2" t="s">
        <v>12779</v>
      </c>
      <c r="G1661" s="2" t="s">
        <v>12780</v>
      </c>
      <c r="H1661" s="2" t="s">
        <v>305</v>
      </c>
      <c r="I1661" s="2" t="s">
        <v>12781</v>
      </c>
      <c r="J1661" s="2" t="s">
        <v>35</v>
      </c>
      <c r="K1661" s="2" t="s">
        <v>12778</v>
      </c>
      <c r="L1661" s="2" t="s">
        <v>12781</v>
      </c>
      <c r="M1661" s="2" t="s">
        <v>305</v>
      </c>
      <c r="N1661" s="2" t="s">
        <v>12782</v>
      </c>
      <c r="O1661" s="2"/>
      <c r="P1661" s="2" t="s">
        <v>37</v>
      </c>
      <c r="Q1661" s="4" t="n">
        <v>2836</v>
      </c>
      <c r="R1661" s="2" t="s">
        <v>1448</v>
      </c>
      <c r="S1661" s="2" t="s">
        <v>39</v>
      </c>
      <c r="T1661" s="2" t="s">
        <v>403</v>
      </c>
      <c r="U1661" s="2" t="s">
        <v>12783</v>
      </c>
      <c r="V1661" s="2"/>
      <c r="W1661" s="2" t="s">
        <v>2564</v>
      </c>
      <c r="X1661" s="2" t="s">
        <v>46</v>
      </c>
      <c r="Y1661" s="2" t="s">
        <v>37</v>
      </c>
      <c r="Z1661" s="2" t="s">
        <v>12784</v>
      </c>
      <c r="AA1661" s="2" t="s">
        <v>12785</v>
      </c>
      <c r="AB1661" s="2"/>
      <c r="AC1661" s="2" t="s">
        <v>12786</v>
      </c>
      <c r="AD1661" s="2" t="s">
        <v>46</v>
      </c>
    </row>
    <row r="1662" customFormat="false" ht="15.7" hidden="false" customHeight="true" outlineLevel="0" collapsed="false">
      <c r="A1662" s="2"/>
      <c r="B1662" s="3" t="n">
        <f aca="false">DATE(2011,8,17)</f>
        <v>0</v>
      </c>
      <c r="C1662" s="3" t="n">
        <v>40772</v>
      </c>
      <c r="D1662" s="2" t="s">
        <v>12787</v>
      </c>
      <c r="F1662" s="2" t="s">
        <v>12788</v>
      </c>
      <c r="G1662" s="2" t="s">
        <v>12789</v>
      </c>
      <c r="H1662" s="2" t="s">
        <v>551</v>
      </c>
      <c r="I1662" s="2" t="s">
        <v>4458</v>
      </c>
      <c r="J1662" s="2" t="s">
        <v>35</v>
      </c>
      <c r="K1662" s="2" t="s">
        <v>12787</v>
      </c>
      <c r="L1662" s="2" t="s">
        <v>4458</v>
      </c>
      <c r="M1662" s="2" t="s">
        <v>551</v>
      </c>
      <c r="N1662" s="2" t="s">
        <v>12790</v>
      </c>
      <c r="O1662" s="2"/>
      <c r="P1662" s="2" t="s">
        <v>37</v>
      </c>
      <c r="Q1662" s="4" t="n">
        <v>8731</v>
      </c>
      <c r="R1662" s="2" t="s">
        <v>402</v>
      </c>
      <c r="S1662" s="2" t="s">
        <v>39</v>
      </c>
      <c r="T1662" s="2" t="s">
        <v>11074</v>
      </c>
      <c r="U1662" s="2" t="s">
        <v>12791</v>
      </c>
      <c r="V1662" s="2"/>
      <c r="W1662" s="2" t="s">
        <v>42</v>
      </c>
      <c r="X1662" s="2" t="s">
        <v>46</v>
      </c>
      <c r="Y1662" s="2" t="s">
        <v>37</v>
      </c>
      <c r="Z1662" s="2" t="s">
        <v>2732</v>
      </c>
      <c r="AA1662" s="2"/>
      <c r="AB1662" s="2"/>
      <c r="AC1662" s="2" t="s">
        <v>12792</v>
      </c>
      <c r="AD1662" s="2" t="s">
        <v>46</v>
      </c>
    </row>
    <row r="1663" customFormat="false" ht="15.7" hidden="false" customHeight="true" outlineLevel="0" collapsed="false">
      <c r="A1663" s="2"/>
      <c r="B1663" s="3" t="n">
        <f aca="false">DATE(2011,8,20)</f>
        <v>0</v>
      </c>
      <c r="C1663" s="3" t="n">
        <v>40775</v>
      </c>
      <c r="D1663" s="2" t="s">
        <v>12793</v>
      </c>
      <c r="F1663" s="2" t="s">
        <v>12794</v>
      </c>
      <c r="G1663" s="2" t="s">
        <v>12795</v>
      </c>
      <c r="H1663" s="2" t="s">
        <v>12796</v>
      </c>
      <c r="I1663" s="2" t="s">
        <v>3223</v>
      </c>
      <c r="J1663" s="2" t="s">
        <v>116</v>
      </c>
      <c r="K1663" s="2" t="s">
        <v>12793</v>
      </c>
      <c r="L1663" s="2" t="s">
        <v>3223</v>
      </c>
      <c r="M1663" s="2" t="s">
        <v>12796</v>
      </c>
      <c r="N1663" s="2" t="s">
        <v>12797</v>
      </c>
      <c r="O1663" s="2"/>
      <c r="P1663" s="2" t="s">
        <v>37</v>
      </c>
      <c r="Q1663" s="4" t="n">
        <v>3661</v>
      </c>
      <c r="R1663" s="2" t="s">
        <v>402</v>
      </c>
      <c r="S1663" s="2" t="s">
        <v>39</v>
      </c>
      <c r="T1663" s="2" t="s">
        <v>403</v>
      </c>
      <c r="U1663" s="2" t="s">
        <v>12798</v>
      </c>
      <c r="V1663" s="2"/>
      <c r="W1663" s="2" t="s">
        <v>107</v>
      </c>
      <c r="X1663" s="2" t="s">
        <v>46</v>
      </c>
      <c r="Y1663" s="2" t="s">
        <v>37</v>
      </c>
      <c r="Z1663" s="2" t="s">
        <v>12799</v>
      </c>
      <c r="AA1663" s="2" t="s">
        <v>12800</v>
      </c>
      <c r="AB1663" s="2"/>
      <c r="AC1663" s="2" t="s">
        <v>12801</v>
      </c>
      <c r="AD1663" s="2" t="s">
        <v>46</v>
      </c>
    </row>
    <row r="1664" customFormat="false" ht="15.7" hidden="false" customHeight="true" outlineLevel="0" collapsed="false">
      <c r="A1664" s="2"/>
      <c r="B1664" s="3" t="n">
        <f aca="false">DATE(2011,8,22)</f>
        <v>0</v>
      </c>
      <c r="C1664" s="3" t="n">
        <v>40777</v>
      </c>
      <c r="D1664" s="2" t="s">
        <v>12802</v>
      </c>
      <c r="F1664" s="2" t="s">
        <v>12803</v>
      </c>
      <c r="G1664" s="2" t="s">
        <v>12804</v>
      </c>
      <c r="H1664" s="2" t="s">
        <v>762</v>
      </c>
      <c r="I1664" s="2" t="s">
        <v>51</v>
      </c>
      <c r="J1664" s="2" t="s">
        <v>1593</v>
      </c>
      <c r="K1664" s="2" t="s">
        <v>12802</v>
      </c>
      <c r="L1664" s="2" t="s">
        <v>51</v>
      </c>
      <c r="M1664" s="2" t="s">
        <v>762</v>
      </c>
      <c r="N1664" s="2" t="s">
        <v>12805</v>
      </c>
      <c r="O1664" s="2"/>
      <c r="P1664" s="2" t="s">
        <v>37</v>
      </c>
      <c r="Q1664" s="4" t="n">
        <v>2836</v>
      </c>
      <c r="R1664" s="2" t="s">
        <v>136</v>
      </c>
      <c r="S1664" s="2" t="s">
        <v>39</v>
      </c>
      <c r="T1664" s="2" t="s">
        <v>40</v>
      </c>
      <c r="U1664" s="2" t="s">
        <v>12806</v>
      </c>
      <c r="V1664" s="2"/>
      <c r="W1664" s="2" t="s">
        <v>42</v>
      </c>
      <c r="X1664" s="2" t="s">
        <v>43</v>
      </c>
      <c r="Y1664" s="2" t="s">
        <v>37</v>
      </c>
      <c r="Z1664" s="2" t="s">
        <v>44</v>
      </c>
      <c r="AA1664" s="2"/>
      <c r="AB1664" s="2"/>
      <c r="AC1664" s="2" t="s">
        <v>12807</v>
      </c>
      <c r="AD1664" s="2" t="s">
        <v>46</v>
      </c>
    </row>
    <row r="1665" customFormat="false" ht="15.7" hidden="false" customHeight="true" outlineLevel="0" collapsed="false">
      <c r="A1665" s="2"/>
      <c r="B1665" s="3" t="n">
        <f aca="false">DATE(2011,8,23)</f>
        <v>0</v>
      </c>
      <c r="C1665" s="3" t="n">
        <v>40778</v>
      </c>
      <c r="D1665" s="2" t="s">
        <v>12808</v>
      </c>
      <c r="F1665" s="2" t="s">
        <v>12809</v>
      </c>
      <c r="G1665" s="2" t="s">
        <v>12810</v>
      </c>
      <c r="H1665" s="2" t="s">
        <v>12811</v>
      </c>
      <c r="I1665" s="2" t="s">
        <v>1544</v>
      </c>
      <c r="J1665" s="2" t="s">
        <v>966</v>
      </c>
      <c r="K1665" s="2" t="s">
        <v>12812</v>
      </c>
      <c r="L1665" s="2" t="s">
        <v>1544</v>
      </c>
      <c r="M1665" s="2" t="s">
        <v>12813</v>
      </c>
      <c r="N1665" s="2" t="s">
        <v>12814</v>
      </c>
      <c r="O1665" s="2"/>
      <c r="P1665" s="2" t="s">
        <v>37</v>
      </c>
      <c r="Q1665" s="4" t="n">
        <v>3674</v>
      </c>
      <c r="R1665" s="2" t="s">
        <v>136</v>
      </c>
      <c r="S1665" s="2" t="s">
        <v>39</v>
      </c>
      <c r="T1665" s="2" t="s">
        <v>40</v>
      </c>
      <c r="U1665" s="2" t="s">
        <v>12815</v>
      </c>
      <c r="V1665" s="2"/>
      <c r="W1665" s="2" t="s">
        <v>42</v>
      </c>
      <c r="X1665" s="2" t="s">
        <v>43</v>
      </c>
      <c r="Y1665" s="2" t="s">
        <v>37</v>
      </c>
      <c r="Z1665" s="2" t="s">
        <v>44</v>
      </c>
      <c r="AA1665" s="2"/>
      <c r="AB1665" s="2"/>
      <c r="AC1665" s="2" t="s">
        <v>12816</v>
      </c>
      <c r="AD1665" s="2" t="s">
        <v>46</v>
      </c>
    </row>
    <row r="1666" customFormat="false" ht="15.7" hidden="false" customHeight="true" outlineLevel="0" collapsed="false">
      <c r="A1666" s="2"/>
      <c r="B1666" s="3" t="n">
        <f aca="false">DATE(2011,8,23)</f>
        <v>0</v>
      </c>
      <c r="C1666" s="3" t="n">
        <v>40778</v>
      </c>
      <c r="D1666" s="2" t="s">
        <v>12817</v>
      </c>
      <c r="F1666" s="2" t="s">
        <v>12818</v>
      </c>
      <c r="G1666" s="2" t="s">
        <v>12819</v>
      </c>
      <c r="H1666" s="2" t="s">
        <v>12820</v>
      </c>
      <c r="I1666" s="2" t="s">
        <v>51</v>
      </c>
      <c r="J1666" s="2" t="s">
        <v>12821</v>
      </c>
      <c r="K1666" s="2" t="s">
        <v>12817</v>
      </c>
      <c r="L1666" s="2" t="s">
        <v>51</v>
      </c>
      <c r="M1666" s="2" t="s">
        <v>12820</v>
      </c>
      <c r="N1666" s="2" t="s">
        <v>12822</v>
      </c>
      <c r="O1666" s="2"/>
      <c r="P1666" s="2" t="s">
        <v>37</v>
      </c>
      <c r="Q1666" s="4" t="n">
        <v>2296</v>
      </c>
      <c r="R1666" s="2" t="s">
        <v>56</v>
      </c>
      <c r="S1666" s="2" t="s">
        <v>2265</v>
      </c>
      <c r="T1666" s="2" t="s">
        <v>40</v>
      </c>
      <c r="U1666" s="2" t="s">
        <v>12823</v>
      </c>
      <c r="V1666" s="2"/>
      <c r="W1666" s="2" t="s">
        <v>697</v>
      </c>
      <c r="X1666" s="2" t="s">
        <v>43</v>
      </c>
      <c r="Y1666" s="2" t="s">
        <v>37</v>
      </c>
      <c r="Z1666" s="2" t="s">
        <v>44</v>
      </c>
      <c r="AA1666" s="2"/>
      <c r="AB1666" s="2"/>
      <c r="AC1666" s="2" t="s">
        <v>12824</v>
      </c>
      <c r="AD1666" s="2" t="s">
        <v>46</v>
      </c>
    </row>
    <row r="1667" customFormat="false" ht="15.7" hidden="false" customHeight="true" outlineLevel="0" collapsed="false">
      <c r="A1667" s="2"/>
      <c r="B1667" s="3" t="n">
        <f aca="false">DATE(2011,8,25)</f>
        <v>0</v>
      </c>
      <c r="C1667" s="3" t="n">
        <v>40780</v>
      </c>
      <c r="D1667" s="2" t="s">
        <v>12825</v>
      </c>
      <c r="F1667" s="2" t="s">
        <v>12826</v>
      </c>
      <c r="G1667" s="2" t="s">
        <v>12827</v>
      </c>
      <c r="H1667" s="2" t="s">
        <v>12828</v>
      </c>
      <c r="I1667" s="2" t="s">
        <v>51</v>
      </c>
      <c r="J1667" s="2" t="s">
        <v>1572</v>
      </c>
      <c r="K1667" s="2" t="s">
        <v>12825</v>
      </c>
      <c r="L1667" s="2" t="s">
        <v>51</v>
      </c>
      <c r="M1667" s="2" t="s">
        <v>12828</v>
      </c>
      <c r="N1667" s="2" t="s">
        <v>12829</v>
      </c>
      <c r="O1667" s="2"/>
      <c r="P1667" s="2" t="s">
        <v>37</v>
      </c>
      <c r="Q1667" s="4" t="n">
        <v>8731</v>
      </c>
      <c r="R1667" s="2" t="s">
        <v>56</v>
      </c>
      <c r="S1667" s="2" t="s">
        <v>1576</v>
      </c>
      <c r="T1667" s="2" t="s">
        <v>40</v>
      </c>
      <c r="U1667" s="2" t="s">
        <v>12830</v>
      </c>
      <c r="V1667" s="2"/>
      <c r="W1667" s="2" t="s">
        <v>42</v>
      </c>
      <c r="X1667" s="2" t="s">
        <v>43</v>
      </c>
      <c r="Y1667" s="2" t="s">
        <v>37</v>
      </c>
      <c r="Z1667" s="2" t="s">
        <v>44</v>
      </c>
      <c r="AA1667" s="2" t="s">
        <v>12831</v>
      </c>
      <c r="AB1667" s="2"/>
      <c r="AC1667" s="2" t="s">
        <v>12832</v>
      </c>
      <c r="AD1667" s="2" t="s">
        <v>46</v>
      </c>
    </row>
    <row r="1668" customFormat="false" ht="15.7" hidden="false" customHeight="true" outlineLevel="0" collapsed="false">
      <c r="A1668" s="2"/>
      <c r="B1668" s="3" t="n">
        <f aca="false">DATE(2011,8,25)</f>
        <v>0</v>
      </c>
      <c r="C1668" s="3" t="n">
        <v>40780</v>
      </c>
      <c r="D1668" s="2" t="s">
        <v>12833</v>
      </c>
      <c r="F1668" s="2" t="s">
        <v>12834</v>
      </c>
      <c r="G1668" s="2" t="s">
        <v>12835</v>
      </c>
      <c r="H1668" s="2" t="s">
        <v>12836</v>
      </c>
      <c r="I1668" s="2" t="s">
        <v>286</v>
      </c>
      <c r="J1668" s="2" t="s">
        <v>35</v>
      </c>
      <c r="K1668" s="2" t="s">
        <v>12837</v>
      </c>
      <c r="L1668" s="2" t="s">
        <v>286</v>
      </c>
      <c r="M1668" s="2" t="s">
        <v>12838</v>
      </c>
      <c r="N1668" s="2" t="s">
        <v>12839</v>
      </c>
      <c r="O1668" s="2"/>
      <c r="P1668" s="2" t="s">
        <v>37</v>
      </c>
      <c r="Q1668" s="4" t="n">
        <v>3844</v>
      </c>
      <c r="R1668" s="2" t="s">
        <v>1448</v>
      </c>
      <c r="S1668" s="2" t="s">
        <v>39</v>
      </c>
      <c r="T1668" s="2" t="s">
        <v>40</v>
      </c>
      <c r="U1668" s="2" t="s">
        <v>12840</v>
      </c>
      <c r="V1668" s="2"/>
      <c r="W1668" s="2" t="s">
        <v>42</v>
      </c>
      <c r="X1668" s="2" t="s">
        <v>43</v>
      </c>
      <c r="Y1668" s="2" t="s">
        <v>37</v>
      </c>
      <c r="Z1668" s="2" t="s">
        <v>44</v>
      </c>
      <c r="AA1668" s="2"/>
      <c r="AB1668" s="2"/>
      <c r="AC1668" s="2" t="s">
        <v>12841</v>
      </c>
      <c r="AD1668" s="2" t="s">
        <v>46</v>
      </c>
    </row>
    <row r="1669" customFormat="false" ht="15.7" hidden="false" customHeight="true" outlineLevel="0" collapsed="false">
      <c r="A1669" s="2"/>
      <c r="B1669" s="3" t="n">
        <f aca="false">DATE(2011,8,31)</f>
        <v>0</v>
      </c>
      <c r="C1669" s="3" t="n">
        <v>40786</v>
      </c>
      <c r="D1669" s="2" t="s">
        <v>12842</v>
      </c>
      <c r="F1669" s="2" t="s">
        <v>12843</v>
      </c>
      <c r="G1669" s="2" t="s">
        <v>12844</v>
      </c>
      <c r="H1669" s="2" t="s">
        <v>12845</v>
      </c>
      <c r="I1669" s="2" t="s">
        <v>51</v>
      </c>
      <c r="J1669" s="2" t="s">
        <v>171</v>
      </c>
      <c r="K1669" s="2" t="s">
        <v>12846</v>
      </c>
      <c r="L1669" s="2" t="s">
        <v>51</v>
      </c>
      <c r="M1669" s="2" t="s">
        <v>12847</v>
      </c>
      <c r="N1669" s="2" t="s">
        <v>12848</v>
      </c>
      <c r="O1669" s="2"/>
      <c r="P1669" s="2" t="s">
        <v>37</v>
      </c>
      <c r="Q1669" s="4" t="n">
        <v>2869</v>
      </c>
      <c r="R1669" s="2" t="s">
        <v>56</v>
      </c>
      <c r="S1669" s="2" t="s">
        <v>92</v>
      </c>
      <c r="T1669" s="2" t="s">
        <v>40</v>
      </c>
      <c r="U1669" s="2" t="s">
        <v>12849</v>
      </c>
      <c r="V1669" s="2"/>
      <c r="W1669" s="2" t="s">
        <v>12850</v>
      </c>
      <c r="X1669" s="2" t="s">
        <v>43</v>
      </c>
      <c r="Y1669" s="2" t="s">
        <v>37</v>
      </c>
      <c r="Z1669" s="2" t="s">
        <v>44</v>
      </c>
      <c r="AA1669" s="2"/>
      <c r="AB1669" s="2"/>
      <c r="AC1669" s="2" t="s">
        <v>12851</v>
      </c>
      <c r="AD1669" s="2" t="s">
        <v>46</v>
      </c>
    </row>
    <row r="1670" customFormat="false" ht="15.7" hidden="false" customHeight="true" outlineLevel="0" collapsed="false">
      <c r="A1670" s="2"/>
      <c r="B1670" s="3" t="n">
        <f aca="false">DATE(2011,8,31)</f>
        <v>0</v>
      </c>
      <c r="C1670" s="3" t="n">
        <v>40786</v>
      </c>
      <c r="D1670" s="2" t="s">
        <v>12852</v>
      </c>
      <c r="F1670" s="2" t="s">
        <v>12853</v>
      </c>
      <c r="G1670" s="2" t="s">
        <v>12854</v>
      </c>
      <c r="H1670" s="2" t="s">
        <v>12855</v>
      </c>
      <c r="I1670" s="2" t="s">
        <v>2530</v>
      </c>
      <c r="J1670" s="2" t="s">
        <v>12856</v>
      </c>
      <c r="K1670" s="2" t="s">
        <v>12857</v>
      </c>
      <c r="L1670" s="2" t="s">
        <v>2530</v>
      </c>
      <c r="M1670" s="2" t="s">
        <v>12858</v>
      </c>
      <c r="N1670" s="2" t="s">
        <v>12859</v>
      </c>
      <c r="O1670" s="2"/>
      <c r="P1670" s="2" t="s">
        <v>37</v>
      </c>
      <c r="Q1670" s="4" t="n">
        <v>3823</v>
      </c>
      <c r="R1670" s="2" t="s">
        <v>56</v>
      </c>
      <c r="S1670" s="2" t="s">
        <v>2265</v>
      </c>
      <c r="T1670" s="2" t="s">
        <v>40</v>
      </c>
      <c r="U1670" s="2" t="s">
        <v>12860</v>
      </c>
      <c r="V1670" s="2"/>
      <c r="W1670" s="2" t="s">
        <v>42</v>
      </c>
      <c r="X1670" s="2" t="s">
        <v>43</v>
      </c>
      <c r="Y1670" s="2" t="s">
        <v>37</v>
      </c>
      <c r="Z1670" s="2" t="s">
        <v>916</v>
      </c>
      <c r="AA1670" s="2"/>
      <c r="AB1670" s="2"/>
      <c r="AC1670" s="2" t="s">
        <v>12861</v>
      </c>
      <c r="AD1670" s="2" t="s">
        <v>46</v>
      </c>
    </row>
    <row r="1671" customFormat="false" ht="15.7" hidden="false" customHeight="true" outlineLevel="0" collapsed="false">
      <c r="A1671" s="2"/>
      <c r="B1671" s="3" t="n">
        <f aca="false">DATE(2011,8,31)</f>
        <v>0</v>
      </c>
      <c r="C1671" s="3" t="n">
        <v>40786</v>
      </c>
      <c r="D1671" s="2" t="s">
        <v>12862</v>
      </c>
      <c r="F1671" s="2" t="s">
        <v>12863</v>
      </c>
      <c r="G1671" s="2" t="s">
        <v>12864</v>
      </c>
      <c r="H1671" s="2" t="s">
        <v>1020</v>
      </c>
      <c r="I1671" s="2" t="s">
        <v>435</v>
      </c>
      <c r="J1671" s="2" t="s">
        <v>1897</v>
      </c>
      <c r="K1671" s="2" t="s">
        <v>12862</v>
      </c>
      <c r="L1671" s="2" t="s">
        <v>435</v>
      </c>
      <c r="M1671" s="2" t="s">
        <v>1020</v>
      </c>
      <c r="N1671" s="2" t="s">
        <v>12865</v>
      </c>
      <c r="O1671" s="2"/>
      <c r="P1671" s="2" t="s">
        <v>37</v>
      </c>
      <c r="Q1671" s="4" t="n">
        <v>8731</v>
      </c>
      <c r="R1671" s="2" t="s">
        <v>1402</v>
      </c>
      <c r="S1671" s="2" t="s">
        <v>39</v>
      </c>
      <c r="T1671" s="2" t="s">
        <v>40</v>
      </c>
      <c r="U1671" s="2" t="s">
        <v>12866</v>
      </c>
      <c r="V1671" s="2"/>
      <c r="W1671" s="2" t="s">
        <v>42</v>
      </c>
      <c r="X1671" s="2" t="s">
        <v>43</v>
      </c>
      <c r="Y1671" s="2" t="s">
        <v>37</v>
      </c>
      <c r="Z1671" s="2" t="s">
        <v>44</v>
      </c>
      <c r="AA1671" s="2"/>
      <c r="AB1671" s="2"/>
      <c r="AC1671" s="2" t="s">
        <v>12867</v>
      </c>
      <c r="AD1671" s="2" t="s">
        <v>46</v>
      </c>
    </row>
    <row r="1672" customFormat="false" ht="15.7" hidden="false" customHeight="true" outlineLevel="0" collapsed="false">
      <c r="A1672" s="2"/>
      <c r="B1672" s="3" t="n">
        <f aca="false">DATE(2011,9,2)</f>
        <v>0</v>
      </c>
      <c r="C1672" s="3" t="n">
        <v>40788</v>
      </c>
      <c r="D1672" s="2" t="s">
        <v>12868</v>
      </c>
      <c r="F1672" s="2" t="s">
        <v>12869</v>
      </c>
      <c r="G1672" s="2" t="s">
        <v>12870</v>
      </c>
      <c r="H1672" s="2" t="s">
        <v>12871</v>
      </c>
      <c r="I1672" s="2" t="s">
        <v>219</v>
      </c>
      <c r="J1672" s="2" t="s">
        <v>313</v>
      </c>
      <c r="K1672" s="2" t="s">
        <v>12868</v>
      </c>
      <c r="L1672" s="2" t="s">
        <v>219</v>
      </c>
      <c r="M1672" s="2" t="s">
        <v>12871</v>
      </c>
      <c r="N1672" s="2" t="s">
        <v>12872</v>
      </c>
      <c r="O1672" s="2"/>
      <c r="P1672" s="2" t="s">
        <v>37</v>
      </c>
      <c r="Q1672" s="4" t="n">
        <v>8731</v>
      </c>
      <c r="R1672" s="2" t="s">
        <v>38</v>
      </c>
      <c r="S1672" s="2" t="s">
        <v>39</v>
      </c>
      <c r="T1672" s="2" t="s">
        <v>40</v>
      </c>
      <c r="U1672" s="2" t="s">
        <v>12873</v>
      </c>
      <c r="V1672" s="2"/>
      <c r="W1672" s="2" t="s">
        <v>42</v>
      </c>
      <c r="X1672" s="2" t="s">
        <v>43</v>
      </c>
      <c r="Y1672" s="2" t="s">
        <v>37</v>
      </c>
      <c r="Z1672" s="2" t="s">
        <v>44</v>
      </c>
      <c r="AA1672" s="2" t="s">
        <v>12874</v>
      </c>
      <c r="AB1672" s="2"/>
      <c r="AC1672" s="2" t="s">
        <v>12875</v>
      </c>
      <c r="AD1672" s="2" t="s">
        <v>46</v>
      </c>
    </row>
    <row r="1673" customFormat="false" ht="15.7" hidden="false" customHeight="true" outlineLevel="0" collapsed="false">
      <c r="A1673" s="2"/>
      <c r="B1673" s="3" t="n">
        <f aca="false">DATE(2011,9,6)</f>
        <v>0</v>
      </c>
      <c r="C1673" s="3" t="n">
        <v>40792</v>
      </c>
      <c r="D1673" s="2" t="s">
        <v>1811</v>
      </c>
      <c r="F1673" s="2" t="s">
        <v>12876</v>
      </c>
      <c r="G1673" s="2" t="s">
        <v>12877</v>
      </c>
      <c r="H1673" s="2" t="s">
        <v>130</v>
      </c>
      <c r="I1673" s="2" t="s">
        <v>1287</v>
      </c>
      <c r="J1673" s="2" t="s">
        <v>35</v>
      </c>
      <c r="K1673" s="2" t="s">
        <v>1811</v>
      </c>
      <c r="L1673" s="2" t="s">
        <v>1287</v>
      </c>
      <c r="M1673" s="2" t="s">
        <v>130</v>
      </c>
      <c r="N1673" s="2" t="s">
        <v>12878</v>
      </c>
      <c r="O1673" s="2"/>
      <c r="P1673" s="2" t="s">
        <v>37</v>
      </c>
      <c r="Q1673" s="4" t="n">
        <v>2834</v>
      </c>
      <c r="R1673" s="2" t="s">
        <v>136</v>
      </c>
      <c r="S1673" s="2" t="s">
        <v>39</v>
      </c>
      <c r="T1673" s="2" t="s">
        <v>40</v>
      </c>
      <c r="U1673" s="2" t="s">
        <v>12879</v>
      </c>
      <c r="V1673" s="2"/>
      <c r="W1673" s="2" t="s">
        <v>42</v>
      </c>
      <c r="X1673" s="2" t="s">
        <v>43</v>
      </c>
      <c r="Y1673" s="2" t="s">
        <v>37</v>
      </c>
      <c r="Z1673" s="2" t="s">
        <v>44</v>
      </c>
      <c r="AA1673" s="2" t="s">
        <v>12880</v>
      </c>
      <c r="AB1673" s="2"/>
      <c r="AC1673" s="2" t="s">
        <v>1816</v>
      </c>
      <c r="AD1673" s="2" t="s">
        <v>46</v>
      </c>
    </row>
    <row r="1674" customFormat="false" ht="15.7" hidden="false" customHeight="true" outlineLevel="0" collapsed="false">
      <c r="A1674" s="2"/>
      <c r="B1674" s="3" t="n">
        <f aca="false">DATE(2011,9,6)</f>
        <v>0</v>
      </c>
      <c r="C1674" s="3" t="n">
        <v>40792</v>
      </c>
      <c r="D1674" s="2" t="s">
        <v>12881</v>
      </c>
      <c r="F1674" s="2" t="s">
        <v>12882</v>
      </c>
      <c r="G1674" s="2" t="s">
        <v>12883</v>
      </c>
      <c r="H1674" s="2" t="s">
        <v>12884</v>
      </c>
      <c r="I1674" s="2" t="s">
        <v>12885</v>
      </c>
      <c r="J1674" s="2" t="s">
        <v>12886</v>
      </c>
      <c r="K1674" s="2" t="s">
        <v>12887</v>
      </c>
      <c r="L1674" s="2" t="s">
        <v>12885</v>
      </c>
      <c r="M1674" s="2" t="s">
        <v>12888</v>
      </c>
      <c r="N1674" s="2" t="s">
        <v>12889</v>
      </c>
      <c r="O1674" s="2"/>
      <c r="P1674" s="2" t="s">
        <v>37</v>
      </c>
      <c r="Q1674" s="4" t="n">
        <v>3845</v>
      </c>
      <c r="R1674" s="2" t="s">
        <v>402</v>
      </c>
      <c r="S1674" s="2" t="s">
        <v>39</v>
      </c>
      <c r="T1674" s="2" t="s">
        <v>403</v>
      </c>
      <c r="U1674" s="2" t="s">
        <v>12890</v>
      </c>
      <c r="V1674" s="2"/>
      <c r="W1674" s="2" t="s">
        <v>1311</v>
      </c>
      <c r="X1674" s="2" t="s">
        <v>46</v>
      </c>
      <c r="Y1674" s="2" t="s">
        <v>37</v>
      </c>
      <c r="Z1674" s="2" t="s">
        <v>12067</v>
      </c>
      <c r="AA1674" s="2"/>
      <c r="AB1674" s="2"/>
      <c r="AC1674" s="2" t="s">
        <v>12891</v>
      </c>
      <c r="AD1674" s="2" t="s">
        <v>46</v>
      </c>
    </row>
    <row r="1675" customFormat="false" ht="15.7" hidden="false" customHeight="true" outlineLevel="0" collapsed="false">
      <c r="A1675" s="2"/>
      <c r="B1675" s="3" t="n">
        <f aca="false">DATE(2011,9,6)</f>
        <v>0</v>
      </c>
      <c r="C1675" s="3" t="n">
        <v>40792</v>
      </c>
      <c r="D1675" s="2" t="s">
        <v>12892</v>
      </c>
      <c r="F1675" s="2" t="s">
        <v>4184</v>
      </c>
      <c r="G1675" s="2" t="s">
        <v>12893</v>
      </c>
      <c r="H1675" s="2" t="s">
        <v>305</v>
      </c>
      <c r="I1675" s="2" t="s">
        <v>12894</v>
      </c>
      <c r="J1675" s="2" t="s">
        <v>35</v>
      </c>
      <c r="K1675" s="2" t="s">
        <v>12892</v>
      </c>
      <c r="L1675" s="2" t="s">
        <v>12894</v>
      </c>
      <c r="M1675" s="2" t="s">
        <v>305</v>
      </c>
      <c r="N1675" s="2" t="s">
        <v>12895</v>
      </c>
      <c r="O1675" s="2"/>
      <c r="P1675" s="2" t="s">
        <v>37</v>
      </c>
      <c r="Q1675" s="4" t="n">
        <v>2834</v>
      </c>
      <c r="R1675" s="2" t="s">
        <v>2661</v>
      </c>
      <c r="S1675" s="2" t="s">
        <v>39</v>
      </c>
      <c r="T1675" s="2" t="s">
        <v>40</v>
      </c>
      <c r="U1675" s="2" t="s">
        <v>12896</v>
      </c>
      <c r="V1675" s="2"/>
      <c r="W1675" s="2" t="s">
        <v>42</v>
      </c>
      <c r="X1675" s="2" t="s">
        <v>43</v>
      </c>
      <c r="Y1675" s="2" t="s">
        <v>37</v>
      </c>
      <c r="Z1675" s="2" t="s">
        <v>44</v>
      </c>
      <c r="AA1675" s="2"/>
      <c r="AB1675" s="2"/>
      <c r="AC1675" s="2" t="s">
        <v>12897</v>
      </c>
      <c r="AD1675" s="2" t="s">
        <v>46</v>
      </c>
    </row>
    <row r="1676" customFormat="false" ht="15.7" hidden="false" customHeight="true" outlineLevel="0" collapsed="false">
      <c r="A1676" s="2"/>
      <c r="B1676" s="3" t="n">
        <f aca="false">DATE(2011,9,7)</f>
        <v>0</v>
      </c>
      <c r="C1676" s="3" t="n">
        <v>40793</v>
      </c>
      <c r="D1676" s="2" t="s">
        <v>12898</v>
      </c>
      <c r="F1676" s="2" t="s">
        <v>12899</v>
      </c>
      <c r="G1676" s="2" t="s">
        <v>12900</v>
      </c>
      <c r="H1676" s="2" t="s">
        <v>12901</v>
      </c>
      <c r="I1676" s="2" t="s">
        <v>51</v>
      </c>
      <c r="J1676" s="2" t="s">
        <v>12902</v>
      </c>
      <c r="K1676" s="2" t="s">
        <v>12898</v>
      </c>
      <c r="L1676" s="2" t="s">
        <v>51</v>
      </c>
      <c r="M1676" s="2" t="s">
        <v>12901</v>
      </c>
      <c r="N1676" s="2" t="s">
        <v>12903</v>
      </c>
      <c r="O1676" s="2"/>
      <c r="P1676" s="2" t="s">
        <v>79</v>
      </c>
      <c r="Q1676" s="4" t="n">
        <v>2891</v>
      </c>
      <c r="R1676" s="2" t="s">
        <v>136</v>
      </c>
      <c r="S1676" s="2" t="s">
        <v>39</v>
      </c>
      <c r="T1676" s="2" t="s">
        <v>403</v>
      </c>
      <c r="U1676" s="2" t="s">
        <v>12904</v>
      </c>
      <c r="V1676" s="2"/>
      <c r="W1676" s="2" t="s">
        <v>42</v>
      </c>
      <c r="X1676" s="2" t="s">
        <v>43</v>
      </c>
      <c r="Y1676" s="2" t="s">
        <v>37</v>
      </c>
      <c r="Z1676" s="2" t="s">
        <v>44</v>
      </c>
      <c r="AA1676" s="2"/>
      <c r="AB1676" s="2"/>
      <c r="AC1676" s="2" t="s">
        <v>12905</v>
      </c>
      <c r="AD1676" s="2" t="s">
        <v>46</v>
      </c>
    </row>
    <row r="1677" customFormat="false" ht="15.7" hidden="false" customHeight="true" outlineLevel="0" collapsed="false">
      <c r="A1677" s="2"/>
      <c r="B1677" s="3" t="n">
        <f aca="false">DATE(2011,9,7)</f>
        <v>0</v>
      </c>
      <c r="C1677" s="3" t="n">
        <v>40793</v>
      </c>
      <c r="D1677" s="2" t="s">
        <v>12906</v>
      </c>
      <c r="F1677" s="2" t="s">
        <v>12907</v>
      </c>
      <c r="G1677" s="2" t="s">
        <v>12908</v>
      </c>
      <c r="H1677" s="2" t="s">
        <v>305</v>
      </c>
      <c r="I1677" s="2" t="s">
        <v>180</v>
      </c>
      <c r="J1677" s="2" t="s">
        <v>258</v>
      </c>
      <c r="K1677" s="2" t="s">
        <v>12906</v>
      </c>
      <c r="L1677" s="2" t="s">
        <v>180</v>
      </c>
      <c r="M1677" s="2" t="s">
        <v>305</v>
      </c>
      <c r="N1677" s="2" t="s">
        <v>12909</v>
      </c>
      <c r="O1677" s="2"/>
      <c r="P1677" s="2" t="s">
        <v>79</v>
      </c>
      <c r="Q1677" s="4" t="n">
        <v>3845</v>
      </c>
      <c r="R1677" s="2" t="s">
        <v>136</v>
      </c>
      <c r="S1677" s="2" t="s">
        <v>39</v>
      </c>
      <c r="T1677" s="2" t="s">
        <v>40</v>
      </c>
      <c r="U1677" s="2" t="s">
        <v>12910</v>
      </c>
      <c r="V1677" s="2"/>
      <c r="W1677" s="2" t="s">
        <v>206</v>
      </c>
      <c r="X1677" s="2" t="s">
        <v>43</v>
      </c>
      <c r="Y1677" s="2" t="s">
        <v>37</v>
      </c>
      <c r="Z1677" s="2" t="s">
        <v>44</v>
      </c>
      <c r="AA1677" s="2"/>
      <c r="AB1677" s="2"/>
      <c r="AC1677" s="2" t="s">
        <v>12911</v>
      </c>
      <c r="AD1677" s="2" t="s">
        <v>46</v>
      </c>
    </row>
    <row r="1678" customFormat="false" ht="15.7" hidden="false" customHeight="true" outlineLevel="0" collapsed="false">
      <c r="A1678" s="2"/>
      <c r="B1678" s="3" t="n">
        <f aca="false">DATE(2011,9,8)</f>
        <v>0</v>
      </c>
      <c r="C1678" s="3" t="n">
        <v>40794</v>
      </c>
      <c r="D1678" s="2" t="s">
        <v>12912</v>
      </c>
      <c r="F1678" s="2" t="s">
        <v>12913</v>
      </c>
      <c r="G1678" s="2" t="s">
        <v>12914</v>
      </c>
      <c r="H1678" s="2" t="s">
        <v>368</v>
      </c>
      <c r="I1678" s="2" t="s">
        <v>670</v>
      </c>
      <c r="J1678" s="2" t="s">
        <v>65</v>
      </c>
      <c r="K1678" s="2" t="s">
        <v>12915</v>
      </c>
      <c r="L1678" s="2" t="s">
        <v>670</v>
      </c>
      <c r="M1678" s="2" t="s">
        <v>368</v>
      </c>
      <c r="N1678" s="2" t="s">
        <v>12916</v>
      </c>
      <c r="O1678" s="2"/>
      <c r="P1678" s="2" t="s">
        <v>37</v>
      </c>
      <c r="Q1678" s="4" t="n">
        <v>2834</v>
      </c>
      <c r="R1678" s="2" t="s">
        <v>402</v>
      </c>
      <c r="S1678" s="2" t="s">
        <v>39</v>
      </c>
      <c r="T1678" s="2" t="s">
        <v>40</v>
      </c>
      <c r="U1678" s="2" t="s">
        <v>12917</v>
      </c>
      <c r="V1678" s="2"/>
      <c r="W1678" s="2" t="s">
        <v>42</v>
      </c>
      <c r="X1678" s="2" t="s">
        <v>43</v>
      </c>
      <c r="Y1678" s="2" t="s">
        <v>37</v>
      </c>
      <c r="Z1678" s="2" t="s">
        <v>44</v>
      </c>
      <c r="AA1678" s="2"/>
      <c r="AB1678" s="2"/>
      <c r="AC1678" s="2" t="s">
        <v>12918</v>
      </c>
      <c r="AD1678" s="2" t="s">
        <v>46</v>
      </c>
    </row>
    <row r="1679" customFormat="false" ht="15.7" hidden="false" customHeight="true" outlineLevel="0" collapsed="false">
      <c r="A1679" s="2"/>
      <c r="B1679" s="3" t="n">
        <f aca="false">DATE(2011,9,9)</f>
        <v>0</v>
      </c>
      <c r="C1679" s="3" t="n">
        <v>40795</v>
      </c>
      <c r="D1679" s="2" t="s">
        <v>12919</v>
      </c>
      <c r="F1679" s="2" t="s">
        <v>12920</v>
      </c>
      <c r="G1679" s="2" t="s">
        <v>12921</v>
      </c>
      <c r="H1679" s="2" t="s">
        <v>898</v>
      </c>
      <c r="I1679" s="2" t="s">
        <v>670</v>
      </c>
      <c r="J1679" s="2" t="s">
        <v>575</v>
      </c>
      <c r="K1679" s="2" t="s">
        <v>12922</v>
      </c>
      <c r="L1679" s="2" t="s">
        <v>670</v>
      </c>
      <c r="M1679" s="2" t="s">
        <v>130</v>
      </c>
      <c r="N1679" s="2" t="s">
        <v>12923</v>
      </c>
      <c r="O1679" s="2"/>
      <c r="P1679" s="2" t="s">
        <v>37</v>
      </c>
      <c r="Q1679" s="4" t="n">
        <v>2833</v>
      </c>
      <c r="R1679" s="2" t="s">
        <v>402</v>
      </c>
      <c r="S1679" s="2" t="s">
        <v>39</v>
      </c>
      <c r="T1679" s="2" t="s">
        <v>403</v>
      </c>
      <c r="U1679" s="2" t="s">
        <v>12924</v>
      </c>
      <c r="V1679" s="2"/>
      <c r="W1679" s="2" t="s">
        <v>2209</v>
      </c>
      <c r="X1679" s="2" t="s">
        <v>46</v>
      </c>
      <c r="Y1679" s="2" t="s">
        <v>37</v>
      </c>
      <c r="Z1679" s="2" t="s">
        <v>362</v>
      </c>
      <c r="AA1679" s="2"/>
      <c r="AB1679" s="2"/>
      <c r="AC1679" s="2" t="s">
        <v>12925</v>
      </c>
      <c r="AD1679" s="2" t="s">
        <v>46</v>
      </c>
    </row>
    <row r="1680" customFormat="false" ht="15.7" hidden="false" customHeight="true" outlineLevel="0" collapsed="false">
      <c r="A1680" s="2"/>
      <c r="B1680" s="3" t="n">
        <f aca="false">DATE(2011,9,9)</f>
        <v>0</v>
      </c>
      <c r="C1680" s="3" t="n">
        <v>40795</v>
      </c>
      <c r="D1680" s="2" t="s">
        <v>12926</v>
      </c>
      <c r="F1680" s="2" t="s">
        <v>12927</v>
      </c>
      <c r="G1680" s="2" t="s">
        <v>12928</v>
      </c>
      <c r="H1680" s="2" t="s">
        <v>12929</v>
      </c>
      <c r="I1680" s="2" t="s">
        <v>5551</v>
      </c>
      <c r="J1680" s="2" t="s">
        <v>35</v>
      </c>
      <c r="K1680" s="2" t="s">
        <v>12930</v>
      </c>
      <c r="L1680" s="2" t="s">
        <v>5551</v>
      </c>
      <c r="M1680" s="2" t="s">
        <v>12931</v>
      </c>
      <c r="N1680" s="2" t="s">
        <v>12932</v>
      </c>
      <c r="O1680" s="2"/>
      <c r="P1680" s="2" t="s">
        <v>37</v>
      </c>
      <c r="Q1680" s="4" t="n">
        <v>8731</v>
      </c>
      <c r="R1680" s="2" t="s">
        <v>136</v>
      </c>
      <c r="S1680" s="2" t="s">
        <v>39</v>
      </c>
      <c r="T1680" s="2" t="s">
        <v>403</v>
      </c>
      <c r="U1680" s="2" t="s">
        <v>12933</v>
      </c>
      <c r="V1680" s="2"/>
      <c r="W1680" s="2" t="s">
        <v>42</v>
      </c>
      <c r="X1680" s="2" t="s">
        <v>43</v>
      </c>
      <c r="Y1680" s="2" t="s">
        <v>37</v>
      </c>
      <c r="Z1680" s="2" t="s">
        <v>44</v>
      </c>
      <c r="AA1680" s="2"/>
      <c r="AB1680" s="2"/>
      <c r="AC1680" s="2" t="s">
        <v>12934</v>
      </c>
      <c r="AD1680" s="2" t="s">
        <v>46</v>
      </c>
    </row>
    <row r="1681" customFormat="false" ht="15.7" hidden="false" customHeight="true" outlineLevel="0" collapsed="false">
      <c r="A1681" s="2"/>
      <c r="B1681" s="3" t="n">
        <f aca="false">DATE(2011,9,9)</f>
        <v>0</v>
      </c>
      <c r="C1681" s="3" t="n">
        <v>40795</v>
      </c>
      <c r="D1681" s="2" t="s">
        <v>12935</v>
      </c>
      <c r="F1681" s="2" t="s">
        <v>12936</v>
      </c>
      <c r="G1681" s="2" t="s">
        <v>12937</v>
      </c>
      <c r="H1681" s="2" t="s">
        <v>2959</v>
      </c>
      <c r="I1681" s="2" t="s">
        <v>435</v>
      </c>
      <c r="J1681" s="2" t="s">
        <v>795</v>
      </c>
      <c r="K1681" s="2" t="s">
        <v>12938</v>
      </c>
      <c r="L1681" s="2" t="s">
        <v>10892</v>
      </c>
      <c r="M1681" s="2" t="s">
        <v>12939</v>
      </c>
      <c r="N1681" s="2" t="s">
        <v>12940</v>
      </c>
      <c r="O1681" s="2"/>
      <c r="P1681" s="2" t="s">
        <v>37</v>
      </c>
      <c r="Q1681" s="4" t="n">
        <v>8731</v>
      </c>
      <c r="R1681" s="2" t="s">
        <v>56</v>
      </c>
      <c r="S1681" s="2" t="s">
        <v>2265</v>
      </c>
      <c r="T1681" s="2" t="s">
        <v>40</v>
      </c>
      <c r="U1681" s="2" t="s">
        <v>12941</v>
      </c>
      <c r="V1681" s="2"/>
      <c r="W1681" s="2" t="s">
        <v>42</v>
      </c>
      <c r="X1681" s="2" t="s">
        <v>43</v>
      </c>
      <c r="Y1681" s="2" t="s">
        <v>37</v>
      </c>
      <c r="Z1681" s="2" t="s">
        <v>44</v>
      </c>
      <c r="AA1681" s="2" t="s">
        <v>12942</v>
      </c>
      <c r="AB1681" s="2"/>
      <c r="AC1681" s="2" t="s">
        <v>12943</v>
      </c>
      <c r="AD1681" s="2" t="s">
        <v>46</v>
      </c>
    </row>
    <row r="1682" customFormat="false" ht="15.7" hidden="false" customHeight="true" outlineLevel="0" collapsed="false">
      <c r="A1682" s="2"/>
      <c r="B1682" s="3" t="n">
        <f aca="false">DATE(2011,9,12)</f>
        <v>0</v>
      </c>
      <c r="C1682" s="3" t="n">
        <v>40798</v>
      </c>
      <c r="D1682" s="2" t="s">
        <v>12944</v>
      </c>
      <c r="F1682" s="2" t="s">
        <v>200</v>
      </c>
      <c r="G1682" s="2" t="s">
        <v>12945</v>
      </c>
      <c r="H1682" s="2" t="s">
        <v>170</v>
      </c>
      <c r="I1682" s="2" t="s">
        <v>1108</v>
      </c>
      <c r="J1682" s="2" t="s">
        <v>35</v>
      </c>
      <c r="K1682" s="2" t="s">
        <v>12944</v>
      </c>
      <c r="L1682" s="2" t="s">
        <v>1108</v>
      </c>
      <c r="M1682" s="2" t="s">
        <v>170</v>
      </c>
      <c r="N1682" s="2" t="s">
        <v>12946</v>
      </c>
      <c r="O1682" s="2"/>
      <c r="P1682" s="2" t="s">
        <v>37</v>
      </c>
      <c r="Q1682" s="4" t="n">
        <v>8731</v>
      </c>
      <c r="R1682" s="2" t="s">
        <v>136</v>
      </c>
      <c r="S1682" s="2" t="s">
        <v>39</v>
      </c>
      <c r="T1682" s="2" t="s">
        <v>40</v>
      </c>
      <c r="U1682" s="2" t="s">
        <v>12947</v>
      </c>
      <c r="V1682" s="2"/>
      <c r="W1682" s="2" t="s">
        <v>42</v>
      </c>
      <c r="X1682" s="2" t="s">
        <v>43</v>
      </c>
      <c r="Y1682" s="2" t="s">
        <v>37</v>
      </c>
      <c r="Z1682" s="2" t="s">
        <v>44</v>
      </c>
      <c r="AA1682" s="2"/>
      <c r="AB1682" s="2"/>
      <c r="AC1682" s="2" t="s">
        <v>12948</v>
      </c>
      <c r="AD1682" s="2" t="s">
        <v>46</v>
      </c>
    </row>
    <row r="1683" customFormat="false" ht="15.7" hidden="false" customHeight="true" outlineLevel="0" collapsed="false">
      <c r="A1683" s="2"/>
      <c r="B1683" s="3" t="n">
        <f aca="false">DATE(2011,9,13)</f>
        <v>0</v>
      </c>
      <c r="C1683" s="3" t="n">
        <v>40799</v>
      </c>
      <c r="D1683" s="2" t="s">
        <v>12949</v>
      </c>
      <c r="F1683" s="2" t="s">
        <v>12950</v>
      </c>
      <c r="G1683" s="2" t="s">
        <v>12951</v>
      </c>
      <c r="H1683" s="2" t="s">
        <v>63</v>
      </c>
      <c r="I1683" s="2" t="s">
        <v>388</v>
      </c>
      <c r="J1683" s="2" t="s">
        <v>671</v>
      </c>
      <c r="K1683" s="2" t="s">
        <v>12949</v>
      </c>
      <c r="L1683" s="2" t="s">
        <v>388</v>
      </c>
      <c r="M1683" s="2" t="s">
        <v>63</v>
      </c>
      <c r="N1683" s="2" t="s">
        <v>12952</v>
      </c>
      <c r="O1683" s="2"/>
      <c r="P1683" s="2" t="s">
        <v>37</v>
      </c>
      <c r="Q1683" s="4" t="n">
        <v>8731</v>
      </c>
      <c r="R1683" s="2" t="s">
        <v>136</v>
      </c>
      <c r="S1683" s="2" t="s">
        <v>39</v>
      </c>
      <c r="T1683" s="2" t="s">
        <v>40</v>
      </c>
      <c r="U1683" s="2" t="s">
        <v>12953</v>
      </c>
      <c r="V1683" s="2"/>
      <c r="W1683" s="2" t="s">
        <v>42</v>
      </c>
      <c r="X1683" s="2" t="s">
        <v>43</v>
      </c>
      <c r="Y1683" s="2" t="s">
        <v>37</v>
      </c>
      <c r="Z1683" s="2" t="s">
        <v>44</v>
      </c>
      <c r="AA1683" s="2"/>
      <c r="AB1683" s="2"/>
      <c r="AC1683" s="2" t="s">
        <v>12954</v>
      </c>
      <c r="AD1683" s="2" t="s">
        <v>46</v>
      </c>
    </row>
    <row r="1684" customFormat="false" ht="15.7" hidden="false" customHeight="true" outlineLevel="0" collapsed="false">
      <c r="A1684" s="2"/>
      <c r="B1684" s="3" t="n">
        <f aca="false">DATE(2011,9,13)</f>
        <v>0</v>
      </c>
      <c r="C1684" s="3" t="n">
        <v>40799</v>
      </c>
      <c r="D1684" s="2" t="s">
        <v>12955</v>
      </c>
      <c r="F1684" s="2" t="s">
        <v>12956</v>
      </c>
      <c r="G1684" s="2" t="s">
        <v>12957</v>
      </c>
      <c r="H1684" s="2" t="s">
        <v>523</v>
      </c>
      <c r="I1684" s="2" t="s">
        <v>670</v>
      </c>
      <c r="J1684" s="2" t="s">
        <v>514</v>
      </c>
      <c r="K1684" s="2" t="s">
        <v>12958</v>
      </c>
      <c r="L1684" s="2" t="s">
        <v>670</v>
      </c>
      <c r="M1684" s="2" t="s">
        <v>523</v>
      </c>
      <c r="N1684" s="2" t="s">
        <v>12959</v>
      </c>
      <c r="O1684" s="2"/>
      <c r="P1684" s="2" t="s">
        <v>37</v>
      </c>
      <c r="Q1684" s="4" t="n">
        <v>8731</v>
      </c>
      <c r="R1684" s="2" t="s">
        <v>136</v>
      </c>
      <c r="S1684" s="2" t="s">
        <v>39</v>
      </c>
      <c r="T1684" s="2" t="s">
        <v>40</v>
      </c>
      <c r="U1684" s="2" t="s">
        <v>12960</v>
      </c>
      <c r="V1684" s="2"/>
      <c r="W1684" s="2" t="s">
        <v>42</v>
      </c>
      <c r="X1684" s="2" t="s">
        <v>43</v>
      </c>
      <c r="Y1684" s="2" t="s">
        <v>37</v>
      </c>
      <c r="Z1684" s="2" t="s">
        <v>44</v>
      </c>
      <c r="AA1684" s="2"/>
      <c r="AB1684" s="2"/>
      <c r="AC1684" s="2" t="s">
        <v>12961</v>
      </c>
      <c r="AD1684" s="2" t="s">
        <v>46</v>
      </c>
    </row>
    <row r="1685" customFormat="false" ht="15.7" hidden="false" customHeight="true" outlineLevel="0" collapsed="false">
      <c r="A1685" s="2"/>
      <c r="B1685" s="3" t="n">
        <f aca="false">DATE(2011,9,13)</f>
        <v>0</v>
      </c>
      <c r="C1685" s="3" t="n">
        <v>40799</v>
      </c>
      <c r="D1685" s="2" t="s">
        <v>12962</v>
      </c>
      <c r="F1685" s="2" t="s">
        <v>12963</v>
      </c>
      <c r="G1685" s="2" t="s">
        <v>12964</v>
      </c>
      <c r="H1685" s="2" t="s">
        <v>12965</v>
      </c>
      <c r="I1685" s="2" t="s">
        <v>12966</v>
      </c>
      <c r="J1685" s="2" t="s">
        <v>35</v>
      </c>
      <c r="K1685" s="2" t="s">
        <v>12962</v>
      </c>
      <c r="L1685" s="2" t="s">
        <v>12966</v>
      </c>
      <c r="M1685" s="2" t="s">
        <v>12965</v>
      </c>
      <c r="N1685" s="2" t="s">
        <v>12967</v>
      </c>
      <c r="O1685" s="2"/>
      <c r="P1685" s="2" t="s">
        <v>37</v>
      </c>
      <c r="Q1685" s="4" t="n">
        <v>8731</v>
      </c>
      <c r="R1685" s="2" t="s">
        <v>12968</v>
      </c>
      <c r="S1685" s="2" t="s">
        <v>5334</v>
      </c>
      <c r="T1685" s="2" t="s">
        <v>403</v>
      </c>
      <c r="U1685" s="2" t="s">
        <v>12969</v>
      </c>
      <c r="V1685" s="2"/>
      <c r="W1685" s="2" t="s">
        <v>42</v>
      </c>
      <c r="X1685" s="2" t="s">
        <v>46</v>
      </c>
      <c r="Y1685" s="2" t="s">
        <v>79</v>
      </c>
      <c r="Z1685" s="2" t="s">
        <v>12970</v>
      </c>
      <c r="AA1685" s="2" t="s">
        <v>12971</v>
      </c>
      <c r="AB1685" s="2"/>
      <c r="AC1685" s="2" t="s">
        <v>12972</v>
      </c>
      <c r="AD1685" s="2" t="s">
        <v>46</v>
      </c>
    </row>
    <row r="1686" customFormat="false" ht="15.7" hidden="false" customHeight="true" outlineLevel="0" collapsed="false">
      <c r="A1686" s="2"/>
      <c r="B1686" s="3" t="n">
        <f aca="false">DATE(2011,9,14)</f>
        <v>0</v>
      </c>
      <c r="C1686" s="3" t="n">
        <v>40800</v>
      </c>
      <c r="D1686" s="2" t="s">
        <v>12401</v>
      </c>
      <c r="F1686" s="2" t="s">
        <v>1858</v>
      </c>
      <c r="G1686" s="2" t="s">
        <v>12402</v>
      </c>
      <c r="H1686" s="2" t="s">
        <v>305</v>
      </c>
      <c r="I1686" s="2" t="s">
        <v>11224</v>
      </c>
      <c r="J1686" s="2" t="s">
        <v>35</v>
      </c>
      <c r="K1686" s="2" t="s">
        <v>12401</v>
      </c>
      <c r="L1686" s="2" t="s">
        <v>11224</v>
      </c>
      <c r="M1686" s="2" t="s">
        <v>305</v>
      </c>
      <c r="N1686" s="2" t="s">
        <v>12403</v>
      </c>
      <c r="O1686" s="2"/>
      <c r="P1686" s="2" t="s">
        <v>37</v>
      </c>
      <c r="Q1686" s="4" t="n">
        <v>8733</v>
      </c>
      <c r="R1686" s="2" t="s">
        <v>402</v>
      </c>
      <c r="S1686" s="2" t="s">
        <v>39</v>
      </c>
      <c r="T1686" s="2" t="s">
        <v>403</v>
      </c>
      <c r="U1686" s="2" t="s">
        <v>12973</v>
      </c>
      <c r="V1686" s="2"/>
      <c r="W1686" s="2" t="s">
        <v>42</v>
      </c>
      <c r="X1686" s="2" t="s">
        <v>46</v>
      </c>
      <c r="Y1686" s="2" t="s">
        <v>37</v>
      </c>
      <c r="Z1686" s="2" t="s">
        <v>362</v>
      </c>
      <c r="AA1686" s="2" t="s">
        <v>12974</v>
      </c>
      <c r="AB1686" s="2"/>
      <c r="AC1686" s="2" t="s">
        <v>12406</v>
      </c>
      <c r="AD1686" s="2" t="s">
        <v>46</v>
      </c>
    </row>
    <row r="1687" customFormat="false" ht="15.7" hidden="false" customHeight="true" outlineLevel="0" collapsed="false">
      <c r="A1687" s="2"/>
      <c r="B1687" s="3" t="n">
        <f aca="false">DATE(2011,9,14)</f>
        <v>0</v>
      </c>
      <c r="C1687" s="3" t="n">
        <v>40800</v>
      </c>
      <c r="D1687" s="2" t="s">
        <v>12975</v>
      </c>
      <c r="F1687" s="2" t="s">
        <v>12976</v>
      </c>
      <c r="G1687" s="2" t="s">
        <v>12977</v>
      </c>
      <c r="H1687" s="2" t="s">
        <v>211</v>
      </c>
      <c r="I1687" s="2" t="s">
        <v>51</v>
      </c>
      <c r="J1687" s="2" t="s">
        <v>12978</v>
      </c>
      <c r="K1687" s="2" t="s">
        <v>12979</v>
      </c>
      <c r="L1687" s="2" t="s">
        <v>51</v>
      </c>
      <c r="M1687" s="2" t="s">
        <v>12980</v>
      </c>
      <c r="N1687" s="2" t="s">
        <v>12981</v>
      </c>
      <c r="O1687" s="2"/>
      <c r="P1687" s="2" t="s">
        <v>37</v>
      </c>
      <c r="Q1687" s="4" t="n">
        <v>3841</v>
      </c>
      <c r="R1687" s="2" t="s">
        <v>56</v>
      </c>
      <c r="S1687" s="2" t="s">
        <v>2265</v>
      </c>
      <c r="T1687" s="2" t="s">
        <v>40</v>
      </c>
      <c r="U1687" s="2" t="s">
        <v>12982</v>
      </c>
      <c r="V1687" s="2"/>
      <c r="W1687" s="2" t="s">
        <v>107</v>
      </c>
      <c r="X1687" s="2" t="s">
        <v>43</v>
      </c>
      <c r="Y1687" s="2" t="s">
        <v>37</v>
      </c>
      <c r="Z1687" s="2" t="s">
        <v>44</v>
      </c>
      <c r="AA1687" s="2"/>
      <c r="AB1687" s="2"/>
      <c r="AC1687" s="2" t="s">
        <v>12983</v>
      </c>
      <c r="AD1687" s="2" t="s">
        <v>46</v>
      </c>
    </row>
    <row r="1688" customFormat="false" ht="15.7" hidden="false" customHeight="true" outlineLevel="0" collapsed="false">
      <c r="A1688" s="2"/>
      <c r="B1688" s="3" t="n">
        <f aca="false">DATE(2011,9,19)</f>
        <v>0</v>
      </c>
      <c r="C1688" s="3" t="n">
        <v>40805</v>
      </c>
      <c r="D1688" s="2" t="s">
        <v>12984</v>
      </c>
      <c r="F1688" s="2" t="s">
        <v>12985</v>
      </c>
      <c r="G1688" s="2" t="s">
        <v>12986</v>
      </c>
      <c r="H1688" s="2" t="s">
        <v>12987</v>
      </c>
      <c r="I1688" s="2" t="s">
        <v>1203</v>
      </c>
      <c r="J1688" s="2" t="s">
        <v>35</v>
      </c>
      <c r="K1688" s="2" t="s">
        <v>12984</v>
      </c>
      <c r="L1688" s="2" t="s">
        <v>1203</v>
      </c>
      <c r="M1688" s="2" t="s">
        <v>12987</v>
      </c>
      <c r="N1688" s="2" t="s">
        <v>12988</v>
      </c>
      <c r="O1688" s="2"/>
      <c r="P1688" s="2" t="s">
        <v>37</v>
      </c>
      <c r="Q1688" s="4" t="n">
        <v>2834</v>
      </c>
      <c r="R1688" s="2" t="s">
        <v>1208</v>
      </c>
      <c r="S1688" s="2" t="s">
        <v>39</v>
      </c>
      <c r="T1688" s="2" t="s">
        <v>11074</v>
      </c>
      <c r="U1688" s="2" t="s">
        <v>12989</v>
      </c>
      <c r="V1688" s="2"/>
      <c r="W1688" s="2" t="s">
        <v>42</v>
      </c>
      <c r="X1688" s="2" t="s">
        <v>46</v>
      </c>
      <c r="Y1688" s="2" t="s">
        <v>37</v>
      </c>
      <c r="Z1688" s="2" t="s">
        <v>362</v>
      </c>
      <c r="AA1688" s="2"/>
      <c r="AB1688" s="2"/>
      <c r="AC1688" s="2" t="s">
        <v>12990</v>
      </c>
      <c r="AD1688" s="2" t="s">
        <v>46</v>
      </c>
    </row>
    <row r="1689" customFormat="false" ht="15.7" hidden="false" customHeight="true" outlineLevel="0" collapsed="false">
      <c r="A1689" s="2"/>
      <c r="B1689" s="3" t="n">
        <f aca="false">DATE(2011,9,20)</f>
        <v>0</v>
      </c>
      <c r="C1689" s="3" t="n">
        <v>40806</v>
      </c>
      <c r="D1689" s="2" t="s">
        <v>12991</v>
      </c>
      <c r="F1689" s="2" t="s">
        <v>12992</v>
      </c>
      <c r="G1689" s="2" t="s">
        <v>12993</v>
      </c>
      <c r="H1689" s="2" t="s">
        <v>12994</v>
      </c>
      <c r="I1689" s="2" t="s">
        <v>4325</v>
      </c>
      <c r="J1689" s="2" t="s">
        <v>35</v>
      </c>
      <c r="K1689" s="2" t="s">
        <v>12991</v>
      </c>
      <c r="L1689" s="2" t="s">
        <v>4325</v>
      </c>
      <c r="M1689" s="2" t="s">
        <v>12994</v>
      </c>
      <c r="N1689" s="2" t="s">
        <v>12995</v>
      </c>
      <c r="O1689" s="2"/>
      <c r="P1689" s="2" t="s">
        <v>37</v>
      </c>
      <c r="Q1689" s="4" t="n">
        <v>3822</v>
      </c>
      <c r="R1689" s="2" t="s">
        <v>136</v>
      </c>
      <c r="S1689" s="2" t="s">
        <v>39</v>
      </c>
      <c r="T1689" s="2" t="s">
        <v>403</v>
      </c>
      <c r="U1689" s="2" t="s">
        <v>12996</v>
      </c>
      <c r="V1689" s="2"/>
      <c r="W1689" s="2" t="s">
        <v>42</v>
      </c>
      <c r="X1689" s="2" t="s">
        <v>43</v>
      </c>
      <c r="Y1689" s="2" t="s">
        <v>37</v>
      </c>
      <c r="Z1689" s="2" t="s">
        <v>44</v>
      </c>
      <c r="AA1689" s="2"/>
      <c r="AB1689" s="2"/>
      <c r="AC1689" s="2" t="s">
        <v>12997</v>
      </c>
      <c r="AD1689" s="2" t="s">
        <v>46</v>
      </c>
    </row>
    <row r="1690" customFormat="false" ht="15.7" hidden="false" customHeight="true" outlineLevel="0" collapsed="false">
      <c r="A1690" s="2"/>
      <c r="B1690" s="3" t="n">
        <f aca="false">DATE(2011,9,20)</f>
        <v>0</v>
      </c>
      <c r="C1690" s="3" t="n">
        <v>40806</v>
      </c>
      <c r="D1690" s="2" t="s">
        <v>12998</v>
      </c>
      <c r="F1690" s="2" t="s">
        <v>12999</v>
      </c>
      <c r="G1690" s="2" t="s">
        <v>13000</v>
      </c>
      <c r="H1690" s="2" t="s">
        <v>5915</v>
      </c>
      <c r="I1690" s="2" t="s">
        <v>51</v>
      </c>
      <c r="J1690" s="2" t="s">
        <v>4151</v>
      </c>
      <c r="K1690" s="2" t="s">
        <v>13001</v>
      </c>
      <c r="L1690" s="2" t="s">
        <v>51</v>
      </c>
      <c r="M1690" s="2" t="s">
        <v>13002</v>
      </c>
      <c r="N1690" s="2" t="s">
        <v>13003</v>
      </c>
      <c r="O1690" s="2"/>
      <c r="P1690" s="2" t="s">
        <v>37</v>
      </c>
      <c r="Q1690" s="4" t="n">
        <v>3692</v>
      </c>
      <c r="R1690" s="2" t="s">
        <v>56</v>
      </c>
      <c r="S1690" s="2" t="s">
        <v>2265</v>
      </c>
      <c r="T1690" s="2" t="s">
        <v>40</v>
      </c>
      <c r="U1690" s="2" t="s">
        <v>13004</v>
      </c>
      <c r="V1690" s="2"/>
      <c r="W1690" s="2" t="s">
        <v>42</v>
      </c>
      <c r="X1690" s="2" t="s">
        <v>43</v>
      </c>
      <c r="Y1690" s="2" t="s">
        <v>37</v>
      </c>
      <c r="Z1690" s="2" t="s">
        <v>44</v>
      </c>
      <c r="AA1690" s="2"/>
      <c r="AB1690" s="2"/>
      <c r="AC1690" s="2" t="s">
        <v>13005</v>
      </c>
      <c r="AD1690" s="2" t="s">
        <v>46</v>
      </c>
    </row>
    <row r="1691" customFormat="false" ht="15.7" hidden="false" customHeight="true" outlineLevel="0" collapsed="false">
      <c r="A1691" s="2"/>
      <c r="B1691" s="3" t="n">
        <f aca="false">DATE(2011,9,20)</f>
        <v>0</v>
      </c>
      <c r="C1691" s="3" t="n">
        <v>40806</v>
      </c>
      <c r="D1691" s="2" t="s">
        <v>13006</v>
      </c>
      <c r="F1691" s="2" t="s">
        <v>13007</v>
      </c>
      <c r="G1691" s="2" t="s">
        <v>13008</v>
      </c>
      <c r="H1691" s="2" t="s">
        <v>13009</v>
      </c>
      <c r="I1691" s="2" t="s">
        <v>487</v>
      </c>
      <c r="J1691" s="2" t="s">
        <v>795</v>
      </c>
      <c r="K1691" s="2" t="s">
        <v>13006</v>
      </c>
      <c r="L1691" s="2" t="s">
        <v>487</v>
      </c>
      <c r="M1691" s="2" t="s">
        <v>13009</v>
      </c>
      <c r="N1691" s="2" t="s">
        <v>13010</v>
      </c>
      <c r="O1691" s="2"/>
      <c r="P1691" s="2" t="s">
        <v>79</v>
      </c>
      <c r="Q1691" s="4" t="n">
        <v>8731</v>
      </c>
      <c r="R1691" s="2" t="s">
        <v>136</v>
      </c>
      <c r="S1691" s="2" t="s">
        <v>39</v>
      </c>
      <c r="T1691" s="2" t="s">
        <v>40</v>
      </c>
      <c r="U1691" s="2" t="s">
        <v>13011</v>
      </c>
      <c r="V1691" s="2"/>
      <c r="W1691" s="2" t="s">
        <v>2367</v>
      </c>
      <c r="X1691" s="2" t="s">
        <v>43</v>
      </c>
      <c r="Y1691" s="2" t="s">
        <v>37</v>
      </c>
      <c r="Z1691" s="2" t="s">
        <v>44</v>
      </c>
      <c r="AA1691" s="2"/>
      <c r="AB1691" s="2"/>
      <c r="AC1691" s="2" t="s">
        <v>13012</v>
      </c>
      <c r="AD1691" s="2" t="s">
        <v>46</v>
      </c>
    </row>
    <row r="1692" customFormat="false" ht="15.7" hidden="false" customHeight="true" outlineLevel="0" collapsed="false">
      <c r="A1692" s="2"/>
      <c r="B1692" s="3" t="n">
        <f aca="false">DATE(2011,9,21)</f>
        <v>0</v>
      </c>
      <c r="C1692" s="3" t="n">
        <v>40807</v>
      </c>
      <c r="D1692" s="2" t="s">
        <v>13013</v>
      </c>
      <c r="F1692" s="2" t="s">
        <v>13014</v>
      </c>
      <c r="G1692" s="2" t="s">
        <v>13015</v>
      </c>
      <c r="H1692" s="2" t="s">
        <v>170</v>
      </c>
      <c r="I1692" s="2" t="s">
        <v>965</v>
      </c>
      <c r="J1692" s="2" t="s">
        <v>132</v>
      </c>
      <c r="K1692" s="2" t="s">
        <v>13016</v>
      </c>
      <c r="L1692" s="2" t="s">
        <v>965</v>
      </c>
      <c r="M1692" s="2" t="s">
        <v>368</v>
      </c>
      <c r="N1692" s="2" t="s">
        <v>13017</v>
      </c>
      <c r="O1692" s="2"/>
      <c r="P1692" s="2" t="s">
        <v>37</v>
      </c>
      <c r="Q1692" s="4" t="n">
        <v>8731</v>
      </c>
      <c r="R1692" s="2" t="s">
        <v>136</v>
      </c>
      <c r="S1692" s="2" t="s">
        <v>39</v>
      </c>
      <c r="T1692" s="2" t="s">
        <v>40</v>
      </c>
      <c r="U1692" s="2" t="s">
        <v>13018</v>
      </c>
      <c r="V1692" s="2"/>
      <c r="W1692" s="2" t="s">
        <v>42</v>
      </c>
      <c r="X1692" s="2" t="s">
        <v>43</v>
      </c>
      <c r="Y1692" s="2" t="s">
        <v>37</v>
      </c>
      <c r="Z1692" s="2" t="s">
        <v>44</v>
      </c>
      <c r="AA1692" s="2"/>
      <c r="AB1692" s="2"/>
      <c r="AC1692" s="2" t="s">
        <v>13019</v>
      </c>
      <c r="AD1692" s="2" t="s">
        <v>46</v>
      </c>
    </row>
    <row r="1693" customFormat="false" ht="15.7" hidden="false" customHeight="true" outlineLevel="0" collapsed="false">
      <c r="A1693" s="2"/>
      <c r="B1693" s="3" t="n">
        <f aca="false">DATE(2011,9,22)</f>
        <v>0</v>
      </c>
      <c r="C1693" s="3" t="n">
        <v>40808</v>
      </c>
      <c r="D1693" s="2" t="s">
        <v>13020</v>
      </c>
      <c r="F1693" s="2" t="s">
        <v>13021</v>
      </c>
      <c r="G1693" s="2" t="s">
        <v>13022</v>
      </c>
      <c r="H1693" s="2" t="s">
        <v>8524</v>
      </c>
      <c r="I1693" s="2" t="s">
        <v>540</v>
      </c>
      <c r="J1693" s="2" t="s">
        <v>35</v>
      </c>
      <c r="K1693" s="2" t="s">
        <v>13023</v>
      </c>
      <c r="L1693" s="2" t="s">
        <v>540</v>
      </c>
      <c r="M1693" s="2" t="s">
        <v>13024</v>
      </c>
      <c r="N1693" s="2" t="s">
        <v>13025</v>
      </c>
      <c r="O1693" s="2"/>
      <c r="P1693" s="2" t="s">
        <v>37</v>
      </c>
      <c r="Q1693" s="4" t="n">
        <v>8731</v>
      </c>
      <c r="R1693" s="2" t="s">
        <v>1448</v>
      </c>
      <c r="S1693" s="2" t="s">
        <v>39</v>
      </c>
      <c r="T1693" s="2" t="s">
        <v>40</v>
      </c>
      <c r="U1693" s="2" t="s">
        <v>13026</v>
      </c>
      <c r="V1693" s="2"/>
      <c r="W1693" s="2" t="s">
        <v>42</v>
      </c>
      <c r="X1693" s="2" t="s">
        <v>43</v>
      </c>
      <c r="Y1693" s="2" t="s">
        <v>37</v>
      </c>
      <c r="Z1693" s="2" t="s">
        <v>44</v>
      </c>
      <c r="AA1693" s="2" t="s">
        <v>13027</v>
      </c>
      <c r="AB1693" s="2"/>
      <c r="AC1693" s="2" t="s">
        <v>13028</v>
      </c>
      <c r="AD1693" s="2" t="s">
        <v>46</v>
      </c>
    </row>
    <row r="1694" customFormat="false" ht="15.7" hidden="false" customHeight="true" outlineLevel="0" collapsed="false">
      <c r="A1694" s="2"/>
      <c r="B1694" s="3" t="n">
        <f aca="false">DATE(2011,9,22)</f>
        <v>0</v>
      </c>
      <c r="C1694" s="3" t="n">
        <v>40808</v>
      </c>
      <c r="D1694" s="2" t="s">
        <v>13029</v>
      </c>
      <c r="F1694" s="2" t="s">
        <v>10115</v>
      </c>
      <c r="G1694" s="2" t="s">
        <v>13030</v>
      </c>
      <c r="H1694" s="2" t="s">
        <v>305</v>
      </c>
      <c r="I1694" s="2" t="s">
        <v>51</v>
      </c>
      <c r="J1694" s="2" t="s">
        <v>2338</v>
      </c>
      <c r="K1694" s="2" t="s">
        <v>13029</v>
      </c>
      <c r="L1694" s="2" t="s">
        <v>51</v>
      </c>
      <c r="M1694" s="2" t="s">
        <v>305</v>
      </c>
      <c r="N1694" s="2" t="s">
        <v>13031</v>
      </c>
      <c r="O1694" s="2"/>
      <c r="P1694" s="2" t="s">
        <v>37</v>
      </c>
      <c r="Q1694" s="4" t="n">
        <v>2834</v>
      </c>
      <c r="R1694" s="2" t="s">
        <v>136</v>
      </c>
      <c r="S1694" s="2" t="s">
        <v>39</v>
      </c>
      <c r="T1694" s="2" t="s">
        <v>40</v>
      </c>
      <c r="U1694" s="2" t="s">
        <v>13032</v>
      </c>
      <c r="V1694" s="2"/>
      <c r="W1694" s="2" t="s">
        <v>206</v>
      </c>
      <c r="X1694" s="2" t="s">
        <v>43</v>
      </c>
      <c r="Y1694" s="2" t="s">
        <v>37</v>
      </c>
      <c r="Z1694" s="2" t="s">
        <v>44</v>
      </c>
      <c r="AA1694" s="2"/>
      <c r="AB1694" s="2"/>
      <c r="AC1694" s="2" t="s">
        <v>13033</v>
      </c>
      <c r="AD1694" s="2" t="s">
        <v>46</v>
      </c>
    </row>
    <row r="1695" customFormat="false" ht="15.7" hidden="false" customHeight="true" outlineLevel="0" collapsed="false">
      <c r="A1695" s="2"/>
      <c r="B1695" s="3" t="n">
        <f aca="false">DATE(2011,9,23)</f>
        <v>0</v>
      </c>
      <c r="C1695" s="3" t="n">
        <v>40809</v>
      </c>
      <c r="D1695" s="2" t="s">
        <v>13034</v>
      </c>
      <c r="F1695" s="2" t="s">
        <v>13035</v>
      </c>
      <c r="G1695" s="2" t="s">
        <v>13036</v>
      </c>
      <c r="H1695" s="2" t="s">
        <v>13037</v>
      </c>
      <c r="I1695" s="2" t="s">
        <v>51</v>
      </c>
      <c r="J1695" s="2" t="s">
        <v>1926</v>
      </c>
      <c r="K1695" s="2" t="s">
        <v>13034</v>
      </c>
      <c r="L1695" s="2" t="s">
        <v>51</v>
      </c>
      <c r="M1695" s="2" t="s">
        <v>13037</v>
      </c>
      <c r="N1695" s="2" t="s">
        <v>13038</v>
      </c>
      <c r="O1695" s="2"/>
      <c r="P1695" s="2" t="s">
        <v>37</v>
      </c>
      <c r="Q1695" s="4" t="n">
        <v>2891</v>
      </c>
      <c r="R1695" s="2" t="s">
        <v>56</v>
      </c>
      <c r="S1695" s="2" t="s">
        <v>2265</v>
      </c>
      <c r="T1695" s="2" t="s">
        <v>40</v>
      </c>
      <c r="U1695" s="2" t="s">
        <v>13039</v>
      </c>
      <c r="V1695" s="2"/>
      <c r="W1695" s="2" t="s">
        <v>107</v>
      </c>
      <c r="X1695" s="2" t="s">
        <v>43</v>
      </c>
      <c r="Y1695" s="2" t="s">
        <v>37</v>
      </c>
      <c r="Z1695" s="2" t="s">
        <v>44</v>
      </c>
      <c r="AA1695" s="2"/>
      <c r="AB1695" s="2"/>
      <c r="AC1695" s="2" t="s">
        <v>13040</v>
      </c>
      <c r="AD1695" s="2" t="s">
        <v>46</v>
      </c>
    </row>
    <row r="1696" customFormat="false" ht="15.7" hidden="false" customHeight="true" outlineLevel="0" collapsed="false">
      <c r="A1696" s="2"/>
      <c r="B1696" s="3" t="n">
        <f aca="false">DATE(2011,9,26)</f>
        <v>0</v>
      </c>
      <c r="C1696" s="3" t="n">
        <v>40812</v>
      </c>
      <c r="D1696" s="2" t="s">
        <v>13041</v>
      </c>
      <c r="F1696" s="2" t="s">
        <v>13042</v>
      </c>
      <c r="G1696" s="2" t="s">
        <v>13043</v>
      </c>
      <c r="H1696" s="2" t="s">
        <v>13044</v>
      </c>
      <c r="I1696" s="2" t="s">
        <v>2727</v>
      </c>
      <c r="J1696" s="2" t="s">
        <v>35</v>
      </c>
      <c r="K1696" s="2" t="s">
        <v>13045</v>
      </c>
      <c r="L1696" s="2" t="s">
        <v>670</v>
      </c>
      <c r="M1696" s="2" t="s">
        <v>13046</v>
      </c>
      <c r="N1696" s="2" t="s">
        <v>13047</v>
      </c>
      <c r="O1696" s="2"/>
      <c r="P1696" s="2" t="s">
        <v>37</v>
      </c>
      <c r="Q1696" s="4" t="n">
        <v>8731</v>
      </c>
      <c r="R1696" s="2" t="s">
        <v>402</v>
      </c>
      <c r="S1696" s="2" t="s">
        <v>39</v>
      </c>
      <c r="T1696" s="2" t="s">
        <v>403</v>
      </c>
      <c r="U1696" s="2" t="s">
        <v>13048</v>
      </c>
      <c r="V1696" s="2"/>
      <c r="W1696" s="2" t="s">
        <v>138</v>
      </c>
      <c r="X1696" s="2" t="s">
        <v>43</v>
      </c>
      <c r="Y1696" s="2" t="s">
        <v>37</v>
      </c>
      <c r="Z1696" s="2" t="s">
        <v>44</v>
      </c>
      <c r="AA1696" s="2"/>
      <c r="AB1696" s="2"/>
      <c r="AC1696" s="2" t="s">
        <v>13049</v>
      </c>
      <c r="AD1696" s="2" t="s">
        <v>46</v>
      </c>
    </row>
    <row r="1697" customFormat="false" ht="15.7" hidden="false" customHeight="true" outlineLevel="0" collapsed="false">
      <c r="A1697" s="2"/>
      <c r="B1697" s="3" t="n">
        <f aca="false">DATE(2011,9,26)</f>
        <v>0</v>
      </c>
      <c r="C1697" s="3" t="n">
        <v>40812</v>
      </c>
      <c r="D1697" s="2" t="s">
        <v>13050</v>
      </c>
      <c r="F1697" s="2" t="s">
        <v>13051</v>
      </c>
      <c r="G1697" s="2" t="s">
        <v>13052</v>
      </c>
      <c r="H1697" s="2" t="s">
        <v>13053</v>
      </c>
      <c r="I1697" s="2" t="s">
        <v>7327</v>
      </c>
      <c r="J1697" s="2" t="s">
        <v>575</v>
      </c>
      <c r="K1697" s="2" t="s">
        <v>13050</v>
      </c>
      <c r="L1697" s="2" t="s">
        <v>7327</v>
      </c>
      <c r="M1697" s="2" t="s">
        <v>13053</v>
      </c>
      <c r="N1697" s="2" t="s">
        <v>13054</v>
      </c>
      <c r="O1697" s="2"/>
      <c r="P1697" s="2" t="s">
        <v>37</v>
      </c>
      <c r="Q1697" s="4" t="n">
        <v>2836</v>
      </c>
      <c r="R1697" s="2" t="s">
        <v>56</v>
      </c>
      <c r="S1697" s="2" t="s">
        <v>2265</v>
      </c>
      <c r="T1697" s="2" t="s">
        <v>403</v>
      </c>
      <c r="U1697" s="2" t="s">
        <v>13055</v>
      </c>
      <c r="V1697" s="2"/>
      <c r="W1697" s="2" t="s">
        <v>42</v>
      </c>
      <c r="X1697" s="2" t="s">
        <v>46</v>
      </c>
      <c r="Y1697" s="2" t="s">
        <v>37</v>
      </c>
      <c r="Z1697" s="2" t="s">
        <v>2565</v>
      </c>
      <c r="AA1697" s="2" t="s">
        <v>13056</v>
      </c>
      <c r="AB1697" s="2"/>
      <c r="AC1697" s="2" t="s">
        <v>13057</v>
      </c>
      <c r="AD1697" s="2" t="s">
        <v>46</v>
      </c>
    </row>
    <row r="1698" customFormat="false" ht="15.7" hidden="false" customHeight="true" outlineLevel="0" collapsed="false">
      <c r="A1698" s="2"/>
      <c r="B1698" s="3" t="n">
        <f aca="false">DATE(2011,9,26)</f>
        <v>0</v>
      </c>
      <c r="C1698" s="3" t="n">
        <v>40812</v>
      </c>
      <c r="D1698" s="2" t="s">
        <v>13058</v>
      </c>
      <c r="F1698" s="2" t="s">
        <v>12711</v>
      </c>
      <c r="G1698" s="2" t="s">
        <v>13059</v>
      </c>
      <c r="H1698" s="2" t="s">
        <v>130</v>
      </c>
      <c r="I1698" s="2" t="s">
        <v>13060</v>
      </c>
      <c r="J1698" s="2" t="s">
        <v>35</v>
      </c>
      <c r="K1698" s="2" t="s">
        <v>13061</v>
      </c>
      <c r="L1698" s="2" t="s">
        <v>13060</v>
      </c>
      <c r="M1698" s="2" t="s">
        <v>13062</v>
      </c>
      <c r="N1698" s="2" t="s">
        <v>13063</v>
      </c>
      <c r="O1698" s="2"/>
      <c r="P1698" s="2" t="s">
        <v>37</v>
      </c>
      <c r="Q1698" s="4" t="n">
        <v>2836</v>
      </c>
      <c r="R1698" s="2" t="s">
        <v>8685</v>
      </c>
      <c r="S1698" s="2" t="s">
        <v>39</v>
      </c>
      <c r="T1698" s="2" t="s">
        <v>403</v>
      </c>
      <c r="U1698" s="2" t="s">
        <v>13064</v>
      </c>
      <c r="V1698" s="2"/>
      <c r="W1698" s="2" t="s">
        <v>42</v>
      </c>
      <c r="X1698" s="2" t="s">
        <v>46</v>
      </c>
      <c r="Y1698" s="2" t="s">
        <v>37</v>
      </c>
      <c r="Z1698" s="2" t="s">
        <v>362</v>
      </c>
      <c r="AA1698" s="2" t="s">
        <v>13065</v>
      </c>
      <c r="AB1698" s="2"/>
      <c r="AC1698" s="2" t="s">
        <v>13066</v>
      </c>
      <c r="AD1698" s="2" t="s">
        <v>46</v>
      </c>
    </row>
    <row r="1699" customFormat="false" ht="15.7" hidden="false" customHeight="true" outlineLevel="0" collapsed="false">
      <c r="A1699" s="2"/>
      <c r="B1699" s="3" t="n">
        <f aca="false">DATE(2011,9,27)</f>
        <v>0</v>
      </c>
      <c r="C1699" s="3" t="n">
        <v>40813</v>
      </c>
      <c r="D1699" s="2" t="s">
        <v>13067</v>
      </c>
      <c r="F1699" s="2" t="s">
        <v>13068</v>
      </c>
      <c r="G1699" s="2" t="s">
        <v>13069</v>
      </c>
      <c r="H1699" s="2" t="s">
        <v>13070</v>
      </c>
      <c r="I1699" s="2" t="s">
        <v>13071</v>
      </c>
      <c r="J1699" s="2" t="s">
        <v>13072</v>
      </c>
      <c r="K1699" s="2" t="s">
        <v>13067</v>
      </c>
      <c r="L1699" s="2" t="s">
        <v>13071</v>
      </c>
      <c r="M1699" s="2" t="s">
        <v>13070</v>
      </c>
      <c r="N1699" s="2" t="s">
        <v>13073</v>
      </c>
      <c r="O1699" s="2"/>
      <c r="P1699" s="2" t="s">
        <v>37</v>
      </c>
      <c r="Q1699" s="4" t="n">
        <v>4911</v>
      </c>
      <c r="R1699" s="2" t="s">
        <v>38</v>
      </c>
      <c r="S1699" s="2" t="s">
        <v>39</v>
      </c>
      <c r="T1699" s="2" t="s">
        <v>403</v>
      </c>
      <c r="U1699" s="2" t="s">
        <v>13074</v>
      </c>
      <c r="V1699" s="2"/>
      <c r="W1699" s="2" t="s">
        <v>42</v>
      </c>
      <c r="X1699" s="2" t="s">
        <v>43</v>
      </c>
      <c r="Y1699" s="2" t="s">
        <v>37</v>
      </c>
      <c r="Z1699" s="2" t="s">
        <v>916</v>
      </c>
      <c r="AA1699" s="2"/>
      <c r="AB1699" s="2"/>
      <c r="AC1699" s="2" t="s">
        <v>13075</v>
      </c>
      <c r="AD1699" s="2" t="s">
        <v>46</v>
      </c>
    </row>
    <row r="1700" customFormat="false" ht="15.7" hidden="false" customHeight="true" outlineLevel="0" collapsed="false">
      <c r="A1700" s="2"/>
      <c r="B1700" s="3" t="n">
        <f aca="false">DATE(2011,9,29)</f>
        <v>0</v>
      </c>
      <c r="C1700" s="3" t="n">
        <v>40815</v>
      </c>
      <c r="D1700" s="2" t="s">
        <v>13076</v>
      </c>
      <c r="F1700" s="2" t="s">
        <v>13077</v>
      </c>
      <c r="G1700" s="2" t="s">
        <v>13078</v>
      </c>
      <c r="H1700" s="2" t="s">
        <v>130</v>
      </c>
      <c r="I1700" s="2" t="s">
        <v>3188</v>
      </c>
      <c r="J1700" s="2" t="s">
        <v>35</v>
      </c>
      <c r="K1700" s="2" t="s">
        <v>13079</v>
      </c>
      <c r="L1700" s="2" t="s">
        <v>3188</v>
      </c>
      <c r="M1700" s="2" t="s">
        <v>13080</v>
      </c>
      <c r="N1700" s="2" t="s">
        <v>13081</v>
      </c>
      <c r="O1700" s="2"/>
      <c r="P1700" s="2" t="s">
        <v>37</v>
      </c>
      <c r="Q1700" s="4" t="n">
        <v>2834</v>
      </c>
      <c r="R1700" s="2" t="s">
        <v>70</v>
      </c>
      <c r="S1700" s="2" t="s">
        <v>39</v>
      </c>
      <c r="T1700" s="2" t="s">
        <v>403</v>
      </c>
      <c r="U1700" s="2" t="s">
        <v>13082</v>
      </c>
      <c r="V1700" s="2"/>
      <c r="W1700" s="2" t="s">
        <v>13083</v>
      </c>
      <c r="X1700" s="2" t="s">
        <v>46</v>
      </c>
      <c r="Y1700" s="2" t="s">
        <v>37</v>
      </c>
      <c r="Z1700" s="2" t="s">
        <v>362</v>
      </c>
      <c r="AA1700" s="2"/>
      <c r="AB1700" s="2"/>
      <c r="AC1700" s="2" t="s">
        <v>13084</v>
      </c>
      <c r="AD1700" s="2" t="s">
        <v>46</v>
      </c>
    </row>
    <row r="1701" customFormat="false" ht="15.7" hidden="false" customHeight="true" outlineLevel="0" collapsed="false">
      <c r="A1701" s="2"/>
      <c r="B1701" s="3" t="n">
        <f aca="false">DATE(2011,10,5)</f>
        <v>0</v>
      </c>
      <c r="C1701" s="3" t="n">
        <v>40821</v>
      </c>
      <c r="D1701" s="2" t="s">
        <v>9464</v>
      </c>
      <c r="F1701" s="2" t="s">
        <v>9465</v>
      </c>
      <c r="G1701" s="2" t="s">
        <v>9466</v>
      </c>
      <c r="H1701" s="2" t="s">
        <v>762</v>
      </c>
      <c r="I1701" s="2" t="s">
        <v>51</v>
      </c>
      <c r="J1701" s="2" t="s">
        <v>4804</v>
      </c>
      <c r="K1701" s="2" t="s">
        <v>9467</v>
      </c>
      <c r="L1701" s="2" t="s">
        <v>899</v>
      </c>
      <c r="M1701" s="2" t="s">
        <v>762</v>
      </c>
      <c r="N1701" s="2" t="s">
        <v>13085</v>
      </c>
      <c r="O1701" s="2"/>
      <c r="P1701" s="2" t="s">
        <v>37</v>
      </c>
      <c r="Q1701" s="4" t="n">
        <v>8731</v>
      </c>
      <c r="R1701" s="2" t="s">
        <v>56</v>
      </c>
      <c r="S1701" s="2" t="s">
        <v>2265</v>
      </c>
      <c r="T1701" s="2" t="s">
        <v>40</v>
      </c>
      <c r="U1701" s="2" t="s">
        <v>13086</v>
      </c>
      <c r="V1701" s="2"/>
      <c r="W1701" s="2" t="s">
        <v>42</v>
      </c>
      <c r="X1701" s="2" t="s">
        <v>43</v>
      </c>
      <c r="Y1701" s="2" t="s">
        <v>37</v>
      </c>
      <c r="Z1701" s="2" t="s">
        <v>44</v>
      </c>
      <c r="AA1701" s="2"/>
      <c r="AB1701" s="2"/>
      <c r="AC1701" s="2" t="s">
        <v>9470</v>
      </c>
      <c r="AD1701" s="2" t="s">
        <v>46</v>
      </c>
    </row>
    <row r="1702" customFormat="false" ht="15.7" hidden="false" customHeight="true" outlineLevel="0" collapsed="false">
      <c r="A1702" s="2"/>
      <c r="B1702" s="3" t="n">
        <f aca="false">DATE(2011,10,6)</f>
        <v>0</v>
      </c>
      <c r="C1702" s="3" t="n">
        <v>40822</v>
      </c>
      <c r="D1702" s="2" t="s">
        <v>13087</v>
      </c>
      <c r="F1702" s="2" t="s">
        <v>13088</v>
      </c>
      <c r="G1702" s="2" t="s">
        <v>13089</v>
      </c>
      <c r="H1702" s="2" t="s">
        <v>5716</v>
      </c>
      <c r="I1702" s="2" t="s">
        <v>965</v>
      </c>
      <c r="J1702" s="2" t="s">
        <v>795</v>
      </c>
      <c r="K1702" s="2" t="s">
        <v>13087</v>
      </c>
      <c r="L1702" s="2" t="s">
        <v>965</v>
      </c>
      <c r="M1702" s="2" t="s">
        <v>5716</v>
      </c>
      <c r="N1702" s="2" t="s">
        <v>13090</v>
      </c>
      <c r="O1702" s="2"/>
      <c r="P1702" s="2" t="s">
        <v>37</v>
      </c>
      <c r="Q1702" s="4" t="n">
        <v>7371</v>
      </c>
      <c r="R1702" s="2" t="s">
        <v>688</v>
      </c>
      <c r="S1702" s="2" t="s">
        <v>39</v>
      </c>
      <c r="T1702" s="2" t="s">
        <v>403</v>
      </c>
      <c r="U1702" s="2" t="s">
        <v>13091</v>
      </c>
      <c r="V1702" s="2"/>
      <c r="W1702" s="2" t="s">
        <v>82</v>
      </c>
      <c r="X1702" s="2" t="s">
        <v>43</v>
      </c>
      <c r="Y1702" s="2" t="s">
        <v>37</v>
      </c>
      <c r="Z1702" s="2" t="s">
        <v>44</v>
      </c>
      <c r="AA1702" s="2"/>
      <c r="AB1702" s="2"/>
      <c r="AC1702" s="2" t="s">
        <v>13092</v>
      </c>
      <c r="AD1702" s="2" t="s">
        <v>46</v>
      </c>
    </row>
    <row r="1703" customFormat="false" ht="15.7" hidden="false" customHeight="true" outlineLevel="0" collapsed="false">
      <c r="A1703" s="2"/>
      <c r="B1703" s="3" t="n">
        <f aca="false">DATE(2011,10,6)</f>
        <v>0</v>
      </c>
      <c r="C1703" s="3" t="n">
        <v>40822</v>
      </c>
      <c r="D1703" s="2" t="s">
        <v>13093</v>
      </c>
      <c r="F1703" s="2" t="s">
        <v>13094</v>
      </c>
      <c r="G1703" s="2" t="s">
        <v>13095</v>
      </c>
      <c r="H1703" s="2" t="s">
        <v>7543</v>
      </c>
      <c r="I1703" s="2" t="s">
        <v>13096</v>
      </c>
      <c r="J1703" s="2" t="s">
        <v>35</v>
      </c>
      <c r="K1703" s="2" t="s">
        <v>13097</v>
      </c>
      <c r="L1703" s="2" t="s">
        <v>13096</v>
      </c>
      <c r="M1703" s="2" t="s">
        <v>9267</v>
      </c>
      <c r="N1703" s="2" t="s">
        <v>13098</v>
      </c>
      <c r="O1703" s="2"/>
      <c r="P1703" s="2" t="s">
        <v>37</v>
      </c>
      <c r="Q1703" s="4" t="n">
        <v>3714</v>
      </c>
      <c r="R1703" s="2" t="s">
        <v>1448</v>
      </c>
      <c r="S1703" s="2" t="s">
        <v>39</v>
      </c>
      <c r="T1703" s="2" t="s">
        <v>40</v>
      </c>
      <c r="U1703" s="2" t="s">
        <v>13099</v>
      </c>
      <c r="V1703" s="2"/>
      <c r="W1703" s="2" t="s">
        <v>13100</v>
      </c>
      <c r="X1703" s="2" t="s">
        <v>43</v>
      </c>
      <c r="Y1703" s="2" t="s">
        <v>37</v>
      </c>
      <c r="Z1703" s="2" t="s">
        <v>44</v>
      </c>
      <c r="AA1703" s="2"/>
      <c r="AB1703" s="2"/>
      <c r="AC1703" s="2" t="s">
        <v>13101</v>
      </c>
      <c r="AD1703" s="2" t="s">
        <v>46</v>
      </c>
    </row>
    <row r="1704" customFormat="false" ht="15.7" hidden="false" customHeight="true" outlineLevel="0" collapsed="false">
      <c r="A1704" s="2"/>
      <c r="B1704" s="3" t="n">
        <f aca="false">DATE(2011,10,7)</f>
        <v>0</v>
      </c>
      <c r="C1704" s="3" t="n">
        <v>40823</v>
      </c>
      <c r="D1704" s="2" t="s">
        <v>13102</v>
      </c>
      <c r="F1704" s="2" t="s">
        <v>13103</v>
      </c>
      <c r="G1704" s="2" t="s">
        <v>13104</v>
      </c>
      <c r="H1704" s="2" t="s">
        <v>1704</v>
      </c>
      <c r="I1704" s="2" t="s">
        <v>1431</v>
      </c>
      <c r="J1704" s="2" t="s">
        <v>1705</v>
      </c>
      <c r="K1704" s="2" t="s">
        <v>13102</v>
      </c>
      <c r="L1704" s="2" t="s">
        <v>1431</v>
      </c>
      <c r="M1704" s="2" t="s">
        <v>1704</v>
      </c>
      <c r="N1704" s="2" t="s">
        <v>13105</v>
      </c>
      <c r="O1704" s="2"/>
      <c r="P1704" s="2" t="s">
        <v>37</v>
      </c>
      <c r="Q1704" s="4" t="n">
        <v>3812</v>
      </c>
      <c r="R1704" s="2" t="s">
        <v>136</v>
      </c>
      <c r="S1704" s="2" t="s">
        <v>39</v>
      </c>
      <c r="T1704" s="2" t="s">
        <v>40</v>
      </c>
      <c r="U1704" s="2" t="s">
        <v>13106</v>
      </c>
      <c r="V1704" s="2"/>
      <c r="W1704" s="2" t="s">
        <v>138</v>
      </c>
      <c r="X1704" s="2" t="s">
        <v>43</v>
      </c>
      <c r="Y1704" s="2" t="s">
        <v>37</v>
      </c>
      <c r="Z1704" s="2" t="s">
        <v>44</v>
      </c>
      <c r="AA1704" s="2"/>
      <c r="AB1704" s="2"/>
      <c r="AC1704" s="2" t="s">
        <v>13107</v>
      </c>
      <c r="AD1704" s="2" t="s">
        <v>46</v>
      </c>
    </row>
    <row r="1705" customFormat="false" ht="15.7" hidden="false" customHeight="true" outlineLevel="0" collapsed="false">
      <c r="A1705" s="2"/>
      <c r="B1705" s="3" t="n">
        <f aca="false">DATE(2011,10,10)</f>
        <v>0</v>
      </c>
      <c r="C1705" s="3" t="n">
        <v>40826</v>
      </c>
      <c r="D1705" s="2" t="s">
        <v>13108</v>
      </c>
      <c r="F1705" s="2" t="s">
        <v>13109</v>
      </c>
      <c r="G1705" s="2" t="s">
        <v>13110</v>
      </c>
      <c r="H1705" s="2" t="s">
        <v>13111</v>
      </c>
      <c r="I1705" s="2" t="s">
        <v>5102</v>
      </c>
      <c r="J1705" s="2" t="s">
        <v>35</v>
      </c>
      <c r="K1705" s="2" t="s">
        <v>13108</v>
      </c>
      <c r="L1705" s="2" t="s">
        <v>5102</v>
      </c>
      <c r="M1705" s="2" t="s">
        <v>13111</v>
      </c>
      <c r="N1705" s="2" t="s">
        <v>13112</v>
      </c>
      <c r="O1705" s="2"/>
      <c r="P1705" s="2" t="s">
        <v>37</v>
      </c>
      <c r="Q1705" s="4" t="n">
        <v>3841</v>
      </c>
      <c r="R1705" s="2" t="s">
        <v>70</v>
      </c>
      <c r="S1705" s="2" t="s">
        <v>39</v>
      </c>
      <c r="T1705" s="2" t="s">
        <v>403</v>
      </c>
      <c r="U1705" s="2" t="s">
        <v>13113</v>
      </c>
      <c r="V1705" s="2"/>
      <c r="W1705" s="2" t="s">
        <v>4487</v>
      </c>
      <c r="X1705" s="2" t="s">
        <v>46</v>
      </c>
      <c r="Y1705" s="2" t="s">
        <v>37</v>
      </c>
      <c r="Z1705" s="2" t="s">
        <v>13114</v>
      </c>
      <c r="AA1705" s="2"/>
      <c r="AB1705" s="2"/>
      <c r="AC1705" s="2" t="s">
        <v>13115</v>
      </c>
      <c r="AD1705" s="2" t="s">
        <v>46</v>
      </c>
    </row>
    <row r="1706" customFormat="false" ht="15.7" hidden="false" customHeight="true" outlineLevel="0" collapsed="false">
      <c r="A1706" s="2"/>
      <c r="B1706" s="3" t="n">
        <f aca="false">DATE(2011,10,11)</f>
        <v>0</v>
      </c>
      <c r="C1706" s="3" t="n">
        <v>40827</v>
      </c>
      <c r="D1706" s="2" t="s">
        <v>13116</v>
      </c>
      <c r="F1706" s="2" t="s">
        <v>13117</v>
      </c>
      <c r="G1706" s="2" t="s">
        <v>13118</v>
      </c>
      <c r="H1706" s="2" t="s">
        <v>6388</v>
      </c>
      <c r="I1706" s="2" t="s">
        <v>13119</v>
      </c>
      <c r="J1706" s="2" t="s">
        <v>13120</v>
      </c>
      <c r="K1706" s="2" t="s">
        <v>13121</v>
      </c>
      <c r="L1706" s="2" t="s">
        <v>13122</v>
      </c>
      <c r="M1706" s="2" t="s">
        <v>6388</v>
      </c>
      <c r="N1706" s="2" t="s">
        <v>13123</v>
      </c>
      <c r="O1706" s="2"/>
      <c r="P1706" s="2" t="s">
        <v>37</v>
      </c>
      <c r="Q1706" s="4" t="n">
        <v>2834</v>
      </c>
      <c r="R1706" s="2" t="s">
        <v>402</v>
      </c>
      <c r="S1706" s="2" t="s">
        <v>39</v>
      </c>
      <c r="T1706" s="2" t="s">
        <v>40</v>
      </c>
      <c r="U1706" s="2" t="s">
        <v>13124</v>
      </c>
      <c r="V1706" s="2"/>
      <c r="W1706" s="2" t="s">
        <v>42</v>
      </c>
      <c r="X1706" s="2" t="s">
        <v>46</v>
      </c>
      <c r="Y1706" s="2" t="s">
        <v>37</v>
      </c>
      <c r="Z1706" s="2" t="s">
        <v>12067</v>
      </c>
      <c r="AA1706" s="2"/>
      <c r="AB1706" s="2"/>
      <c r="AC1706" s="2" t="s">
        <v>13125</v>
      </c>
      <c r="AD1706" s="2" t="s">
        <v>46</v>
      </c>
    </row>
    <row r="1707" customFormat="false" ht="15.7" hidden="false" customHeight="true" outlineLevel="0" collapsed="false">
      <c r="A1707" s="2"/>
      <c r="B1707" s="3" t="n">
        <f aca="false">DATE(2011,10,11)</f>
        <v>0</v>
      </c>
      <c r="C1707" s="3" t="n">
        <v>40827</v>
      </c>
      <c r="D1707" s="2" t="s">
        <v>13126</v>
      </c>
      <c r="F1707" s="2" t="s">
        <v>13127</v>
      </c>
      <c r="G1707" s="2" t="s">
        <v>13128</v>
      </c>
      <c r="H1707" s="2" t="s">
        <v>2857</v>
      </c>
      <c r="I1707" s="2" t="s">
        <v>3312</v>
      </c>
      <c r="J1707" s="2" t="s">
        <v>966</v>
      </c>
      <c r="K1707" s="2" t="s">
        <v>13126</v>
      </c>
      <c r="L1707" s="2" t="s">
        <v>3312</v>
      </c>
      <c r="M1707" s="2" t="s">
        <v>2857</v>
      </c>
      <c r="N1707" s="2" t="s">
        <v>13129</v>
      </c>
      <c r="O1707" s="2"/>
      <c r="P1707" s="2" t="s">
        <v>37</v>
      </c>
      <c r="Q1707" s="4" t="n">
        <v>8731</v>
      </c>
      <c r="R1707" s="2" t="s">
        <v>1195</v>
      </c>
      <c r="S1707" s="2" t="s">
        <v>39</v>
      </c>
      <c r="T1707" s="2" t="s">
        <v>403</v>
      </c>
      <c r="U1707" s="2" t="s">
        <v>13130</v>
      </c>
      <c r="V1707" s="2"/>
      <c r="W1707" s="2" t="s">
        <v>42</v>
      </c>
      <c r="X1707" s="2" t="s">
        <v>46</v>
      </c>
      <c r="Y1707" s="2" t="s">
        <v>37</v>
      </c>
      <c r="Z1707" s="2" t="s">
        <v>362</v>
      </c>
      <c r="AA1707" s="2"/>
      <c r="AB1707" s="2"/>
      <c r="AC1707" s="2" t="s">
        <v>13131</v>
      </c>
      <c r="AD1707" s="2" t="s">
        <v>46</v>
      </c>
    </row>
    <row r="1708" customFormat="false" ht="15.7" hidden="false" customHeight="true" outlineLevel="0" collapsed="false">
      <c r="A1708" s="2"/>
      <c r="B1708" s="3" t="n">
        <f aca="false">DATE(2011,10,13)</f>
        <v>0</v>
      </c>
      <c r="C1708" s="3" t="n">
        <v>40829</v>
      </c>
      <c r="D1708" s="2" t="s">
        <v>13132</v>
      </c>
      <c r="F1708" s="2" t="s">
        <v>13133</v>
      </c>
      <c r="G1708" s="2" t="s">
        <v>13134</v>
      </c>
      <c r="H1708" s="2" t="s">
        <v>13135</v>
      </c>
      <c r="I1708" s="2" t="s">
        <v>388</v>
      </c>
      <c r="J1708" s="2" t="s">
        <v>220</v>
      </c>
      <c r="K1708" s="2" t="s">
        <v>13136</v>
      </c>
      <c r="L1708" s="2" t="s">
        <v>388</v>
      </c>
      <c r="M1708" s="2" t="s">
        <v>13135</v>
      </c>
      <c r="N1708" s="2" t="s">
        <v>13137</v>
      </c>
      <c r="O1708" s="2"/>
      <c r="P1708" s="2" t="s">
        <v>37</v>
      </c>
      <c r="Q1708" s="4" t="n">
        <v>3724</v>
      </c>
      <c r="R1708" s="2" t="s">
        <v>56</v>
      </c>
      <c r="S1708" s="2" t="s">
        <v>2265</v>
      </c>
      <c r="T1708" s="2" t="s">
        <v>122</v>
      </c>
      <c r="U1708" s="2" t="s">
        <v>13138</v>
      </c>
      <c r="V1708" s="2"/>
      <c r="W1708" s="2" t="s">
        <v>42</v>
      </c>
      <c r="X1708" s="2" t="s">
        <v>46</v>
      </c>
      <c r="Y1708" s="2" t="s">
        <v>37</v>
      </c>
      <c r="Z1708" s="2" t="s">
        <v>362</v>
      </c>
      <c r="AA1708" s="2"/>
      <c r="AB1708" s="2"/>
      <c r="AC1708" s="2" t="s">
        <v>13139</v>
      </c>
      <c r="AD1708" s="2" t="s">
        <v>46</v>
      </c>
    </row>
    <row r="1709" customFormat="false" ht="15.7" hidden="false" customHeight="true" outlineLevel="0" collapsed="false">
      <c r="A1709" s="2"/>
      <c r="B1709" s="3" t="n">
        <f aca="false">DATE(2011,10,14)</f>
        <v>0</v>
      </c>
      <c r="C1709" s="3" t="n">
        <v>40830</v>
      </c>
      <c r="D1709" s="2" t="s">
        <v>13140</v>
      </c>
      <c r="F1709" s="2" t="s">
        <v>13141</v>
      </c>
      <c r="G1709" s="2" t="s">
        <v>13142</v>
      </c>
      <c r="H1709" s="2" t="s">
        <v>13143</v>
      </c>
      <c r="I1709" s="2" t="s">
        <v>51</v>
      </c>
      <c r="J1709" s="2" t="s">
        <v>13144</v>
      </c>
      <c r="K1709" s="2" t="s">
        <v>13140</v>
      </c>
      <c r="L1709" s="2" t="s">
        <v>51</v>
      </c>
      <c r="M1709" s="2" t="s">
        <v>13143</v>
      </c>
      <c r="N1709" s="2" t="s">
        <v>13145</v>
      </c>
      <c r="O1709" s="2"/>
      <c r="P1709" s="2" t="s">
        <v>37</v>
      </c>
      <c r="Q1709" s="4" t="n">
        <v>3699</v>
      </c>
      <c r="R1709" s="2" t="s">
        <v>56</v>
      </c>
      <c r="S1709" s="2" t="s">
        <v>2265</v>
      </c>
      <c r="T1709" s="2" t="s">
        <v>40</v>
      </c>
      <c r="U1709" s="2" t="s">
        <v>13146</v>
      </c>
      <c r="V1709" s="2"/>
      <c r="W1709" s="2" t="s">
        <v>42</v>
      </c>
      <c r="X1709" s="2" t="s">
        <v>43</v>
      </c>
      <c r="Y1709" s="2" t="s">
        <v>37</v>
      </c>
      <c r="Z1709" s="2" t="s">
        <v>44</v>
      </c>
      <c r="AA1709" s="2"/>
      <c r="AB1709" s="2"/>
      <c r="AC1709" s="2" t="s">
        <v>13147</v>
      </c>
      <c r="AD1709" s="2" t="s">
        <v>46</v>
      </c>
    </row>
    <row r="1710" customFormat="false" ht="15.7" hidden="false" customHeight="true" outlineLevel="0" collapsed="false">
      <c r="A1710" s="2"/>
      <c r="B1710" s="3" t="n">
        <f aca="false">DATE(2011,10,15)</f>
        <v>0</v>
      </c>
      <c r="C1710" s="3" t="n">
        <v>40831</v>
      </c>
      <c r="D1710" s="2" t="s">
        <v>13148</v>
      </c>
      <c r="F1710" s="2" t="s">
        <v>13149</v>
      </c>
      <c r="G1710" s="2" t="s">
        <v>13150</v>
      </c>
      <c r="H1710" s="2" t="s">
        <v>170</v>
      </c>
      <c r="I1710" s="2" t="s">
        <v>13151</v>
      </c>
      <c r="J1710" s="2" t="s">
        <v>35</v>
      </c>
      <c r="K1710" s="2" t="s">
        <v>13148</v>
      </c>
      <c r="L1710" s="2" t="s">
        <v>13151</v>
      </c>
      <c r="M1710" s="2" t="s">
        <v>170</v>
      </c>
      <c r="N1710" s="2" t="s">
        <v>13152</v>
      </c>
      <c r="O1710" s="2"/>
      <c r="P1710" s="2" t="s">
        <v>37</v>
      </c>
      <c r="Q1710" s="4" t="n">
        <v>8731</v>
      </c>
      <c r="R1710" s="2" t="s">
        <v>136</v>
      </c>
      <c r="S1710" s="2" t="s">
        <v>39</v>
      </c>
      <c r="T1710" s="2" t="s">
        <v>40</v>
      </c>
      <c r="U1710" s="2" t="s">
        <v>13153</v>
      </c>
      <c r="V1710" s="2"/>
      <c r="W1710" s="2" t="s">
        <v>42</v>
      </c>
      <c r="X1710" s="2" t="s">
        <v>43</v>
      </c>
      <c r="Y1710" s="2" t="s">
        <v>37</v>
      </c>
      <c r="Z1710" s="2" t="s">
        <v>44</v>
      </c>
      <c r="AA1710" s="2"/>
      <c r="AB1710" s="2"/>
      <c r="AC1710" s="2" t="s">
        <v>13154</v>
      </c>
      <c r="AD1710" s="2" t="s">
        <v>46</v>
      </c>
    </row>
    <row r="1711" customFormat="false" ht="15.7" hidden="false" customHeight="true" outlineLevel="0" collapsed="false">
      <c r="A1711" s="2"/>
      <c r="B1711" s="3" t="n">
        <f aca="false">DATE(2011,10,17)</f>
        <v>0</v>
      </c>
      <c r="C1711" s="3" t="n">
        <v>40833</v>
      </c>
      <c r="D1711" s="2" t="s">
        <v>13155</v>
      </c>
      <c r="F1711" s="2" t="s">
        <v>13156</v>
      </c>
      <c r="G1711" s="2" t="s">
        <v>13157</v>
      </c>
      <c r="H1711" s="2" t="s">
        <v>368</v>
      </c>
      <c r="I1711" s="2" t="s">
        <v>51</v>
      </c>
      <c r="J1711" s="2" t="s">
        <v>1319</v>
      </c>
      <c r="K1711" s="2" t="s">
        <v>13158</v>
      </c>
      <c r="L1711" s="2" t="s">
        <v>664</v>
      </c>
      <c r="M1711" s="2" t="s">
        <v>368</v>
      </c>
      <c r="N1711" s="2" t="s">
        <v>13159</v>
      </c>
      <c r="O1711" s="2"/>
      <c r="P1711" s="2" t="s">
        <v>37</v>
      </c>
      <c r="Q1711" s="4" t="n">
        <v>6794</v>
      </c>
      <c r="R1711" s="2" t="s">
        <v>56</v>
      </c>
      <c r="S1711" s="2" t="s">
        <v>57</v>
      </c>
      <c r="T1711" s="2" t="s">
        <v>1036</v>
      </c>
      <c r="U1711" s="2" t="s">
        <v>13160</v>
      </c>
      <c r="V1711" s="2"/>
      <c r="W1711" s="2" t="s">
        <v>13161</v>
      </c>
      <c r="X1711" s="2" t="s">
        <v>43</v>
      </c>
      <c r="Y1711" s="2" t="s">
        <v>37</v>
      </c>
      <c r="Z1711" s="2" t="s">
        <v>44</v>
      </c>
      <c r="AA1711" s="2"/>
      <c r="AB1711" s="2"/>
      <c r="AC1711" s="2" t="s">
        <v>13162</v>
      </c>
      <c r="AD1711" s="2" t="s">
        <v>46</v>
      </c>
    </row>
    <row r="1712" customFormat="false" ht="15.7" hidden="false" customHeight="true" outlineLevel="0" collapsed="false">
      <c r="A1712" s="2"/>
      <c r="B1712" s="3" t="n">
        <f aca="false">DATE(2011,10,17)</f>
        <v>0</v>
      </c>
      <c r="C1712" s="3" t="n">
        <v>40833</v>
      </c>
      <c r="D1712" s="2" t="s">
        <v>13163</v>
      </c>
      <c r="F1712" s="2" t="s">
        <v>13164</v>
      </c>
      <c r="G1712" s="2" t="s">
        <v>13165</v>
      </c>
      <c r="H1712" s="2" t="s">
        <v>1473</v>
      </c>
      <c r="I1712" s="2" t="s">
        <v>670</v>
      </c>
      <c r="J1712" s="2" t="s">
        <v>313</v>
      </c>
      <c r="K1712" s="2" t="s">
        <v>13163</v>
      </c>
      <c r="L1712" s="2" t="s">
        <v>670</v>
      </c>
      <c r="M1712" s="2" t="s">
        <v>1473</v>
      </c>
      <c r="N1712" s="2" t="s">
        <v>13166</v>
      </c>
      <c r="O1712" s="2" t="s">
        <v>13167</v>
      </c>
      <c r="P1712" s="2" t="s">
        <v>37</v>
      </c>
      <c r="Q1712" s="4" t="n">
        <v>8071</v>
      </c>
      <c r="R1712" s="2" t="s">
        <v>402</v>
      </c>
      <c r="S1712" s="2" t="s">
        <v>39</v>
      </c>
      <c r="T1712" s="2" t="s">
        <v>40</v>
      </c>
      <c r="U1712" s="2" t="s">
        <v>13168</v>
      </c>
      <c r="V1712" s="2"/>
      <c r="W1712" s="2" t="s">
        <v>42</v>
      </c>
      <c r="X1712" s="2" t="s">
        <v>46</v>
      </c>
      <c r="Y1712" s="2" t="s">
        <v>37</v>
      </c>
      <c r="Z1712" s="2" t="s">
        <v>362</v>
      </c>
      <c r="AA1712" s="2"/>
      <c r="AB1712" s="2" t="s">
        <v>13169</v>
      </c>
      <c r="AC1712" s="2" t="s">
        <v>13170</v>
      </c>
      <c r="AD1712" s="2" t="s">
        <v>46</v>
      </c>
    </row>
    <row r="1713" customFormat="false" ht="15.7" hidden="false" customHeight="true" outlineLevel="0" collapsed="false">
      <c r="A1713" s="2"/>
      <c r="B1713" s="3" t="n">
        <f aca="false">DATE(2011,10,17)</f>
        <v>0</v>
      </c>
      <c r="C1713" s="3" t="n">
        <v>40833</v>
      </c>
      <c r="D1713" s="2" t="s">
        <v>13171</v>
      </c>
      <c r="F1713" s="2" t="s">
        <v>13172</v>
      </c>
      <c r="G1713" s="2" t="s">
        <v>13173</v>
      </c>
      <c r="H1713" s="2" t="s">
        <v>13174</v>
      </c>
      <c r="I1713" s="2" t="s">
        <v>51</v>
      </c>
      <c r="J1713" s="2" t="s">
        <v>7609</v>
      </c>
      <c r="K1713" s="2" t="s">
        <v>13175</v>
      </c>
      <c r="L1713" s="2" t="s">
        <v>219</v>
      </c>
      <c r="M1713" s="2" t="s">
        <v>4457</v>
      </c>
      <c r="N1713" s="2" t="s">
        <v>13176</v>
      </c>
      <c r="O1713" s="2"/>
      <c r="P1713" s="2" t="s">
        <v>37</v>
      </c>
      <c r="Q1713" s="4" t="n">
        <v>3714</v>
      </c>
      <c r="R1713" s="2" t="s">
        <v>56</v>
      </c>
      <c r="S1713" s="2" t="s">
        <v>2265</v>
      </c>
      <c r="T1713" s="2" t="s">
        <v>403</v>
      </c>
      <c r="U1713" s="2" t="s">
        <v>13177</v>
      </c>
      <c r="V1713" s="2"/>
      <c r="W1713" s="2" t="s">
        <v>697</v>
      </c>
      <c r="X1713" s="2" t="s">
        <v>43</v>
      </c>
      <c r="Y1713" s="2" t="s">
        <v>37</v>
      </c>
      <c r="Z1713" s="2" t="s">
        <v>44</v>
      </c>
      <c r="AA1713" s="2"/>
      <c r="AB1713" s="2"/>
      <c r="AC1713" s="2" t="s">
        <v>13178</v>
      </c>
      <c r="AD1713" s="2" t="s">
        <v>46</v>
      </c>
    </row>
    <row r="1714" customFormat="false" ht="15.7" hidden="false" customHeight="true" outlineLevel="0" collapsed="false">
      <c r="A1714" s="2"/>
      <c r="B1714" s="3" t="n">
        <f aca="false">DATE(2011,10,17)</f>
        <v>0</v>
      </c>
      <c r="C1714" s="3" t="n">
        <v>40833</v>
      </c>
      <c r="D1714" s="2" t="s">
        <v>13179</v>
      </c>
      <c r="F1714" s="2" t="s">
        <v>13180</v>
      </c>
      <c r="G1714" s="2" t="s">
        <v>13181</v>
      </c>
      <c r="H1714" s="2" t="s">
        <v>130</v>
      </c>
      <c r="I1714" s="2" t="s">
        <v>1431</v>
      </c>
      <c r="J1714" s="2" t="s">
        <v>575</v>
      </c>
      <c r="K1714" s="2" t="s">
        <v>13179</v>
      </c>
      <c r="L1714" s="2" t="s">
        <v>1431</v>
      </c>
      <c r="M1714" s="2" t="s">
        <v>130</v>
      </c>
      <c r="N1714" s="2" t="s">
        <v>13182</v>
      </c>
      <c r="O1714" s="2"/>
      <c r="P1714" s="2" t="s">
        <v>37</v>
      </c>
      <c r="Q1714" s="4" t="n">
        <v>8731</v>
      </c>
      <c r="R1714" s="2" t="s">
        <v>56</v>
      </c>
      <c r="S1714" s="2" t="s">
        <v>2265</v>
      </c>
      <c r="T1714" s="2" t="s">
        <v>40</v>
      </c>
      <c r="U1714" s="2" t="s">
        <v>13183</v>
      </c>
      <c r="V1714" s="2"/>
      <c r="W1714" s="2" t="s">
        <v>42</v>
      </c>
      <c r="X1714" s="2" t="s">
        <v>43</v>
      </c>
      <c r="Y1714" s="2" t="s">
        <v>37</v>
      </c>
      <c r="Z1714" s="2" t="s">
        <v>44</v>
      </c>
      <c r="AA1714" s="2"/>
      <c r="AB1714" s="2"/>
      <c r="AC1714" s="2" t="s">
        <v>13184</v>
      </c>
      <c r="AD1714" s="2" t="s">
        <v>46</v>
      </c>
    </row>
    <row r="1715" customFormat="false" ht="15.7" hidden="false" customHeight="true" outlineLevel="0" collapsed="false">
      <c r="A1715" s="2"/>
      <c r="B1715" s="3" t="n">
        <f aca="false">DATE(2011,10,18)</f>
        <v>0</v>
      </c>
      <c r="C1715" s="3" t="n">
        <v>40834</v>
      </c>
      <c r="D1715" s="2" t="s">
        <v>13185</v>
      </c>
      <c r="F1715" s="2" t="s">
        <v>13186</v>
      </c>
      <c r="G1715" s="2" t="s">
        <v>13187</v>
      </c>
      <c r="H1715" s="2" t="s">
        <v>13188</v>
      </c>
      <c r="I1715" s="2" t="s">
        <v>670</v>
      </c>
      <c r="J1715" s="2" t="s">
        <v>155</v>
      </c>
      <c r="K1715" s="2" t="s">
        <v>13185</v>
      </c>
      <c r="L1715" s="2" t="s">
        <v>670</v>
      </c>
      <c r="M1715" s="2" t="s">
        <v>13188</v>
      </c>
      <c r="N1715" s="2" t="s">
        <v>13189</v>
      </c>
      <c r="O1715" s="2"/>
      <c r="P1715" s="2" t="s">
        <v>37</v>
      </c>
      <c r="Q1715" s="2" t="s">
        <v>3180</v>
      </c>
      <c r="R1715" s="2" t="s">
        <v>402</v>
      </c>
      <c r="S1715" s="2" t="s">
        <v>39</v>
      </c>
      <c r="T1715" s="2" t="s">
        <v>40</v>
      </c>
      <c r="U1715" s="2" t="s">
        <v>13190</v>
      </c>
      <c r="V1715" s="2"/>
      <c r="W1715" s="2" t="s">
        <v>42</v>
      </c>
      <c r="X1715" s="2" t="s">
        <v>43</v>
      </c>
      <c r="Y1715" s="2" t="s">
        <v>37</v>
      </c>
      <c r="Z1715" s="2" t="s">
        <v>44</v>
      </c>
      <c r="AA1715" s="2"/>
      <c r="AB1715" s="2"/>
      <c r="AC1715" s="2" t="s">
        <v>13191</v>
      </c>
      <c r="AD1715" s="2" t="s">
        <v>46</v>
      </c>
    </row>
    <row r="1716" customFormat="false" ht="15.7" hidden="false" customHeight="true" outlineLevel="0" collapsed="false">
      <c r="A1716" s="2"/>
      <c r="B1716" s="3" t="n">
        <f aca="false">DATE(2011,10,18)</f>
        <v>0</v>
      </c>
      <c r="C1716" s="3" t="n">
        <v>40834</v>
      </c>
      <c r="D1716" s="2" t="s">
        <v>13192</v>
      </c>
      <c r="F1716" s="2" t="s">
        <v>13193</v>
      </c>
      <c r="G1716" s="2" t="s">
        <v>13194</v>
      </c>
      <c r="H1716" s="2" t="s">
        <v>1943</v>
      </c>
      <c r="I1716" s="2" t="s">
        <v>568</v>
      </c>
      <c r="J1716" s="2" t="s">
        <v>4383</v>
      </c>
      <c r="K1716" s="2" t="s">
        <v>13192</v>
      </c>
      <c r="L1716" s="2" t="s">
        <v>568</v>
      </c>
      <c r="M1716" s="2" t="s">
        <v>1943</v>
      </c>
      <c r="N1716" s="2" t="s">
        <v>13195</v>
      </c>
      <c r="O1716" s="2"/>
      <c r="P1716" s="2" t="s">
        <v>37</v>
      </c>
      <c r="Q1716" s="4" t="n">
        <v>8731</v>
      </c>
      <c r="R1716" s="2" t="s">
        <v>136</v>
      </c>
      <c r="S1716" s="2" t="s">
        <v>39</v>
      </c>
      <c r="T1716" s="2" t="s">
        <v>40</v>
      </c>
      <c r="U1716" s="2" t="s">
        <v>13196</v>
      </c>
      <c r="V1716" s="2"/>
      <c r="W1716" s="2" t="s">
        <v>42</v>
      </c>
      <c r="X1716" s="2" t="s">
        <v>43</v>
      </c>
      <c r="Y1716" s="2" t="s">
        <v>37</v>
      </c>
      <c r="Z1716" s="2" t="s">
        <v>44</v>
      </c>
      <c r="AA1716" s="2" t="s">
        <v>13197</v>
      </c>
      <c r="AB1716" s="2"/>
      <c r="AC1716" s="2" t="s">
        <v>13198</v>
      </c>
      <c r="AD1716" s="2" t="s">
        <v>46</v>
      </c>
    </row>
    <row r="1717" customFormat="false" ht="15.7" hidden="false" customHeight="true" outlineLevel="0" collapsed="false">
      <c r="A1717" s="2"/>
      <c r="B1717" s="3" t="n">
        <f aca="false">DATE(2011,10,18)</f>
        <v>0</v>
      </c>
      <c r="C1717" s="3" t="n">
        <v>40834</v>
      </c>
      <c r="D1717" s="2" t="s">
        <v>13199</v>
      </c>
      <c r="F1717" s="2" t="s">
        <v>13200</v>
      </c>
      <c r="G1717" s="2" t="s">
        <v>13201</v>
      </c>
      <c r="H1717" s="2" t="s">
        <v>551</v>
      </c>
      <c r="I1717" s="2" t="s">
        <v>4458</v>
      </c>
      <c r="J1717" s="2" t="s">
        <v>35</v>
      </c>
      <c r="K1717" s="2" t="s">
        <v>13199</v>
      </c>
      <c r="L1717" s="2" t="s">
        <v>4458</v>
      </c>
      <c r="M1717" s="2" t="s">
        <v>551</v>
      </c>
      <c r="N1717" s="2" t="s">
        <v>13202</v>
      </c>
      <c r="O1717" s="2"/>
      <c r="P1717" s="2" t="s">
        <v>37</v>
      </c>
      <c r="Q1717" s="4" t="n">
        <v>3841</v>
      </c>
      <c r="R1717" s="2" t="s">
        <v>402</v>
      </c>
      <c r="S1717" s="2" t="s">
        <v>39</v>
      </c>
      <c r="T1717" s="2" t="s">
        <v>403</v>
      </c>
      <c r="U1717" s="2" t="s">
        <v>13203</v>
      </c>
      <c r="V1717" s="2"/>
      <c r="W1717" s="2" t="s">
        <v>107</v>
      </c>
      <c r="X1717" s="2" t="s">
        <v>46</v>
      </c>
      <c r="Y1717" s="2" t="s">
        <v>37</v>
      </c>
      <c r="Z1717" s="2" t="s">
        <v>13204</v>
      </c>
      <c r="AA1717" s="2" t="s">
        <v>13205</v>
      </c>
      <c r="AB1717" s="2"/>
      <c r="AC1717" s="2" t="s">
        <v>13206</v>
      </c>
      <c r="AD1717" s="2" t="s">
        <v>46</v>
      </c>
    </row>
    <row r="1718" customFormat="false" ht="15.7" hidden="false" customHeight="true" outlineLevel="0" collapsed="false">
      <c r="A1718" s="2"/>
      <c r="B1718" s="3" t="n">
        <f aca="false">DATE(2011,10,19)</f>
        <v>0</v>
      </c>
      <c r="C1718" s="3" t="n">
        <v>40835</v>
      </c>
      <c r="D1718" s="2" t="s">
        <v>13207</v>
      </c>
      <c r="F1718" s="2" t="s">
        <v>13208</v>
      </c>
      <c r="G1718" s="2" t="s">
        <v>13209</v>
      </c>
      <c r="H1718" s="2" t="s">
        <v>13210</v>
      </c>
      <c r="I1718" s="2" t="s">
        <v>1287</v>
      </c>
      <c r="J1718" s="2" t="s">
        <v>35</v>
      </c>
      <c r="K1718" s="2" t="s">
        <v>13207</v>
      </c>
      <c r="L1718" s="2" t="s">
        <v>1287</v>
      </c>
      <c r="M1718" s="2" t="s">
        <v>13210</v>
      </c>
      <c r="N1718" s="2" t="s">
        <v>13211</v>
      </c>
      <c r="O1718" s="2"/>
      <c r="P1718" s="2" t="s">
        <v>37</v>
      </c>
      <c r="Q1718" s="4" t="n">
        <v>8731</v>
      </c>
      <c r="R1718" s="2" t="s">
        <v>2105</v>
      </c>
      <c r="S1718" s="2" t="s">
        <v>39</v>
      </c>
      <c r="T1718" s="2" t="s">
        <v>40</v>
      </c>
      <c r="U1718" s="2" t="s">
        <v>13212</v>
      </c>
      <c r="V1718" s="2"/>
      <c r="W1718" s="2" t="s">
        <v>42</v>
      </c>
      <c r="X1718" s="2" t="s">
        <v>46</v>
      </c>
      <c r="Y1718" s="2" t="s">
        <v>37</v>
      </c>
      <c r="Z1718" s="2" t="s">
        <v>44</v>
      </c>
      <c r="AA1718" s="2"/>
      <c r="AB1718" s="2"/>
      <c r="AC1718" s="2" t="s">
        <v>13213</v>
      </c>
      <c r="AD1718" s="2" t="s">
        <v>46</v>
      </c>
    </row>
    <row r="1719" customFormat="false" ht="15.7" hidden="false" customHeight="true" outlineLevel="0" collapsed="false">
      <c r="A1719" s="2"/>
      <c r="B1719" s="3" t="n">
        <f aca="false">DATE(2011,10,19)</f>
        <v>0</v>
      </c>
      <c r="C1719" s="3" t="n">
        <v>40835</v>
      </c>
      <c r="D1719" s="2" t="s">
        <v>13214</v>
      </c>
      <c r="F1719" s="2" t="s">
        <v>13215</v>
      </c>
      <c r="G1719" s="2" t="s">
        <v>13216</v>
      </c>
      <c r="H1719" s="2" t="s">
        <v>13217</v>
      </c>
      <c r="I1719" s="2" t="s">
        <v>13218</v>
      </c>
      <c r="J1719" s="2" t="s">
        <v>35</v>
      </c>
      <c r="K1719" s="2" t="s">
        <v>13219</v>
      </c>
      <c r="L1719" s="2" t="s">
        <v>13218</v>
      </c>
      <c r="M1719" s="2" t="s">
        <v>13220</v>
      </c>
      <c r="N1719" s="2" t="s">
        <v>13221</v>
      </c>
      <c r="O1719" s="2"/>
      <c r="P1719" s="2" t="s">
        <v>37</v>
      </c>
      <c r="Q1719" s="4" t="n">
        <v>3728</v>
      </c>
      <c r="R1719" s="2" t="s">
        <v>136</v>
      </c>
      <c r="S1719" s="2" t="s">
        <v>39</v>
      </c>
      <c r="T1719" s="2" t="s">
        <v>403</v>
      </c>
      <c r="U1719" s="2" t="s">
        <v>13222</v>
      </c>
      <c r="V1719" s="2"/>
      <c r="W1719" s="2" t="s">
        <v>42</v>
      </c>
      <c r="X1719" s="2" t="s">
        <v>43</v>
      </c>
      <c r="Y1719" s="2" t="s">
        <v>37</v>
      </c>
      <c r="Z1719" s="2" t="s">
        <v>44</v>
      </c>
      <c r="AA1719" s="2"/>
      <c r="AB1719" s="2"/>
      <c r="AC1719" s="2" t="s">
        <v>13223</v>
      </c>
      <c r="AD1719" s="2" t="s">
        <v>46</v>
      </c>
    </row>
    <row r="1720" customFormat="false" ht="15.7" hidden="false" customHeight="true" outlineLevel="0" collapsed="false">
      <c r="A1720" s="2"/>
      <c r="B1720" s="3" t="n">
        <f aca="false">DATE(2011,10,21)</f>
        <v>0</v>
      </c>
      <c r="C1720" s="3" t="n">
        <v>40837</v>
      </c>
      <c r="D1720" s="2" t="s">
        <v>13224</v>
      </c>
      <c r="F1720" s="2" t="s">
        <v>1138</v>
      </c>
      <c r="G1720" s="2" t="s">
        <v>13225</v>
      </c>
      <c r="H1720" s="2" t="s">
        <v>305</v>
      </c>
      <c r="I1720" s="2" t="s">
        <v>5173</v>
      </c>
      <c r="J1720" s="2" t="s">
        <v>35</v>
      </c>
      <c r="K1720" s="2" t="s">
        <v>13226</v>
      </c>
      <c r="L1720" s="2" t="s">
        <v>13227</v>
      </c>
      <c r="M1720" s="2" t="s">
        <v>305</v>
      </c>
      <c r="N1720" s="2" t="s">
        <v>13228</v>
      </c>
      <c r="O1720" s="2"/>
      <c r="P1720" s="2" t="s">
        <v>37</v>
      </c>
      <c r="Q1720" s="4" t="n">
        <v>8731</v>
      </c>
      <c r="R1720" s="2" t="s">
        <v>136</v>
      </c>
      <c r="S1720" s="2" t="s">
        <v>39</v>
      </c>
      <c r="T1720" s="2" t="s">
        <v>40</v>
      </c>
      <c r="U1720" s="2" t="s">
        <v>13229</v>
      </c>
      <c r="V1720" s="2"/>
      <c r="W1720" s="2" t="s">
        <v>42</v>
      </c>
      <c r="X1720" s="2" t="s">
        <v>43</v>
      </c>
      <c r="Y1720" s="2" t="s">
        <v>37</v>
      </c>
      <c r="Z1720" s="2" t="s">
        <v>44</v>
      </c>
      <c r="AA1720" s="2" t="s">
        <v>13230</v>
      </c>
      <c r="AB1720" s="2"/>
      <c r="AC1720" s="2" t="s">
        <v>13231</v>
      </c>
      <c r="AD1720" s="2" t="s">
        <v>46</v>
      </c>
    </row>
    <row r="1721" customFormat="false" ht="15.7" hidden="false" customHeight="true" outlineLevel="0" collapsed="false">
      <c r="A1721" s="2"/>
      <c r="B1721" s="3" t="n">
        <f aca="false">DATE(2011,10,21)</f>
        <v>0</v>
      </c>
      <c r="C1721" s="3" t="n">
        <v>40837</v>
      </c>
      <c r="D1721" s="2" t="s">
        <v>13232</v>
      </c>
      <c r="F1721" s="2" t="s">
        <v>13233</v>
      </c>
      <c r="G1721" s="2" t="s">
        <v>13234</v>
      </c>
      <c r="H1721" s="2" t="s">
        <v>3500</v>
      </c>
      <c r="I1721" s="2" t="s">
        <v>8466</v>
      </c>
      <c r="J1721" s="2" t="s">
        <v>35</v>
      </c>
      <c r="K1721" s="2" t="s">
        <v>13232</v>
      </c>
      <c r="L1721" s="2" t="s">
        <v>8466</v>
      </c>
      <c r="M1721" s="2" t="s">
        <v>3500</v>
      </c>
      <c r="N1721" s="2" t="s">
        <v>13235</v>
      </c>
      <c r="O1721" s="2"/>
      <c r="P1721" s="2" t="s">
        <v>37</v>
      </c>
      <c r="Q1721" s="4" t="n">
        <v>3711</v>
      </c>
      <c r="R1721" s="2" t="s">
        <v>402</v>
      </c>
      <c r="S1721" s="2" t="s">
        <v>39</v>
      </c>
      <c r="T1721" s="2" t="s">
        <v>403</v>
      </c>
      <c r="U1721" s="2" t="s">
        <v>13236</v>
      </c>
      <c r="V1721" s="2"/>
      <c r="W1721" s="2" t="s">
        <v>42</v>
      </c>
      <c r="X1721" s="2" t="s">
        <v>46</v>
      </c>
      <c r="Y1721" s="2" t="s">
        <v>37</v>
      </c>
      <c r="Z1721" s="2" t="s">
        <v>362</v>
      </c>
      <c r="AA1721" s="2"/>
      <c r="AB1721" s="2"/>
      <c r="AC1721" s="2" t="s">
        <v>13237</v>
      </c>
      <c r="AD1721" s="2" t="s">
        <v>46</v>
      </c>
    </row>
    <row r="1722" customFormat="false" ht="15.7" hidden="false" customHeight="true" outlineLevel="0" collapsed="false">
      <c r="A1722" s="2"/>
      <c r="B1722" s="3" t="n">
        <f aca="false">DATE(2011,10,24)</f>
        <v>0</v>
      </c>
      <c r="C1722" s="3" t="n">
        <v>40840</v>
      </c>
      <c r="D1722" s="2" t="s">
        <v>13238</v>
      </c>
      <c r="F1722" s="2" t="s">
        <v>200</v>
      </c>
      <c r="G1722" s="2" t="s">
        <v>13239</v>
      </c>
      <c r="H1722" s="2" t="s">
        <v>63</v>
      </c>
      <c r="I1722" s="2" t="s">
        <v>330</v>
      </c>
      <c r="J1722" s="2" t="s">
        <v>6730</v>
      </c>
      <c r="K1722" s="2" t="s">
        <v>13238</v>
      </c>
      <c r="L1722" s="2" t="s">
        <v>330</v>
      </c>
      <c r="M1722" s="2" t="s">
        <v>63</v>
      </c>
      <c r="N1722" s="2" t="s">
        <v>13240</v>
      </c>
      <c r="O1722" s="2"/>
      <c r="P1722" s="2" t="s">
        <v>37</v>
      </c>
      <c r="Q1722" s="4" t="n">
        <v>8731</v>
      </c>
      <c r="R1722" s="2" t="s">
        <v>136</v>
      </c>
      <c r="S1722" s="2" t="s">
        <v>39</v>
      </c>
      <c r="T1722" s="2" t="s">
        <v>40</v>
      </c>
      <c r="U1722" s="2" t="s">
        <v>13241</v>
      </c>
      <c r="V1722" s="2"/>
      <c r="W1722" s="2" t="s">
        <v>42</v>
      </c>
      <c r="X1722" s="2" t="s">
        <v>43</v>
      </c>
      <c r="Y1722" s="2" t="s">
        <v>37</v>
      </c>
      <c r="Z1722" s="2" t="s">
        <v>44</v>
      </c>
      <c r="AA1722" s="2"/>
      <c r="AB1722" s="2"/>
      <c r="AC1722" s="2" t="s">
        <v>13242</v>
      </c>
      <c r="AD1722" s="2" t="s">
        <v>46</v>
      </c>
    </row>
    <row r="1723" customFormat="false" ht="15.7" hidden="false" customHeight="true" outlineLevel="0" collapsed="false">
      <c r="A1723" s="2"/>
      <c r="B1723" s="3" t="n">
        <f aca="false">DATE(2011,10,24)</f>
        <v>0</v>
      </c>
      <c r="C1723" s="3" t="n">
        <v>40840</v>
      </c>
      <c r="D1723" s="2" t="s">
        <v>13243</v>
      </c>
      <c r="F1723" s="2" t="s">
        <v>13244</v>
      </c>
      <c r="G1723" s="2" t="s">
        <v>13245</v>
      </c>
      <c r="H1723" s="2" t="s">
        <v>368</v>
      </c>
      <c r="I1723" s="2" t="s">
        <v>1080</v>
      </c>
      <c r="J1723" s="2" t="s">
        <v>35</v>
      </c>
      <c r="K1723" s="2" t="s">
        <v>13243</v>
      </c>
      <c r="L1723" s="2" t="s">
        <v>1080</v>
      </c>
      <c r="M1723" s="2" t="s">
        <v>368</v>
      </c>
      <c r="N1723" s="2" t="s">
        <v>13246</v>
      </c>
      <c r="O1723" s="2"/>
      <c r="P1723" s="2" t="s">
        <v>37</v>
      </c>
      <c r="Q1723" s="4" t="n">
        <v>8731</v>
      </c>
      <c r="R1723" s="2" t="s">
        <v>2201</v>
      </c>
      <c r="S1723" s="2" t="s">
        <v>39</v>
      </c>
      <c r="T1723" s="2" t="s">
        <v>40</v>
      </c>
      <c r="U1723" s="2" t="s">
        <v>13247</v>
      </c>
      <c r="V1723" s="2"/>
      <c r="W1723" s="2" t="s">
        <v>42</v>
      </c>
      <c r="X1723" s="2" t="s">
        <v>43</v>
      </c>
      <c r="Y1723" s="2" t="s">
        <v>37</v>
      </c>
      <c r="Z1723" s="2" t="s">
        <v>44</v>
      </c>
      <c r="AA1723" s="2"/>
      <c r="AB1723" s="2"/>
      <c r="AC1723" s="2" t="s">
        <v>13248</v>
      </c>
      <c r="AD1723" s="2" t="s">
        <v>46</v>
      </c>
    </row>
    <row r="1724" customFormat="false" ht="15.7" hidden="false" customHeight="true" outlineLevel="0" collapsed="false">
      <c r="A1724" s="2"/>
      <c r="B1724" s="3" t="n">
        <f aca="false">DATE(2011,10,25)</f>
        <v>0</v>
      </c>
      <c r="C1724" s="3" t="n">
        <v>40841</v>
      </c>
      <c r="D1724" s="2" t="s">
        <v>13249</v>
      </c>
      <c r="F1724" s="2" t="s">
        <v>13250</v>
      </c>
      <c r="G1724" s="2" t="s">
        <v>13251</v>
      </c>
      <c r="H1724" s="2" t="s">
        <v>9924</v>
      </c>
      <c r="I1724" s="2" t="s">
        <v>51</v>
      </c>
      <c r="J1724" s="2" t="s">
        <v>828</v>
      </c>
      <c r="K1724" s="2" t="s">
        <v>13252</v>
      </c>
      <c r="L1724" s="2" t="s">
        <v>51</v>
      </c>
      <c r="M1724" s="2" t="s">
        <v>8119</v>
      </c>
      <c r="N1724" s="2" t="s">
        <v>13253</v>
      </c>
      <c r="O1724" s="2"/>
      <c r="P1724" s="2" t="s">
        <v>37</v>
      </c>
      <c r="Q1724" s="4" t="n">
        <v>8731</v>
      </c>
      <c r="R1724" s="2" t="s">
        <v>56</v>
      </c>
      <c r="S1724" s="2" t="s">
        <v>57</v>
      </c>
      <c r="T1724" s="2" t="s">
        <v>40</v>
      </c>
      <c r="U1724" s="2" t="s">
        <v>13254</v>
      </c>
      <c r="V1724" s="2"/>
      <c r="W1724" s="2" t="s">
        <v>42</v>
      </c>
      <c r="X1724" s="2" t="s">
        <v>43</v>
      </c>
      <c r="Y1724" s="2" t="s">
        <v>37</v>
      </c>
      <c r="Z1724" s="2" t="s">
        <v>44</v>
      </c>
      <c r="AA1724" s="2"/>
      <c r="AB1724" s="2"/>
      <c r="AC1724" s="2" t="s">
        <v>13255</v>
      </c>
      <c r="AD1724" s="2" t="s">
        <v>46</v>
      </c>
    </row>
    <row r="1725" customFormat="false" ht="15.7" hidden="false" customHeight="true" outlineLevel="0" collapsed="false">
      <c r="A1725" s="2"/>
      <c r="B1725" s="3" t="n">
        <f aca="false">DATE(2011,10,25)</f>
        <v>0</v>
      </c>
      <c r="C1725" s="3" t="n">
        <v>40841</v>
      </c>
      <c r="D1725" s="2" t="s">
        <v>13256</v>
      </c>
      <c r="F1725" s="2" t="s">
        <v>13257</v>
      </c>
      <c r="G1725" s="2" t="s">
        <v>13258</v>
      </c>
      <c r="H1725" s="2" t="s">
        <v>170</v>
      </c>
      <c r="I1725" s="2" t="s">
        <v>1412</v>
      </c>
      <c r="J1725" s="2" t="s">
        <v>65</v>
      </c>
      <c r="K1725" s="2" t="s">
        <v>13259</v>
      </c>
      <c r="L1725" s="2" t="s">
        <v>388</v>
      </c>
      <c r="M1725" s="2" t="s">
        <v>63</v>
      </c>
      <c r="N1725" s="2" t="s">
        <v>13260</v>
      </c>
      <c r="O1725" s="2"/>
      <c r="P1725" s="2" t="s">
        <v>37</v>
      </c>
      <c r="Q1725" s="4" t="n">
        <v>8731</v>
      </c>
      <c r="R1725" s="2" t="s">
        <v>56</v>
      </c>
      <c r="S1725" s="2" t="s">
        <v>2265</v>
      </c>
      <c r="T1725" s="2" t="s">
        <v>40</v>
      </c>
      <c r="U1725" s="2" t="s">
        <v>13261</v>
      </c>
      <c r="V1725" s="2"/>
      <c r="W1725" s="2" t="s">
        <v>42</v>
      </c>
      <c r="X1725" s="2" t="s">
        <v>43</v>
      </c>
      <c r="Y1725" s="2" t="s">
        <v>37</v>
      </c>
      <c r="Z1725" s="2" t="s">
        <v>44</v>
      </c>
      <c r="AA1725" s="2"/>
      <c r="AB1725" s="2"/>
      <c r="AC1725" s="2" t="s">
        <v>13262</v>
      </c>
      <c r="AD1725" s="2" t="s">
        <v>46</v>
      </c>
    </row>
    <row r="1726" customFormat="false" ht="15.7" hidden="false" customHeight="true" outlineLevel="0" collapsed="false">
      <c r="A1726" s="2"/>
      <c r="B1726" s="3" t="n">
        <f aca="false">DATE(2011,10,25)</f>
        <v>0</v>
      </c>
      <c r="C1726" s="3" t="n">
        <v>40841</v>
      </c>
      <c r="D1726" s="2" t="s">
        <v>13263</v>
      </c>
      <c r="F1726" s="2" t="s">
        <v>1153</v>
      </c>
      <c r="G1726" s="2" t="s">
        <v>13264</v>
      </c>
      <c r="H1726" s="2" t="s">
        <v>1101</v>
      </c>
      <c r="I1726" s="2" t="s">
        <v>51</v>
      </c>
      <c r="J1726" s="2" t="s">
        <v>2190</v>
      </c>
      <c r="K1726" s="2" t="s">
        <v>13263</v>
      </c>
      <c r="L1726" s="2" t="s">
        <v>51</v>
      </c>
      <c r="M1726" s="2" t="s">
        <v>1101</v>
      </c>
      <c r="N1726" s="2" t="s">
        <v>13265</v>
      </c>
      <c r="O1726" s="2"/>
      <c r="P1726" s="2" t="s">
        <v>37</v>
      </c>
      <c r="Q1726" s="4" t="n">
        <v>8731</v>
      </c>
      <c r="R1726" s="2" t="s">
        <v>56</v>
      </c>
      <c r="S1726" s="2" t="s">
        <v>2265</v>
      </c>
      <c r="T1726" s="2" t="s">
        <v>40</v>
      </c>
      <c r="U1726" s="2" t="s">
        <v>13266</v>
      </c>
      <c r="V1726" s="2"/>
      <c r="W1726" s="2" t="s">
        <v>42</v>
      </c>
      <c r="X1726" s="2" t="s">
        <v>43</v>
      </c>
      <c r="Y1726" s="2" t="s">
        <v>37</v>
      </c>
      <c r="Z1726" s="2" t="s">
        <v>44</v>
      </c>
      <c r="AA1726" s="2"/>
      <c r="AB1726" s="2"/>
      <c r="AC1726" s="2" t="s">
        <v>13267</v>
      </c>
      <c r="AD1726" s="2" t="s">
        <v>46</v>
      </c>
    </row>
    <row r="1727" customFormat="false" ht="15.7" hidden="false" customHeight="true" outlineLevel="0" collapsed="false">
      <c r="A1727" s="2"/>
      <c r="B1727" s="3" t="n">
        <f aca="false">DATE(2011,10,26)</f>
        <v>0</v>
      </c>
      <c r="C1727" s="3" t="n">
        <v>40842</v>
      </c>
      <c r="D1727" s="2" t="s">
        <v>13268</v>
      </c>
      <c r="F1727" s="2" t="s">
        <v>13269</v>
      </c>
      <c r="G1727" s="2" t="s">
        <v>13270</v>
      </c>
      <c r="H1727" s="2" t="s">
        <v>13271</v>
      </c>
      <c r="I1727" s="2" t="s">
        <v>9268</v>
      </c>
      <c r="J1727" s="2" t="s">
        <v>35</v>
      </c>
      <c r="K1727" s="2" t="s">
        <v>13272</v>
      </c>
      <c r="L1727" s="2" t="s">
        <v>9268</v>
      </c>
      <c r="M1727" s="2" t="s">
        <v>13273</v>
      </c>
      <c r="N1727" s="2" t="s">
        <v>13274</v>
      </c>
      <c r="O1727" s="2"/>
      <c r="P1727" s="2" t="s">
        <v>37</v>
      </c>
      <c r="Q1727" s="4" t="n">
        <v>3612</v>
      </c>
      <c r="R1727" s="2" t="s">
        <v>136</v>
      </c>
      <c r="S1727" s="2" t="s">
        <v>39</v>
      </c>
      <c r="T1727" s="2" t="s">
        <v>403</v>
      </c>
      <c r="U1727" s="2" t="s">
        <v>13275</v>
      </c>
      <c r="V1727" s="2"/>
      <c r="W1727" s="2" t="s">
        <v>107</v>
      </c>
      <c r="X1727" s="2" t="s">
        <v>43</v>
      </c>
      <c r="Y1727" s="2" t="s">
        <v>37</v>
      </c>
      <c r="Z1727" s="2" t="s">
        <v>44</v>
      </c>
      <c r="AA1727" s="2"/>
      <c r="AB1727" s="2"/>
      <c r="AC1727" s="2" t="s">
        <v>13276</v>
      </c>
      <c r="AD1727" s="2" t="s">
        <v>46</v>
      </c>
    </row>
    <row r="1728" customFormat="false" ht="15.7" hidden="false" customHeight="true" outlineLevel="0" collapsed="false">
      <c r="A1728" s="2"/>
      <c r="B1728" s="3" t="n">
        <f aca="false">DATE(2011,10,26)</f>
        <v>0</v>
      </c>
      <c r="C1728" s="3" t="n">
        <v>40842</v>
      </c>
      <c r="D1728" s="2" t="s">
        <v>13277</v>
      </c>
      <c r="F1728" s="2" t="s">
        <v>13278</v>
      </c>
      <c r="G1728" s="2" t="s">
        <v>13279</v>
      </c>
      <c r="H1728" s="2" t="s">
        <v>130</v>
      </c>
      <c r="I1728" s="2" t="s">
        <v>568</v>
      </c>
      <c r="J1728" s="2" t="s">
        <v>671</v>
      </c>
      <c r="K1728" s="2" t="s">
        <v>13277</v>
      </c>
      <c r="L1728" s="2" t="s">
        <v>568</v>
      </c>
      <c r="M1728" s="2" t="s">
        <v>130</v>
      </c>
      <c r="N1728" s="2" t="s">
        <v>13280</v>
      </c>
      <c r="O1728" s="2"/>
      <c r="P1728" s="2" t="s">
        <v>37</v>
      </c>
      <c r="Q1728" s="4" t="n">
        <v>2834</v>
      </c>
      <c r="R1728" s="2" t="s">
        <v>56</v>
      </c>
      <c r="S1728" s="2" t="s">
        <v>80</v>
      </c>
      <c r="T1728" s="2" t="s">
        <v>40</v>
      </c>
      <c r="U1728" s="2" t="s">
        <v>13281</v>
      </c>
      <c r="V1728" s="2"/>
      <c r="W1728" s="2" t="s">
        <v>42</v>
      </c>
      <c r="X1728" s="2" t="s">
        <v>43</v>
      </c>
      <c r="Y1728" s="2" t="s">
        <v>37</v>
      </c>
      <c r="Z1728" s="2" t="s">
        <v>44</v>
      </c>
      <c r="AA1728" s="2"/>
      <c r="AB1728" s="2"/>
      <c r="AC1728" s="2" t="s">
        <v>13282</v>
      </c>
      <c r="AD1728" s="2" t="s">
        <v>46</v>
      </c>
    </row>
    <row r="1729" customFormat="false" ht="15.7" hidden="false" customHeight="true" outlineLevel="0" collapsed="false">
      <c r="A1729" s="2"/>
      <c r="B1729" s="3" t="n">
        <f aca="false">DATE(2011,10,31)</f>
        <v>0</v>
      </c>
      <c r="C1729" s="3" t="n">
        <v>40847</v>
      </c>
      <c r="D1729" s="2" t="s">
        <v>13283</v>
      </c>
      <c r="F1729" s="2" t="s">
        <v>13284</v>
      </c>
      <c r="G1729" s="2" t="s">
        <v>13285</v>
      </c>
      <c r="H1729" s="2" t="s">
        <v>9068</v>
      </c>
      <c r="I1729" s="2" t="s">
        <v>330</v>
      </c>
      <c r="J1729" s="2" t="s">
        <v>3385</v>
      </c>
      <c r="K1729" s="2" t="s">
        <v>13283</v>
      </c>
      <c r="L1729" s="2" t="s">
        <v>330</v>
      </c>
      <c r="M1729" s="2" t="s">
        <v>9068</v>
      </c>
      <c r="N1729" s="2" t="s">
        <v>13286</v>
      </c>
      <c r="O1729" s="2"/>
      <c r="P1729" s="2" t="s">
        <v>37</v>
      </c>
      <c r="Q1729" s="4" t="n">
        <v>2834</v>
      </c>
      <c r="R1729" s="2" t="s">
        <v>56</v>
      </c>
      <c r="S1729" s="2" t="s">
        <v>2265</v>
      </c>
      <c r="T1729" s="2" t="s">
        <v>40</v>
      </c>
      <c r="U1729" s="2" t="s">
        <v>13287</v>
      </c>
      <c r="V1729" s="2"/>
      <c r="W1729" s="2" t="s">
        <v>42</v>
      </c>
      <c r="X1729" s="2" t="s">
        <v>43</v>
      </c>
      <c r="Y1729" s="2" t="s">
        <v>37</v>
      </c>
      <c r="Z1729" s="2" t="s">
        <v>44</v>
      </c>
      <c r="AA1729" s="2"/>
      <c r="AB1729" s="2"/>
      <c r="AC1729" s="2" t="s">
        <v>13288</v>
      </c>
      <c r="AD1729" s="2" t="s">
        <v>46</v>
      </c>
    </row>
    <row r="1730" customFormat="false" ht="15.7" hidden="false" customHeight="true" outlineLevel="0" collapsed="false">
      <c r="A1730" s="2"/>
      <c r="B1730" s="3" t="n">
        <f aca="false">DATE(2011,11,2)</f>
        <v>0</v>
      </c>
      <c r="C1730" s="3" t="n">
        <v>40849</v>
      </c>
      <c r="D1730" s="2" t="s">
        <v>13289</v>
      </c>
      <c r="F1730" s="2" t="s">
        <v>13290</v>
      </c>
      <c r="G1730" s="2" t="s">
        <v>13291</v>
      </c>
      <c r="H1730" s="2" t="s">
        <v>13292</v>
      </c>
      <c r="I1730" s="2" t="s">
        <v>51</v>
      </c>
      <c r="J1730" s="2" t="s">
        <v>171</v>
      </c>
      <c r="K1730" s="2" t="s">
        <v>13289</v>
      </c>
      <c r="L1730" s="2" t="s">
        <v>51</v>
      </c>
      <c r="M1730" s="2" t="s">
        <v>13292</v>
      </c>
      <c r="N1730" s="2" t="s">
        <v>13293</v>
      </c>
      <c r="O1730" s="2"/>
      <c r="P1730" s="2" t="s">
        <v>37</v>
      </c>
      <c r="Q1730" s="4" t="n">
        <v>2836</v>
      </c>
      <c r="R1730" s="2" t="s">
        <v>56</v>
      </c>
      <c r="S1730" s="2" t="s">
        <v>92</v>
      </c>
      <c r="T1730" s="2" t="s">
        <v>40</v>
      </c>
      <c r="U1730" s="2" t="s">
        <v>13294</v>
      </c>
      <c r="V1730" s="2"/>
      <c r="W1730" s="2" t="s">
        <v>42</v>
      </c>
      <c r="X1730" s="2" t="s">
        <v>43</v>
      </c>
      <c r="Y1730" s="2" t="s">
        <v>37</v>
      </c>
      <c r="Z1730" s="2" t="s">
        <v>44</v>
      </c>
      <c r="AA1730" s="2"/>
      <c r="AB1730" s="2"/>
      <c r="AC1730" s="2" t="s">
        <v>13295</v>
      </c>
      <c r="AD1730" s="2" t="s">
        <v>46</v>
      </c>
    </row>
    <row r="1731" customFormat="false" ht="15.7" hidden="false" customHeight="true" outlineLevel="0" collapsed="false">
      <c r="A1731" s="2"/>
      <c r="B1731" s="3" t="n">
        <f aca="false">DATE(2011,11,3)</f>
        <v>0</v>
      </c>
      <c r="C1731" s="3" t="n">
        <v>40850</v>
      </c>
      <c r="D1731" s="2" t="s">
        <v>13296</v>
      </c>
      <c r="F1731" s="2" t="s">
        <v>13297</v>
      </c>
      <c r="G1731" s="2" t="s">
        <v>13298</v>
      </c>
      <c r="H1731" s="2" t="s">
        <v>1925</v>
      </c>
      <c r="I1731" s="2" t="s">
        <v>51</v>
      </c>
      <c r="J1731" s="2" t="s">
        <v>4097</v>
      </c>
      <c r="K1731" s="2" t="s">
        <v>13299</v>
      </c>
      <c r="L1731" s="2" t="s">
        <v>180</v>
      </c>
      <c r="M1731" s="2" t="s">
        <v>478</v>
      </c>
      <c r="N1731" s="2" t="s">
        <v>13300</v>
      </c>
      <c r="O1731" s="2"/>
      <c r="P1731" s="2" t="s">
        <v>37</v>
      </c>
      <c r="Q1731" s="4" t="n">
        <v>3841</v>
      </c>
      <c r="R1731" s="2" t="s">
        <v>56</v>
      </c>
      <c r="S1731" s="2" t="s">
        <v>2265</v>
      </c>
      <c r="T1731" s="2" t="s">
        <v>40</v>
      </c>
      <c r="U1731" s="2" t="s">
        <v>13301</v>
      </c>
      <c r="V1731" s="2"/>
      <c r="W1731" s="2" t="s">
        <v>773</v>
      </c>
      <c r="X1731" s="2" t="s">
        <v>43</v>
      </c>
      <c r="Y1731" s="2" t="s">
        <v>37</v>
      </c>
      <c r="Z1731" s="2" t="s">
        <v>44</v>
      </c>
      <c r="AA1731" s="2"/>
      <c r="AB1731" s="2"/>
      <c r="AC1731" s="2" t="s">
        <v>13302</v>
      </c>
      <c r="AD1731" s="2" t="s">
        <v>46</v>
      </c>
    </row>
    <row r="1732" customFormat="false" ht="15.7" hidden="false" customHeight="true" outlineLevel="0" collapsed="false">
      <c r="A1732" s="2"/>
      <c r="B1732" s="3" t="n">
        <f aca="false">DATE(2011,11,3)</f>
        <v>0</v>
      </c>
      <c r="C1732" s="3" t="n">
        <v>40850</v>
      </c>
      <c r="D1732" s="2" t="s">
        <v>13303</v>
      </c>
      <c r="F1732" s="2" t="s">
        <v>13304</v>
      </c>
      <c r="G1732" s="2" t="s">
        <v>13305</v>
      </c>
      <c r="H1732" s="2" t="s">
        <v>13306</v>
      </c>
      <c r="I1732" s="2" t="s">
        <v>724</v>
      </c>
      <c r="J1732" s="2" t="s">
        <v>1520</v>
      </c>
      <c r="K1732" s="2" t="s">
        <v>13303</v>
      </c>
      <c r="L1732" s="2" t="s">
        <v>724</v>
      </c>
      <c r="M1732" s="2" t="s">
        <v>13306</v>
      </c>
      <c r="N1732" s="2" t="s">
        <v>13307</v>
      </c>
      <c r="O1732" s="2"/>
      <c r="P1732" s="2" t="s">
        <v>37</v>
      </c>
      <c r="Q1732" s="4" t="n">
        <v>2834</v>
      </c>
      <c r="R1732" s="2" t="s">
        <v>2105</v>
      </c>
      <c r="S1732" s="2" t="s">
        <v>39</v>
      </c>
      <c r="T1732" s="2" t="s">
        <v>403</v>
      </c>
      <c r="U1732" s="2" t="s">
        <v>13308</v>
      </c>
      <c r="V1732" s="2"/>
      <c r="W1732" s="2" t="s">
        <v>3244</v>
      </c>
      <c r="X1732" s="2" t="s">
        <v>46</v>
      </c>
      <c r="Y1732" s="2" t="s">
        <v>37</v>
      </c>
      <c r="Z1732" s="2" t="s">
        <v>987</v>
      </c>
      <c r="AA1732" s="2"/>
      <c r="AB1732" s="2"/>
      <c r="AC1732" s="2" t="s">
        <v>13309</v>
      </c>
      <c r="AD1732" s="2" t="s">
        <v>46</v>
      </c>
    </row>
    <row r="1733" customFormat="false" ht="15.7" hidden="false" customHeight="true" outlineLevel="0" collapsed="false">
      <c r="A1733" s="2"/>
      <c r="B1733" s="3" t="n">
        <f aca="false">DATE(2011,11,4)</f>
        <v>0</v>
      </c>
      <c r="C1733" s="3" t="n">
        <v>40851</v>
      </c>
      <c r="D1733" s="2" t="s">
        <v>13310</v>
      </c>
      <c r="F1733" s="2" t="s">
        <v>13311</v>
      </c>
      <c r="G1733" s="2" t="s">
        <v>13312</v>
      </c>
      <c r="H1733" s="2" t="s">
        <v>13313</v>
      </c>
      <c r="I1733" s="2" t="s">
        <v>2530</v>
      </c>
      <c r="J1733" s="2" t="s">
        <v>13314</v>
      </c>
      <c r="K1733" s="2" t="s">
        <v>13310</v>
      </c>
      <c r="L1733" s="2" t="s">
        <v>2530</v>
      </c>
      <c r="M1733" s="2" t="s">
        <v>13313</v>
      </c>
      <c r="N1733" s="2" t="s">
        <v>13315</v>
      </c>
      <c r="O1733" s="2"/>
      <c r="P1733" s="2" t="s">
        <v>37</v>
      </c>
      <c r="Q1733" s="4" t="n">
        <v>8731</v>
      </c>
      <c r="R1733" s="2" t="s">
        <v>56</v>
      </c>
      <c r="S1733" s="2" t="s">
        <v>2265</v>
      </c>
      <c r="T1733" s="2" t="s">
        <v>40</v>
      </c>
      <c r="U1733" s="2" t="s">
        <v>13316</v>
      </c>
      <c r="V1733" s="2"/>
      <c r="W1733" s="2" t="s">
        <v>42</v>
      </c>
      <c r="X1733" s="2" t="s">
        <v>43</v>
      </c>
      <c r="Y1733" s="2" t="s">
        <v>37</v>
      </c>
      <c r="Z1733" s="2" t="s">
        <v>916</v>
      </c>
      <c r="AA1733" s="2" t="s">
        <v>13317</v>
      </c>
      <c r="AB1733" s="2"/>
      <c r="AC1733" s="2" t="s">
        <v>13318</v>
      </c>
      <c r="AD1733" s="2" t="s">
        <v>46</v>
      </c>
    </row>
    <row r="1734" customFormat="false" ht="15.7" hidden="false" customHeight="true" outlineLevel="0" collapsed="false">
      <c r="A1734" s="2"/>
      <c r="B1734" s="3" t="n">
        <f aca="false">DATE(2011,11,8)</f>
        <v>0</v>
      </c>
      <c r="C1734" s="3" t="n">
        <v>40855</v>
      </c>
      <c r="D1734" s="2" t="s">
        <v>13319</v>
      </c>
      <c r="F1734" s="2" t="s">
        <v>13320</v>
      </c>
      <c r="G1734" s="2" t="s">
        <v>13321</v>
      </c>
      <c r="H1734" s="2" t="s">
        <v>13322</v>
      </c>
      <c r="I1734" s="2" t="s">
        <v>51</v>
      </c>
      <c r="J1734" s="2" t="s">
        <v>3478</v>
      </c>
      <c r="K1734" s="2" t="s">
        <v>13319</v>
      </c>
      <c r="L1734" s="2" t="s">
        <v>51</v>
      </c>
      <c r="M1734" s="2" t="s">
        <v>13322</v>
      </c>
      <c r="N1734" s="2" t="s">
        <v>13323</v>
      </c>
      <c r="O1734" s="2"/>
      <c r="P1734" s="2" t="s">
        <v>37</v>
      </c>
      <c r="Q1734" s="4" t="n">
        <v>2023</v>
      </c>
      <c r="R1734" s="2" t="s">
        <v>136</v>
      </c>
      <c r="S1734" s="2" t="s">
        <v>39</v>
      </c>
      <c r="T1734" s="2" t="s">
        <v>40</v>
      </c>
      <c r="U1734" s="2" t="s">
        <v>13324</v>
      </c>
      <c r="V1734" s="2"/>
      <c r="W1734" s="2" t="s">
        <v>138</v>
      </c>
      <c r="X1734" s="2" t="s">
        <v>43</v>
      </c>
      <c r="Y1734" s="2" t="s">
        <v>37</v>
      </c>
      <c r="Z1734" s="2" t="s">
        <v>44</v>
      </c>
      <c r="AA1734" s="2"/>
      <c r="AB1734" s="2"/>
      <c r="AC1734" s="2" t="s">
        <v>13325</v>
      </c>
      <c r="AD1734" s="2" t="s">
        <v>46</v>
      </c>
    </row>
    <row r="1735" customFormat="false" ht="15.7" hidden="false" customHeight="true" outlineLevel="0" collapsed="false">
      <c r="A1735" s="2"/>
      <c r="B1735" s="3" t="n">
        <f aca="false">DATE(2011,11,8)</f>
        <v>0</v>
      </c>
      <c r="C1735" s="3" t="n">
        <v>40855</v>
      </c>
      <c r="D1735" s="2" t="s">
        <v>13326</v>
      </c>
      <c r="F1735" s="2" t="s">
        <v>13327</v>
      </c>
      <c r="G1735" s="2" t="s">
        <v>13328</v>
      </c>
      <c r="H1735" s="2" t="s">
        <v>13329</v>
      </c>
      <c r="I1735" s="2" t="s">
        <v>4562</v>
      </c>
      <c r="J1735" s="2" t="s">
        <v>35</v>
      </c>
      <c r="K1735" s="2" t="s">
        <v>13326</v>
      </c>
      <c r="L1735" s="2" t="s">
        <v>4562</v>
      </c>
      <c r="M1735" s="2" t="s">
        <v>13329</v>
      </c>
      <c r="N1735" s="2" t="s">
        <v>13330</v>
      </c>
      <c r="O1735" s="2"/>
      <c r="P1735" s="2" t="s">
        <v>37</v>
      </c>
      <c r="Q1735" s="4" t="n">
        <v>8731</v>
      </c>
      <c r="R1735" s="2" t="s">
        <v>5704</v>
      </c>
      <c r="S1735" s="2" t="s">
        <v>39</v>
      </c>
      <c r="T1735" s="2" t="s">
        <v>40</v>
      </c>
      <c r="U1735" s="2" t="s">
        <v>13331</v>
      </c>
      <c r="V1735" s="2"/>
      <c r="W1735" s="2" t="s">
        <v>42</v>
      </c>
      <c r="X1735" s="2" t="s">
        <v>43</v>
      </c>
      <c r="Y1735" s="2" t="s">
        <v>37</v>
      </c>
      <c r="Z1735" s="2" t="s">
        <v>44</v>
      </c>
      <c r="AA1735" s="2"/>
      <c r="AB1735" s="2"/>
      <c r="AC1735" s="2" t="s">
        <v>13332</v>
      </c>
      <c r="AD1735" s="2" t="s">
        <v>46</v>
      </c>
    </row>
    <row r="1736" customFormat="false" ht="15.7" hidden="false" customHeight="true" outlineLevel="0" collapsed="false">
      <c r="A1736" s="2"/>
      <c r="B1736" s="3" t="n">
        <f aca="false">DATE(2011,11,9)</f>
        <v>0</v>
      </c>
      <c r="C1736" s="3" t="n">
        <v>40856</v>
      </c>
      <c r="D1736" s="2" t="s">
        <v>13333</v>
      </c>
      <c r="F1736" s="2" t="s">
        <v>13334</v>
      </c>
      <c r="G1736" s="2" t="s">
        <v>13335</v>
      </c>
      <c r="H1736" s="2" t="s">
        <v>3477</v>
      </c>
      <c r="I1736" s="2" t="s">
        <v>51</v>
      </c>
      <c r="J1736" s="2" t="s">
        <v>77</v>
      </c>
      <c r="K1736" s="2" t="s">
        <v>13336</v>
      </c>
      <c r="L1736" s="2" t="s">
        <v>51</v>
      </c>
      <c r="M1736" s="2" t="s">
        <v>9318</v>
      </c>
      <c r="N1736" s="2" t="s">
        <v>13337</v>
      </c>
      <c r="O1736" s="2"/>
      <c r="P1736" s="2" t="s">
        <v>37</v>
      </c>
      <c r="Q1736" s="4" t="n">
        <v>8731</v>
      </c>
      <c r="R1736" s="2" t="s">
        <v>56</v>
      </c>
      <c r="S1736" s="2" t="s">
        <v>2265</v>
      </c>
      <c r="T1736" s="2" t="s">
        <v>40</v>
      </c>
      <c r="U1736" s="2" t="s">
        <v>13338</v>
      </c>
      <c r="V1736" s="2"/>
      <c r="W1736" s="2" t="s">
        <v>42</v>
      </c>
      <c r="X1736" s="2" t="s">
        <v>43</v>
      </c>
      <c r="Y1736" s="2" t="s">
        <v>37</v>
      </c>
      <c r="Z1736" s="2" t="s">
        <v>44</v>
      </c>
      <c r="AA1736" s="2"/>
      <c r="AB1736" s="2"/>
      <c r="AC1736" s="2" t="s">
        <v>13339</v>
      </c>
      <c r="AD1736" s="2" t="s">
        <v>46</v>
      </c>
    </row>
    <row r="1737" customFormat="false" ht="15.7" hidden="false" customHeight="true" outlineLevel="0" collapsed="false">
      <c r="A1737" s="2"/>
      <c r="B1737" s="3" t="n">
        <f aca="false">DATE(2011,11,9)</f>
        <v>0</v>
      </c>
      <c r="C1737" s="3" t="n">
        <v>40856</v>
      </c>
      <c r="D1737" s="2" t="s">
        <v>13340</v>
      </c>
      <c r="F1737" s="2" t="s">
        <v>13341</v>
      </c>
      <c r="G1737" s="2" t="s">
        <v>13342</v>
      </c>
      <c r="H1737" s="2" t="s">
        <v>13343</v>
      </c>
      <c r="I1737" s="2" t="s">
        <v>664</v>
      </c>
      <c r="J1737" s="2" t="s">
        <v>132</v>
      </c>
      <c r="K1737" s="2" t="s">
        <v>13340</v>
      </c>
      <c r="L1737" s="2" t="s">
        <v>664</v>
      </c>
      <c r="M1737" s="2" t="s">
        <v>13343</v>
      </c>
      <c r="N1737" s="2" t="s">
        <v>13344</v>
      </c>
      <c r="O1737" s="2"/>
      <c r="P1737" s="2" t="s">
        <v>37</v>
      </c>
      <c r="Q1737" s="4" t="n">
        <v>3661</v>
      </c>
      <c r="R1737" s="2" t="s">
        <v>56</v>
      </c>
      <c r="S1737" s="2" t="s">
        <v>2265</v>
      </c>
      <c r="T1737" s="2" t="s">
        <v>40</v>
      </c>
      <c r="U1737" s="2" t="s">
        <v>13345</v>
      </c>
      <c r="V1737" s="2"/>
      <c r="W1737" s="2" t="s">
        <v>13346</v>
      </c>
      <c r="X1737" s="2" t="s">
        <v>43</v>
      </c>
      <c r="Y1737" s="2" t="s">
        <v>37</v>
      </c>
      <c r="Z1737" s="2" t="s">
        <v>44</v>
      </c>
      <c r="AA1737" s="2"/>
      <c r="AB1737" s="2"/>
      <c r="AC1737" s="2" t="s">
        <v>13347</v>
      </c>
      <c r="AD1737" s="2" t="s">
        <v>46</v>
      </c>
    </row>
    <row r="1738" customFormat="false" ht="15.7" hidden="false" customHeight="true" outlineLevel="0" collapsed="false">
      <c r="A1738" s="2"/>
      <c r="B1738" s="3" t="n">
        <f aca="false">DATE(2011,11,10)</f>
        <v>0</v>
      </c>
      <c r="C1738" s="3" t="n">
        <v>40857</v>
      </c>
      <c r="D1738" s="2" t="s">
        <v>13348</v>
      </c>
      <c r="F1738" s="2" t="s">
        <v>13349</v>
      </c>
      <c r="G1738" s="2" t="s">
        <v>13350</v>
      </c>
      <c r="H1738" s="2" t="s">
        <v>13351</v>
      </c>
      <c r="I1738" s="2" t="s">
        <v>821</v>
      </c>
      <c r="J1738" s="2" t="s">
        <v>625</v>
      </c>
      <c r="K1738" s="2" t="s">
        <v>13348</v>
      </c>
      <c r="L1738" s="2" t="s">
        <v>821</v>
      </c>
      <c r="M1738" s="2" t="s">
        <v>13351</v>
      </c>
      <c r="N1738" s="2" t="s">
        <v>13352</v>
      </c>
      <c r="O1738" s="2"/>
      <c r="P1738" s="2" t="s">
        <v>37</v>
      </c>
      <c r="Q1738" s="4" t="n">
        <v>3764</v>
      </c>
      <c r="R1738" s="2" t="s">
        <v>56</v>
      </c>
      <c r="S1738" s="2" t="s">
        <v>2265</v>
      </c>
      <c r="T1738" s="2" t="s">
        <v>403</v>
      </c>
      <c r="U1738" s="2" t="s">
        <v>13353</v>
      </c>
      <c r="V1738" s="2"/>
      <c r="W1738" s="2" t="s">
        <v>42</v>
      </c>
      <c r="X1738" s="2" t="s">
        <v>46</v>
      </c>
      <c r="Y1738" s="2" t="s">
        <v>37</v>
      </c>
      <c r="Z1738" s="2" t="s">
        <v>362</v>
      </c>
      <c r="AA1738" s="2"/>
      <c r="AB1738" s="2"/>
      <c r="AC1738" s="2" t="s">
        <v>13354</v>
      </c>
      <c r="AD1738" s="2" t="s">
        <v>46</v>
      </c>
    </row>
    <row r="1739" customFormat="false" ht="15.7" hidden="false" customHeight="true" outlineLevel="0" collapsed="false">
      <c r="A1739" s="2"/>
      <c r="B1739" s="3" t="n">
        <f aca="false">DATE(2011,11,11)</f>
        <v>0</v>
      </c>
      <c r="C1739" s="3" t="n">
        <v>40858</v>
      </c>
      <c r="D1739" s="2" t="s">
        <v>13355</v>
      </c>
      <c r="F1739" s="2" t="s">
        <v>13356</v>
      </c>
      <c r="G1739" s="2" t="s">
        <v>13357</v>
      </c>
      <c r="H1739" s="2" t="s">
        <v>130</v>
      </c>
      <c r="I1739" s="2" t="s">
        <v>9745</v>
      </c>
      <c r="J1739" s="2" t="s">
        <v>35</v>
      </c>
      <c r="K1739" s="2" t="s">
        <v>13358</v>
      </c>
      <c r="L1739" s="2" t="s">
        <v>9745</v>
      </c>
      <c r="M1739" s="2" t="s">
        <v>130</v>
      </c>
      <c r="N1739" s="2" t="s">
        <v>13359</v>
      </c>
      <c r="O1739" s="2"/>
      <c r="P1739" s="2" t="s">
        <v>37</v>
      </c>
      <c r="Q1739" s="4" t="n">
        <v>2834</v>
      </c>
      <c r="R1739" s="2" t="s">
        <v>136</v>
      </c>
      <c r="S1739" s="2" t="s">
        <v>39</v>
      </c>
      <c r="T1739" s="2" t="s">
        <v>40</v>
      </c>
      <c r="U1739" s="2" t="s">
        <v>13360</v>
      </c>
      <c r="V1739" s="2"/>
      <c r="W1739" s="2" t="s">
        <v>42</v>
      </c>
      <c r="X1739" s="2" t="s">
        <v>43</v>
      </c>
      <c r="Y1739" s="2" t="s">
        <v>37</v>
      </c>
      <c r="Z1739" s="2" t="s">
        <v>44</v>
      </c>
      <c r="AA1739" s="2" t="s">
        <v>13361</v>
      </c>
      <c r="AB1739" s="2"/>
      <c r="AC1739" s="2" t="s">
        <v>13362</v>
      </c>
      <c r="AD1739" s="2" t="s">
        <v>46</v>
      </c>
    </row>
    <row r="1740" customFormat="false" ht="15.7" hidden="false" customHeight="true" outlineLevel="0" collapsed="false">
      <c r="A1740" s="2"/>
      <c r="B1740" s="3" t="n">
        <f aca="false">DATE(2011,11,11)</f>
        <v>0</v>
      </c>
      <c r="C1740" s="3" t="n">
        <v>40858</v>
      </c>
      <c r="D1740" s="2" t="s">
        <v>13363</v>
      </c>
      <c r="F1740" s="2" t="s">
        <v>13364</v>
      </c>
      <c r="G1740" s="2" t="s">
        <v>13365</v>
      </c>
      <c r="H1740" s="2" t="s">
        <v>1190</v>
      </c>
      <c r="I1740" s="2" t="s">
        <v>51</v>
      </c>
      <c r="J1740" s="2" t="s">
        <v>13366</v>
      </c>
      <c r="K1740" s="2" t="s">
        <v>13363</v>
      </c>
      <c r="L1740" s="2" t="s">
        <v>51</v>
      </c>
      <c r="M1740" s="2" t="s">
        <v>1190</v>
      </c>
      <c r="N1740" s="2" t="s">
        <v>13367</v>
      </c>
      <c r="O1740" s="2"/>
      <c r="P1740" s="2" t="s">
        <v>37</v>
      </c>
      <c r="Q1740" s="4" t="n">
        <v>8731</v>
      </c>
      <c r="R1740" s="2" t="s">
        <v>56</v>
      </c>
      <c r="S1740" s="2" t="s">
        <v>2265</v>
      </c>
      <c r="T1740" s="2" t="s">
        <v>40</v>
      </c>
      <c r="U1740" s="2" t="s">
        <v>13368</v>
      </c>
      <c r="V1740" s="2"/>
      <c r="W1740" s="2" t="s">
        <v>42</v>
      </c>
      <c r="X1740" s="2" t="s">
        <v>43</v>
      </c>
      <c r="Y1740" s="2" t="s">
        <v>37</v>
      </c>
      <c r="Z1740" s="2" t="s">
        <v>44</v>
      </c>
      <c r="AA1740" s="2"/>
      <c r="AB1740" s="2"/>
      <c r="AC1740" s="2" t="s">
        <v>13369</v>
      </c>
      <c r="AD1740" s="2" t="s">
        <v>46</v>
      </c>
    </row>
    <row r="1741" customFormat="false" ht="15.7" hidden="false" customHeight="true" outlineLevel="0" collapsed="false">
      <c r="A1741" s="2"/>
      <c r="B1741" s="3" t="n">
        <f aca="false">DATE(2011,11,11)</f>
        <v>0</v>
      </c>
      <c r="C1741" s="3" t="n">
        <v>40858</v>
      </c>
      <c r="D1741" s="2" t="s">
        <v>13370</v>
      </c>
      <c r="F1741" s="2" t="s">
        <v>13371</v>
      </c>
      <c r="G1741" s="2" t="s">
        <v>13372</v>
      </c>
      <c r="H1741" s="2" t="s">
        <v>4803</v>
      </c>
      <c r="I1741" s="2" t="s">
        <v>51</v>
      </c>
      <c r="J1741" s="2" t="s">
        <v>3045</v>
      </c>
      <c r="K1741" s="2" t="s">
        <v>13370</v>
      </c>
      <c r="L1741" s="2" t="s">
        <v>51</v>
      </c>
      <c r="M1741" s="2" t="s">
        <v>4803</v>
      </c>
      <c r="N1741" s="2" t="s">
        <v>13373</v>
      </c>
      <c r="O1741" s="2"/>
      <c r="P1741" s="2" t="s">
        <v>37</v>
      </c>
      <c r="Q1741" s="4" t="n">
        <v>8731</v>
      </c>
      <c r="R1741" s="2" t="s">
        <v>56</v>
      </c>
      <c r="S1741" s="2" t="s">
        <v>2265</v>
      </c>
      <c r="T1741" s="2" t="s">
        <v>40</v>
      </c>
      <c r="U1741" s="2" t="s">
        <v>13374</v>
      </c>
      <c r="V1741" s="2"/>
      <c r="W1741" s="2" t="s">
        <v>42</v>
      </c>
      <c r="X1741" s="2" t="s">
        <v>43</v>
      </c>
      <c r="Y1741" s="2" t="s">
        <v>37</v>
      </c>
      <c r="Z1741" s="2" t="s">
        <v>44</v>
      </c>
      <c r="AA1741" s="2"/>
      <c r="AB1741" s="2"/>
      <c r="AC1741" s="2" t="s">
        <v>13375</v>
      </c>
      <c r="AD1741" s="2" t="s">
        <v>46</v>
      </c>
    </row>
    <row r="1742" customFormat="false" ht="15.7" hidden="false" customHeight="true" outlineLevel="0" collapsed="false">
      <c r="A1742" s="2"/>
      <c r="B1742" s="3" t="n">
        <f aca="false">DATE(2011,11,11)</f>
        <v>0</v>
      </c>
      <c r="C1742" s="3" t="n">
        <v>40858</v>
      </c>
      <c r="D1742" s="2" t="s">
        <v>13376</v>
      </c>
      <c r="F1742" s="2" t="s">
        <v>13377</v>
      </c>
      <c r="G1742" s="2" t="s">
        <v>13378</v>
      </c>
      <c r="H1742" s="2" t="s">
        <v>13379</v>
      </c>
      <c r="I1742" s="2" t="s">
        <v>51</v>
      </c>
      <c r="J1742" s="2" t="s">
        <v>7353</v>
      </c>
      <c r="K1742" s="2" t="s">
        <v>13380</v>
      </c>
      <c r="L1742" s="2" t="s">
        <v>51</v>
      </c>
      <c r="M1742" s="2" t="s">
        <v>13379</v>
      </c>
      <c r="N1742" s="2" t="s">
        <v>13381</v>
      </c>
      <c r="O1742" s="2"/>
      <c r="P1742" s="2" t="s">
        <v>37</v>
      </c>
      <c r="Q1742" s="4" t="n">
        <v>8731</v>
      </c>
      <c r="R1742" s="2" t="s">
        <v>56</v>
      </c>
      <c r="S1742" s="2" t="s">
        <v>2265</v>
      </c>
      <c r="T1742" s="2" t="s">
        <v>40</v>
      </c>
      <c r="U1742" s="2" t="s">
        <v>13382</v>
      </c>
      <c r="V1742" s="2"/>
      <c r="W1742" s="2" t="s">
        <v>1050</v>
      </c>
      <c r="X1742" s="2" t="s">
        <v>43</v>
      </c>
      <c r="Y1742" s="2" t="s">
        <v>37</v>
      </c>
      <c r="Z1742" s="2" t="s">
        <v>44</v>
      </c>
      <c r="AA1742" s="2" t="s">
        <v>13383</v>
      </c>
      <c r="AB1742" s="2"/>
      <c r="AC1742" s="2" t="s">
        <v>13384</v>
      </c>
      <c r="AD1742" s="2" t="s">
        <v>46</v>
      </c>
    </row>
    <row r="1743" customFormat="false" ht="15.7" hidden="false" customHeight="true" outlineLevel="0" collapsed="false">
      <c r="A1743" s="2"/>
      <c r="B1743" s="3" t="n">
        <f aca="false">DATE(2011,11,11)</f>
        <v>0</v>
      </c>
      <c r="C1743" s="3" t="n">
        <v>40858</v>
      </c>
      <c r="D1743" s="2" t="s">
        <v>13385</v>
      </c>
      <c r="F1743" s="2" t="s">
        <v>13386</v>
      </c>
      <c r="G1743" s="2" t="s">
        <v>13387</v>
      </c>
      <c r="H1743" s="2" t="s">
        <v>13388</v>
      </c>
      <c r="I1743" s="2" t="s">
        <v>13389</v>
      </c>
      <c r="J1743" s="2" t="s">
        <v>116</v>
      </c>
      <c r="K1743" s="2" t="s">
        <v>13390</v>
      </c>
      <c r="L1743" s="2" t="s">
        <v>3197</v>
      </c>
      <c r="M1743" s="2" t="s">
        <v>13391</v>
      </c>
      <c r="N1743" s="2" t="s">
        <v>13392</v>
      </c>
      <c r="O1743" s="2"/>
      <c r="P1743" s="2" t="s">
        <v>37</v>
      </c>
      <c r="Q1743" s="4" t="n">
        <v>8731</v>
      </c>
      <c r="R1743" s="2" t="s">
        <v>105</v>
      </c>
      <c r="S1743" s="2" t="s">
        <v>39</v>
      </c>
      <c r="T1743" s="2" t="s">
        <v>40</v>
      </c>
      <c r="U1743" s="2" t="s">
        <v>13393</v>
      </c>
      <c r="V1743" s="2"/>
      <c r="W1743" s="2" t="s">
        <v>1050</v>
      </c>
      <c r="X1743" s="2" t="s">
        <v>43</v>
      </c>
      <c r="Y1743" s="2" t="s">
        <v>37</v>
      </c>
      <c r="Z1743" s="2" t="s">
        <v>916</v>
      </c>
      <c r="AA1743" s="2"/>
      <c r="AB1743" s="2"/>
      <c r="AC1743" s="2" t="s">
        <v>13394</v>
      </c>
      <c r="AD1743" s="2" t="s">
        <v>46</v>
      </c>
    </row>
    <row r="1744" customFormat="false" ht="15.7" hidden="false" customHeight="true" outlineLevel="0" collapsed="false">
      <c r="A1744" s="2"/>
      <c r="B1744" s="3" t="n">
        <f aca="false">DATE(2011,11,15)</f>
        <v>0</v>
      </c>
      <c r="C1744" s="3" t="n">
        <v>40862</v>
      </c>
      <c r="D1744" s="2" t="s">
        <v>13395</v>
      </c>
      <c r="F1744" s="2" t="s">
        <v>13396</v>
      </c>
      <c r="G1744" s="2" t="s">
        <v>13397</v>
      </c>
      <c r="H1744" s="2" t="s">
        <v>13398</v>
      </c>
      <c r="I1744" s="2" t="s">
        <v>13399</v>
      </c>
      <c r="J1744" s="2" t="s">
        <v>116</v>
      </c>
      <c r="K1744" s="2" t="s">
        <v>13400</v>
      </c>
      <c r="L1744" s="2" t="s">
        <v>13399</v>
      </c>
      <c r="M1744" s="2" t="s">
        <v>13401</v>
      </c>
      <c r="N1744" s="2" t="s">
        <v>13402</v>
      </c>
      <c r="O1744" s="2"/>
      <c r="P1744" s="2" t="s">
        <v>37</v>
      </c>
      <c r="Q1744" s="4" t="n">
        <v>2836</v>
      </c>
      <c r="R1744" s="2" t="s">
        <v>688</v>
      </c>
      <c r="S1744" s="2" t="s">
        <v>39</v>
      </c>
      <c r="T1744" s="2" t="s">
        <v>40</v>
      </c>
      <c r="U1744" s="2" t="s">
        <v>13403</v>
      </c>
      <c r="V1744" s="2"/>
      <c r="W1744" s="2" t="s">
        <v>42</v>
      </c>
      <c r="X1744" s="2" t="s">
        <v>43</v>
      </c>
      <c r="Y1744" s="2" t="s">
        <v>37</v>
      </c>
      <c r="Z1744" s="2" t="s">
        <v>916</v>
      </c>
      <c r="AA1744" s="2" t="s">
        <v>13404</v>
      </c>
      <c r="AB1744" s="2"/>
      <c r="AC1744" s="2" t="s">
        <v>13405</v>
      </c>
      <c r="AD1744" s="2" t="s">
        <v>46</v>
      </c>
    </row>
    <row r="1745" customFormat="false" ht="15.7" hidden="false" customHeight="true" outlineLevel="0" collapsed="false">
      <c r="A1745" s="2"/>
      <c r="B1745" s="3" t="n">
        <f aca="false">DATE(2011,11,15)</f>
        <v>0</v>
      </c>
      <c r="C1745" s="3" t="n">
        <v>40862</v>
      </c>
      <c r="D1745" s="2" t="s">
        <v>13406</v>
      </c>
      <c r="F1745" s="2" t="s">
        <v>1865</v>
      </c>
      <c r="G1745" s="2" t="s">
        <v>13407</v>
      </c>
      <c r="H1745" s="2" t="s">
        <v>130</v>
      </c>
      <c r="I1745" s="2" t="s">
        <v>13408</v>
      </c>
      <c r="J1745" s="2" t="s">
        <v>35</v>
      </c>
      <c r="K1745" s="2" t="s">
        <v>13409</v>
      </c>
      <c r="L1745" s="2" t="s">
        <v>13410</v>
      </c>
      <c r="M1745" s="2" t="s">
        <v>305</v>
      </c>
      <c r="N1745" s="2" t="s">
        <v>13411</v>
      </c>
      <c r="O1745" s="2"/>
      <c r="P1745" s="2" t="s">
        <v>37</v>
      </c>
      <c r="Q1745" s="4" t="n">
        <v>2834</v>
      </c>
      <c r="R1745" s="2" t="s">
        <v>2201</v>
      </c>
      <c r="S1745" s="2" t="s">
        <v>39</v>
      </c>
      <c r="T1745" s="2" t="s">
        <v>40</v>
      </c>
      <c r="U1745" s="2" t="s">
        <v>13412</v>
      </c>
      <c r="V1745" s="2"/>
      <c r="W1745" s="2" t="s">
        <v>42</v>
      </c>
      <c r="X1745" s="2" t="s">
        <v>43</v>
      </c>
      <c r="Y1745" s="2" t="s">
        <v>37</v>
      </c>
      <c r="Z1745" s="2" t="s">
        <v>44</v>
      </c>
      <c r="AA1745" s="2" t="s">
        <v>13413</v>
      </c>
      <c r="AB1745" s="2"/>
      <c r="AC1745" s="2" t="s">
        <v>13414</v>
      </c>
      <c r="AD1745" s="2" t="s">
        <v>46</v>
      </c>
    </row>
    <row r="1746" customFormat="false" ht="15.7" hidden="false" customHeight="true" outlineLevel="0" collapsed="false">
      <c r="A1746" s="2"/>
      <c r="B1746" s="3" t="n">
        <f aca="false">DATE(2011,11,15)</f>
        <v>0</v>
      </c>
      <c r="C1746" s="3" t="n">
        <v>40862</v>
      </c>
      <c r="D1746" s="2" t="s">
        <v>13415</v>
      </c>
      <c r="F1746" s="2" t="s">
        <v>13014</v>
      </c>
      <c r="G1746" s="2" t="s">
        <v>13416</v>
      </c>
      <c r="H1746" s="2" t="s">
        <v>170</v>
      </c>
      <c r="I1746" s="2" t="s">
        <v>13417</v>
      </c>
      <c r="J1746" s="2" t="s">
        <v>35</v>
      </c>
      <c r="K1746" s="2" t="s">
        <v>13418</v>
      </c>
      <c r="L1746" s="2" t="s">
        <v>13417</v>
      </c>
      <c r="M1746" s="2" t="s">
        <v>551</v>
      </c>
      <c r="N1746" s="2" t="s">
        <v>13419</v>
      </c>
      <c r="O1746" s="2"/>
      <c r="P1746" s="2" t="s">
        <v>37</v>
      </c>
      <c r="Q1746" s="4" t="n">
        <v>2836</v>
      </c>
      <c r="R1746" s="2" t="s">
        <v>105</v>
      </c>
      <c r="S1746" s="2" t="s">
        <v>39</v>
      </c>
      <c r="T1746" s="2" t="s">
        <v>40</v>
      </c>
      <c r="U1746" s="2" t="s">
        <v>13420</v>
      </c>
      <c r="V1746" s="2"/>
      <c r="W1746" s="2" t="s">
        <v>42</v>
      </c>
      <c r="X1746" s="2" t="s">
        <v>43</v>
      </c>
      <c r="Y1746" s="2" t="s">
        <v>37</v>
      </c>
      <c r="Z1746" s="2" t="s">
        <v>44</v>
      </c>
      <c r="AA1746" s="2" t="s">
        <v>13421</v>
      </c>
      <c r="AB1746" s="2"/>
      <c r="AC1746" s="2" t="s">
        <v>13422</v>
      </c>
      <c r="AD1746" s="2" t="s">
        <v>46</v>
      </c>
    </row>
    <row r="1747" customFormat="false" ht="15.7" hidden="false" customHeight="true" outlineLevel="0" collapsed="false">
      <c r="A1747" s="2"/>
      <c r="B1747" s="3" t="n">
        <f aca="false">DATE(2011,11,15)</f>
        <v>0</v>
      </c>
      <c r="C1747" s="3" t="n">
        <v>40862</v>
      </c>
      <c r="D1747" s="2" t="s">
        <v>13423</v>
      </c>
      <c r="F1747" s="2" t="s">
        <v>13424</v>
      </c>
      <c r="G1747" s="2" t="s">
        <v>13425</v>
      </c>
      <c r="H1747" s="2" t="s">
        <v>13426</v>
      </c>
      <c r="I1747" s="2" t="s">
        <v>4325</v>
      </c>
      <c r="J1747" s="2" t="s">
        <v>35</v>
      </c>
      <c r="K1747" s="2" t="s">
        <v>13423</v>
      </c>
      <c r="L1747" s="2" t="s">
        <v>4325</v>
      </c>
      <c r="M1747" s="2" t="s">
        <v>13426</v>
      </c>
      <c r="N1747" s="2" t="s">
        <v>13427</v>
      </c>
      <c r="O1747" s="2"/>
      <c r="P1747" s="2" t="s">
        <v>37</v>
      </c>
      <c r="Q1747" s="4" t="n">
        <v>8731</v>
      </c>
      <c r="R1747" s="2" t="s">
        <v>402</v>
      </c>
      <c r="S1747" s="2" t="s">
        <v>39</v>
      </c>
      <c r="T1747" s="2" t="s">
        <v>403</v>
      </c>
      <c r="U1747" s="2" t="s">
        <v>13428</v>
      </c>
      <c r="V1747" s="2"/>
      <c r="W1747" s="2" t="s">
        <v>42</v>
      </c>
      <c r="X1747" s="2" t="s">
        <v>46</v>
      </c>
      <c r="Y1747" s="2" t="s">
        <v>37</v>
      </c>
      <c r="Z1747" s="2" t="s">
        <v>987</v>
      </c>
      <c r="AA1747" s="2" t="s">
        <v>13429</v>
      </c>
      <c r="AB1747" s="2"/>
      <c r="AC1747" s="2" t="s">
        <v>13430</v>
      </c>
      <c r="AD1747" s="2" t="s">
        <v>46</v>
      </c>
    </row>
    <row r="1748" customFormat="false" ht="15.7" hidden="false" customHeight="true" outlineLevel="0" collapsed="false">
      <c r="A1748" s="2"/>
      <c r="B1748" s="3" t="n">
        <f aca="false">DATE(2011,11,16)</f>
        <v>0</v>
      </c>
      <c r="C1748" s="3" t="n">
        <v>40863</v>
      </c>
      <c r="D1748" s="2" t="s">
        <v>13431</v>
      </c>
      <c r="F1748" s="2" t="s">
        <v>13432</v>
      </c>
      <c r="G1748" s="2" t="s">
        <v>13433</v>
      </c>
      <c r="H1748" s="2" t="s">
        <v>13434</v>
      </c>
      <c r="I1748" s="2" t="s">
        <v>34</v>
      </c>
      <c r="J1748" s="2" t="s">
        <v>35</v>
      </c>
      <c r="K1748" s="2" t="s">
        <v>13435</v>
      </c>
      <c r="L1748" s="2" t="s">
        <v>34</v>
      </c>
      <c r="M1748" s="2" t="s">
        <v>13436</v>
      </c>
      <c r="N1748" s="2" t="s">
        <v>13437</v>
      </c>
      <c r="O1748" s="2" t="s">
        <v>13438</v>
      </c>
      <c r="P1748" s="2" t="s">
        <v>37</v>
      </c>
      <c r="Q1748" s="4" t="n">
        <v>2836</v>
      </c>
      <c r="R1748" s="2" t="s">
        <v>38</v>
      </c>
      <c r="S1748" s="2" t="s">
        <v>39</v>
      </c>
      <c r="T1748" s="2" t="s">
        <v>40</v>
      </c>
      <c r="U1748" s="2" t="s">
        <v>13439</v>
      </c>
      <c r="V1748" s="2"/>
      <c r="W1748" s="2" t="s">
        <v>107</v>
      </c>
      <c r="X1748" s="2" t="s">
        <v>46</v>
      </c>
      <c r="Y1748" s="2" t="s">
        <v>37</v>
      </c>
      <c r="Z1748" s="2" t="s">
        <v>362</v>
      </c>
      <c r="AA1748" s="2" t="s">
        <v>13440</v>
      </c>
      <c r="AB1748" s="2" t="s">
        <v>13441</v>
      </c>
      <c r="AC1748" s="2" t="s">
        <v>13442</v>
      </c>
      <c r="AD1748" s="2" t="s">
        <v>46</v>
      </c>
    </row>
    <row r="1749" customFormat="false" ht="15.7" hidden="false" customHeight="true" outlineLevel="0" collapsed="false">
      <c r="A1749" s="2"/>
      <c r="B1749" s="3" t="n">
        <f aca="false">DATE(2011,11,16)</f>
        <v>0</v>
      </c>
      <c r="C1749" s="3" t="n">
        <v>40863</v>
      </c>
      <c r="D1749" s="2" t="s">
        <v>13443</v>
      </c>
      <c r="F1749" s="2" t="s">
        <v>13444</v>
      </c>
      <c r="G1749" s="2" t="s">
        <v>13445</v>
      </c>
      <c r="H1749" s="2" t="s">
        <v>2857</v>
      </c>
      <c r="I1749" s="2" t="s">
        <v>965</v>
      </c>
      <c r="J1749" s="2" t="s">
        <v>795</v>
      </c>
      <c r="K1749" s="2" t="s">
        <v>13446</v>
      </c>
      <c r="L1749" s="2" t="s">
        <v>13417</v>
      </c>
      <c r="M1749" s="2" t="s">
        <v>13447</v>
      </c>
      <c r="N1749" s="2" t="s">
        <v>13448</v>
      </c>
      <c r="O1749" s="2"/>
      <c r="P1749" s="2" t="s">
        <v>37</v>
      </c>
      <c r="Q1749" s="4" t="n">
        <v>3674</v>
      </c>
      <c r="R1749" s="2" t="s">
        <v>56</v>
      </c>
      <c r="S1749" s="2" t="s">
        <v>92</v>
      </c>
      <c r="T1749" s="2" t="s">
        <v>40</v>
      </c>
      <c r="U1749" s="2" t="s">
        <v>13449</v>
      </c>
      <c r="V1749" s="2"/>
      <c r="W1749" s="2" t="s">
        <v>107</v>
      </c>
      <c r="X1749" s="2" t="s">
        <v>46</v>
      </c>
      <c r="Y1749" s="2" t="s">
        <v>37</v>
      </c>
      <c r="Z1749" s="2" t="s">
        <v>362</v>
      </c>
      <c r="AA1749" s="2"/>
      <c r="AB1749" s="2"/>
      <c r="AC1749" s="2" t="s">
        <v>13450</v>
      </c>
      <c r="AD1749" s="2" t="s">
        <v>46</v>
      </c>
    </row>
    <row r="1750" customFormat="false" ht="15.7" hidden="false" customHeight="true" outlineLevel="0" collapsed="false">
      <c r="A1750" s="2"/>
      <c r="B1750" s="3" t="n">
        <f aca="false">DATE(2011,11,17)</f>
        <v>0</v>
      </c>
      <c r="C1750" s="3" t="n">
        <v>40864</v>
      </c>
      <c r="D1750" s="2" t="s">
        <v>13451</v>
      </c>
      <c r="F1750" s="2" t="s">
        <v>13452</v>
      </c>
      <c r="G1750" s="2" t="s">
        <v>13453</v>
      </c>
      <c r="H1750" s="2" t="s">
        <v>13454</v>
      </c>
      <c r="I1750" s="2" t="s">
        <v>51</v>
      </c>
      <c r="J1750" s="2" t="s">
        <v>1496</v>
      </c>
      <c r="K1750" s="2" t="s">
        <v>13455</v>
      </c>
      <c r="L1750" s="2" t="s">
        <v>51</v>
      </c>
      <c r="M1750" s="2" t="s">
        <v>170</v>
      </c>
      <c r="N1750" s="2" t="s">
        <v>13456</v>
      </c>
      <c r="O1750" s="2"/>
      <c r="P1750" s="2" t="s">
        <v>37</v>
      </c>
      <c r="Q1750" s="4" t="n">
        <v>2834</v>
      </c>
      <c r="R1750" s="2" t="s">
        <v>56</v>
      </c>
      <c r="S1750" s="2" t="s">
        <v>2265</v>
      </c>
      <c r="T1750" s="2" t="s">
        <v>40</v>
      </c>
      <c r="U1750" s="2" t="s">
        <v>13457</v>
      </c>
      <c r="V1750" s="2"/>
      <c r="W1750" s="2" t="s">
        <v>42</v>
      </c>
      <c r="X1750" s="2" t="s">
        <v>43</v>
      </c>
      <c r="Y1750" s="2" t="s">
        <v>37</v>
      </c>
      <c r="Z1750" s="2" t="s">
        <v>44</v>
      </c>
      <c r="AA1750" s="2"/>
      <c r="AB1750" s="2"/>
      <c r="AC1750" s="2" t="s">
        <v>13458</v>
      </c>
      <c r="AD1750" s="2" t="s">
        <v>46</v>
      </c>
    </row>
    <row r="1751" customFormat="false" ht="15.7" hidden="false" customHeight="true" outlineLevel="0" collapsed="false">
      <c r="A1751" s="2"/>
      <c r="B1751" s="3" t="n">
        <f aca="false">DATE(2011,11,18)</f>
        <v>0</v>
      </c>
      <c r="C1751" s="3" t="n">
        <v>40865</v>
      </c>
      <c r="D1751" s="2" t="s">
        <v>13459</v>
      </c>
      <c r="F1751" s="2" t="s">
        <v>13460</v>
      </c>
      <c r="G1751" s="2" t="s">
        <v>13461</v>
      </c>
      <c r="H1751" s="2" t="s">
        <v>551</v>
      </c>
      <c r="I1751" s="2" t="s">
        <v>7116</v>
      </c>
      <c r="J1751" s="2" t="s">
        <v>65</v>
      </c>
      <c r="K1751" s="2" t="s">
        <v>13459</v>
      </c>
      <c r="L1751" s="2" t="s">
        <v>7116</v>
      </c>
      <c r="M1751" s="2" t="s">
        <v>551</v>
      </c>
      <c r="N1751" s="2" t="s">
        <v>13462</v>
      </c>
      <c r="O1751" s="2"/>
      <c r="P1751" s="2" t="s">
        <v>37</v>
      </c>
      <c r="Q1751" s="4" t="n">
        <v>8731</v>
      </c>
      <c r="R1751" s="2" t="s">
        <v>136</v>
      </c>
      <c r="S1751" s="2" t="s">
        <v>39</v>
      </c>
      <c r="T1751" s="2" t="s">
        <v>40</v>
      </c>
      <c r="U1751" s="2" t="s">
        <v>13463</v>
      </c>
      <c r="V1751" s="2"/>
      <c r="W1751" s="2" t="s">
        <v>82</v>
      </c>
      <c r="X1751" s="2" t="s">
        <v>43</v>
      </c>
      <c r="Y1751" s="2" t="s">
        <v>37</v>
      </c>
      <c r="Z1751" s="2" t="s">
        <v>44</v>
      </c>
      <c r="AA1751" s="2" t="s">
        <v>13464</v>
      </c>
      <c r="AB1751" s="2"/>
      <c r="AC1751" s="2" t="s">
        <v>13465</v>
      </c>
      <c r="AD1751" s="2" t="s">
        <v>46</v>
      </c>
    </row>
    <row r="1752" customFormat="false" ht="15.7" hidden="false" customHeight="true" outlineLevel="0" collapsed="false">
      <c r="A1752" s="2"/>
      <c r="B1752" s="3" t="n">
        <f aca="false">DATE(2011,11,18)</f>
        <v>0</v>
      </c>
      <c r="C1752" s="3" t="n">
        <v>40865</v>
      </c>
      <c r="D1752" s="2" t="s">
        <v>13466</v>
      </c>
      <c r="F1752" s="2" t="s">
        <v>13467</v>
      </c>
      <c r="G1752" s="2" t="s">
        <v>13468</v>
      </c>
      <c r="H1752" s="2" t="s">
        <v>130</v>
      </c>
      <c r="I1752" s="2" t="s">
        <v>12290</v>
      </c>
      <c r="J1752" s="2" t="s">
        <v>35</v>
      </c>
      <c r="K1752" s="2" t="s">
        <v>13466</v>
      </c>
      <c r="L1752" s="2" t="s">
        <v>12290</v>
      </c>
      <c r="M1752" s="2" t="s">
        <v>130</v>
      </c>
      <c r="N1752" s="2" t="s">
        <v>13469</v>
      </c>
      <c r="O1752" s="2"/>
      <c r="P1752" s="2" t="s">
        <v>37</v>
      </c>
      <c r="Q1752" s="4" t="n">
        <v>2834</v>
      </c>
      <c r="R1752" s="2" t="s">
        <v>38</v>
      </c>
      <c r="S1752" s="2" t="s">
        <v>39</v>
      </c>
      <c r="T1752" s="2" t="s">
        <v>40</v>
      </c>
      <c r="U1752" s="2" t="s">
        <v>13470</v>
      </c>
      <c r="V1752" s="2"/>
      <c r="W1752" s="2" t="s">
        <v>42</v>
      </c>
      <c r="X1752" s="2" t="s">
        <v>43</v>
      </c>
      <c r="Y1752" s="2" t="s">
        <v>37</v>
      </c>
      <c r="Z1752" s="2" t="s">
        <v>44</v>
      </c>
      <c r="AA1752" s="2"/>
      <c r="AB1752" s="2"/>
      <c r="AC1752" s="2" t="s">
        <v>13471</v>
      </c>
      <c r="AD1752" s="2" t="s">
        <v>46</v>
      </c>
    </row>
    <row r="1753" customFormat="false" ht="15.7" hidden="false" customHeight="true" outlineLevel="0" collapsed="false">
      <c r="A1753" s="2"/>
      <c r="B1753" s="3" t="n">
        <f aca="false">DATE(2011,11,20)</f>
        <v>0</v>
      </c>
      <c r="C1753" s="3" t="n">
        <v>40867</v>
      </c>
      <c r="D1753" s="2" t="s">
        <v>13472</v>
      </c>
      <c r="F1753" s="2" t="s">
        <v>13473</v>
      </c>
      <c r="G1753" s="2" t="s">
        <v>13474</v>
      </c>
      <c r="H1753" s="2" t="s">
        <v>130</v>
      </c>
      <c r="I1753" s="2" t="s">
        <v>51</v>
      </c>
      <c r="J1753" s="2" t="s">
        <v>195</v>
      </c>
      <c r="K1753" s="2" t="s">
        <v>13472</v>
      </c>
      <c r="L1753" s="2" t="s">
        <v>51</v>
      </c>
      <c r="M1753" s="2" t="s">
        <v>130</v>
      </c>
      <c r="N1753" s="2" t="s">
        <v>13475</v>
      </c>
      <c r="O1753" s="2"/>
      <c r="P1753" s="2" t="s">
        <v>37</v>
      </c>
      <c r="Q1753" s="4" t="n">
        <v>2834</v>
      </c>
      <c r="R1753" s="2" t="s">
        <v>56</v>
      </c>
      <c r="S1753" s="2" t="s">
        <v>2265</v>
      </c>
      <c r="T1753" s="2" t="s">
        <v>40</v>
      </c>
      <c r="U1753" s="2" t="s">
        <v>13476</v>
      </c>
      <c r="V1753" s="2"/>
      <c r="W1753" s="2" t="s">
        <v>82</v>
      </c>
      <c r="X1753" s="2" t="s">
        <v>43</v>
      </c>
      <c r="Y1753" s="2" t="s">
        <v>37</v>
      </c>
      <c r="Z1753" s="2" t="s">
        <v>44</v>
      </c>
      <c r="AA1753" s="2" t="s">
        <v>13477</v>
      </c>
      <c r="AB1753" s="2"/>
      <c r="AC1753" s="2" t="s">
        <v>13478</v>
      </c>
      <c r="AD1753" s="2" t="s">
        <v>46</v>
      </c>
    </row>
    <row r="1754" customFormat="false" ht="15.7" hidden="false" customHeight="true" outlineLevel="0" collapsed="false">
      <c r="A1754" s="2"/>
      <c r="B1754" s="3" t="n">
        <f aca="false">DATE(2011,11,24)</f>
        <v>0</v>
      </c>
      <c r="C1754" s="3" t="n">
        <v>40871</v>
      </c>
      <c r="D1754" s="2" t="s">
        <v>13479</v>
      </c>
      <c r="F1754" s="2" t="s">
        <v>13480</v>
      </c>
      <c r="G1754" s="2" t="s">
        <v>13481</v>
      </c>
      <c r="H1754" s="2" t="s">
        <v>13482</v>
      </c>
      <c r="I1754" s="2" t="s">
        <v>5906</v>
      </c>
      <c r="J1754" s="2" t="s">
        <v>35</v>
      </c>
      <c r="K1754" s="2" t="s">
        <v>13483</v>
      </c>
      <c r="L1754" s="2" t="s">
        <v>5906</v>
      </c>
      <c r="M1754" s="2" t="s">
        <v>13484</v>
      </c>
      <c r="N1754" s="2" t="s">
        <v>13485</v>
      </c>
      <c r="O1754" s="2"/>
      <c r="P1754" s="2" t="s">
        <v>37</v>
      </c>
      <c r="Q1754" s="4" t="n">
        <v>3663</v>
      </c>
      <c r="R1754" s="2" t="s">
        <v>1208</v>
      </c>
      <c r="S1754" s="2" t="s">
        <v>39</v>
      </c>
      <c r="T1754" s="2" t="s">
        <v>403</v>
      </c>
      <c r="U1754" s="2" t="s">
        <v>13486</v>
      </c>
      <c r="V1754" s="2"/>
      <c r="W1754" s="2" t="s">
        <v>697</v>
      </c>
      <c r="X1754" s="2" t="s">
        <v>46</v>
      </c>
      <c r="Y1754" s="2" t="s">
        <v>37</v>
      </c>
      <c r="Z1754" s="2" t="s">
        <v>362</v>
      </c>
      <c r="AA1754" s="2"/>
      <c r="AB1754" s="2"/>
      <c r="AC1754" s="2" t="s">
        <v>13487</v>
      </c>
      <c r="AD1754" s="2" t="s">
        <v>46</v>
      </c>
    </row>
    <row r="1755" customFormat="false" ht="15.7" hidden="false" customHeight="true" outlineLevel="0" collapsed="false">
      <c r="A1755" s="2"/>
      <c r="B1755" s="3" t="n">
        <f aca="false">DATE(2011,11,25)</f>
        <v>0</v>
      </c>
      <c r="C1755" s="3" t="n">
        <v>40872</v>
      </c>
      <c r="D1755" s="2" t="s">
        <v>13488</v>
      </c>
      <c r="F1755" s="2" t="s">
        <v>13489</v>
      </c>
      <c r="G1755" s="2" t="s">
        <v>13490</v>
      </c>
      <c r="H1755" s="2" t="s">
        <v>13491</v>
      </c>
      <c r="I1755" s="2" t="s">
        <v>219</v>
      </c>
      <c r="J1755" s="2" t="s">
        <v>3054</v>
      </c>
      <c r="K1755" s="2" t="s">
        <v>13488</v>
      </c>
      <c r="L1755" s="2" t="s">
        <v>219</v>
      </c>
      <c r="M1755" s="2" t="s">
        <v>13491</v>
      </c>
      <c r="N1755" s="2" t="s">
        <v>13492</v>
      </c>
      <c r="O1755" s="2"/>
      <c r="P1755" s="2" t="s">
        <v>37</v>
      </c>
      <c r="Q1755" s="4" t="n">
        <v>7372</v>
      </c>
      <c r="R1755" s="2" t="s">
        <v>219</v>
      </c>
      <c r="S1755" s="2" t="s">
        <v>11842</v>
      </c>
      <c r="T1755" s="2" t="s">
        <v>403</v>
      </c>
      <c r="U1755" s="2" t="s">
        <v>13493</v>
      </c>
      <c r="V1755" s="2"/>
      <c r="W1755" s="2" t="s">
        <v>138</v>
      </c>
      <c r="X1755" s="2" t="s">
        <v>43</v>
      </c>
      <c r="Y1755" s="2" t="s">
        <v>79</v>
      </c>
      <c r="Z1755" s="2" t="s">
        <v>44</v>
      </c>
      <c r="AA1755" s="2"/>
      <c r="AB1755" s="2"/>
      <c r="AC1755" s="2" t="s">
        <v>13494</v>
      </c>
      <c r="AD1755" s="2" t="s">
        <v>46</v>
      </c>
    </row>
    <row r="1756" customFormat="false" ht="15.7" hidden="false" customHeight="true" outlineLevel="0" collapsed="false">
      <c r="A1756" s="2"/>
      <c r="B1756" s="3" t="n">
        <f aca="false">DATE(2011,11,28)</f>
        <v>0</v>
      </c>
      <c r="C1756" s="3" t="n">
        <v>40875</v>
      </c>
      <c r="D1756" s="2" t="s">
        <v>13495</v>
      </c>
      <c r="F1756" s="2" t="s">
        <v>13496</v>
      </c>
      <c r="G1756" s="2" t="s">
        <v>13497</v>
      </c>
      <c r="H1756" s="2" t="s">
        <v>11288</v>
      </c>
      <c r="I1756" s="2" t="s">
        <v>7116</v>
      </c>
      <c r="J1756" s="2" t="s">
        <v>3054</v>
      </c>
      <c r="K1756" s="2" t="s">
        <v>13495</v>
      </c>
      <c r="L1756" s="2" t="s">
        <v>7116</v>
      </c>
      <c r="M1756" s="2" t="s">
        <v>11288</v>
      </c>
      <c r="N1756" s="2" t="s">
        <v>13498</v>
      </c>
      <c r="O1756" s="2"/>
      <c r="P1756" s="2" t="s">
        <v>37</v>
      </c>
      <c r="Q1756" s="4" t="n">
        <v>7372</v>
      </c>
      <c r="R1756" s="2" t="s">
        <v>2201</v>
      </c>
      <c r="S1756" s="2" t="s">
        <v>39</v>
      </c>
      <c r="T1756" s="2" t="s">
        <v>403</v>
      </c>
      <c r="U1756" s="2" t="s">
        <v>13499</v>
      </c>
      <c r="V1756" s="2"/>
      <c r="W1756" s="2" t="s">
        <v>138</v>
      </c>
      <c r="X1756" s="2" t="s">
        <v>46</v>
      </c>
      <c r="Y1756" s="2" t="s">
        <v>37</v>
      </c>
      <c r="Z1756" s="2" t="s">
        <v>362</v>
      </c>
      <c r="AA1756" s="2"/>
      <c r="AB1756" s="2"/>
      <c r="AC1756" s="2" t="s">
        <v>13500</v>
      </c>
      <c r="AD1756" s="2" t="s">
        <v>46</v>
      </c>
    </row>
    <row r="1757" customFormat="false" ht="15.7" hidden="false" customHeight="true" outlineLevel="0" collapsed="false">
      <c r="A1757" s="2"/>
      <c r="B1757" s="3" t="n">
        <f aca="false">DATE(2011,11,28)</f>
        <v>0</v>
      </c>
      <c r="C1757" s="3" t="n">
        <v>40875</v>
      </c>
      <c r="D1757" s="2" t="s">
        <v>13501</v>
      </c>
      <c r="F1757" s="2" t="s">
        <v>13502</v>
      </c>
      <c r="G1757" s="2" t="s">
        <v>13503</v>
      </c>
      <c r="H1757" s="2" t="s">
        <v>13504</v>
      </c>
      <c r="I1757" s="2" t="s">
        <v>1617</v>
      </c>
      <c r="J1757" s="2" t="s">
        <v>13505</v>
      </c>
      <c r="K1757" s="2" t="s">
        <v>13506</v>
      </c>
      <c r="L1757" s="2" t="s">
        <v>1617</v>
      </c>
      <c r="M1757" s="2" t="s">
        <v>13507</v>
      </c>
      <c r="N1757" s="2" t="s">
        <v>13508</v>
      </c>
      <c r="O1757" s="2"/>
      <c r="P1757" s="2" t="s">
        <v>37</v>
      </c>
      <c r="Q1757" s="4" t="n">
        <v>8731</v>
      </c>
      <c r="R1757" s="2" t="s">
        <v>136</v>
      </c>
      <c r="S1757" s="2" t="s">
        <v>39</v>
      </c>
      <c r="T1757" s="2" t="s">
        <v>40</v>
      </c>
      <c r="U1757" s="2" t="s">
        <v>13509</v>
      </c>
      <c r="V1757" s="2"/>
      <c r="W1757" s="2" t="s">
        <v>82</v>
      </c>
      <c r="X1757" s="2" t="s">
        <v>43</v>
      </c>
      <c r="Y1757" s="2" t="s">
        <v>37</v>
      </c>
      <c r="Z1757" s="2" t="s">
        <v>916</v>
      </c>
      <c r="AA1757" s="2"/>
      <c r="AB1757" s="2"/>
      <c r="AC1757" s="2" t="s">
        <v>13510</v>
      </c>
      <c r="AD1757" s="2" t="s">
        <v>46</v>
      </c>
    </row>
    <row r="1758" customFormat="false" ht="15.7" hidden="false" customHeight="true" outlineLevel="0" collapsed="false">
      <c r="A1758" s="2"/>
      <c r="B1758" s="3" t="n">
        <f aca="false">DATE(2011,11,28)</f>
        <v>0</v>
      </c>
      <c r="C1758" s="3" t="n">
        <v>40875</v>
      </c>
      <c r="D1758" s="2" t="s">
        <v>13511</v>
      </c>
      <c r="F1758" s="2" t="s">
        <v>13512</v>
      </c>
      <c r="G1758" s="2" t="s">
        <v>13513</v>
      </c>
      <c r="H1758" s="2" t="s">
        <v>8167</v>
      </c>
      <c r="I1758" s="2" t="s">
        <v>4107</v>
      </c>
      <c r="J1758" s="2" t="s">
        <v>35</v>
      </c>
      <c r="K1758" s="2" t="s">
        <v>13514</v>
      </c>
      <c r="L1758" s="2" t="s">
        <v>4107</v>
      </c>
      <c r="M1758" s="2" t="s">
        <v>13515</v>
      </c>
      <c r="N1758" s="2" t="s">
        <v>13516</v>
      </c>
      <c r="O1758" s="2"/>
      <c r="P1758" s="2" t="s">
        <v>37</v>
      </c>
      <c r="Q1758" s="4" t="n">
        <v>8731</v>
      </c>
      <c r="R1758" s="2" t="s">
        <v>2201</v>
      </c>
      <c r="S1758" s="2" t="s">
        <v>39</v>
      </c>
      <c r="T1758" s="2" t="s">
        <v>403</v>
      </c>
      <c r="U1758" s="2" t="s">
        <v>13517</v>
      </c>
      <c r="V1758" s="2"/>
      <c r="W1758" s="2" t="s">
        <v>344</v>
      </c>
      <c r="X1758" s="2" t="s">
        <v>46</v>
      </c>
      <c r="Y1758" s="2" t="s">
        <v>37</v>
      </c>
      <c r="Z1758" s="2" t="s">
        <v>362</v>
      </c>
      <c r="AA1758" s="2" t="s">
        <v>13518</v>
      </c>
      <c r="AB1758" s="2"/>
      <c r="AC1758" s="2" t="s">
        <v>13519</v>
      </c>
      <c r="AD1758" s="2" t="s">
        <v>46</v>
      </c>
    </row>
    <row r="1759" customFormat="false" ht="15.7" hidden="false" customHeight="true" outlineLevel="0" collapsed="false">
      <c r="A1759" s="2"/>
      <c r="B1759" s="3" t="n">
        <f aca="false">DATE(2011,11,29)</f>
        <v>0</v>
      </c>
      <c r="C1759" s="3" t="n">
        <v>40876</v>
      </c>
      <c r="D1759" s="2" t="s">
        <v>13520</v>
      </c>
      <c r="F1759" s="2" t="s">
        <v>13521</v>
      </c>
      <c r="G1759" s="2" t="s">
        <v>13522</v>
      </c>
      <c r="H1759" s="2" t="s">
        <v>2918</v>
      </c>
      <c r="I1759" s="2" t="s">
        <v>10853</v>
      </c>
      <c r="J1759" s="2" t="s">
        <v>13523</v>
      </c>
      <c r="K1759" s="2" t="s">
        <v>13520</v>
      </c>
      <c r="L1759" s="2" t="s">
        <v>10853</v>
      </c>
      <c r="M1759" s="2" t="s">
        <v>2918</v>
      </c>
      <c r="N1759" s="2" t="s">
        <v>13524</v>
      </c>
      <c r="O1759" s="2"/>
      <c r="P1759" s="2" t="s">
        <v>37</v>
      </c>
      <c r="Q1759" s="4" t="n">
        <v>2833</v>
      </c>
      <c r="R1759" s="2" t="s">
        <v>56</v>
      </c>
      <c r="S1759" s="2" t="s">
        <v>57</v>
      </c>
      <c r="T1759" s="2" t="s">
        <v>40</v>
      </c>
      <c r="U1759" s="2" t="s">
        <v>13525</v>
      </c>
      <c r="V1759" s="2"/>
      <c r="W1759" s="2" t="s">
        <v>82</v>
      </c>
      <c r="X1759" s="2" t="s">
        <v>43</v>
      </c>
      <c r="Y1759" s="2" t="s">
        <v>37</v>
      </c>
      <c r="Z1759" s="2" t="s">
        <v>916</v>
      </c>
      <c r="AA1759" s="2"/>
      <c r="AB1759" s="2"/>
      <c r="AC1759" s="2" t="s">
        <v>13526</v>
      </c>
      <c r="AD1759" s="2" t="s">
        <v>46</v>
      </c>
    </row>
    <row r="1760" customFormat="false" ht="15.7" hidden="false" customHeight="true" outlineLevel="0" collapsed="false">
      <c r="A1760" s="2"/>
      <c r="B1760" s="3" t="n">
        <f aca="false">DATE(2011,11,30)</f>
        <v>0</v>
      </c>
      <c r="C1760" s="3" t="n">
        <v>40877</v>
      </c>
      <c r="D1760" s="2" t="s">
        <v>13527</v>
      </c>
      <c r="F1760" s="2" t="s">
        <v>13528</v>
      </c>
      <c r="G1760" s="2" t="s">
        <v>13529</v>
      </c>
      <c r="H1760" s="2" t="s">
        <v>211</v>
      </c>
      <c r="I1760" s="2" t="s">
        <v>487</v>
      </c>
      <c r="J1760" s="2" t="s">
        <v>6730</v>
      </c>
      <c r="K1760" s="2" t="s">
        <v>13530</v>
      </c>
      <c r="L1760" s="2" t="s">
        <v>487</v>
      </c>
      <c r="M1760" s="2" t="s">
        <v>13531</v>
      </c>
      <c r="N1760" s="2" t="s">
        <v>13532</v>
      </c>
      <c r="O1760" s="2"/>
      <c r="P1760" s="2" t="s">
        <v>37</v>
      </c>
      <c r="Q1760" s="4" t="n">
        <v>3845</v>
      </c>
      <c r="R1760" s="2" t="s">
        <v>136</v>
      </c>
      <c r="S1760" s="2" t="s">
        <v>39</v>
      </c>
      <c r="T1760" s="2" t="s">
        <v>122</v>
      </c>
      <c r="U1760" s="2" t="s">
        <v>13533</v>
      </c>
      <c r="V1760" s="2"/>
      <c r="W1760" s="2" t="s">
        <v>138</v>
      </c>
      <c r="X1760" s="2" t="s">
        <v>43</v>
      </c>
      <c r="Y1760" s="2" t="s">
        <v>37</v>
      </c>
      <c r="Z1760" s="2" t="s">
        <v>44</v>
      </c>
      <c r="AA1760" s="2" t="s">
        <v>13534</v>
      </c>
      <c r="AB1760" s="2"/>
      <c r="AC1760" s="2" t="s">
        <v>13535</v>
      </c>
      <c r="AD1760" s="2" t="s">
        <v>46</v>
      </c>
    </row>
    <row r="1761" customFormat="false" ht="15.7" hidden="false" customHeight="true" outlineLevel="0" collapsed="false">
      <c r="A1761" s="2"/>
      <c r="B1761" s="3" t="n">
        <f aca="false">DATE(2011,11,30)</f>
        <v>0</v>
      </c>
      <c r="C1761" s="3" t="n">
        <v>40877</v>
      </c>
      <c r="D1761" s="2" t="s">
        <v>13536</v>
      </c>
      <c r="F1761" s="2" t="s">
        <v>13537</v>
      </c>
      <c r="G1761" s="2" t="s">
        <v>13538</v>
      </c>
      <c r="H1761" s="2" t="s">
        <v>762</v>
      </c>
      <c r="I1761" s="2" t="s">
        <v>51</v>
      </c>
      <c r="J1761" s="2" t="s">
        <v>77</v>
      </c>
      <c r="K1761" s="2" t="s">
        <v>13536</v>
      </c>
      <c r="L1761" s="2" t="s">
        <v>51</v>
      </c>
      <c r="M1761" s="2" t="s">
        <v>762</v>
      </c>
      <c r="N1761" s="2" t="s">
        <v>13539</v>
      </c>
      <c r="O1761" s="2"/>
      <c r="P1761" s="2" t="s">
        <v>37</v>
      </c>
      <c r="Q1761" s="4" t="n">
        <v>8731</v>
      </c>
      <c r="R1761" s="2" t="s">
        <v>56</v>
      </c>
      <c r="S1761" s="2" t="s">
        <v>2265</v>
      </c>
      <c r="T1761" s="2" t="s">
        <v>40</v>
      </c>
      <c r="U1761" s="2" t="s">
        <v>13540</v>
      </c>
      <c r="V1761" s="2"/>
      <c r="W1761" s="2" t="s">
        <v>42</v>
      </c>
      <c r="X1761" s="2" t="s">
        <v>43</v>
      </c>
      <c r="Y1761" s="2" t="s">
        <v>37</v>
      </c>
      <c r="Z1761" s="2" t="s">
        <v>44</v>
      </c>
      <c r="AA1761" s="2" t="s">
        <v>13541</v>
      </c>
      <c r="AB1761" s="2"/>
      <c r="AC1761" s="2" t="s">
        <v>13542</v>
      </c>
      <c r="AD1761" s="2" t="s">
        <v>46</v>
      </c>
    </row>
    <row r="1762" customFormat="false" ht="15.7" hidden="false" customHeight="true" outlineLevel="0" collapsed="false">
      <c r="A1762" s="2"/>
      <c r="B1762" s="3" t="n">
        <f aca="false">DATE(2011,12,2)</f>
        <v>0</v>
      </c>
      <c r="C1762" s="3" t="n">
        <v>40879</v>
      </c>
      <c r="D1762" s="2" t="s">
        <v>13543</v>
      </c>
      <c r="F1762" s="2" t="s">
        <v>10115</v>
      </c>
      <c r="G1762" s="2" t="s">
        <v>13544</v>
      </c>
      <c r="H1762" s="2" t="s">
        <v>305</v>
      </c>
      <c r="I1762" s="2" t="s">
        <v>2052</v>
      </c>
      <c r="J1762" s="2" t="s">
        <v>575</v>
      </c>
      <c r="K1762" s="2" t="s">
        <v>13545</v>
      </c>
      <c r="L1762" s="2" t="s">
        <v>51</v>
      </c>
      <c r="M1762" s="2" t="s">
        <v>130</v>
      </c>
      <c r="N1762" s="2" t="s">
        <v>13546</v>
      </c>
      <c r="O1762" s="2"/>
      <c r="P1762" s="2" t="s">
        <v>37</v>
      </c>
      <c r="Q1762" s="4" t="n">
        <v>8731</v>
      </c>
      <c r="R1762" s="2" t="s">
        <v>56</v>
      </c>
      <c r="S1762" s="2" t="s">
        <v>2265</v>
      </c>
      <c r="T1762" s="2" t="s">
        <v>40</v>
      </c>
      <c r="U1762" s="2" t="s">
        <v>13547</v>
      </c>
      <c r="V1762" s="2"/>
      <c r="W1762" s="2" t="s">
        <v>42</v>
      </c>
      <c r="X1762" s="2" t="s">
        <v>43</v>
      </c>
      <c r="Y1762" s="2" t="s">
        <v>37</v>
      </c>
      <c r="Z1762" s="2" t="s">
        <v>44</v>
      </c>
      <c r="AA1762" s="2"/>
      <c r="AB1762" s="2"/>
      <c r="AC1762" s="2" t="s">
        <v>13548</v>
      </c>
      <c r="AD1762" s="2" t="s">
        <v>46</v>
      </c>
    </row>
    <row r="1763" customFormat="false" ht="15.7" hidden="false" customHeight="true" outlineLevel="0" collapsed="false">
      <c r="A1763" s="2"/>
      <c r="B1763" s="3" t="n">
        <f aca="false">DATE(2011,12,5)</f>
        <v>0</v>
      </c>
      <c r="C1763" s="3" t="n">
        <v>40882</v>
      </c>
      <c r="D1763" s="2" t="s">
        <v>13549</v>
      </c>
      <c r="F1763" s="2" t="s">
        <v>13550</v>
      </c>
      <c r="G1763" s="2" t="s">
        <v>13551</v>
      </c>
      <c r="H1763" s="2" t="s">
        <v>13552</v>
      </c>
      <c r="I1763" s="2" t="s">
        <v>540</v>
      </c>
      <c r="J1763" s="2" t="s">
        <v>35</v>
      </c>
      <c r="K1763" s="2" t="s">
        <v>13549</v>
      </c>
      <c r="L1763" s="2" t="s">
        <v>540</v>
      </c>
      <c r="M1763" s="2" t="s">
        <v>13552</v>
      </c>
      <c r="N1763" s="2" t="s">
        <v>13553</v>
      </c>
      <c r="O1763" s="2"/>
      <c r="P1763" s="2" t="s">
        <v>37</v>
      </c>
      <c r="Q1763" s="4" t="n">
        <v>3845</v>
      </c>
      <c r="R1763" s="2" t="s">
        <v>1448</v>
      </c>
      <c r="S1763" s="2" t="s">
        <v>39</v>
      </c>
      <c r="T1763" s="2" t="s">
        <v>40</v>
      </c>
      <c r="U1763" s="2" t="s">
        <v>13554</v>
      </c>
      <c r="V1763" s="2"/>
      <c r="W1763" s="2" t="s">
        <v>13555</v>
      </c>
      <c r="X1763" s="2" t="s">
        <v>43</v>
      </c>
      <c r="Y1763" s="2" t="s">
        <v>37</v>
      </c>
      <c r="Z1763" s="2" t="s">
        <v>44</v>
      </c>
      <c r="AA1763" s="2"/>
      <c r="AB1763" s="2"/>
      <c r="AC1763" s="2" t="s">
        <v>13556</v>
      </c>
      <c r="AD1763" s="2" t="s">
        <v>46</v>
      </c>
    </row>
    <row r="1764" customFormat="false" ht="15.7" hidden="false" customHeight="true" outlineLevel="0" collapsed="false">
      <c r="A1764" s="2"/>
      <c r="B1764" s="3" t="n">
        <f aca="false">DATE(2011,12,6)</f>
        <v>0</v>
      </c>
      <c r="C1764" s="3" t="n">
        <v>40883</v>
      </c>
      <c r="D1764" s="2" t="s">
        <v>13557</v>
      </c>
      <c r="F1764" s="2" t="s">
        <v>13558</v>
      </c>
      <c r="G1764" s="2" t="s">
        <v>13559</v>
      </c>
      <c r="H1764" s="2" t="s">
        <v>13560</v>
      </c>
      <c r="I1764" s="2" t="s">
        <v>685</v>
      </c>
      <c r="J1764" s="2" t="s">
        <v>35</v>
      </c>
      <c r="K1764" s="2" t="s">
        <v>13557</v>
      </c>
      <c r="L1764" s="2" t="s">
        <v>685</v>
      </c>
      <c r="M1764" s="2" t="s">
        <v>13560</v>
      </c>
      <c r="N1764" s="2" t="s">
        <v>13561</v>
      </c>
      <c r="O1764" s="2"/>
      <c r="P1764" s="2" t="s">
        <v>37</v>
      </c>
      <c r="Q1764" s="4" t="n">
        <v>8071</v>
      </c>
      <c r="R1764" s="2" t="s">
        <v>688</v>
      </c>
      <c r="S1764" s="2" t="s">
        <v>39</v>
      </c>
      <c r="T1764" s="2" t="s">
        <v>40</v>
      </c>
      <c r="U1764" s="2" t="s">
        <v>13562</v>
      </c>
      <c r="V1764" s="2"/>
      <c r="W1764" s="2" t="s">
        <v>4487</v>
      </c>
      <c r="X1764" s="2" t="s">
        <v>43</v>
      </c>
      <c r="Y1764" s="2" t="s">
        <v>37</v>
      </c>
      <c r="Z1764" s="2" t="s">
        <v>44</v>
      </c>
      <c r="AA1764" s="2"/>
      <c r="AB1764" s="2"/>
      <c r="AC1764" s="2" t="s">
        <v>13563</v>
      </c>
      <c r="AD1764" s="2" t="s">
        <v>46</v>
      </c>
    </row>
    <row r="1765" customFormat="false" ht="15.7" hidden="false" customHeight="true" outlineLevel="0" collapsed="false">
      <c r="A1765" s="2"/>
      <c r="B1765" s="3" t="n">
        <f aca="false">DATE(2011,12,6)</f>
        <v>0</v>
      </c>
      <c r="C1765" s="3" t="n">
        <v>40883</v>
      </c>
      <c r="D1765" s="2" t="s">
        <v>13564</v>
      </c>
      <c r="F1765" s="2" t="s">
        <v>13565</v>
      </c>
      <c r="G1765" s="2" t="s">
        <v>13566</v>
      </c>
      <c r="H1765" s="2" t="s">
        <v>170</v>
      </c>
      <c r="I1765" s="2" t="s">
        <v>1544</v>
      </c>
      <c r="J1765" s="2" t="s">
        <v>331</v>
      </c>
      <c r="K1765" s="2" t="s">
        <v>13564</v>
      </c>
      <c r="L1765" s="2" t="s">
        <v>1544</v>
      </c>
      <c r="M1765" s="2" t="s">
        <v>170</v>
      </c>
      <c r="N1765" s="2" t="s">
        <v>13567</v>
      </c>
      <c r="O1765" s="2"/>
      <c r="P1765" s="2" t="s">
        <v>37</v>
      </c>
      <c r="Q1765" s="4" t="n">
        <v>2836</v>
      </c>
      <c r="R1765" s="2" t="s">
        <v>70</v>
      </c>
      <c r="S1765" s="2" t="s">
        <v>39</v>
      </c>
      <c r="T1765" s="2" t="s">
        <v>403</v>
      </c>
      <c r="U1765" s="2" t="s">
        <v>13568</v>
      </c>
      <c r="V1765" s="2"/>
      <c r="W1765" s="2" t="s">
        <v>744</v>
      </c>
      <c r="X1765" s="2" t="s">
        <v>46</v>
      </c>
      <c r="Y1765" s="2" t="s">
        <v>37</v>
      </c>
      <c r="Z1765" s="2" t="s">
        <v>12784</v>
      </c>
      <c r="AA1765" s="2" t="s">
        <v>13569</v>
      </c>
      <c r="AB1765" s="2"/>
      <c r="AC1765" s="2" t="s">
        <v>13570</v>
      </c>
      <c r="AD1765" s="2" t="s">
        <v>46</v>
      </c>
    </row>
    <row r="1766" customFormat="false" ht="15.7" hidden="false" customHeight="true" outlineLevel="0" collapsed="false">
      <c r="A1766" s="2"/>
      <c r="B1766" s="3" t="n">
        <f aca="false">DATE(2011,12,7)</f>
        <v>0</v>
      </c>
      <c r="C1766" s="3" t="n">
        <v>40884</v>
      </c>
      <c r="D1766" s="2" t="s">
        <v>13571</v>
      </c>
      <c r="F1766" s="2" t="s">
        <v>13572</v>
      </c>
      <c r="G1766" s="2" t="s">
        <v>13573</v>
      </c>
      <c r="H1766" s="2" t="s">
        <v>13574</v>
      </c>
      <c r="I1766" s="2" t="s">
        <v>13575</v>
      </c>
      <c r="J1766" s="2" t="s">
        <v>13576</v>
      </c>
      <c r="K1766" s="2" t="s">
        <v>13577</v>
      </c>
      <c r="L1766" s="2" t="s">
        <v>13578</v>
      </c>
      <c r="M1766" s="2" t="s">
        <v>13574</v>
      </c>
      <c r="N1766" s="2" t="s">
        <v>13579</v>
      </c>
      <c r="O1766" s="2"/>
      <c r="P1766" s="2" t="s">
        <v>37</v>
      </c>
      <c r="Q1766" s="4" t="n">
        <v>8731</v>
      </c>
      <c r="R1766" s="2" t="s">
        <v>2105</v>
      </c>
      <c r="S1766" s="2" t="s">
        <v>39</v>
      </c>
      <c r="T1766" s="2" t="s">
        <v>40</v>
      </c>
      <c r="U1766" s="2" t="s">
        <v>13580</v>
      </c>
      <c r="V1766" s="2"/>
      <c r="W1766" s="2" t="s">
        <v>42</v>
      </c>
      <c r="X1766" s="2" t="s">
        <v>46</v>
      </c>
      <c r="Y1766" s="2" t="s">
        <v>37</v>
      </c>
      <c r="Z1766" s="2" t="s">
        <v>11255</v>
      </c>
      <c r="AA1766" s="2"/>
      <c r="AB1766" s="2"/>
      <c r="AC1766" s="2" t="s">
        <v>13581</v>
      </c>
      <c r="AD1766" s="2" t="s">
        <v>46</v>
      </c>
    </row>
    <row r="1767" customFormat="false" ht="15.7" hidden="false" customHeight="true" outlineLevel="0" collapsed="false">
      <c r="A1767" s="2"/>
      <c r="B1767" s="3" t="n">
        <f aca="false">DATE(2011,12,7)</f>
        <v>0</v>
      </c>
      <c r="C1767" s="3" t="n">
        <v>40884</v>
      </c>
      <c r="D1767" s="2" t="s">
        <v>13582</v>
      </c>
      <c r="F1767" s="2" t="s">
        <v>13583</v>
      </c>
      <c r="G1767" s="2" t="s">
        <v>13584</v>
      </c>
      <c r="H1767" s="2" t="s">
        <v>13585</v>
      </c>
      <c r="I1767" s="2" t="s">
        <v>4325</v>
      </c>
      <c r="J1767" s="2" t="s">
        <v>35</v>
      </c>
      <c r="K1767" s="2" t="s">
        <v>13582</v>
      </c>
      <c r="L1767" s="2" t="s">
        <v>4325</v>
      </c>
      <c r="M1767" s="2" t="s">
        <v>13585</v>
      </c>
      <c r="N1767" s="2" t="s">
        <v>13586</v>
      </c>
      <c r="O1767" s="2"/>
      <c r="P1767" s="2" t="s">
        <v>37</v>
      </c>
      <c r="Q1767" s="4" t="n">
        <v>3699</v>
      </c>
      <c r="R1767" s="2" t="s">
        <v>402</v>
      </c>
      <c r="S1767" s="2" t="s">
        <v>39</v>
      </c>
      <c r="T1767" s="2" t="s">
        <v>403</v>
      </c>
      <c r="U1767" s="2" t="s">
        <v>13587</v>
      </c>
      <c r="V1767" s="2"/>
      <c r="W1767" s="2" t="s">
        <v>2209</v>
      </c>
      <c r="X1767" s="2" t="s">
        <v>46</v>
      </c>
      <c r="Y1767" s="2" t="s">
        <v>37</v>
      </c>
      <c r="Z1767" s="2" t="s">
        <v>987</v>
      </c>
      <c r="AA1767" s="2" t="s">
        <v>13588</v>
      </c>
      <c r="AB1767" s="2"/>
      <c r="AC1767" s="2" t="s">
        <v>13589</v>
      </c>
      <c r="AD1767" s="2" t="s">
        <v>46</v>
      </c>
    </row>
    <row r="1768" customFormat="false" ht="15.7" hidden="false" customHeight="true" outlineLevel="0" collapsed="false">
      <c r="A1768" s="2"/>
      <c r="B1768" s="3" t="n">
        <f aca="false">DATE(2011,12,8)</f>
        <v>0</v>
      </c>
      <c r="C1768" s="3" t="n">
        <v>40885</v>
      </c>
      <c r="D1768" s="2" t="s">
        <v>13590</v>
      </c>
      <c r="F1768" s="2" t="s">
        <v>13591</v>
      </c>
      <c r="G1768" s="2" t="s">
        <v>13592</v>
      </c>
      <c r="H1768" s="2" t="s">
        <v>13593</v>
      </c>
      <c r="I1768" s="2" t="s">
        <v>4325</v>
      </c>
      <c r="J1768" s="2" t="s">
        <v>35</v>
      </c>
      <c r="K1768" s="2" t="s">
        <v>13594</v>
      </c>
      <c r="L1768" s="2" t="s">
        <v>4325</v>
      </c>
      <c r="M1768" s="2" t="s">
        <v>13595</v>
      </c>
      <c r="N1768" s="2" t="s">
        <v>13596</v>
      </c>
      <c r="O1768" s="2"/>
      <c r="P1768" s="2" t="s">
        <v>37</v>
      </c>
      <c r="Q1768" s="4" t="n">
        <v>8731</v>
      </c>
      <c r="R1768" s="2" t="s">
        <v>402</v>
      </c>
      <c r="S1768" s="2" t="s">
        <v>39</v>
      </c>
      <c r="T1768" s="2" t="s">
        <v>403</v>
      </c>
      <c r="U1768" s="2" t="s">
        <v>13597</v>
      </c>
      <c r="V1768" s="2"/>
      <c r="W1768" s="2" t="s">
        <v>42</v>
      </c>
      <c r="X1768" s="2" t="s">
        <v>46</v>
      </c>
      <c r="Y1768" s="2" t="s">
        <v>37</v>
      </c>
      <c r="Z1768" s="2" t="s">
        <v>987</v>
      </c>
      <c r="AA1768" s="2" t="s">
        <v>13598</v>
      </c>
      <c r="AB1768" s="2"/>
      <c r="AC1768" s="2" t="s">
        <v>13599</v>
      </c>
      <c r="AD1768" s="2" t="s">
        <v>46</v>
      </c>
    </row>
    <row r="1769" customFormat="false" ht="15.7" hidden="false" customHeight="true" outlineLevel="0" collapsed="false">
      <c r="A1769" s="2"/>
      <c r="B1769" s="3" t="n">
        <f aca="false">DATE(2011,12,8)</f>
        <v>0</v>
      </c>
      <c r="C1769" s="3" t="n">
        <v>40885</v>
      </c>
      <c r="D1769" s="2" t="s">
        <v>13600</v>
      </c>
      <c r="F1769" s="2" t="s">
        <v>13601</v>
      </c>
      <c r="G1769" s="2" t="s">
        <v>13602</v>
      </c>
      <c r="H1769" s="2" t="s">
        <v>4561</v>
      </c>
      <c r="I1769" s="2" t="s">
        <v>369</v>
      </c>
      <c r="J1769" s="2" t="s">
        <v>35</v>
      </c>
      <c r="K1769" s="2" t="s">
        <v>13600</v>
      </c>
      <c r="L1769" s="2" t="s">
        <v>369</v>
      </c>
      <c r="M1769" s="2" t="s">
        <v>4561</v>
      </c>
      <c r="N1769" s="2" t="s">
        <v>13603</v>
      </c>
      <c r="O1769" s="2"/>
      <c r="P1769" s="2" t="s">
        <v>37</v>
      </c>
      <c r="Q1769" s="4" t="n">
        <v>2869</v>
      </c>
      <c r="R1769" s="2" t="s">
        <v>105</v>
      </c>
      <c r="S1769" s="2" t="s">
        <v>39</v>
      </c>
      <c r="T1769" s="2" t="s">
        <v>403</v>
      </c>
      <c r="U1769" s="2" t="s">
        <v>13604</v>
      </c>
      <c r="V1769" s="2"/>
      <c r="W1769" s="2" t="s">
        <v>42</v>
      </c>
      <c r="X1769" s="2" t="s">
        <v>46</v>
      </c>
      <c r="Y1769" s="2" t="s">
        <v>37</v>
      </c>
      <c r="Z1769" s="2" t="s">
        <v>362</v>
      </c>
      <c r="AA1769" s="2" t="s">
        <v>13605</v>
      </c>
      <c r="AB1769" s="2"/>
      <c r="AC1769" s="2" t="s">
        <v>13606</v>
      </c>
      <c r="AD1769" s="2" t="s">
        <v>46</v>
      </c>
    </row>
    <row r="1770" customFormat="false" ht="15.7" hidden="false" customHeight="true" outlineLevel="0" collapsed="false">
      <c r="A1770" s="2"/>
      <c r="B1770" s="3" t="n">
        <f aca="false">DATE(2011,12,8)</f>
        <v>0</v>
      </c>
      <c r="C1770" s="3" t="n">
        <v>40885</v>
      </c>
      <c r="D1770" s="2" t="s">
        <v>13607</v>
      </c>
      <c r="F1770" s="2" t="s">
        <v>4971</v>
      </c>
      <c r="G1770" s="2" t="s">
        <v>13608</v>
      </c>
      <c r="H1770" s="2" t="s">
        <v>63</v>
      </c>
      <c r="I1770" s="2" t="s">
        <v>51</v>
      </c>
      <c r="J1770" s="2" t="s">
        <v>3999</v>
      </c>
      <c r="K1770" s="2" t="s">
        <v>13609</v>
      </c>
      <c r="L1770" s="2" t="s">
        <v>51</v>
      </c>
      <c r="M1770" s="2" t="s">
        <v>130</v>
      </c>
      <c r="N1770" s="2" t="s">
        <v>13610</v>
      </c>
      <c r="O1770" s="2"/>
      <c r="P1770" s="2" t="s">
        <v>37</v>
      </c>
      <c r="Q1770" s="4" t="n">
        <v>2836</v>
      </c>
      <c r="R1770" s="2" t="s">
        <v>56</v>
      </c>
      <c r="S1770" s="2" t="s">
        <v>2265</v>
      </c>
      <c r="T1770" s="2" t="s">
        <v>40</v>
      </c>
      <c r="U1770" s="2" t="s">
        <v>13611</v>
      </c>
      <c r="V1770" s="2"/>
      <c r="W1770" s="2" t="s">
        <v>138</v>
      </c>
      <c r="X1770" s="2" t="s">
        <v>43</v>
      </c>
      <c r="Y1770" s="2" t="s">
        <v>37</v>
      </c>
      <c r="Z1770" s="2" t="s">
        <v>44</v>
      </c>
      <c r="AA1770" s="2" t="s">
        <v>13612</v>
      </c>
      <c r="AB1770" s="2"/>
      <c r="AC1770" s="2" t="s">
        <v>13613</v>
      </c>
      <c r="AD1770" s="2" t="s">
        <v>46</v>
      </c>
    </row>
    <row r="1771" customFormat="false" ht="15.7" hidden="false" customHeight="true" outlineLevel="0" collapsed="false">
      <c r="A1771" s="2"/>
      <c r="B1771" s="3" t="n">
        <f aca="false">DATE(2011,12,8)</f>
        <v>0</v>
      </c>
      <c r="C1771" s="3" t="n">
        <v>40885</v>
      </c>
      <c r="D1771" s="2" t="s">
        <v>13614</v>
      </c>
      <c r="F1771" s="2" t="s">
        <v>13615</v>
      </c>
      <c r="G1771" s="2" t="s">
        <v>13616</v>
      </c>
      <c r="H1771" s="2" t="s">
        <v>13617</v>
      </c>
      <c r="I1771" s="2" t="s">
        <v>2850</v>
      </c>
      <c r="J1771" s="2" t="s">
        <v>35</v>
      </c>
      <c r="K1771" s="2" t="s">
        <v>13618</v>
      </c>
      <c r="L1771" s="2" t="s">
        <v>2850</v>
      </c>
      <c r="M1771" s="2" t="s">
        <v>13619</v>
      </c>
      <c r="N1771" s="2" t="s">
        <v>13620</v>
      </c>
      <c r="O1771" s="2"/>
      <c r="P1771" s="2" t="s">
        <v>37</v>
      </c>
      <c r="Q1771" s="4" t="n">
        <v>3511</v>
      </c>
      <c r="R1771" s="2" t="s">
        <v>10692</v>
      </c>
      <c r="S1771" s="2" t="s">
        <v>39</v>
      </c>
      <c r="T1771" s="2" t="s">
        <v>403</v>
      </c>
      <c r="U1771" s="2" t="s">
        <v>13621</v>
      </c>
      <c r="V1771" s="2"/>
      <c r="W1771" s="2" t="s">
        <v>13622</v>
      </c>
      <c r="X1771" s="2" t="s">
        <v>43</v>
      </c>
      <c r="Y1771" s="2" t="s">
        <v>37</v>
      </c>
      <c r="Z1771" s="2" t="s">
        <v>44</v>
      </c>
      <c r="AA1771" s="2"/>
      <c r="AB1771" s="2"/>
      <c r="AC1771" s="2" t="s">
        <v>13623</v>
      </c>
      <c r="AD1771" s="2" t="s">
        <v>46</v>
      </c>
    </row>
    <row r="1772" customFormat="false" ht="15.7" hidden="false" customHeight="true" outlineLevel="0" collapsed="false">
      <c r="A1772" s="2"/>
      <c r="B1772" s="3" t="n">
        <f aca="false">DATE(2011,12,9)</f>
        <v>0</v>
      </c>
      <c r="C1772" s="3" t="n">
        <v>40886</v>
      </c>
      <c r="D1772" s="2" t="s">
        <v>13624</v>
      </c>
      <c r="F1772" s="2" t="s">
        <v>13625</v>
      </c>
      <c r="G1772" s="2" t="s">
        <v>13626</v>
      </c>
      <c r="H1772" s="2" t="s">
        <v>1027</v>
      </c>
      <c r="I1772" s="2" t="s">
        <v>51</v>
      </c>
      <c r="J1772" s="2" t="s">
        <v>306</v>
      </c>
      <c r="K1772" s="2" t="s">
        <v>13627</v>
      </c>
      <c r="L1772" s="2" t="s">
        <v>664</v>
      </c>
      <c r="M1772" s="2" t="s">
        <v>130</v>
      </c>
      <c r="N1772" s="2" t="s">
        <v>13628</v>
      </c>
      <c r="O1772" s="2"/>
      <c r="P1772" s="2" t="s">
        <v>37</v>
      </c>
      <c r="Q1772" s="4" t="n">
        <v>8731</v>
      </c>
      <c r="R1772" s="2" t="s">
        <v>56</v>
      </c>
      <c r="S1772" s="2" t="s">
        <v>2265</v>
      </c>
      <c r="T1772" s="2" t="s">
        <v>40</v>
      </c>
      <c r="U1772" s="2" t="s">
        <v>13629</v>
      </c>
      <c r="V1772" s="2"/>
      <c r="W1772" s="2" t="s">
        <v>42</v>
      </c>
      <c r="X1772" s="2" t="s">
        <v>43</v>
      </c>
      <c r="Y1772" s="2" t="s">
        <v>37</v>
      </c>
      <c r="Z1772" s="2" t="s">
        <v>44</v>
      </c>
      <c r="AA1772" s="2"/>
      <c r="AB1772" s="2"/>
      <c r="AC1772" s="2" t="s">
        <v>13630</v>
      </c>
      <c r="AD1772" s="2" t="s">
        <v>46</v>
      </c>
    </row>
    <row r="1773" customFormat="false" ht="15.7" hidden="false" customHeight="true" outlineLevel="0" collapsed="false">
      <c r="A1773" s="2"/>
      <c r="B1773" s="3" t="n">
        <f aca="false">DATE(2011,12,12)</f>
        <v>0</v>
      </c>
      <c r="C1773" s="3" t="n">
        <v>40889</v>
      </c>
      <c r="D1773" s="2" t="s">
        <v>13631</v>
      </c>
      <c r="F1773" s="2" t="s">
        <v>13632</v>
      </c>
      <c r="G1773" s="2" t="s">
        <v>13633</v>
      </c>
      <c r="H1773" s="2" t="s">
        <v>1027</v>
      </c>
      <c r="I1773" s="2" t="s">
        <v>487</v>
      </c>
      <c r="J1773" s="2" t="s">
        <v>966</v>
      </c>
      <c r="K1773" s="2" t="s">
        <v>13634</v>
      </c>
      <c r="L1773" s="2" t="s">
        <v>487</v>
      </c>
      <c r="M1773" s="2" t="s">
        <v>1027</v>
      </c>
      <c r="N1773" s="2" t="s">
        <v>13635</v>
      </c>
      <c r="O1773" s="2"/>
      <c r="P1773" s="2" t="s">
        <v>37</v>
      </c>
      <c r="Q1773" s="4" t="n">
        <v>8731</v>
      </c>
      <c r="R1773" s="2" t="s">
        <v>56</v>
      </c>
      <c r="S1773" s="2" t="s">
        <v>2265</v>
      </c>
      <c r="T1773" s="2" t="s">
        <v>40</v>
      </c>
      <c r="U1773" s="2" t="s">
        <v>13636</v>
      </c>
      <c r="V1773" s="2"/>
      <c r="W1773" s="2" t="s">
        <v>1050</v>
      </c>
      <c r="X1773" s="2" t="s">
        <v>43</v>
      </c>
      <c r="Y1773" s="2" t="s">
        <v>37</v>
      </c>
      <c r="Z1773" s="2" t="s">
        <v>44</v>
      </c>
      <c r="AA1773" s="2"/>
      <c r="AB1773" s="2"/>
      <c r="AC1773" s="2" t="s">
        <v>13637</v>
      </c>
      <c r="AD1773" s="2" t="s">
        <v>46</v>
      </c>
    </row>
    <row r="1774" customFormat="false" ht="15.7" hidden="false" customHeight="true" outlineLevel="0" collapsed="false">
      <c r="A1774" s="2"/>
      <c r="B1774" s="3" t="n">
        <f aca="false">DATE(2011,12,13)</f>
        <v>0</v>
      </c>
      <c r="C1774" s="3" t="n">
        <v>40890</v>
      </c>
      <c r="D1774" s="2" t="s">
        <v>13638</v>
      </c>
      <c r="F1774" s="2" t="s">
        <v>13639</v>
      </c>
      <c r="G1774" s="2" t="s">
        <v>13640</v>
      </c>
      <c r="H1774" s="2" t="s">
        <v>13641</v>
      </c>
      <c r="I1774" s="2" t="s">
        <v>13642</v>
      </c>
      <c r="J1774" s="2" t="s">
        <v>35</v>
      </c>
      <c r="K1774" s="2" t="s">
        <v>13643</v>
      </c>
      <c r="L1774" s="2" t="s">
        <v>13642</v>
      </c>
      <c r="M1774" s="2" t="s">
        <v>13644</v>
      </c>
      <c r="N1774" s="2" t="s">
        <v>13645</v>
      </c>
      <c r="O1774" s="2"/>
      <c r="P1774" s="2" t="s">
        <v>37</v>
      </c>
      <c r="Q1774" s="4" t="n">
        <v>8731</v>
      </c>
      <c r="R1774" s="2" t="s">
        <v>136</v>
      </c>
      <c r="S1774" s="2" t="s">
        <v>39</v>
      </c>
      <c r="T1774" s="2" t="s">
        <v>40</v>
      </c>
      <c r="U1774" s="2" t="s">
        <v>13646</v>
      </c>
      <c r="V1774" s="2"/>
      <c r="W1774" s="2" t="s">
        <v>138</v>
      </c>
      <c r="X1774" s="2" t="s">
        <v>43</v>
      </c>
      <c r="Y1774" s="2" t="s">
        <v>37</v>
      </c>
      <c r="Z1774" s="2" t="s">
        <v>44</v>
      </c>
      <c r="AA1774" s="2"/>
      <c r="AB1774" s="2"/>
      <c r="AC1774" s="2" t="s">
        <v>13647</v>
      </c>
      <c r="AD1774" s="2" t="s">
        <v>46</v>
      </c>
    </row>
    <row r="1775" customFormat="false" ht="15.7" hidden="false" customHeight="true" outlineLevel="0" collapsed="false">
      <c r="A1775" s="2"/>
      <c r="B1775" s="3" t="n">
        <f aca="false">DATE(2011,12,13)</f>
        <v>0</v>
      </c>
      <c r="C1775" s="3" t="n">
        <v>40890</v>
      </c>
      <c r="D1775" s="2" t="s">
        <v>13648</v>
      </c>
      <c r="F1775" s="2" t="s">
        <v>13649</v>
      </c>
      <c r="G1775" s="2" t="s">
        <v>13650</v>
      </c>
      <c r="H1775" s="2" t="s">
        <v>1101</v>
      </c>
      <c r="I1775" s="2" t="s">
        <v>51</v>
      </c>
      <c r="J1775" s="2" t="s">
        <v>13651</v>
      </c>
      <c r="K1775" s="2" t="s">
        <v>13648</v>
      </c>
      <c r="L1775" s="2" t="s">
        <v>51</v>
      </c>
      <c r="M1775" s="2" t="s">
        <v>1101</v>
      </c>
      <c r="N1775" s="2" t="s">
        <v>13652</v>
      </c>
      <c r="O1775" s="2"/>
      <c r="P1775" s="2" t="s">
        <v>37</v>
      </c>
      <c r="Q1775" s="4" t="n">
        <v>8731</v>
      </c>
      <c r="R1775" s="2" t="s">
        <v>56</v>
      </c>
      <c r="S1775" s="2" t="s">
        <v>2265</v>
      </c>
      <c r="T1775" s="2" t="s">
        <v>40</v>
      </c>
      <c r="U1775" s="2" t="s">
        <v>13653</v>
      </c>
      <c r="V1775" s="2"/>
      <c r="W1775" s="2" t="s">
        <v>42</v>
      </c>
      <c r="X1775" s="2" t="s">
        <v>43</v>
      </c>
      <c r="Y1775" s="2" t="s">
        <v>37</v>
      </c>
      <c r="Z1775" s="2" t="s">
        <v>44</v>
      </c>
      <c r="AA1775" s="2"/>
      <c r="AB1775" s="2"/>
      <c r="AC1775" s="2" t="s">
        <v>13654</v>
      </c>
      <c r="AD1775" s="2" t="s">
        <v>46</v>
      </c>
    </row>
    <row r="1776" customFormat="false" ht="15.7" hidden="false" customHeight="true" outlineLevel="0" collapsed="false">
      <c r="A1776" s="2"/>
      <c r="B1776" s="3" t="n">
        <f aca="false">DATE(2011,12,15)</f>
        <v>0</v>
      </c>
      <c r="C1776" s="3" t="n">
        <v>40892</v>
      </c>
      <c r="D1776" s="2" t="s">
        <v>13655</v>
      </c>
      <c r="F1776" s="2" t="s">
        <v>13656</v>
      </c>
      <c r="G1776" s="2" t="s">
        <v>13657</v>
      </c>
      <c r="H1776" s="2" t="s">
        <v>13658</v>
      </c>
      <c r="I1776" s="2" t="s">
        <v>670</v>
      </c>
      <c r="J1776" s="2" t="s">
        <v>1182</v>
      </c>
      <c r="K1776" s="2" t="s">
        <v>13659</v>
      </c>
      <c r="L1776" s="2" t="s">
        <v>51</v>
      </c>
      <c r="M1776" s="2" t="s">
        <v>8066</v>
      </c>
      <c r="N1776" s="2" t="s">
        <v>13660</v>
      </c>
      <c r="O1776" s="2"/>
      <c r="P1776" s="2" t="s">
        <v>37</v>
      </c>
      <c r="Q1776" s="4" t="n">
        <v>3629</v>
      </c>
      <c r="R1776" s="2" t="s">
        <v>56</v>
      </c>
      <c r="S1776" s="2" t="s">
        <v>2265</v>
      </c>
      <c r="T1776" s="2" t="s">
        <v>40</v>
      </c>
      <c r="U1776" s="2" t="s">
        <v>13661</v>
      </c>
      <c r="V1776" s="2"/>
      <c r="W1776" s="2" t="s">
        <v>42</v>
      </c>
      <c r="X1776" s="2" t="s">
        <v>46</v>
      </c>
      <c r="Y1776" s="2" t="s">
        <v>37</v>
      </c>
      <c r="Z1776" s="2" t="s">
        <v>362</v>
      </c>
      <c r="AA1776" s="2" t="s">
        <v>13662</v>
      </c>
      <c r="AB1776" s="2"/>
      <c r="AC1776" s="2" t="s">
        <v>13663</v>
      </c>
      <c r="AD1776" s="2" t="s">
        <v>46</v>
      </c>
    </row>
    <row r="1777" customFormat="false" ht="15.7" hidden="false" customHeight="true" outlineLevel="0" collapsed="false">
      <c r="A1777" s="2"/>
      <c r="B1777" s="3" t="n">
        <f aca="false">DATE(2011,12,15)</f>
        <v>0</v>
      </c>
      <c r="C1777" s="3" t="n">
        <v>40892</v>
      </c>
      <c r="D1777" s="2" t="s">
        <v>13664</v>
      </c>
      <c r="F1777" s="2" t="s">
        <v>347</v>
      </c>
      <c r="G1777" s="2" t="s">
        <v>13665</v>
      </c>
      <c r="H1777" s="2" t="s">
        <v>63</v>
      </c>
      <c r="I1777" s="2" t="s">
        <v>13666</v>
      </c>
      <c r="J1777" s="2" t="s">
        <v>35</v>
      </c>
      <c r="K1777" s="2" t="s">
        <v>13667</v>
      </c>
      <c r="L1777" s="2" t="s">
        <v>13666</v>
      </c>
      <c r="M1777" s="2" t="s">
        <v>230</v>
      </c>
      <c r="N1777" s="2" t="s">
        <v>13668</v>
      </c>
      <c r="O1777" s="2"/>
      <c r="P1777" s="2" t="s">
        <v>37</v>
      </c>
      <c r="Q1777" s="4" t="n">
        <v>2836</v>
      </c>
      <c r="R1777" s="2" t="s">
        <v>136</v>
      </c>
      <c r="S1777" s="2" t="s">
        <v>39</v>
      </c>
      <c r="T1777" s="2" t="s">
        <v>40</v>
      </c>
      <c r="U1777" s="2" t="s">
        <v>13669</v>
      </c>
      <c r="V1777" s="2"/>
      <c r="W1777" s="2" t="s">
        <v>13670</v>
      </c>
      <c r="X1777" s="2" t="s">
        <v>43</v>
      </c>
      <c r="Y1777" s="2" t="s">
        <v>37</v>
      </c>
      <c r="Z1777" s="2" t="s">
        <v>44</v>
      </c>
      <c r="AA1777" s="2" t="s">
        <v>13671</v>
      </c>
      <c r="AB1777" s="2"/>
      <c r="AC1777" s="2" t="s">
        <v>13672</v>
      </c>
      <c r="AD1777" s="2" t="s">
        <v>46</v>
      </c>
    </row>
    <row r="1778" customFormat="false" ht="15.7" hidden="false" customHeight="true" outlineLevel="0" collapsed="false">
      <c r="A1778" s="2"/>
      <c r="B1778" s="3" t="n">
        <f aca="false">DATE(2011,12,16)</f>
        <v>0</v>
      </c>
      <c r="C1778" s="3" t="n">
        <v>40893</v>
      </c>
      <c r="D1778" s="2" t="s">
        <v>13673</v>
      </c>
      <c r="F1778" s="2" t="s">
        <v>13674</v>
      </c>
      <c r="G1778" s="2" t="s">
        <v>13675</v>
      </c>
      <c r="H1778" s="2" t="s">
        <v>63</v>
      </c>
      <c r="I1778" s="2" t="s">
        <v>330</v>
      </c>
      <c r="J1778" s="2" t="s">
        <v>13676</v>
      </c>
      <c r="K1778" s="2" t="s">
        <v>13673</v>
      </c>
      <c r="L1778" s="2" t="s">
        <v>330</v>
      </c>
      <c r="M1778" s="2" t="s">
        <v>63</v>
      </c>
      <c r="N1778" s="2" t="s">
        <v>13677</v>
      </c>
      <c r="O1778" s="2"/>
      <c r="P1778" s="2" t="s">
        <v>37</v>
      </c>
      <c r="Q1778" s="4" t="n">
        <v>8731</v>
      </c>
      <c r="R1778" s="2" t="s">
        <v>2201</v>
      </c>
      <c r="S1778" s="2" t="s">
        <v>39</v>
      </c>
      <c r="T1778" s="2" t="s">
        <v>403</v>
      </c>
      <c r="U1778" s="2" t="s">
        <v>13678</v>
      </c>
      <c r="V1778" s="2"/>
      <c r="W1778" s="2" t="s">
        <v>697</v>
      </c>
      <c r="X1778" s="2" t="s">
        <v>43</v>
      </c>
      <c r="Y1778" s="2" t="s">
        <v>37</v>
      </c>
      <c r="Z1778" s="2" t="s">
        <v>44</v>
      </c>
      <c r="AA1778" s="2" t="s">
        <v>13679</v>
      </c>
      <c r="AB1778" s="2"/>
      <c r="AC1778" s="2" t="s">
        <v>13680</v>
      </c>
      <c r="AD1778" s="2" t="s">
        <v>46</v>
      </c>
    </row>
    <row r="1779" customFormat="false" ht="15.7" hidden="false" customHeight="true" outlineLevel="0" collapsed="false">
      <c r="A1779" s="2"/>
      <c r="B1779" s="3" t="n">
        <f aca="false">DATE(2011,12,19)</f>
        <v>0</v>
      </c>
      <c r="C1779" s="3" t="n">
        <v>40896</v>
      </c>
      <c r="D1779" s="2" t="s">
        <v>13681</v>
      </c>
      <c r="F1779" s="2" t="s">
        <v>13682</v>
      </c>
      <c r="G1779" s="2" t="s">
        <v>13683</v>
      </c>
      <c r="H1779" s="2" t="s">
        <v>551</v>
      </c>
      <c r="I1779" s="2" t="s">
        <v>13684</v>
      </c>
      <c r="J1779" s="2" t="s">
        <v>35</v>
      </c>
      <c r="K1779" s="2" t="s">
        <v>13681</v>
      </c>
      <c r="L1779" s="2" t="s">
        <v>13684</v>
      </c>
      <c r="M1779" s="2" t="s">
        <v>551</v>
      </c>
      <c r="N1779" s="2" t="s">
        <v>13685</v>
      </c>
      <c r="O1779" s="2"/>
      <c r="P1779" s="2" t="s">
        <v>37</v>
      </c>
      <c r="Q1779" s="4" t="n">
        <v>8734</v>
      </c>
      <c r="R1779" s="2" t="s">
        <v>13686</v>
      </c>
      <c r="S1779" s="2" t="s">
        <v>39</v>
      </c>
      <c r="T1779" s="2" t="s">
        <v>403</v>
      </c>
      <c r="U1779" s="2" t="s">
        <v>13687</v>
      </c>
      <c r="V1779" s="2"/>
      <c r="W1779" s="2" t="s">
        <v>42</v>
      </c>
      <c r="X1779" s="2" t="s">
        <v>46</v>
      </c>
      <c r="Y1779" s="2" t="s">
        <v>37</v>
      </c>
      <c r="Z1779" s="2" t="s">
        <v>362</v>
      </c>
      <c r="AA1779" s="2" t="s">
        <v>13688</v>
      </c>
      <c r="AB1779" s="2"/>
      <c r="AC1779" s="2" t="s">
        <v>13689</v>
      </c>
      <c r="AD1779" s="2" t="s">
        <v>46</v>
      </c>
    </row>
    <row r="1780" customFormat="false" ht="15.7" hidden="false" customHeight="true" outlineLevel="0" collapsed="false">
      <c r="A1780" s="2"/>
      <c r="B1780" s="3" t="n">
        <f aca="false">DATE(2011,12,19)</f>
        <v>0</v>
      </c>
      <c r="C1780" s="3" t="n">
        <v>40896</v>
      </c>
      <c r="D1780" s="2" t="s">
        <v>13690</v>
      </c>
      <c r="F1780" s="2" t="s">
        <v>13691</v>
      </c>
      <c r="G1780" s="2" t="s">
        <v>13692</v>
      </c>
      <c r="H1780" s="2" t="s">
        <v>63</v>
      </c>
      <c r="I1780" s="2" t="s">
        <v>51</v>
      </c>
      <c r="J1780" s="2" t="s">
        <v>1834</v>
      </c>
      <c r="K1780" s="2" t="s">
        <v>13690</v>
      </c>
      <c r="L1780" s="2" t="s">
        <v>51</v>
      </c>
      <c r="M1780" s="2" t="s">
        <v>63</v>
      </c>
      <c r="N1780" s="2" t="s">
        <v>13693</v>
      </c>
      <c r="O1780" s="2"/>
      <c r="P1780" s="2" t="s">
        <v>37</v>
      </c>
      <c r="Q1780" s="4" t="n">
        <v>2834</v>
      </c>
      <c r="R1780" s="2" t="s">
        <v>56</v>
      </c>
      <c r="S1780" s="2" t="s">
        <v>2265</v>
      </c>
      <c r="T1780" s="2" t="s">
        <v>40</v>
      </c>
      <c r="U1780" s="2" t="s">
        <v>13694</v>
      </c>
      <c r="V1780" s="2"/>
      <c r="W1780" s="2" t="s">
        <v>42</v>
      </c>
      <c r="X1780" s="2" t="s">
        <v>43</v>
      </c>
      <c r="Y1780" s="2" t="s">
        <v>37</v>
      </c>
      <c r="Z1780" s="2" t="s">
        <v>44</v>
      </c>
      <c r="AA1780" s="2"/>
      <c r="AB1780" s="2"/>
      <c r="AC1780" s="2" t="s">
        <v>13695</v>
      </c>
      <c r="AD1780" s="2" t="s">
        <v>46</v>
      </c>
    </row>
    <row r="1781" customFormat="false" ht="15.7" hidden="false" customHeight="true" outlineLevel="0" collapsed="false">
      <c r="A1781" s="2"/>
      <c r="B1781" s="3" t="n">
        <f aca="false">DATE(2011,12,19)</f>
        <v>0</v>
      </c>
      <c r="C1781" s="3" t="n">
        <v>40896</v>
      </c>
      <c r="D1781" s="2" t="s">
        <v>13696</v>
      </c>
      <c r="F1781" s="2" t="s">
        <v>13697</v>
      </c>
      <c r="G1781" s="2" t="s">
        <v>13698</v>
      </c>
      <c r="H1781" s="2" t="s">
        <v>551</v>
      </c>
      <c r="I1781" s="2" t="s">
        <v>4325</v>
      </c>
      <c r="J1781" s="2" t="s">
        <v>35</v>
      </c>
      <c r="K1781" s="2" t="s">
        <v>13696</v>
      </c>
      <c r="L1781" s="2" t="s">
        <v>4325</v>
      </c>
      <c r="M1781" s="2" t="s">
        <v>551</v>
      </c>
      <c r="N1781" s="2" t="s">
        <v>13699</v>
      </c>
      <c r="O1781" s="2"/>
      <c r="P1781" s="2" t="s">
        <v>37</v>
      </c>
      <c r="Q1781" s="4" t="n">
        <v>8731</v>
      </c>
      <c r="R1781" s="2" t="s">
        <v>56</v>
      </c>
      <c r="S1781" s="2" t="s">
        <v>2265</v>
      </c>
      <c r="T1781" s="2" t="s">
        <v>403</v>
      </c>
      <c r="U1781" s="2" t="s">
        <v>13700</v>
      </c>
      <c r="V1781" s="2"/>
      <c r="W1781" s="2" t="s">
        <v>344</v>
      </c>
      <c r="X1781" s="2" t="s">
        <v>46</v>
      </c>
      <c r="Y1781" s="2" t="s">
        <v>37</v>
      </c>
      <c r="Z1781" s="2" t="s">
        <v>13701</v>
      </c>
      <c r="AA1781" s="2" t="s">
        <v>13702</v>
      </c>
      <c r="AB1781" s="2"/>
      <c r="AC1781" s="2" t="s">
        <v>13703</v>
      </c>
      <c r="AD1781" s="2" t="s">
        <v>46</v>
      </c>
    </row>
    <row r="1782" customFormat="false" ht="15.7" hidden="false" customHeight="true" outlineLevel="0" collapsed="false">
      <c r="A1782" s="2"/>
      <c r="B1782" s="3" t="n">
        <f aca="false">DATE(2011,12,20)</f>
        <v>0</v>
      </c>
      <c r="C1782" s="3" t="n">
        <v>40897</v>
      </c>
      <c r="D1782" s="2" t="s">
        <v>13704</v>
      </c>
      <c r="F1782" s="2" t="s">
        <v>13705</v>
      </c>
      <c r="G1782" s="2" t="s">
        <v>13706</v>
      </c>
      <c r="H1782" s="2" t="s">
        <v>1020</v>
      </c>
      <c r="I1782" s="2" t="s">
        <v>670</v>
      </c>
      <c r="J1782" s="2" t="s">
        <v>671</v>
      </c>
      <c r="K1782" s="2" t="s">
        <v>13707</v>
      </c>
      <c r="L1782" s="2" t="s">
        <v>388</v>
      </c>
      <c r="M1782" s="2" t="s">
        <v>1027</v>
      </c>
      <c r="N1782" s="2" t="s">
        <v>13708</v>
      </c>
      <c r="O1782" s="2"/>
      <c r="P1782" s="2" t="s">
        <v>37</v>
      </c>
      <c r="Q1782" s="4" t="n">
        <v>8731</v>
      </c>
      <c r="R1782" s="2" t="s">
        <v>136</v>
      </c>
      <c r="S1782" s="2" t="s">
        <v>39</v>
      </c>
      <c r="T1782" s="2" t="s">
        <v>40</v>
      </c>
      <c r="U1782" s="2" t="s">
        <v>13709</v>
      </c>
      <c r="V1782" s="2"/>
      <c r="W1782" s="2" t="s">
        <v>42</v>
      </c>
      <c r="X1782" s="2" t="s">
        <v>43</v>
      </c>
      <c r="Y1782" s="2" t="s">
        <v>37</v>
      </c>
      <c r="Z1782" s="2" t="s">
        <v>44</v>
      </c>
      <c r="AA1782" s="2"/>
      <c r="AB1782" s="2"/>
      <c r="AC1782" s="2" t="s">
        <v>13710</v>
      </c>
      <c r="AD1782" s="2" t="s">
        <v>46</v>
      </c>
    </row>
    <row r="1783" customFormat="false" ht="15.7" hidden="false" customHeight="true" outlineLevel="0" collapsed="false">
      <c r="A1783" s="2"/>
      <c r="B1783" s="3" t="n">
        <f aca="false">DATE(2011,12,20)</f>
        <v>0</v>
      </c>
      <c r="C1783" s="3" t="n">
        <v>40897</v>
      </c>
      <c r="D1783" s="2" t="s">
        <v>13711</v>
      </c>
      <c r="F1783" s="2" t="s">
        <v>13712</v>
      </c>
      <c r="G1783" s="2" t="s">
        <v>13713</v>
      </c>
      <c r="H1783" s="2" t="s">
        <v>3500</v>
      </c>
      <c r="I1783" s="2" t="s">
        <v>7576</v>
      </c>
      <c r="J1783" s="2" t="s">
        <v>35</v>
      </c>
      <c r="K1783" s="2" t="s">
        <v>13714</v>
      </c>
      <c r="L1783" s="2" t="s">
        <v>13715</v>
      </c>
      <c r="M1783" s="2" t="s">
        <v>1972</v>
      </c>
      <c r="N1783" s="2" t="s">
        <v>13716</v>
      </c>
      <c r="O1783" s="2"/>
      <c r="P1783" s="2" t="s">
        <v>37</v>
      </c>
      <c r="Q1783" s="4" t="n">
        <v>3714</v>
      </c>
      <c r="R1783" s="2" t="s">
        <v>402</v>
      </c>
      <c r="S1783" s="2" t="s">
        <v>39</v>
      </c>
      <c r="T1783" s="2" t="s">
        <v>403</v>
      </c>
      <c r="U1783" s="2" t="s">
        <v>13717</v>
      </c>
      <c r="V1783" s="2"/>
      <c r="W1783" s="2" t="s">
        <v>697</v>
      </c>
      <c r="X1783" s="2" t="s">
        <v>46</v>
      </c>
      <c r="Y1783" s="2" t="s">
        <v>37</v>
      </c>
      <c r="Z1783" s="2" t="s">
        <v>362</v>
      </c>
      <c r="AA1783" s="2"/>
      <c r="AB1783" s="2"/>
      <c r="AC1783" s="2" t="s">
        <v>13718</v>
      </c>
      <c r="AD1783" s="2" t="s">
        <v>46</v>
      </c>
    </row>
    <row r="1784" customFormat="false" ht="15.7" hidden="false" customHeight="true" outlineLevel="0" collapsed="false">
      <c r="A1784" s="2"/>
      <c r="B1784" s="3" t="n">
        <f aca="false">DATE(2011,12,21)</f>
        <v>0</v>
      </c>
      <c r="C1784" s="3" t="n">
        <v>40898</v>
      </c>
      <c r="D1784" s="2" t="s">
        <v>13719</v>
      </c>
      <c r="F1784" s="2" t="s">
        <v>13720</v>
      </c>
      <c r="G1784" s="2" t="s">
        <v>13721</v>
      </c>
      <c r="H1784" s="2" t="s">
        <v>1027</v>
      </c>
      <c r="I1784" s="2" t="s">
        <v>330</v>
      </c>
      <c r="J1784" s="2" t="s">
        <v>7101</v>
      </c>
      <c r="K1784" s="2" t="s">
        <v>13722</v>
      </c>
      <c r="L1784" s="2" t="s">
        <v>330</v>
      </c>
      <c r="M1784" s="2" t="s">
        <v>63</v>
      </c>
      <c r="N1784" s="2" t="s">
        <v>13723</v>
      </c>
      <c r="O1784" s="2"/>
      <c r="P1784" s="2" t="s">
        <v>37</v>
      </c>
      <c r="Q1784" s="4" t="n">
        <v>8731</v>
      </c>
      <c r="R1784" s="2" t="s">
        <v>2201</v>
      </c>
      <c r="S1784" s="2" t="s">
        <v>39</v>
      </c>
      <c r="T1784" s="2" t="s">
        <v>40</v>
      </c>
      <c r="U1784" s="2" t="s">
        <v>13724</v>
      </c>
      <c r="V1784" s="2"/>
      <c r="W1784" s="2" t="s">
        <v>42</v>
      </c>
      <c r="X1784" s="2" t="s">
        <v>43</v>
      </c>
      <c r="Y1784" s="2" t="s">
        <v>37</v>
      </c>
      <c r="Z1784" s="2" t="s">
        <v>44</v>
      </c>
      <c r="AA1784" s="2"/>
      <c r="AB1784" s="2"/>
      <c r="AC1784" s="2" t="s">
        <v>13725</v>
      </c>
      <c r="AD1784" s="2" t="s">
        <v>46</v>
      </c>
    </row>
    <row r="1785" customFormat="false" ht="15.7" hidden="false" customHeight="true" outlineLevel="0" collapsed="false">
      <c r="A1785" s="2"/>
      <c r="B1785" s="3" t="n">
        <f aca="false">DATE(2011,12,21)</f>
        <v>0</v>
      </c>
      <c r="C1785" s="3" t="n">
        <v>40898</v>
      </c>
      <c r="D1785" s="2" t="s">
        <v>13726</v>
      </c>
      <c r="F1785" s="2" t="s">
        <v>13727</v>
      </c>
      <c r="G1785" s="2" t="s">
        <v>13728</v>
      </c>
      <c r="H1785" s="2" t="s">
        <v>130</v>
      </c>
      <c r="I1785" s="2" t="s">
        <v>435</v>
      </c>
      <c r="J1785" s="2" t="s">
        <v>966</v>
      </c>
      <c r="K1785" s="2" t="s">
        <v>13726</v>
      </c>
      <c r="L1785" s="2" t="s">
        <v>435</v>
      </c>
      <c r="M1785" s="2" t="s">
        <v>130</v>
      </c>
      <c r="N1785" s="2" t="s">
        <v>13729</v>
      </c>
      <c r="O1785" s="2"/>
      <c r="P1785" s="2" t="s">
        <v>37</v>
      </c>
      <c r="Q1785" s="4" t="n">
        <v>2834</v>
      </c>
      <c r="R1785" s="2" t="s">
        <v>56</v>
      </c>
      <c r="S1785" s="2" t="s">
        <v>2265</v>
      </c>
      <c r="T1785" s="2" t="s">
        <v>403</v>
      </c>
      <c r="U1785" s="2" t="s">
        <v>13730</v>
      </c>
      <c r="V1785" s="2"/>
      <c r="W1785" s="2" t="s">
        <v>7958</v>
      </c>
      <c r="X1785" s="2" t="s">
        <v>43</v>
      </c>
      <c r="Y1785" s="2" t="s">
        <v>37</v>
      </c>
      <c r="Z1785" s="2" t="s">
        <v>44</v>
      </c>
      <c r="AA1785" s="2" t="s">
        <v>13731</v>
      </c>
      <c r="AB1785" s="2"/>
      <c r="AC1785" s="2" t="s">
        <v>13732</v>
      </c>
      <c r="AD1785" s="2" t="s">
        <v>46</v>
      </c>
    </row>
    <row r="1786" customFormat="false" ht="15.7" hidden="false" customHeight="true" outlineLevel="0" collapsed="false">
      <c r="A1786" s="2"/>
      <c r="B1786" s="3" t="n">
        <f aca="false">DATE(2011,12,21)</f>
        <v>0</v>
      </c>
      <c r="C1786" s="3" t="n">
        <v>40898</v>
      </c>
      <c r="D1786" s="2" t="s">
        <v>13733</v>
      </c>
      <c r="F1786" s="2" t="s">
        <v>13734</v>
      </c>
      <c r="G1786" s="2" t="s">
        <v>13735</v>
      </c>
      <c r="H1786" s="2" t="s">
        <v>63</v>
      </c>
      <c r="I1786" s="2" t="s">
        <v>51</v>
      </c>
      <c r="J1786" s="2" t="s">
        <v>4151</v>
      </c>
      <c r="K1786" s="2" t="s">
        <v>13733</v>
      </c>
      <c r="L1786" s="2" t="s">
        <v>51</v>
      </c>
      <c r="M1786" s="2" t="s">
        <v>63</v>
      </c>
      <c r="N1786" s="2" t="s">
        <v>13736</v>
      </c>
      <c r="O1786" s="2"/>
      <c r="P1786" s="2" t="s">
        <v>37</v>
      </c>
      <c r="Q1786" s="4" t="n">
        <v>2836</v>
      </c>
      <c r="R1786" s="2" t="s">
        <v>56</v>
      </c>
      <c r="S1786" s="2" t="s">
        <v>2265</v>
      </c>
      <c r="T1786" s="2" t="s">
        <v>40</v>
      </c>
      <c r="U1786" s="2" t="s">
        <v>13737</v>
      </c>
      <c r="V1786" s="2"/>
      <c r="W1786" s="2" t="s">
        <v>42</v>
      </c>
      <c r="X1786" s="2" t="s">
        <v>43</v>
      </c>
      <c r="Y1786" s="2" t="s">
        <v>37</v>
      </c>
      <c r="Z1786" s="2" t="s">
        <v>44</v>
      </c>
      <c r="AA1786" s="2"/>
      <c r="AB1786" s="2"/>
      <c r="AC1786" s="2" t="s">
        <v>13738</v>
      </c>
      <c r="AD1786" s="2" t="s">
        <v>46</v>
      </c>
    </row>
    <row r="1787" customFormat="false" ht="15.7" hidden="false" customHeight="true" outlineLevel="0" collapsed="false">
      <c r="A1787" s="2"/>
      <c r="B1787" s="3" t="n">
        <f aca="false">DATE(2011,12,22)</f>
        <v>0</v>
      </c>
      <c r="C1787" s="3" t="n">
        <v>40899</v>
      </c>
      <c r="D1787" s="2" t="s">
        <v>13739</v>
      </c>
      <c r="F1787" s="2" t="s">
        <v>2026</v>
      </c>
      <c r="G1787" s="2" t="s">
        <v>13740</v>
      </c>
      <c r="H1787" s="2" t="s">
        <v>762</v>
      </c>
      <c r="I1787" s="2" t="s">
        <v>51</v>
      </c>
      <c r="J1787" s="2" t="s">
        <v>2633</v>
      </c>
      <c r="K1787" s="2" t="s">
        <v>13739</v>
      </c>
      <c r="L1787" s="2" t="s">
        <v>51</v>
      </c>
      <c r="M1787" s="2" t="s">
        <v>762</v>
      </c>
      <c r="N1787" s="2" t="s">
        <v>13741</v>
      </c>
      <c r="O1787" s="2"/>
      <c r="P1787" s="2" t="s">
        <v>37</v>
      </c>
      <c r="Q1787" s="4" t="n">
        <v>2836</v>
      </c>
      <c r="R1787" s="2" t="s">
        <v>56</v>
      </c>
      <c r="S1787" s="2" t="s">
        <v>2265</v>
      </c>
      <c r="T1787" s="2" t="s">
        <v>40</v>
      </c>
      <c r="U1787" s="2" t="s">
        <v>13742</v>
      </c>
      <c r="V1787" s="2"/>
      <c r="W1787" s="2" t="s">
        <v>42</v>
      </c>
      <c r="X1787" s="2" t="s">
        <v>46</v>
      </c>
      <c r="Y1787" s="2" t="s">
        <v>37</v>
      </c>
      <c r="Z1787" s="2" t="s">
        <v>362</v>
      </c>
      <c r="AA1787" s="2"/>
      <c r="AB1787" s="2"/>
      <c r="AC1787" s="2" t="s">
        <v>13743</v>
      </c>
      <c r="AD1787" s="2" t="s">
        <v>46</v>
      </c>
    </row>
    <row r="1788" customFormat="false" ht="15.7" hidden="false" customHeight="true" outlineLevel="0" collapsed="false">
      <c r="A1788" s="2"/>
      <c r="B1788" s="3" t="n">
        <f aca="false">DATE(2011,12,24)</f>
        <v>0</v>
      </c>
      <c r="C1788" s="3" t="n">
        <v>40901</v>
      </c>
      <c r="D1788" s="2" t="s">
        <v>13744</v>
      </c>
      <c r="F1788" s="2" t="s">
        <v>13745</v>
      </c>
      <c r="G1788" s="2" t="s">
        <v>13746</v>
      </c>
      <c r="H1788" s="2" t="s">
        <v>1027</v>
      </c>
      <c r="I1788" s="2" t="s">
        <v>410</v>
      </c>
      <c r="J1788" s="2" t="s">
        <v>795</v>
      </c>
      <c r="K1788" s="2" t="s">
        <v>13744</v>
      </c>
      <c r="L1788" s="2" t="s">
        <v>410</v>
      </c>
      <c r="M1788" s="2" t="s">
        <v>1027</v>
      </c>
      <c r="N1788" s="2" t="s">
        <v>13747</v>
      </c>
      <c r="O1788" s="2"/>
      <c r="P1788" s="2" t="s">
        <v>37</v>
      </c>
      <c r="Q1788" s="4" t="n">
        <v>2834</v>
      </c>
      <c r="R1788" s="2" t="s">
        <v>56</v>
      </c>
      <c r="S1788" s="2" t="s">
        <v>2265</v>
      </c>
      <c r="T1788" s="2" t="s">
        <v>40</v>
      </c>
      <c r="U1788" s="2" t="s">
        <v>13748</v>
      </c>
      <c r="V1788" s="2"/>
      <c r="W1788" s="2" t="s">
        <v>42</v>
      </c>
      <c r="X1788" s="2" t="s">
        <v>43</v>
      </c>
      <c r="Y1788" s="2" t="s">
        <v>37</v>
      </c>
      <c r="Z1788" s="2" t="s">
        <v>44</v>
      </c>
      <c r="AA1788" s="2" t="s">
        <v>13749</v>
      </c>
      <c r="AB1788" s="2"/>
      <c r="AC1788" s="2" t="s">
        <v>13750</v>
      </c>
      <c r="AD1788" s="2" t="s">
        <v>46</v>
      </c>
    </row>
    <row r="1789" customFormat="false" ht="15.7" hidden="false" customHeight="true" outlineLevel="0" collapsed="false">
      <c r="A1789" s="2"/>
      <c r="B1789" s="3" t="n">
        <f aca="false">DATE(2011,12,25)</f>
        <v>0</v>
      </c>
      <c r="C1789" s="3" t="n">
        <v>40902</v>
      </c>
      <c r="D1789" s="2" t="s">
        <v>13751</v>
      </c>
      <c r="F1789" s="2" t="s">
        <v>13752</v>
      </c>
      <c r="G1789" s="2" t="s">
        <v>13753</v>
      </c>
      <c r="H1789" s="2" t="s">
        <v>247</v>
      </c>
      <c r="I1789" s="2" t="s">
        <v>4179</v>
      </c>
      <c r="J1789" s="2" t="s">
        <v>795</v>
      </c>
      <c r="K1789" s="2" t="s">
        <v>13751</v>
      </c>
      <c r="L1789" s="2" t="s">
        <v>4179</v>
      </c>
      <c r="M1789" s="2" t="s">
        <v>247</v>
      </c>
      <c r="N1789" s="2" t="s">
        <v>13754</v>
      </c>
      <c r="O1789" s="2"/>
      <c r="P1789" s="2" t="s">
        <v>37</v>
      </c>
      <c r="Q1789" s="4" t="n">
        <v>3841</v>
      </c>
      <c r="R1789" s="2" t="s">
        <v>56</v>
      </c>
      <c r="S1789" s="2" t="s">
        <v>2265</v>
      </c>
      <c r="T1789" s="2" t="s">
        <v>40</v>
      </c>
      <c r="U1789" s="2" t="s">
        <v>13755</v>
      </c>
      <c r="V1789" s="2"/>
      <c r="W1789" s="2" t="s">
        <v>42</v>
      </c>
      <c r="X1789" s="2" t="s">
        <v>43</v>
      </c>
      <c r="Y1789" s="2" t="s">
        <v>37</v>
      </c>
      <c r="Z1789" s="2" t="s">
        <v>44</v>
      </c>
      <c r="AA1789" s="2" t="s">
        <v>13756</v>
      </c>
      <c r="AB1789" s="2"/>
      <c r="AC1789" s="2" t="s">
        <v>13757</v>
      </c>
      <c r="AD1789" s="2" t="s">
        <v>46</v>
      </c>
    </row>
    <row r="1790" customFormat="false" ht="15.7" hidden="false" customHeight="true" outlineLevel="0" collapsed="false">
      <c r="A1790" s="2"/>
      <c r="B1790" s="3" t="n">
        <f aca="false">DATE(2012,1,1)</f>
        <v>0</v>
      </c>
      <c r="C1790" s="3" t="n">
        <v>40909</v>
      </c>
      <c r="D1790" s="2" t="s">
        <v>13758</v>
      </c>
      <c r="F1790" s="2" t="s">
        <v>13759</v>
      </c>
      <c r="G1790" s="2" t="s">
        <v>13760</v>
      </c>
      <c r="H1790" s="2" t="s">
        <v>13761</v>
      </c>
      <c r="I1790" s="2" t="s">
        <v>1080</v>
      </c>
      <c r="J1790" s="2" t="s">
        <v>35</v>
      </c>
      <c r="K1790" s="2" t="s">
        <v>13758</v>
      </c>
      <c r="L1790" s="2" t="s">
        <v>1080</v>
      </c>
      <c r="M1790" s="2" t="s">
        <v>13761</v>
      </c>
      <c r="N1790" s="2" t="s">
        <v>13762</v>
      </c>
      <c r="O1790" s="2" t="s">
        <v>13763</v>
      </c>
      <c r="P1790" s="2" t="s">
        <v>37</v>
      </c>
      <c r="Q1790" s="4" t="n">
        <v>8731</v>
      </c>
      <c r="R1790" s="2" t="s">
        <v>2201</v>
      </c>
      <c r="S1790" s="2" t="s">
        <v>39</v>
      </c>
      <c r="T1790" s="2" t="s">
        <v>40</v>
      </c>
      <c r="U1790" s="2" t="s">
        <v>13764</v>
      </c>
      <c r="V1790" s="2"/>
      <c r="W1790" s="2" t="s">
        <v>344</v>
      </c>
      <c r="X1790" s="2" t="s">
        <v>46</v>
      </c>
      <c r="Y1790" s="2" t="s">
        <v>37</v>
      </c>
      <c r="Z1790" s="2" t="s">
        <v>362</v>
      </c>
      <c r="AA1790" s="2"/>
      <c r="AB1790" s="2" t="s">
        <v>13765</v>
      </c>
      <c r="AC1790" s="2" t="s">
        <v>13766</v>
      </c>
      <c r="AD1790" s="2" t="s">
        <v>46</v>
      </c>
    </row>
    <row r="1791" customFormat="false" ht="15.7" hidden="false" customHeight="true" outlineLevel="0" collapsed="false">
      <c r="A1791" s="2"/>
      <c r="B1791" s="3" t="n">
        <f aca="false">DATE(2012,1,4)</f>
        <v>0</v>
      </c>
      <c r="C1791" s="3" t="n">
        <v>40912</v>
      </c>
      <c r="D1791" s="2" t="s">
        <v>13767</v>
      </c>
      <c r="F1791" s="2" t="s">
        <v>1501</v>
      </c>
      <c r="G1791" s="2" t="s">
        <v>13768</v>
      </c>
      <c r="H1791" s="2" t="s">
        <v>305</v>
      </c>
      <c r="I1791" s="2" t="s">
        <v>51</v>
      </c>
      <c r="J1791" s="2" t="s">
        <v>2190</v>
      </c>
      <c r="K1791" s="2" t="s">
        <v>13767</v>
      </c>
      <c r="L1791" s="2" t="s">
        <v>51</v>
      </c>
      <c r="M1791" s="2" t="s">
        <v>305</v>
      </c>
      <c r="N1791" s="2" t="s">
        <v>13769</v>
      </c>
      <c r="O1791" s="2"/>
      <c r="P1791" s="2" t="s">
        <v>37</v>
      </c>
      <c r="Q1791" s="4" t="n">
        <v>2834</v>
      </c>
      <c r="R1791" s="2" t="s">
        <v>56</v>
      </c>
      <c r="S1791" s="2" t="s">
        <v>2265</v>
      </c>
      <c r="T1791" s="2" t="s">
        <v>40</v>
      </c>
      <c r="U1791" s="2" t="s">
        <v>13770</v>
      </c>
      <c r="V1791" s="2"/>
      <c r="W1791" s="2" t="s">
        <v>138</v>
      </c>
      <c r="X1791" s="2" t="s">
        <v>43</v>
      </c>
      <c r="Y1791" s="2" t="s">
        <v>37</v>
      </c>
      <c r="Z1791" s="2" t="s">
        <v>44</v>
      </c>
      <c r="AA1791" s="2" t="s">
        <v>13771</v>
      </c>
      <c r="AB1791" s="2"/>
      <c r="AC1791" s="2" t="s">
        <v>13772</v>
      </c>
      <c r="AD1791" s="2" t="s">
        <v>46</v>
      </c>
    </row>
    <row r="1792" customFormat="false" ht="15.7" hidden="false" customHeight="true" outlineLevel="0" collapsed="false">
      <c r="A1792" s="2"/>
      <c r="B1792" s="3" t="n">
        <f aca="false">DATE(2012,1,4)</f>
        <v>0</v>
      </c>
      <c r="C1792" s="3" t="n">
        <v>40912</v>
      </c>
      <c r="D1792" s="2" t="s">
        <v>13773</v>
      </c>
      <c r="F1792" s="2" t="s">
        <v>13774</v>
      </c>
      <c r="G1792" s="2" t="s">
        <v>13775</v>
      </c>
      <c r="H1792" s="2" t="s">
        <v>130</v>
      </c>
      <c r="I1792" s="2" t="s">
        <v>13776</v>
      </c>
      <c r="J1792" s="2" t="s">
        <v>35</v>
      </c>
      <c r="K1792" s="2" t="s">
        <v>13773</v>
      </c>
      <c r="L1792" s="2" t="s">
        <v>13776</v>
      </c>
      <c r="M1792" s="2" t="s">
        <v>130</v>
      </c>
      <c r="N1792" s="2" t="s">
        <v>13777</v>
      </c>
      <c r="O1792" s="2"/>
      <c r="P1792" s="2" t="s">
        <v>37</v>
      </c>
      <c r="Q1792" s="4" t="n">
        <v>2836</v>
      </c>
      <c r="R1792" s="2" t="s">
        <v>688</v>
      </c>
      <c r="S1792" s="2" t="s">
        <v>39</v>
      </c>
      <c r="T1792" s="2" t="s">
        <v>40</v>
      </c>
      <c r="U1792" s="2" t="s">
        <v>13778</v>
      </c>
      <c r="V1792" s="2"/>
      <c r="W1792" s="2" t="s">
        <v>42</v>
      </c>
      <c r="X1792" s="2" t="s">
        <v>43</v>
      </c>
      <c r="Y1792" s="2" t="s">
        <v>37</v>
      </c>
      <c r="Z1792" s="2" t="s">
        <v>44</v>
      </c>
      <c r="AA1792" s="2" t="s">
        <v>13779</v>
      </c>
      <c r="AB1792" s="2"/>
      <c r="AC1792" s="2" t="s">
        <v>13780</v>
      </c>
      <c r="AD1792" s="2" t="s">
        <v>46</v>
      </c>
    </row>
    <row r="1793" customFormat="false" ht="15.7" hidden="false" customHeight="true" outlineLevel="0" collapsed="false">
      <c r="A1793" s="2"/>
      <c r="B1793" s="3" t="n">
        <f aca="false">DATE(2012,1,4)</f>
        <v>0</v>
      </c>
      <c r="C1793" s="3" t="n">
        <v>40912</v>
      </c>
      <c r="D1793" s="2" t="s">
        <v>13781</v>
      </c>
      <c r="F1793" s="2" t="s">
        <v>13782</v>
      </c>
      <c r="G1793" s="2" t="s">
        <v>13783</v>
      </c>
      <c r="H1793" s="2" t="s">
        <v>13784</v>
      </c>
      <c r="I1793" s="2" t="s">
        <v>51</v>
      </c>
      <c r="J1793" s="2" t="s">
        <v>13785</v>
      </c>
      <c r="K1793" s="2" t="s">
        <v>13781</v>
      </c>
      <c r="L1793" s="2" t="s">
        <v>51</v>
      </c>
      <c r="M1793" s="2" t="s">
        <v>13784</v>
      </c>
      <c r="N1793" s="2" t="s">
        <v>13786</v>
      </c>
      <c r="O1793" s="2"/>
      <c r="P1793" s="2" t="s">
        <v>37</v>
      </c>
      <c r="Q1793" s="4" t="n">
        <v>7372</v>
      </c>
      <c r="R1793" s="2" t="s">
        <v>56</v>
      </c>
      <c r="S1793" s="2" t="s">
        <v>2265</v>
      </c>
      <c r="T1793" s="2" t="s">
        <v>403</v>
      </c>
      <c r="U1793" s="2" t="s">
        <v>13787</v>
      </c>
      <c r="V1793" s="2"/>
      <c r="W1793" s="2" t="s">
        <v>42</v>
      </c>
      <c r="X1793" s="2" t="s">
        <v>43</v>
      </c>
      <c r="Y1793" s="2" t="s">
        <v>37</v>
      </c>
      <c r="Z1793" s="2" t="s">
        <v>44</v>
      </c>
      <c r="AA1793" s="2"/>
      <c r="AB1793" s="2"/>
      <c r="AC1793" s="2" t="s">
        <v>13788</v>
      </c>
      <c r="AD1793" s="2" t="s">
        <v>46</v>
      </c>
    </row>
    <row r="1794" customFormat="false" ht="15.7" hidden="false" customHeight="true" outlineLevel="0" collapsed="false">
      <c r="A1794" s="2"/>
      <c r="B1794" s="3" t="n">
        <f aca="false">DATE(2012,1,4)</f>
        <v>0</v>
      </c>
      <c r="C1794" s="3" t="n">
        <v>40912</v>
      </c>
      <c r="D1794" s="2" t="s">
        <v>13789</v>
      </c>
      <c r="F1794" s="2" t="s">
        <v>6793</v>
      </c>
      <c r="G1794" s="2" t="s">
        <v>13790</v>
      </c>
      <c r="H1794" s="2" t="s">
        <v>12820</v>
      </c>
      <c r="I1794" s="2" t="s">
        <v>51</v>
      </c>
      <c r="J1794" s="2" t="s">
        <v>4097</v>
      </c>
      <c r="K1794" s="2" t="s">
        <v>13789</v>
      </c>
      <c r="L1794" s="2" t="s">
        <v>51</v>
      </c>
      <c r="M1794" s="2" t="s">
        <v>12820</v>
      </c>
      <c r="N1794" s="2" t="s">
        <v>13791</v>
      </c>
      <c r="O1794" s="2"/>
      <c r="P1794" s="2" t="s">
        <v>37</v>
      </c>
      <c r="Q1794" s="4" t="n">
        <v>8731</v>
      </c>
      <c r="R1794" s="2" t="s">
        <v>2749</v>
      </c>
      <c r="S1794" s="2" t="s">
        <v>11842</v>
      </c>
      <c r="T1794" s="2" t="s">
        <v>40</v>
      </c>
      <c r="U1794" s="2" t="s">
        <v>13792</v>
      </c>
      <c r="V1794" s="2"/>
      <c r="W1794" s="2" t="s">
        <v>42</v>
      </c>
      <c r="X1794" s="2" t="s">
        <v>43</v>
      </c>
      <c r="Y1794" s="2" t="s">
        <v>79</v>
      </c>
      <c r="Z1794" s="2" t="s">
        <v>44</v>
      </c>
      <c r="AA1794" s="2"/>
      <c r="AB1794" s="2"/>
      <c r="AC1794" s="2" t="s">
        <v>13793</v>
      </c>
      <c r="AD1794" s="2" t="s">
        <v>46</v>
      </c>
    </row>
    <row r="1795" customFormat="false" ht="15.7" hidden="false" customHeight="true" outlineLevel="0" collapsed="false">
      <c r="A1795" s="2"/>
      <c r="B1795" s="3" t="n">
        <f aca="false">DATE(2012,1,5)</f>
        <v>0</v>
      </c>
      <c r="C1795" s="3" t="n">
        <v>40913</v>
      </c>
      <c r="D1795" s="2" t="s">
        <v>13794</v>
      </c>
      <c r="F1795" s="2" t="s">
        <v>13795</v>
      </c>
      <c r="G1795" s="2" t="s">
        <v>13796</v>
      </c>
      <c r="H1795" s="2" t="s">
        <v>762</v>
      </c>
      <c r="I1795" s="2" t="s">
        <v>9635</v>
      </c>
      <c r="J1795" s="2" t="s">
        <v>228</v>
      </c>
      <c r="K1795" s="2" t="s">
        <v>13797</v>
      </c>
      <c r="L1795" s="2" t="s">
        <v>9635</v>
      </c>
      <c r="M1795" s="2" t="s">
        <v>2779</v>
      </c>
      <c r="N1795" s="2" t="s">
        <v>13798</v>
      </c>
      <c r="O1795" s="2"/>
      <c r="P1795" s="2" t="s">
        <v>37</v>
      </c>
      <c r="Q1795" s="4" t="n">
        <v>8731</v>
      </c>
      <c r="R1795" s="2" t="s">
        <v>56</v>
      </c>
      <c r="S1795" s="2" t="s">
        <v>2265</v>
      </c>
      <c r="T1795" s="2" t="s">
        <v>40</v>
      </c>
      <c r="U1795" s="2" t="s">
        <v>13799</v>
      </c>
      <c r="V1795" s="2"/>
      <c r="W1795" s="2" t="s">
        <v>42</v>
      </c>
      <c r="X1795" s="2" t="s">
        <v>43</v>
      </c>
      <c r="Y1795" s="2" t="s">
        <v>37</v>
      </c>
      <c r="Z1795" s="2" t="s">
        <v>44</v>
      </c>
      <c r="AA1795" s="2"/>
      <c r="AB1795" s="2"/>
      <c r="AC1795" s="2" t="s">
        <v>13800</v>
      </c>
      <c r="AD1795" s="2" t="s">
        <v>46</v>
      </c>
    </row>
    <row r="1796" customFormat="false" ht="15.7" hidden="false" customHeight="true" outlineLevel="0" collapsed="false">
      <c r="A1796" s="2"/>
      <c r="B1796" s="3" t="n">
        <f aca="false">DATE(2012,1,5)</f>
        <v>0</v>
      </c>
      <c r="C1796" s="3" t="n">
        <v>40913</v>
      </c>
      <c r="D1796" s="2" t="s">
        <v>13801</v>
      </c>
      <c r="F1796" s="2" t="s">
        <v>13802</v>
      </c>
      <c r="G1796" s="2" t="s">
        <v>13803</v>
      </c>
      <c r="H1796" s="2" t="s">
        <v>1411</v>
      </c>
      <c r="I1796" s="2" t="s">
        <v>487</v>
      </c>
      <c r="J1796" s="2" t="s">
        <v>950</v>
      </c>
      <c r="K1796" s="2" t="s">
        <v>13804</v>
      </c>
      <c r="L1796" s="2" t="s">
        <v>1367</v>
      </c>
      <c r="M1796" s="2" t="s">
        <v>63</v>
      </c>
      <c r="N1796" s="2" t="s">
        <v>13805</v>
      </c>
      <c r="O1796" s="2"/>
      <c r="P1796" s="2" t="s">
        <v>37</v>
      </c>
      <c r="Q1796" s="4" t="n">
        <v>2836</v>
      </c>
      <c r="R1796" s="2" t="s">
        <v>1448</v>
      </c>
      <c r="S1796" s="2" t="s">
        <v>39</v>
      </c>
      <c r="T1796" s="2" t="s">
        <v>40</v>
      </c>
      <c r="U1796" s="2" t="s">
        <v>13806</v>
      </c>
      <c r="V1796" s="2"/>
      <c r="W1796" s="2" t="s">
        <v>42</v>
      </c>
      <c r="X1796" s="2" t="s">
        <v>43</v>
      </c>
      <c r="Y1796" s="2" t="s">
        <v>37</v>
      </c>
      <c r="Z1796" s="2" t="s">
        <v>44</v>
      </c>
      <c r="AA1796" s="2"/>
      <c r="AB1796" s="2"/>
      <c r="AC1796" s="2" t="s">
        <v>13807</v>
      </c>
      <c r="AD1796" s="2" t="s">
        <v>46</v>
      </c>
    </row>
    <row r="1797" customFormat="false" ht="15.7" hidden="false" customHeight="true" outlineLevel="0" collapsed="false">
      <c r="A1797" s="2"/>
      <c r="B1797" s="3" t="n">
        <f aca="false">DATE(2012,1,8)</f>
        <v>0</v>
      </c>
      <c r="C1797" s="3" t="n">
        <v>40916</v>
      </c>
      <c r="D1797" s="2" t="s">
        <v>13808</v>
      </c>
      <c r="F1797" s="2" t="s">
        <v>9036</v>
      </c>
      <c r="G1797" s="2" t="s">
        <v>13809</v>
      </c>
      <c r="H1797" s="2" t="s">
        <v>8167</v>
      </c>
      <c r="I1797" s="2" t="s">
        <v>3265</v>
      </c>
      <c r="J1797" s="2" t="s">
        <v>132</v>
      </c>
      <c r="K1797" s="2" t="s">
        <v>13810</v>
      </c>
      <c r="L1797" s="2" t="s">
        <v>3265</v>
      </c>
      <c r="M1797" s="2" t="s">
        <v>8167</v>
      </c>
      <c r="N1797" s="2" t="s">
        <v>13811</v>
      </c>
      <c r="O1797" s="2"/>
      <c r="P1797" s="2" t="s">
        <v>37</v>
      </c>
      <c r="Q1797" s="4" t="n">
        <v>8731</v>
      </c>
      <c r="R1797" s="2" t="s">
        <v>402</v>
      </c>
      <c r="S1797" s="2" t="s">
        <v>39</v>
      </c>
      <c r="T1797" s="2" t="s">
        <v>403</v>
      </c>
      <c r="U1797" s="2" t="s">
        <v>13812</v>
      </c>
      <c r="V1797" s="2"/>
      <c r="W1797" s="2" t="s">
        <v>42</v>
      </c>
      <c r="X1797" s="2" t="s">
        <v>46</v>
      </c>
      <c r="Y1797" s="2" t="s">
        <v>37</v>
      </c>
      <c r="Z1797" s="2" t="s">
        <v>44</v>
      </c>
      <c r="AA1797" s="2"/>
      <c r="AB1797" s="2"/>
      <c r="AC1797" s="2" t="s">
        <v>13813</v>
      </c>
      <c r="AD1797" s="2" t="s">
        <v>46</v>
      </c>
    </row>
    <row r="1798" customFormat="false" ht="15.7" hidden="false" customHeight="true" outlineLevel="0" collapsed="false">
      <c r="A1798" s="2"/>
      <c r="B1798" s="3" t="n">
        <f aca="false">DATE(2012,1,9)</f>
        <v>0</v>
      </c>
      <c r="C1798" s="3" t="n">
        <v>40917</v>
      </c>
      <c r="D1798" s="2" t="s">
        <v>13814</v>
      </c>
      <c r="F1798" s="2" t="s">
        <v>709</v>
      </c>
      <c r="G1798" s="2" t="s">
        <v>13815</v>
      </c>
      <c r="H1798" s="2" t="s">
        <v>130</v>
      </c>
      <c r="I1798" s="2" t="s">
        <v>1080</v>
      </c>
      <c r="J1798" s="2" t="s">
        <v>35</v>
      </c>
      <c r="K1798" s="2" t="s">
        <v>13814</v>
      </c>
      <c r="L1798" s="2" t="s">
        <v>1080</v>
      </c>
      <c r="M1798" s="2" t="s">
        <v>130</v>
      </c>
      <c r="N1798" s="2" t="s">
        <v>13816</v>
      </c>
      <c r="O1798" s="2"/>
      <c r="P1798" s="2" t="s">
        <v>37</v>
      </c>
      <c r="Q1798" s="4" t="n">
        <v>8731</v>
      </c>
      <c r="R1798" s="2" t="s">
        <v>2201</v>
      </c>
      <c r="S1798" s="2" t="s">
        <v>39</v>
      </c>
      <c r="T1798" s="2" t="s">
        <v>40</v>
      </c>
      <c r="U1798" s="2" t="s">
        <v>13817</v>
      </c>
      <c r="V1798" s="2"/>
      <c r="W1798" s="2" t="s">
        <v>344</v>
      </c>
      <c r="X1798" s="2" t="s">
        <v>43</v>
      </c>
      <c r="Y1798" s="2" t="s">
        <v>37</v>
      </c>
      <c r="Z1798" s="2" t="s">
        <v>44</v>
      </c>
      <c r="AA1798" s="2"/>
      <c r="AB1798" s="2"/>
      <c r="AC1798" s="2" t="s">
        <v>13818</v>
      </c>
      <c r="AD1798" s="2" t="s">
        <v>46</v>
      </c>
    </row>
    <row r="1799" customFormat="false" ht="15.7" hidden="false" customHeight="true" outlineLevel="0" collapsed="false">
      <c r="A1799" s="2"/>
      <c r="B1799" s="3" t="n">
        <f aca="false">DATE(2012,1,9)</f>
        <v>0</v>
      </c>
      <c r="C1799" s="3" t="n">
        <v>40917</v>
      </c>
      <c r="D1799" s="2" t="s">
        <v>13819</v>
      </c>
      <c r="F1799" s="2" t="s">
        <v>13820</v>
      </c>
      <c r="G1799" s="2" t="s">
        <v>13821</v>
      </c>
      <c r="H1799" s="2" t="s">
        <v>762</v>
      </c>
      <c r="I1799" s="2" t="s">
        <v>163</v>
      </c>
      <c r="J1799" s="2" t="s">
        <v>35</v>
      </c>
      <c r="K1799" s="2" t="s">
        <v>13822</v>
      </c>
      <c r="L1799" s="2" t="s">
        <v>163</v>
      </c>
      <c r="M1799" s="2" t="s">
        <v>762</v>
      </c>
      <c r="N1799" s="2" t="s">
        <v>13823</v>
      </c>
      <c r="O1799" s="2"/>
      <c r="P1799" s="2" t="s">
        <v>37</v>
      </c>
      <c r="Q1799" s="4" t="n">
        <v>8731</v>
      </c>
      <c r="R1799" s="2" t="s">
        <v>105</v>
      </c>
      <c r="S1799" s="2" t="s">
        <v>39</v>
      </c>
      <c r="T1799" s="2" t="s">
        <v>40</v>
      </c>
      <c r="U1799" s="2" t="s">
        <v>13824</v>
      </c>
      <c r="V1799" s="2"/>
      <c r="W1799" s="2" t="s">
        <v>42</v>
      </c>
      <c r="X1799" s="2" t="s">
        <v>43</v>
      </c>
      <c r="Y1799" s="2" t="s">
        <v>37</v>
      </c>
      <c r="Z1799" s="2" t="s">
        <v>44</v>
      </c>
      <c r="AA1799" s="2"/>
      <c r="AB1799" s="2"/>
      <c r="AC1799" s="2" t="s">
        <v>13825</v>
      </c>
      <c r="AD1799" s="2" t="s">
        <v>46</v>
      </c>
    </row>
    <row r="1800" customFormat="false" ht="15.7" hidden="false" customHeight="true" outlineLevel="0" collapsed="false">
      <c r="A1800" s="2"/>
      <c r="B1800" s="3" t="n">
        <f aca="false">DATE(2012,1,9)</f>
        <v>0</v>
      </c>
      <c r="C1800" s="3" t="n">
        <v>40917</v>
      </c>
      <c r="D1800" s="2" t="s">
        <v>13826</v>
      </c>
      <c r="F1800" s="2" t="s">
        <v>2801</v>
      </c>
      <c r="G1800" s="2" t="s">
        <v>13827</v>
      </c>
      <c r="H1800" s="2" t="s">
        <v>130</v>
      </c>
      <c r="I1800" s="2" t="s">
        <v>899</v>
      </c>
      <c r="J1800" s="2" t="s">
        <v>132</v>
      </c>
      <c r="K1800" s="2" t="s">
        <v>13828</v>
      </c>
      <c r="L1800" s="2" t="s">
        <v>899</v>
      </c>
      <c r="M1800" s="2" t="s">
        <v>230</v>
      </c>
      <c r="N1800" s="2" t="s">
        <v>13829</v>
      </c>
      <c r="O1800" s="2"/>
      <c r="P1800" s="2" t="s">
        <v>37</v>
      </c>
      <c r="Q1800" s="4" t="n">
        <v>2836</v>
      </c>
      <c r="R1800" s="2" t="s">
        <v>869</v>
      </c>
      <c r="S1800" s="2" t="s">
        <v>39</v>
      </c>
      <c r="T1800" s="2" t="s">
        <v>40</v>
      </c>
      <c r="U1800" s="2" t="s">
        <v>13830</v>
      </c>
      <c r="V1800" s="2"/>
      <c r="W1800" s="2" t="s">
        <v>42</v>
      </c>
      <c r="X1800" s="2" t="s">
        <v>43</v>
      </c>
      <c r="Y1800" s="2" t="s">
        <v>37</v>
      </c>
      <c r="Z1800" s="2" t="s">
        <v>44</v>
      </c>
      <c r="AA1800" s="2" t="s">
        <v>13831</v>
      </c>
      <c r="AB1800" s="2"/>
      <c r="AC1800" s="2" t="s">
        <v>13832</v>
      </c>
      <c r="AD1800" s="2" t="s">
        <v>46</v>
      </c>
    </row>
    <row r="1801" customFormat="false" ht="15.7" hidden="false" customHeight="true" outlineLevel="0" collapsed="false">
      <c r="A1801" s="2"/>
      <c r="B1801" s="3" t="n">
        <f aca="false">DATE(2012,1,10)</f>
        <v>0</v>
      </c>
      <c r="C1801" s="3" t="n">
        <v>40918</v>
      </c>
      <c r="D1801" s="2" t="s">
        <v>13833</v>
      </c>
      <c r="F1801" s="2" t="s">
        <v>13834</v>
      </c>
      <c r="G1801" s="2" t="s">
        <v>13835</v>
      </c>
      <c r="H1801" s="2" t="s">
        <v>9318</v>
      </c>
      <c r="I1801" s="2" t="s">
        <v>568</v>
      </c>
      <c r="J1801" s="2" t="s">
        <v>65</v>
      </c>
      <c r="K1801" s="2" t="s">
        <v>13833</v>
      </c>
      <c r="L1801" s="2" t="s">
        <v>568</v>
      </c>
      <c r="M1801" s="2" t="s">
        <v>9318</v>
      </c>
      <c r="N1801" s="2" t="s">
        <v>13836</v>
      </c>
      <c r="O1801" s="2"/>
      <c r="P1801" s="2" t="s">
        <v>37</v>
      </c>
      <c r="Q1801" s="4" t="n">
        <v>2834</v>
      </c>
      <c r="R1801" s="2" t="s">
        <v>56</v>
      </c>
      <c r="S1801" s="2" t="s">
        <v>2265</v>
      </c>
      <c r="T1801" s="2" t="s">
        <v>40</v>
      </c>
      <c r="U1801" s="2" t="s">
        <v>13837</v>
      </c>
      <c r="V1801" s="2"/>
      <c r="W1801" s="2" t="s">
        <v>42</v>
      </c>
      <c r="X1801" s="2" t="s">
        <v>43</v>
      </c>
      <c r="Y1801" s="2" t="s">
        <v>37</v>
      </c>
      <c r="Z1801" s="2" t="s">
        <v>44</v>
      </c>
      <c r="AA1801" s="2" t="s">
        <v>13838</v>
      </c>
      <c r="AB1801" s="2"/>
      <c r="AC1801" s="2" t="s">
        <v>13839</v>
      </c>
      <c r="AD1801" s="2" t="s">
        <v>46</v>
      </c>
    </row>
    <row r="1802" customFormat="false" ht="15.7" hidden="false" customHeight="true" outlineLevel="0" collapsed="false">
      <c r="A1802" s="2"/>
      <c r="B1802" s="3" t="n">
        <f aca="false">DATE(2012,1,10)</f>
        <v>0</v>
      </c>
      <c r="C1802" s="3" t="n">
        <v>40918</v>
      </c>
      <c r="D1802" s="2" t="s">
        <v>13840</v>
      </c>
      <c r="F1802" s="2" t="s">
        <v>256</v>
      </c>
      <c r="G1802" s="2" t="s">
        <v>13841</v>
      </c>
      <c r="H1802" s="2" t="s">
        <v>1101</v>
      </c>
      <c r="I1802" s="2" t="s">
        <v>51</v>
      </c>
      <c r="J1802" s="2" t="s">
        <v>1697</v>
      </c>
      <c r="K1802" s="2" t="s">
        <v>13842</v>
      </c>
      <c r="L1802" s="2" t="s">
        <v>51</v>
      </c>
      <c r="M1802" s="2" t="s">
        <v>1027</v>
      </c>
      <c r="N1802" s="2" t="s">
        <v>13843</v>
      </c>
      <c r="O1802" s="2"/>
      <c r="P1802" s="2" t="s">
        <v>37</v>
      </c>
      <c r="Q1802" s="4" t="n">
        <v>8731</v>
      </c>
      <c r="R1802" s="2" t="s">
        <v>56</v>
      </c>
      <c r="S1802" s="2" t="s">
        <v>7553</v>
      </c>
      <c r="T1802" s="2" t="s">
        <v>40</v>
      </c>
      <c r="U1802" s="2" t="s">
        <v>13844</v>
      </c>
      <c r="V1802" s="2"/>
      <c r="W1802" s="2" t="s">
        <v>42</v>
      </c>
      <c r="X1802" s="2" t="s">
        <v>43</v>
      </c>
      <c r="Y1802" s="2" t="s">
        <v>37</v>
      </c>
      <c r="Z1802" s="2" t="s">
        <v>44</v>
      </c>
      <c r="AA1802" s="2" t="s">
        <v>13845</v>
      </c>
      <c r="AB1802" s="2"/>
      <c r="AC1802" s="2" t="s">
        <v>13846</v>
      </c>
      <c r="AD1802" s="2" t="s">
        <v>46</v>
      </c>
    </row>
    <row r="1803" customFormat="false" ht="15.7" hidden="false" customHeight="true" outlineLevel="0" collapsed="false">
      <c r="A1803" s="2"/>
      <c r="B1803" s="3" t="n">
        <f aca="false">DATE(2012,1,10)</f>
        <v>0</v>
      </c>
      <c r="C1803" s="3" t="n">
        <v>40918</v>
      </c>
      <c r="D1803" s="2" t="s">
        <v>13847</v>
      </c>
      <c r="F1803" s="2" t="s">
        <v>13848</v>
      </c>
      <c r="G1803" s="2" t="s">
        <v>13849</v>
      </c>
      <c r="H1803" s="2" t="s">
        <v>13850</v>
      </c>
      <c r="I1803" s="2" t="s">
        <v>3223</v>
      </c>
      <c r="J1803" s="2" t="s">
        <v>116</v>
      </c>
      <c r="K1803" s="2" t="s">
        <v>13847</v>
      </c>
      <c r="L1803" s="2" t="s">
        <v>3223</v>
      </c>
      <c r="M1803" s="2" t="s">
        <v>13850</v>
      </c>
      <c r="N1803" s="2" t="s">
        <v>13851</v>
      </c>
      <c r="O1803" s="2"/>
      <c r="P1803" s="2" t="s">
        <v>37</v>
      </c>
      <c r="Q1803" s="4" t="n">
        <v>2099</v>
      </c>
      <c r="R1803" s="2" t="s">
        <v>402</v>
      </c>
      <c r="S1803" s="2" t="s">
        <v>39</v>
      </c>
      <c r="T1803" s="2" t="s">
        <v>403</v>
      </c>
      <c r="U1803" s="2" t="s">
        <v>13852</v>
      </c>
      <c r="V1803" s="2"/>
      <c r="W1803" s="2" t="s">
        <v>755</v>
      </c>
      <c r="X1803" s="2" t="s">
        <v>46</v>
      </c>
      <c r="Y1803" s="2" t="s">
        <v>37</v>
      </c>
      <c r="Z1803" s="2" t="s">
        <v>13853</v>
      </c>
      <c r="AA1803" s="2" t="s">
        <v>13854</v>
      </c>
      <c r="AB1803" s="2"/>
      <c r="AC1803" s="2" t="s">
        <v>13855</v>
      </c>
      <c r="AD1803" s="2" t="s">
        <v>46</v>
      </c>
    </row>
    <row r="1804" customFormat="false" ht="15.7" hidden="false" customHeight="true" outlineLevel="0" collapsed="false">
      <c r="A1804" s="2"/>
      <c r="B1804" s="3" t="n">
        <f aca="false">DATE(2012,1,10)</f>
        <v>0</v>
      </c>
      <c r="C1804" s="3" t="n">
        <v>40918</v>
      </c>
      <c r="D1804" s="2" t="s">
        <v>13856</v>
      </c>
      <c r="F1804" s="2" t="s">
        <v>13857</v>
      </c>
      <c r="G1804" s="2" t="s">
        <v>13858</v>
      </c>
      <c r="H1804" s="2" t="s">
        <v>13859</v>
      </c>
      <c r="I1804" s="2" t="s">
        <v>2530</v>
      </c>
      <c r="J1804" s="2" t="s">
        <v>13860</v>
      </c>
      <c r="K1804" s="2" t="s">
        <v>13861</v>
      </c>
      <c r="L1804" s="2" t="s">
        <v>13862</v>
      </c>
      <c r="M1804" s="2" t="s">
        <v>10852</v>
      </c>
      <c r="N1804" s="2" t="s">
        <v>13863</v>
      </c>
      <c r="O1804" s="2"/>
      <c r="P1804" s="2" t="s">
        <v>37</v>
      </c>
      <c r="Q1804" s="4" t="n">
        <v>8731</v>
      </c>
      <c r="R1804" s="2" t="s">
        <v>56</v>
      </c>
      <c r="S1804" s="2" t="s">
        <v>2265</v>
      </c>
      <c r="T1804" s="2" t="s">
        <v>40</v>
      </c>
      <c r="U1804" s="2" t="s">
        <v>13864</v>
      </c>
      <c r="V1804" s="2"/>
      <c r="W1804" s="2" t="s">
        <v>1050</v>
      </c>
      <c r="X1804" s="2" t="s">
        <v>43</v>
      </c>
      <c r="Y1804" s="2" t="s">
        <v>37</v>
      </c>
      <c r="Z1804" s="2" t="s">
        <v>916</v>
      </c>
      <c r="AA1804" s="2"/>
      <c r="AB1804" s="2"/>
      <c r="AC1804" s="2" t="s">
        <v>13865</v>
      </c>
      <c r="AD1804" s="2" t="s">
        <v>46</v>
      </c>
    </row>
    <row r="1805" customFormat="false" ht="15.7" hidden="false" customHeight="true" outlineLevel="0" collapsed="false">
      <c r="A1805" s="2"/>
      <c r="B1805" s="3" t="n">
        <f aca="false">DATE(2012,1,10)</f>
        <v>0</v>
      </c>
      <c r="C1805" s="3" t="n">
        <v>40918</v>
      </c>
      <c r="D1805" s="2" t="s">
        <v>13866</v>
      </c>
      <c r="F1805" s="2" t="s">
        <v>13867</v>
      </c>
      <c r="G1805" s="2" t="s">
        <v>13868</v>
      </c>
      <c r="H1805" s="2" t="s">
        <v>7132</v>
      </c>
      <c r="I1805" s="2" t="s">
        <v>51</v>
      </c>
      <c r="J1805" s="2" t="s">
        <v>2190</v>
      </c>
      <c r="K1805" s="2" t="s">
        <v>13866</v>
      </c>
      <c r="L1805" s="2" t="s">
        <v>51</v>
      </c>
      <c r="M1805" s="2" t="s">
        <v>7132</v>
      </c>
      <c r="N1805" s="2" t="s">
        <v>13869</v>
      </c>
      <c r="O1805" s="2"/>
      <c r="P1805" s="2" t="s">
        <v>37</v>
      </c>
      <c r="Q1805" s="4" t="n">
        <v>3845</v>
      </c>
      <c r="R1805" s="2" t="s">
        <v>56</v>
      </c>
      <c r="S1805" s="2" t="s">
        <v>2265</v>
      </c>
      <c r="T1805" s="2" t="s">
        <v>403</v>
      </c>
      <c r="U1805" s="2" t="s">
        <v>13870</v>
      </c>
      <c r="V1805" s="2"/>
      <c r="W1805" s="2" t="s">
        <v>42</v>
      </c>
      <c r="X1805" s="2" t="s">
        <v>43</v>
      </c>
      <c r="Y1805" s="2" t="s">
        <v>37</v>
      </c>
      <c r="Z1805" s="2" t="s">
        <v>44</v>
      </c>
      <c r="AA1805" s="2"/>
      <c r="AB1805" s="2"/>
      <c r="AC1805" s="2" t="s">
        <v>13871</v>
      </c>
      <c r="AD1805" s="2" t="s">
        <v>46</v>
      </c>
    </row>
    <row r="1806" customFormat="false" ht="15.7" hidden="false" customHeight="true" outlineLevel="0" collapsed="false">
      <c r="A1806" s="2"/>
      <c r="B1806" s="3" t="n">
        <f aca="false">DATE(2012,1,11)</f>
        <v>0</v>
      </c>
      <c r="C1806" s="3" t="n">
        <v>40919</v>
      </c>
      <c r="D1806" s="2" t="s">
        <v>13872</v>
      </c>
      <c r="F1806" s="2" t="s">
        <v>13873</v>
      </c>
      <c r="G1806" s="2" t="s">
        <v>13874</v>
      </c>
      <c r="H1806" s="2" t="s">
        <v>13875</v>
      </c>
      <c r="I1806" s="2" t="s">
        <v>4325</v>
      </c>
      <c r="J1806" s="2" t="s">
        <v>35</v>
      </c>
      <c r="K1806" s="2" t="s">
        <v>13872</v>
      </c>
      <c r="L1806" s="2" t="s">
        <v>4325</v>
      </c>
      <c r="M1806" s="2" t="s">
        <v>13875</v>
      </c>
      <c r="N1806" s="2" t="s">
        <v>13876</v>
      </c>
      <c r="O1806" s="2"/>
      <c r="P1806" s="2" t="s">
        <v>37</v>
      </c>
      <c r="Q1806" s="4" t="n">
        <v>3674</v>
      </c>
      <c r="R1806" s="2" t="s">
        <v>402</v>
      </c>
      <c r="S1806" s="2" t="s">
        <v>39</v>
      </c>
      <c r="T1806" s="2" t="s">
        <v>403</v>
      </c>
      <c r="U1806" s="2" t="s">
        <v>13877</v>
      </c>
      <c r="V1806" s="2"/>
      <c r="W1806" s="2" t="s">
        <v>107</v>
      </c>
      <c r="X1806" s="2" t="s">
        <v>46</v>
      </c>
      <c r="Y1806" s="2" t="s">
        <v>37</v>
      </c>
      <c r="Z1806" s="2" t="s">
        <v>987</v>
      </c>
      <c r="AA1806" s="2" t="s">
        <v>13878</v>
      </c>
      <c r="AB1806" s="2"/>
      <c r="AC1806" s="2" t="s">
        <v>13879</v>
      </c>
      <c r="AD1806" s="2" t="s">
        <v>46</v>
      </c>
    </row>
    <row r="1807" customFormat="false" ht="15.7" hidden="false" customHeight="true" outlineLevel="0" collapsed="false">
      <c r="A1807" s="2"/>
      <c r="B1807" s="3" t="n">
        <f aca="false">DATE(2012,1,11)</f>
        <v>0</v>
      </c>
      <c r="C1807" s="3" t="n">
        <v>40919</v>
      </c>
      <c r="D1807" s="2" t="s">
        <v>13880</v>
      </c>
      <c r="F1807" s="2" t="s">
        <v>2970</v>
      </c>
      <c r="G1807" s="2" t="s">
        <v>13881</v>
      </c>
      <c r="H1807" s="2" t="s">
        <v>170</v>
      </c>
      <c r="I1807" s="2" t="s">
        <v>670</v>
      </c>
      <c r="J1807" s="2" t="s">
        <v>514</v>
      </c>
      <c r="K1807" s="2" t="s">
        <v>13880</v>
      </c>
      <c r="L1807" s="2" t="s">
        <v>670</v>
      </c>
      <c r="M1807" s="2" t="s">
        <v>170</v>
      </c>
      <c r="N1807" s="2" t="s">
        <v>13882</v>
      </c>
      <c r="O1807" s="2"/>
      <c r="P1807" s="2" t="s">
        <v>37</v>
      </c>
      <c r="Q1807" s="4" t="n">
        <v>2836</v>
      </c>
      <c r="R1807" s="2" t="s">
        <v>56</v>
      </c>
      <c r="S1807" s="2" t="s">
        <v>2265</v>
      </c>
      <c r="T1807" s="2" t="s">
        <v>40</v>
      </c>
      <c r="U1807" s="2" t="s">
        <v>13883</v>
      </c>
      <c r="V1807" s="2"/>
      <c r="W1807" s="2" t="s">
        <v>42</v>
      </c>
      <c r="X1807" s="2" t="s">
        <v>43</v>
      </c>
      <c r="Y1807" s="2" t="s">
        <v>37</v>
      </c>
      <c r="Z1807" s="2" t="s">
        <v>44</v>
      </c>
      <c r="AA1807" s="2"/>
      <c r="AB1807" s="2"/>
      <c r="AC1807" s="2" t="s">
        <v>13884</v>
      </c>
      <c r="AD1807" s="2" t="s">
        <v>46</v>
      </c>
    </row>
    <row r="1808" customFormat="false" ht="15.7" hidden="false" customHeight="true" outlineLevel="0" collapsed="false">
      <c r="A1808" s="2"/>
      <c r="B1808" s="3" t="n">
        <f aca="false">DATE(2012,1,11)</f>
        <v>0</v>
      </c>
      <c r="C1808" s="3" t="n">
        <v>40919</v>
      </c>
      <c r="D1808" s="2" t="s">
        <v>13885</v>
      </c>
      <c r="F1808" s="2" t="s">
        <v>4971</v>
      </c>
      <c r="G1808" s="2" t="s">
        <v>13886</v>
      </c>
      <c r="H1808" s="2" t="s">
        <v>63</v>
      </c>
      <c r="I1808" s="2" t="s">
        <v>670</v>
      </c>
      <c r="J1808" s="2" t="s">
        <v>514</v>
      </c>
      <c r="K1808" s="2" t="s">
        <v>13885</v>
      </c>
      <c r="L1808" s="2" t="s">
        <v>670</v>
      </c>
      <c r="M1808" s="2" t="s">
        <v>63</v>
      </c>
      <c r="N1808" s="2" t="s">
        <v>13887</v>
      </c>
      <c r="O1808" s="2"/>
      <c r="P1808" s="2" t="s">
        <v>37</v>
      </c>
      <c r="Q1808" s="4" t="n">
        <v>2834</v>
      </c>
      <c r="R1808" s="2" t="s">
        <v>402</v>
      </c>
      <c r="S1808" s="2" t="s">
        <v>39</v>
      </c>
      <c r="T1808" s="2" t="s">
        <v>403</v>
      </c>
      <c r="U1808" s="2" t="s">
        <v>13888</v>
      </c>
      <c r="V1808" s="2"/>
      <c r="W1808" s="2" t="s">
        <v>13889</v>
      </c>
      <c r="X1808" s="2" t="s">
        <v>46</v>
      </c>
      <c r="Y1808" s="2" t="s">
        <v>37</v>
      </c>
      <c r="Z1808" s="2" t="s">
        <v>362</v>
      </c>
      <c r="AA1808" s="2"/>
      <c r="AB1808" s="2"/>
      <c r="AC1808" s="2" t="s">
        <v>13890</v>
      </c>
      <c r="AD1808" s="2" t="s">
        <v>46</v>
      </c>
    </row>
    <row r="1809" customFormat="false" ht="15.7" hidden="false" customHeight="true" outlineLevel="0" collapsed="false">
      <c r="A1809" s="2"/>
      <c r="B1809" s="3" t="n">
        <f aca="false">DATE(2012,1,12)</f>
        <v>0</v>
      </c>
      <c r="C1809" s="3" t="n">
        <v>40920</v>
      </c>
      <c r="D1809" s="2" t="s">
        <v>13891</v>
      </c>
      <c r="F1809" s="2" t="s">
        <v>13892</v>
      </c>
      <c r="G1809" s="2" t="s">
        <v>13893</v>
      </c>
      <c r="H1809" s="2" t="s">
        <v>130</v>
      </c>
      <c r="I1809" s="2" t="s">
        <v>6245</v>
      </c>
      <c r="J1809" s="2" t="s">
        <v>35</v>
      </c>
      <c r="K1809" s="2" t="s">
        <v>13894</v>
      </c>
      <c r="L1809" s="2" t="s">
        <v>6245</v>
      </c>
      <c r="M1809" s="2" t="s">
        <v>10411</v>
      </c>
      <c r="N1809" s="2" t="s">
        <v>13895</v>
      </c>
      <c r="O1809" s="2"/>
      <c r="P1809" s="2" t="s">
        <v>37</v>
      </c>
      <c r="Q1809" s="4" t="n">
        <v>8731</v>
      </c>
      <c r="R1809" s="2" t="s">
        <v>136</v>
      </c>
      <c r="S1809" s="2" t="s">
        <v>39</v>
      </c>
      <c r="T1809" s="2" t="s">
        <v>40</v>
      </c>
      <c r="U1809" s="2" t="s">
        <v>13896</v>
      </c>
      <c r="V1809" s="2"/>
      <c r="W1809" s="2" t="s">
        <v>42</v>
      </c>
      <c r="X1809" s="2" t="s">
        <v>43</v>
      </c>
      <c r="Y1809" s="2" t="s">
        <v>37</v>
      </c>
      <c r="Z1809" s="2" t="s">
        <v>44</v>
      </c>
      <c r="AA1809" s="2"/>
      <c r="AB1809" s="2"/>
      <c r="AC1809" s="2" t="s">
        <v>13897</v>
      </c>
      <c r="AD1809" s="2" t="s">
        <v>46</v>
      </c>
    </row>
    <row r="1810" customFormat="false" ht="15.7" hidden="false" customHeight="true" outlineLevel="0" collapsed="false">
      <c r="A1810" s="2"/>
      <c r="B1810" s="3" t="n">
        <f aca="false">DATE(2012,1,12)</f>
        <v>0</v>
      </c>
      <c r="C1810" s="3" t="n">
        <v>40920</v>
      </c>
      <c r="D1810" s="2" t="s">
        <v>13898</v>
      </c>
      <c r="F1810" s="2" t="s">
        <v>13899</v>
      </c>
      <c r="G1810" s="2" t="s">
        <v>13900</v>
      </c>
      <c r="H1810" s="2" t="s">
        <v>13901</v>
      </c>
      <c r="I1810" s="2" t="s">
        <v>4037</v>
      </c>
      <c r="J1810" s="2" t="s">
        <v>101</v>
      </c>
      <c r="K1810" s="2" t="s">
        <v>13898</v>
      </c>
      <c r="L1810" s="2" t="s">
        <v>4037</v>
      </c>
      <c r="M1810" s="2" t="s">
        <v>13901</v>
      </c>
      <c r="N1810" s="2" t="s">
        <v>13902</v>
      </c>
      <c r="O1810" s="2"/>
      <c r="P1810" s="2" t="s">
        <v>37</v>
      </c>
      <c r="Q1810" s="4" t="n">
        <v>3621</v>
      </c>
      <c r="R1810" s="2" t="s">
        <v>2165</v>
      </c>
      <c r="S1810" s="2" t="s">
        <v>39</v>
      </c>
      <c r="T1810" s="2" t="s">
        <v>403</v>
      </c>
      <c r="U1810" s="2" t="s">
        <v>13903</v>
      </c>
      <c r="V1810" s="2"/>
      <c r="W1810" s="2" t="s">
        <v>138</v>
      </c>
      <c r="X1810" s="2" t="s">
        <v>46</v>
      </c>
      <c r="Y1810" s="2" t="s">
        <v>37</v>
      </c>
      <c r="Z1810" s="2" t="s">
        <v>362</v>
      </c>
      <c r="AA1810" s="2"/>
      <c r="AB1810" s="2"/>
      <c r="AC1810" s="2" t="s">
        <v>13904</v>
      </c>
      <c r="AD1810" s="2" t="s">
        <v>46</v>
      </c>
    </row>
    <row r="1811" customFormat="false" ht="15.7" hidden="false" customHeight="true" outlineLevel="0" collapsed="false">
      <c r="A1811" s="2"/>
      <c r="B1811" s="3" t="n">
        <f aca="false">DATE(2012,1,12)</f>
        <v>0</v>
      </c>
      <c r="C1811" s="3" t="n">
        <v>40920</v>
      </c>
      <c r="D1811" s="2" t="s">
        <v>13905</v>
      </c>
      <c r="F1811" s="2" t="s">
        <v>13906</v>
      </c>
      <c r="G1811" s="2" t="s">
        <v>13907</v>
      </c>
      <c r="H1811" s="2" t="s">
        <v>13908</v>
      </c>
      <c r="I1811" s="2" t="s">
        <v>51</v>
      </c>
      <c r="J1811" s="2" t="s">
        <v>13909</v>
      </c>
      <c r="K1811" s="2" t="s">
        <v>13910</v>
      </c>
      <c r="L1811" s="2" t="s">
        <v>51</v>
      </c>
      <c r="M1811" s="2" t="s">
        <v>13911</v>
      </c>
      <c r="N1811" s="2" t="s">
        <v>13912</v>
      </c>
      <c r="O1811" s="2"/>
      <c r="P1811" s="2" t="s">
        <v>37</v>
      </c>
      <c r="Q1811" s="4" t="n">
        <v>8731</v>
      </c>
      <c r="R1811" s="2" t="s">
        <v>56</v>
      </c>
      <c r="S1811" s="2"/>
      <c r="T1811" s="2" t="s">
        <v>40</v>
      </c>
      <c r="U1811" s="2" t="s">
        <v>13913</v>
      </c>
      <c r="V1811" s="2"/>
      <c r="W1811" s="2" t="s">
        <v>344</v>
      </c>
      <c r="X1811" s="2" t="s">
        <v>43</v>
      </c>
      <c r="Y1811" s="2" t="s">
        <v>37</v>
      </c>
      <c r="Z1811" s="2" t="s">
        <v>44</v>
      </c>
      <c r="AA1811" s="2"/>
      <c r="AB1811" s="2"/>
      <c r="AC1811" s="2" t="s">
        <v>13914</v>
      </c>
      <c r="AD1811" s="2" t="s">
        <v>46</v>
      </c>
    </row>
    <row r="1812" customFormat="false" ht="15.7" hidden="false" customHeight="true" outlineLevel="0" collapsed="false">
      <c r="A1812" s="2"/>
      <c r="B1812" s="3" t="n">
        <f aca="false">DATE(2012,1,12)</f>
        <v>0</v>
      </c>
      <c r="C1812" s="3" t="n">
        <v>40920</v>
      </c>
      <c r="D1812" s="2" t="s">
        <v>13915</v>
      </c>
      <c r="F1812" s="2" t="s">
        <v>12609</v>
      </c>
      <c r="G1812" s="2" t="s">
        <v>13916</v>
      </c>
      <c r="H1812" s="2" t="s">
        <v>9242</v>
      </c>
      <c r="I1812" s="2" t="s">
        <v>296</v>
      </c>
      <c r="J1812" s="2" t="s">
        <v>625</v>
      </c>
      <c r="K1812" s="2" t="s">
        <v>13915</v>
      </c>
      <c r="L1812" s="2" t="s">
        <v>296</v>
      </c>
      <c r="M1812" s="2" t="s">
        <v>9242</v>
      </c>
      <c r="N1812" s="2" t="s">
        <v>13917</v>
      </c>
      <c r="O1812" s="2"/>
      <c r="P1812" s="2" t="s">
        <v>37</v>
      </c>
      <c r="Q1812" s="4" t="n">
        <v>2836</v>
      </c>
      <c r="R1812" s="2" t="s">
        <v>56</v>
      </c>
      <c r="S1812" s="2" t="s">
        <v>2265</v>
      </c>
      <c r="T1812" s="2" t="s">
        <v>40</v>
      </c>
      <c r="U1812" s="2" t="s">
        <v>13918</v>
      </c>
      <c r="V1812" s="2"/>
      <c r="W1812" s="2" t="s">
        <v>42</v>
      </c>
      <c r="X1812" s="2" t="s">
        <v>43</v>
      </c>
      <c r="Y1812" s="2" t="s">
        <v>37</v>
      </c>
      <c r="Z1812" s="2" t="s">
        <v>44</v>
      </c>
      <c r="AA1812" s="2"/>
      <c r="AB1812" s="2"/>
      <c r="AC1812" s="2" t="s">
        <v>13919</v>
      </c>
      <c r="AD1812" s="2" t="s">
        <v>46</v>
      </c>
    </row>
    <row r="1813" customFormat="false" ht="15.7" hidden="false" customHeight="true" outlineLevel="0" collapsed="false">
      <c r="A1813" s="2"/>
      <c r="B1813" s="3" t="n">
        <f aca="false">DATE(2012,1,12)</f>
        <v>0</v>
      </c>
      <c r="C1813" s="3" t="n">
        <v>40920</v>
      </c>
      <c r="D1813" s="2" t="s">
        <v>13920</v>
      </c>
      <c r="F1813" s="2" t="s">
        <v>13921</v>
      </c>
      <c r="G1813" s="2" t="s">
        <v>13922</v>
      </c>
      <c r="H1813" s="2" t="s">
        <v>63</v>
      </c>
      <c r="I1813" s="2" t="s">
        <v>670</v>
      </c>
      <c r="J1813" s="2" t="s">
        <v>65</v>
      </c>
      <c r="K1813" s="2" t="s">
        <v>13923</v>
      </c>
      <c r="L1813" s="2" t="s">
        <v>10332</v>
      </c>
      <c r="M1813" s="2" t="s">
        <v>63</v>
      </c>
      <c r="N1813" s="2" t="s">
        <v>13924</v>
      </c>
      <c r="O1813" s="2"/>
      <c r="P1813" s="2" t="s">
        <v>37</v>
      </c>
      <c r="Q1813" s="4" t="n">
        <v>8731</v>
      </c>
      <c r="R1813" s="2" t="s">
        <v>136</v>
      </c>
      <c r="S1813" s="2" t="s">
        <v>39</v>
      </c>
      <c r="T1813" s="2" t="s">
        <v>40</v>
      </c>
      <c r="U1813" s="2" t="s">
        <v>13925</v>
      </c>
      <c r="V1813" s="2"/>
      <c r="W1813" s="2" t="s">
        <v>3244</v>
      </c>
      <c r="X1813" s="2" t="s">
        <v>43</v>
      </c>
      <c r="Y1813" s="2" t="s">
        <v>37</v>
      </c>
      <c r="Z1813" s="2" t="s">
        <v>44</v>
      </c>
      <c r="AA1813" s="2"/>
      <c r="AB1813" s="2"/>
      <c r="AC1813" s="2" t="s">
        <v>13926</v>
      </c>
      <c r="AD1813" s="2" t="s">
        <v>46</v>
      </c>
    </row>
    <row r="1814" customFormat="false" ht="15.7" hidden="false" customHeight="true" outlineLevel="0" collapsed="false">
      <c r="A1814" s="2"/>
      <c r="B1814" s="3" t="n">
        <f aca="false">DATE(2012,1,13)</f>
        <v>0</v>
      </c>
      <c r="C1814" s="3" t="n">
        <v>40921</v>
      </c>
      <c r="D1814" s="2" t="s">
        <v>13927</v>
      </c>
      <c r="F1814" s="2" t="s">
        <v>13928</v>
      </c>
      <c r="G1814" s="2" t="s">
        <v>13929</v>
      </c>
      <c r="H1814" s="2" t="s">
        <v>4803</v>
      </c>
      <c r="I1814" s="2" t="s">
        <v>670</v>
      </c>
      <c r="J1814" s="2" t="s">
        <v>65</v>
      </c>
      <c r="K1814" s="2" t="s">
        <v>13927</v>
      </c>
      <c r="L1814" s="2" t="s">
        <v>670</v>
      </c>
      <c r="M1814" s="2" t="s">
        <v>4803</v>
      </c>
      <c r="N1814" s="2" t="s">
        <v>13930</v>
      </c>
      <c r="O1814" s="2"/>
      <c r="P1814" s="2" t="s">
        <v>37</v>
      </c>
      <c r="Q1814" s="4" t="n">
        <v>8731</v>
      </c>
      <c r="R1814" s="2" t="s">
        <v>136</v>
      </c>
      <c r="S1814" s="2" t="s">
        <v>39</v>
      </c>
      <c r="T1814" s="2" t="s">
        <v>40</v>
      </c>
      <c r="U1814" s="2" t="s">
        <v>13931</v>
      </c>
      <c r="V1814" s="2"/>
      <c r="W1814" s="2" t="s">
        <v>138</v>
      </c>
      <c r="X1814" s="2" t="s">
        <v>43</v>
      </c>
      <c r="Y1814" s="2" t="s">
        <v>37</v>
      </c>
      <c r="Z1814" s="2" t="s">
        <v>44</v>
      </c>
      <c r="AA1814" s="2"/>
      <c r="AB1814" s="2"/>
      <c r="AC1814" s="2" t="s">
        <v>13932</v>
      </c>
      <c r="AD1814" s="2" t="s">
        <v>46</v>
      </c>
    </row>
    <row r="1815" customFormat="false" ht="15.7" hidden="false" customHeight="true" outlineLevel="0" collapsed="false">
      <c r="A1815" s="2"/>
      <c r="B1815" s="3" t="n">
        <f aca="false">DATE(2012,1,13)</f>
        <v>0</v>
      </c>
      <c r="C1815" s="3" t="n">
        <v>40921</v>
      </c>
      <c r="D1815" s="2" t="s">
        <v>13933</v>
      </c>
      <c r="F1815" s="2" t="s">
        <v>13934</v>
      </c>
      <c r="G1815" s="2" t="s">
        <v>13935</v>
      </c>
      <c r="H1815" s="2" t="s">
        <v>13936</v>
      </c>
      <c r="I1815" s="2" t="s">
        <v>13937</v>
      </c>
      <c r="J1815" s="2" t="s">
        <v>1341</v>
      </c>
      <c r="K1815" s="2" t="s">
        <v>13938</v>
      </c>
      <c r="L1815" s="2" t="s">
        <v>13939</v>
      </c>
      <c r="M1815" s="2" t="s">
        <v>1976</v>
      </c>
      <c r="N1815" s="2" t="s">
        <v>13940</v>
      </c>
      <c r="O1815" s="2"/>
      <c r="P1815" s="2" t="s">
        <v>37</v>
      </c>
      <c r="Q1815" s="4" t="n">
        <v>3523</v>
      </c>
      <c r="R1815" s="2" t="s">
        <v>2225</v>
      </c>
      <c r="S1815" s="2" t="s">
        <v>39</v>
      </c>
      <c r="T1815" s="2" t="s">
        <v>40</v>
      </c>
      <c r="U1815" s="2" t="s">
        <v>13941</v>
      </c>
      <c r="V1815" s="2"/>
      <c r="W1815" s="2" t="s">
        <v>42</v>
      </c>
      <c r="X1815" s="2" t="s">
        <v>43</v>
      </c>
      <c r="Y1815" s="2" t="s">
        <v>37</v>
      </c>
      <c r="Z1815" s="2" t="s">
        <v>44</v>
      </c>
      <c r="AA1815" s="2"/>
      <c r="AB1815" s="2"/>
      <c r="AC1815" s="2" t="s">
        <v>13942</v>
      </c>
      <c r="AD1815" s="2" t="s">
        <v>46</v>
      </c>
    </row>
    <row r="1816" customFormat="false" ht="15.7" hidden="false" customHeight="true" outlineLevel="0" collapsed="false">
      <c r="A1816" s="2"/>
      <c r="B1816" s="3" t="n">
        <f aca="false">DATE(2012,1,17)</f>
        <v>0</v>
      </c>
      <c r="C1816" s="3" t="n">
        <v>40925</v>
      </c>
      <c r="D1816" s="2" t="s">
        <v>13943</v>
      </c>
      <c r="F1816" s="2" t="s">
        <v>13944</v>
      </c>
      <c r="G1816" s="2" t="s">
        <v>13945</v>
      </c>
      <c r="H1816" s="2" t="s">
        <v>63</v>
      </c>
      <c r="I1816" s="2" t="s">
        <v>51</v>
      </c>
      <c r="J1816" s="2" t="s">
        <v>3045</v>
      </c>
      <c r="K1816" s="2" t="s">
        <v>13946</v>
      </c>
      <c r="L1816" s="2" t="s">
        <v>88</v>
      </c>
      <c r="M1816" s="2" t="s">
        <v>1027</v>
      </c>
      <c r="N1816" s="2" t="s">
        <v>13947</v>
      </c>
      <c r="O1816" s="2"/>
      <c r="P1816" s="2" t="s">
        <v>37</v>
      </c>
      <c r="Q1816" s="4" t="n">
        <v>2836</v>
      </c>
      <c r="R1816" s="2" t="s">
        <v>56</v>
      </c>
      <c r="S1816" s="2" t="s">
        <v>2265</v>
      </c>
      <c r="T1816" s="2" t="s">
        <v>40</v>
      </c>
      <c r="U1816" s="2" t="s">
        <v>13948</v>
      </c>
      <c r="V1816" s="2"/>
      <c r="W1816" s="2" t="s">
        <v>42</v>
      </c>
      <c r="X1816" s="2" t="s">
        <v>43</v>
      </c>
      <c r="Y1816" s="2" t="s">
        <v>37</v>
      </c>
      <c r="Z1816" s="2" t="s">
        <v>44</v>
      </c>
      <c r="AA1816" s="2" t="s">
        <v>13949</v>
      </c>
      <c r="AB1816" s="2"/>
      <c r="AC1816" s="2" t="s">
        <v>13950</v>
      </c>
      <c r="AD1816" s="2" t="s">
        <v>46</v>
      </c>
    </row>
    <row r="1817" customFormat="false" ht="15.7" hidden="false" customHeight="true" outlineLevel="0" collapsed="false">
      <c r="A1817" s="2"/>
      <c r="B1817" s="3" t="n">
        <f aca="false">DATE(2012,1,17)</f>
        <v>0</v>
      </c>
      <c r="C1817" s="3" t="n">
        <v>40925</v>
      </c>
      <c r="D1817" s="2" t="s">
        <v>13951</v>
      </c>
      <c r="F1817" s="2" t="s">
        <v>13952</v>
      </c>
      <c r="G1817" s="2" t="s">
        <v>13953</v>
      </c>
      <c r="H1817" s="2" t="s">
        <v>13954</v>
      </c>
      <c r="I1817" s="2" t="s">
        <v>100</v>
      </c>
      <c r="J1817" s="2" t="s">
        <v>3452</v>
      </c>
      <c r="K1817" s="2" t="s">
        <v>13955</v>
      </c>
      <c r="L1817" s="2" t="s">
        <v>4570</v>
      </c>
      <c r="M1817" s="2" t="s">
        <v>1732</v>
      </c>
      <c r="N1817" s="2" t="s">
        <v>13956</v>
      </c>
      <c r="O1817" s="2"/>
      <c r="P1817" s="2" t="s">
        <v>37</v>
      </c>
      <c r="Q1817" s="4" t="n">
        <v>3841</v>
      </c>
      <c r="R1817" s="2" t="s">
        <v>56</v>
      </c>
      <c r="S1817" s="2" t="s">
        <v>2265</v>
      </c>
      <c r="T1817" s="2" t="s">
        <v>40</v>
      </c>
      <c r="U1817" s="2" t="s">
        <v>13957</v>
      </c>
      <c r="V1817" s="2"/>
      <c r="W1817" s="2" t="s">
        <v>42</v>
      </c>
      <c r="X1817" s="2" t="s">
        <v>43</v>
      </c>
      <c r="Y1817" s="2" t="s">
        <v>37</v>
      </c>
      <c r="Z1817" s="2" t="s">
        <v>44</v>
      </c>
      <c r="AA1817" s="2"/>
      <c r="AB1817" s="2"/>
      <c r="AC1817" s="2" t="s">
        <v>13958</v>
      </c>
      <c r="AD1817" s="2" t="s">
        <v>46</v>
      </c>
    </row>
    <row r="1818" customFormat="false" ht="15.7" hidden="false" customHeight="true" outlineLevel="0" collapsed="false">
      <c r="A1818" s="2"/>
      <c r="B1818" s="3" t="n">
        <f aca="false">DATE(2012,1,17)</f>
        <v>0</v>
      </c>
      <c r="C1818" s="3" t="n">
        <v>40925</v>
      </c>
      <c r="D1818" s="2" t="s">
        <v>13959</v>
      </c>
      <c r="F1818" s="2" t="s">
        <v>13960</v>
      </c>
      <c r="G1818" s="2" t="s">
        <v>13961</v>
      </c>
      <c r="H1818" s="2" t="s">
        <v>13962</v>
      </c>
      <c r="I1818" s="2" t="s">
        <v>51</v>
      </c>
      <c r="J1818" s="2" t="s">
        <v>13963</v>
      </c>
      <c r="K1818" s="2" t="s">
        <v>13959</v>
      </c>
      <c r="L1818" s="2" t="s">
        <v>51</v>
      </c>
      <c r="M1818" s="2" t="s">
        <v>13962</v>
      </c>
      <c r="N1818" s="2" t="s">
        <v>13964</v>
      </c>
      <c r="O1818" s="2"/>
      <c r="P1818" s="2" t="s">
        <v>37</v>
      </c>
      <c r="Q1818" s="4" t="n">
        <v>2899</v>
      </c>
      <c r="R1818" s="2" t="s">
        <v>56</v>
      </c>
      <c r="S1818" s="2" t="s">
        <v>2265</v>
      </c>
      <c r="T1818" s="2" t="s">
        <v>40</v>
      </c>
      <c r="U1818" s="2" t="s">
        <v>13965</v>
      </c>
      <c r="V1818" s="2"/>
      <c r="W1818" s="2" t="s">
        <v>138</v>
      </c>
      <c r="X1818" s="2" t="s">
        <v>43</v>
      </c>
      <c r="Y1818" s="2" t="s">
        <v>37</v>
      </c>
      <c r="Z1818" s="2" t="s">
        <v>44</v>
      </c>
      <c r="AA1818" s="2"/>
      <c r="AB1818" s="2"/>
      <c r="AC1818" s="2" t="s">
        <v>13966</v>
      </c>
      <c r="AD1818" s="2" t="s">
        <v>46</v>
      </c>
    </row>
    <row r="1819" customFormat="false" ht="15.7" hidden="false" customHeight="true" outlineLevel="0" collapsed="false">
      <c r="A1819" s="2"/>
      <c r="B1819" s="3" t="n">
        <f aca="false">DATE(2012,1,17)</f>
        <v>0</v>
      </c>
      <c r="C1819" s="3" t="n">
        <v>40925</v>
      </c>
      <c r="D1819" s="2" t="s">
        <v>13967</v>
      </c>
      <c r="F1819" s="2" t="s">
        <v>13968</v>
      </c>
      <c r="G1819" s="2" t="s">
        <v>13969</v>
      </c>
      <c r="H1819" s="2" t="s">
        <v>13970</v>
      </c>
      <c r="I1819" s="2" t="s">
        <v>6389</v>
      </c>
      <c r="J1819" s="2" t="s">
        <v>13971</v>
      </c>
      <c r="K1819" s="2" t="s">
        <v>13967</v>
      </c>
      <c r="L1819" s="2" t="s">
        <v>6389</v>
      </c>
      <c r="M1819" s="2" t="s">
        <v>13970</v>
      </c>
      <c r="N1819" s="2" t="s">
        <v>13972</v>
      </c>
      <c r="O1819" s="2"/>
      <c r="P1819" s="2" t="s">
        <v>37</v>
      </c>
      <c r="Q1819" s="4" t="n">
        <v>8731</v>
      </c>
      <c r="R1819" s="2" t="s">
        <v>56</v>
      </c>
      <c r="S1819" s="2" t="s">
        <v>2265</v>
      </c>
      <c r="T1819" s="2" t="s">
        <v>40</v>
      </c>
      <c r="U1819" s="2" t="s">
        <v>13973</v>
      </c>
      <c r="V1819" s="2"/>
      <c r="W1819" s="2" t="s">
        <v>42</v>
      </c>
      <c r="X1819" s="2" t="s">
        <v>43</v>
      </c>
      <c r="Y1819" s="2" t="s">
        <v>37</v>
      </c>
      <c r="Z1819" s="2" t="s">
        <v>916</v>
      </c>
      <c r="AA1819" s="2"/>
      <c r="AB1819" s="2"/>
      <c r="AC1819" s="2" t="s">
        <v>13974</v>
      </c>
      <c r="AD1819" s="2" t="s">
        <v>46</v>
      </c>
    </row>
    <row r="1820" customFormat="false" ht="15.7" hidden="false" customHeight="true" outlineLevel="0" collapsed="false">
      <c r="A1820" s="2"/>
      <c r="B1820" s="3" t="n">
        <f aca="false">DATE(2012,1,17)</f>
        <v>0</v>
      </c>
      <c r="C1820" s="3" t="n">
        <v>40925</v>
      </c>
      <c r="D1820" s="2" t="s">
        <v>13975</v>
      </c>
      <c r="F1820" s="2" t="s">
        <v>256</v>
      </c>
      <c r="G1820" s="2" t="s">
        <v>13976</v>
      </c>
      <c r="H1820" s="2" t="s">
        <v>170</v>
      </c>
      <c r="I1820" s="2" t="s">
        <v>670</v>
      </c>
      <c r="J1820" s="2" t="s">
        <v>65</v>
      </c>
      <c r="K1820" s="2" t="s">
        <v>13975</v>
      </c>
      <c r="L1820" s="2" t="s">
        <v>670</v>
      </c>
      <c r="M1820" s="2" t="s">
        <v>170</v>
      </c>
      <c r="N1820" s="2" t="s">
        <v>13977</v>
      </c>
      <c r="O1820" s="2" t="s">
        <v>13978</v>
      </c>
      <c r="P1820" s="2" t="s">
        <v>37</v>
      </c>
      <c r="Q1820" s="4" t="n">
        <v>2836</v>
      </c>
      <c r="R1820" s="2" t="s">
        <v>402</v>
      </c>
      <c r="S1820" s="2" t="s">
        <v>39</v>
      </c>
      <c r="T1820" s="2" t="s">
        <v>40</v>
      </c>
      <c r="U1820" s="2" t="s">
        <v>13979</v>
      </c>
      <c r="V1820" s="2"/>
      <c r="W1820" s="2" t="s">
        <v>42</v>
      </c>
      <c r="X1820" s="2" t="s">
        <v>46</v>
      </c>
      <c r="Y1820" s="2" t="s">
        <v>37</v>
      </c>
      <c r="Z1820" s="2" t="s">
        <v>362</v>
      </c>
      <c r="AA1820" s="2"/>
      <c r="AB1820" s="2" t="s">
        <v>13980</v>
      </c>
      <c r="AC1820" s="2" t="s">
        <v>13981</v>
      </c>
      <c r="AD1820" s="2" t="s">
        <v>46</v>
      </c>
    </row>
    <row r="1821" customFormat="false" ht="15.7" hidden="false" customHeight="true" outlineLevel="0" collapsed="false">
      <c r="A1821" s="2"/>
      <c r="B1821" s="3" t="n">
        <f aca="false">DATE(2012,1,18)</f>
        <v>0</v>
      </c>
      <c r="C1821" s="3" t="n">
        <v>40926</v>
      </c>
      <c r="D1821" s="2" t="s">
        <v>13982</v>
      </c>
      <c r="F1821" s="2" t="s">
        <v>13983</v>
      </c>
      <c r="G1821" s="2" t="s">
        <v>13984</v>
      </c>
      <c r="H1821" s="2" t="s">
        <v>13985</v>
      </c>
      <c r="I1821" s="2" t="s">
        <v>51</v>
      </c>
      <c r="J1821" s="2" t="s">
        <v>13986</v>
      </c>
      <c r="K1821" s="2" t="s">
        <v>13982</v>
      </c>
      <c r="L1821" s="2" t="s">
        <v>51</v>
      </c>
      <c r="M1821" s="2" t="s">
        <v>13985</v>
      </c>
      <c r="N1821" s="2" t="s">
        <v>13987</v>
      </c>
      <c r="O1821" s="2"/>
      <c r="P1821" s="2" t="s">
        <v>37</v>
      </c>
      <c r="Q1821" s="4" t="n">
        <v>3444</v>
      </c>
      <c r="R1821" s="2" t="s">
        <v>56</v>
      </c>
      <c r="S1821" s="2" t="s">
        <v>2265</v>
      </c>
      <c r="T1821" s="2" t="s">
        <v>40</v>
      </c>
      <c r="U1821" s="2" t="s">
        <v>13988</v>
      </c>
      <c r="V1821" s="2"/>
      <c r="W1821" s="2" t="s">
        <v>42</v>
      </c>
      <c r="X1821" s="2" t="s">
        <v>43</v>
      </c>
      <c r="Y1821" s="2" t="s">
        <v>37</v>
      </c>
      <c r="Z1821" s="2" t="s">
        <v>44</v>
      </c>
      <c r="AA1821" s="2"/>
      <c r="AB1821" s="2"/>
      <c r="AC1821" s="2" t="s">
        <v>13989</v>
      </c>
      <c r="AD1821" s="2" t="s">
        <v>46</v>
      </c>
    </row>
    <row r="1822" customFormat="false" ht="15.7" hidden="false" customHeight="true" outlineLevel="0" collapsed="false">
      <c r="A1822" s="2"/>
      <c r="B1822" s="3" t="n">
        <f aca="false">DATE(2012,1,21)</f>
        <v>0</v>
      </c>
      <c r="C1822" s="3" t="n">
        <v>40929</v>
      </c>
      <c r="D1822" s="2" t="s">
        <v>13990</v>
      </c>
      <c r="F1822" s="2" t="s">
        <v>13991</v>
      </c>
      <c r="G1822" s="2" t="s">
        <v>13992</v>
      </c>
      <c r="H1822" s="2" t="s">
        <v>1020</v>
      </c>
      <c r="I1822" s="2" t="s">
        <v>6134</v>
      </c>
      <c r="J1822" s="2" t="s">
        <v>575</v>
      </c>
      <c r="K1822" s="2" t="s">
        <v>13993</v>
      </c>
      <c r="L1822" s="2" t="s">
        <v>6134</v>
      </c>
      <c r="M1822" s="2" t="s">
        <v>9290</v>
      </c>
      <c r="N1822" s="2" t="s">
        <v>13994</v>
      </c>
      <c r="O1822" s="2"/>
      <c r="P1822" s="2" t="s">
        <v>37</v>
      </c>
      <c r="Q1822" s="4" t="n">
        <v>8731</v>
      </c>
      <c r="R1822" s="2" t="s">
        <v>136</v>
      </c>
      <c r="S1822" s="2" t="s">
        <v>39</v>
      </c>
      <c r="T1822" s="2" t="s">
        <v>40</v>
      </c>
      <c r="U1822" s="2" t="s">
        <v>13995</v>
      </c>
      <c r="V1822" s="2"/>
      <c r="W1822" s="2" t="s">
        <v>42</v>
      </c>
      <c r="X1822" s="2" t="s">
        <v>43</v>
      </c>
      <c r="Y1822" s="2" t="s">
        <v>37</v>
      </c>
      <c r="Z1822" s="2" t="s">
        <v>44</v>
      </c>
      <c r="AA1822" s="2"/>
      <c r="AB1822" s="2"/>
      <c r="AC1822" s="2" t="s">
        <v>13996</v>
      </c>
      <c r="AD1822" s="2" t="s">
        <v>46</v>
      </c>
    </row>
    <row r="1823" customFormat="false" ht="15.7" hidden="false" customHeight="true" outlineLevel="0" collapsed="false">
      <c r="A1823" s="2"/>
      <c r="B1823" s="3" t="n">
        <f aca="false">DATE(2012,1,23)</f>
        <v>0</v>
      </c>
      <c r="C1823" s="3" t="n">
        <v>40931</v>
      </c>
      <c r="D1823" s="2" t="s">
        <v>13997</v>
      </c>
      <c r="F1823" s="2" t="s">
        <v>13998</v>
      </c>
      <c r="G1823" s="2" t="s">
        <v>13999</v>
      </c>
      <c r="H1823" s="2" t="s">
        <v>1925</v>
      </c>
      <c r="I1823" s="2" t="s">
        <v>435</v>
      </c>
      <c r="J1823" s="2" t="s">
        <v>900</v>
      </c>
      <c r="K1823" s="2" t="s">
        <v>14000</v>
      </c>
      <c r="L1823" s="2" t="s">
        <v>435</v>
      </c>
      <c r="M1823" s="2" t="s">
        <v>3053</v>
      </c>
      <c r="N1823" s="2" t="s">
        <v>14001</v>
      </c>
      <c r="O1823" s="2"/>
      <c r="P1823" s="2" t="s">
        <v>37</v>
      </c>
      <c r="Q1823" s="4" t="n">
        <v>8731</v>
      </c>
      <c r="R1823" s="2" t="s">
        <v>136</v>
      </c>
      <c r="S1823" s="2" t="s">
        <v>39</v>
      </c>
      <c r="T1823" s="2" t="s">
        <v>40</v>
      </c>
      <c r="U1823" s="2" t="s">
        <v>14002</v>
      </c>
      <c r="V1823" s="2"/>
      <c r="W1823" s="2" t="s">
        <v>697</v>
      </c>
      <c r="X1823" s="2" t="s">
        <v>43</v>
      </c>
      <c r="Y1823" s="2" t="s">
        <v>37</v>
      </c>
      <c r="Z1823" s="2" t="s">
        <v>44</v>
      </c>
      <c r="AA1823" s="2"/>
      <c r="AB1823" s="2"/>
      <c r="AC1823" s="2" t="s">
        <v>14003</v>
      </c>
      <c r="AD1823" s="2" t="s">
        <v>46</v>
      </c>
    </row>
    <row r="1824" customFormat="false" ht="15.7" hidden="false" customHeight="true" outlineLevel="0" collapsed="false">
      <c r="A1824" s="2"/>
      <c r="B1824" s="3" t="n">
        <f aca="false">DATE(2012,1,24)</f>
        <v>0</v>
      </c>
      <c r="C1824" s="3" t="n">
        <v>40932</v>
      </c>
      <c r="D1824" s="2" t="s">
        <v>14004</v>
      </c>
      <c r="F1824" s="2" t="s">
        <v>14005</v>
      </c>
      <c r="G1824" s="2" t="s">
        <v>14006</v>
      </c>
      <c r="H1824" s="2" t="s">
        <v>14007</v>
      </c>
      <c r="I1824" s="2" t="s">
        <v>51</v>
      </c>
      <c r="J1824" s="2" t="s">
        <v>14008</v>
      </c>
      <c r="K1824" s="2" t="s">
        <v>14004</v>
      </c>
      <c r="L1824" s="2" t="s">
        <v>51</v>
      </c>
      <c r="M1824" s="2" t="s">
        <v>14007</v>
      </c>
      <c r="N1824" s="2" t="s">
        <v>14009</v>
      </c>
      <c r="O1824" s="2"/>
      <c r="P1824" s="2" t="s">
        <v>37</v>
      </c>
      <c r="Q1824" s="4" t="n">
        <v>8731</v>
      </c>
      <c r="R1824" s="2" t="s">
        <v>56</v>
      </c>
      <c r="S1824" s="2" t="s">
        <v>2265</v>
      </c>
      <c r="T1824" s="2" t="s">
        <v>40</v>
      </c>
      <c r="U1824" s="2" t="s">
        <v>14010</v>
      </c>
      <c r="V1824" s="2"/>
      <c r="W1824" s="2" t="s">
        <v>42</v>
      </c>
      <c r="X1824" s="2" t="s">
        <v>43</v>
      </c>
      <c r="Y1824" s="2" t="s">
        <v>37</v>
      </c>
      <c r="Z1824" s="2" t="s">
        <v>44</v>
      </c>
      <c r="AA1824" s="2"/>
      <c r="AB1824" s="2"/>
      <c r="AC1824" s="2" t="s">
        <v>14011</v>
      </c>
      <c r="AD1824" s="2" t="s">
        <v>46</v>
      </c>
    </row>
    <row r="1825" customFormat="false" ht="15.7" hidden="false" customHeight="true" outlineLevel="0" collapsed="false">
      <c r="A1825" s="2"/>
      <c r="B1825" s="3" t="n">
        <f aca="false">DATE(2012,1,24)</f>
        <v>0</v>
      </c>
      <c r="C1825" s="3" t="n">
        <v>40932</v>
      </c>
      <c r="D1825" s="2" t="s">
        <v>14012</v>
      </c>
      <c r="F1825" s="2" t="s">
        <v>14013</v>
      </c>
      <c r="G1825" s="2" t="s">
        <v>14014</v>
      </c>
      <c r="H1825" s="2" t="s">
        <v>7948</v>
      </c>
      <c r="I1825" s="2" t="s">
        <v>51</v>
      </c>
      <c r="J1825" s="2" t="s">
        <v>306</v>
      </c>
      <c r="K1825" s="2" t="s">
        <v>14012</v>
      </c>
      <c r="L1825" s="2" t="s">
        <v>51</v>
      </c>
      <c r="M1825" s="2" t="s">
        <v>7948</v>
      </c>
      <c r="N1825" s="2" t="s">
        <v>14015</v>
      </c>
      <c r="O1825" s="2"/>
      <c r="P1825" s="2" t="s">
        <v>37</v>
      </c>
      <c r="Q1825" s="4" t="n">
        <v>8733</v>
      </c>
      <c r="R1825" s="2" t="s">
        <v>56</v>
      </c>
      <c r="S1825" s="2" t="s">
        <v>2265</v>
      </c>
      <c r="T1825" s="2" t="s">
        <v>40</v>
      </c>
      <c r="U1825" s="2" t="s">
        <v>14016</v>
      </c>
      <c r="V1825" s="2"/>
      <c r="W1825" s="2" t="s">
        <v>42</v>
      </c>
      <c r="X1825" s="2" t="s">
        <v>43</v>
      </c>
      <c r="Y1825" s="2" t="s">
        <v>37</v>
      </c>
      <c r="Z1825" s="2" t="s">
        <v>44</v>
      </c>
      <c r="AA1825" s="2"/>
      <c r="AB1825" s="2"/>
      <c r="AC1825" s="2" t="s">
        <v>14017</v>
      </c>
      <c r="AD1825" s="2" t="s">
        <v>46</v>
      </c>
    </row>
    <row r="1826" customFormat="false" ht="15.7" hidden="false" customHeight="true" outlineLevel="0" collapsed="false">
      <c r="A1826" s="2"/>
      <c r="B1826" s="3" t="n">
        <f aca="false">DATE(2012,1,25)</f>
        <v>0</v>
      </c>
      <c r="C1826" s="3" t="n">
        <v>40933</v>
      </c>
      <c r="D1826" s="2" t="s">
        <v>14018</v>
      </c>
      <c r="F1826" s="2" t="s">
        <v>6929</v>
      </c>
      <c r="G1826" s="2" t="s">
        <v>14019</v>
      </c>
      <c r="H1826" s="2" t="s">
        <v>523</v>
      </c>
      <c r="I1826" s="2" t="s">
        <v>51</v>
      </c>
      <c r="J1826" s="2" t="s">
        <v>3258</v>
      </c>
      <c r="K1826" s="2" t="s">
        <v>14018</v>
      </c>
      <c r="L1826" s="2" t="s">
        <v>51</v>
      </c>
      <c r="M1826" s="2" t="s">
        <v>523</v>
      </c>
      <c r="N1826" s="2" t="s">
        <v>14020</v>
      </c>
      <c r="O1826" s="2"/>
      <c r="P1826" s="2" t="s">
        <v>37</v>
      </c>
      <c r="Q1826" s="4" t="n">
        <v>2834</v>
      </c>
      <c r="R1826" s="2" t="s">
        <v>56</v>
      </c>
      <c r="S1826" s="2" t="s">
        <v>2265</v>
      </c>
      <c r="T1826" s="2" t="s">
        <v>403</v>
      </c>
      <c r="U1826" s="2" t="s">
        <v>14021</v>
      </c>
      <c r="V1826" s="2"/>
      <c r="W1826" s="2" t="s">
        <v>138</v>
      </c>
      <c r="X1826" s="2" t="s">
        <v>43</v>
      </c>
      <c r="Y1826" s="2" t="s">
        <v>37</v>
      </c>
      <c r="Z1826" s="2" t="s">
        <v>44</v>
      </c>
      <c r="AA1826" s="2"/>
      <c r="AB1826" s="2"/>
      <c r="AC1826" s="2" t="s">
        <v>14022</v>
      </c>
      <c r="AD1826" s="2" t="s">
        <v>46</v>
      </c>
    </row>
    <row r="1827" customFormat="false" ht="15.7" hidden="false" customHeight="true" outlineLevel="0" collapsed="false">
      <c r="A1827" s="3" t="n">
        <f aca="false">DATE(2012,1,24)</f>
        <v>0</v>
      </c>
      <c r="B1827" s="3" t="n">
        <f aca="false">DATE(2012,1,25)</f>
        <v>0</v>
      </c>
      <c r="C1827" s="3" t="n">
        <v>40933</v>
      </c>
      <c r="D1827" s="2" t="s">
        <v>14023</v>
      </c>
      <c r="F1827" s="2" t="s">
        <v>14024</v>
      </c>
      <c r="G1827" s="2" t="s">
        <v>14025</v>
      </c>
      <c r="H1827" s="2" t="s">
        <v>130</v>
      </c>
      <c r="I1827" s="2" t="s">
        <v>13408</v>
      </c>
      <c r="J1827" s="2" t="s">
        <v>35</v>
      </c>
      <c r="K1827" s="2" t="s">
        <v>14026</v>
      </c>
      <c r="L1827" s="2" t="s">
        <v>13410</v>
      </c>
      <c r="M1827" s="2" t="s">
        <v>14027</v>
      </c>
      <c r="N1827" s="2" t="s">
        <v>14028</v>
      </c>
      <c r="O1827" s="2"/>
      <c r="P1827" s="2" t="s">
        <v>79</v>
      </c>
      <c r="Q1827" s="4" t="n">
        <v>2834</v>
      </c>
      <c r="R1827" s="2"/>
      <c r="S1827" s="2"/>
      <c r="T1827" s="2" t="s">
        <v>40</v>
      </c>
      <c r="U1827" s="2" t="s">
        <v>14029</v>
      </c>
      <c r="V1827" s="2"/>
      <c r="W1827" s="2" t="s">
        <v>42</v>
      </c>
      <c r="X1827" s="2" t="s">
        <v>43</v>
      </c>
      <c r="Y1827" s="2" t="s">
        <v>37</v>
      </c>
      <c r="Z1827" s="2" t="s">
        <v>44</v>
      </c>
      <c r="AA1827" s="2"/>
      <c r="AB1827" s="2"/>
      <c r="AC1827" s="2" t="s">
        <v>14030</v>
      </c>
      <c r="AD1827" s="2" t="s">
        <v>46</v>
      </c>
    </row>
    <row r="1828" customFormat="false" ht="15.7" hidden="false" customHeight="true" outlineLevel="0" collapsed="false">
      <c r="A1828" s="2"/>
      <c r="B1828" s="3" t="n">
        <f aca="false">DATE(2012,1,27)</f>
        <v>0</v>
      </c>
      <c r="C1828" s="3" t="n">
        <v>40935</v>
      </c>
      <c r="D1828" s="2" t="s">
        <v>14031</v>
      </c>
      <c r="F1828" s="2" t="s">
        <v>14032</v>
      </c>
      <c r="G1828" s="2" t="s">
        <v>14033</v>
      </c>
      <c r="H1828" s="2" t="s">
        <v>3313</v>
      </c>
      <c r="I1828" s="2" t="s">
        <v>5679</v>
      </c>
      <c r="J1828" s="2" t="s">
        <v>35</v>
      </c>
      <c r="K1828" s="2" t="s">
        <v>14031</v>
      </c>
      <c r="L1828" s="2" t="s">
        <v>5679</v>
      </c>
      <c r="M1828" s="2" t="s">
        <v>3313</v>
      </c>
      <c r="N1828" s="2" t="s">
        <v>14034</v>
      </c>
      <c r="O1828" s="2"/>
      <c r="P1828" s="2" t="s">
        <v>37</v>
      </c>
      <c r="Q1828" s="4" t="n">
        <v>8731</v>
      </c>
      <c r="R1828" s="2" t="s">
        <v>487</v>
      </c>
      <c r="S1828" s="2" t="s">
        <v>14035</v>
      </c>
      <c r="T1828" s="2" t="s">
        <v>40</v>
      </c>
      <c r="U1828" s="2" t="s">
        <v>14036</v>
      </c>
      <c r="V1828" s="2"/>
      <c r="W1828" s="2" t="s">
        <v>138</v>
      </c>
      <c r="X1828" s="2" t="s">
        <v>43</v>
      </c>
      <c r="Y1828" s="2" t="s">
        <v>79</v>
      </c>
      <c r="Z1828" s="2" t="s">
        <v>44</v>
      </c>
      <c r="AA1828" s="2"/>
      <c r="AB1828" s="2"/>
      <c r="AC1828" s="2" t="s">
        <v>14037</v>
      </c>
      <c r="AD1828" s="2" t="s">
        <v>46</v>
      </c>
    </row>
    <row r="1829" customFormat="false" ht="15.7" hidden="false" customHeight="true" outlineLevel="0" collapsed="false">
      <c r="A1829" s="2"/>
      <c r="B1829" s="3" t="n">
        <f aca="false">DATE(2012,1,30)</f>
        <v>0</v>
      </c>
      <c r="C1829" s="3" t="n">
        <v>40938</v>
      </c>
      <c r="D1829" s="2" t="s">
        <v>14038</v>
      </c>
      <c r="F1829" s="2" t="s">
        <v>14039</v>
      </c>
      <c r="G1829" s="2" t="s">
        <v>14040</v>
      </c>
      <c r="H1829" s="2" t="s">
        <v>14041</v>
      </c>
      <c r="I1829" s="2" t="s">
        <v>296</v>
      </c>
      <c r="J1829" s="2" t="s">
        <v>1456</v>
      </c>
      <c r="K1829" s="2" t="s">
        <v>14038</v>
      </c>
      <c r="L1829" s="2" t="s">
        <v>296</v>
      </c>
      <c r="M1829" s="2" t="s">
        <v>14041</v>
      </c>
      <c r="N1829" s="2" t="s">
        <v>14042</v>
      </c>
      <c r="O1829" s="2"/>
      <c r="P1829" s="2" t="s">
        <v>37</v>
      </c>
      <c r="Q1829" s="4" t="n">
        <v>8731</v>
      </c>
      <c r="R1829" s="2" t="s">
        <v>1448</v>
      </c>
      <c r="S1829" s="2" t="s">
        <v>39</v>
      </c>
      <c r="T1829" s="2" t="s">
        <v>40</v>
      </c>
      <c r="U1829" s="2" t="s">
        <v>14043</v>
      </c>
      <c r="V1829" s="2"/>
      <c r="W1829" s="2" t="s">
        <v>138</v>
      </c>
      <c r="X1829" s="2" t="s">
        <v>43</v>
      </c>
      <c r="Y1829" s="2" t="s">
        <v>37</v>
      </c>
      <c r="Z1829" s="2" t="s">
        <v>44</v>
      </c>
      <c r="AA1829" s="2"/>
      <c r="AB1829" s="2"/>
      <c r="AC1829" s="2" t="s">
        <v>14044</v>
      </c>
      <c r="AD1829" s="2" t="s">
        <v>46</v>
      </c>
    </row>
    <row r="1830" customFormat="false" ht="15.7" hidden="false" customHeight="true" outlineLevel="0" collapsed="false">
      <c r="A1830" s="2"/>
      <c r="B1830" s="3" t="n">
        <f aca="false">DATE(2012,2,1)</f>
        <v>0</v>
      </c>
      <c r="C1830" s="3" t="n">
        <v>40940</v>
      </c>
      <c r="D1830" s="2" t="s">
        <v>14045</v>
      </c>
      <c r="F1830" s="2" t="s">
        <v>14046</v>
      </c>
      <c r="G1830" s="2" t="s">
        <v>14047</v>
      </c>
      <c r="H1830" s="2" t="s">
        <v>305</v>
      </c>
      <c r="I1830" s="2" t="s">
        <v>227</v>
      </c>
      <c r="J1830" s="2" t="s">
        <v>132</v>
      </c>
      <c r="K1830" s="2" t="s">
        <v>14045</v>
      </c>
      <c r="L1830" s="2" t="s">
        <v>227</v>
      </c>
      <c r="M1830" s="2" t="s">
        <v>305</v>
      </c>
      <c r="N1830" s="2" t="s">
        <v>14048</v>
      </c>
      <c r="O1830" s="2"/>
      <c r="P1830" s="2" t="s">
        <v>37</v>
      </c>
      <c r="Q1830" s="4" t="n">
        <v>2834</v>
      </c>
      <c r="R1830" s="2" t="s">
        <v>136</v>
      </c>
      <c r="S1830" s="2" t="s">
        <v>39</v>
      </c>
      <c r="T1830" s="2" t="s">
        <v>40</v>
      </c>
      <c r="U1830" s="2" t="s">
        <v>14049</v>
      </c>
      <c r="V1830" s="2"/>
      <c r="W1830" s="2" t="s">
        <v>42</v>
      </c>
      <c r="X1830" s="2" t="s">
        <v>43</v>
      </c>
      <c r="Y1830" s="2" t="s">
        <v>37</v>
      </c>
      <c r="Z1830" s="2" t="s">
        <v>44</v>
      </c>
      <c r="AA1830" s="2" t="s">
        <v>14050</v>
      </c>
      <c r="AB1830" s="2"/>
      <c r="AC1830" s="2" t="s">
        <v>14051</v>
      </c>
      <c r="AD1830" s="2" t="s">
        <v>46</v>
      </c>
    </row>
    <row r="1831" customFormat="false" ht="15.7" hidden="false" customHeight="true" outlineLevel="0" collapsed="false">
      <c r="A1831" s="2"/>
      <c r="B1831" s="3" t="n">
        <f aca="false">DATE(2012,2,1)</f>
        <v>0</v>
      </c>
      <c r="C1831" s="3" t="n">
        <v>40940</v>
      </c>
      <c r="D1831" s="2" t="s">
        <v>14052</v>
      </c>
      <c r="F1831" s="2" t="s">
        <v>14053</v>
      </c>
      <c r="G1831" s="2" t="s">
        <v>14054</v>
      </c>
      <c r="H1831" s="2" t="s">
        <v>1925</v>
      </c>
      <c r="I1831" s="2" t="s">
        <v>51</v>
      </c>
      <c r="J1831" s="2" t="s">
        <v>171</v>
      </c>
      <c r="K1831" s="2" t="s">
        <v>14052</v>
      </c>
      <c r="L1831" s="2" t="s">
        <v>51</v>
      </c>
      <c r="M1831" s="2" t="s">
        <v>1925</v>
      </c>
      <c r="N1831" s="2" t="s">
        <v>14055</v>
      </c>
      <c r="O1831" s="2"/>
      <c r="P1831" s="2" t="s">
        <v>37</v>
      </c>
      <c r="Q1831" s="4" t="n">
        <v>3841</v>
      </c>
      <c r="R1831" s="2" t="s">
        <v>56</v>
      </c>
      <c r="S1831" s="2" t="s">
        <v>2265</v>
      </c>
      <c r="T1831" s="2" t="s">
        <v>40</v>
      </c>
      <c r="U1831" s="2" t="s">
        <v>14056</v>
      </c>
      <c r="V1831" s="2"/>
      <c r="W1831" s="2" t="s">
        <v>138</v>
      </c>
      <c r="X1831" s="2" t="s">
        <v>43</v>
      </c>
      <c r="Y1831" s="2" t="s">
        <v>37</v>
      </c>
      <c r="Z1831" s="2" t="s">
        <v>44</v>
      </c>
      <c r="AA1831" s="2" t="s">
        <v>14057</v>
      </c>
      <c r="AB1831" s="2"/>
      <c r="AC1831" s="2" t="s">
        <v>14058</v>
      </c>
      <c r="AD1831" s="2" t="s">
        <v>46</v>
      </c>
    </row>
    <row r="1832" customFormat="false" ht="15.7" hidden="false" customHeight="true" outlineLevel="0" collapsed="false">
      <c r="A1832" s="2"/>
      <c r="B1832" s="3" t="n">
        <f aca="false">DATE(2012,2,1)</f>
        <v>0</v>
      </c>
      <c r="C1832" s="3" t="n">
        <v>40940</v>
      </c>
      <c r="D1832" s="2" t="s">
        <v>14059</v>
      </c>
      <c r="F1832" s="2" t="s">
        <v>14060</v>
      </c>
      <c r="G1832" s="2" t="s">
        <v>14061</v>
      </c>
      <c r="H1832" s="2" t="s">
        <v>14062</v>
      </c>
      <c r="I1832" s="2" t="s">
        <v>64</v>
      </c>
      <c r="J1832" s="2" t="s">
        <v>625</v>
      </c>
      <c r="K1832" s="2" t="s">
        <v>14059</v>
      </c>
      <c r="L1832" s="2" t="s">
        <v>64</v>
      </c>
      <c r="M1832" s="2" t="s">
        <v>14062</v>
      </c>
      <c r="N1832" s="2" t="s">
        <v>14063</v>
      </c>
      <c r="O1832" s="2"/>
      <c r="P1832" s="2" t="s">
        <v>37</v>
      </c>
      <c r="Q1832" s="4" t="n">
        <v>8731</v>
      </c>
      <c r="R1832" s="2" t="s">
        <v>70</v>
      </c>
      <c r="S1832" s="2" t="s">
        <v>39</v>
      </c>
      <c r="T1832" s="2" t="s">
        <v>40</v>
      </c>
      <c r="U1832" s="2" t="s">
        <v>14064</v>
      </c>
      <c r="V1832" s="2"/>
      <c r="W1832" s="2" t="s">
        <v>42</v>
      </c>
      <c r="X1832" s="2" t="s">
        <v>43</v>
      </c>
      <c r="Y1832" s="2" t="s">
        <v>37</v>
      </c>
      <c r="Z1832" s="2" t="s">
        <v>44</v>
      </c>
      <c r="AA1832" s="2"/>
      <c r="AB1832" s="2"/>
      <c r="AC1832" s="2" t="s">
        <v>14065</v>
      </c>
      <c r="AD1832" s="2" t="s">
        <v>46</v>
      </c>
    </row>
    <row r="1833" customFormat="false" ht="15.7" hidden="false" customHeight="true" outlineLevel="0" collapsed="false">
      <c r="A1833" s="2"/>
      <c r="B1833" s="3" t="n">
        <f aca="false">DATE(2012,2,2)</f>
        <v>0</v>
      </c>
      <c r="C1833" s="3" t="n">
        <v>40941</v>
      </c>
      <c r="D1833" s="2" t="s">
        <v>14066</v>
      </c>
      <c r="F1833" s="2" t="s">
        <v>14067</v>
      </c>
      <c r="G1833" s="2" t="s">
        <v>14068</v>
      </c>
      <c r="H1833" s="2" t="s">
        <v>14069</v>
      </c>
      <c r="I1833" s="2" t="s">
        <v>180</v>
      </c>
      <c r="J1833" s="2" t="s">
        <v>3906</v>
      </c>
      <c r="K1833" s="2" t="s">
        <v>14066</v>
      </c>
      <c r="L1833" s="2" t="s">
        <v>180</v>
      </c>
      <c r="M1833" s="2" t="s">
        <v>14069</v>
      </c>
      <c r="N1833" s="2" t="s">
        <v>14070</v>
      </c>
      <c r="O1833" s="2"/>
      <c r="P1833" s="2" t="s">
        <v>37</v>
      </c>
      <c r="Q1833" s="4" t="n">
        <v>7372</v>
      </c>
      <c r="R1833" s="2" t="s">
        <v>2105</v>
      </c>
      <c r="S1833" s="2" t="s">
        <v>39</v>
      </c>
      <c r="T1833" s="2" t="s">
        <v>40</v>
      </c>
      <c r="U1833" s="2" t="s">
        <v>14071</v>
      </c>
      <c r="V1833" s="2"/>
      <c r="W1833" s="2" t="s">
        <v>697</v>
      </c>
      <c r="X1833" s="2" t="s">
        <v>43</v>
      </c>
      <c r="Y1833" s="2" t="s">
        <v>37</v>
      </c>
      <c r="Z1833" s="2" t="s">
        <v>44</v>
      </c>
      <c r="AA1833" s="2"/>
      <c r="AB1833" s="2"/>
      <c r="AC1833" s="2" t="s">
        <v>14072</v>
      </c>
      <c r="AD1833" s="2" t="s">
        <v>46</v>
      </c>
    </row>
    <row r="1834" customFormat="false" ht="15.7" hidden="false" customHeight="true" outlineLevel="0" collapsed="false">
      <c r="A1834" s="2"/>
      <c r="B1834" s="3" t="n">
        <f aca="false">DATE(2012,2,2)</f>
        <v>0</v>
      </c>
      <c r="C1834" s="3" t="n">
        <v>40941</v>
      </c>
      <c r="D1834" s="2" t="s">
        <v>14073</v>
      </c>
      <c r="F1834" s="2" t="s">
        <v>14074</v>
      </c>
      <c r="G1834" s="2" t="s">
        <v>14075</v>
      </c>
      <c r="H1834" s="2" t="s">
        <v>14076</v>
      </c>
      <c r="I1834" s="2" t="s">
        <v>2590</v>
      </c>
      <c r="J1834" s="2" t="s">
        <v>35</v>
      </c>
      <c r="K1834" s="2" t="s">
        <v>14073</v>
      </c>
      <c r="L1834" s="2" t="s">
        <v>2590</v>
      </c>
      <c r="M1834" s="2" t="s">
        <v>14076</v>
      </c>
      <c r="N1834" s="2" t="s">
        <v>14077</v>
      </c>
      <c r="O1834" s="2"/>
      <c r="P1834" s="2" t="s">
        <v>37</v>
      </c>
      <c r="Q1834" s="4" t="n">
        <v>4813</v>
      </c>
      <c r="R1834" s="2" t="s">
        <v>402</v>
      </c>
      <c r="S1834" s="2" t="s">
        <v>39</v>
      </c>
      <c r="T1834" s="2" t="s">
        <v>40</v>
      </c>
      <c r="U1834" s="2" t="s">
        <v>14078</v>
      </c>
      <c r="V1834" s="2"/>
      <c r="W1834" s="2" t="s">
        <v>14079</v>
      </c>
      <c r="X1834" s="2" t="s">
        <v>43</v>
      </c>
      <c r="Y1834" s="2" t="s">
        <v>37</v>
      </c>
      <c r="Z1834" s="2" t="s">
        <v>44</v>
      </c>
      <c r="AA1834" s="2"/>
      <c r="AB1834" s="2"/>
      <c r="AC1834" s="2" t="s">
        <v>14080</v>
      </c>
      <c r="AD1834" s="2" t="s">
        <v>46</v>
      </c>
    </row>
    <row r="1835" customFormat="false" ht="15.7" hidden="false" customHeight="true" outlineLevel="0" collapsed="false">
      <c r="A1835" s="2"/>
      <c r="B1835" s="3" t="n">
        <f aca="false">DATE(2012,2,3)</f>
        <v>0</v>
      </c>
      <c r="C1835" s="3" t="n">
        <v>40942</v>
      </c>
      <c r="D1835" s="2" t="s">
        <v>14081</v>
      </c>
      <c r="F1835" s="2" t="s">
        <v>14082</v>
      </c>
      <c r="G1835" s="2" t="s">
        <v>14083</v>
      </c>
      <c r="H1835" s="2" t="s">
        <v>63</v>
      </c>
      <c r="I1835" s="2" t="s">
        <v>100</v>
      </c>
      <c r="J1835" s="2" t="s">
        <v>65</v>
      </c>
      <c r="K1835" s="2" t="s">
        <v>14081</v>
      </c>
      <c r="L1835" s="2" t="s">
        <v>100</v>
      </c>
      <c r="M1835" s="2" t="s">
        <v>63</v>
      </c>
      <c r="N1835" s="2" t="s">
        <v>14084</v>
      </c>
      <c r="O1835" s="2"/>
      <c r="P1835" s="2" t="s">
        <v>37</v>
      </c>
      <c r="Q1835" s="4" t="n">
        <v>2836</v>
      </c>
      <c r="R1835" s="2" t="s">
        <v>136</v>
      </c>
      <c r="S1835" s="2" t="s">
        <v>39</v>
      </c>
      <c r="T1835" s="2" t="s">
        <v>40</v>
      </c>
      <c r="U1835" s="2" t="s">
        <v>14085</v>
      </c>
      <c r="V1835" s="2"/>
      <c r="W1835" s="2" t="s">
        <v>138</v>
      </c>
      <c r="X1835" s="2" t="s">
        <v>43</v>
      </c>
      <c r="Y1835" s="2" t="s">
        <v>37</v>
      </c>
      <c r="Z1835" s="2" t="s">
        <v>44</v>
      </c>
      <c r="AA1835" s="2" t="s">
        <v>14086</v>
      </c>
      <c r="AB1835" s="2"/>
      <c r="AC1835" s="2" t="s">
        <v>14087</v>
      </c>
      <c r="AD1835" s="2" t="s">
        <v>46</v>
      </c>
    </row>
    <row r="1836" customFormat="false" ht="15.7" hidden="false" customHeight="true" outlineLevel="0" collapsed="false">
      <c r="A1836" s="2"/>
      <c r="B1836" s="3" t="n">
        <f aca="false">DATE(2012,2,6)</f>
        <v>0</v>
      </c>
      <c r="C1836" s="3" t="n">
        <v>40945</v>
      </c>
      <c r="D1836" s="2" t="s">
        <v>14088</v>
      </c>
      <c r="F1836" s="2" t="s">
        <v>14089</v>
      </c>
      <c r="G1836" s="2" t="s">
        <v>14090</v>
      </c>
      <c r="H1836" s="2" t="s">
        <v>4219</v>
      </c>
      <c r="I1836" s="2" t="s">
        <v>51</v>
      </c>
      <c r="J1836" s="2" t="s">
        <v>14091</v>
      </c>
      <c r="K1836" s="2" t="s">
        <v>14092</v>
      </c>
      <c r="L1836" s="2" t="s">
        <v>51</v>
      </c>
      <c r="M1836" s="2" t="s">
        <v>4219</v>
      </c>
      <c r="N1836" s="2" t="s">
        <v>14093</v>
      </c>
      <c r="O1836" s="2"/>
      <c r="P1836" s="2" t="s">
        <v>37</v>
      </c>
      <c r="Q1836" s="4" t="n">
        <v>8731</v>
      </c>
      <c r="R1836" s="2" t="s">
        <v>56</v>
      </c>
      <c r="S1836" s="2"/>
      <c r="T1836" s="2" t="s">
        <v>40</v>
      </c>
      <c r="U1836" s="2" t="s">
        <v>14094</v>
      </c>
      <c r="V1836" s="2"/>
      <c r="W1836" s="2" t="s">
        <v>42</v>
      </c>
      <c r="X1836" s="2" t="s">
        <v>43</v>
      </c>
      <c r="Y1836" s="2" t="s">
        <v>37</v>
      </c>
      <c r="Z1836" s="2" t="s">
        <v>44</v>
      </c>
      <c r="AA1836" s="2"/>
      <c r="AB1836" s="2"/>
      <c r="AC1836" s="2" t="s">
        <v>14095</v>
      </c>
      <c r="AD1836" s="2" t="s">
        <v>46</v>
      </c>
    </row>
    <row r="1837" customFormat="false" ht="15.7" hidden="false" customHeight="true" outlineLevel="0" collapsed="false">
      <c r="A1837" s="3" t="n">
        <f aca="false">DATE(2012,2,5)</f>
        <v>0</v>
      </c>
      <c r="B1837" s="3" t="n">
        <f aca="false">DATE(2012,2,6)</f>
        <v>0</v>
      </c>
      <c r="C1837" s="3" t="n">
        <v>40945</v>
      </c>
      <c r="D1837" s="2" t="s">
        <v>14096</v>
      </c>
      <c r="F1837" s="2" t="s">
        <v>14097</v>
      </c>
      <c r="G1837" s="2" t="s">
        <v>14098</v>
      </c>
      <c r="H1837" s="2" t="s">
        <v>7311</v>
      </c>
      <c r="I1837" s="2" t="s">
        <v>1147</v>
      </c>
      <c r="J1837" s="2" t="s">
        <v>14099</v>
      </c>
      <c r="K1837" s="2" t="s">
        <v>14096</v>
      </c>
      <c r="L1837" s="2" t="s">
        <v>1147</v>
      </c>
      <c r="M1837" s="2" t="s">
        <v>7311</v>
      </c>
      <c r="N1837" s="2" t="s">
        <v>14100</v>
      </c>
      <c r="O1837" s="2"/>
      <c r="P1837" s="2" t="s">
        <v>37</v>
      </c>
      <c r="Q1837" s="4" t="n">
        <v>3674</v>
      </c>
      <c r="R1837" s="2" t="s">
        <v>2661</v>
      </c>
      <c r="S1837" s="2" t="s">
        <v>39</v>
      </c>
      <c r="T1837" s="2" t="s">
        <v>14101</v>
      </c>
      <c r="U1837" s="2" t="s">
        <v>14102</v>
      </c>
      <c r="V1837" s="2"/>
      <c r="W1837" s="2" t="s">
        <v>42</v>
      </c>
      <c r="X1837" s="2" t="s">
        <v>43</v>
      </c>
      <c r="Y1837" s="2" t="s">
        <v>37</v>
      </c>
      <c r="Z1837" s="2" t="s">
        <v>44</v>
      </c>
      <c r="AA1837" s="2"/>
      <c r="AB1837" s="2"/>
      <c r="AC1837" s="2" t="s">
        <v>14103</v>
      </c>
      <c r="AD1837" s="2" t="s">
        <v>46</v>
      </c>
    </row>
    <row r="1838" customFormat="false" ht="15.7" hidden="false" customHeight="true" outlineLevel="0" collapsed="false">
      <c r="A1838" s="2"/>
      <c r="B1838" s="3" t="n">
        <f aca="false">DATE(2012,2,6)</f>
        <v>0</v>
      </c>
      <c r="C1838" s="3" t="n">
        <v>40945</v>
      </c>
      <c r="D1838" s="2" t="s">
        <v>14104</v>
      </c>
      <c r="F1838" s="2" t="s">
        <v>14105</v>
      </c>
      <c r="G1838" s="2" t="s">
        <v>14106</v>
      </c>
      <c r="H1838" s="2" t="s">
        <v>478</v>
      </c>
      <c r="I1838" s="2" t="s">
        <v>51</v>
      </c>
      <c r="J1838" s="2" t="s">
        <v>14107</v>
      </c>
      <c r="K1838" s="2" t="s">
        <v>14108</v>
      </c>
      <c r="L1838" s="2" t="s">
        <v>51</v>
      </c>
      <c r="M1838" s="2" t="s">
        <v>478</v>
      </c>
      <c r="N1838" s="2" t="s">
        <v>14109</v>
      </c>
      <c r="O1838" s="2"/>
      <c r="P1838" s="2" t="s">
        <v>37</v>
      </c>
      <c r="Q1838" s="4" t="n">
        <v>2834</v>
      </c>
      <c r="R1838" s="2" t="s">
        <v>56</v>
      </c>
      <c r="S1838" s="2" t="s">
        <v>2265</v>
      </c>
      <c r="T1838" s="2" t="s">
        <v>40</v>
      </c>
      <c r="U1838" s="2" t="s">
        <v>14110</v>
      </c>
      <c r="V1838" s="2"/>
      <c r="W1838" s="2" t="s">
        <v>42</v>
      </c>
      <c r="X1838" s="2" t="s">
        <v>43</v>
      </c>
      <c r="Y1838" s="2" t="s">
        <v>37</v>
      </c>
      <c r="Z1838" s="2" t="s">
        <v>44</v>
      </c>
      <c r="AA1838" s="2"/>
      <c r="AB1838" s="2"/>
      <c r="AC1838" s="2" t="s">
        <v>14111</v>
      </c>
      <c r="AD1838" s="2" t="s">
        <v>46</v>
      </c>
    </row>
    <row r="1839" customFormat="false" ht="15.7" hidden="false" customHeight="true" outlineLevel="0" collapsed="false">
      <c r="A1839" s="2"/>
      <c r="B1839" s="3" t="n">
        <f aca="false">DATE(2012,2,7)</f>
        <v>0</v>
      </c>
      <c r="C1839" s="3" t="n">
        <v>40946</v>
      </c>
      <c r="D1839" s="2" t="s">
        <v>14112</v>
      </c>
      <c r="F1839" s="2" t="s">
        <v>14113</v>
      </c>
      <c r="G1839" s="2" t="s">
        <v>14114</v>
      </c>
      <c r="H1839" s="2" t="s">
        <v>8119</v>
      </c>
      <c r="I1839" s="2" t="s">
        <v>388</v>
      </c>
      <c r="J1839" s="2" t="s">
        <v>575</v>
      </c>
      <c r="K1839" s="2" t="s">
        <v>14115</v>
      </c>
      <c r="L1839" s="2" t="s">
        <v>14116</v>
      </c>
      <c r="M1839" s="2" t="s">
        <v>14117</v>
      </c>
      <c r="N1839" s="2" t="s">
        <v>14118</v>
      </c>
      <c r="O1839" s="2"/>
      <c r="P1839" s="2" t="s">
        <v>37</v>
      </c>
      <c r="Q1839" s="4" t="n">
        <v>2834</v>
      </c>
      <c r="R1839" s="2" t="s">
        <v>56</v>
      </c>
      <c r="S1839" s="2" t="s">
        <v>2265</v>
      </c>
      <c r="T1839" s="2" t="s">
        <v>403</v>
      </c>
      <c r="U1839" s="2" t="s">
        <v>14119</v>
      </c>
      <c r="V1839" s="2"/>
      <c r="W1839" s="2" t="s">
        <v>42</v>
      </c>
      <c r="X1839" s="2" t="s">
        <v>43</v>
      </c>
      <c r="Y1839" s="2" t="s">
        <v>37</v>
      </c>
      <c r="Z1839" s="2" t="s">
        <v>44</v>
      </c>
      <c r="AA1839" s="2"/>
      <c r="AB1839" s="2"/>
      <c r="AC1839" s="2" t="s">
        <v>14120</v>
      </c>
      <c r="AD1839" s="2" t="s">
        <v>46</v>
      </c>
    </row>
    <row r="1840" customFormat="false" ht="15.7" hidden="false" customHeight="true" outlineLevel="0" collapsed="false">
      <c r="A1840" s="2"/>
      <c r="B1840" s="3" t="n">
        <f aca="false">DATE(2012,2,7)</f>
        <v>0</v>
      </c>
      <c r="C1840" s="3" t="n">
        <v>40946</v>
      </c>
      <c r="D1840" s="2" t="s">
        <v>14121</v>
      </c>
      <c r="F1840" s="2" t="s">
        <v>14122</v>
      </c>
      <c r="G1840" s="2" t="s">
        <v>14123</v>
      </c>
      <c r="H1840" s="2" t="s">
        <v>5687</v>
      </c>
      <c r="I1840" s="2" t="s">
        <v>51</v>
      </c>
      <c r="J1840" s="2" t="s">
        <v>2338</v>
      </c>
      <c r="K1840" s="2" t="s">
        <v>14124</v>
      </c>
      <c r="L1840" s="2" t="s">
        <v>131</v>
      </c>
      <c r="M1840" s="2" t="s">
        <v>14125</v>
      </c>
      <c r="N1840" s="2" t="s">
        <v>14126</v>
      </c>
      <c r="O1840" s="2"/>
      <c r="P1840" s="2" t="s">
        <v>37</v>
      </c>
      <c r="Q1840" s="4" t="n">
        <v>8071</v>
      </c>
      <c r="R1840" s="2" t="s">
        <v>56</v>
      </c>
      <c r="S1840" s="2" t="s">
        <v>2265</v>
      </c>
      <c r="T1840" s="2" t="s">
        <v>403</v>
      </c>
      <c r="U1840" s="2" t="s">
        <v>14127</v>
      </c>
      <c r="V1840" s="2"/>
      <c r="W1840" s="2" t="s">
        <v>42</v>
      </c>
      <c r="X1840" s="2" t="s">
        <v>43</v>
      </c>
      <c r="Y1840" s="2" t="s">
        <v>37</v>
      </c>
      <c r="Z1840" s="2" t="s">
        <v>44</v>
      </c>
      <c r="AA1840" s="2"/>
      <c r="AB1840" s="2"/>
      <c r="AC1840" s="2" t="s">
        <v>14128</v>
      </c>
      <c r="AD1840" s="2" t="s">
        <v>46</v>
      </c>
    </row>
    <row r="1841" customFormat="false" ht="15.7" hidden="false" customHeight="true" outlineLevel="0" collapsed="false">
      <c r="A1841" s="2"/>
      <c r="B1841" s="3" t="n">
        <f aca="false">DATE(2012,2,7)</f>
        <v>0</v>
      </c>
      <c r="C1841" s="3" t="n">
        <v>40946</v>
      </c>
      <c r="D1841" s="2" t="s">
        <v>14129</v>
      </c>
      <c r="F1841" s="2" t="s">
        <v>14130</v>
      </c>
      <c r="G1841" s="2" t="s">
        <v>14131</v>
      </c>
      <c r="H1841" s="2" t="s">
        <v>170</v>
      </c>
      <c r="I1841" s="2" t="s">
        <v>51</v>
      </c>
      <c r="J1841" s="2" t="s">
        <v>3045</v>
      </c>
      <c r="K1841" s="2" t="s">
        <v>14132</v>
      </c>
      <c r="L1841" s="2" t="s">
        <v>51</v>
      </c>
      <c r="M1841" s="2" t="s">
        <v>338</v>
      </c>
      <c r="N1841" s="2" t="s">
        <v>14133</v>
      </c>
      <c r="O1841" s="2"/>
      <c r="P1841" s="2" t="s">
        <v>37</v>
      </c>
      <c r="Q1841" s="4" t="n">
        <v>2836</v>
      </c>
      <c r="R1841" s="2" t="s">
        <v>56</v>
      </c>
      <c r="S1841" s="2" t="s">
        <v>2265</v>
      </c>
      <c r="T1841" s="2" t="s">
        <v>40</v>
      </c>
      <c r="U1841" s="2" t="s">
        <v>14134</v>
      </c>
      <c r="V1841" s="2"/>
      <c r="W1841" s="2" t="s">
        <v>697</v>
      </c>
      <c r="X1841" s="2" t="s">
        <v>43</v>
      </c>
      <c r="Y1841" s="2" t="s">
        <v>37</v>
      </c>
      <c r="Z1841" s="2" t="s">
        <v>44</v>
      </c>
      <c r="AA1841" s="2"/>
      <c r="AB1841" s="2"/>
      <c r="AC1841" s="2" t="s">
        <v>14135</v>
      </c>
      <c r="AD1841" s="2" t="s">
        <v>46</v>
      </c>
    </row>
    <row r="1842" customFormat="false" ht="15.7" hidden="false" customHeight="true" outlineLevel="0" collapsed="false">
      <c r="A1842" s="2"/>
      <c r="B1842" s="3" t="n">
        <f aca="false">DATE(2012,2,8)</f>
        <v>0</v>
      </c>
      <c r="C1842" s="3" t="n">
        <v>40947</v>
      </c>
      <c r="D1842" s="2" t="s">
        <v>14136</v>
      </c>
      <c r="F1842" s="2" t="s">
        <v>14137</v>
      </c>
      <c r="G1842" s="2" t="s">
        <v>14138</v>
      </c>
      <c r="H1842" s="2" t="s">
        <v>4672</v>
      </c>
      <c r="I1842" s="2" t="s">
        <v>2294</v>
      </c>
      <c r="J1842" s="2" t="s">
        <v>35</v>
      </c>
      <c r="K1842" s="2" t="s">
        <v>14136</v>
      </c>
      <c r="L1842" s="2" t="s">
        <v>2294</v>
      </c>
      <c r="M1842" s="2" t="s">
        <v>4672</v>
      </c>
      <c r="N1842" s="2" t="s">
        <v>14139</v>
      </c>
      <c r="O1842" s="2"/>
      <c r="P1842" s="2" t="s">
        <v>37</v>
      </c>
      <c r="Q1842" s="4" t="n">
        <v>8732</v>
      </c>
      <c r="R1842" s="2" t="s">
        <v>450</v>
      </c>
      <c r="S1842" s="2" t="s">
        <v>39</v>
      </c>
      <c r="T1842" s="2" t="s">
        <v>403</v>
      </c>
      <c r="U1842" s="2" t="s">
        <v>14140</v>
      </c>
      <c r="V1842" s="2"/>
      <c r="W1842" s="2" t="s">
        <v>42</v>
      </c>
      <c r="X1842" s="2" t="s">
        <v>46</v>
      </c>
      <c r="Y1842" s="2" t="s">
        <v>37</v>
      </c>
      <c r="Z1842" s="2" t="s">
        <v>44</v>
      </c>
      <c r="AA1842" s="2"/>
      <c r="AB1842" s="2"/>
      <c r="AC1842" s="2" t="s">
        <v>14141</v>
      </c>
      <c r="AD1842" s="2" t="s">
        <v>46</v>
      </c>
    </row>
    <row r="1843" customFormat="false" ht="15.7" hidden="false" customHeight="true" outlineLevel="0" collapsed="false">
      <c r="A1843" s="2"/>
      <c r="B1843" s="3" t="n">
        <f aca="false">DATE(2012,2,9)</f>
        <v>0</v>
      </c>
      <c r="C1843" s="3" t="n">
        <v>40948</v>
      </c>
      <c r="D1843" s="2" t="s">
        <v>14142</v>
      </c>
      <c r="F1843" s="2" t="s">
        <v>14143</v>
      </c>
      <c r="G1843" s="2" t="s">
        <v>14144</v>
      </c>
      <c r="H1843" s="2" t="s">
        <v>14145</v>
      </c>
      <c r="I1843" s="2" t="s">
        <v>2530</v>
      </c>
      <c r="J1843" s="2" t="s">
        <v>14146</v>
      </c>
      <c r="K1843" s="2" t="s">
        <v>14147</v>
      </c>
      <c r="L1843" s="2" t="s">
        <v>2530</v>
      </c>
      <c r="M1843" s="2" t="s">
        <v>14148</v>
      </c>
      <c r="N1843" s="2" t="s">
        <v>14149</v>
      </c>
      <c r="O1843" s="2"/>
      <c r="P1843" s="2" t="s">
        <v>37</v>
      </c>
      <c r="Q1843" s="4" t="n">
        <v>8731</v>
      </c>
      <c r="R1843" s="2" t="s">
        <v>56</v>
      </c>
      <c r="S1843" s="2" t="s">
        <v>2265</v>
      </c>
      <c r="T1843" s="2" t="s">
        <v>40</v>
      </c>
      <c r="U1843" s="2" t="s">
        <v>14150</v>
      </c>
      <c r="V1843" s="2"/>
      <c r="W1843" s="2" t="s">
        <v>4487</v>
      </c>
      <c r="X1843" s="2" t="s">
        <v>43</v>
      </c>
      <c r="Y1843" s="2" t="s">
        <v>37</v>
      </c>
      <c r="Z1843" s="2" t="s">
        <v>916</v>
      </c>
      <c r="AA1843" s="2"/>
      <c r="AB1843" s="2"/>
      <c r="AC1843" s="2" t="s">
        <v>14151</v>
      </c>
      <c r="AD1843" s="2" t="s">
        <v>46</v>
      </c>
    </row>
    <row r="1844" customFormat="false" ht="15.7" hidden="false" customHeight="true" outlineLevel="0" collapsed="false">
      <c r="A1844" s="2"/>
      <c r="B1844" s="3" t="n">
        <f aca="false">DATE(2012,2,10)</f>
        <v>0</v>
      </c>
      <c r="C1844" s="3" t="n">
        <v>40949</v>
      </c>
      <c r="D1844" s="2" t="s">
        <v>14152</v>
      </c>
      <c r="F1844" s="2" t="s">
        <v>14153</v>
      </c>
      <c r="G1844" s="2" t="s">
        <v>14154</v>
      </c>
      <c r="H1844" s="2" t="s">
        <v>130</v>
      </c>
      <c r="I1844" s="2" t="s">
        <v>330</v>
      </c>
      <c r="J1844" s="2" t="s">
        <v>966</v>
      </c>
      <c r="K1844" s="2" t="s">
        <v>14152</v>
      </c>
      <c r="L1844" s="2" t="s">
        <v>330</v>
      </c>
      <c r="M1844" s="2" t="s">
        <v>130</v>
      </c>
      <c r="N1844" s="2" t="s">
        <v>14155</v>
      </c>
      <c r="O1844" s="2"/>
      <c r="P1844" s="2" t="s">
        <v>37</v>
      </c>
      <c r="Q1844" s="4" t="n">
        <v>2834</v>
      </c>
      <c r="R1844" s="2" t="s">
        <v>56</v>
      </c>
      <c r="S1844" s="2" t="s">
        <v>2265</v>
      </c>
      <c r="T1844" s="2" t="s">
        <v>40</v>
      </c>
      <c r="U1844" s="2" t="s">
        <v>14156</v>
      </c>
      <c r="V1844" s="2"/>
      <c r="W1844" s="2" t="s">
        <v>42</v>
      </c>
      <c r="X1844" s="2" t="s">
        <v>43</v>
      </c>
      <c r="Y1844" s="2" t="s">
        <v>37</v>
      </c>
      <c r="Z1844" s="2" t="s">
        <v>44</v>
      </c>
      <c r="AA1844" s="2"/>
      <c r="AB1844" s="2"/>
      <c r="AC1844" s="2" t="s">
        <v>14157</v>
      </c>
      <c r="AD1844" s="2" t="s">
        <v>46</v>
      </c>
    </row>
    <row r="1845" customFormat="false" ht="15.7" hidden="false" customHeight="true" outlineLevel="0" collapsed="false">
      <c r="A1845" s="2"/>
      <c r="B1845" s="3" t="n">
        <f aca="false">DATE(2012,2,14)</f>
        <v>0</v>
      </c>
      <c r="C1845" s="3" t="n">
        <v>40953</v>
      </c>
      <c r="D1845" s="2" t="s">
        <v>14158</v>
      </c>
      <c r="F1845" s="2" t="s">
        <v>14159</v>
      </c>
      <c r="G1845" s="2" t="s">
        <v>14160</v>
      </c>
      <c r="H1845" s="2" t="s">
        <v>14161</v>
      </c>
      <c r="I1845" s="2" t="s">
        <v>51</v>
      </c>
      <c r="J1845" s="2" t="s">
        <v>1730</v>
      </c>
      <c r="K1845" s="2" t="s">
        <v>14158</v>
      </c>
      <c r="L1845" s="2" t="s">
        <v>51</v>
      </c>
      <c r="M1845" s="2" t="s">
        <v>14161</v>
      </c>
      <c r="N1845" s="2" t="s">
        <v>14162</v>
      </c>
      <c r="O1845" s="2"/>
      <c r="P1845" s="2" t="s">
        <v>37</v>
      </c>
      <c r="Q1845" s="4" t="n">
        <v>7375</v>
      </c>
      <c r="R1845" s="2" t="s">
        <v>56</v>
      </c>
      <c r="S1845" s="2"/>
      <c r="T1845" s="2" t="s">
        <v>403</v>
      </c>
      <c r="U1845" s="2" t="s">
        <v>14163</v>
      </c>
      <c r="V1845" s="2"/>
      <c r="W1845" s="2" t="s">
        <v>42</v>
      </c>
      <c r="X1845" s="2" t="s">
        <v>43</v>
      </c>
      <c r="Y1845" s="2" t="s">
        <v>37</v>
      </c>
      <c r="Z1845" s="2" t="s">
        <v>44</v>
      </c>
      <c r="AA1845" s="2"/>
      <c r="AB1845" s="2"/>
      <c r="AC1845" s="2" t="s">
        <v>14164</v>
      </c>
      <c r="AD1845" s="2" t="s">
        <v>46</v>
      </c>
    </row>
    <row r="1846" customFormat="false" ht="15.7" hidden="false" customHeight="true" outlineLevel="0" collapsed="false">
      <c r="A1846" s="2"/>
      <c r="B1846" s="3" t="n">
        <f aca="false">DATE(2012,2,14)</f>
        <v>0</v>
      </c>
      <c r="C1846" s="3" t="n">
        <v>40953</v>
      </c>
      <c r="D1846" s="2" t="s">
        <v>14165</v>
      </c>
      <c r="F1846" s="2" t="s">
        <v>14166</v>
      </c>
      <c r="G1846" s="2" t="s">
        <v>14167</v>
      </c>
      <c r="H1846" s="2" t="s">
        <v>14168</v>
      </c>
      <c r="I1846" s="2" t="s">
        <v>867</v>
      </c>
      <c r="J1846" s="2" t="s">
        <v>35</v>
      </c>
      <c r="K1846" s="2" t="s">
        <v>14165</v>
      </c>
      <c r="L1846" s="2" t="s">
        <v>867</v>
      </c>
      <c r="M1846" s="2" t="s">
        <v>14168</v>
      </c>
      <c r="N1846" s="2" t="s">
        <v>14169</v>
      </c>
      <c r="O1846" s="2"/>
      <c r="P1846" s="2" t="s">
        <v>37</v>
      </c>
      <c r="Q1846" s="4" t="n">
        <v>2026</v>
      </c>
      <c r="R1846" s="2" t="s">
        <v>869</v>
      </c>
      <c r="S1846" s="2" t="s">
        <v>39</v>
      </c>
      <c r="T1846" s="2" t="s">
        <v>40</v>
      </c>
      <c r="U1846" s="2" t="s">
        <v>14170</v>
      </c>
      <c r="V1846" s="2"/>
      <c r="W1846" s="2" t="s">
        <v>42</v>
      </c>
      <c r="X1846" s="2" t="s">
        <v>43</v>
      </c>
      <c r="Y1846" s="2" t="s">
        <v>37</v>
      </c>
      <c r="Z1846" s="2" t="s">
        <v>44</v>
      </c>
      <c r="AA1846" s="2"/>
      <c r="AB1846" s="2"/>
      <c r="AC1846" s="2" t="s">
        <v>14171</v>
      </c>
      <c r="AD1846" s="2" t="s">
        <v>46</v>
      </c>
    </row>
    <row r="1847" customFormat="false" ht="15.7" hidden="false" customHeight="true" outlineLevel="0" collapsed="false">
      <c r="A1847" s="2"/>
      <c r="B1847" s="3" t="n">
        <f aca="false">DATE(2012,2,17)</f>
        <v>0</v>
      </c>
      <c r="C1847" s="3" t="n">
        <v>40956</v>
      </c>
      <c r="D1847" s="2" t="s">
        <v>14172</v>
      </c>
      <c r="F1847" s="2" t="s">
        <v>14173</v>
      </c>
      <c r="G1847" s="2" t="s">
        <v>14174</v>
      </c>
      <c r="H1847" s="2" t="s">
        <v>12820</v>
      </c>
      <c r="I1847" s="2" t="s">
        <v>51</v>
      </c>
      <c r="J1847" s="2" t="s">
        <v>1926</v>
      </c>
      <c r="K1847" s="2" t="s">
        <v>14175</v>
      </c>
      <c r="L1847" s="2" t="s">
        <v>51</v>
      </c>
      <c r="M1847" s="2" t="s">
        <v>14176</v>
      </c>
      <c r="N1847" s="2" t="s">
        <v>14177</v>
      </c>
      <c r="O1847" s="2"/>
      <c r="P1847" s="2" t="s">
        <v>37</v>
      </c>
      <c r="Q1847" s="4" t="n">
        <v>8731</v>
      </c>
      <c r="R1847" s="2" t="s">
        <v>56</v>
      </c>
      <c r="S1847" s="2" t="s">
        <v>2265</v>
      </c>
      <c r="T1847" s="2" t="s">
        <v>403</v>
      </c>
      <c r="U1847" s="2" t="s">
        <v>14178</v>
      </c>
      <c r="V1847" s="2"/>
      <c r="W1847" s="2" t="s">
        <v>14179</v>
      </c>
      <c r="X1847" s="2" t="s">
        <v>46</v>
      </c>
      <c r="Y1847" s="2" t="s">
        <v>37</v>
      </c>
      <c r="Z1847" s="2" t="s">
        <v>362</v>
      </c>
      <c r="AA1847" s="2"/>
      <c r="AB1847" s="2"/>
      <c r="AC1847" s="2" t="s">
        <v>14180</v>
      </c>
      <c r="AD1847" s="2" t="s">
        <v>46</v>
      </c>
    </row>
    <row r="1848" customFormat="false" ht="15.7" hidden="false" customHeight="true" outlineLevel="0" collapsed="false">
      <c r="A1848" s="2"/>
      <c r="B1848" s="3" t="n">
        <f aca="false">DATE(2012,2,17)</f>
        <v>0</v>
      </c>
      <c r="C1848" s="3" t="n">
        <v>40956</v>
      </c>
      <c r="D1848" s="2" t="s">
        <v>14181</v>
      </c>
      <c r="F1848" s="2" t="s">
        <v>14182</v>
      </c>
      <c r="G1848" s="2" t="s">
        <v>14183</v>
      </c>
      <c r="H1848" s="2" t="s">
        <v>7075</v>
      </c>
      <c r="I1848" s="2" t="s">
        <v>670</v>
      </c>
      <c r="J1848" s="2" t="s">
        <v>6170</v>
      </c>
      <c r="K1848" s="2" t="s">
        <v>14181</v>
      </c>
      <c r="L1848" s="2" t="s">
        <v>670</v>
      </c>
      <c r="M1848" s="2" t="s">
        <v>7075</v>
      </c>
      <c r="N1848" s="2" t="s">
        <v>14184</v>
      </c>
      <c r="O1848" s="2"/>
      <c r="P1848" s="2" t="s">
        <v>37</v>
      </c>
      <c r="Q1848" s="4" t="n">
        <v>3711</v>
      </c>
      <c r="R1848" s="2" t="s">
        <v>402</v>
      </c>
      <c r="S1848" s="2" t="s">
        <v>39</v>
      </c>
      <c r="T1848" s="2" t="s">
        <v>403</v>
      </c>
      <c r="U1848" s="2" t="s">
        <v>14185</v>
      </c>
      <c r="V1848" s="2"/>
      <c r="W1848" s="2" t="s">
        <v>697</v>
      </c>
      <c r="X1848" s="2" t="s">
        <v>46</v>
      </c>
      <c r="Y1848" s="2" t="s">
        <v>37</v>
      </c>
      <c r="Z1848" s="2" t="s">
        <v>362</v>
      </c>
      <c r="AA1848" s="2" t="s">
        <v>14186</v>
      </c>
      <c r="AB1848" s="2"/>
      <c r="AC1848" s="2" t="s">
        <v>14187</v>
      </c>
      <c r="AD1848" s="2" t="s">
        <v>46</v>
      </c>
    </row>
    <row r="1849" customFormat="false" ht="15.7" hidden="false" customHeight="true" outlineLevel="0" collapsed="false">
      <c r="A1849" s="2"/>
      <c r="B1849" s="3" t="n">
        <f aca="false">DATE(2012,2,21)</f>
        <v>0</v>
      </c>
      <c r="C1849" s="3" t="n">
        <v>40960</v>
      </c>
      <c r="D1849" s="2" t="s">
        <v>14188</v>
      </c>
      <c r="F1849" s="2" t="s">
        <v>256</v>
      </c>
      <c r="G1849" s="2" t="s">
        <v>14189</v>
      </c>
      <c r="H1849" s="2" t="s">
        <v>170</v>
      </c>
      <c r="I1849" s="2" t="s">
        <v>1904</v>
      </c>
      <c r="J1849" s="2" t="s">
        <v>14190</v>
      </c>
      <c r="K1849" s="2" t="s">
        <v>14191</v>
      </c>
      <c r="L1849" s="2" t="s">
        <v>1904</v>
      </c>
      <c r="M1849" s="2" t="s">
        <v>551</v>
      </c>
      <c r="N1849" s="2" t="s">
        <v>14192</v>
      </c>
      <c r="O1849" s="2"/>
      <c r="P1849" s="2" t="s">
        <v>37</v>
      </c>
      <c r="Q1849" s="4" t="n">
        <v>2836</v>
      </c>
      <c r="R1849" s="2" t="s">
        <v>56</v>
      </c>
      <c r="S1849" s="2" t="s">
        <v>2265</v>
      </c>
      <c r="T1849" s="2" t="s">
        <v>40</v>
      </c>
      <c r="U1849" s="2" t="s">
        <v>14193</v>
      </c>
      <c r="V1849" s="2"/>
      <c r="W1849" s="2" t="s">
        <v>42</v>
      </c>
      <c r="X1849" s="2" t="s">
        <v>43</v>
      </c>
      <c r="Y1849" s="2" t="s">
        <v>37</v>
      </c>
      <c r="Z1849" s="2" t="s">
        <v>44</v>
      </c>
      <c r="AA1849" s="2"/>
      <c r="AB1849" s="2"/>
      <c r="AC1849" s="2" t="s">
        <v>14194</v>
      </c>
      <c r="AD1849" s="2" t="s">
        <v>46</v>
      </c>
    </row>
    <row r="1850" customFormat="false" ht="15.7" hidden="false" customHeight="true" outlineLevel="0" collapsed="false">
      <c r="A1850" s="2"/>
      <c r="B1850" s="3" t="n">
        <f aca="false">DATE(2012,2,21)</f>
        <v>0</v>
      </c>
      <c r="C1850" s="3" t="n">
        <v>40960</v>
      </c>
      <c r="D1850" s="2" t="s">
        <v>14195</v>
      </c>
      <c r="F1850" s="2" t="s">
        <v>14196</v>
      </c>
      <c r="G1850" s="2" t="s">
        <v>14197</v>
      </c>
      <c r="H1850" s="2" t="s">
        <v>14198</v>
      </c>
      <c r="I1850" s="2" t="s">
        <v>3223</v>
      </c>
      <c r="J1850" s="2" t="s">
        <v>116</v>
      </c>
      <c r="K1850" s="2" t="s">
        <v>14199</v>
      </c>
      <c r="L1850" s="2" t="s">
        <v>14200</v>
      </c>
      <c r="M1850" s="2" t="s">
        <v>14201</v>
      </c>
      <c r="N1850" s="2" t="s">
        <v>14202</v>
      </c>
      <c r="O1850" s="2"/>
      <c r="P1850" s="2" t="s">
        <v>37</v>
      </c>
      <c r="Q1850" s="4" t="n">
        <v>3728</v>
      </c>
      <c r="R1850" s="2" t="s">
        <v>402</v>
      </c>
      <c r="S1850" s="2" t="s">
        <v>39</v>
      </c>
      <c r="T1850" s="2" t="s">
        <v>403</v>
      </c>
      <c r="U1850" s="2" t="s">
        <v>14203</v>
      </c>
      <c r="V1850" s="2"/>
      <c r="W1850" s="2" t="s">
        <v>755</v>
      </c>
      <c r="X1850" s="2" t="s">
        <v>46</v>
      </c>
      <c r="Y1850" s="2" t="s">
        <v>37</v>
      </c>
      <c r="Z1850" s="2" t="s">
        <v>12067</v>
      </c>
      <c r="AA1850" s="2"/>
      <c r="AB1850" s="2"/>
      <c r="AC1850" s="2" t="s">
        <v>14204</v>
      </c>
      <c r="AD1850" s="2" t="s">
        <v>46</v>
      </c>
    </row>
    <row r="1851" customFormat="false" ht="15.7" hidden="false" customHeight="true" outlineLevel="0" collapsed="false">
      <c r="A1851" s="2"/>
      <c r="B1851" s="3" t="n">
        <f aca="false">DATE(2012,2,21)</f>
        <v>0</v>
      </c>
      <c r="C1851" s="3" t="n">
        <v>40960</v>
      </c>
      <c r="D1851" s="2" t="s">
        <v>14205</v>
      </c>
      <c r="F1851" s="2" t="s">
        <v>14206</v>
      </c>
      <c r="G1851" s="2" t="s">
        <v>14207</v>
      </c>
      <c r="H1851" s="2" t="s">
        <v>14208</v>
      </c>
      <c r="I1851" s="2" t="s">
        <v>14209</v>
      </c>
      <c r="J1851" s="2" t="s">
        <v>116</v>
      </c>
      <c r="K1851" s="2" t="s">
        <v>14210</v>
      </c>
      <c r="L1851" s="2" t="s">
        <v>3275</v>
      </c>
      <c r="M1851" s="2" t="s">
        <v>2918</v>
      </c>
      <c r="N1851" s="2" t="s">
        <v>14211</v>
      </c>
      <c r="O1851" s="2"/>
      <c r="P1851" s="2" t="s">
        <v>37</v>
      </c>
      <c r="Q1851" s="4" t="n">
        <v>2834</v>
      </c>
      <c r="R1851" s="2" t="s">
        <v>402</v>
      </c>
      <c r="S1851" s="2" t="s">
        <v>39</v>
      </c>
      <c r="T1851" s="2" t="s">
        <v>403</v>
      </c>
      <c r="U1851" s="2" t="s">
        <v>14212</v>
      </c>
      <c r="V1851" s="2"/>
      <c r="W1851" s="2" t="s">
        <v>2209</v>
      </c>
      <c r="X1851" s="2" t="s">
        <v>46</v>
      </c>
      <c r="Y1851" s="2" t="s">
        <v>37</v>
      </c>
      <c r="Z1851" s="2" t="s">
        <v>14213</v>
      </c>
      <c r="AA1851" s="2" t="s">
        <v>14214</v>
      </c>
      <c r="AB1851" s="2"/>
      <c r="AC1851" s="2" t="s">
        <v>14215</v>
      </c>
      <c r="AD1851" s="2" t="s">
        <v>46</v>
      </c>
    </row>
    <row r="1852" customFormat="false" ht="15.7" hidden="false" customHeight="true" outlineLevel="0" collapsed="false">
      <c r="A1852" s="2"/>
      <c r="B1852" s="3" t="n">
        <f aca="false">DATE(2012,2,22)</f>
        <v>0</v>
      </c>
      <c r="C1852" s="3" t="n">
        <v>40961</v>
      </c>
      <c r="D1852" s="2" t="s">
        <v>14216</v>
      </c>
      <c r="F1852" s="2" t="s">
        <v>14217</v>
      </c>
      <c r="G1852" s="2" t="s">
        <v>14218</v>
      </c>
      <c r="H1852" s="2" t="s">
        <v>14219</v>
      </c>
      <c r="I1852" s="2" t="s">
        <v>14220</v>
      </c>
      <c r="J1852" s="2" t="s">
        <v>671</v>
      </c>
      <c r="K1852" s="2" t="s">
        <v>14216</v>
      </c>
      <c r="L1852" s="2" t="s">
        <v>14220</v>
      </c>
      <c r="M1852" s="2" t="s">
        <v>14219</v>
      </c>
      <c r="N1852" s="2" t="s">
        <v>14221</v>
      </c>
      <c r="O1852" s="2"/>
      <c r="P1852" s="2" t="s">
        <v>79</v>
      </c>
      <c r="Q1852" s="4" t="n">
        <v>2836</v>
      </c>
      <c r="R1852" s="2"/>
      <c r="S1852" s="2"/>
      <c r="T1852" s="2" t="s">
        <v>40</v>
      </c>
      <c r="U1852" s="2" t="s">
        <v>14222</v>
      </c>
      <c r="V1852" s="2"/>
      <c r="W1852" s="2" t="s">
        <v>42</v>
      </c>
      <c r="X1852" s="2" t="s">
        <v>43</v>
      </c>
      <c r="Y1852" s="2" t="s">
        <v>37</v>
      </c>
      <c r="Z1852" s="2" t="s">
        <v>44</v>
      </c>
      <c r="AA1852" s="2"/>
      <c r="AB1852" s="2"/>
      <c r="AC1852" s="2" t="s">
        <v>14223</v>
      </c>
      <c r="AD1852" s="2" t="s">
        <v>46</v>
      </c>
    </row>
    <row r="1853" customFormat="false" ht="15.7" hidden="false" customHeight="true" outlineLevel="0" collapsed="false">
      <c r="A1853" s="2"/>
      <c r="B1853" s="3" t="n">
        <f aca="false">DATE(2012,2,22)</f>
        <v>0</v>
      </c>
      <c r="C1853" s="3" t="n">
        <v>40961</v>
      </c>
      <c r="D1853" s="2" t="s">
        <v>14224</v>
      </c>
      <c r="F1853" s="2" t="s">
        <v>14225</v>
      </c>
      <c r="G1853" s="2" t="s">
        <v>14226</v>
      </c>
      <c r="H1853" s="2" t="s">
        <v>14227</v>
      </c>
      <c r="I1853" s="2" t="s">
        <v>100</v>
      </c>
      <c r="J1853" s="2" t="s">
        <v>220</v>
      </c>
      <c r="K1853" s="2" t="s">
        <v>14224</v>
      </c>
      <c r="L1853" s="2" t="s">
        <v>100</v>
      </c>
      <c r="M1853" s="2" t="s">
        <v>14227</v>
      </c>
      <c r="N1853" s="2" t="s">
        <v>14228</v>
      </c>
      <c r="O1853" s="2"/>
      <c r="P1853" s="2" t="s">
        <v>79</v>
      </c>
      <c r="Q1853" s="4" t="n">
        <v>3699</v>
      </c>
      <c r="R1853" s="2" t="s">
        <v>105</v>
      </c>
      <c r="S1853" s="2" t="s">
        <v>39</v>
      </c>
      <c r="T1853" s="2" t="s">
        <v>40</v>
      </c>
      <c r="U1853" s="2" t="s">
        <v>14229</v>
      </c>
      <c r="V1853" s="2"/>
      <c r="W1853" s="2" t="s">
        <v>10841</v>
      </c>
      <c r="X1853" s="2" t="s">
        <v>46</v>
      </c>
      <c r="Y1853" s="2" t="s">
        <v>37</v>
      </c>
      <c r="Z1853" s="2" t="s">
        <v>362</v>
      </c>
      <c r="AA1853" s="2"/>
      <c r="AB1853" s="2"/>
      <c r="AC1853" s="2" t="s">
        <v>14230</v>
      </c>
      <c r="AD1853" s="2" t="s">
        <v>46</v>
      </c>
    </row>
    <row r="1854" customFormat="false" ht="15.7" hidden="false" customHeight="true" outlineLevel="0" collapsed="false">
      <c r="A1854" s="2"/>
      <c r="B1854" s="3" t="n">
        <f aca="false">DATE(2012,2,23)</f>
        <v>0</v>
      </c>
      <c r="C1854" s="3" t="n">
        <v>40962</v>
      </c>
      <c r="D1854" s="2" t="s">
        <v>14231</v>
      </c>
      <c r="F1854" s="2" t="s">
        <v>14232</v>
      </c>
      <c r="G1854" s="2" t="s">
        <v>14233</v>
      </c>
      <c r="H1854" s="2" t="s">
        <v>14234</v>
      </c>
      <c r="I1854" s="2" t="s">
        <v>664</v>
      </c>
      <c r="J1854" s="2" t="s">
        <v>132</v>
      </c>
      <c r="K1854" s="2" t="s">
        <v>14231</v>
      </c>
      <c r="L1854" s="2" t="s">
        <v>664</v>
      </c>
      <c r="M1854" s="2" t="s">
        <v>14234</v>
      </c>
      <c r="N1854" s="2" t="s">
        <v>14235</v>
      </c>
      <c r="O1854" s="2"/>
      <c r="P1854" s="2" t="s">
        <v>37</v>
      </c>
      <c r="Q1854" s="4" t="n">
        <v>7373</v>
      </c>
      <c r="R1854" s="2" t="s">
        <v>136</v>
      </c>
      <c r="S1854" s="2" t="s">
        <v>39</v>
      </c>
      <c r="T1854" s="2" t="s">
        <v>40</v>
      </c>
      <c r="U1854" s="2" t="s">
        <v>14236</v>
      </c>
      <c r="V1854" s="2"/>
      <c r="W1854" s="2" t="s">
        <v>6330</v>
      </c>
      <c r="X1854" s="2" t="s">
        <v>43</v>
      </c>
      <c r="Y1854" s="2" t="s">
        <v>37</v>
      </c>
      <c r="Z1854" s="2" t="s">
        <v>44</v>
      </c>
      <c r="AA1854" s="2"/>
      <c r="AB1854" s="2"/>
      <c r="AC1854" s="2" t="s">
        <v>14237</v>
      </c>
      <c r="AD1854" s="2" t="s">
        <v>46</v>
      </c>
    </row>
    <row r="1855" customFormat="false" ht="15.7" hidden="false" customHeight="true" outlineLevel="0" collapsed="false">
      <c r="A1855" s="2"/>
      <c r="B1855" s="3" t="n">
        <f aca="false">DATE(2012,2,24)</f>
        <v>0</v>
      </c>
      <c r="C1855" s="3" t="n">
        <v>40963</v>
      </c>
      <c r="D1855" s="2" t="s">
        <v>14238</v>
      </c>
      <c r="F1855" s="2" t="s">
        <v>14239</v>
      </c>
      <c r="G1855" s="2" t="s">
        <v>14240</v>
      </c>
      <c r="H1855" s="2" t="s">
        <v>14241</v>
      </c>
      <c r="I1855" s="2" t="s">
        <v>88</v>
      </c>
      <c r="J1855" s="2" t="s">
        <v>1983</v>
      </c>
      <c r="K1855" s="2" t="s">
        <v>14238</v>
      </c>
      <c r="L1855" s="2" t="s">
        <v>88</v>
      </c>
      <c r="M1855" s="2" t="s">
        <v>14241</v>
      </c>
      <c r="N1855" s="2" t="s">
        <v>14242</v>
      </c>
      <c r="O1855" s="2"/>
      <c r="P1855" s="2" t="s">
        <v>37</v>
      </c>
      <c r="Q1855" s="4" t="n">
        <v>3678</v>
      </c>
      <c r="R1855" s="2" t="s">
        <v>136</v>
      </c>
      <c r="S1855" s="2" t="s">
        <v>39</v>
      </c>
      <c r="T1855" s="2" t="s">
        <v>40</v>
      </c>
      <c r="U1855" s="2" t="s">
        <v>14243</v>
      </c>
      <c r="V1855" s="2"/>
      <c r="W1855" s="2" t="s">
        <v>14244</v>
      </c>
      <c r="X1855" s="2" t="s">
        <v>43</v>
      </c>
      <c r="Y1855" s="2" t="s">
        <v>37</v>
      </c>
      <c r="Z1855" s="2" t="s">
        <v>44</v>
      </c>
      <c r="AA1855" s="2"/>
      <c r="AB1855" s="2"/>
      <c r="AC1855" s="2" t="s">
        <v>14245</v>
      </c>
      <c r="AD1855" s="2" t="s">
        <v>46</v>
      </c>
    </row>
    <row r="1856" customFormat="false" ht="15.7" hidden="false" customHeight="true" outlineLevel="0" collapsed="false">
      <c r="A1856" s="2"/>
      <c r="B1856" s="3" t="n">
        <f aca="false">DATE(2012,2,24)</f>
        <v>0</v>
      </c>
      <c r="C1856" s="3" t="n">
        <v>40963</v>
      </c>
      <c r="D1856" s="2" t="s">
        <v>14246</v>
      </c>
      <c r="F1856" s="2" t="s">
        <v>14247</v>
      </c>
      <c r="G1856" s="2" t="s">
        <v>14248</v>
      </c>
      <c r="H1856" s="2" t="s">
        <v>14249</v>
      </c>
      <c r="I1856" s="2" t="s">
        <v>14250</v>
      </c>
      <c r="J1856" s="2" t="s">
        <v>1983</v>
      </c>
      <c r="K1856" s="2" t="s">
        <v>14246</v>
      </c>
      <c r="L1856" s="2" t="s">
        <v>14250</v>
      </c>
      <c r="M1856" s="2" t="s">
        <v>14249</v>
      </c>
      <c r="N1856" s="2" t="s">
        <v>14251</v>
      </c>
      <c r="O1856" s="2"/>
      <c r="P1856" s="2" t="s">
        <v>37</v>
      </c>
      <c r="Q1856" s="4" t="n">
        <v>2023</v>
      </c>
      <c r="R1856" s="2" t="s">
        <v>14252</v>
      </c>
      <c r="S1856" s="2" t="s">
        <v>39</v>
      </c>
      <c r="T1856" s="2" t="s">
        <v>40</v>
      </c>
      <c r="U1856" s="2" t="s">
        <v>14253</v>
      </c>
      <c r="V1856" s="2"/>
      <c r="W1856" s="2" t="s">
        <v>138</v>
      </c>
      <c r="X1856" s="2" t="s">
        <v>46</v>
      </c>
      <c r="Y1856" s="2" t="s">
        <v>37</v>
      </c>
      <c r="Z1856" s="2" t="s">
        <v>2080</v>
      </c>
      <c r="AA1856" s="2"/>
      <c r="AB1856" s="2"/>
      <c r="AC1856" s="2" t="s">
        <v>14254</v>
      </c>
      <c r="AD1856" s="2" t="s">
        <v>46</v>
      </c>
    </row>
    <row r="1857" customFormat="false" ht="15.7" hidden="false" customHeight="true" outlineLevel="0" collapsed="false">
      <c r="A1857" s="2"/>
      <c r="B1857" s="3" t="n">
        <f aca="false">DATE(2012,2,27)</f>
        <v>0</v>
      </c>
      <c r="C1857" s="3" t="n">
        <v>40966</v>
      </c>
      <c r="D1857" s="2" t="s">
        <v>14255</v>
      </c>
      <c r="F1857" s="2" t="s">
        <v>1138</v>
      </c>
      <c r="G1857" s="2" t="s">
        <v>14256</v>
      </c>
      <c r="H1857" s="2" t="s">
        <v>305</v>
      </c>
      <c r="I1857" s="2" t="s">
        <v>11584</v>
      </c>
      <c r="J1857" s="2" t="s">
        <v>35</v>
      </c>
      <c r="K1857" s="2" t="s">
        <v>14255</v>
      </c>
      <c r="L1857" s="2" t="s">
        <v>11584</v>
      </c>
      <c r="M1857" s="2" t="s">
        <v>305</v>
      </c>
      <c r="N1857" s="2" t="s">
        <v>14257</v>
      </c>
      <c r="O1857" s="2"/>
      <c r="P1857" s="2" t="s">
        <v>37</v>
      </c>
      <c r="Q1857" s="4" t="n">
        <v>2836</v>
      </c>
      <c r="R1857" s="2" t="s">
        <v>1448</v>
      </c>
      <c r="S1857" s="2" t="s">
        <v>39</v>
      </c>
      <c r="T1857" s="2" t="s">
        <v>40</v>
      </c>
      <c r="U1857" s="2" t="s">
        <v>14258</v>
      </c>
      <c r="V1857" s="2"/>
      <c r="W1857" s="2" t="s">
        <v>42</v>
      </c>
      <c r="X1857" s="2" t="s">
        <v>43</v>
      </c>
      <c r="Y1857" s="2" t="s">
        <v>37</v>
      </c>
      <c r="Z1857" s="2" t="s">
        <v>44</v>
      </c>
      <c r="AA1857" s="2" t="s">
        <v>14259</v>
      </c>
      <c r="AB1857" s="2"/>
      <c r="AC1857" s="2" t="s">
        <v>14260</v>
      </c>
      <c r="AD1857" s="2" t="s">
        <v>46</v>
      </c>
    </row>
    <row r="1858" customFormat="false" ht="15.7" hidden="false" customHeight="true" outlineLevel="0" collapsed="false">
      <c r="A1858" s="2"/>
      <c r="B1858" s="3" t="n">
        <f aca="false">DATE(2012,2,29)</f>
        <v>0</v>
      </c>
      <c r="C1858" s="3" t="n">
        <v>40968</v>
      </c>
      <c r="D1858" s="2" t="s">
        <v>14261</v>
      </c>
      <c r="F1858" s="2" t="s">
        <v>14262</v>
      </c>
      <c r="G1858" s="2" t="s">
        <v>14263</v>
      </c>
      <c r="H1858" s="2" t="s">
        <v>63</v>
      </c>
      <c r="I1858" s="2" t="s">
        <v>14264</v>
      </c>
      <c r="J1858" s="2" t="s">
        <v>35</v>
      </c>
      <c r="K1858" s="2" t="s">
        <v>14261</v>
      </c>
      <c r="L1858" s="2" t="s">
        <v>14264</v>
      </c>
      <c r="M1858" s="2" t="s">
        <v>63</v>
      </c>
      <c r="N1858" s="2" t="s">
        <v>14265</v>
      </c>
      <c r="O1858" s="2"/>
      <c r="P1858" s="2" t="s">
        <v>37</v>
      </c>
      <c r="Q1858" s="4" t="n">
        <v>2834</v>
      </c>
      <c r="R1858" s="2" t="s">
        <v>136</v>
      </c>
      <c r="S1858" s="2" t="s">
        <v>39</v>
      </c>
      <c r="T1858" s="2" t="s">
        <v>40</v>
      </c>
      <c r="U1858" s="2" t="s">
        <v>14266</v>
      </c>
      <c r="V1858" s="2"/>
      <c r="W1858" s="2" t="s">
        <v>42</v>
      </c>
      <c r="X1858" s="2" t="s">
        <v>43</v>
      </c>
      <c r="Y1858" s="2" t="s">
        <v>37</v>
      </c>
      <c r="Z1858" s="2" t="s">
        <v>44</v>
      </c>
      <c r="AA1858" s="2"/>
      <c r="AB1858" s="2"/>
      <c r="AC1858" s="2" t="s">
        <v>14267</v>
      </c>
      <c r="AD1858" s="2" t="s">
        <v>46</v>
      </c>
    </row>
    <row r="1859" customFormat="false" ht="15.7" hidden="false" customHeight="true" outlineLevel="0" collapsed="false">
      <c r="A1859" s="2"/>
      <c r="B1859" s="3" t="n">
        <f aca="false">DATE(2012,2,29)</f>
        <v>0</v>
      </c>
      <c r="C1859" s="3" t="n">
        <v>40968</v>
      </c>
      <c r="D1859" s="2" t="s">
        <v>14268</v>
      </c>
      <c r="F1859" s="2" t="s">
        <v>14269</v>
      </c>
      <c r="G1859" s="2" t="s">
        <v>14270</v>
      </c>
      <c r="H1859" s="2" t="s">
        <v>305</v>
      </c>
      <c r="I1859" s="2" t="s">
        <v>1412</v>
      </c>
      <c r="J1859" s="2" t="s">
        <v>1983</v>
      </c>
      <c r="K1859" s="2" t="s">
        <v>14268</v>
      </c>
      <c r="L1859" s="2" t="s">
        <v>1412</v>
      </c>
      <c r="M1859" s="2" t="s">
        <v>305</v>
      </c>
      <c r="N1859" s="2" t="s">
        <v>14271</v>
      </c>
      <c r="O1859" s="2"/>
      <c r="P1859" s="2" t="s">
        <v>37</v>
      </c>
      <c r="Q1859" s="4" t="n">
        <v>2836</v>
      </c>
      <c r="R1859" s="2" t="s">
        <v>136</v>
      </c>
      <c r="S1859" s="2" t="s">
        <v>39</v>
      </c>
      <c r="T1859" s="2" t="s">
        <v>40</v>
      </c>
      <c r="U1859" s="2" t="s">
        <v>14272</v>
      </c>
      <c r="V1859" s="2"/>
      <c r="W1859" s="2" t="s">
        <v>42</v>
      </c>
      <c r="X1859" s="2" t="s">
        <v>43</v>
      </c>
      <c r="Y1859" s="2" t="s">
        <v>37</v>
      </c>
      <c r="Z1859" s="2" t="s">
        <v>44</v>
      </c>
      <c r="AA1859" s="2" t="s">
        <v>14273</v>
      </c>
      <c r="AB1859" s="2"/>
      <c r="AC1859" s="2" t="s">
        <v>14274</v>
      </c>
      <c r="AD1859" s="2" t="s">
        <v>46</v>
      </c>
    </row>
    <row r="1860" customFormat="false" ht="15.7" hidden="false" customHeight="true" outlineLevel="0" collapsed="false">
      <c r="A1860" s="2"/>
      <c r="B1860" s="3" t="n">
        <f aca="false">DATE(2012,2,29)</f>
        <v>0</v>
      </c>
      <c r="C1860" s="3" t="n">
        <v>40968</v>
      </c>
      <c r="D1860" s="2" t="s">
        <v>14275</v>
      </c>
      <c r="F1860" s="2" t="s">
        <v>14276</v>
      </c>
      <c r="G1860" s="2" t="s">
        <v>14277</v>
      </c>
      <c r="H1860" s="2" t="s">
        <v>5477</v>
      </c>
      <c r="I1860" s="2" t="s">
        <v>14250</v>
      </c>
      <c r="J1860" s="2" t="s">
        <v>65</v>
      </c>
      <c r="K1860" s="2" t="s">
        <v>14278</v>
      </c>
      <c r="L1860" s="2" t="s">
        <v>14250</v>
      </c>
      <c r="M1860" s="2" t="s">
        <v>814</v>
      </c>
      <c r="N1860" s="2" t="s">
        <v>14279</v>
      </c>
      <c r="O1860" s="2" t="s">
        <v>14280</v>
      </c>
      <c r="P1860" s="2" t="s">
        <v>37</v>
      </c>
      <c r="Q1860" s="4" t="n">
        <v>2836</v>
      </c>
      <c r="R1860" s="2" t="s">
        <v>56</v>
      </c>
      <c r="S1860" s="2" t="s">
        <v>92</v>
      </c>
      <c r="T1860" s="2" t="s">
        <v>40</v>
      </c>
      <c r="U1860" s="2" t="s">
        <v>14281</v>
      </c>
      <c r="V1860" s="2"/>
      <c r="W1860" s="2" t="s">
        <v>8529</v>
      </c>
      <c r="X1860" s="2" t="s">
        <v>46</v>
      </c>
      <c r="Y1860" s="2" t="s">
        <v>37</v>
      </c>
      <c r="Z1860" s="2" t="s">
        <v>362</v>
      </c>
      <c r="AA1860" s="2"/>
      <c r="AB1860" s="2" t="s">
        <v>14282</v>
      </c>
      <c r="AC1860" s="2" t="s">
        <v>14283</v>
      </c>
      <c r="AD1860" s="2" t="s">
        <v>46</v>
      </c>
    </row>
    <row r="1861" customFormat="false" ht="15.7" hidden="false" customHeight="true" outlineLevel="0" collapsed="false">
      <c r="A1861" s="2"/>
      <c r="B1861" s="3" t="n">
        <f aca="false">DATE(2012,2,29)</f>
        <v>0</v>
      </c>
      <c r="C1861" s="3" t="n">
        <v>40968</v>
      </c>
      <c r="D1861" s="2" t="s">
        <v>14284</v>
      </c>
      <c r="F1861" s="2" t="s">
        <v>14285</v>
      </c>
      <c r="G1861" s="2" t="s">
        <v>14286</v>
      </c>
      <c r="H1861" s="2" t="s">
        <v>14287</v>
      </c>
      <c r="I1861" s="2" t="s">
        <v>6889</v>
      </c>
      <c r="J1861" s="2" t="s">
        <v>35</v>
      </c>
      <c r="K1861" s="2" t="s">
        <v>14288</v>
      </c>
      <c r="L1861" s="2" t="s">
        <v>14289</v>
      </c>
      <c r="M1861" s="2" t="s">
        <v>14290</v>
      </c>
      <c r="N1861" s="2" t="s">
        <v>14291</v>
      </c>
      <c r="O1861" s="2"/>
      <c r="P1861" s="2" t="s">
        <v>37</v>
      </c>
      <c r="Q1861" s="4" t="n">
        <v>3531</v>
      </c>
      <c r="R1861" s="2" t="s">
        <v>402</v>
      </c>
      <c r="S1861" s="2" t="s">
        <v>39</v>
      </c>
      <c r="T1861" s="2" t="s">
        <v>403</v>
      </c>
      <c r="U1861" s="2" t="s">
        <v>14292</v>
      </c>
      <c r="V1861" s="2"/>
      <c r="W1861" s="2" t="s">
        <v>697</v>
      </c>
      <c r="X1861" s="2" t="s">
        <v>46</v>
      </c>
      <c r="Y1861" s="2" t="s">
        <v>37</v>
      </c>
      <c r="Z1861" s="2" t="s">
        <v>362</v>
      </c>
      <c r="AA1861" s="2" t="s">
        <v>14293</v>
      </c>
      <c r="AB1861" s="2"/>
      <c r="AC1861" s="2" t="s">
        <v>14294</v>
      </c>
      <c r="AD1861" s="2" t="s">
        <v>46</v>
      </c>
    </row>
    <row r="1862" customFormat="false" ht="15.7" hidden="false" customHeight="true" outlineLevel="0" collapsed="false">
      <c r="A1862" s="2"/>
      <c r="B1862" s="3" t="n">
        <f aca="false">DATE(2012,2,29)</f>
        <v>0</v>
      </c>
      <c r="C1862" s="3" t="n">
        <v>40968</v>
      </c>
      <c r="D1862" s="2" t="s">
        <v>14295</v>
      </c>
      <c r="F1862" s="2" t="s">
        <v>14296</v>
      </c>
      <c r="G1862" s="2" t="s">
        <v>14297</v>
      </c>
      <c r="H1862" s="2" t="s">
        <v>1027</v>
      </c>
      <c r="I1862" s="2" t="s">
        <v>8623</v>
      </c>
      <c r="J1862" s="2" t="s">
        <v>35</v>
      </c>
      <c r="K1862" s="2" t="s">
        <v>14295</v>
      </c>
      <c r="L1862" s="2" t="s">
        <v>8623</v>
      </c>
      <c r="M1862" s="2" t="s">
        <v>1027</v>
      </c>
      <c r="N1862" s="2" t="s">
        <v>14298</v>
      </c>
      <c r="O1862" s="2"/>
      <c r="P1862" s="2" t="s">
        <v>37</v>
      </c>
      <c r="Q1862" s="4" t="n">
        <v>5122</v>
      </c>
      <c r="R1862" s="2" t="s">
        <v>121</v>
      </c>
      <c r="S1862" s="2" t="s">
        <v>39</v>
      </c>
      <c r="T1862" s="2" t="s">
        <v>403</v>
      </c>
      <c r="U1862" s="2" t="s">
        <v>14299</v>
      </c>
      <c r="V1862" s="2"/>
      <c r="W1862" s="2" t="s">
        <v>42</v>
      </c>
      <c r="X1862" s="2" t="s">
        <v>46</v>
      </c>
      <c r="Y1862" s="2" t="s">
        <v>37</v>
      </c>
      <c r="Z1862" s="2" t="s">
        <v>987</v>
      </c>
      <c r="AA1862" s="2"/>
      <c r="AB1862" s="2"/>
      <c r="AC1862" s="2" t="s">
        <v>14300</v>
      </c>
      <c r="AD1862" s="2" t="s">
        <v>46</v>
      </c>
    </row>
    <row r="1863" customFormat="false" ht="15.7" hidden="false" customHeight="true" outlineLevel="0" collapsed="false">
      <c r="A1863" s="2"/>
      <c r="B1863" s="3" t="n">
        <f aca="false">DATE(2012,3,1)</f>
        <v>0</v>
      </c>
      <c r="C1863" s="3" t="n">
        <v>40969</v>
      </c>
      <c r="D1863" s="2" t="s">
        <v>14301</v>
      </c>
      <c r="F1863" s="2" t="s">
        <v>14302</v>
      </c>
      <c r="G1863" s="2" t="s">
        <v>14303</v>
      </c>
      <c r="H1863" s="2" t="s">
        <v>14304</v>
      </c>
      <c r="I1863" s="2" t="s">
        <v>51</v>
      </c>
      <c r="J1863" s="2" t="s">
        <v>14305</v>
      </c>
      <c r="K1863" s="2" t="s">
        <v>14306</v>
      </c>
      <c r="L1863" s="2" t="s">
        <v>51</v>
      </c>
      <c r="M1863" s="2" t="s">
        <v>14307</v>
      </c>
      <c r="N1863" s="2" t="s">
        <v>14308</v>
      </c>
      <c r="O1863" s="2"/>
      <c r="P1863" s="2" t="s">
        <v>37</v>
      </c>
      <c r="Q1863" s="4" t="n">
        <v>3069</v>
      </c>
      <c r="R1863" s="2" t="s">
        <v>56</v>
      </c>
      <c r="S1863" s="2" t="s">
        <v>2265</v>
      </c>
      <c r="T1863" s="2" t="s">
        <v>40</v>
      </c>
      <c r="U1863" s="2" t="s">
        <v>14309</v>
      </c>
      <c r="V1863" s="2"/>
      <c r="W1863" s="2" t="s">
        <v>42</v>
      </c>
      <c r="X1863" s="2" t="s">
        <v>43</v>
      </c>
      <c r="Y1863" s="2" t="s">
        <v>37</v>
      </c>
      <c r="Z1863" s="2" t="s">
        <v>44</v>
      </c>
      <c r="AA1863" s="2"/>
      <c r="AB1863" s="2"/>
      <c r="AC1863" s="2" t="s">
        <v>14310</v>
      </c>
      <c r="AD1863" s="2" t="s">
        <v>46</v>
      </c>
    </row>
    <row r="1864" customFormat="false" ht="15.7" hidden="false" customHeight="true" outlineLevel="0" collapsed="false">
      <c r="A1864" s="2"/>
      <c r="B1864" s="3" t="n">
        <f aca="false">DATE(2012,3,1)</f>
        <v>0</v>
      </c>
      <c r="C1864" s="3" t="n">
        <v>40969</v>
      </c>
      <c r="D1864" s="2" t="s">
        <v>14311</v>
      </c>
      <c r="F1864" s="2" t="s">
        <v>14312</v>
      </c>
      <c r="G1864" s="2" t="s">
        <v>14313</v>
      </c>
      <c r="H1864" s="2" t="s">
        <v>14314</v>
      </c>
      <c r="I1864" s="2" t="s">
        <v>3265</v>
      </c>
      <c r="J1864" s="2" t="s">
        <v>3906</v>
      </c>
      <c r="K1864" s="2" t="s">
        <v>14311</v>
      </c>
      <c r="L1864" s="2" t="s">
        <v>3265</v>
      </c>
      <c r="M1864" s="2" t="s">
        <v>14314</v>
      </c>
      <c r="N1864" s="2" t="s">
        <v>14315</v>
      </c>
      <c r="O1864" s="2"/>
      <c r="P1864" s="2" t="s">
        <v>37</v>
      </c>
      <c r="Q1864" s="4" t="n">
        <v>8731</v>
      </c>
      <c r="R1864" s="2" t="s">
        <v>402</v>
      </c>
      <c r="S1864" s="2" t="s">
        <v>39</v>
      </c>
      <c r="T1864" s="2" t="s">
        <v>403</v>
      </c>
      <c r="U1864" s="2" t="s">
        <v>14316</v>
      </c>
      <c r="V1864" s="2"/>
      <c r="W1864" s="2" t="s">
        <v>42</v>
      </c>
      <c r="X1864" s="2" t="s">
        <v>46</v>
      </c>
      <c r="Y1864" s="2" t="s">
        <v>37</v>
      </c>
      <c r="Z1864" s="2" t="s">
        <v>362</v>
      </c>
      <c r="AA1864" s="2"/>
      <c r="AB1864" s="2"/>
      <c r="AC1864" s="2" t="s">
        <v>14317</v>
      </c>
      <c r="AD1864" s="2" t="s">
        <v>46</v>
      </c>
    </row>
    <row r="1865" customFormat="false" ht="15.7" hidden="false" customHeight="true" outlineLevel="0" collapsed="false">
      <c r="A1865" s="2"/>
      <c r="B1865" s="3" t="n">
        <f aca="false">DATE(2012,3,2)</f>
        <v>0</v>
      </c>
      <c r="C1865" s="3" t="n">
        <v>40970</v>
      </c>
      <c r="D1865" s="2" t="s">
        <v>14318</v>
      </c>
      <c r="F1865" s="2" t="s">
        <v>14319</v>
      </c>
      <c r="G1865" s="2" t="s">
        <v>14320</v>
      </c>
      <c r="H1865" s="2" t="s">
        <v>130</v>
      </c>
      <c r="I1865" s="2" t="s">
        <v>4089</v>
      </c>
      <c r="J1865" s="2" t="s">
        <v>35</v>
      </c>
      <c r="K1865" s="2" t="s">
        <v>14318</v>
      </c>
      <c r="L1865" s="2" t="s">
        <v>4089</v>
      </c>
      <c r="M1865" s="2" t="s">
        <v>130</v>
      </c>
      <c r="N1865" s="2" t="s">
        <v>14321</v>
      </c>
      <c r="O1865" s="2"/>
      <c r="P1865" s="2" t="s">
        <v>37</v>
      </c>
      <c r="Q1865" s="4" t="n">
        <v>2834</v>
      </c>
      <c r="R1865" s="2" t="s">
        <v>38</v>
      </c>
      <c r="S1865" s="2" t="s">
        <v>39</v>
      </c>
      <c r="T1865" s="2" t="s">
        <v>403</v>
      </c>
      <c r="U1865" s="2" t="s">
        <v>14322</v>
      </c>
      <c r="V1865" s="2"/>
      <c r="W1865" s="2" t="s">
        <v>5464</v>
      </c>
      <c r="X1865" s="2" t="s">
        <v>46</v>
      </c>
      <c r="Y1865" s="2" t="s">
        <v>37</v>
      </c>
      <c r="Z1865" s="2" t="s">
        <v>362</v>
      </c>
      <c r="AA1865" s="2" t="s">
        <v>14323</v>
      </c>
      <c r="AB1865" s="2"/>
      <c r="AC1865" s="2" t="s">
        <v>14324</v>
      </c>
      <c r="AD1865" s="2" t="s">
        <v>46</v>
      </c>
    </row>
    <row r="1866" customFormat="false" ht="15.7" hidden="false" customHeight="true" outlineLevel="0" collapsed="false">
      <c r="A1866" s="2"/>
      <c r="B1866" s="3" t="n">
        <f aca="false">DATE(2012,3,5)</f>
        <v>0</v>
      </c>
      <c r="C1866" s="3" t="n">
        <v>40973</v>
      </c>
      <c r="D1866" s="2" t="s">
        <v>14325</v>
      </c>
      <c r="F1866" s="2" t="s">
        <v>14326</v>
      </c>
      <c r="G1866" s="2" t="s">
        <v>14327</v>
      </c>
      <c r="H1866" s="2" t="s">
        <v>14328</v>
      </c>
      <c r="I1866" s="2" t="s">
        <v>14329</v>
      </c>
      <c r="J1866" s="2" t="s">
        <v>35</v>
      </c>
      <c r="K1866" s="2" t="s">
        <v>14330</v>
      </c>
      <c r="L1866" s="2" t="s">
        <v>14329</v>
      </c>
      <c r="M1866" s="2" t="s">
        <v>13515</v>
      </c>
      <c r="N1866" s="2" t="s">
        <v>14331</v>
      </c>
      <c r="O1866" s="2"/>
      <c r="P1866" s="2" t="s">
        <v>37</v>
      </c>
      <c r="Q1866" s="4" t="n">
        <v>8731</v>
      </c>
      <c r="R1866" s="2" t="s">
        <v>9292</v>
      </c>
      <c r="S1866" s="2" t="s">
        <v>39</v>
      </c>
      <c r="T1866" s="2" t="s">
        <v>403</v>
      </c>
      <c r="U1866" s="2" t="s">
        <v>14332</v>
      </c>
      <c r="V1866" s="2"/>
      <c r="W1866" s="2" t="s">
        <v>42</v>
      </c>
      <c r="X1866" s="2" t="s">
        <v>46</v>
      </c>
      <c r="Y1866" s="2" t="s">
        <v>37</v>
      </c>
      <c r="Z1866" s="2" t="s">
        <v>44</v>
      </c>
      <c r="AA1866" s="2"/>
      <c r="AB1866" s="2"/>
      <c r="AC1866" s="2" t="s">
        <v>14333</v>
      </c>
      <c r="AD1866" s="2" t="s">
        <v>46</v>
      </c>
    </row>
    <row r="1867" customFormat="false" ht="15.7" hidden="false" customHeight="true" outlineLevel="0" collapsed="false">
      <c r="A1867" s="2"/>
      <c r="B1867" s="3" t="n">
        <f aca="false">DATE(2012,3,6)</f>
        <v>0</v>
      </c>
      <c r="C1867" s="3" t="n">
        <v>40974</v>
      </c>
      <c r="D1867" s="2" t="s">
        <v>14334</v>
      </c>
      <c r="F1867" s="2" t="s">
        <v>14335</v>
      </c>
      <c r="G1867" s="2" t="s">
        <v>14336</v>
      </c>
      <c r="H1867" s="2" t="s">
        <v>14337</v>
      </c>
      <c r="I1867" s="2" t="s">
        <v>741</v>
      </c>
      <c r="J1867" s="2" t="s">
        <v>35</v>
      </c>
      <c r="K1867" s="2" t="s">
        <v>14338</v>
      </c>
      <c r="L1867" s="2" t="s">
        <v>741</v>
      </c>
      <c r="M1867" s="2" t="s">
        <v>14339</v>
      </c>
      <c r="N1867" s="2" t="s">
        <v>14340</v>
      </c>
      <c r="O1867" s="2" t="s">
        <v>14341</v>
      </c>
      <c r="P1867" s="2" t="s">
        <v>37</v>
      </c>
      <c r="Q1867" s="2" t="s">
        <v>3180</v>
      </c>
      <c r="R1867" s="2" t="s">
        <v>2952</v>
      </c>
      <c r="S1867" s="2" t="s">
        <v>39</v>
      </c>
      <c r="T1867" s="2" t="s">
        <v>40</v>
      </c>
      <c r="U1867" s="2" t="s">
        <v>14342</v>
      </c>
      <c r="V1867" s="2"/>
      <c r="W1867" s="2" t="s">
        <v>14343</v>
      </c>
      <c r="X1867" s="2" t="s">
        <v>46</v>
      </c>
      <c r="Y1867" s="2" t="s">
        <v>37</v>
      </c>
      <c r="Z1867" s="2" t="s">
        <v>362</v>
      </c>
      <c r="AA1867" s="2"/>
      <c r="AB1867" s="2" t="s">
        <v>14344</v>
      </c>
      <c r="AC1867" s="2" t="s">
        <v>14345</v>
      </c>
      <c r="AD1867" s="2" t="s">
        <v>46</v>
      </c>
    </row>
    <row r="1868" customFormat="false" ht="15.7" hidden="false" customHeight="true" outlineLevel="0" collapsed="false">
      <c r="A1868" s="2"/>
      <c r="B1868" s="3" t="n">
        <f aca="false">DATE(2012,3,6)</f>
        <v>0</v>
      </c>
      <c r="C1868" s="3" t="n">
        <v>40974</v>
      </c>
      <c r="D1868" s="2" t="s">
        <v>14346</v>
      </c>
      <c r="F1868" s="2" t="s">
        <v>1324</v>
      </c>
      <c r="G1868" s="2" t="s">
        <v>14347</v>
      </c>
      <c r="H1868" s="2" t="s">
        <v>12871</v>
      </c>
      <c r="I1868" s="2" t="s">
        <v>286</v>
      </c>
      <c r="J1868" s="2" t="s">
        <v>35</v>
      </c>
      <c r="K1868" s="2" t="s">
        <v>14348</v>
      </c>
      <c r="L1868" s="2" t="s">
        <v>286</v>
      </c>
      <c r="M1868" s="2" t="s">
        <v>1564</v>
      </c>
      <c r="N1868" s="2" t="s">
        <v>14349</v>
      </c>
      <c r="O1868" s="2"/>
      <c r="P1868" s="2" t="s">
        <v>37</v>
      </c>
      <c r="Q1868" s="4" t="n">
        <v>2836</v>
      </c>
      <c r="R1868" s="2" t="s">
        <v>136</v>
      </c>
      <c r="S1868" s="2" t="s">
        <v>39</v>
      </c>
      <c r="T1868" s="2" t="s">
        <v>40</v>
      </c>
      <c r="U1868" s="2" t="s">
        <v>14350</v>
      </c>
      <c r="V1868" s="2"/>
      <c r="W1868" s="2" t="s">
        <v>42</v>
      </c>
      <c r="X1868" s="2" t="s">
        <v>43</v>
      </c>
      <c r="Y1868" s="2" t="s">
        <v>37</v>
      </c>
      <c r="Z1868" s="2" t="s">
        <v>44</v>
      </c>
      <c r="AA1868" s="2" t="s">
        <v>14351</v>
      </c>
      <c r="AB1868" s="2"/>
      <c r="AC1868" s="2" t="s">
        <v>14352</v>
      </c>
      <c r="AD1868" s="2" t="s">
        <v>46</v>
      </c>
    </row>
    <row r="1869" customFormat="false" ht="15.7" hidden="false" customHeight="true" outlineLevel="0" collapsed="false">
      <c r="A1869" s="2"/>
      <c r="B1869" s="3" t="n">
        <f aca="false">DATE(2012,3,6)</f>
        <v>0</v>
      </c>
      <c r="C1869" s="3" t="n">
        <v>40974</v>
      </c>
      <c r="D1869" s="2" t="s">
        <v>14353</v>
      </c>
      <c r="F1869" s="2" t="s">
        <v>14354</v>
      </c>
      <c r="G1869" s="2" t="s">
        <v>14355</v>
      </c>
      <c r="H1869" s="2" t="s">
        <v>130</v>
      </c>
      <c r="I1869" s="2" t="s">
        <v>51</v>
      </c>
      <c r="J1869" s="2" t="s">
        <v>6750</v>
      </c>
      <c r="K1869" s="2" t="s">
        <v>14356</v>
      </c>
      <c r="L1869" s="2" t="s">
        <v>51</v>
      </c>
      <c r="M1869" s="2" t="s">
        <v>130</v>
      </c>
      <c r="N1869" s="2" t="s">
        <v>14357</v>
      </c>
      <c r="O1869" s="2"/>
      <c r="P1869" s="2" t="s">
        <v>37</v>
      </c>
      <c r="Q1869" s="4" t="n">
        <v>8731</v>
      </c>
      <c r="R1869" s="2" t="s">
        <v>56</v>
      </c>
      <c r="S1869" s="2" t="s">
        <v>2265</v>
      </c>
      <c r="T1869" s="2" t="s">
        <v>40</v>
      </c>
      <c r="U1869" s="2" t="s">
        <v>14358</v>
      </c>
      <c r="V1869" s="2"/>
      <c r="W1869" s="2" t="s">
        <v>42</v>
      </c>
      <c r="X1869" s="2" t="s">
        <v>43</v>
      </c>
      <c r="Y1869" s="2" t="s">
        <v>37</v>
      </c>
      <c r="Z1869" s="2" t="s">
        <v>44</v>
      </c>
      <c r="AA1869" s="2"/>
      <c r="AB1869" s="2"/>
      <c r="AC1869" s="2" t="s">
        <v>14359</v>
      </c>
      <c r="AD1869" s="2" t="s">
        <v>46</v>
      </c>
    </row>
    <row r="1870" customFormat="false" ht="15.7" hidden="false" customHeight="true" outlineLevel="0" collapsed="false">
      <c r="A1870" s="2"/>
      <c r="B1870" s="3" t="n">
        <f aca="false">DATE(2012,3,6)</f>
        <v>0</v>
      </c>
      <c r="C1870" s="3" t="n">
        <v>40974</v>
      </c>
      <c r="D1870" s="2" t="s">
        <v>14360</v>
      </c>
      <c r="F1870" s="2" t="s">
        <v>14361</v>
      </c>
      <c r="G1870" s="2" t="s">
        <v>14362</v>
      </c>
      <c r="H1870" s="2" t="s">
        <v>12965</v>
      </c>
      <c r="I1870" s="2" t="s">
        <v>11795</v>
      </c>
      <c r="J1870" s="2" t="s">
        <v>966</v>
      </c>
      <c r="K1870" s="2" t="s">
        <v>14360</v>
      </c>
      <c r="L1870" s="2" t="s">
        <v>11795</v>
      </c>
      <c r="M1870" s="2" t="s">
        <v>12965</v>
      </c>
      <c r="N1870" s="2" t="s">
        <v>14363</v>
      </c>
      <c r="O1870" s="2" t="s">
        <v>14364</v>
      </c>
      <c r="P1870" s="2" t="s">
        <v>37</v>
      </c>
      <c r="Q1870" s="4" t="n">
        <v>2834</v>
      </c>
      <c r="R1870" s="2" t="s">
        <v>1208</v>
      </c>
      <c r="S1870" s="2" t="s">
        <v>39</v>
      </c>
      <c r="T1870" s="2" t="s">
        <v>40</v>
      </c>
      <c r="U1870" s="2" t="s">
        <v>14365</v>
      </c>
      <c r="V1870" s="2"/>
      <c r="W1870" s="2" t="s">
        <v>14366</v>
      </c>
      <c r="X1870" s="2" t="s">
        <v>46</v>
      </c>
      <c r="Y1870" s="2" t="s">
        <v>37</v>
      </c>
      <c r="Z1870" s="2" t="s">
        <v>362</v>
      </c>
      <c r="AA1870" s="2" t="s">
        <v>14367</v>
      </c>
      <c r="AB1870" s="2" t="s">
        <v>14368</v>
      </c>
      <c r="AC1870" s="2" t="s">
        <v>14369</v>
      </c>
      <c r="AD1870" s="2" t="s">
        <v>46</v>
      </c>
    </row>
    <row r="1871" customFormat="false" ht="15.7" hidden="false" customHeight="true" outlineLevel="0" collapsed="false">
      <c r="A1871" s="2"/>
      <c r="B1871" s="3" t="n">
        <f aca="false">DATE(2012,3,7)</f>
        <v>0</v>
      </c>
      <c r="C1871" s="3" t="n">
        <v>40975</v>
      </c>
      <c r="D1871" s="2" t="s">
        <v>14370</v>
      </c>
      <c r="F1871" s="2" t="s">
        <v>14371</v>
      </c>
      <c r="G1871" s="2" t="s">
        <v>14372</v>
      </c>
      <c r="H1871" s="2" t="s">
        <v>63</v>
      </c>
      <c r="I1871" s="2" t="s">
        <v>51</v>
      </c>
      <c r="J1871" s="2" t="s">
        <v>1697</v>
      </c>
      <c r="K1871" s="2" t="s">
        <v>14370</v>
      </c>
      <c r="L1871" s="2" t="s">
        <v>51</v>
      </c>
      <c r="M1871" s="2" t="s">
        <v>63</v>
      </c>
      <c r="N1871" s="2" t="s">
        <v>14373</v>
      </c>
      <c r="O1871" s="2"/>
      <c r="P1871" s="2" t="s">
        <v>37</v>
      </c>
      <c r="Q1871" s="4" t="n">
        <v>2834</v>
      </c>
      <c r="R1871" s="2" t="s">
        <v>56</v>
      </c>
      <c r="S1871" s="2" t="s">
        <v>2265</v>
      </c>
      <c r="T1871" s="2" t="s">
        <v>40</v>
      </c>
      <c r="U1871" s="2" t="s">
        <v>14374</v>
      </c>
      <c r="V1871" s="2"/>
      <c r="W1871" s="2" t="s">
        <v>42</v>
      </c>
      <c r="X1871" s="2" t="s">
        <v>43</v>
      </c>
      <c r="Y1871" s="2" t="s">
        <v>37</v>
      </c>
      <c r="Z1871" s="2" t="s">
        <v>44</v>
      </c>
      <c r="AA1871" s="2" t="s">
        <v>14375</v>
      </c>
      <c r="AB1871" s="2"/>
      <c r="AC1871" s="2" t="s">
        <v>14376</v>
      </c>
      <c r="AD1871" s="2" t="s">
        <v>46</v>
      </c>
    </row>
    <row r="1872" customFormat="false" ht="15.7" hidden="false" customHeight="true" outlineLevel="0" collapsed="false">
      <c r="A1872" s="2"/>
      <c r="B1872" s="3" t="n">
        <f aca="false">DATE(2012,3,12)</f>
        <v>0</v>
      </c>
      <c r="C1872" s="3" t="n">
        <v>40980</v>
      </c>
      <c r="D1872" s="2" t="s">
        <v>14377</v>
      </c>
      <c r="F1872" s="2" t="s">
        <v>14378</v>
      </c>
      <c r="G1872" s="2" t="s">
        <v>14379</v>
      </c>
      <c r="H1872" s="2" t="s">
        <v>3335</v>
      </c>
      <c r="I1872" s="2" t="s">
        <v>51</v>
      </c>
      <c r="J1872" s="2" t="s">
        <v>786</v>
      </c>
      <c r="K1872" s="2" t="s">
        <v>14377</v>
      </c>
      <c r="L1872" s="2" t="s">
        <v>51</v>
      </c>
      <c r="M1872" s="2" t="s">
        <v>3335</v>
      </c>
      <c r="N1872" s="2" t="s">
        <v>14380</v>
      </c>
      <c r="O1872" s="2"/>
      <c r="P1872" s="2" t="s">
        <v>37</v>
      </c>
      <c r="Q1872" s="4" t="n">
        <v>3559</v>
      </c>
      <c r="R1872" s="2" t="s">
        <v>56</v>
      </c>
      <c r="S1872" s="2" t="s">
        <v>2265</v>
      </c>
      <c r="T1872" s="2" t="s">
        <v>40</v>
      </c>
      <c r="U1872" s="2" t="s">
        <v>14381</v>
      </c>
      <c r="V1872" s="2"/>
      <c r="W1872" s="2" t="s">
        <v>42</v>
      </c>
      <c r="X1872" s="2" t="s">
        <v>43</v>
      </c>
      <c r="Y1872" s="2" t="s">
        <v>37</v>
      </c>
      <c r="Z1872" s="2" t="s">
        <v>44</v>
      </c>
      <c r="AA1872" s="2"/>
      <c r="AB1872" s="2"/>
      <c r="AC1872" s="2" t="s">
        <v>14382</v>
      </c>
      <c r="AD1872" s="2" t="s">
        <v>46</v>
      </c>
    </row>
    <row r="1873" customFormat="false" ht="15.7" hidden="false" customHeight="true" outlineLevel="0" collapsed="false">
      <c r="A1873" s="2"/>
      <c r="B1873" s="3" t="n">
        <f aca="false">DATE(2012,3,12)</f>
        <v>0</v>
      </c>
      <c r="C1873" s="3" t="n">
        <v>40980</v>
      </c>
      <c r="D1873" s="2" t="s">
        <v>14383</v>
      </c>
      <c r="F1873" s="2" t="s">
        <v>14384</v>
      </c>
      <c r="G1873" s="2" t="s">
        <v>14385</v>
      </c>
      <c r="H1873" s="2" t="s">
        <v>14386</v>
      </c>
      <c r="I1873" s="2" t="s">
        <v>14387</v>
      </c>
      <c r="J1873" s="2" t="s">
        <v>14388</v>
      </c>
      <c r="K1873" s="2" t="s">
        <v>14383</v>
      </c>
      <c r="L1873" s="2" t="s">
        <v>14387</v>
      </c>
      <c r="M1873" s="2" t="s">
        <v>14386</v>
      </c>
      <c r="N1873" s="2" t="s">
        <v>14389</v>
      </c>
      <c r="O1873" s="2"/>
      <c r="P1873" s="2" t="s">
        <v>37</v>
      </c>
      <c r="Q1873" s="4" t="n">
        <v>9532</v>
      </c>
      <c r="R1873" s="2" t="s">
        <v>14390</v>
      </c>
      <c r="S1873" s="2" t="s">
        <v>39</v>
      </c>
      <c r="T1873" s="2" t="s">
        <v>40</v>
      </c>
      <c r="U1873" s="2" t="s">
        <v>14391</v>
      </c>
      <c r="V1873" s="2"/>
      <c r="W1873" s="2" t="s">
        <v>14392</v>
      </c>
      <c r="X1873" s="2" t="s">
        <v>43</v>
      </c>
      <c r="Y1873" s="2" t="s">
        <v>37</v>
      </c>
      <c r="Z1873" s="2" t="s">
        <v>14393</v>
      </c>
      <c r="AA1873" s="2"/>
      <c r="AB1873" s="2"/>
      <c r="AC1873" s="2" t="s">
        <v>14394</v>
      </c>
      <c r="AD1873" s="2" t="s">
        <v>46</v>
      </c>
    </row>
    <row r="1874" customFormat="false" ht="15.7" hidden="false" customHeight="true" outlineLevel="0" collapsed="false">
      <c r="A1874" s="2"/>
      <c r="B1874" s="3" t="n">
        <f aca="false">DATE(2012,3,14)</f>
        <v>0</v>
      </c>
      <c r="C1874" s="3" t="n">
        <v>40982</v>
      </c>
      <c r="D1874" s="2" t="s">
        <v>14395</v>
      </c>
      <c r="F1874" s="2" t="s">
        <v>14396</v>
      </c>
      <c r="G1874" s="2" t="s">
        <v>14397</v>
      </c>
      <c r="H1874" s="2" t="s">
        <v>14398</v>
      </c>
      <c r="I1874" s="2" t="s">
        <v>330</v>
      </c>
      <c r="J1874" s="2" t="s">
        <v>331</v>
      </c>
      <c r="K1874" s="2" t="s">
        <v>14399</v>
      </c>
      <c r="L1874" s="2" t="s">
        <v>330</v>
      </c>
      <c r="M1874" s="2" t="s">
        <v>14400</v>
      </c>
      <c r="N1874" s="2" t="s">
        <v>14401</v>
      </c>
      <c r="O1874" s="2"/>
      <c r="P1874" s="2" t="s">
        <v>37</v>
      </c>
      <c r="Q1874" s="4" t="n">
        <v>3841</v>
      </c>
      <c r="R1874" s="2" t="s">
        <v>2201</v>
      </c>
      <c r="S1874" s="2" t="s">
        <v>39</v>
      </c>
      <c r="T1874" s="2" t="s">
        <v>403</v>
      </c>
      <c r="U1874" s="2" t="s">
        <v>14402</v>
      </c>
      <c r="V1874" s="2"/>
      <c r="W1874" s="2" t="s">
        <v>42</v>
      </c>
      <c r="X1874" s="2" t="s">
        <v>43</v>
      </c>
      <c r="Y1874" s="2" t="s">
        <v>37</v>
      </c>
      <c r="Z1874" s="2" t="s">
        <v>44</v>
      </c>
      <c r="AA1874" s="2"/>
      <c r="AB1874" s="2"/>
      <c r="AC1874" s="2" t="s">
        <v>14403</v>
      </c>
      <c r="AD1874" s="2" t="s">
        <v>46</v>
      </c>
    </row>
    <row r="1875" customFormat="false" ht="15.7" hidden="false" customHeight="true" outlineLevel="0" collapsed="false">
      <c r="A1875" s="2"/>
      <c r="B1875" s="3" t="n">
        <f aca="false">DATE(2012,3,14)</f>
        <v>0</v>
      </c>
      <c r="C1875" s="3" t="n">
        <v>40982</v>
      </c>
      <c r="D1875" s="2" t="s">
        <v>14404</v>
      </c>
      <c r="F1875" s="2" t="s">
        <v>14405</v>
      </c>
      <c r="G1875" s="2" t="s">
        <v>14406</v>
      </c>
      <c r="H1875" s="2" t="s">
        <v>4672</v>
      </c>
      <c r="I1875" s="2" t="s">
        <v>14407</v>
      </c>
      <c r="J1875" s="2" t="s">
        <v>35</v>
      </c>
      <c r="K1875" s="2" t="s">
        <v>14404</v>
      </c>
      <c r="L1875" s="2" t="s">
        <v>14407</v>
      </c>
      <c r="M1875" s="2" t="s">
        <v>4672</v>
      </c>
      <c r="N1875" s="2" t="s">
        <v>14408</v>
      </c>
      <c r="O1875" s="2"/>
      <c r="P1875" s="2" t="s">
        <v>37</v>
      </c>
      <c r="Q1875" s="4" t="n">
        <v>8732</v>
      </c>
      <c r="R1875" s="2" t="s">
        <v>14409</v>
      </c>
      <c r="S1875" s="2" t="s">
        <v>39</v>
      </c>
      <c r="T1875" s="2" t="s">
        <v>40</v>
      </c>
      <c r="U1875" s="2" t="s">
        <v>14410</v>
      </c>
      <c r="V1875" s="2"/>
      <c r="W1875" s="2" t="s">
        <v>42</v>
      </c>
      <c r="X1875" s="2" t="s">
        <v>46</v>
      </c>
      <c r="Y1875" s="2" t="s">
        <v>37</v>
      </c>
      <c r="Z1875" s="2" t="s">
        <v>44</v>
      </c>
      <c r="AA1875" s="2"/>
      <c r="AB1875" s="2"/>
      <c r="AC1875" s="2" t="s">
        <v>14411</v>
      </c>
      <c r="AD1875" s="2" t="s">
        <v>46</v>
      </c>
    </row>
    <row r="1876" customFormat="false" ht="15.7" hidden="false" customHeight="true" outlineLevel="0" collapsed="false">
      <c r="A1876" s="2"/>
      <c r="B1876" s="3" t="n">
        <f aca="false">DATE(2012,3,14)</f>
        <v>0</v>
      </c>
      <c r="C1876" s="3" t="n">
        <v>40982</v>
      </c>
      <c r="D1876" s="2" t="s">
        <v>14412</v>
      </c>
      <c r="F1876" s="2" t="s">
        <v>14413</v>
      </c>
      <c r="G1876" s="2" t="s">
        <v>14414</v>
      </c>
      <c r="H1876" s="2" t="s">
        <v>14415</v>
      </c>
      <c r="I1876" s="2" t="s">
        <v>1904</v>
      </c>
      <c r="J1876" s="2" t="s">
        <v>795</v>
      </c>
      <c r="K1876" s="2" t="s">
        <v>14412</v>
      </c>
      <c r="L1876" s="2" t="s">
        <v>1904</v>
      </c>
      <c r="M1876" s="2" t="s">
        <v>14415</v>
      </c>
      <c r="N1876" s="2" t="s">
        <v>14416</v>
      </c>
      <c r="O1876" s="2"/>
      <c r="P1876" s="2" t="s">
        <v>37</v>
      </c>
      <c r="Q1876" s="4" t="n">
        <v>2999</v>
      </c>
      <c r="R1876" s="2" t="s">
        <v>3154</v>
      </c>
      <c r="S1876" s="2" t="s">
        <v>39</v>
      </c>
      <c r="T1876" s="2" t="s">
        <v>40</v>
      </c>
      <c r="U1876" s="2" t="s">
        <v>14417</v>
      </c>
      <c r="V1876" s="2"/>
      <c r="W1876" s="2" t="s">
        <v>3330</v>
      </c>
      <c r="X1876" s="2" t="s">
        <v>46</v>
      </c>
      <c r="Y1876" s="2" t="s">
        <v>37</v>
      </c>
      <c r="Z1876" s="2" t="s">
        <v>2565</v>
      </c>
      <c r="AA1876" s="2" t="s">
        <v>14418</v>
      </c>
      <c r="AB1876" s="2"/>
      <c r="AC1876" s="2" t="s">
        <v>14419</v>
      </c>
      <c r="AD1876" s="2" t="s">
        <v>46</v>
      </c>
    </row>
    <row r="1877" customFormat="false" ht="15.7" hidden="false" customHeight="true" outlineLevel="0" collapsed="false">
      <c r="A1877" s="2"/>
      <c r="B1877" s="3" t="n">
        <f aca="false">DATE(2012,3,15)</f>
        <v>0</v>
      </c>
      <c r="C1877" s="3" t="n">
        <v>40983</v>
      </c>
      <c r="D1877" s="2" t="s">
        <v>14420</v>
      </c>
      <c r="F1877" s="2" t="s">
        <v>14421</v>
      </c>
      <c r="G1877" s="2" t="s">
        <v>14422</v>
      </c>
      <c r="H1877" s="2" t="s">
        <v>130</v>
      </c>
      <c r="I1877" s="2" t="s">
        <v>670</v>
      </c>
      <c r="J1877" s="2" t="s">
        <v>313</v>
      </c>
      <c r="K1877" s="2" t="s">
        <v>14420</v>
      </c>
      <c r="L1877" s="2" t="s">
        <v>670</v>
      </c>
      <c r="M1877" s="2" t="s">
        <v>130</v>
      </c>
      <c r="N1877" s="2" t="s">
        <v>14423</v>
      </c>
      <c r="O1877" s="2"/>
      <c r="P1877" s="2" t="s">
        <v>37</v>
      </c>
      <c r="Q1877" s="4" t="n">
        <v>2836</v>
      </c>
      <c r="R1877" s="2" t="s">
        <v>56</v>
      </c>
      <c r="S1877" s="2" t="s">
        <v>2265</v>
      </c>
      <c r="T1877" s="2" t="s">
        <v>40</v>
      </c>
      <c r="U1877" s="2" t="s">
        <v>14424</v>
      </c>
      <c r="V1877" s="2"/>
      <c r="W1877" s="2" t="s">
        <v>42</v>
      </c>
      <c r="X1877" s="2" t="s">
        <v>43</v>
      </c>
      <c r="Y1877" s="2" t="s">
        <v>37</v>
      </c>
      <c r="Z1877" s="2" t="s">
        <v>44</v>
      </c>
      <c r="AA1877" s="2"/>
      <c r="AB1877" s="2"/>
      <c r="AC1877" s="2" t="s">
        <v>14425</v>
      </c>
      <c r="AD1877" s="2" t="s">
        <v>46</v>
      </c>
    </row>
    <row r="1878" customFormat="false" ht="15.7" hidden="false" customHeight="true" outlineLevel="0" collapsed="false">
      <c r="A1878" s="2"/>
      <c r="B1878" s="3" t="n">
        <f aca="false">DATE(2012,3,20)</f>
        <v>0</v>
      </c>
      <c r="C1878" s="3" t="n">
        <v>40988</v>
      </c>
      <c r="D1878" s="2" t="s">
        <v>14426</v>
      </c>
      <c r="F1878" s="2" t="s">
        <v>14427</v>
      </c>
      <c r="G1878" s="2" t="s">
        <v>14428</v>
      </c>
      <c r="H1878" s="2" t="s">
        <v>14429</v>
      </c>
      <c r="I1878" s="2" t="s">
        <v>6423</v>
      </c>
      <c r="J1878" s="2" t="s">
        <v>35</v>
      </c>
      <c r="K1878" s="2" t="s">
        <v>14430</v>
      </c>
      <c r="L1878" s="2" t="s">
        <v>6423</v>
      </c>
      <c r="M1878" s="2" t="s">
        <v>368</v>
      </c>
      <c r="N1878" s="2" t="s">
        <v>14431</v>
      </c>
      <c r="O1878" s="2"/>
      <c r="P1878" s="2" t="s">
        <v>37</v>
      </c>
      <c r="Q1878" s="4" t="n">
        <v>8731</v>
      </c>
      <c r="R1878" s="2" t="s">
        <v>2201</v>
      </c>
      <c r="S1878" s="2" t="s">
        <v>39</v>
      </c>
      <c r="T1878" s="2" t="s">
        <v>40</v>
      </c>
      <c r="U1878" s="2" t="s">
        <v>14432</v>
      </c>
      <c r="V1878" s="2"/>
      <c r="W1878" s="2" t="s">
        <v>42</v>
      </c>
      <c r="X1878" s="2" t="s">
        <v>43</v>
      </c>
      <c r="Y1878" s="2" t="s">
        <v>37</v>
      </c>
      <c r="Z1878" s="2" t="s">
        <v>44</v>
      </c>
      <c r="AA1878" s="2" t="s">
        <v>14433</v>
      </c>
      <c r="AB1878" s="2"/>
      <c r="AC1878" s="2" t="s">
        <v>14434</v>
      </c>
      <c r="AD1878" s="2" t="s">
        <v>46</v>
      </c>
    </row>
    <row r="1879" customFormat="false" ht="15.7" hidden="false" customHeight="true" outlineLevel="0" collapsed="false">
      <c r="A1879" s="2"/>
      <c r="B1879" s="3" t="n">
        <f aca="false">DATE(2012,3,20)</f>
        <v>0</v>
      </c>
      <c r="C1879" s="3" t="n">
        <v>40988</v>
      </c>
      <c r="D1879" s="2" t="s">
        <v>14435</v>
      </c>
      <c r="F1879" s="2" t="s">
        <v>13186</v>
      </c>
      <c r="G1879" s="2" t="s">
        <v>14436</v>
      </c>
      <c r="H1879" s="2" t="s">
        <v>13188</v>
      </c>
      <c r="I1879" s="2" t="s">
        <v>670</v>
      </c>
      <c r="J1879" s="2" t="s">
        <v>155</v>
      </c>
      <c r="K1879" s="2" t="s">
        <v>14435</v>
      </c>
      <c r="L1879" s="2" t="s">
        <v>670</v>
      </c>
      <c r="M1879" s="2" t="s">
        <v>13188</v>
      </c>
      <c r="N1879" s="2" t="s">
        <v>14437</v>
      </c>
      <c r="O1879" s="2"/>
      <c r="P1879" s="2" t="s">
        <v>37</v>
      </c>
      <c r="Q1879" s="4" t="n">
        <v>8731</v>
      </c>
      <c r="R1879" s="2" t="s">
        <v>402</v>
      </c>
      <c r="S1879" s="2" t="s">
        <v>39</v>
      </c>
      <c r="T1879" s="2" t="s">
        <v>40</v>
      </c>
      <c r="U1879" s="2" t="s">
        <v>14438</v>
      </c>
      <c r="V1879" s="2"/>
      <c r="W1879" s="2" t="s">
        <v>42</v>
      </c>
      <c r="X1879" s="2" t="s">
        <v>43</v>
      </c>
      <c r="Y1879" s="2" t="s">
        <v>37</v>
      </c>
      <c r="Z1879" s="2" t="s">
        <v>44</v>
      </c>
      <c r="AA1879" s="2"/>
      <c r="AB1879" s="2"/>
      <c r="AC1879" s="2" t="s">
        <v>14439</v>
      </c>
      <c r="AD1879" s="2" t="s">
        <v>46</v>
      </c>
    </row>
    <row r="1880" customFormat="false" ht="15.7" hidden="false" customHeight="true" outlineLevel="0" collapsed="false">
      <c r="A1880" s="2"/>
      <c r="B1880" s="3" t="n">
        <f aca="false">DATE(2012,3,20)</f>
        <v>0</v>
      </c>
      <c r="C1880" s="3" t="n">
        <v>40988</v>
      </c>
      <c r="D1880" s="2" t="s">
        <v>14440</v>
      </c>
      <c r="F1880" s="2" t="s">
        <v>14441</v>
      </c>
      <c r="G1880" s="2" t="s">
        <v>14442</v>
      </c>
      <c r="H1880" s="2" t="s">
        <v>14443</v>
      </c>
      <c r="I1880" s="2" t="s">
        <v>4037</v>
      </c>
      <c r="J1880" s="2" t="s">
        <v>1520</v>
      </c>
      <c r="K1880" s="2" t="s">
        <v>14444</v>
      </c>
      <c r="L1880" s="2" t="s">
        <v>4037</v>
      </c>
      <c r="M1880" s="2" t="s">
        <v>14445</v>
      </c>
      <c r="N1880" s="2" t="s">
        <v>14446</v>
      </c>
      <c r="O1880" s="2"/>
      <c r="P1880" s="2" t="s">
        <v>37</v>
      </c>
      <c r="Q1880" s="4" t="n">
        <v>8731</v>
      </c>
      <c r="R1880" s="2" t="s">
        <v>2165</v>
      </c>
      <c r="S1880" s="2" t="s">
        <v>39</v>
      </c>
      <c r="T1880" s="2" t="s">
        <v>40</v>
      </c>
      <c r="U1880" s="2" t="s">
        <v>14447</v>
      </c>
      <c r="V1880" s="2"/>
      <c r="W1880" s="2" t="s">
        <v>42</v>
      </c>
      <c r="X1880" s="2" t="s">
        <v>43</v>
      </c>
      <c r="Y1880" s="2" t="s">
        <v>37</v>
      </c>
      <c r="Z1880" s="2" t="s">
        <v>44</v>
      </c>
      <c r="AA1880" s="2"/>
      <c r="AB1880" s="2"/>
      <c r="AC1880" s="2" t="s">
        <v>14448</v>
      </c>
      <c r="AD1880" s="2" t="s">
        <v>46</v>
      </c>
    </row>
    <row r="1881" customFormat="false" ht="15.7" hidden="false" customHeight="true" outlineLevel="0" collapsed="false">
      <c r="A1881" s="2"/>
      <c r="B1881" s="3" t="n">
        <f aca="false">DATE(2012,3,21)</f>
        <v>0</v>
      </c>
      <c r="C1881" s="3" t="n">
        <v>40989</v>
      </c>
      <c r="D1881" s="2" t="s">
        <v>14449</v>
      </c>
      <c r="F1881" s="2" t="s">
        <v>14450</v>
      </c>
      <c r="G1881" s="2" t="s">
        <v>14451</v>
      </c>
      <c r="H1881" s="2" t="s">
        <v>14452</v>
      </c>
      <c r="I1881" s="2" t="s">
        <v>219</v>
      </c>
      <c r="J1881" s="2" t="s">
        <v>1807</v>
      </c>
      <c r="K1881" s="2" t="s">
        <v>14453</v>
      </c>
      <c r="L1881" s="2" t="s">
        <v>34</v>
      </c>
      <c r="M1881" s="2" t="s">
        <v>14454</v>
      </c>
      <c r="N1881" s="2" t="s">
        <v>14455</v>
      </c>
      <c r="O1881" s="2"/>
      <c r="P1881" s="2" t="s">
        <v>37</v>
      </c>
      <c r="Q1881" s="4" t="n">
        <v>3845</v>
      </c>
      <c r="R1881" s="2" t="s">
        <v>136</v>
      </c>
      <c r="S1881" s="2" t="s">
        <v>39</v>
      </c>
      <c r="T1881" s="2" t="s">
        <v>40</v>
      </c>
      <c r="U1881" s="2" t="s">
        <v>14456</v>
      </c>
      <c r="V1881" s="2"/>
      <c r="W1881" s="2" t="s">
        <v>42</v>
      </c>
      <c r="X1881" s="2" t="s">
        <v>43</v>
      </c>
      <c r="Y1881" s="2" t="s">
        <v>37</v>
      </c>
      <c r="Z1881" s="2" t="s">
        <v>44</v>
      </c>
      <c r="AA1881" s="2"/>
      <c r="AB1881" s="2"/>
      <c r="AC1881" s="2" t="s">
        <v>14457</v>
      </c>
      <c r="AD1881" s="2" t="s">
        <v>46</v>
      </c>
    </row>
    <row r="1882" customFormat="false" ht="15.7" hidden="false" customHeight="true" outlineLevel="0" collapsed="false">
      <c r="A1882" s="2"/>
      <c r="B1882" s="3" t="n">
        <f aca="false">DATE(2012,3,22)</f>
        <v>0</v>
      </c>
      <c r="C1882" s="3" t="n">
        <v>40990</v>
      </c>
      <c r="D1882" s="2" t="s">
        <v>14458</v>
      </c>
      <c r="F1882" s="2" t="s">
        <v>14459</v>
      </c>
      <c r="G1882" s="2" t="s">
        <v>14460</v>
      </c>
      <c r="H1882" s="2" t="s">
        <v>14461</v>
      </c>
      <c r="I1882" s="2" t="s">
        <v>14462</v>
      </c>
      <c r="J1882" s="2" t="s">
        <v>14463</v>
      </c>
      <c r="K1882" s="2" t="s">
        <v>14464</v>
      </c>
      <c r="L1882" s="2" t="s">
        <v>14462</v>
      </c>
      <c r="M1882" s="2" t="s">
        <v>14461</v>
      </c>
      <c r="N1882" s="2" t="s">
        <v>14465</v>
      </c>
      <c r="O1882" s="2"/>
      <c r="P1882" s="2" t="s">
        <v>37</v>
      </c>
      <c r="Q1882" s="4" t="n">
        <v>2911</v>
      </c>
      <c r="R1882" s="2" t="s">
        <v>2225</v>
      </c>
      <c r="S1882" s="2" t="s">
        <v>39</v>
      </c>
      <c r="T1882" s="2" t="s">
        <v>40</v>
      </c>
      <c r="U1882" s="2" t="s">
        <v>14466</v>
      </c>
      <c r="V1882" s="2"/>
      <c r="W1882" s="2" t="s">
        <v>4505</v>
      </c>
      <c r="X1882" s="2" t="s">
        <v>43</v>
      </c>
      <c r="Y1882" s="2" t="s">
        <v>37</v>
      </c>
      <c r="Z1882" s="2" t="s">
        <v>916</v>
      </c>
      <c r="AA1882" s="2"/>
      <c r="AB1882" s="2"/>
      <c r="AC1882" s="2" t="s">
        <v>14467</v>
      </c>
      <c r="AD1882" s="2" t="s">
        <v>46</v>
      </c>
    </row>
    <row r="1883" customFormat="false" ht="15.7" hidden="false" customHeight="true" outlineLevel="0" collapsed="false">
      <c r="A1883" s="2"/>
      <c r="B1883" s="3" t="n">
        <f aca="false">DATE(2012,3,22)</f>
        <v>0</v>
      </c>
      <c r="C1883" s="3" t="n">
        <v>40990</v>
      </c>
      <c r="D1883" s="2" t="s">
        <v>14468</v>
      </c>
      <c r="F1883" s="2" t="s">
        <v>14469</v>
      </c>
      <c r="G1883" s="2" t="s">
        <v>14470</v>
      </c>
      <c r="H1883" s="2" t="s">
        <v>1020</v>
      </c>
      <c r="I1883" s="2" t="s">
        <v>321</v>
      </c>
      <c r="J1883" s="2" t="s">
        <v>35</v>
      </c>
      <c r="K1883" s="2" t="s">
        <v>14471</v>
      </c>
      <c r="L1883" s="2" t="s">
        <v>9737</v>
      </c>
      <c r="M1883" s="2" t="s">
        <v>14472</v>
      </c>
      <c r="N1883" s="2" t="s">
        <v>14473</v>
      </c>
      <c r="O1883" s="2"/>
      <c r="P1883" s="2" t="s">
        <v>37</v>
      </c>
      <c r="Q1883" s="4" t="n">
        <v>8731</v>
      </c>
      <c r="R1883" s="2" t="s">
        <v>2508</v>
      </c>
      <c r="S1883" s="2" t="s">
        <v>39</v>
      </c>
      <c r="T1883" s="2" t="s">
        <v>40</v>
      </c>
      <c r="U1883" s="2" t="s">
        <v>14474</v>
      </c>
      <c r="V1883" s="2"/>
      <c r="W1883" s="2" t="s">
        <v>42</v>
      </c>
      <c r="X1883" s="2" t="s">
        <v>43</v>
      </c>
      <c r="Y1883" s="2" t="s">
        <v>37</v>
      </c>
      <c r="Z1883" s="2" t="s">
        <v>44</v>
      </c>
      <c r="AA1883" s="2"/>
      <c r="AB1883" s="2"/>
      <c r="AC1883" s="2" t="s">
        <v>14475</v>
      </c>
      <c r="AD1883" s="2" t="s">
        <v>46</v>
      </c>
    </row>
    <row r="1884" customFormat="false" ht="15.7" hidden="false" customHeight="true" outlineLevel="0" collapsed="false">
      <c r="A1884" s="2"/>
      <c r="B1884" s="3" t="n">
        <f aca="false">DATE(2012,3,23)</f>
        <v>0</v>
      </c>
      <c r="C1884" s="3" t="n">
        <v>40991</v>
      </c>
      <c r="D1884" s="2" t="s">
        <v>14476</v>
      </c>
      <c r="F1884" s="2" t="s">
        <v>14477</v>
      </c>
      <c r="G1884" s="2" t="s">
        <v>14478</v>
      </c>
      <c r="H1884" s="2" t="s">
        <v>14479</v>
      </c>
      <c r="I1884" s="2" t="s">
        <v>14480</v>
      </c>
      <c r="J1884" s="2" t="s">
        <v>35</v>
      </c>
      <c r="K1884" s="2" t="s">
        <v>14476</v>
      </c>
      <c r="L1884" s="2" t="s">
        <v>14480</v>
      </c>
      <c r="M1884" s="2" t="s">
        <v>14479</v>
      </c>
      <c r="N1884" s="2" t="s">
        <v>14481</v>
      </c>
      <c r="O1884" s="2"/>
      <c r="P1884" s="2" t="s">
        <v>37</v>
      </c>
      <c r="Q1884" s="4" t="n">
        <v>1321</v>
      </c>
      <c r="R1884" s="2" t="s">
        <v>14482</v>
      </c>
      <c r="S1884" s="2" t="s">
        <v>39</v>
      </c>
      <c r="T1884" s="2" t="s">
        <v>40</v>
      </c>
      <c r="U1884" s="2" t="s">
        <v>14483</v>
      </c>
      <c r="V1884" s="2"/>
      <c r="W1884" s="2" t="s">
        <v>138</v>
      </c>
      <c r="X1884" s="2" t="s">
        <v>46</v>
      </c>
      <c r="Y1884" s="2" t="s">
        <v>37</v>
      </c>
      <c r="Z1884" s="2" t="s">
        <v>362</v>
      </c>
      <c r="AA1884" s="2" t="s">
        <v>14484</v>
      </c>
      <c r="AB1884" s="2"/>
      <c r="AC1884" s="2" t="s">
        <v>14485</v>
      </c>
      <c r="AD1884" s="2" t="s">
        <v>46</v>
      </c>
    </row>
    <row r="1885" customFormat="false" ht="15.7" hidden="false" customHeight="true" outlineLevel="0" collapsed="false">
      <c r="A1885" s="2"/>
      <c r="B1885" s="3" t="n">
        <f aca="false">DATE(2012,3,23)</f>
        <v>0</v>
      </c>
      <c r="C1885" s="3" t="n">
        <v>40991</v>
      </c>
      <c r="D1885" s="2" t="s">
        <v>14486</v>
      </c>
      <c r="F1885" s="2" t="s">
        <v>14487</v>
      </c>
      <c r="G1885" s="2" t="s">
        <v>14488</v>
      </c>
      <c r="H1885" s="2" t="s">
        <v>14489</v>
      </c>
      <c r="I1885" s="2" t="s">
        <v>2749</v>
      </c>
      <c r="J1885" s="2" t="s">
        <v>203</v>
      </c>
      <c r="K1885" s="2" t="s">
        <v>14490</v>
      </c>
      <c r="L1885" s="2" t="s">
        <v>2749</v>
      </c>
      <c r="M1885" s="2" t="s">
        <v>14489</v>
      </c>
      <c r="N1885" s="2" t="s">
        <v>14491</v>
      </c>
      <c r="O1885" s="2"/>
      <c r="P1885" s="2" t="s">
        <v>37</v>
      </c>
      <c r="Q1885" s="4" t="n">
        <v>3845</v>
      </c>
      <c r="R1885" s="2" t="s">
        <v>136</v>
      </c>
      <c r="S1885" s="2" t="s">
        <v>39</v>
      </c>
      <c r="T1885" s="2" t="s">
        <v>40</v>
      </c>
      <c r="U1885" s="2" t="s">
        <v>14492</v>
      </c>
      <c r="V1885" s="2"/>
      <c r="W1885" s="2" t="s">
        <v>2209</v>
      </c>
      <c r="X1885" s="2" t="s">
        <v>43</v>
      </c>
      <c r="Y1885" s="2" t="s">
        <v>37</v>
      </c>
      <c r="Z1885" s="2" t="s">
        <v>44</v>
      </c>
      <c r="AA1885" s="2"/>
      <c r="AB1885" s="2"/>
      <c r="AC1885" s="2" t="s">
        <v>14493</v>
      </c>
      <c r="AD1885" s="2" t="s">
        <v>46</v>
      </c>
    </row>
    <row r="1886" customFormat="false" ht="15.7" hidden="false" customHeight="true" outlineLevel="0" collapsed="false">
      <c r="A1886" s="2"/>
      <c r="B1886" s="3" t="n">
        <f aca="false">DATE(2012,3,26)</f>
        <v>0</v>
      </c>
      <c r="C1886" s="3" t="n">
        <v>40994</v>
      </c>
      <c r="D1886" s="2" t="s">
        <v>14494</v>
      </c>
      <c r="F1886" s="2" t="s">
        <v>14495</v>
      </c>
      <c r="G1886" s="2" t="s">
        <v>14496</v>
      </c>
      <c r="H1886" s="2" t="s">
        <v>4301</v>
      </c>
      <c r="I1886" s="2" t="s">
        <v>1147</v>
      </c>
      <c r="J1886" s="2" t="s">
        <v>1341</v>
      </c>
      <c r="K1886" s="2" t="s">
        <v>14497</v>
      </c>
      <c r="L1886" s="2" t="s">
        <v>1147</v>
      </c>
      <c r="M1886" s="2" t="s">
        <v>14498</v>
      </c>
      <c r="N1886" s="2" t="s">
        <v>14499</v>
      </c>
      <c r="O1886" s="2"/>
      <c r="P1886" s="2" t="s">
        <v>37</v>
      </c>
      <c r="Q1886" s="4" t="n">
        <v>3845</v>
      </c>
      <c r="R1886" s="2" t="s">
        <v>136</v>
      </c>
      <c r="S1886" s="2" t="s">
        <v>39</v>
      </c>
      <c r="T1886" s="2" t="s">
        <v>403</v>
      </c>
      <c r="U1886" s="2" t="s">
        <v>14500</v>
      </c>
      <c r="V1886" s="2"/>
      <c r="W1886" s="2" t="s">
        <v>42</v>
      </c>
      <c r="X1886" s="2" t="s">
        <v>43</v>
      </c>
      <c r="Y1886" s="2" t="s">
        <v>37</v>
      </c>
      <c r="Z1886" s="2" t="s">
        <v>44</v>
      </c>
      <c r="AA1886" s="2"/>
      <c r="AB1886" s="2"/>
      <c r="AC1886" s="2" t="s">
        <v>14501</v>
      </c>
      <c r="AD1886" s="2" t="s">
        <v>46</v>
      </c>
    </row>
    <row r="1887" customFormat="false" ht="15.7" hidden="false" customHeight="true" outlineLevel="0" collapsed="false">
      <c r="A1887" s="2"/>
      <c r="B1887" s="3" t="n">
        <f aca="false">DATE(2012,3,26)</f>
        <v>0</v>
      </c>
      <c r="C1887" s="3" t="n">
        <v>40994</v>
      </c>
      <c r="D1887" s="2" t="s">
        <v>14502</v>
      </c>
      <c r="F1887" s="2" t="s">
        <v>2026</v>
      </c>
      <c r="G1887" s="2" t="s">
        <v>14503</v>
      </c>
      <c r="H1887" s="2" t="s">
        <v>762</v>
      </c>
      <c r="I1887" s="2" t="s">
        <v>11034</v>
      </c>
      <c r="J1887" s="2" t="s">
        <v>35</v>
      </c>
      <c r="K1887" s="2" t="s">
        <v>14502</v>
      </c>
      <c r="L1887" s="2" t="s">
        <v>11034</v>
      </c>
      <c r="M1887" s="2" t="s">
        <v>762</v>
      </c>
      <c r="N1887" s="2" t="s">
        <v>14504</v>
      </c>
      <c r="O1887" s="2"/>
      <c r="P1887" s="2" t="s">
        <v>37</v>
      </c>
      <c r="Q1887" s="4" t="n">
        <v>8731</v>
      </c>
      <c r="R1887" s="2" t="s">
        <v>402</v>
      </c>
      <c r="S1887" s="2" t="s">
        <v>39</v>
      </c>
      <c r="T1887" s="2" t="s">
        <v>403</v>
      </c>
      <c r="U1887" s="2" t="s">
        <v>14505</v>
      </c>
      <c r="V1887" s="2"/>
      <c r="W1887" s="2" t="s">
        <v>2209</v>
      </c>
      <c r="X1887" s="2" t="s">
        <v>46</v>
      </c>
      <c r="Y1887" s="2" t="s">
        <v>37</v>
      </c>
      <c r="Z1887" s="2" t="s">
        <v>362</v>
      </c>
      <c r="AA1887" s="2"/>
      <c r="AB1887" s="2"/>
      <c r="AC1887" s="2" t="s">
        <v>14506</v>
      </c>
      <c r="AD1887" s="2" t="s">
        <v>46</v>
      </c>
    </row>
    <row r="1888" customFormat="false" ht="15.7" hidden="false" customHeight="true" outlineLevel="0" collapsed="false">
      <c r="A1888" s="2"/>
      <c r="B1888" s="3" t="n">
        <f aca="false">DATE(2012,3,27)</f>
        <v>0</v>
      </c>
      <c r="C1888" s="3" t="n">
        <v>40995</v>
      </c>
      <c r="D1888" s="2" t="s">
        <v>14507</v>
      </c>
      <c r="F1888" s="2" t="s">
        <v>14508</v>
      </c>
      <c r="G1888" s="2" t="s">
        <v>14509</v>
      </c>
      <c r="H1888" s="2" t="s">
        <v>14510</v>
      </c>
      <c r="I1888" s="2" t="s">
        <v>487</v>
      </c>
      <c r="J1888" s="2" t="s">
        <v>4399</v>
      </c>
      <c r="K1888" s="2" t="s">
        <v>14511</v>
      </c>
      <c r="L1888" s="2" t="s">
        <v>487</v>
      </c>
      <c r="M1888" s="2" t="s">
        <v>14512</v>
      </c>
      <c r="N1888" s="2" t="s">
        <v>14513</v>
      </c>
      <c r="O1888" s="2"/>
      <c r="P1888" s="2" t="s">
        <v>37</v>
      </c>
      <c r="Q1888" s="4" t="n">
        <v>3624</v>
      </c>
      <c r="R1888" s="2" t="s">
        <v>136</v>
      </c>
      <c r="S1888" s="2" t="s">
        <v>39</v>
      </c>
      <c r="T1888" s="2" t="s">
        <v>40</v>
      </c>
      <c r="U1888" s="2" t="s">
        <v>14514</v>
      </c>
      <c r="V1888" s="2"/>
      <c r="W1888" s="2" t="s">
        <v>697</v>
      </c>
      <c r="X1888" s="2" t="s">
        <v>43</v>
      </c>
      <c r="Y1888" s="2" t="s">
        <v>37</v>
      </c>
      <c r="Z1888" s="2" t="s">
        <v>44</v>
      </c>
      <c r="AA1888" s="2"/>
      <c r="AB1888" s="2"/>
      <c r="AC1888" s="2" t="s">
        <v>14515</v>
      </c>
      <c r="AD1888" s="2" t="s">
        <v>46</v>
      </c>
    </row>
    <row r="1889" customFormat="false" ht="15.7" hidden="false" customHeight="true" outlineLevel="0" collapsed="false">
      <c r="A1889" s="2"/>
      <c r="B1889" s="3" t="n">
        <f aca="false">DATE(2012,3,27)</f>
        <v>0</v>
      </c>
      <c r="C1889" s="3" t="n">
        <v>40995</v>
      </c>
      <c r="D1889" s="2" t="s">
        <v>14516</v>
      </c>
      <c r="F1889" s="2" t="s">
        <v>14517</v>
      </c>
      <c r="G1889" s="2" t="s">
        <v>14518</v>
      </c>
      <c r="H1889" s="2" t="s">
        <v>14519</v>
      </c>
      <c r="I1889" s="2" t="s">
        <v>435</v>
      </c>
      <c r="J1889" s="2" t="s">
        <v>258</v>
      </c>
      <c r="K1889" s="2" t="s">
        <v>14520</v>
      </c>
      <c r="L1889" s="2" t="s">
        <v>435</v>
      </c>
      <c r="M1889" s="2" t="s">
        <v>14521</v>
      </c>
      <c r="N1889" s="2" t="s">
        <v>14522</v>
      </c>
      <c r="O1889" s="2"/>
      <c r="P1889" s="2" t="s">
        <v>37</v>
      </c>
      <c r="Q1889" s="4" t="n">
        <v>8731</v>
      </c>
      <c r="R1889" s="2" t="s">
        <v>450</v>
      </c>
      <c r="S1889" s="2" t="s">
        <v>39</v>
      </c>
      <c r="T1889" s="2" t="s">
        <v>40</v>
      </c>
      <c r="U1889" s="2" t="s">
        <v>14523</v>
      </c>
      <c r="V1889" s="2"/>
      <c r="W1889" s="2" t="s">
        <v>42</v>
      </c>
      <c r="X1889" s="2" t="s">
        <v>46</v>
      </c>
      <c r="Y1889" s="2" t="s">
        <v>37</v>
      </c>
      <c r="Z1889" s="2" t="s">
        <v>362</v>
      </c>
      <c r="AA1889" s="2"/>
      <c r="AB1889" s="2"/>
      <c r="AC1889" s="2" t="s">
        <v>14524</v>
      </c>
      <c r="AD1889" s="2" t="s">
        <v>46</v>
      </c>
    </row>
    <row r="1890" customFormat="false" ht="15.7" hidden="false" customHeight="true" outlineLevel="0" collapsed="false">
      <c r="A1890" s="2"/>
      <c r="B1890" s="3" t="n">
        <f aca="false">DATE(2012,3,27)</f>
        <v>0</v>
      </c>
      <c r="C1890" s="3" t="n">
        <v>40995</v>
      </c>
      <c r="D1890" s="2" t="s">
        <v>14525</v>
      </c>
      <c r="F1890" s="2" t="s">
        <v>14526</v>
      </c>
      <c r="G1890" s="2" t="s">
        <v>14527</v>
      </c>
      <c r="H1890" s="2" t="s">
        <v>14528</v>
      </c>
      <c r="I1890" s="2" t="s">
        <v>227</v>
      </c>
      <c r="J1890" s="2" t="s">
        <v>331</v>
      </c>
      <c r="K1890" s="2" t="s">
        <v>14525</v>
      </c>
      <c r="L1890" s="2" t="s">
        <v>227</v>
      </c>
      <c r="M1890" s="2" t="s">
        <v>14528</v>
      </c>
      <c r="N1890" s="2" t="s">
        <v>14529</v>
      </c>
      <c r="O1890" s="2"/>
      <c r="P1890" s="2" t="s">
        <v>37</v>
      </c>
      <c r="Q1890" s="4" t="n">
        <v>8733</v>
      </c>
      <c r="R1890" s="2" t="s">
        <v>56</v>
      </c>
      <c r="S1890" s="2"/>
      <c r="T1890" s="2" t="s">
        <v>40</v>
      </c>
      <c r="U1890" s="2" t="s">
        <v>14530</v>
      </c>
      <c r="V1890" s="2"/>
      <c r="W1890" s="2" t="s">
        <v>42</v>
      </c>
      <c r="X1890" s="2" t="s">
        <v>43</v>
      </c>
      <c r="Y1890" s="2" t="s">
        <v>37</v>
      </c>
      <c r="Z1890" s="2" t="s">
        <v>44</v>
      </c>
      <c r="AA1890" s="2"/>
      <c r="AB1890" s="2"/>
      <c r="AC1890" s="2" t="s">
        <v>14531</v>
      </c>
      <c r="AD1890" s="2" t="s">
        <v>46</v>
      </c>
    </row>
    <row r="1891" customFormat="false" ht="15.7" hidden="false" customHeight="true" outlineLevel="0" collapsed="false">
      <c r="A1891" s="2"/>
      <c r="B1891" s="3" t="n">
        <f aca="false">DATE(2012,3,27)</f>
        <v>0</v>
      </c>
      <c r="C1891" s="3" t="n">
        <v>40995</v>
      </c>
      <c r="D1891" s="2" t="s">
        <v>14532</v>
      </c>
      <c r="F1891" s="2" t="s">
        <v>14533</v>
      </c>
      <c r="G1891" s="2" t="s">
        <v>14534</v>
      </c>
      <c r="H1891" s="2" t="s">
        <v>14535</v>
      </c>
      <c r="I1891" s="2" t="s">
        <v>4553</v>
      </c>
      <c r="J1891" s="2" t="s">
        <v>35</v>
      </c>
      <c r="K1891" s="2" t="s">
        <v>14532</v>
      </c>
      <c r="L1891" s="2" t="s">
        <v>4553</v>
      </c>
      <c r="M1891" s="2" t="s">
        <v>14535</v>
      </c>
      <c r="N1891" s="2" t="s">
        <v>14536</v>
      </c>
      <c r="O1891" s="2"/>
      <c r="P1891" s="2" t="s">
        <v>37</v>
      </c>
      <c r="Q1891" s="4" t="n">
        <v>8711</v>
      </c>
      <c r="R1891" s="2" t="s">
        <v>450</v>
      </c>
      <c r="S1891" s="2" t="s">
        <v>39</v>
      </c>
      <c r="T1891" s="2" t="s">
        <v>40</v>
      </c>
      <c r="U1891" s="2" t="s">
        <v>14537</v>
      </c>
      <c r="V1891" s="2"/>
      <c r="W1891" s="2" t="s">
        <v>5168</v>
      </c>
      <c r="X1891" s="2" t="s">
        <v>46</v>
      </c>
      <c r="Y1891" s="2" t="s">
        <v>37</v>
      </c>
      <c r="Z1891" s="2" t="s">
        <v>362</v>
      </c>
      <c r="AA1891" s="2"/>
      <c r="AB1891" s="2"/>
      <c r="AC1891" s="2" t="s">
        <v>14538</v>
      </c>
      <c r="AD1891" s="2" t="s">
        <v>46</v>
      </c>
    </row>
    <row r="1892" customFormat="false" ht="15.7" hidden="false" customHeight="true" outlineLevel="0" collapsed="false">
      <c r="A1892" s="2"/>
      <c r="B1892" s="3" t="n">
        <f aca="false">DATE(2012,3,28)</f>
        <v>0</v>
      </c>
      <c r="C1892" s="3" t="n">
        <v>40996</v>
      </c>
      <c r="D1892" s="2" t="s">
        <v>14539</v>
      </c>
      <c r="F1892" s="2" t="s">
        <v>14540</v>
      </c>
      <c r="G1892" s="2" t="s">
        <v>14541</v>
      </c>
      <c r="H1892" s="2" t="s">
        <v>10542</v>
      </c>
      <c r="I1892" s="2" t="s">
        <v>51</v>
      </c>
      <c r="J1892" s="2" t="s">
        <v>14542</v>
      </c>
      <c r="K1892" s="2" t="s">
        <v>14543</v>
      </c>
      <c r="L1892" s="2" t="s">
        <v>821</v>
      </c>
      <c r="M1892" s="2" t="s">
        <v>14544</v>
      </c>
      <c r="N1892" s="2" t="s">
        <v>14545</v>
      </c>
      <c r="O1892" s="2"/>
      <c r="P1892" s="2" t="s">
        <v>37</v>
      </c>
      <c r="Q1892" s="4" t="n">
        <v>2819</v>
      </c>
      <c r="R1892" s="2" t="s">
        <v>56</v>
      </c>
      <c r="S1892" s="2" t="s">
        <v>2265</v>
      </c>
      <c r="T1892" s="2" t="s">
        <v>403</v>
      </c>
      <c r="U1892" s="2" t="s">
        <v>14546</v>
      </c>
      <c r="V1892" s="2"/>
      <c r="W1892" s="2" t="s">
        <v>42</v>
      </c>
      <c r="X1892" s="2" t="s">
        <v>43</v>
      </c>
      <c r="Y1892" s="2" t="s">
        <v>37</v>
      </c>
      <c r="Z1892" s="2" t="s">
        <v>44</v>
      </c>
      <c r="AA1892" s="2"/>
      <c r="AB1892" s="2"/>
      <c r="AC1892" s="2" t="s">
        <v>14547</v>
      </c>
      <c r="AD1892" s="2" t="s">
        <v>46</v>
      </c>
    </row>
    <row r="1893" customFormat="false" ht="15.7" hidden="false" customHeight="true" outlineLevel="0" collapsed="false">
      <c r="A1893" s="2"/>
      <c r="B1893" s="3" t="n">
        <f aca="false">DATE(2012,3,28)</f>
        <v>0</v>
      </c>
      <c r="C1893" s="3" t="n">
        <v>40996</v>
      </c>
      <c r="D1893" s="2" t="s">
        <v>14548</v>
      </c>
      <c r="F1893" s="2" t="s">
        <v>14549</v>
      </c>
      <c r="G1893" s="2" t="s">
        <v>14550</v>
      </c>
      <c r="H1893" s="2" t="s">
        <v>14551</v>
      </c>
      <c r="I1893" s="2" t="s">
        <v>14552</v>
      </c>
      <c r="J1893" s="2" t="s">
        <v>116</v>
      </c>
      <c r="K1893" s="2" t="s">
        <v>14553</v>
      </c>
      <c r="L1893" s="2" t="s">
        <v>14552</v>
      </c>
      <c r="M1893" s="2" t="s">
        <v>14554</v>
      </c>
      <c r="N1893" s="2" t="s">
        <v>14555</v>
      </c>
      <c r="O1893" s="2"/>
      <c r="P1893" s="2" t="s">
        <v>37</v>
      </c>
      <c r="Q1893" s="4" t="n">
        <v>1479</v>
      </c>
      <c r="R1893" s="2" t="s">
        <v>14556</v>
      </c>
      <c r="S1893" s="2" t="s">
        <v>39</v>
      </c>
      <c r="T1893" s="2" t="s">
        <v>403</v>
      </c>
      <c r="U1893" s="2" t="s">
        <v>14557</v>
      </c>
      <c r="V1893" s="2"/>
      <c r="W1893" s="2" t="s">
        <v>697</v>
      </c>
      <c r="X1893" s="2" t="s">
        <v>46</v>
      </c>
      <c r="Y1893" s="2" t="s">
        <v>37</v>
      </c>
      <c r="Z1893" s="2" t="s">
        <v>12067</v>
      </c>
      <c r="AA1893" s="2"/>
      <c r="AB1893" s="2"/>
      <c r="AC1893" s="2" t="s">
        <v>14558</v>
      </c>
      <c r="AD1893" s="2" t="s">
        <v>46</v>
      </c>
    </row>
    <row r="1894" customFormat="false" ht="15.7" hidden="false" customHeight="true" outlineLevel="0" collapsed="false">
      <c r="A1894" s="2"/>
      <c r="B1894" s="3" t="n">
        <f aca="false">DATE(2012,3,29)</f>
        <v>0</v>
      </c>
      <c r="C1894" s="3" t="n">
        <v>40997</v>
      </c>
      <c r="D1894" s="2" t="s">
        <v>14559</v>
      </c>
      <c r="F1894" s="2" t="s">
        <v>14560</v>
      </c>
      <c r="G1894" s="2" t="s">
        <v>14561</v>
      </c>
      <c r="H1894" s="2" t="s">
        <v>14562</v>
      </c>
      <c r="I1894" s="2" t="s">
        <v>4325</v>
      </c>
      <c r="J1894" s="2" t="s">
        <v>35</v>
      </c>
      <c r="K1894" s="2" t="s">
        <v>14559</v>
      </c>
      <c r="L1894" s="2" t="s">
        <v>4325</v>
      </c>
      <c r="M1894" s="2" t="s">
        <v>14562</v>
      </c>
      <c r="N1894" s="2" t="s">
        <v>14563</v>
      </c>
      <c r="O1894" s="2"/>
      <c r="P1894" s="2" t="s">
        <v>37</v>
      </c>
      <c r="Q1894" s="4" t="n">
        <v>8731</v>
      </c>
      <c r="R1894" s="2" t="s">
        <v>402</v>
      </c>
      <c r="S1894" s="2" t="s">
        <v>39</v>
      </c>
      <c r="T1894" s="2" t="s">
        <v>403</v>
      </c>
      <c r="U1894" s="2" t="s">
        <v>14564</v>
      </c>
      <c r="V1894" s="2"/>
      <c r="W1894" s="2" t="s">
        <v>42</v>
      </c>
      <c r="X1894" s="2" t="s">
        <v>46</v>
      </c>
      <c r="Y1894" s="2" t="s">
        <v>37</v>
      </c>
      <c r="Z1894" s="2" t="s">
        <v>14565</v>
      </c>
      <c r="AA1894" s="2" t="s">
        <v>14566</v>
      </c>
      <c r="AB1894" s="2"/>
      <c r="AC1894" s="2" t="s">
        <v>14567</v>
      </c>
      <c r="AD1894" s="2" t="s">
        <v>46</v>
      </c>
    </row>
    <row r="1895" customFormat="false" ht="15.7" hidden="false" customHeight="true" outlineLevel="0" collapsed="false">
      <c r="A1895" s="2"/>
      <c r="B1895" s="3" t="n">
        <f aca="false">DATE(2012,3,29)</f>
        <v>0</v>
      </c>
      <c r="C1895" s="3" t="n">
        <v>40997</v>
      </c>
      <c r="D1895" s="2" t="s">
        <v>14568</v>
      </c>
      <c r="F1895" s="2" t="s">
        <v>1378</v>
      </c>
      <c r="G1895" s="2" t="s">
        <v>14569</v>
      </c>
      <c r="H1895" s="2" t="s">
        <v>130</v>
      </c>
      <c r="I1895" s="2" t="s">
        <v>219</v>
      </c>
      <c r="J1895" s="2" t="s">
        <v>514</v>
      </c>
      <c r="K1895" s="2" t="s">
        <v>14568</v>
      </c>
      <c r="L1895" s="2" t="s">
        <v>219</v>
      </c>
      <c r="M1895" s="2" t="s">
        <v>130</v>
      </c>
      <c r="N1895" s="2" t="s">
        <v>14570</v>
      </c>
      <c r="O1895" s="2"/>
      <c r="P1895" s="2" t="s">
        <v>79</v>
      </c>
      <c r="Q1895" s="4" t="n">
        <v>2834</v>
      </c>
      <c r="R1895" s="2" t="s">
        <v>38</v>
      </c>
      <c r="S1895" s="2" t="s">
        <v>39</v>
      </c>
      <c r="T1895" s="2" t="s">
        <v>40</v>
      </c>
      <c r="U1895" s="2" t="s">
        <v>14571</v>
      </c>
      <c r="V1895" s="2"/>
      <c r="W1895" s="2" t="s">
        <v>14572</v>
      </c>
      <c r="X1895" s="2" t="s">
        <v>43</v>
      </c>
      <c r="Y1895" s="2" t="s">
        <v>37</v>
      </c>
      <c r="Z1895" s="2" t="s">
        <v>44</v>
      </c>
      <c r="AA1895" s="2" t="s">
        <v>14573</v>
      </c>
      <c r="AB1895" s="2"/>
      <c r="AC1895" s="2" t="s">
        <v>14574</v>
      </c>
      <c r="AD1895" s="2" t="s">
        <v>46</v>
      </c>
    </row>
    <row r="1896" customFormat="false" ht="15.7" hidden="false" customHeight="true" outlineLevel="0" collapsed="false">
      <c r="A1896" s="2"/>
      <c r="B1896" s="3" t="n">
        <f aca="false">DATE(2012,3,29)</f>
        <v>0</v>
      </c>
      <c r="C1896" s="3" t="n">
        <v>40997</v>
      </c>
      <c r="D1896" s="2" t="s">
        <v>14575</v>
      </c>
      <c r="F1896" s="2" t="s">
        <v>11781</v>
      </c>
      <c r="G1896" s="2" t="s">
        <v>14576</v>
      </c>
      <c r="H1896" s="2" t="s">
        <v>305</v>
      </c>
      <c r="I1896" s="2" t="s">
        <v>664</v>
      </c>
      <c r="J1896" s="2" t="s">
        <v>132</v>
      </c>
      <c r="K1896" s="2" t="s">
        <v>14575</v>
      </c>
      <c r="L1896" s="2" t="s">
        <v>664</v>
      </c>
      <c r="M1896" s="2" t="s">
        <v>305</v>
      </c>
      <c r="N1896" s="2" t="s">
        <v>14577</v>
      </c>
      <c r="O1896" s="2"/>
      <c r="P1896" s="2" t="s">
        <v>79</v>
      </c>
      <c r="Q1896" s="4" t="n">
        <v>2834</v>
      </c>
      <c r="R1896" s="2" t="s">
        <v>136</v>
      </c>
      <c r="S1896" s="2" t="s">
        <v>39</v>
      </c>
      <c r="T1896" s="2" t="s">
        <v>40</v>
      </c>
      <c r="U1896" s="2" t="s">
        <v>14578</v>
      </c>
      <c r="V1896" s="2"/>
      <c r="W1896" s="2" t="s">
        <v>14579</v>
      </c>
      <c r="X1896" s="2" t="s">
        <v>43</v>
      </c>
      <c r="Y1896" s="2" t="s">
        <v>37</v>
      </c>
      <c r="Z1896" s="2" t="s">
        <v>44</v>
      </c>
      <c r="AA1896" s="2"/>
      <c r="AB1896" s="2"/>
      <c r="AC1896" s="2" t="s">
        <v>14580</v>
      </c>
      <c r="AD1896" s="2" t="s">
        <v>46</v>
      </c>
    </row>
    <row r="1897" customFormat="false" ht="15.7" hidden="false" customHeight="true" outlineLevel="0" collapsed="false">
      <c r="A1897" s="2"/>
      <c r="B1897" s="3" t="n">
        <f aca="false">DATE(2012,3,29)</f>
        <v>0</v>
      </c>
      <c r="C1897" s="3" t="n">
        <v>40997</v>
      </c>
      <c r="D1897" s="2" t="s">
        <v>14581</v>
      </c>
      <c r="F1897" s="2" t="s">
        <v>14582</v>
      </c>
      <c r="G1897" s="2" t="s">
        <v>14583</v>
      </c>
      <c r="H1897" s="2" t="s">
        <v>2271</v>
      </c>
      <c r="I1897" s="2" t="s">
        <v>330</v>
      </c>
      <c r="J1897" s="2" t="s">
        <v>3231</v>
      </c>
      <c r="K1897" s="2" t="s">
        <v>14581</v>
      </c>
      <c r="L1897" s="2" t="s">
        <v>330</v>
      </c>
      <c r="M1897" s="2" t="s">
        <v>2271</v>
      </c>
      <c r="N1897" s="2" t="s">
        <v>14584</v>
      </c>
      <c r="O1897" s="2"/>
      <c r="P1897" s="2" t="s">
        <v>37</v>
      </c>
      <c r="Q1897" s="4" t="n">
        <v>8731</v>
      </c>
      <c r="R1897" s="2" t="s">
        <v>136</v>
      </c>
      <c r="S1897" s="2" t="s">
        <v>39</v>
      </c>
      <c r="T1897" s="2" t="s">
        <v>40</v>
      </c>
      <c r="U1897" s="2" t="s">
        <v>14585</v>
      </c>
      <c r="V1897" s="2"/>
      <c r="W1897" s="2" t="s">
        <v>344</v>
      </c>
      <c r="X1897" s="2" t="s">
        <v>43</v>
      </c>
      <c r="Y1897" s="2" t="s">
        <v>37</v>
      </c>
      <c r="Z1897" s="2" t="s">
        <v>44</v>
      </c>
      <c r="AA1897" s="2"/>
      <c r="AB1897" s="2"/>
      <c r="AC1897" s="2" t="s">
        <v>14586</v>
      </c>
      <c r="AD1897" s="2" t="s">
        <v>46</v>
      </c>
    </row>
    <row r="1898" customFormat="false" ht="15.7" hidden="false" customHeight="true" outlineLevel="0" collapsed="false">
      <c r="A1898" s="2"/>
      <c r="B1898" s="3" t="n">
        <f aca="false">DATE(2012,3,30)</f>
        <v>0</v>
      </c>
      <c r="C1898" s="3" t="n">
        <v>40998</v>
      </c>
      <c r="D1898" s="2" t="s">
        <v>14587</v>
      </c>
      <c r="F1898" s="2" t="s">
        <v>14588</v>
      </c>
      <c r="G1898" s="2" t="s">
        <v>14589</v>
      </c>
      <c r="H1898" s="2" t="s">
        <v>785</v>
      </c>
      <c r="I1898" s="2" t="s">
        <v>100</v>
      </c>
      <c r="J1898" s="2" t="s">
        <v>65</v>
      </c>
      <c r="K1898" s="2" t="s">
        <v>14587</v>
      </c>
      <c r="L1898" s="2" t="s">
        <v>100</v>
      </c>
      <c r="M1898" s="2" t="s">
        <v>785</v>
      </c>
      <c r="N1898" s="2" t="s">
        <v>14590</v>
      </c>
      <c r="O1898" s="2"/>
      <c r="P1898" s="2" t="s">
        <v>37</v>
      </c>
      <c r="Q1898" s="4" t="n">
        <v>8731</v>
      </c>
      <c r="R1898" s="2" t="s">
        <v>136</v>
      </c>
      <c r="S1898" s="2" t="s">
        <v>39</v>
      </c>
      <c r="T1898" s="2" t="s">
        <v>40</v>
      </c>
      <c r="U1898" s="2" t="s">
        <v>14591</v>
      </c>
      <c r="V1898" s="2"/>
      <c r="W1898" s="2" t="s">
        <v>42</v>
      </c>
      <c r="X1898" s="2" t="s">
        <v>43</v>
      </c>
      <c r="Y1898" s="2" t="s">
        <v>37</v>
      </c>
      <c r="Z1898" s="2" t="s">
        <v>44</v>
      </c>
      <c r="AA1898" s="2"/>
      <c r="AB1898" s="2"/>
      <c r="AC1898" s="2" t="s">
        <v>14592</v>
      </c>
      <c r="AD1898" s="2" t="s">
        <v>46</v>
      </c>
    </row>
    <row r="1899" customFormat="false" ht="15.7" hidden="false" customHeight="true" outlineLevel="0" collapsed="false">
      <c r="A1899" s="2"/>
      <c r="B1899" s="3" t="n">
        <f aca="false">DATE(2012,4,1)</f>
        <v>0</v>
      </c>
      <c r="C1899" s="3" t="n">
        <v>41000</v>
      </c>
      <c r="D1899" s="2" t="s">
        <v>14593</v>
      </c>
      <c r="F1899" s="2" t="s">
        <v>14594</v>
      </c>
      <c r="G1899" s="2" t="s">
        <v>14595</v>
      </c>
      <c r="H1899" s="2" t="s">
        <v>14596</v>
      </c>
      <c r="I1899" s="2" t="s">
        <v>14597</v>
      </c>
      <c r="J1899" s="2" t="s">
        <v>35</v>
      </c>
      <c r="K1899" s="2" t="s">
        <v>14593</v>
      </c>
      <c r="L1899" s="2" t="s">
        <v>14597</v>
      </c>
      <c r="M1899" s="2" t="s">
        <v>14596</v>
      </c>
      <c r="N1899" s="2" t="s">
        <v>14598</v>
      </c>
      <c r="O1899" s="2"/>
      <c r="P1899" s="2" t="s">
        <v>37</v>
      </c>
      <c r="Q1899" s="4" t="n">
        <v>8732</v>
      </c>
      <c r="R1899" s="2" t="s">
        <v>10692</v>
      </c>
      <c r="S1899" s="2" t="s">
        <v>39</v>
      </c>
      <c r="T1899" s="2" t="s">
        <v>40</v>
      </c>
      <c r="U1899" s="2" t="s">
        <v>14599</v>
      </c>
      <c r="V1899" s="2"/>
      <c r="W1899" s="2" t="s">
        <v>42</v>
      </c>
      <c r="X1899" s="2" t="s">
        <v>46</v>
      </c>
      <c r="Y1899" s="2" t="s">
        <v>37</v>
      </c>
      <c r="Z1899" s="2" t="s">
        <v>362</v>
      </c>
      <c r="AA1899" s="2"/>
      <c r="AB1899" s="2"/>
      <c r="AC1899" s="2" t="s">
        <v>14600</v>
      </c>
      <c r="AD1899" s="2" t="s">
        <v>46</v>
      </c>
    </row>
    <row r="1900" customFormat="false" ht="15.7" hidden="false" customHeight="true" outlineLevel="0" collapsed="false">
      <c r="A1900" s="2"/>
      <c r="B1900" s="3" t="n">
        <f aca="false">DATE(2012,4,2)</f>
        <v>0</v>
      </c>
      <c r="C1900" s="3" t="n">
        <v>41001</v>
      </c>
      <c r="D1900" s="2" t="s">
        <v>14601</v>
      </c>
      <c r="F1900" s="2" t="s">
        <v>14602</v>
      </c>
      <c r="G1900" s="2" t="s">
        <v>14603</v>
      </c>
      <c r="H1900" s="2" t="s">
        <v>14604</v>
      </c>
      <c r="I1900" s="2" t="s">
        <v>670</v>
      </c>
      <c r="J1900" s="2" t="s">
        <v>2421</v>
      </c>
      <c r="K1900" s="2" t="s">
        <v>14605</v>
      </c>
      <c r="L1900" s="2" t="s">
        <v>670</v>
      </c>
      <c r="M1900" s="2" t="s">
        <v>8559</v>
      </c>
      <c r="N1900" s="2" t="s">
        <v>14606</v>
      </c>
      <c r="O1900" s="2"/>
      <c r="P1900" s="2" t="s">
        <v>37</v>
      </c>
      <c r="Q1900" s="4" t="n">
        <v>3728</v>
      </c>
      <c r="R1900" s="2" t="s">
        <v>402</v>
      </c>
      <c r="S1900" s="2" t="s">
        <v>39</v>
      </c>
      <c r="T1900" s="2" t="s">
        <v>40</v>
      </c>
      <c r="U1900" s="2" t="s">
        <v>14607</v>
      </c>
      <c r="V1900" s="2"/>
      <c r="W1900" s="2" t="s">
        <v>697</v>
      </c>
      <c r="X1900" s="2" t="s">
        <v>46</v>
      </c>
      <c r="Y1900" s="2" t="s">
        <v>37</v>
      </c>
      <c r="Z1900" s="2" t="s">
        <v>362</v>
      </c>
      <c r="AA1900" s="2"/>
      <c r="AB1900" s="2"/>
      <c r="AC1900" s="2" t="s">
        <v>14608</v>
      </c>
      <c r="AD1900" s="2" t="s">
        <v>46</v>
      </c>
    </row>
    <row r="1901" customFormat="false" ht="15.7" hidden="false" customHeight="true" outlineLevel="0" collapsed="false">
      <c r="A1901" s="2"/>
      <c r="B1901" s="3" t="n">
        <f aca="false">DATE(2012,4,2)</f>
        <v>0</v>
      </c>
      <c r="C1901" s="3" t="n">
        <v>41001</v>
      </c>
      <c r="D1901" s="2" t="s">
        <v>14609</v>
      </c>
      <c r="F1901" s="2" t="s">
        <v>14610</v>
      </c>
      <c r="G1901" s="2" t="s">
        <v>14611</v>
      </c>
      <c r="H1901" s="2" t="s">
        <v>63</v>
      </c>
      <c r="I1901" s="2" t="s">
        <v>388</v>
      </c>
      <c r="J1901" s="2" t="s">
        <v>65</v>
      </c>
      <c r="K1901" s="2" t="s">
        <v>14609</v>
      </c>
      <c r="L1901" s="2" t="s">
        <v>388</v>
      </c>
      <c r="M1901" s="2" t="s">
        <v>63</v>
      </c>
      <c r="N1901" s="2" t="s">
        <v>14612</v>
      </c>
      <c r="O1901" s="2"/>
      <c r="P1901" s="2" t="s">
        <v>37</v>
      </c>
      <c r="Q1901" s="4" t="n">
        <v>2836</v>
      </c>
      <c r="R1901" s="2" t="s">
        <v>136</v>
      </c>
      <c r="S1901" s="2" t="s">
        <v>39</v>
      </c>
      <c r="T1901" s="2" t="s">
        <v>40</v>
      </c>
      <c r="U1901" s="2" t="s">
        <v>14613</v>
      </c>
      <c r="V1901" s="2"/>
      <c r="W1901" s="2" t="s">
        <v>42</v>
      </c>
      <c r="X1901" s="2" t="s">
        <v>43</v>
      </c>
      <c r="Y1901" s="2" t="s">
        <v>37</v>
      </c>
      <c r="Z1901" s="2" t="s">
        <v>44</v>
      </c>
      <c r="AA1901" s="2" t="s">
        <v>14614</v>
      </c>
      <c r="AB1901" s="2"/>
      <c r="AC1901" s="2" t="s">
        <v>14615</v>
      </c>
      <c r="AD1901" s="2" t="s">
        <v>46</v>
      </c>
    </row>
    <row r="1902" customFormat="false" ht="15.7" hidden="false" customHeight="true" outlineLevel="0" collapsed="false">
      <c r="A1902" s="2"/>
      <c r="B1902" s="3" t="n">
        <f aca="false">DATE(2012,4,5)</f>
        <v>0</v>
      </c>
      <c r="C1902" s="3" t="n">
        <v>41004</v>
      </c>
      <c r="D1902" s="2" t="s">
        <v>14616</v>
      </c>
      <c r="F1902" s="2" t="s">
        <v>14617</v>
      </c>
      <c r="G1902" s="2" t="s">
        <v>14618</v>
      </c>
      <c r="H1902" s="2" t="s">
        <v>14619</v>
      </c>
      <c r="I1902" s="2" t="s">
        <v>51</v>
      </c>
      <c r="J1902" s="2" t="s">
        <v>3704</v>
      </c>
      <c r="K1902" s="2" t="s">
        <v>14616</v>
      </c>
      <c r="L1902" s="2" t="s">
        <v>51</v>
      </c>
      <c r="M1902" s="2" t="s">
        <v>14619</v>
      </c>
      <c r="N1902" s="2" t="s">
        <v>14620</v>
      </c>
      <c r="O1902" s="2"/>
      <c r="P1902" s="2" t="s">
        <v>37</v>
      </c>
      <c r="Q1902" s="4" t="n">
        <v>3841</v>
      </c>
      <c r="R1902" s="2" t="s">
        <v>56</v>
      </c>
      <c r="S1902" s="2" t="s">
        <v>2265</v>
      </c>
      <c r="T1902" s="2" t="s">
        <v>40</v>
      </c>
      <c r="U1902" s="2" t="s">
        <v>14621</v>
      </c>
      <c r="V1902" s="2"/>
      <c r="W1902" s="2" t="s">
        <v>42</v>
      </c>
      <c r="X1902" s="2" t="s">
        <v>43</v>
      </c>
      <c r="Y1902" s="2" t="s">
        <v>37</v>
      </c>
      <c r="Z1902" s="2" t="s">
        <v>44</v>
      </c>
      <c r="AA1902" s="2"/>
      <c r="AB1902" s="2"/>
      <c r="AC1902" s="2" t="s">
        <v>14622</v>
      </c>
      <c r="AD1902" s="2" t="s">
        <v>46</v>
      </c>
    </row>
    <row r="1903" customFormat="false" ht="15.7" hidden="false" customHeight="true" outlineLevel="0" collapsed="false">
      <c r="A1903" s="2"/>
      <c r="B1903" s="3" t="n">
        <f aca="false">DATE(2012,4,5)</f>
        <v>0</v>
      </c>
      <c r="C1903" s="3" t="n">
        <v>41004</v>
      </c>
      <c r="D1903" s="2" t="s">
        <v>14623</v>
      </c>
      <c r="F1903" s="2" t="s">
        <v>14624</v>
      </c>
      <c r="G1903" s="2" t="s">
        <v>14625</v>
      </c>
      <c r="H1903" s="2" t="s">
        <v>387</v>
      </c>
      <c r="I1903" s="2" t="s">
        <v>1415</v>
      </c>
      <c r="J1903" s="2" t="s">
        <v>514</v>
      </c>
      <c r="K1903" s="2" t="s">
        <v>14623</v>
      </c>
      <c r="L1903" s="2" t="s">
        <v>1415</v>
      </c>
      <c r="M1903" s="2" t="s">
        <v>387</v>
      </c>
      <c r="N1903" s="2" t="s">
        <v>14626</v>
      </c>
      <c r="O1903" s="2"/>
      <c r="P1903" s="2" t="s">
        <v>37</v>
      </c>
      <c r="Q1903" s="4" t="n">
        <v>8731</v>
      </c>
      <c r="R1903" s="2" t="s">
        <v>136</v>
      </c>
      <c r="S1903" s="2" t="s">
        <v>39</v>
      </c>
      <c r="T1903" s="2" t="s">
        <v>40</v>
      </c>
      <c r="U1903" s="2" t="s">
        <v>14627</v>
      </c>
      <c r="V1903" s="2"/>
      <c r="W1903" s="2" t="s">
        <v>42</v>
      </c>
      <c r="X1903" s="2" t="s">
        <v>43</v>
      </c>
      <c r="Y1903" s="2" t="s">
        <v>37</v>
      </c>
      <c r="Z1903" s="2" t="s">
        <v>44</v>
      </c>
      <c r="AA1903" s="2"/>
      <c r="AB1903" s="2"/>
      <c r="AC1903" s="2" t="s">
        <v>14628</v>
      </c>
      <c r="AD1903" s="2" t="s">
        <v>46</v>
      </c>
    </row>
    <row r="1904" customFormat="false" ht="15.7" hidden="false" customHeight="true" outlineLevel="0" collapsed="false">
      <c r="A1904" s="2"/>
      <c r="B1904" s="3" t="n">
        <f aca="false">DATE(2012,4,9)</f>
        <v>0</v>
      </c>
      <c r="C1904" s="3" t="n">
        <v>41008</v>
      </c>
      <c r="D1904" s="2" t="s">
        <v>14629</v>
      </c>
      <c r="F1904" s="2" t="s">
        <v>14630</v>
      </c>
      <c r="G1904" s="2" t="s">
        <v>14631</v>
      </c>
      <c r="H1904" s="2" t="s">
        <v>2497</v>
      </c>
      <c r="I1904" s="2" t="s">
        <v>8191</v>
      </c>
      <c r="J1904" s="2" t="s">
        <v>35</v>
      </c>
      <c r="K1904" s="2" t="s">
        <v>14629</v>
      </c>
      <c r="L1904" s="2" t="s">
        <v>8191</v>
      </c>
      <c r="M1904" s="2" t="s">
        <v>2497</v>
      </c>
      <c r="N1904" s="2" t="s">
        <v>14632</v>
      </c>
      <c r="O1904" s="2"/>
      <c r="P1904" s="2" t="s">
        <v>37</v>
      </c>
      <c r="Q1904" s="4" t="n">
        <v>8711</v>
      </c>
      <c r="R1904" s="2" t="s">
        <v>450</v>
      </c>
      <c r="S1904" s="2" t="s">
        <v>39</v>
      </c>
      <c r="T1904" s="2" t="s">
        <v>40</v>
      </c>
      <c r="U1904" s="2" t="s">
        <v>14633</v>
      </c>
      <c r="V1904" s="2"/>
      <c r="W1904" s="2" t="s">
        <v>5168</v>
      </c>
      <c r="X1904" s="2" t="s">
        <v>43</v>
      </c>
      <c r="Y1904" s="2" t="s">
        <v>37</v>
      </c>
      <c r="Z1904" s="2" t="s">
        <v>44</v>
      </c>
      <c r="AA1904" s="2"/>
      <c r="AB1904" s="2"/>
      <c r="AC1904" s="2" t="s">
        <v>14634</v>
      </c>
      <c r="AD1904" s="2" t="s">
        <v>46</v>
      </c>
    </row>
    <row r="1905" customFormat="false" ht="15.7" hidden="false" customHeight="true" outlineLevel="0" collapsed="false">
      <c r="A1905" s="2"/>
      <c r="B1905" s="3" t="n">
        <f aca="false">DATE(2012,4,10)</f>
        <v>0</v>
      </c>
      <c r="C1905" s="3" t="n">
        <v>41009</v>
      </c>
      <c r="D1905" s="2" t="s">
        <v>14635</v>
      </c>
      <c r="F1905" s="2" t="s">
        <v>14636</v>
      </c>
      <c r="G1905" s="2" t="s">
        <v>14637</v>
      </c>
      <c r="H1905" s="2" t="s">
        <v>14638</v>
      </c>
      <c r="I1905" s="2" t="s">
        <v>4325</v>
      </c>
      <c r="J1905" s="2" t="s">
        <v>35</v>
      </c>
      <c r="K1905" s="2" t="s">
        <v>14635</v>
      </c>
      <c r="L1905" s="2" t="s">
        <v>4325</v>
      </c>
      <c r="M1905" s="2" t="s">
        <v>14638</v>
      </c>
      <c r="N1905" s="2" t="s">
        <v>14639</v>
      </c>
      <c r="O1905" s="2"/>
      <c r="P1905" s="2" t="s">
        <v>37</v>
      </c>
      <c r="Q1905" s="4" t="n">
        <v>8731</v>
      </c>
      <c r="R1905" s="2" t="s">
        <v>402</v>
      </c>
      <c r="S1905" s="2" t="s">
        <v>39</v>
      </c>
      <c r="T1905" s="2" t="s">
        <v>403</v>
      </c>
      <c r="U1905" s="2" t="s">
        <v>14640</v>
      </c>
      <c r="V1905" s="2"/>
      <c r="W1905" s="2" t="s">
        <v>42</v>
      </c>
      <c r="X1905" s="2" t="s">
        <v>46</v>
      </c>
      <c r="Y1905" s="2" t="s">
        <v>37</v>
      </c>
      <c r="Z1905" s="2" t="s">
        <v>362</v>
      </c>
      <c r="AA1905" s="2" t="s">
        <v>14641</v>
      </c>
      <c r="AB1905" s="2"/>
      <c r="AC1905" s="2" t="s">
        <v>14642</v>
      </c>
      <c r="AD1905" s="2" t="s">
        <v>46</v>
      </c>
    </row>
    <row r="1906" customFormat="false" ht="15.7" hidden="false" customHeight="true" outlineLevel="0" collapsed="false">
      <c r="A1906" s="2"/>
      <c r="B1906" s="3" t="n">
        <f aca="false">DATE(2012,4,11)</f>
        <v>0</v>
      </c>
      <c r="C1906" s="3" t="n">
        <v>41010</v>
      </c>
      <c r="D1906" s="2" t="s">
        <v>14643</v>
      </c>
      <c r="F1906" s="2" t="s">
        <v>14644</v>
      </c>
      <c r="G1906" s="2" t="s">
        <v>14645</v>
      </c>
      <c r="H1906" s="2" t="s">
        <v>387</v>
      </c>
      <c r="I1906" s="2" t="s">
        <v>51</v>
      </c>
      <c r="J1906" s="2" t="s">
        <v>171</v>
      </c>
      <c r="K1906" s="2" t="s">
        <v>14643</v>
      </c>
      <c r="L1906" s="2" t="s">
        <v>51</v>
      </c>
      <c r="M1906" s="2" t="s">
        <v>387</v>
      </c>
      <c r="N1906" s="2" t="s">
        <v>14646</v>
      </c>
      <c r="O1906" s="2"/>
      <c r="P1906" s="2" t="s">
        <v>37</v>
      </c>
      <c r="Q1906" s="4" t="n">
        <v>8731</v>
      </c>
      <c r="R1906" s="2" t="s">
        <v>56</v>
      </c>
      <c r="S1906" s="2" t="s">
        <v>92</v>
      </c>
      <c r="T1906" s="2" t="s">
        <v>40</v>
      </c>
      <c r="U1906" s="2" t="s">
        <v>14647</v>
      </c>
      <c r="V1906" s="2"/>
      <c r="W1906" s="2" t="s">
        <v>14572</v>
      </c>
      <c r="X1906" s="2" t="s">
        <v>43</v>
      </c>
      <c r="Y1906" s="2" t="s">
        <v>37</v>
      </c>
      <c r="Z1906" s="2" t="s">
        <v>44</v>
      </c>
      <c r="AA1906" s="2"/>
      <c r="AB1906" s="2"/>
      <c r="AC1906" s="2" t="s">
        <v>14648</v>
      </c>
      <c r="AD1906" s="2" t="s">
        <v>46</v>
      </c>
    </row>
    <row r="1907" customFormat="false" ht="15.7" hidden="false" customHeight="true" outlineLevel="0" collapsed="false">
      <c r="A1907" s="2"/>
      <c r="B1907" s="3" t="n">
        <f aca="false">DATE(2012,4,12)</f>
        <v>0</v>
      </c>
      <c r="C1907" s="3" t="n">
        <v>41011</v>
      </c>
      <c r="D1907" s="2" t="s">
        <v>14649</v>
      </c>
      <c r="F1907" s="2" t="s">
        <v>14650</v>
      </c>
      <c r="G1907" s="2" t="s">
        <v>14651</v>
      </c>
      <c r="H1907" s="2" t="s">
        <v>14652</v>
      </c>
      <c r="I1907" s="2" t="s">
        <v>2530</v>
      </c>
      <c r="J1907" s="2" t="s">
        <v>14653</v>
      </c>
      <c r="K1907" s="2" t="s">
        <v>14654</v>
      </c>
      <c r="L1907" s="2" t="s">
        <v>14655</v>
      </c>
      <c r="M1907" s="2" t="s">
        <v>6388</v>
      </c>
      <c r="N1907" s="2" t="s">
        <v>14656</v>
      </c>
      <c r="O1907" s="2"/>
      <c r="P1907" s="2" t="s">
        <v>37</v>
      </c>
      <c r="Q1907" s="4" t="n">
        <v>3841</v>
      </c>
      <c r="R1907" s="2" t="s">
        <v>56</v>
      </c>
      <c r="S1907" s="2" t="s">
        <v>2265</v>
      </c>
      <c r="T1907" s="2" t="s">
        <v>403</v>
      </c>
      <c r="U1907" s="2" t="s">
        <v>14657</v>
      </c>
      <c r="V1907" s="2"/>
      <c r="W1907" s="2" t="s">
        <v>697</v>
      </c>
      <c r="X1907" s="2" t="s">
        <v>43</v>
      </c>
      <c r="Y1907" s="2" t="s">
        <v>37</v>
      </c>
      <c r="Z1907" s="2" t="s">
        <v>916</v>
      </c>
      <c r="AA1907" s="2"/>
      <c r="AB1907" s="2"/>
      <c r="AC1907" s="2" t="s">
        <v>14658</v>
      </c>
      <c r="AD1907" s="2" t="s">
        <v>46</v>
      </c>
    </row>
    <row r="1908" customFormat="false" ht="15.7" hidden="false" customHeight="true" outlineLevel="0" collapsed="false">
      <c r="A1908" s="2"/>
      <c r="B1908" s="3" t="n">
        <f aca="false">DATE(2012,4,13)</f>
        <v>0</v>
      </c>
      <c r="C1908" s="3" t="n">
        <v>41012</v>
      </c>
      <c r="D1908" s="2" t="s">
        <v>14659</v>
      </c>
      <c r="F1908" s="2" t="s">
        <v>14660</v>
      </c>
      <c r="G1908" s="2" t="s">
        <v>14661</v>
      </c>
      <c r="H1908" s="2" t="s">
        <v>14662</v>
      </c>
      <c r="I1908" s="2" t="s">
        <v>51</v>
      </c>
      <c r="J1908" s="2" t="s">
        <v>7609</v>
      </c>
      <c r="K1908" s="2" t="s">
        <v>14663</v>
      </c>
      <c r="L1908" s="2" t="s">
        <v>51</v>
      </c>
      <c r="M1908" s="2" t="s">
        <v>14662</v>
      </c>
      <c r="N1908" s="2" t="s">
        <v>14664</v>
      </c>
      <c r="O1908" s="2"/>
      <c r="P1908" s="2" t="s">
        <v>37</v>
      </c>
      <c r="Q1908" s="4" t="n">
        <v>3624</v>
      </c>
      <c r="R1908" s="2" t="s">
        <v>56</v>
      </c>
      <c r="S1908" s="2" t="s">
        <v>931</v>
      </c>
      <c r="T1908" s="2" t="s">
        <v>403</v>
      </c>
      <c r="U1908" s="2" t="s">
        <v>14665</v>
      </c>
      <c r="V1908" s="2"/>
      <c r="W1908" s="2" t="s">
        <v>697</v>
      </c>
      <c r="X1908" s="2" t="s">
        <v>46</v>
      </c>
      <c r="Y1908" s="2" t="s">
        <v>37</v>
      </c>
      <c r="Z1908" s="2" t="s">
        <v>362</v>
      </c>
      <c r="AA1908" s="2"/>
      <c r="AB1908" s="2"/>
      <c r="AC1908" s="2" t="s">
        <v>14666</v>
      </c>
      <c r="AD1908" s="2" t="s">
        <v>46</v>
      </c>
    </row>
    <row r="1909" customFormat="false" ht="15.7" hidden="false" customHeight="true" outlineLevel="0" collapsed="false">
      <c r="A1909" s="2"/>
      <c r="B1909" s="3" t="n">
        <f aca="false">DATE(2012,4,16)</f>
        <v>0</v>
      </c>
      <c r="C1909" s="3" t="n">
        <v>41015</v>
      </c>
      <c r="D1909" s="2" t="s">
        <v>14667</v>
      </c>
      <c r="F1909" s="2" t="s">
        <v>739</v>
      </c>
      <c r="G1909" s="2" t="s">
        <v>14668</v>
      </c>
      <c r="H1909" s="2" t="s">
        <v>130</v>
      </c>
      <c r="I1909" s="2" t="s">
        <v>51</v>
      </c>
      <c r="J1909" s="2" t="s">
        <v>4544</v>
      </c>
      <c r="K1909" s="2" t="s">
        <v>14669</v>
      </c>
      <c r="L1909" s="2" t="s">
        <v>51</v>
      </c>
      <c r="M1909" s="2" t="s">
        <v>130</v>
      </c>
      <c r="N1909" s="2" t="s">
        <v>14670</v>
      </c>
      <c r="O1909" s="2"/>
      <c r="P1909" s="2" t="s">
        <v>37</v>
      </c>
      <c r="Q1909" s="4" t="n">
        <v>2836</v>
      </c>
      <c r="R1909" s="2" t="s">
        <v>136</v>
      </c>
      <c r="S1909" s="2" t="s">
        <v>39</v>
      </c>
      <c r="T1909" s="2" t="s">
        <v>40</v>
      </c>
      <c r="U1909" s="2" t="s">
        <v>14671</v>
      </c>
      <c r="V1909" s="2"/>
      <c r="W1909" s="2" t="s">
        <v>42</v>
      </c>
      <c r="X1909" s="2" t="s">
        <v>43</v>
      </c>
      <c r="Y1909" s="2" t="s">
        <v>37</v>
      </c>
      <c r="Z1909" s="2" t="s">
        <v>44</v>
      </c>
      <c r="AA1909" s="2" t="s">
        <v>14672</v>
      </c>
      <c r="AB1909" s="2"/>
      <c r="AC1909" s="2" t="s">
        <v>14673</v>
      </c>
      <c r="AD1909" s="2" t="s">
        <v>46</v>
      </c>
    </row>
    <row r="1910" customFormat="false" ht="15.7" hidden="false" customHeight="true" outlineLevel="0" collapsed="false">
      <c r="A1910" s="2"/>
      <c r="B1910" s="3" t="n">
        <f aca="false">DATE(2012,4,16)</f>
        <v>0</v>
      </c>
      <c r="C1910" s="3" t="n">
        <v>41015</v>
      </c>
      <c r="D1910" s="2" t="s">
        <v>14674</v>
      </c>
      <c r="F1910" s="2" t="s">
        <v>14675</v>
      </c>
      <c r="G1910" s="2" t="s">
        <v>14676</v>
      </c>
      <c r="H1910" s="2" t="s">
        <v>130</v>
      </c>
      <c r="I1910" s="2" t="s">
        <v>51</v>
      </c>
      <c r="J1910" s="2" t="s">
        <v>14677</v>
      </c>
      <c r="K1910" s="2" t="s">
        <v>14674</v>
      </c>
      <c r="L1910" s="2" t="s">
        <v>51</v>
      </c>
      <c r="M1910" s="2" t="s">
        <v>130</v>
      </c>
      <c r="N1910" s="2" t="s">
        <v>14678</v>
      </c>
      <c r="O1910" s="2"/>
      <c r="P1910" s="2" t="s">
        <v>79</v>
      </c>
      <c r="Q1910" s="4" t="n">
        <v>2836</v>
      </c>
      <c r="R1910" s="2" t="s">
        <v>56</v>
      </c>
      <c r="S1910" s="2" t="s">
        <v>2265</v>
      </c>
      <c r="T1910" s="2" t="s">
        <v>403</v>
      </c>
      <c r="U1910" s="2" t="s">
        <v>14679</v>
      </c>
      <c r="V1910" s="2"/>
      <c r="W1910" s="2" t="s">
        <v>82</v>
      </c>
      <c r="X1910" s="2" t="s">
        <v>43</v>
      </c>
      <c r="Y1910" s="2" t="s">
        <v>37</v>
      </c>
      <c r="Z1910" s="2" t="s">
        <v>44</v>
      </c>
      <c r="AA1910" s="2" t="s">
        <v>14680</v>
      </c>
      <c r="AB1910" s="2"/>
      <c r="AC1910" s="2" t="s">
        <v>14681</v>
      </c>
      <c r="AD1910" s="2" t="s">
        <v>46</v>
      </c>
    </row>
    <row r="1911" customFormat="false" ht="15.7" hidden="false" customHeight="true" outlineLevel="0" collapsed="false">
      <c r="A1911" s="2"/>
      <c r="B1911" s="3" t="n">
        <f aca="false">DATE(2012,4,16)</f>
        <v>0</v>
      </c>
      <c r="C1911" s="3" t="n">
        <v>41015</v>
      </c>
      <c r="D1911" s="2" t="s">
        <v>14682</v>
      </c>
      <c r="F1911" s="2" t="s">
        <v>14683</v>
      </c>
      <c r="G1911" s="2" t="s">
        <v>14684</v>
      </c>
      <c r="H1911" s="2" t="s">
        <v>14685</v>
      </c>
      <c r="I1911" s="2" t="s">
        <v>14686</v>
      </c>
      <c r="J1911" s="2" t="s">
        <v>35</v>
      </c>
      <c r="K1911" s="2" t="s">
        <v>14687</v>
      </c>
      <c r="L1911" s="2" t="s">
        <v>14686</v>
      </c>
      <c r="M1911" s="2" t="s">
        <v>14688</v>
      </c>
      <c r="N1911" s="2" t="s">
        <v>14689</v>
      </c>
      <c r="O1911" s="2"/>
      <c r="P1911" s="2" t="s">
        <v>37</v>
      </c>
      <c r="Q1911" s="4" t="n">
        <v>8299</v>
      </c>
      <c r="R1911" s="2" t="s">
        <v>14690</v>
      </c>
      <c r="S1911" s="2" t="s">
        <v>39</v>
      </c>
      <c r="T1911" s="2" t="s">
        <v>403</v>
      </c>
      <c r="U1911" s="2" t="s">
        <v>14691</v>
      </c>
      <c r="V1911" s="2"/>
      <c r="W1911" s="2" t="s">
        <v>14692</v>
      </c>
      <c r="X1911" s="2" t="s">
        <v>46</v>
      </c>
      <c r="Y1911" s="2" t="s">
        <v>37</v>
      </c>
      <c r="Z1911" s="2" t="s">
        <v>2732</v>
      </c>
      <c r="AA1911" s="2"/>
      <c r="AB1911" s="2"/>
      <c r="AC1911" s="2" t="s">
        <v>14693</v>
      </c>
      <c r="AD1911" s="2" t="s">
        <v>46</v>
      </c>
    </row>
    <row r="1912" customFormat="false" ht="15.7" hidden="false" customHeight="true" outlineLevel="0" collapsed="false">
      <c r="A1912" s="2"/>
      <c r="B1912" s="3" t="n">
        <f aca="false">DATE(2012,4,17)</f>
        <v>0</v>
      </c>
      <c r="C1912" s="3" t="n">
        <v>41016</v>
      </c>
      <c r="D1912" s="2" t="s">
        <v>14694</v>
      </c>
      <c r="F1912" s="2" t="s">
        <v>347</v>
      </c>
      <c r="G1912" s="2" t="s">
        <v>2302</v>
      </c>
      <c r="H1912" s="2" t="s">
        <v>63</v>
      </c>
      <c r="I1912" s="2" t="s">
        <v>388</v>
      </c>
      <c r="J1912" s="2" t="s">
        <v>65</v>
      </c>
      <c r="K1912" s="2" t="s">
        <v>14694</v>
      </c>
      <c r="L1912" s="2" t="s">
        <v>388</v>
      </c>
      <c r="M1912" s="2" t="s">
        <v>63</v>
      </c>
      <c r="N1912" s="2" t="s">
        <v>14695</v>
      </c>
      <c r="O1912" s="2"/>
      <c r="P1912" s="2" t="s">
        <v>37</v>
      </c>
      <c r="Q1912" s="4" t="n">
        <v>8731</v>
      </c>
      <c r="R1912" s="2" t="s">
        <v>136</v>
      </c>
      <c r="S1912" s="2" t="s">
        <v>39</v>
      </c>
      <c r="T1912" s="2" t="s">
        <v>40</v>
      </c>
      <c r="U1912" s="2" t="s">
        <v>14696</v>
      </c>
      <c r="V1912" s="2"/>
      <c r="W1912" s="2" t="s">
        <v>42</v>
      </c>
      <c r="X1912" s="2" t="s">
        <v>43</v>
      </c>
      <c r="Y1912" s="2" t="s">
        <v>37</v>
      </c>
      <c r="Z1912" s="2" t="s">
        <v>44</v>
      </c>
      <c r="AA1912" s="2" t="s">
        <v>14697</v>
      </c>
      <c r="AB1912" s="2"/>
      <c r="AC1912" s="2" t="s">
        <v>14698</v>
      </c>
      <c r="AD1912" s="2" t="s">
        <v>46</v>
      </c>
    </row>
    <row r="1913" customFormat="false" ht="15.7" hidden="false" customHeight="true" outlineLevel="0" collapsed="false">
      <c r="A1913" s="2"/>
      <c r="B1913" s="3" t="n">
        <f aca="false">DATE(2012,4,17)</f>
        <v>0</v>
      </c>
      <c r="C1913" s="3" t="n">
        <v>41016</v>
      </c>
      <c r="D1913" s="2" t="s">
        <v>14699</v>
      </c>
      <c r="F1913" s="2" t="s">
        <v>14700</v>
      </c>
      <c r="G1913" s="2" t="s">
        <v>14701</v>
      </c>
      <c r="H1913" s="2" t="s">
        <v>14702</v>
      </c>
      <c r="I1913" s="2" t="s">
        <v>2522</v>
      </c>
      <c r="J1913" s="2" t="s">
        <v>65</v>
      </c>
      <c r="K1913" s="2" t="s">
        <v>14703</v>
      </c>
      <c r="L1913" s="2" t="s">
        <v>1110</v>
      </c>
      <c r="M1913" s="2" t="s">
        <v>12032</v>
      </c>
      <c r="N1913" s="2" t="s">
        <v>14704</v>
      </c>
      <c r="O1913" s="2"/>
      <c r="P1913" s="2" t="s">
        <v>37</v>
      </c>
      <c r="Q1913" s="4" t="n">
        <v>4789</v>
      </c>
      <c r="R1913" s="2" t="s">
        <v>9292</v>
      </c>
      <c r="S1913" s="2" t="s">
        <v>39</v>
      </c>
      <c r="T1913" s="2" t="s">
        <v>403</v>
      </c>
      <c r="U1913" s="2" t="s">
        <v>14705</v>
      </c>
      <c r="V1913" s="2"/>
      <c r="W1913" s="2" t="s">
        <v>14706</v>
      </c>
      <c r="X1913" s="2" t="s">
        <v>46</v>
      </c>
      <c r="Y1913" s="2" t="s">
        <v>37</v>
      </c>
      <c r="Z1913" s="2" t="s">
        <v>44</v>
      </c>
      <c r="AA1913" s="2"/>
      <c r="AB1913" s="2"/>
      <c r="AC1913" s="2" t="s">
        <v>14707</v>
      </c>
      <c r="AD1913" s="2" t="s">
        <v>46</v>
      </c>
    </row>
    <row r="1914" customFormat="false" ht="15.7" hidden="false" customHeight="true" outlineLevel="0" collapsed="false">
      <c r="A1914" s="2"/>
      <c r="B1914" s="3" t="n">
        <f aca="false">DATE(2012,4,17)</f>
        <v>0</v>
      </c>
      <c r="C1914" s="3" t="n">
        <v>41016</v>
      </c>
      <c r="D1914" s="2" t="s">
        <v>14708</v>
      </c>
      <c r="F1914" s="2" t="s">
        <v>14709</v>
      </c>
      <c r="G1914" s="2" t="s">
        <v>14710</v>
      </c>
      <c r="H1914" s="2" t="s">
        <v>14711</v>
      </c>
      <c r="I1914" s="2" t="s">
        <v>11795</v>
      </c>
      <c r="J1914" s="2" t="s">
        <v>8488</v>
      </c>
      <c r="K1914" s="2" t="s">
        <v>14708</v>
      </c>
      <c r="L1914" s="2" t="s">
        <v>11795</v>
      </c>
      <c r="M1914" s="2" t="s">
        <v>14711</v>
      </c>
      <c r="N1914" s="2" t="s">
        <v>14712</v>
      </c>
      <c r="O1914" s="2"/>
      <c r="P1914" s="2" t="s">
        <v>37</v>
      </c>
      <c r="Q1914" s="4" t="n">
        <v>8731</v>
      </c>
      <c r="R1914" s="2" t="s">
        <v>1208</v>
      </c>
      <c r="S1914" s="2" t="s">
        <v>39</v>
      </c>
      <c r="T1914" s="2" t="s">
        <v>403</v>
      </c>
      <c r="U1914" s="2" t="s">
        <v>14713</v>
      </c>
      <c r="V1914" s="2"/>
      <c r="W1914" s="2" t="s">
        <v>4505</v>
      </c>
      <c r="X1914" s="2" t="s">
        <v>46</v>
      </c>
      <c r="Y1914" s="2" t="s">
        <v>37</v>
      </c>
      <c r="Z1914" s="2" t="s">
        <v>362</v>
      </c>
      <c r="AA1914" s="2"/>
      <c r="AB1914" s="2"/>
      <c r="AC1914" s="2" t="s">
        <v>14714</v>
      </c>
      <c r="AD1914" s="2" t="s">
        <v>46</v>
      </c>
    </row>
    <row r="1915" customFormat="false" ht="15.7" hidden="false" customHeight="true" outlineLevel="0" collapsed="false">
      <c r="A1915" s="2"/>
      <c r="B1915" s="3" t="n">
        <f aca="false">DATE(2012,4,19)</f>
        <v>0</v>
      </c>
      <c r="C1915" s="3" t="n">
        <v>41018</v>
      </c>
      <c r="D1915" s="2" t="s">
        <v>14715</v>
      </c>
      <c r="F1915" s="2" t="s">
        <v>14716</v>
      </c>
      <c r="G1915" s="2" t="s">
        <v>14717</v>
      </c>
      <c r="H1915" s="2" t="s">
        <v>14718</v>
      </c>
      <c r="I1915" s="2" t="s">
        <v>6245</v>
      </c>
      <c r="J1915" s="2" t="s">
        <v>35</v>
      </c>
      <c r="K1915" s="2" t="s">
        <v>14715</v>
      </c>
      <c r="L1915" s="2" t="s">
        <v>6245</v>
      </c>
      <c r="M1915" s="2" t="s">
        <v>14718</v>
      </c>
      <c r="N1915" s="2" t="s">
        <v>14719</v>
      </c>
      <c r="O1915" s="2"/>
      <c r="P1915" s="2" t="s">
        <v>37</v>
      </c>
      <c r="Q1915" s="4" t="n">
        <v>3714</v>
      </c>
      <c r="R1915" s="2" t="s">
        <v>38</v>
      </c>
      <c r="S1915" s="2" t="s">
        <v>39</v>
      </c>
      <c r="T1915" s="2" t="s">
        <v>403</v>
      </c>
      <c r="U1915" s="2" t="s">
        <v>14720</v>
      </c>
      <c r="V1915" s="2"/>
      <c r="W1915" s="2" t="s">
        <v>697</v>
      </c>
      <c r="X1915" s="2" t="s">
        <v>46</v>
      </c>
      <c r="Y1915" s="2" t="s">
        <v>37</v>
      </c>
      <c r="Z1915" s="2" t="s">
        <v>362</v>
      </c>
      <c r="AA1915" s="2"/>
      <c r="AB1915" s="2"/>
      <c r="AC1915" s="2" t="s">
        <v>14721</v>
      </c>
      <c r="AD1915" s="2" t="s">
        <v>46</v>
      </c>
    </row>
    <row r="1916" customFormat="false" ht="15.7" hidden="false" customHeight="true" outlineLevel="0" collapsed="false">
      <c r="A1916" s="2"/>
      <c r="B1916" s="3" t="n">
        <f aca="false">DATE(2012,4,20)</f>
        <v>0</v>
      </c>
      <c r="C1916" s="3" t="n">
        <v>41019</v>
      </c>
      <c r="D1916" s="2" t="s">
        <v>14722</v>
      </c>
      <c r="F1916" s="2" t="s">
        <v>14723</v>
      </c>
      <c r="G1916" s="2" t="s">
        <v>14724</v>
      </c>
      <c r="H1916" s="2" t="s">
        <v>1027</v>
      </c>
      <c r="I1916" s="2" t="s">
        <v>219</v>
      </c>
      <c r="J1916" s="2" t="s">
        <v>313</v>
      </c>
      <c r="K1916" s="2" t="s">
        <v>14722</v>
      </c>
      <c r="L1916" s="2" t="s">
        <v>219</v>
      </c>
      <c r="M1916" s="2" t="s">
        <v>1027</v>
      </c>
      <c r="N1916" s="2" t="s">
        <v>14725</v>
      </c>
      <c r="O1916" s="2"/>
      <c r="P1916" s="2" t="s">
        <v>37</v>
      </c>
      <c r="Q1916" s="4" t="n">
        <v>2836</v>
      </c>
      <c r="R1916" s="2" t="s">
        <v>136</v>
      </c>
      <c r="S1916" s="2" t="s">
        <v>39</v>
      </c>
      <c r="T1916" s="2" t="s">
        <v>40</v>
      </c>
      <c r="U1916" s="2" t="s">
        <v>14726</v>
      </c>
      <c r="V1916" s="2"/>
      <c r="W1916" s="2" t="s">
        <v>42</v>
      </c>
      <c r="X1916" s="2" t="s">
        <v>43</v>
      </c>
      <c r="Y1916" s="2" t="s">
        <v>37</v>
      </c>
      <c r="Z1916" s="2" t="s">
        <v>44</v>
      </c>
      <c r="AA1916" s="2"/>
      <c r="AB1916" s="2"/>
      <c r="AC1916" s="2" t="s">
        <v>14727</v>
      </c>
      <c r="AD1916" s="2" t="s">
        <v>46</v>
      </c>
    </row>
    <row r="1917" customFormat="false" ht="15.7" hidden="false" customHeight="true" outlineLevel="0" collapsed="false">
      <c r="A1917" s="2"/>
      <c r="B1917" s="3" t="n">
        <f aca="false">DATE(2012,4,23)</f>
        <v>0</v>
      </c>
      <c r="C1917" s="3" t="n">
        <v>41022</v>
      </c>
      <c r="D1917" s="2" t="s">
        <v>14728</v>
      </c>
      <c r="F1917" s="2" t="s">
        <v>12672</v>
      </c>
      <c r="G1917" s="2" t="s">
        <v>14729</v>
      </c>
      <c r="H1917" s="2" t="s">
        <v>762</v>
      </c>
      <c r="I1917" s="2" t="s">
        <v>51</v>
      </c>
      <c r="J1917" s="2" t="s">
        <v>1482</v>
      </c>
      <c r="K1917" s="2" t="s">
        <v>14730</v>
      </c>
      <c r="L1917" s="2" t="s">
        <v>51</v>
      </c>
      <c r="M1917" s="2" t="s">
        <v>12041</v>
      </c>
      <c r="N1917" s="2" t="s">
        <v>14731</v>
      </c>
      <c r="O1917" s="2"/>
      <c r="P1917" s="2" t="s">
        <v>37</v>
      </c>
      <c r="Q1917" s="4" t="n">
        <v>2836</v>
      </c>
      <c r="R1917" s="2" t="s">
        <v>56</v>
      </c>
      <c r="S1917" s="2" t="s">
        <v>2265</v>
      </c>
      <c r="T1917" s="2" t="s">
        <v>40</v>
      </c>
      <c r="U1917" s="2" t="s">
        <v>14732</v>
      </c>
      <c r="V1917" s="2"/>
      <c r="W1917" s="2" t="s">
        <v>42</v>
      </c>
      <c r="X1917" s="2" t="s">
        <v>43</v>
      </c>
      <c r="Y1917" s="2" t="s">
        <v>37</v>
      </c>
      <c r="Z1917" s="2" t="s">
        <v>44</v>
      </c>
      <c r="AA1917" s="2"/>
      <c r="AB1917" s="2"/>
      <c r="AC1917" s="2" t="s">
        <v>14733</v>
      </c>
      <c r="AD1917" s="2" t="s">
        <v>46</v>
      </c>
    </row>
    <row r="1918" customFormat="false" ht="15.7" hidden="false" customHeight="true" outlineLevel="0" collapsed="false">
      <c r="A1918" s="2"/>
      <c r="B1918" s="3" t="n">
        <f aca="false">DATE(2012,4,24)</f>
        <v>0</v>
      </c>
      <c r="C1918" s="3" t="n">
        <v>41023</v>
      </c>
      <c r="D1918" s="2" t="s">
        <v>14734</v>
      </c>
      <c r="F1918" s="2" t="s">
        <v>14735</v>
      </c>
      <c r="G1918" s="2" t="s">
        <v>14736</v>
      </c>
      <c r="H1918" s="2" t="s">
        <v>684</v>
      </c>
      <c r="I1918" s="2" t="s">
        <v>131</v>
      </c>
      <c r="J1918" s="2" t="s">
        <v>132</v>
      </c>
      <c r="K1918" s="2" t="s">
        <v>14734</v>
      </c>
      <c r="L1918" s="2" t="s">
        <v>131</v>
      </c>
      <c r="M1918" s="2" t="s">
        <v>684</v>
      </c>
      <c r="N1918" s="2" t="s">
        <v>14737</v>
      </c>
      <c r="O1918" s="2"/>
      <c r="P1918" s="2" t="s">
        <v>37</v>
      </c>
      <c r="Q1918" s="4" t="n">
        <v>2836</v>
      </c>
      <c r="R1918" s="2" t="s">
        <v>105</v>
      </c>
      <c r="S1918" s="2" t="s">
        <v>39</v>
      </c>
      <c r="T1918" s="2" t="s">
        <v>403</v>
      </c>
      <c r="U1918" s="2" t="s">
        <v>14738</v>
      </c>
      <c r="V1918" s="2"/>
      <c r="W1918" s="2" t="s">
        <v>42</v>
      </c>
      <c r="X1918" s="2" t="s">
        <v>43</v>
      </c>
      <c r="Y1918" s="2" t="s">
        <v>37</v>
      </c>
      <c r="Z1918" s="2" t="s">
        <v>44</v>
      </c>
      <c r="AA1918" s="2"/>
      <c r="AB1918" s="2"/>
      <c r="AC1918" s="2" t="s">
        <v>14739</v>
      </c>
      <c r="AD1918" s="2" t="s">
        <v>46</v>
      </c>
    </row>
    <row r="1919" customFormat="false" ht="15.7" hidden="false" customHeight="true" outlineLevel="0" collapsed="false">
      <c r="A1919" s="2"/>
      <c r="B1919" s="3" t="n">
        <f aca="false">DATE(2012,4,24)</f>
        <v>0</v>
      </c>
      <c r="C1919" s="3" t="n">
        <v>41023</v>
      </c>
      <c r="D1919" s="2" t="s">
        <v>14740</v>
      </c>
      <c r="F1919" s="2" t="s">
        <v>14741</v>
      </c>
      <c r="G1919" s="2" t="s">
        <v>14742</v>
      </c>
      <c r="H1919" s="2" t="s">
        <v>478</v>
      </c>
      <c r="I1919" s="2" t="s">
        <v>330</v>
      </c>
      <c r="J1919" s="2" t="s">
        <v>132</v>
      </c>
      <c r="K1919" s="2" t="s">
        <v>14740</v>
      </c>
      <c r="L1919" s="2" t="s">
        <v>330</v>
      </c>
      <c r="M1919" s="2" t="s">
        <v>478</v>
      </c>
      <c r="N1919" s="2" t="s">
        <v>14743</v>
      </c>
      <c r="O1919" s="2"/>
      <c r="P1919" s="2" t="s">
        <v>37</v>
      </c>
      <c r="Q1919" s="4" t="n">
        <v>3841</v>
      </c>
      <c r="R1919" s="2" t="s">
        <v>2201</v>
      </c>
      <c r="S1919" s="2" t="s">
        <v>39</v>
      </c>
      <c r="T1919" s="2" t="s">
        <v>40</v>
      </c>
      <c r="U1919" s="2" t="s">
        <v>14744</v>
      </c>
      <c r="V1919" s="2"/>
      <c r="W1919" s="2" t="s">
        <v>697</v>
      </c>
      <c r="X1919" s="2" t="s">
        <v>43</v>
      </c>
      <c r="Y1919" s="2" t="s">
        <v>37</v>
      </c>
      <c r="Z1919" s="2" t="s">
        <v>44</v>
      </c>
      <c r="AA1919" s="2"/>
      <c r="AB1919" s="2"/>
      <c r="AC1919" s="2" t="s">
        <v>14745</v>
      </c>
      <c r="AD1919" s="2" t="s">
        <v>46</v>
      </c>
    </row>
    <row r="1920" customFormat="false" ht="15.7" hidden="false" customHeight="true" outlineLevel="0" collapsed="false">
      <c r="A1920" s="2"/>
      <c r="B1920" s="3" t="n">
        <f aca="false">DATE(2012,4,24)</f>
        <v>0</v>
      </c>
      <c r="C1920" s="3" t="n">
        <v>41023</v>
      </c>
      <c r="D1920" s="2" t="s">
        <v>14746</v>
      </c>
      <c r="F1920" s="2" t="s">
        <v>14747</v>
      </c>
      <c r="G1920" s="2" t="s">
        <v>14748</v>
      </c>
      <c r="H1920" s="2" t="s">
        <v>14749</v>
      </c>
      <c r="I1920" s="2" t="s">
        <v>6657</v>
      </c>
      <c r="J1920" s="2" t="s">
        <v>35</v>
      </c>
      <c r="K1920" s="2" t="s">
        <v>14750</v>
      </c>
      <c r="L1920" s="2" t="s">
        <v>6657</v>
      </c>
      <c r="M1920" s="2" t="s">
        <v>14751</v>
      </c>
      <c r="N1920" s="2" t="s">
        <v>14752</v>
      </c>
      <c r="O1920" s="2"/>
      <c r="P1920" s="2" t="s">
        <v>37</v>
      </c>
      <c r="Q1920" s="4" t="n">
        <v>2833</v>
      </c>
      <c r="R1920" s="2" t="s">
        <v>2201</v>
      </c>
      <c r="S1920" s="2" t="s">
        <v>39</v>
      </c>
      <c r="T1920" s="2" t="s">
        <v>40</v>
      </c>
      <c r="U1920" s="2" t="s">
        <v>14753</v>
      </c>
      <c r="V1920" s="2"/>
      <c r="W1920" s="2" t="s">
        <v>42</v>
      </c>
      <c r="X1920" s="2" t="s">
        <v>43</v>
      </c>
      <c r="Y1920" s="2" t="s">
        <v>37</v>
      </c>
      <c r="Z1920" s="2" t="s">
        <v>44</v>
      </c>
      <c r="AA1920" s="2"/>
      <c r="AB1920" s="2"/>
      <c r="AC1920" s="2" t="s">
        <v>14754</v>
      </c>
      <c r="AD1920" s="2" t="s">
        <v>46</v>
      </c>
    </row>
    <row r="1921" customFormat="false" ht="15.7" hidden="false" customHeight="true" outlineLevel="0" collapsed="false">
      <c r="A1921" s="2"/>
      <c r="B1921" s="3" t="n">
        <f aca="false">DATE(2012,4,25)</f>
        <v>0</v>
      </c>
      <c r="C1921" s="3" t="n">
        <v>41024</v>
      </c>
      <c r="D1921" s="2" t="s">
        <v>14755</v>
      </c>
      <c r="F1921" s="2" t="s">
        <v>14756</v>
      </c>
      <c r="G1921" s="2" t="s">
        <v>14757</v>
      </c>
      <c r="H1921" s="2" t="s">
        <v>14758</v>
      </c>
      <c r="I1921" s="2" t="s">
        <v>1437</v>
      </c>
      <c r="J1921" s="2" t="s">
        <v>35</v>
      </c>
      <c r="K1921" s="2" t="s">
        <v>14755</v>
      </c>
      <c r="L1921" s="2" t="s">
        <v>1437</v>
      </c>
      <c r="M1921" s="2" t="s">
        <v>14758</v>
      </c>
      <c r="N1921" s="2" t="s">
        <v>14759</v>
      </c>
      <c r="O1921" s="2"/>
      <c r="P1921" s="2" t="s">
        <v>37</v>
      </c>
      <c r="Q1921" s="4" t="n">
        <v>8731</v>
      </c>
      <c r="R1921" s="2" t="s">
        <v>1441</v>
      </c>
      <c r="S1921" s="2" t="s">
        <v>39</v>
      </c>
      <c r="T1921" s="2" t="s">
        <v>403</v>
      </c>
      <c r="U1921" s="2" t="s">
        <v>14760</v>
      </c>
      <c r="V1921" s="2"/>
      <c r="W1921" s="2" t="s">
        <v>42</v>
      </c>
      <c r="X1921" s="2" t="s">
        <v>46</v>
      </c>
      <c r="Y1921" s="2" t="s">
        <v>37</v>
      </c>
      <c r="Z1921" s="2" t="s">
        <v>362</v>
      </c>
      <c r="AA1921" s="2"/>
      <c r="AB1921" s="2"/>
      <c r="AC1921" s="2" t="s">
        <v>14761</v>
      </c>
      <c r="AD1921" s="2" t="s">
        <v>46</v>
      </c>
    </row>
    <row r="1922" customFormat="false" ht="15.7" hidden="false" customHeight="true" outlineLevel="0" collapsed="false">
      <c r="A1922" s="2"/>
      <c r="B1922" s="3" t="n">
        <f aca="false">DATE(2012,4,26)</f>
        <v>0</v>
      </c>
      <c r="C1922" s="3" t="n">
        <v>41025</v>
      </c>
      <c r="D1922" s="2" t="s">
        <v>14762</v>
      </c>
      <c r="F1922" s="2" t="s">
        <v>14763</v>
      </c>
      <c r="G1922" s="2" t="s">
        <v>14764</v>
      </c>
      <c r="H1922" s="2" t="s">
        <v>1101</v>
      </c>
      <c r="I1922" s="2" t="s">
        <v>51</v>
      </c>
      <c r="J1922" s="2" t="s">
        <v>2873</v>
      </c>
      <c r="K1922" s="2" t="s">
        <v>14765</v>
      </c>
      <c r="L1922" s="2" t="s">
        <v>51</v>
      </c>
      <c r="M1922" s="2" t="s">
        <v>814</v>
      </c>
      <c r="N1922" s="2" t="s">
        <v>14766</v>
      </c>
      <c r="O1922" s="2"/>
      <c r="P1922" s="2" t="s">
        <v>37</v>
      </c>
      <c r="Q1922" s="4" t="n">
        <v>8731</v>
      </c>
      <c r="R1922" s="2" t="s">
        <v>136</v>
      </c>
      <c r="S1922" s="2" t="s">
        <v>39</v>
      </c>
      <c r="T1922" s="2" t="s">
        <v>403</v>
      </c>
      <c r="U1922" s="2" t="s">
        <v>14767</v>
      </c>
      <c r="V1922" s="2"/>
      <c r="W1922" s="2" t="s">
        <v>42</v>
      </c>
      <c r="X1922" s="2" t="s">
        <v>43</v>
      </c>
      <c r="Y1922" s="2" t="s">
        <v>37</v>
      </c>
      <c r="Z1922" s="2" t="s">
        <v>44</v>
      </c>
      <c r="AA1922" s="2"/>
      <c r="AB1922" s="2"/>
      <c r="AC1922" s="2" t="s">
        <v>14768</v>
      </c>
      <c r="AD1922" s="2" t="s">
        <v>46</v>
      </c>
    </row>
    <row r="1923" customFormat="false" ht="15.7" hidden="false" customHeight="true" outlineLevel="0" collapsed="false">
      <c r="A1923" s="2"/>
      <c r="B1923" s="3" t="n">
        <f aca="false">DATE(2012,4,26)</f>
        <v>0</v>
      </c>
      <c r="C1923" s="3" t="n">
        <v>41025</v>
      </c>
      <c r="D1923" s="2" t="s">
        <v>14769</v>
      </c>
      <c r="F1923" s="2" t="s">
        <v>14770</v>
      </c>
      <c r="G1923" s="2" t="s">
        <v>14771</v>
      </c>
      <c r="H1923" s="2" t="s">
        <v>1027</v>
      </c>
      <c r="I1923" s="2" t="s">
        <v>51</v>
      </c>
      <c r="J1923" s="2" t="s">
        <v>14772</v>
      </c>
      <c r="K1923" s="2" t="s">
        <v>14769</v>
      </c>
      <c r="L1923" s="2" t="s">
        <v>51</v>
      </c>
      <c r="M1923" s="2" t="s">
        <v>1027</v>
      </c>
      <c r="N1923" s="2" t="s">
        <v>14773</v>
      </c>
      <c r="O1923" s="2"/>
      <c r="P1923" s="2" t="s">
        <v>37</v>
      </c>
      <c r="Q1923" s="4" t="n">
        <v>8731</v>
      </c>
      <c r="R1923" s="2" t="s">
        <v>56</v>
      </c>
      <c r="S1923" s="2" t="s">
        <v>2265</v>
      </c>
      <c r="T1923" s="2" t="s">
        <v>40</v>
      </c>
      <c r="U1923" s="2" t="s">
        <v>14774</v>
      </c>
      <c r="V1923" s="2"/>
      <c r="W1923" s="2" t="s">
        <v>42</v>
      </c>
      <c r="X1923" s="2" t="s">
        <v>43</v>
      </c>
      <c r="Y1923" s="2" t="s">
        <v>37</v>
      </c>
      <c r="Z1923" s="2" t="s">
        <v>44</v>
      </c>
      <c r="AA1923" s="2"/>
      <c r="AB1923" s="2"/>
      <c r="AC1923" s="2" t="s">
        <v>14775</v>
      </c>
      <c r="AD1923" s="2" t="s">
        <v>46</v>
      </c>
    </row>
    <row r="1924" customFormat="false" ht="15.7" hidden="false" customHeight="true" outlineLevel="0" collapsed="false">
      <c r="A1924" s="2"/>
      <c r="B1924" s="3" t="n">
        <f aca="false">DATE(2012,4,26)</f>
        <v>0</v>
      </c>
      <c r="C1924" s="3" t="n">
        <v>41025</v>
      </c>
      <c r="D1924" s="2" t="s">
        <v>14776</v>
      </c>
      <c r="F1924" s="2" t="s">
        <v>14777</v>
      </c>
      <c r="G1924" s="2" t="s">
        <v>14778</v>
      </c>
      <c r="H1924" s="2" t="s">
        <v>14779</v>
      </c>
      <c r="I1924" s="2" t="s">
        <v>14780</v>
      </c>
      <c r="J1924" s="2" t="s">
        <v>116</v>
      </c>
      <c r="K1924" s="2" t="s">
        <v>14776</v>
      </c>
      <c r="L1924" s="2" t="s">
        <v>14780</v>
      </c>
      <c r="M1924" s="2" t="s">
        <v>14779</v>
      </c>
      <c r="N1924" s="2" t="s">
        <v>14781</v>
      </c>
      <c r="O1924" s="2"/>
      <c r="P1924" s="2" t="s">
        <v>37</v>
      </c>
      <c r="Q1924" s="4" t="n">
        <v>2834</v>
      </c>
      <c r="R1924" s="2" t="s">
        <v>136</v>
      </c>
      <c r="S1924" s="2" t="s">
        <v>39</v>
      </c>
      <c r="T1924" s="2" t="s">
        <v>40</v>
      </c>
      <c r="U1924" s="2" t="s">
        <v>14782</v>
      </c>
      <c r="V1924" s="2"/>
      <c r="W1924" s="2" t="s">
        <v>42</v>
      </c>
      <c r="X1924" s="2" t="s">
        <v>43</v>
      </c>
      <c r="Y1924" s="2" t="s">
        <v>37</v>
      </c>
      <c r="Z1924" s="2" t="s">
        <v>916</v>
      </c>
      <c r="AA1924" s="2"/>
      <c r="AB1924" s="2"/>
      <c r="AC1924" s="2" t="s">
        <v>14783</v>
      </c>
      <c r="AD1924" s="2" t="s">
        <v>46</v>
      </c>
    </row>
    <row r="1925" customFormat="false" ht="15.7" hidden="false" customHeight="true" outlineLevel="0" collapsed="false">
      <c r="A1925" s="2"/>
      <c r="B1925" s="3" t="n">
        <f aca="false">DATE(2012,4,26)</f>
        <v>0</v>
      </c>
      <c r="C1925" s="3" t="n">
        <v>41025</v>
      </c>
      <c r="D1925" s="2" t="s">
        <v>14784</v>
      </c>
      <c r="F1925" s="2" t="s">
        <v>14785</v>
      </c>
      <c r="G1925" s="2" t="s">
        <v>14786</v>
      </c>
      <c r="H1925" s="2" t="s">
        <v>130</v>
      </c>
      <c r="I1925" s="2" t="s">
        <v>330</v>
      </c>
      <c r="J1925" s="2" t="s">
        <v>966</v>
      </c>
      <c r="K1925" s="2" t="s">
        <v>14784</v>
      </c>
      <c r="L1925" s="2" t="s">
        <v>330</v>
      </c>
      <c r="M1925" s="2" t="s">
        <v>130</v>
      </c>
      <c r="N1925" s="2" t="s">
        <v>14787</v>
      </c>
      <c r="O1925" s="2"/>
      <c r="P1925" s="2" t="s">
        <v>37</v>
      </c>
      <c r="Q1925" s="4" t="n">
        <v>2834</v>
      </c>
      <c r="R1925" s="2" t="s">
        <v>136</v>
      </c>
      <c r="S1925" s="2" t="s">
        <v>39</v>
      </c>
      <c r="T1925" s="2" t="s">
        <v>40</v>
      </c>
      <c r="U1925" s="2" t="s">
        <v>14788</v>
      </c>
      <c r="V1925" s="2"/>
      <c r="W1925" s="2" t="s">
        <v>138</v>
      </c>
      <c r="X1925" s="2" t="s">
        <v>43</v>
      </c>
      <c r="Y1925" s="2" t="s">
        <v>37</v>
      </c>
      <c r="Z1925" s="2" t="s">
        <v>44</v>
      </c>
      <c r="AA1925" s="2" t="s">
        <v>14789</v>
      </c>
      <c r="AB1925" s="2"/>
      <c r="AC1925" s="2" t="s">
        <v>14790</v>
      </c>
      <c r="AD1925" s="2" t="s">
        <v>46</v>
      </c>
    </row>
    <row r="1926" customFormat="false" ht="15.7" hidden="false" customHeight="true" outlineLevel="0" collapsed="false">
      <c r="A1926" s="2"/>
      <c r="B1926" s="3" t="n">
        <f aca="false">DATE(2012,4,27)</f>
        <v>0</v>
      </c>
      <c r="C1926" s="3" t="n">
        <v>41026</v>
      </c>
      <c r="D1926" s="2" t="s">
        <v>14791</v>
      </c>
      <c r="F1926" s="2" t="s">
        <v>14792</v>
      </c>
      <c r="G1926" s="2" t="s">
        <v>14793</v>
      </c>
      <c r="H1926" s="2" t="s">
        <v>14794</v>
      </c>
      <c r="I1926" s="2" t="s">
        <v>14795</v>
      </c>
      <c r="J1926" s="2" t="s">
        <v>35</v>
      </c>
      <c r="K1926" s="2" t="s">
        <v>14791</v>
      </c>
      <c r="L1926" s="2" t="s">
        <v>14795</v>
      </c>
      <c r="M1926" s="2" t="s">
        <v>14794</v>
      </c>
      <c r="N1926" s="2" t="s">
        <v>14796</v>
      </c>
      <c r="O1926" s="2"/>
      <c r="P1926" s="2" t="s">
        <v>37</v>
      </c>
      <c r="Q1926" s="4" t="n">
        <v>3559</v>
      </c>
      <c r="R1926" s="2" t="s">
        <v>1402</v>
      </c>
      <c r="S1926" s="2" t="s">
        <v>39</v>
      </c>
      <c r="T1926" s="2" t="s">
        <v>403</v>
      </c>
      <c r="U1926" s="2" t="s">
        <v>14797</v>
      </c>
      <c r="V1926" s="2"/>
      <c r="W1926" s="2" t="s">
        <v>42</v>
      </c>
      <c r="X1926" s="2" t="s">
        <v>46</v>
      </c>
      <c r="Y1926" s="2" t="s">
        <v>37</v>
      </c>
      <c r="Z1926" s="2" t="s">
        <v>362</v>
      </c>
      <c r="AA1926" s="2"/>
      <c r="AB1926" s="2"/>
      <c r="AC1926" s="2" t="s">
        <v>14798</v>
      </c>
      <c r="AD1926" s="2" t="s">
        <v>46</v>
      </c>
    </row>
    <row r="1927" customFormat="false" ht="15.7" hidden="false" customHeight="true" outlineLevel="0" collapsed="false">
      <c r="A1927" s="2"/>
      <c r="B1927" s="3" t="n">
        <f aca="false">DATE(2012,5,1)</f>
        <v>0</v>
      </c>
      <c r="C1927" s="3" t="n">
        <v>41030</v>
      </c>
      <c r="D1927" s="2" t="s">
        <v>14799</v>
      </c>
      <c r="F1927" s="2" t="s">
        <v>14800</v>
      </c>
      <c r="G1927" s="2" t="s">
        <v>14801</v>
      </c>
      <c r="H1927" s="2" t="s">
        <v>836</v>
      </c>
      <c r="I1927" s="2" t="s">
        <v>1617</v>
      </c>
      <c r="J1927" s="2" t="s">
        <v>14802</v>
      </c>
      <c r="K1927" s="2" t="s">
        <v>14799</v>
      </c>
      <c r="L1927" s="2" t="s">
        <v>1617</v>
      </c>
      <c r="M1927" s="2" t="s">
        <v>836</v>
      </c>
      <c r="N1927" s="2" t="s">
        <v>14803</v>
      </c>
      <c r="O1927" s="2"/>
      <c r="P1927" s="2" t="s">
        <v>37</v>
      </c>
      <c r="Q1927" s="4" t="n">
        <v>6799</v>
      </c>
      <c r="R1927" s="2" t="s">
        <v>56</v>
      </c>
      <c r="S1927" s="2" t="s">
        <v>481</v>
      </c>
      <c r="T1927" s="2" t="s">
        <v>403</v>
      </c>
      <c r="U1927" s="2" t="s">
        <v>14804</v>
      </c>
      <c r="V1927" s="2"/>
      <c r="W1927" s="2" t="s">
        <v>14805</v>
      </c>
      <c r="X1927" s="2" t="s">
        <v>46</v>
      </c>
      <c r="Y1927" s="2" t="s">
        <v>37</v>
      </c>
      <c r="Z1927" s="2" t="s">
        <v>452</v>
      </c>
      <c r="AA1927" s="2" t="s">
        <v>14806</v>
      </c>
      <c r="AB1927" s="2"/>
      <c r="AC1927" s="2" t="s">
        <v>14807</v>
      </c>
      <c r="AD1927" s="2" t="s">
        <v>46</v>
      </c>
    </row>
    <row r="1928" customFormat="false" ht="15.7" hidden="false" customHeight="true" outlineLevel="0" collapsed="false">
      <c r="A1928" s="2"/>
      <c r="B1928" s="3" t="n">
        <f aca="false">DATE(2012,5,1)</f>
        <v>0</v>
      </c>
      <c r="C1928" s="3" t="n">
        <v>41030</v>
      </c>
      <c r="D1928" s="2" t="s">
        <v>14808</v>
      </c>
      <c r="F1928" s="2" t="s">
        <v>14809</v>
      </c>
      <c r="G1928" s="2" t="s">
        <v>14810</v>
      </c>
      <c r="H1928" s="2" t="s">
        <v>368</v>
      </c>
      <c r="I1928" s="2" t="s">
        <v>330</v>
      </c>
      <c r="J1928" s="2" t="s">
        <v>14811</v>
      </c>
      <c r="K1928" s="2" t="s">
        <v>14808</v>
      </c>
      <c r="L1928" s="2" t="s">
        <v>330</v>
      </c>
      <c r="M1928" s="2" t="s">
        <v>368</v>
      </c>
      <c r="N1928" s="2" t="s">
        <v>14812</v>
      </c>
      <c r="O1928" s="2"/>
      <c r="P1928" s="2" t="s">
        <v>37</v>
      </c>
      <c r="Q1928" s="4" t="n">
        <v>2833</v>
      </c>
      <c r="R1928" s="2" t="s">
        <v>136</v>
      </c>
      <c r="S1928" s="2" t="s">
        <v>39</v>
      </c>
      <c r="T1928" s="2" t="s">
        <v>40</v>
      </c>
      <c r="U1928" s="2" t="s">
        <v>14813</v>
      </c>
      <c r="V1928" s="2"/>
      <c r="W1928" s="2" t="s">
        <v>42</v>
      </c>
      <c r="X1928" s="2" t="s">
        <v>43</v>
      </c>
      <c r="Y1928" s="2" t="s">
        <v>37</v>
      </c>
      <c r="Z1928" s="2" t="s">
        <v>44</v>
      </c>
      <c r="AA1928" s="2"/>
      <c r="AB1928" s="2"/>
      <c r="AC1928" s="2" t="s">
        <v>14814</v>
      </c>
      <c r="AD1928" s="2" t="s">
        <v>46</v>
      </c>
    </row>
    <row r="1929" customFormat="false" ht="15.7" hidden="false" customHeight="true" outlineLevel="0" collapsed="false">
      <c r="A1929" s="2"/>
      <c r="B1929" s="3" t="n">
        <f aca="false">DATE(2012,5,1)</f>
        <v>0</v>
      </c>
      <c r="C1929" s="3" t="n">
        <v>41030</v>
      </c>
      <c r="D1929" s="2" t="s">
        <v>14815</v>
      </c>
      <c r="F1929" s="2" t="s">
        <v>14816</v>
      </c>
      <c r="G1929" s="2" t="s">
        <v>14817</v>
      </c>
      <c r="H1929" s="2" t="s">
        <v>305</v>
      </c>
      <c r="I1929" s="2" t="s">
        <v>51</v>
      </c>
      <c r="J1929" s="2" t="s">
        <v>171</v>
      </c>
      <c r="K1929" s="2" t="s">
        <v>14815</v>
      </c>
      <c r="L1929" s="2" t="s">
        <v>51</v>
      </c>
      <c r="M1929" s="2" t="s">
        <v>305</v>
      </c>
      <c r="N1929" s="2" t="s">
        <v>14818</v>
      </c>
      <c r="O1929" s="2"/>
      <c r="P1929" s="2" t="s">
        <v>37</v>
      </c>
      <c r="Q1929" s="4" t="n">
        <v>8731</v>
      </c>
      <c r="R1929" s="2" t="s">
        <v>56</v>
      </c>
      <c r="S1929" s="2" t="s">
        <v>92</v>
      </c>
      <c r="T1929" s="2" t="s">
        <v>403</v>
      </c>
      <c r="U1929" s="2" t="s">
        <v>14819</v>
      </c>
      <c r="V1929" s="2"/>
      <c r="W1929" s="2" t="s">
        <v>344</v>
      </c>
      <c r="X1929" s="2" t="s">
        <v>43</v>
      </c>
      <c r="Y1929" s="2" t="s">
        <v>37</v>
      </c>
      <c r="Z1929" s="2" t="s">
        <v>44</v>
      </c>
      <c r="AA1929" s="2"/>
      <c r="AB1929" s="2"/>
      <c r="AC1929" s="2" t="s">
        <v>14820</v>
      </c>
      <c r="AD1929" s="2" t="s">
        <v>46</v>
      </c>
    </row>
    <row r="1930" customFormat="false" ht="15.7" hidden="false" customHeight="true" outlineLevel="0" collapsed="false">
      <c r="A1930" s="2"/>
      <c r="B1930" s="3" t="n">
        <f aca="false">DATE(2012,5,2)</f>
        <v>0</v>
      </c>
      <c r="C1930" s="3" t="n">
        <v>41031</v>
      </c>
      <c r="D1930" s="2" t="s">
        <v>14821</v>
      </c>
      <c r="F1930" s="2" t="s">
        <v>14822</v>
      </c>
      <c r="G1930" s="2" t="s">
        <v>14823</v>
      </c>
      <c r="H1930" s="2" t="s">
        <v>5687</v>
      </c>
      <c r="I1930" s="2" t="s">
        <v>51</v>
      </c>
      <c r="J1930" s="2" t="s">
        <v>171</v>
      </c>
      <c r="K1930" s="2" t="s">
        <v>14821</v>
      </c>
      <c r="L1930" s="2" t="s">
        <v>51</v>
      </c>
      <c r="M1930" s="2" t="s">
        <v>5687</v>
      </c>
      <c r="N1930" s="2" t="s">
        <v>14824</v>
      </c>
      <c r="O1930" s="2"/>
      <c r="P1930" s="2" t="s">
        <v>37</v>
      </c>
      <c r="Q1930" s="4" t="n">
        <v>8731</v>
      </c>
      <c r="R1930" s="2" t="s">
        <v>56</v>
      </c>
      <c r="S1930" s="2" t="s">
        <v>2265</v>
      </c>
      <c r="T1930" s="2" t="s">
        <v>40</v>
      </c>
      <c r="U1930" s="2" t="s">
        <v>14825</v>
      </c>
      <c r="V1930" s="2"/>
      <c r="W1930" s="2" t="s">
        <v>344</v>
      </c>
      <c r="X1930" s="2" t="s">
        <v>43</v>
      </c>
      <c r="Y1930" s="2" t="s">
        <v>37</v>
      </c>
      <c r="Z1930" s="2" t="s">
        <v>44</v>
      </c>
      <c r="AA1930" s="2"/>
      <c r="AB1930" s="2"/>
      <c r="AC1930" s="2" t="s">
        <v>14826</v>
      </c>
      <c r="AD1930" s="2" t="s">
        <v>46</v>
      </c>
    </row>
    <row r="1931" customFormat="false" ht="15.7" hidden="false" customHeight="true" outlineLevel="0" collapsed="false">
      <c r="A1931" s="2"/>
      <c r="B1931" s="3" t="n">
        <f aca="false">DATE(2012,5,3)</f>
        <v>0</v>
      </c>
      <c r="C1931" s="3" t="n">
        <v>41032</v>
      </c>
      <c r="D1931" s="2" t="s">
        <v>14827</v>
      </c>
      <c r="F1931" s="2" t="s">
        <v>3415</v>
      </c>
      <c r="G1931" s="2" t="s">
        <v>14828</v>
      </c>
      <c r="H1931" s="2" t="s">
        <v>305</v>
      </c>
      <c r="I1931" s="2" t="s">
        <v>821</v>
      </c>
      <c r="J1931" s="2" t="s">
        <v>1983</v>
      </c>
      <c r="K1931" s="2" t="s">
        <v>14829</v>
      </c>
      <c r="L1931" s="2" t="s">
        <v>821</v>
      </c>
      <c r="M1931" s="2" t="s">
        <v>305</v>
      </c>
      <c r="N1931" s="2" t="s">
        <v>14830</v>
      </c>
      <c r="O1931" s="2"/>
      <c r="P1931" s="2" t="s">
        <v>37</v>
      </c>
      <c r="Q1931" s="4" t="n">
        <v>8731</v>
      </c>
      <c r="R1931" s="2" t="s">
        <v>450</v>
      </c>
      <c r="S1931" s="2" t="s">
        <v>39</v>
      </c>
      <c r="T1931" s="2" t="s">
        <v>403</v>
      </c>
      <c r="U1931" s="2" t="s">
        <v>14831</v>
      </c>
      <c r="V1931" s="2"/>
      <c r="W1931" s="2" t="s">
        <v>42</v>
      </c>
      <c r="X1931" s="2" t="s">
        <v>46</v>
      </c>
      <c r="Y1931" s="2" t="s">
        <v>37</v>
      </c>
      <c r="Z1931" s="2" t="s">
        <v>362</v>
      </c>
      <c r="AA1931" s="2"/>
      <c r="AB1931" s="2"/>
      <c r="AC1931" s="2" t="s">
        <v>14832</v>
      </c>
      <c r="AD1931" s="2" t="s">
        <v>46</v>
      </c>
    </row>
    <row r="1932" customFormat="false" ht="15.7" hidden="false" customHeight="true" outlineLevel="0" collapsed="false">
      <c r="A1932" s="2"/>
      <c r="B1932" s="3" t="n">
        <f aca="false">DATE(2012,5,3)</f>
        <v>0</v>
      </c>
      <c r="C1932" s="3" t="n">
        <v>41032</v>
      </c>
      <c r="D1932" s="2" t="s">
        <v>14833</v>
      </c>
      <c r="F1932" s="2" t="s">
        <v>14834</v>
      </c>
      <c r="G1932" s="2" t="s">
        <v>14835</v>
      </c>
      <c r="H1932" s="2" t="s">
        <v>14836</v>
      </c>
      <c r="I1932" s="2" t="s">
        <v>51</v>
      </c>
      <c r="J1932" s="2" t="s">
        <v>2338</v>
      </c>
      <c r="K1932" s="2" t="s">
        <v>14837</v>
      </c>
      <c r="L1932" s="2" t="s">
        <v>664</v>
      </c>
      <c r="M1932" s="2" t="s">
        <v>14838</v>
      </c>
      <c r="N1932" s="2" t="s">
        <v>14839</v>
      </c>
      <c r="O1932" s="2"/>
      <c r="P1932" s="2" t="s">
        <v>37</v>
      </c>
      <c r="Q1932" s="4" t="n">
        <v>8731</v>
      </c>
      <c r="R1932" s="2" t="s">
        <v>136</v>
      </c>
      <c r="S1932" s="2" t="s">
        <v>39</v>
      </c>
      <c r="T1932" s="2" t="s">
        <v>403</v>
      </c>
      <c r="U1932" s="2" t="s">
        <v>14840</v>
      </c>
      <c r="V1932" s="2"/>
      <c r="W1932" s="2" t="s">
        <v>42</v>
      </c>
      <c r="X1932" s="2" t="s">
        <v>43</v>
      </c>
      <c r="Y1932" s="2" t="s">
        <v>37</v>
      </c>
      <c r="Z1932" s="2" t="s">
        <v>44</v>
      </c>
      <c r="AA1932" s="2"/>
      <c r="AB1932" s="2"/>
      <c r="AC1932" s="2" t="s">
        <v>14841</v>
      </c>
      <c r="AD1932" s="2" t="s">
        <v>46</v>
      </c>
    </row>
    <row r="1933" customFormat="false" ht="15.7" hidden="false" customHeight="true" outlineLevel="0" collapsed="false">
      <c r="A1933" s="2"/>
      <c r="B1933" s="3" t="n">
        <f aca="false">DATE(2012,5,7)</f>
        <v>0</v>
      </c>
      <c r="C1933" s="3" t="n">
        <v>41036</v>
      </c>
      <c r="D1933" s="2" t="s">
        <v>14842</v>
      </c>
      <c r="F1933" s="2" t="s">
        <v>256</v>
      </c>
      <c r="G1933" s="2" t="s">
        <v>14843</v>
      </c>
      <c r="H1933" s="2" t="s">
        <v>170</v>
      </c>
      <c r="I1933" s="2" t="s">
        <v>154</v>
      </c>
      <c r="J1933" s="2" t="s">
        <v>625</v>
      </c>
      <c r="K1933" s="2" t="s">
        <v>14842</v>
      </c>
      <c r="L1933" s="2" t="s">
        <v>154</v>
      </c>
      <c r="M1933" s="2" t="s">
        <v>170</v>
      </c>
      <c r="N1933" s="2" t="s">
        <v>14844</v>
      </c>
      <c r="O1933" s="2"/>
      <c r="P1933" s="2" t="s">
        <v>37</v>
      </c>
      <c r="Q1933" s="4" t="n">
        <v>8731</v>
      </c>
      <c r="R1933" s="2" t="s">
        <v>136</v>
      </c>
      <c r="S1933" s="2" t="s">
        <v>39</v>
      </c>
      <c r="T1933" s="2" t="s">
        <v>40</v>
      </c>
      <c r="U1933" s="2" t="s">
        <v>14845</v>
      </c>
      <c r="V1933" s="2"/>
      <c r="W1933" s="2" t="s">
        <v>42</v>
      </c>
      <c r="X1933" s="2" t="s">
        <v>43</v>
      </c>
      <c r="Y1933" s="2" t="s">
        <v>37</v>
      </c>
      <c r="Z1933" s="2" t="s">
        <v>44</v>
      </c>
      <c r="AA1933" s="2"/>
      <c r="AB1933" s="2"/>
      <c r="AC1933" s="2" t="s">
        <v>14846</v>
      </c>
      <c r="AD1933" s="2" t="s">
        <v>46</v>
      </c>
    </row>
    <row r="1934" customFormat="false" ht="15.7" hidden="false" customHeight="true" outlineLevel="0" collapsed="false">
      <c r="A1934" s="2"/>
      <c r="B1934" s="3" t="n">
        <f aca="false">DATE(2012,5,7)</f>
        <v>0</v>
      </c>
      <c r="C1934" s="3" t="n">
        <v>41036</v>
      </c>
      <c r="D1934" s="2" t="s">
        <v>14847</v>
      </c>
      <c r="F1934" s="2" t="s">
        <v>14848</v>
      </c>
      <c r="G1934" s="2" t="s">
        <v>14849</v>
      </c>
      <c r="H1934" s="2" t="s">
        <v>153</v>
      </c>
      <c r="I1934" s="2" t="s">
        <v>51</v>
      </c>
      <c r="J1934" s="2" t="s">
        <v>14850</v>
      </c>
      <c r="K1934" s="2" t="s">
        <v>14847</v>
      </c>
      <c r="L1934" s="2" t="s">
        <v>51</v>
      </c>
      <c r="M1934" s="2" t="s">
        <v>153</v>
      </c>
      <c r="N1934" s="2" t="s">
        <v>14851</v>
      </c>
      <c r="O1934" s="2"/>
      <c r="P1934" s="2" t="s">
        <v>37</v>
      </c>
      <c r="Q1934" s="4" t="n">
        <v>3829</v>
      </c>
      <c r="R1934" s="2" t="s">
        <v>56</v>
      </c>
      <c r="S1934" s="2" t="s">
        <v>2265</v>
      </c>
      <c r="T1934" s="2" t="s">
        <v>40</v>
      </c>
      <c r="U1934" s="2" t="s">
        <v>14852</v>
      </c>
      <c r="V1934" s="2"/>
      <c r="W1934" s="2" t="s">
        <v>42</v>
      </c>
      <c r="X1934" s="2" t="s">
        <v>43</v>
      </c>
      <c r="Y1934" s="2" t="s">
        <v>37</v>
      </c>
      <c r="Z1934" s="2" t="s">
        <v>44</v>
      </c>
      <c r="AA1934" s="2"/>
      <c r="AB1934" s="2"/>
      <c r="AC1934" s="2" t="s">
        <v>14853</v>
      </c>
      <c r="AD1934" s="2" t="s">
        <v>46</v>
      </c>
    </row>
    <row r="1935" customFormat="false" ht="15.7" hidden="false" customHeight="true" outlineLevel="0" collapsed="false">
      <c r="A1935" s="2"/>
      <c r="B1935" s="3" t="n">
        <f aca="false">DATE(2012,5,7)</f>
        <v>0</v>
      </c>
      <c r="C1935" s="3" t="n">
        <v>41036</v>
      </c>
      <c r="D1935" s="2" t="s">
        <v>14854</v>
      </c>
      <c r="F1935" s="2" t="s">
        <v>14855</v>
      </c>
      <c r="G1935" s="2" t="s">
        <v>14856</v>
      </c>
      <c r="H1935" s="2" t="s">
        <v>14857</v>
      </c>
      <c r="I1935" s="2" t="s">
        <v>14858</v>
      </c>
      <c r="J1935" s="2" t="s">
        <v>116</v>
      </c>
      <c r="K1935" s="2" t="s">
        <v>14859</v>
      </c>
      <c r="L1935" s="2" t="s">
        <v>14858</v>
      </c>
      <c r="M1935" s="2" t="s">
        <v>14860</v>
      </c>
      <c r="N1935" s="2" t="s">
        <v>14861</v>
      </c>
      <c r="O1935" s="2"/>
      <c r="P1935" s="2" t="s">
        <v>37</v>
      </c>
      <c r="Q1935" s="4" t="n">
        <v>8063</v>
      </c>
      <c r="R1935" s="2" t="s">
        <v>1448</v>
      </c>
      <c r="S1935" s="2" t="s">
        <v>39</v>
      </c>
      <c r="T1935" s="2" t="s">
        <v>40</v>
      </c>
      <c r="U1935" s="2" t="s">
        <v>14862</v>
      </c>
      <c r="V1935" s="2"/>
      <c r="W1935" s="2" t="s">
        <v>344</v>
      </c>
      <c r="X1935" s="2" t="s">
        <v>46</v>
      </c>
      <c r="Y1935" s="2" t="s">
        <v>37</v>
      </c>
      <c r="Z1935" s="2" t="s">
        <v>12067</v>
      </c>
      <c r="AA1935" s="2" t="s">
        <v>14863</v>
      </c>
      <c r="AB1935" s="2"/>
      <c r="AC1935" s="2" t="s">
        <v>14864</v>
      </c>
      <c r="AD1935" s="2" t="s">
        <v>46</v>
      </c>
    </row>
    <row r="1936" customFormat="false" ht="15.7" hidden="false" customHeight="true" outlineLevel="0" collapsed="false">
      <c r="A1936" s="2"/>
      <c r="B1936" s="3" t="n">
        <f aca="false">DATE(2012,5,8)</f>
        <v>0</v>
      </c>
      <c r="C1936" s="3" t="n">
        <v>41037</v>
      </c>
      <c r="D1936" s="2" t="s">
        <v>14865</v>
      </c>
      <c r="F1936" s="2" t="s">
        <v>14866</v>
      </c>
      <c r="G1936" s="2" t="s">
        <v>14867</v>
      </c>
      <c r="H1936" s="2" t="s">
        <v>5982</v>
      </c>
      <c r="I1936" s="2" t="s">
        <v>51</v>
      </c>
      <c r="J1936" s="2" t="s">
        <v>178</v>
      </c>
      <c r="K1936" s="2" t="s">
        <v>14865</v>
      </c>
      <c r="L1936" s="2" t="s">
        <v>51</v>
      </c>
      <c r="M1936" s="2" t="s">
        <v>5982</v>
      </c>
      <c r="N1936" s="2" t="s">
        <v>14868</v>
      </c>
      <c r="O1936" s="2"/>
      <c r="P1936" s="2" t="s">
        <v>37</v>
      </c>
      <c r="Q1936" s="4" t="n">
        <v>8731</v>
      </c>
      <c r="R1936" s="2" t="s">
        <v>136</v>
      </c>
      <c r="S1936" s="2" t="s">
        <v>39</v>
      </c>
      <c r="T1936" s="2" t="s">
        <v>40</v>
      </c>
      <c r="U1936" s="2" t="s">
        <v>14869</v>
      </c>
      <c r="V1936" s="2"/>
      <c r="W1936" s="2" t="s">
        <v>42</v>
      </c>
      <c r="X1936" s="2" t="s">
        <v>43</v>
      </c>
      <c r="Y1936" s="2" t="s">
        <v>37</v>
      </c>
      <c r="Z1936" s="2" t="s">
        <v>44</v>
      </c>
      <c r="AA1936" s="2"/>
      <c r="AB1936" s="2"/>
      <c r="AC1936" s="2" t="s">
        <v>14870</v>
      </c>
      <c r="AD1936" s="2" t="s">
        <v>46</v>
      </c>
    </row>
    <row r="1937" customFormat="false" ht="15.7" hidden="false" customHeight="true" outlineLevel="0" collapsed="false">
      <c r="A1937" s="2"/>
      <c r="B1937" s="3" t="n">
        <f aca="false">DATE(2012,5,10)</f>
        <v>0</v>
      </c>
      <c r="C1937" s="3" t="n">
        <v>41039</v>
      </c>
      <c r="D1937" s="2" t="s">
        <v>14871</v>
      </c>
      <c r="F1937" s="2" t="s">
        <v>14872</v>
      </c>
      <c r="G1937" s="2" t="s">
        <v>14873</v>
      </c>
      <c r="H1937" s="2" t="s">
        <v>14874</v>
      </c>
      <c r="I1937" s="2" t="s">
        <v>51</v>
      </c>
      <c r="J1937" s="2" t="s">
        <v>2816</v>
      </c>
      <c r="K1937" s="2" t="s">
        <v>14875</v>
      </c>
      <c r="L1937" s="2" t="s">
        <v>51</v>
      </c>
      <c r="M1937" s="2" t="s">
        <v>14876</v>
      </c>
      <c r="N1937" s="2" t="s">
        <v>14877</v>
      </c>
      <c r="O1937" s="2"/>
      <c r="P1937" s="2" t="s">
        <v>37</v>
      </c>
      <c r="Q1937" s="4" t="n">
        <v>8731</v>
      </c>
      <c r="R1937" s="2" t="s">
        <v>136</v>
      </c>
      <c r="S1937" s="2" t="s">
        <v>39</v>
      </c>
      <c r="T1937" s="2" t="s">
        <v>40</v>
      </c>
      <c r="U1937" s="2" t="s">
        <v>14878</v>
      </c>
      <c r="V1937" s="2"/>
      <c r="W1937" s="2" t="s">
        <v>773</v>
      </c>
      <c r="X1937" s="2" t="s">
        <v>43</v>
      </c>
      <c r="Y1937" s="2" t="s">
        <v>37</v>
      </c>
      <c r="Z1937" s="2" t="s">
        <v>44</v>
      </c>
      <c r="AA1937" s="2"/>
      <c r="AB1937" s="2"/>
      <c r="AC1937" s="2" t="s">
        <v>14879</v>
      </c>
      <c r="AD1937" s="2" t="s">
        <v>46</v>
      </c>
    </row>
    <row r="1938" customFormat="false" ht="15.7" hidden="false" customHeight="true" outlineLevel="0" collapsed="false">
      <c r="A1938" s="2"/>
      <c r="B1938" s="3" t="n">
        <f aca="false">DATE(2012,5,14)</f>
        <v>0</v>
      </c>
      <c r="C1938" s="3" t="n">
        <v>41043</v>
      </c>
      <c r="D1938" s="2" t="s">
        <v>14880</v>
      </c>
      <c r="F1938" s="2" t="s">
        <v>14881</v>
      </c>
      <c r="G1938" s="2" t="s">
        <v>14882</v>
      </c>
      <c r="H1938" s="2" t="s">
        <v>14883</v>
      </c>
      <c r="I1938" s="2" t="s">
        <v>51</v>
      </c>
      <c r="J1938" s="2" t="s">
        <v>171</v>
      </c>
      <c r="K1938" s="2" t="s">
        <v>14880</v>
      </c>
      <c r="L1938" s="2" t="s">
        <v>51</v>
      </c>
      <c r="M1938" s="2" t="s">
        <v>14883</v>
      </c>
      <c r="N1938" s="2" t="s">
        <v>14884</v>
      </c>
      <c r="O1938" s="2"/>
      <c r="P1938" s="2" t="s">
        <v>37</v>
      </c>
      <c r="Q1938" s="4" t="n">
        <v>3674</v>
      </c>
      <c r="R1938" s="2" t="s">
        <v>56</v>
      </c>
      <c r="S1938" s="2" t="s">
        <v>2265</v>
      </c>
      <c r="T1938" s="2" t="s">
        <v>40</v>
      </c>
      <c r="U1938" s="2" t="s">
        <v>14885</v>
      </c>
      <c r="V1938" s="2"/>
      <c r="W1938" s="2" t="s">
        <v>697</v>
      </c>
      <c r="X1938" s="2" t="s">
        <v>43</v>
      </c>
      <c r="Y1938" s="2" t="s">
        <v>37</v>
      </c>
      <c r="Z1938" s="2" t="s">
        <v>44</v>
      </c>
      <c r="AA1938" s="2"/>
      <c r="AB1938" s="2"/>
      <c r="AC1938" s="2" t="s">
        <v>14886</v>
      </c>
      <c r="AD1938" s="2" t="s">
        <v>46</v>
      </c>
    </row>
    <row r="1939" customFormat="false" ht="15.7" hidden="false" customHeight="true" outlineLevel="0" collapsed="false">
      <c r="A1939" s="2"/>
      <c r="B1939" s="3" t="n">
        <f aca="false">DATE(2012,5,14)</f>
        <v>0</v>
      </c>
      <c r="C1939" s="3" t="n">
        <v>41043</v>
      </c>
      <c r="D1939" s="2" t="s">
        <v>14887</v>
      </c>
      <c r="F1939" s="2" t="s">
        <v>256</v>
      </c>
      <c r="G1939" s="2" t="s">
        <v>14888</v>
      </c>
      <c r="H1939" s="2" t="s">
        <v>170</v>
      </c>
      <c r="I1939" s="2" t="s">
        <v>88</v>
      </c>
      <c r="J1939" s="2" t="s">
        <v>625</v>
      </c>
      <c r="K1939" s="2" t="s">
        <v>14887</v>
      </c>
      <c r="L1939" s="2" t="s">
        <v>88</v>
      </c>
      <c r="M1939" s="2" t="s">
        <v>170</v>
      </c>
      <c r="N1939" s="2" t="s">
        <v>14889</v>
      </c>
      <c r="O1939" s="2"/>
      <c r="P1939" s="2" t="s">
        <v>37</v>
      </c>
      <c r="Q1939" s="4" t="n">
        <v>2836</v>
      </c>
      <c r="R1939" s="2" t="s">
        <v>56</v>
      </c>
      <c r="S1939" s="2" t="s">
        <v>2265</v>
      </c>
      <c r="T1939" s="2" t="s">
        <v>40</v>
      </c>
      <c r="U1939" s="2" t="s">
        <v>14890</v>
      </c>
      <c r="V1939" s="2"/>
      <c r="W1939" s="2" t="s">
        <v>42</v>
      </c>
      <c r="X1939" s="2" t="s">
        <v>43</v>
      </c>
      <c r="Y1939" s="2" t="s">
        <v>37</v>
      </c>
      <c r="Z1939" s="2" t="s">
        <v>44</v>
      </c>
      <c r="AA1939" s="2"/>
      <c r="AB1939" s="2"/>
      <c r="AC1939" s="2" t="s">
        <v>14891</v>
      </c>
      <c r="AD1939" s="2" t="s">
        <v>46</v>
      </c>
    </row>
    <row r="1940" customFormat="false" ht="15.7" hidden="false" customHeight="true" outlineLevel="0" collapsed="false">
      <c r="A1940" s="2"/>
      <c r="B1940" s="3" t="n">
        <f aca="false">DATE(2012,5,16)</f>
        <v>0</v>
      </c>
      <c r="C1940" s="3" t="n">
        <v>41045</v>
      </c>
      <c r="D1940" s="2" t="s">
        <v>14892</v>
      </c>
      <c r="F1940" s="2" t="s">
        <v>14893</v>
      </c>
      <c r="G1940" s="2" t="s">
        <v>14894</v>
      </c>
      <c r="H1940" s="2" t="s">
        <v>1101</v>
      </c>
      <c r="I1940" s="2" t="s">
        <v>51</v>
      </c>
      <c r="J1940" s="2" t="s">
        <v>1496</v>
      </c>
      <c r="K1940" s="2" t="s">
        <v>14895</v>
      </c>
      <c r="L1940" s="2" t="s">
        <v>51</v>
      </c>
      <c r="M1940" s="2" t="s">
        <v>14896</v>
      </c>
      <c r="N1940" s="2" t="s">
        <v>14897</v>
      </c>
      <c r="O1940" s="2"/>
      <c r="P1940" s="2" t="s">
        <v>37</v>
      </c>
      <c r="Q1940" s="4" t="n">
        <v>2836</v>
      </c>
      <c r="R1940" s="2" t="s">
        <v>56</v>
      </c>
      <c r="S1940" s="2" t="s">
        <v>2265</v>
      </c>
      <c r="T1940" s="2" t="s">
        <v>403</v>
      </c>
      <c r="U1940" s="2" t="s">
        <v>14898</v>
      </c>
      <c r="V1940" s="2"/>
      <c r="W1940" s="2" t="s">
        <v>42</v>
      </c>
      <c r="X1940" s="2" t="s">
        <v>46</v>
      </c>
      <c r="Y1940" s="2" t="s">
        <v>37</v>
      </c>
      <c r="Z1940" s="2" t="s">
        <v>362</v>
      </c>
      <c r="AA1940" s="2"/>
      <c r="AB1940" s="2"/>
      <c r="AC1940" s="2" t="s">
        <v>14899</v>
      </c>
      <c r="AD1940" s="2" t="s">
        <v>46</v>
      </c>
    </row>
    <row r="1941" customFormat="false" ht="15.7" hidden="false" customHeight="true" outlineLevel="0" collapsed="false">
      <c r="A1941" s="2"/>
      <c r="B1941" s="3" t="n">
        <f aca="false">DATE(2012,5,16)</f>
        <v>0</v>
      </c>
      <c r="C1941" s="3" t="n">
        <v>41045</v>
      </c>
      <c r="D1941" s="2" t="s">
        <v>14900</v>
      </c>
      <c r="F1941" s="2" t="s">
        <v>6617</v>
      </c>
      <c r="G1941" s="2" t="s">
        <v>14901</v>
      </c>
      <c r="H1941" s="2" t="s">
        <v>170</v>
      </c>
      <c r="I1941" s="2" t="s">
        <v>88</v>
      </c>
      <c r="J1941" s="2" t="s">
        <v>65</v>
      </c>
      <c r="K1941" s="2" t="s">
        <v>14900</v>
      </c>
      <c r="L1941" s="2" t="s">
        <v>88</v>
      </c>
      <c r="M1941" s="2" t="s">
        <v>170</v>
      </c>
      <c r="N1941" s="2" t="s">
        <v>14902</v>
      </c>
      <c r="O1941" s="2"/>
      <c r="P1941" s="2" t="s">
        <v>37</v>
      </c>
      <c r="Q1941" s="4" t="n">
        <v>2836</v>
      </c>
      <c r="R1941" s="2" t="s">
        <v>56</v>
      </c>
      <c r="S1941" s="2" t="s">
        <v>2265</v>
      </c>
      <c r="T1941" s="2" t="s">
        <v>403</v>
      </c>
      <c r="U1941" s="2" t="s">
        <v>14903</v>
      </c>
      <c r="V1941" s="2"/>
      <c r="W1941" s="2" t="s">
        <v>697</v>
      </c>
      <c r="X1941" s="2" t="s">
        <v>43</v>
      </c>
      <c r="Y1941" s="2" t="s">
        <v>37</v>
      </c>
      <c r="Z1941" s="2" t="s">
        <v>44</v>
      </c>
      <c r="AA1941" s="2"/>
      <c r="AB1941" s="2"/>
      <c r="AC1941" s="2" t="s">
        <v>14904</v>
      </c>
      <c r="AD1941" s="2" t="s">
        <v>46</v>
      </c>
    </row>
    <row r="1942" customFormat="false" ht="15.7" hidden="false" customHeight="true" outlineLevel="0" collapsed="false">
      <c r="A1942" s="2"/>
      <c r="B1942" s="3" t="n">
        <f aca="false">DATE(2012,5,17)</f>
        <v>0</v>
      </c>
      <c r="C1942" s="3" t="n">
        <v>41046</v>
      </c>
      <c r="D1942" s="2" t="s">
        <v>14905</v>
      </c>
      <c r="F1942" s="2" t="s">
        <v>11136</v>
      </c>
      <c r="G1942" s="2" t="s">
        <v>14906</v>
      </c>
      <c r="H1942" s="2" t="s">
        <v>63</v>
      </c>
      <c r="I1942" s="2" t="s">
        <v>670</v>
      </c>
      <c r="J1942" s="2" t="s">
        <v>514</v>
      </c>
      <c r="K1942" s="2" t="s">
        <v>14905</v>
      </c>
      <c r="L1942" s="2" t="s">
        <v>670</v>
      </c>
      <c r="M1942" s="2" t="s">
        <v>63</v>
      </c>
      <c r="N1942" s="2" t="s">
        <v>14907</v>
      </c>
      <c r="O1942" s="2"/>
      <c r="P1942" s="2" t="s">
        <v>37</v>
      </c>
      <c r="Q1942" s="4" t="n">
        <v>8731</v>
      </c>
      <c r="R1942" s="2" t="s">
        <v>402</v>
      </c>
      <c r="S1942" s="2" t="s">
        <v>39</v>
      </c>
      <c r="T1942" s="2" t="s">
        <v>403</v>
      </c>
      <c r="U1942" s="2" t="s">
        <v>14908</v>
      </c>
      <c r="V1942" s="2"/>
      <c r="W1942" s="2" t="s">
        <v>1050</v>
      </c>
      <c r="X1942" s="2" t="s">
        <v>43</v>
      </c>
      <c r="Y1942" s="2" t="s">
        <v>37</v>
      </c>
      <c r="Z1942" s="2" t="s">
        <v>44</v>
      </c>
      <c r="AA1942" s="2"/>
      <c r="AB1942" s="2"/>
      <c r="AC1942" s="2" t="s">
        <v>14909</v>
      </c>
      <c r="AD1942" s="2" t="s">
        <v>46</v>
      </c>
    </row>
    <row r="1943" customFormat="false" ht="15.7" hidden="false" customHeight="true" outlineLevel="0" collapsed="false">
      <c r="A1943" s="2"/>
      <c r="B1943" s="3" t="n">
        <f aca="false">DATE(2012,5,18)</f>
        <v>0</v>
      </c>
      <c r="C1943" s="3" t="n">
        <v>41047</v>
      </c>
      <c r="D1943" s="2" t="s">
        <v>14910</v>
      </c>
      <c r="F1943" s="2" t="s">
        <v>14911</v>
      </c>
      <c r="G1943" s="2" t="s">
        <v>14912</v>
      </c>
      <c r="H1943" s="2" t="s">
        <v>14913</v>
      </c>
      <c r="I1943" s="2" t="s">
        <v>670</v>
      </c>
      <c r="J1943" s="2" t="s">
        <v>625</v>
      </c>
      <c r="K1943" s="2" t="s">
        <v>14910</v>
      </c>
      <c r="L1943" s="2" t="s">
        <v>670</v>
      </c>
      <c r="M1943" s="2" t="s">
        <v>14913</v>
      </c>
      <c r="N1943" s="2" t="s">
        <v>14914</v>
      </c>
      <c r="O1943" s="2"/>
      <c r="P1943" s="2" t="s">
        <v>37</v>
      </c>
      <c r="Q1943" s="4" t="n">
        <v>8731</v>
      </c>
      <c r="R1943" s="2" t="s">
        <v>402</v>
      </c>
      <c r="S1943" s="2" t="s">
        <v>39</v>
      </c>
      <c r="T1943" s="2" t="s">
        <v>403</v>
      </c>
      <c r="U1943" s="2" t="s">
        <v>14915</v>
      </c>
      <c r="V1943" s="2"/>
      <c r="W1943" s="2" t="s">
        <v>697</v>
      </c>
      <c r="X1943" s="2" t="s">
        <v>46</v>
      </c>
      <c r="Y1943" s="2" t="s">
        <v>37</v>
      </c>
      <c r="Z1943" s="2" t="s">
        <v>362</v>
      </c>
      <c r="AA1943" s="2"/>
      <c r="AB1943" s="2"/>
      <c r="AC1943" s="2" t="s">
        <v>14916</v>
      </c>
      <c r="AD1943" s="2" t="s">
        <v>46</v>
      </c>
    </row>
    <row r="1944" customFormat="false" ht="15.7" hidden="false" customHeight="true" outlineLevel="0" collapsed="false">
      <c r="A1944" s="2"/>
      <c r="B1944" s="3" t="n">
        <f aca="false">DATE(2012,5,18)</f>
        <v>0</v>
      </c>
      <c r="C1944" s="3" t="n">
        <v>41047</v>
      </c>
      <c r="D1944" s="2" t="s">
        <v>14917</v>
      </c>
      <c r="F1944" s="2" t="s">
        <v>14918</v>
      </c>
      <c r="G1944" s="2" t="s">
        <v>14919</v>
      </c>
      <c r="H1944" s="2" t="s">
        <v>14920</v>
      </c>
      <c r="I1944" s="2" t="s">
        <v>14921</v>
      </c>
      <c r="J1944" s="2" t="s">
        <v>1456</v>
      </c>
      <c r="K1944" s="2" t="s">
        <v>14922</v>
      </c>
      <c r="L1944" s="2" t="s">
        <v>14921</v>
      </c>
      <c r="M1944" s="2" t="s">
        <v>14923</v>
      </c>
      <c r="N1944" s="2" t="s">
        <v>14924</v>
      </c>
      <c r="O1944" s="2"/>
      <c r="P1944" s="2" t="s">
        <v>37</v>
      </c>
      <c r="Q1944" s="4" t="n">
        <v>1389</v>
      </c>
      <c r="R1944" s="2" t="s">
        <v>14925</v>
      </c>
      <c r="S1944" s="2" t="s">
        <v>5334</v>
      </c>
      <c r="T1944" s="2" t="s">
        <v>403</v>
      </c>
      <c r="U1944" s="2" t="s">
        <v>14926</v>
      </c>
      <c r="V1944" s="2"/>
      <c r="W1944" s="2" t="s">
        <v>14927</v>
      </c>
      <c r="X1944" s="2" t="s">
        <v>46</v>
      </c>
      <c r="Y1944" s="2" t="s">
        <v>79</v>
      </c>
      <c r="Z1944" s="2" t="s">
        <v>44</v>
      </c>
      <c r="AA1944" s="2"/>
      <c r="AB1944" s="2"/>
      <c r="AC1944" s="2" t="s">
        <v>14928</v>
      </c>
      <c r="AD1944" s="2" t="s">
        <v>46</v>
      </c>
    </row>
    <row r="1945" customFormat="false" ht="15.7" hidden="false" customHeight="true" outlineLevel="0" collapsed="false">
      <c r="A1945" s="2"/>
      <c r="B1945" s="3" t="n">
        <f aca="false">DATE(2012,5,21)</f>
        <v>0</v>
      </c>
      <c r="C1945" s="3" t="n">
        <v>41050</v>
      </c>
      <c r="D1945" s="2" t="s">
        <v>14929</v>
      </c>
      <c r="F1945" s="2" t="s">
        <v>14930</v>
      </c>
      <c r="G1945" s="2" t="s">
        <v>14931</v>
      </c>
      <c r="H1945" s="2" t="s">
        <v>63</v>
      </c>
      <c r="I1945" s="2" t="s">
        <v>100</v>
      </c>
      <c r="J1945" s="2" t="s">
        <v>65</v>
      </c>
      <c r="K1945" s="2" t="s">
        <v>14932</v>
      </c>
      <c r="L1945" s="2" t="s">
        <v>1412</v>
      </c>
      <c r="M1945" s="2" t="s">
        <v>1564</v>
      </c>
      <c r="N1945" s="2" t="s">
        <v>14933</v>
      </c>
      <c r="O1945" s="2"/>
      <c r="P1945" s="2" t="s">
        <v>37</v>
      </c>
      <c r="Q1945" s="4" t="n">
        <v>2836</v>
      </c>
      <c r="R1945" s="2" t="s">
        <v>136</v>
      </c>
      <c r="S1945" s="2" t="s">
        <v>39</v>
      </c>
      <c r="T1945" s="2" t="s">
        <v>40</v>
      </c>
      <c r="U1945" s="2" t="s">
        <v>14934</v>
      </c>
      <c r="V1945" s="2"/>
      <c r="W1945" s="2" t="s">
        <v>14935</v>
      </c>
      <c r="X1945" s="2" t="s">
        <v>43</v>
      </c>
      <c r="Y1945" s="2" t="s">
        <v>37</v>
      </c>
      <c r="Z1945" s="2" t="s">
        <v>44</v>
      </c>
      <c r="AA1945" s="2"/>
      <c r="AB1945" s="2"/>
      <c r="AC1945" s="2" t="s">
        <v>14936</v>
      </c>
      <c r="AD1945" s="2" t="s">
        <v>46</v>
      </c>
    </row>
    <row r="1946" customFormat="false" ht="15.7" hidden="false" customHeight="true" outlineLevel="0" collapsed="false">
      <c r="A1946" s="2"/>
      <c r="B1946" s="3" t="n">
        <f aca="false">DATE(2012,5,21)</f>
        <v>0</v>
      </c>
      <c r="C1946" s="3" t="n">
        <v>41050</v>
      </c>
      <c r="D1946" s="2" t="s">
        <v>14937</v>
      </c>
      <c r="F1946" s="2" t="s">
        <v>11991</v>
      </c>
      <c r="G1946" s="2" t="s">
        <v>14938</v>
      </c>
      <c r="H1946" s="2" t="s">
        <v>2312</v>
      </c>
      <c r="I1946" s="2" t="s">
        <v>34</v>
      </c>
      <c r="J1946" s="2" t="s">
        <v>35</v>
      </c>
      <c r="K1946" s="2" t="s">
        <v>14937</v>
      </c>
      <c r="L1946" s="2" t="s">
        <v>34</v>
      </c>
      <c r="M1946" s="2" t="s">
        <v>2312</v>
      </c>
      <c r="N1946" s="2" t="s">
        <v>14939</v>
      </c>
      <c r="O1946" s="2"/>
      <c r="P1946" s="2" t="s">
        <v>37</v>
      </c>
      <c r="Q1946" s="4" t="n">
        <v>8731</v>
      </c>
      <c r="R1946" s="2" t="s">
        <v>38</v>
      </c>
      <c r="S1946" s="2" t="s">
        <v>39</v>
      </c>
      <c r="T1946" s="2" t="s">
        <v>403</v>
      </c>
      <c r="U1946" s="2" t="s">
        <v>14940</v>
      </c>
      <c r="V1946" s="2"/>
      <c r="W1946" s="2" t="s">
        <v>42</v>
      </c>
      <c r="X1946" s="2" t="s">
        <v>43</v>
      </c>
      <c r="Y1946" s="2" t="s">
        <v>37</v>
      </c>
      <c r="Z1946" s="2" t="s">
        <v>44</v>
      </c>
      <c r="AA1946" s="2"/>
      <c r="AB1946" s="2"/>
      <c r="AC1946" s="2" t="s">
        <v>14941</v>
      </c>
      <c r="AD1946" s="2" t="s">
        <v>46</v>
      </c>
    </row>
    <row r="1947" customFormat="false" ht="15.7" hidden="false" customHeight="true" outlineLevel="0" collapsed="false">
      <c r="A1947" s="2"/>
      <c r="B1947" s="3" t="n">
        <f aca="false">DATE(2012,5,22)</f>
        <v>0</v>
      </c>
      <c r="C1947" s="3" t="n">
        <v>41051</v>
      </c>
      <c r="D1947" s="2" t="s">
        <v>14942</v>
      </c>
      <c r="F1947" s="2" t="s">
        <v>14943</v>
      </c>
      <c r="G1947" s="2" t="s">
        <v>14944</v>
      </c>
      <c r="H1947" s="2" t="s">
        <v>14945</v>
      </c>
      <c r="I1947" s="2" t="s">
        <v>14946</v>
      </c>
      <c r="J1947" s="2" t="s">
        <v>14811</v>
      </c>
      <c r="K1947" s="2" t="s">
        <v>14942</v>
      </c>
      <c r="L1947" s="2" t="s">
        <v>14946</v>
      </c>
      <c r="M1947" s="2" t="s">
        <v>14945</v>
      </c>
      <c r="N1947" s="2" t="s">
        <v>14947</v>
      </c>
      <c r="O1947" s="2"/>
      <c r="P1947" s="2" t="s">
        <v>37</v>
      </c>
      <c r="Q1947" s="4" t="n">
        <v>6282</v>
      </c>
      <c r="R1947" s="2" t="s">
        <v>14390</v>
      </c>
      <c r="S1947" s="2" t="s">
        <v>39</v>
      </c>
      <c r="T1947" s="2" t="s">
        <v>40</v>
      </c>
      <c r="U1947" s="2" t="s">
        <v>14948</v>
      </c>
      <c r="V1947" s="2"/>
      <c r="W1947" s="2" t="s">
        <v>42</v>
      </c>
      <c r="X1947" s="2" t="s">
        <v>43</v>
      </c>
      <c r="Y1947" s="2" t="s">
        <v>37</v>
      </c>
      <c r="Z1947" s="2" t="s">
        <v>44</v>
      </c>
      <c r="AA1947" s="2"/>
      <c r="AB1947" s="2"/>
      <c r="AC1947" s="2" t="s">
        <v>14949</v>
      </c>
      <c r="AD1947" s="2" t="s">
        <v>46</v>
      </c>
    </row>
    <row r="1948" customFormat="false" ht="15.7" hidden="false" customHeight="true" outlineLevel="0" collapsed="false">
      <c r="A1948" s="2"/>
      <c r="B1948" s="3" t="n">
        <f aca="false">DATE(2012,5,22)</f>
        <v>0</v>
      </c>
      <c r="C1948" s="3" t="n">
        <v>41051</v>
      </c>
      <c r="D1948" s="2" t="s">
        <v>14950</v>
      </c>
      <c r="F1948" s="2" t="s">
        <v>14951</v>
      </c>
      <c r="G1948" s="2" t="s">
        <v>14952</v>
      </c>
      <c r="H1948" s="2" t="s">
        <v>14953</v>
      </c>
      <c r="I1948" s="2" t="s">
        <v>2150</v>
      </c>
      <c r="J1948" s="2" t="s">
        <v>35</v>
      </c>
      <c r="K1948" s="2" t="s">
        <v>14954</v>
      </c>
      <c r="L1948" s="2" t="s">
        <v>2150</v>
      </c>
      <c r="M1948" s="2" t="s">
        <v>14955</v>
      </c>
      <c r="N1948" s="2" t="s">
        <v>14956</v>
      </c>
      <c r="O1948" s="2"/>
      <c r="P1948" s="2" t="s">
        <v>37</v>
      </c>
      <c r="Q1948" s="4" t="n">
        <v>5013</v>
      </c>
      <c r="R1948" s="2" t="s">
        <v>38</v>
      </c>
      <c r="S1948" s="2" t="s">
        <v>39</v>
      </c>
      <c r="T1948" s="2" t="s">
        <v>40</v>
      </c>
      <c r="U1948" s="2" t="s">
        <v>14957</v>
      </c>
      <c r="V1948" s="2"/>
      <c r="W1948" s="2" t="s">
        <v>697</v>
      </c>
      <c r="X1948" s="2" t="s">
        <v>43</v>
      </c>
      <c r="Y1948" s="2" t="s">
        <v>37</v>
      </c>
      <c r="Z1948" s="2" t="s">
        <v>44</v>
      </c>
      <c r="AA1948" s="2"/>
      <c r="AB1948" s="2"/>
      <c r="AC1948" s="2" t="s">
        <v>14958</v>
      </c>
      <c r="AD1948" s="2" t="s">
        <v>46</v>
      </c>
    </row>
    <row r="1949" customFormat="false" ht="15.7" hidden="false" customHeight="true" outlineLevel="0" collapsed="false">
      <c r="A1949" s="2"/>
      <c r="B1949" s="3" t="n">
        <f aca="false">DATE(2012,5,24)</f>
        <v>0</v>
      </c>
      <c r="C1949" s="3" t="n">
        <v>41053</v>
      </c>
      <c r="D1949" s="2" t="s">
        <v>14959</v>
      </c>
      <c r="F1949" s="2" t="s">
        <v>14960</v>
      </c>
      <c r="G1949" s="2" t="s">
        <v>14961</v>
      </c>
      <c r="H1949" s="2" t="s">
        <v>14962</v>
      </c>
      <c r="I1949" s="2" t="s">
        <v>14963</v>
      </c>
      <c r="J1949" s="2" t="s">
        <v>14964</v>
      </c>
      <c r="K1949" s="2" t="s">
        <v>14959</v>
      </c>
      <c r="L1949" s="2" t="s">
        <v>14963</v>
      </c>
      <c r="M1949" s="2" t="s">
        <v>14962</v>
      </c>
      <c r="N1949" s="2" t="s">
        <v>14965</v>
      </c>
      <c r="O1949" s="2"/>
      <c r="P1949" s="2" t="s">
        <v>37</v>
      </c>
      <c r="Q1949" s="4" t="n">
        <v>3363</v>
      </c>
      <c r="R1949" s="2" t="s">
        <v>56</v>
      </c>
      <c r="S1949" s="2" t="s">
        <v>2265</v>
      </c>
      <c r="T1949" s="2" t="s">
        <v>403</v>
      </c>
      <c r="U1949" s="2" t="s">
        <v>14966</v>
      </c>
      <c r="V1949" s="2"/>
      <c r="W1949" s="2" t="s">
        <v>697</v>
      </c>
      <c r="X1949" s="2" t="s">
        <v>46</v>
      </c>
      <c r="Y1949" s="2" t="s">
        <v>37</v>
      </c>
      <c r="Z1949" s="2" t="s">
        <v>11255</v>
      </c>
      <c r="AA1949" s="2"/>
      <c r="AB1949" s="2"/>
      <c r="AC1949" s="2" t="s">
        <v>14967</v>
      </c>
      <c r="AD1949" s="2" t="s">
        <v>46</v>
      </c>
    </row>
    <row r="1950" customFormat="false" ht="15.7" hidden="false" customHeight="true" outlineLevel="0" collapsed="false">
      <c r="A1950" s="2"/>
      <c r="B1950" s="3" t="n">
        <f aca="false">DATE(2012,5,25)</f>
        <v>0</v>
      </c>
      <c r="C1950" s="3" t="n">
        <v>41054</v>
      </c>
      <c r="D1950" s="2" t="s">
        <v>14968</v>
      </c>
      <c r="F1950" s="2" t="s">
        <v>14969</v>
      </c>
      <c r="G1950" s="2" t="s">
        <v>14970</v>
      </c>
      <c r="H1950" s="2" t="s">
        <v>14971</v>
      </c>
      <c r="I1950" s="2" t="s">
        <v>51</v>
      </c>
      <c r="J1950" s="2" t="s">
        <v>7609</v>
      </c>
      <c r="K1950" s="2" t="s">
        <v>14968</v>
      </c>
      <c r="L1950" s="2" t="s">
        <v>51</v>
      </c>
      <c r="M1950" s="2" t="s">
        <v>14971</v>
      </c>
      <c r="N1950" s="2" t="s">
        <v>14972</v>
      </c>
      <c r="O1950" s="2"/>
      <c r="P1950" s="2" t="s">
        <v>37</v>
      </c>
      <c r="Q1950" s="4" t="n">
        <v>8731</v>
      </c>
      <c r="R1950" s="2" t="s">
        <v>56</v>
      </c>
      <c r="S1950" s="2" t="s">
        <v>931</v>
      </c>
      <c r="T1950" s="2" t="s">
        <v>403</v>
      </c>
      <c r="U1950" s="2" t="s">
        <v>14973</v>
      </c>
      <c r="V1950" s="2"/>
      <c r="W1950" s="2" t="s">
        <v>42</v>
      </c>
      <c r="X1950" s="2" t="s">
        <v>46</v>
      </c>
      <c r="Y1950" s="2" t="s">
        <v>37</v>
      </c>
      <c r="Z1950" s="2" t="s">
        <v>362</v>
      </c>
      <c r="AA1950" s="2"/>
      <c r="AB1950" s="2"/>
      <c r="AC1950" s="2" t="s">
        <v>14974</v>
      </c>
      <c r="AD1950" s="2" t="s">
        <v>46</v>
      </c>
    </row>
    <row r="1951" customFormat="false" ht="15.7" hidden="false" customHeight="true" outlineLevel="0" collapsed="false">
      <c r="A1951" s="2"/>
      <c r="B1951" s="3" t="n">
        <f aca="false">DATE(2012,5,29)</f>
        <v>0</v>
      </c>
      <c r="C1951" s="3" t="n">
        <v>41058</v>
      </c>
      <c r="D1951" s="2" t="s">
        <v>14975</v>
      </c>
      <c r="F1951" s="2" t="s">
        <v>14976</v>
      </c>
      <c r="G1951" s="2" t="s">
        <v>14977</v>
      </c>
      <c r="H1951" s="2" t="s">
        <v>523</v>
      </c>
      <c r="I1951" s="2" t="s">
        <v>3265</v>
      </c>
      <c r="J1951" s="2" t="s">
        <v>1891</v>
      </c>
      <c r="K1951" s="2" t="s">
        <v>14975</v>
      </c>
      <c r="L1951" s="2" t="s">
        <v>3265</v>
      </c>
      <c r="M1951" s="2" t="s">
        <v>523</v>
      </c>
      <c r="N1951" s="2" t="s">
        <v>14978</v>
      </c>
      <c r="O1951" s="2"/>
      <c r="P1951" s="2" t="s">
        <v>37</v>
      </c>
      <c r="Q1951" s="4" t="n">
        <v>8731</v>
      </c>
      <c r="R1951" s="2" t="s">
        <v>402</v>
      </c>
      <c r="S1951" s="2" t="s">
        <v>39</v>
      </c>
      <c r="T1951" s="2" t="s">
        <v>40</v>
      </c>
      <c r="U1951" s="2" t="s">
        <v>14979</v>
      </c>
      <c r="V1951" s="2"/>
      <c r="W1951" s="2" t="s">
        <v>42</v>
      </c>
      <c r="X1951" s="2" t="s">
        <v>46</v>
      </c>
      <c r="Y1951" s="2" t="s">
        <v>37</v>
      </c>
      <c r="Z1951" s="2" t="s">
        <v>1639</v>
      </c>
      <c r="AA1951" s="2" t="s">
        <v>14980</v>
      </c>
      <c r="AB1951" s="2"/>
      <c r="AC1951" s="2" t="s">
        <v>14981</v>
      </c>
      <c r="AD1951" s="2" t="s">
        <v>46</v>
      </c>
    </row>
    <row r="1952" customFormat="false" ht="15.7" hidden="false" customHeight="true" outlineLevel="0" collapsed="false">
      <c r="A1952" s="2"/>
      <c r="B1952" s="3" t="n">
        <f aca="false">DATE(2012,5,29)</f>
        <v>0</v>
      </c>
      <c r="C1952" s="3" t="n">
        <v>41058</v>
      </c>
      <c r="D1952" s="2" t="s">
        <v>14982</v>
      </c>
      <c r="F1952" s="2" t="s">
        <v>14983</v>
      </c>
      <c r="G1952" s="2" t="s">
        <v>14984</v>
      </c>
      <c r="H1952" s="2" t="s">
        <v>14985</v>
      </c>
      <c r="I1952" s="2" t="s">
        <v>8127</v>
      </c>
      <c r="J1952" s="2" t="s">
        <v>35</v>
      </c>
      <c r="K1952" s="2" t="s">
        <v>14982</v>
      </c>
      <c r="L1952" s="2" t="s">
        <v>8127</v>
      </c>
      <c r="M1952" s="2" t="s">
        <v>14985</v>
      </c>
      <c r="N1952" s="2" t="s">
        <v>14986</v>
      </c>
      <c r="O1952" s="2"/>
      <c r="P1952" s="2" t="s">
        <v>37</v>
      </c>
      <c r="Q1952" s="4" t="n">
        <v>8731</v>
      </c>
      <c r="R1952" s="2" t="s">
        <v>136</v>
      </c>
      <c r="S1952" s="2" t="s">
        <v>39</v>
      </c>
      <c r="T1952" s="2" t="s">
        <v>403</v>
      </c>
      <c r="U1952" s="2" t="s">
        <v>14987</v>
      </c>
      <c r="V1952" s="2"/>
      <c r="W1952" s="2" t="s">
        <v>42</v>
      </c>
      <c r="X1952" s="2" t="s">
        <v>43</v>
      </c>
      <c r="Y1952" s="2" t="s">
        <v>37</v>
      </c>
      <c r="Z1952" s="2" t="s">
        <v>44</v>
      </c>
      <c r="AA1952" s="2"/>
      <c r="AB1952" s="2"/>
      <c r="AC1952" s="2" t="s">
        <v>14988</v>
      </c>
      <c r="AD1952" s="2" t="s">
        <v>46</v>
      </c>
    </row>
    <row r="1953" customFormat="false" ht="15.7" hidden="false" customHeight="true" outlineLevel="0" collapsed="false">
      <c r="A1953" s="2"/>
      <c r="B1953" s="3" t="n">
        <f aca="false">DATE(2012,6,1)</f>
        <v>0</v>
      </c>
      <c r="C1953" s="3" t="n">
        <v>41061</v>
      </c>
      <c r="D1953" s="2" t="s">
        <v>14989</v>
      </c>
      <c r="F1953" s="2" t="s">
        <v>14990</v>
      </c>
      <c r="G1953" s="2" t="s">
        <v>14991</v>
      </c>
      <c r="H1953" s="2" t="s">
        <v>130</v>
      </c>
      <c r="I1953" s="2" t="s">
        <v>662</v>
      </c>
      <c r="J1953" s="2" t="s">
        <v>575</v>
      </c>
      <c r="K1953" s="2" t="s">
        <v>14989</v>
      </c>
      <c r="L1953" s="2" t="s">
        <v>662</v>
      </c>
      <c r="M1953" s="2" t="s">
        <v>130</v>
      </c>
      <c r="N1953" s="2" t="s">
        <v>14992</v>
      </c>
      <c r="O1953" s="2"/>
      <c r="P1953" s="2" t="s">
        <v>37</v>
      </c>
      <c r="Q1953" s="4" t="n">
        <v>8731</v>
      </c>
      <c r="R1953" s="2" t="s">
        <v>136</v>
      </c>
      <c r="S1953" s="2" t="s">
        <v>39</v>
      </c>
      <c r="T1953" s="2" t="s">
        <v>403</v>
      </c>
      <c r="U1953" s="2" t="s">
        <v>14993</v>
      </c>
      <c r="V1953" s="2"/>
      <c r="W1953" s="2" t="s">
        <v>42</v>
      </c>
      <c r="X1953" s="2" t="s">
        <v>43</v>
      </c>
      <c r="Y1953" s="2" t="s">
        <v>37</v>
      </c>
      <c r="Z1953" s="2" t="s">
        <v>44</v>
      </c>
      <c r="AA1953" s="2"/>
      <c r="AB1953" s="2"/>
      <c r="AC1953" s="2" t="s">
        <v>14994</v>
      </c>
      <c r="AD1953" s="2" t="s">
        <v>46</v>
      </c>
    </row>
    <row r="1954" customFormat="false" ht="15.7" hidden="false" customHeight="true" outlineLevel="0" collapsed="false">
      <c r="A1954" s="2"/>
      <c r="B1954" s="3" t="n">
        <f aca="false">DATE(2012,6,4)</f>
        <v>0</v>
      </c>
      <c r="C1954" s="3" t="n">
        <v>41064</v>
      </c>
      <c r="D1954" s="2" t="s">
        <v>14995</v>
      </c>
      <c r="F1954" s="2" t="s">
        <v>14996</v>
      </c>
      <c r="G1954" s="2" t="s">
        <v>14997</v>
      </c>
      <c r="H1954" s="2" t="s">
        <v>170</v>
      </c>
      <c r="I1954" s="2" t="s">
        <v>51</v>
      </c>
      <c r="J1954" s="2" t="s">
        <v>3176</v>
      </c>
      <c r="K1954" s="2" t="s">
        <v>14995</v>
      </c>
      <c r="L1954" s="2" t="s">
        <v>51</v>
      </c>
      <c r="M1954" s="2" t="s">
        <v>170</v>
      </c>
      <c r="N1954" s="2" t="s">
        <v>14998</v>
      </c>
      <c r="O1954" s="2"/>
      <c r="P1954" s="2" t="s">
        <v>37</v>
      </c>
      <c r="Q1954" s="4" t="n">
        <v>2836</v>
      </c>
      <c r="R1954" s="2" t="s">
        <v>56</v>
      </c>
      <c r="S1954" s="2" t="s">
        <v>2265</v>
      </c>
      <c r="T1954" s="2" t="s">
        <v>403</v>
      </c>
      <c r="U1954" s="2" t="s">
        <v>14999</v>
      </c>
      <c r="V1954" s="2"/>
      <c r="W1954" s="2" t="s">
        <v>42</v>
      </c>
      <c r="X1954" s="2" t="s">
        <v>43</v>
      </c>
      <c r="Y1954" s="2" t="s">
        <v>37</v>
      </c>
      <c r="Z1954" s="2" t="s">
        <v>44</v>
      </c>
      <c r="AA1954" s="2"/>
      <c r="AB1954" s="2"/>
      <c r="AC1954" s="2" t="s">
        <v>15000</v>
      </c>
      <c r="AD1954" s="2" t="s">
        <v>46</v>
      </c>
    </row>
    <row r="1955" customFormat="false" ht="15.7" hidden="false" customHeight="true" outlineLevel="0" collapsed="false">
      <c r="A1955" s="2"/>
      <c r="B1955" s="3" t="n">
        <f aca="false">DATE(2012,6,5)</f>
        <v>0</v>
      </c>
      <c r="C1955" s="3" t="n">
        <v>41065</v>
      </c>
      <c r="D1955" s="2" t="s">
        <v>15001</v>
      </c>
      <c r="F1955" s="2" t="s">
        <v>15002</v>
      </c>
      <c r="G1955" s="2" t="s">
        <v>15003</v>
      </c>
      <c r="H1955" s="2" t="s">
        <v>15004</v>
      </c>
      <c r="I1955" s="2" t="s">
        <v>487</v>
      </c>
      <c r="J1955" s="2" t="s">
        <v>3906</v>
      </c>
      <c r="K1955" s="2" t="s">
        <v>15001</v>
      </c>
      <c r="L1955" s="2" t="s">
        <v>487</v>
      </c>
      <c r="M1955" s="2" t="s">
        <v>15004</v>
      </c>
      <c r="N1955" s="2" t="s">
        <v>15005</v>
      </c>
      <c r="O1955" s="2"/>
      <c r="P1955" s="2" t="s">
        <v>37</v>
      </c>
      <c r="Q1955" s="4" t="n">
        <v>3519</v>
      </c>
      <c r="R1955" s="2" t="s">
        <v>1448</v>
      </c>
      <c r="S1955" s="2" t="s">
        <v>39</v>
      </c>
      <c r="T1955" s="2" t="s">
        <v>40</v>
      </c>
      <c r="U1955" s="2" t="s">
        <v>15006</v>
      </c>
      <c r="V1955" s="2"/>
      <c r="W1955" s="2" t="s">
        <v>42</v>
      </c>
      <c r="X1955" s="2" t="s">
        <v>43</v>
      </c>
      <c r="Y1955" s="2" t="s">
        <v>37</v>
      </c>
      <c r="Z1955" s="2" t="s">
        <v>44</v>
      </c>
      <c r="AA1955" s="2"/>
      <c r="AB1955" s="2"/>
      <c r="AC1955" s="2" t="s">
        <v>15007</v>
      </c>
      <c r="AD1955" s="2" t="s">
        <v>46</v>
      </c>
    </row>
    <row r="1956" customFormat="false" ht="15.7" hidden="false" customHeight="true" outlineLevel="0" collapsed="false">
      <c r="A1956" s="2"/>
      <c r="B1956" s="3" t="n">
        <f aca="false">DATE(2012,6,6)</f>
        <v>0</v>
      </c>
      <c r="C1956" s="3" t="n">
        <v>41066</v>
      </c>
      <c r="D1956" s="2" t="s">
        <v>15008</v>
      </c>
      <c r="F1956" s="2" t="s">
        <v>7902</v>
      </c>
      <c r="G1956" s="2" t="s">
        <v>15009</v>
      </c>
      <c r="H1956" s="2" t="s">
        <v>305</v>
      </c>
      <c r="I1956" s="2" t="s">
        <v>1882</v>
      </c>
      <c r="J1956" s="2" t="s">
        <v>35</v>
      </c>
      <c r="K1956" s="2" t="s">
        <v>15010</v>
      </c>
      <c r="L1956" s="2" t="s">
        <v>7513</v>
      </c>
      <c r="M1956" s="2" t="s">
        <v>130</v>
      </c>
      <c r="N1956" s="2" t="s">
        <v>15011</v>
      </c>
      <c r="O1956" s="2"/>
      <c r="P1956" s="2" t="s">
        <v>37</v>
      </c>
      <c r="Q1956" s="4" t="n">
        <v>2836</v>
      </c>
      <c r="R1956" s="2" t="s">
        <v>136</v>
      </c>
      <c r="S1956" s="2" t="s">
        <v>39</v>
      </c>
      <c r="T1956" s="2" t="s">
        <v>40</v>
      </c>
      <c r="U1956" s="2" t="s">
        <v>15012</v>
      </c>
      <c r="V1956" s="2"/>
      <c r="W1956" s="2" t="s">
        <v>697</v>
      </c>
      <c r="X1956" s="2" t="s">
        <v>43</v>
      </c>
      <c r="Y1956" s="2" t="s">
        <v>37</v>
      </c>
      <c r="Z1956" s="2" t="s">
        <v>44</v>
      </c>
      <c r="AA1956" s="2"/>
      <c r="AB1956" s="2"/>
      <c r="AC1956" s="2" t="s">
        <v>15013</v>
      </c>
      <c r="AD1956" s="2" t="s">
        <v>46</v>
      </c>
    </row>
    <row r="1957" customFormat="false" ht="15.7" hidden="false" customHeight="true" outlineLevel="0" collapsed="false">
      <c r="A1957" s="2"/>
      <c r="B1957" s="3" t="n">
        <f aca="false">DATE(2012,6,7)</f>
        <v>0</v>
      </c>
      <c r="C1957" s="3" t="n">
        <v>41067</v>
      </c>
      <c r="D1957" s="2" t="s">
        <v>15014</v>
      </c>
      <c r="F1957" s="2" t="s">
        <v>15015</v>
      </c>
      <c r="G1957" s="2" t="s">
        <v>15016</v>
      </c>
      <c r="H1957" s="2" t="s">
        <v>247</v>
      </c>
      <c r="I1957" s="2" t="s">
        <v>51</v>
      </c>
      <c r="J1957" s="2" t="s">
        <v>3653</v>
      </c>
      <c r="K1957" s="2" t="s">
        <v>15017</v>
      </c>
      <c r="L1957" s="2" t="s">
        <v>51</v>
      </c>
      <c r="M1957" s="2" t="s">
        <v>130</v>
      </c>
      <c r="N1957" s="2" t="s">
        <v>15018</v>
      </c>
      <c r="O1957" s="2"/>
      <c r="P1957" s="2" t="s">
        <v>37</v>
      </c>
      <c r="Q1957" s="4" t="n">
        <v>3841</v>
      </c>
      <c r="R1957" s="2" t="s">
        <v>56</v>
      </c>
      <c r="S1957" s="2" t="s">
        <v>2265</v>
      </c>
      <c r="T1957" s="2" t="s">
        <v>40</v>
      </c>
      <c r="U1957" s="2" t="s">
        <v>15019</v>
      </c>
      <c r="V1957" s="2"/>
      <c r="W1957" s="2" t="s">
        <v>697</v>
      </c>
      <c r="X1957" s="2" t="s">
        <v>43</v>
      </c>
      <c r="Y1957" s="2" t="s">
        <v>37</v>
      </c>
      <c r="Z1957" s="2" t="s">
        <v>44</v>
      </c>
      <c r="AA1957" s="2"/>
      <c r="AB1957" s="2"/>
      <c r="AC1957" s="2" t="s">
        <v>15020</v>
      </c>
      <c r="AD1957" s="2" t="s">
        <v>46</v>
      </c>
    </row>
    <row r="1958" customFormat="false" ht="15.7" hidden="false" customHeight="true" outlineLevel="0" collapsed="false">
      <c r="A1958" s="2"/>
      <c r="B1958" s="3" t="n">
        <f aca="false">DATE(2012,6,7)</f>
        <v>0</v>
      </c>
      <c r="C1958" s="3" t="n">
        <v>41067</v>
      </c>
      <c r="D1958" s="2" t="s">
        <v>15021</v>
      </c>
      <c r="F1958" s="2" t="s">
        <v>15022</v>
      </c>
      <c r="G1958" s="2" t="s">
        <v>15023</v>
      </c>
      <c r="H1958" s="2" t="s">
        <v>15024</v>
      </c>
      <c r="I1958" s="2" t="s">
        <v>15025</v>
      </c>
      <c r="J1958" s="2" t="s">
        <v>35</v>
      </c>
      <c r="K1958" s="2" t="s">
        <v>15021</v>
      </c>
      <c r="L1958" s="2" t="s">
        <v>15025</v>
      </c>
      <c r="M1958" s="2" t="s">
        <v>15024</v>
      </c>
      <c r="N1958" s="2" t="s">
        <v>15026</v>
      </c>
      <c r="O1958" s="2"/>
      <c r="P1958" s="2" t="s">
        <v>37</v>
      </c>
      <c r="Q1958" s="4" t="n">
        <v>1481</v>
      </c>
      <c r="R1958" s="2" t="s">
        <v>12595</v>
      </c>
      <c r="S1958" s="2" t="s">
        <v>39</v>
      </c>
      <c r="T1958" s="2" t="s">
        <v>403</v>
      </c>
      <c r="U1958" s="2" t="s">
        <v>15027</v>
      </c>
      <c r="V1958" s="2"/>
      <c r="W1958" s="2" t="s">
        <v>42</v>
      </c>
      <c r="X1958" s="2" t="s">
        <v>43</v>
      </c>
      <c r="Y1958" s="2" t="s">
        <v>37</v>
      </c>
      <c r="Z1958" s="2" t="s">
        <v>44</v>
      </c>
      <c r="AA1958" s="2"/>
      <c r="AB1958" s="2"/>
      <c r="AC1958" s="2" t="s">
        <v>15028</v>
      </c>
      <c r="AD1958" s="2" t="s">
        <v>46</v>
      </c>
    </row>
    <row r="1959" customFormat="false" ht="15.7" hidden="false" customHeight="true" outlineLevel="0" collapsed="false">
      <c r="A1959" s="2"/>
      <c r="B1959" s="3" t="n">
        <f aca="false">DATE(2012,6,8)</f>
        <v>0</v>
      </c>
      <c r="C1959" s="3" t="n">
        <v>41068</v>
      </c>
      <c r="D1959" s="2" t="s">
        <v>15029</v>
      </c>
      <c r="F1959" s="2" t="s">
        <v>15030</v>
      </c>
      <c r="G1959" s="2" t="s">
        <v>15031</v>
      </c>
      <c r="H1959" s="2" t="s">
        <v>130</v>
      </c>
      <c r="I1959" s="2" t="s">
        <v>670</v>
      </c>
      <c r="J1959" s="2" t="s">
        <v>65</v>
      </c>
      <c r="K1959" s="2" t="s">
        <v>15029</v>
      </c>
      <c r="L1959" s="2" t="s">
        <v>670</v>
      </c>
      <c r="M1959" s="2" t="s">
        <v>130</v>
      </c>
      <c r="N1959" s="2" t="s">
        <v>15032</v>
      </c>
      <c r="O1959" s="2"/>
      <c r="P1959" s="2" t="s">
        <v>37</v>
      </c>
      <c r="Q1959" s="4" t="n">
        <v>8731</v>
      </c>
      <c r="R1959" s="2" t="s">
        <v>402</v>
      </c>
      <c r="S1959" s="2" t="s">
        <v>39</v>
      </c>
      <c r="T1959" s="2" t="s">
        <v>40</v>
      </c>
      <c r="U1959" s="2" t="s">
        <v>15033</v>
      </c>
      <c r="V1959" s="2"/>
      <c r="W1959" s="2" t="s">
        <v>344</v>
      </c>
      <c r="X1959" s="2" t="s">
        <v>43</v>
      </c>
      <c r="Y1959" s="2" t="s">
        <v>37</v>
      </c>
      <c r="Z1959" s="2" t="s">
        <v>44</v>
      </c>
      <c r="AA1959" s="2"/>
      <c r="AB1959" s="2"/>
      <c r="AC1959" s="2" t="s">
        <v>15034</v>
      </c>
      <c r="AD1959" s="2" t="s">
        <v>46</v>
      </c>
    </row>
    <row r="1960" customFormat="false" ht="15.7" hidden="false" customHeight="true" outlineLevel="0" collapsed="false">
      <c r="A1960" s="2"/>
      <c r="B1960" s="3" t="n">
        <f aca="false">DATE(2012,6,8)</f>
        <v>0</v>
      </c>
      <c r="C1960" s="3" t="n">
        <v>41068</v>
      </c>
      <c r="D1960" s="2" t="s">
        <v>15035</v>
      </c>
      <c r="F1960" s="2" t="s">
        <v>15036</v>
      </c>
      <c r="G1960" s="2" t="s">
        <v>15037</v>
      </c>
      <c r="H1960" s="2" t="s">
        <v>5724</v>
      </c>
      <c r="I1960" s="2" t="s">
        <v>51</v>
      </c>
      <c r="J1960" s="2" t="s">
        <v>496</v>
      </c>
      <c r="K1960" s="2" t="s">
        <v>15038</v>
      </c>
      <c r="L1960" s="2" t="s">
        <v>51</v>
      </c>
      <c r="M1960" s="2" t="s">
        <v>5724</v>
      </c>
      <c r="N1960" s="2" t="s">
        <v>15039</v>
      </c>
      <c r="O1960" s="2"/>
      <c r="P1960" s="2" t="s">
        <v>37</v>
      </c>
      <c r="Q1960" s="4" t="n">
        <v>8071</v>
      </c>
      <c r="R1960" s="2" t="s">
        <v>56</v>
      </c>
      <c r="S1960" s="2" t="s">
        <v>1484</v>
      </c>
      <c r="T1960" s="2" t="s">
        <v>403</v>
      </c>
      <c r="U1960" s="2" t="s">
        <v>15040</v>
      </c>
      <c r="V1960" s="2"/>
      <c r="W1960" s="2" t="s">
        <v>4487</v>
      </c>
      <c r="X1960" s="2" t="s">
        <v>46</v>
      </c>
      <c r="Y1960" s="2" t="s">
        <v>37</v>
      </c>
      <c r="Z1960" s="2" t="s">
        <v>362</v>
      </c>
      <c r="AA1960" s="2"/>
      <c r="AB1960" s="2"/>
      <c r="AC1960" s="2" t="s">
        <v>15041</v>
      </c>
      <c r="AD1960" s="2" t="s">
        <v>46</v>
      </c>
    </row>
    <row r="1961" customFormat="false" ht="15.7" hidden="false" customHeight="true" outlineLevel="0" collapsed="false">
      <c r="A1961" s="2"/>
      <c r="B1961" s="3" t="n">
        <f aca="false">DATE(2012,6,9)</f>
        <v>0</v>
      </c>
      <c r="C1961" s="3" t="n">
        <v>41069</v>
      </c>
      <c r="D1961" s="2" t="s">
        <v>15042</v>
      </c>
      <c r="F1961" s="2" t="s">
        <v>15043</v>
      </c>
      <c r="G1961" s="2" t="s">
        <v>15044</v>
      </c>
      <c r="H1961" s="2" t="s">
        <v>15045</v>
      </c>
      <c r="I1961" s="2" t="s">
        <v>330</v>
      </c>
      <c r="J1961" s="2" t="s">
        <v>14190</v>
      </c>
      <c r="K1961" s="2" t="s">
        <v>15046</v>
      </c>
      <c r="L1961" s="2" t="s">
        <v>131</v>
      </c>
      <c r="M1961" s="2" t="s">
        <v>15047</v>
      </c>
      <c r="N1961" s="2" t="s">
        <v>15048</v>
      </c>
      <c r="O1961" s="2"/>
      <c r="P1961" s="2" t="s">
        <v>37</v>
      </c>
      <c r="Q1961" s="4" t="n">
        <v>8732</v>
      </c>
      <c r="R1961" s="2" t="s">
        <v>136</v>
      </c>
      <c r="S1961" s="2" t="s">
        <v>39</v>
      </c>
      <c r="T1961" s="2" t="s">
        <v>403</v>
      </c>
      <c r="U1961" s="2" t="s">
        <v>15049</v>
      </c>
      <c r="V1961" s="2"/>
      <c r="W1961" s="2" t="s">
        <v>15050</v>
      </c>
      <c r="X1961" s="2" t="s">
        <v>43</v>
      </c>
      <c r="Y1961" s="2" t="s">
        <v>37</v>
      </c>
      <c r="Z1961" s="2" t="s">
        <v>44</v>
      </c>
      <c r="AA1961" s="2"/>
      <c r="AB1961" s="2"/>
      <c r="AC1961" s="2" t="s">
        <v>15051</v>
      </c>
      <c r="AD1961" s="2" t="s">
        <v>46</v>
      </c>
    </row>
    <row r="1962" customFormat="false" ht="15.7" hidden="false" customHeight="true" outlineLevel="0" collapsed="false">
      <c r="A1962" s="2"/>
      <c r="B1962" s="3" t="n">
        <f aca="false">DATE(2012,6,11)</f>
        <v>0</v>
      </c>
      <c r="C1962" s="3" t="n">
        <v>41071</v>
      </c>
      <c r="D1962" s="2" t="s">
        <v>15052</v>
      </c>
      <c r="F1962" s="2" t="s">
        <v>15053</v>
      </c>
      <c r="G1962" s="2" t="s">
        <v>15054</v>
      </c>
      <c r="H1962" s="2" t="s">
        <v>10744</v>
      </c>
      <c r="I1962" s="2" t="s">
        <v>100</v>
      </c>
      <c r="J1962" s="2" t="s">
        <v>625</v>
      </c>
      <c r="K1962" s="2" t="s">
        <v>15052</v>
      </c>
      <c r="L1962" s="2" t="s">
        <v>100</v>
      </c>
      <c r="M1962" s="2" t="s">
        <v>10744</v>
      </c>
      <c r="N1962" s="2" t="s">
        <v>15055</v>
      </c>
      <c r="O1962" s="2"/>
      <c r="P1962" s="2" t="s">
        <v>37</v>
      </c>
      <c r="Q1962" s="4" t="n">
        <v>3829</v>
      </c>
      <c r="R1962" s="2" t="s">
        <v>105</v>
      </c>
      <c r="S1962" s="2" t="s">
        <v>39</v>
      </c>
      <c r="T1962" s="2" t="s">
        <v>40</v>
      </c>
      <c r="U1962" s="2" t="s">
        <v>15056</v>
      </c>
      <c r="V1962" s="2"/>
      <c r="W1962" s="2" t="s">
        <v>42</v>
      </c>
      <c r="X1962" s="2" t="s">
        <v>43</v>
      </c>
      <c r="Y1962" s="2" t="s">
        <v>37</v>
      </c>
      <c r="Z1962" s="2" t="s">
        <v>44</v>
      </c>
      <c r="AA1962" s="2"/>
      <c r="AB1962" s="2"/>
      <c r="AC1962" s="2" t="s">
        <v>15057</v>
      </c>
      <c r="AD1962" s="2" t="s">
        <v>46</v>
      </c>
    </row>
    <row r="1963" customFormat="false" ht="15.7" hidden="false" customHeight="true" outlineLevel="0" collapsed="false">
      <c r="A1963" s="2"/>
      <c r="B1963" s="3" t="n">
        <f aca="false">DATE(2012,6,11)</f>
        <v>0</v>
      </c>
      <c r="C1963" s="3" t="n">
        <v>41071</v>
      </c>
      <c r="D1963" s="2" t="s">
        <v>15058</v>
      </c>
      <c r="F1963" s="2" t="s">
        <v>15059</v>
      </c>
      <c r="G1963" s="2" t="s">
        <v>15060</v>
      </c>
      <c r="H1963" s="2" t="s">
        <v>5080</v>
      </c>
      <c r="I1963" s="2" t="s">
        <v>51</v>
      </c>
      <c r="J1963" s="2" t="s">
        <v>15061</v>
      </c>
      <c r="K1963" s="2" t="s">
        <v>15058</v>
      </c>
      <c r="L1963" s="2" t="s">
        <v>51</v>
      </c>
      <c r="M1963" s="2" t="s">
        <v>5080</v>
      </c>
      <c r="N1963" s="2" t="s">
        <v>15062</v>
      </c>
      <c r="O1963" s="2"/>
      <c r="P1963" s="2" t="s">
        <v>37</v>
      </c>
      <c r="Q1963" s="4" t="n">
        <v>2836</v>
      </c>
      <c r="R1963" s="2" t="s">
        <v>56</v>
      </c>
      <c r="S1963" s="2" t="s">
        <v>2265</v>
      </c>
      <c r="T1963" s="2" t="s">
        <v>40</v>
      </c>
      <c r="U1963" s="2" t="s">
        <v>15063</v>
      </c>
      <c r="V1963" s="2"/>
      <c r="W1963" s="2" t="s">
        <v>72</v>
      </c>
      <c r="X1963" s="2" t="s">
        <v>43</v>
      </c>
      <c r="Y1963" s="2" t="s">
        <v>37</v>
      </c>
      <c r="Z1963" s="2" t="s">
        <v>44</v>
      </c>
      <c r="AA1963" s="2"/>
      <c r="AB1963" s="2"/>
      <c r="AC1963" s="2" t="s">
        <v>15064</v>
      </c>
      <c r="AD1963" s="2" t="s">
        <v>46</v>
      </c>
    </row>
    <row r="1964" customFormat="false" ht="15.7" hidden="false" customHeight="true" outlineLevel="0" collapsed="false">
      <c r="A1964" s="2"/>
      <c r="B1964" s="3" t="n">
        <f aca="false">DATE(2012,6,11)</f>
        <v>0</v>
      </c>
      <c r="C1964" s="3" t="n">
        <v>41071</v>
      </c>
      <c r="D1964" s="2" t="s">
        <v>15065</v>
      </c>
      <c r="F1964" s="2" t="s">
        <v>15066</v>
      </c>
      <c r="G1964" s="2" t="s">
        <v>15067</v>
      </c>
      <c r="H1964" s="2" t="s">
        <v>2857</v>
      </c>
      <c r="I1964" s="2" t="s">
        <v>51</v>
      </c>
      <c r="J1964" s="2" t="s">
        <v>15068</v>
      </c>
      <c r="K1964" s="2" t="s">
        <v>15065</v>
      </c>
      <c r="L1964" s="2" t="s">
        <v>51</v>
      </c>
      <c r="M1964" s="2" t="s">
        <v>2857</v>
      </c>
      <c r="N1964" s="2" t="s">
        <v>15069</v>
      </c>
      <c r="O1964" s="2"/>
      <c r="P1964" s="2" t="s">
        <v>37</v>
      </c>
      <c r="Q1964" s="4" t="n">
        <v>3674</v>
      </c>
      <c r="R1964" s="2" t="s">
        <v>56</v>
      </c>
      <c r="S1964" s="2" t="s">
        <v>2265</v>
      </c>
      <c r="T1964" s="2" t="s">
        <v>403</v>
      </c>
      <c r="U1964" s="2" t="s">
        <v>15070</v>
      </c>
      <c r="V1964" s="2"/>
      <c r="W1964" s="2" t="s">
        <v>1050</v>
      </c>
      <c r="X1964" s="2" t="s">
        <v>43</v>
      </c>
      <c r="Y1964" s="2" t="s">
        <v>37</v>
      </c>
      <c r="Z1964" s="2" t="s">
        <v>44</v>
      </c>
      <c r="AA1964" s="2"/>
      <c r="AB1964" s="2"/>
      <c r="AC1964" s="2" t="s">
        <v>15071</v>
      </c>
      <c r="AD1964" s="2" t="s">
        <v>46</v>
      </c>
    </row>
    <row r="1965" customFormat="false" ht="15.7" hidden="false" customHeight="true" outlineLevel="0" collapsed="false">
      <c r="A1965" s="2"/>
      <c r="B1965" s="3" t="n">
        <f aca="false">DATE(2012,6,11)</f>
        <v>0</v>
      </c>
      <c r="C1965" s="3" t="n">
        <v>41071</v>
      </c>
      <c r="D1965" s="2" t="s">
        <v>15072</v>
      </c>
      <c r="F1965" s="2" t="s">
        <v>15073</v>
      </c>
      <c r="G1965" s="2" t="s">
        <v>15074</v>
      </c>
      <c r="H1965" s="2" t="s">
        <v>15075</v>
      </c>
      <c r="I1965" s="2" t="s">
        <v>51</v>
      </c>
      <c r="J1965" s="2" t="s">
        <v>2858</v>
      </c>
      <c r="K1965" s="2" t="s">
        <v>15072</v>
      </c>
      <c r="L1965" s="2" t="s">
        <v>51</v>
      </c>
      <c r="M1965" s="2" t="s">
        <v>15075</v>
      </c>
      <c r="N1965" s="2" t="s">
        <v>15076</v>
      </c>
      <c r="O1965" s="2"/>
      <c r="P1965" s="2" t="s">
        <v>37</v>
      </c>
      <c r="Q1965" s="4" t="n">
        <v>3669</v>
      </c>
      <c r="R1965" s="2" t="s">
        <v>56</v>
      </c>
      <c r="S1965" s="2" t="s">
        <v>2265</v>
      </c>
      <c r="T1965" s="2" t="s">
        <v>403</v>
      </c>
      <c r="U1965" s="2" t="s">
        <v>15077</v>
      </c>
      <c r="V1965" s="2"/>
      <c r="W1965" s="2" t="s">
        <v>7275</v>
      </c>
      <c r="X1965" s="2" t="s">
        <v>43</v>
      </c>
      <c r="Y1965" s="2" t="s">
        <v>37</v>
      </c>
      <c r="Z1965" s="2" t="s">
        <v>44</v>
      </c>
      <c r="AA1965" s="2"/>
      <c r="AB1965" s="2"/>
      <c r="AC1965" s="2" t="s">
        <v>15078</v>
      </c>
      <c r="AD1965" s="2" t="s">
        <v>46</v>
      </c>
    </row>
    <row r="1966" customFormat="false" ht="15.7" hidden="false" customHeight="true" outlineLevel="0" collapsed="false">
      <c r="A1966" s="2"/>
      <c r="B1966" s="3" t="n">
        <f aca="false">DATE(2012,6,14)</f>
        <v>0</v>
      </c>
      <c r="C1966" s="3" t="n">
        <v>41074</v>
      </c>
      <c r="D1966" s="2" t="s">
        <v>15079</v>
      </c>
      <c r="F1966" s="2" t="s">
        <v>15080</v>
      </c>
      <c r="G1966" s="2" t="s">
        <v>15081</v>
      </c>
      <c r="H1966" s="2" t="s">
        <v>15082</v>
      </c>
      <c r="I1966" s="2" t="s">
        <v>34</v>
      </c>
      <c r="J1966" s="2" t="s">
        <v>35</v>
      </c>
      <c r="K1966" s="2" t="s">
        <v>15083</v>
      </c>
      <c r="L1966" s="2" t="s">
        <v>34</v>
      </c>
      <c r="M1966" s="2" t="s">
        <v>15084</v>
      </c>
      <c r="N1966" s="2" t="s">
        <v>15085</v>
      </c>
      <c r="O1966" s="2"/>
      <c r="P1966" s="2" t="s">
        <v>37</v>
      </c>
      <c r="Q1966" s="4" t="n">
        <v>3555</v>
      </c>
      <c r="R1966" s="2" t="s">
        <v>38</v>
      </c>
      <c r="S1966" s="2" t="s">
        <v>39</v>
      </c>
      <c r="T1966" s="2" t="s">
        <v>403</v>
      </c>
      <c r="U1966" s="2" t="s">
        <v>15086</v>
      </c>
      <c r="V1966" s="2"/>
      <c r="W1966" s="2" t="s">
        <v>42</v>
      </c>
      <c r="X1966" s="2" t="s">
        <v>43</v>
      </c>
      <c r="Y1966" s="2" t="s">
        <v>37</v>
      </c>
      <c r="Z1966" s="2" t="s">
        <v>44</v>
      </c>
      <c r="AA1966" s="2"/>
      <c r="AB1966" s="2"/>
      <c r="AC1966" s="2" t="s">
        <v>15087</v>
      </c>
      <c r="AD1966" s="2" t="s">
        <v>46</v>
      </c>
    </row>
    <row r="1967" customFormat="false" ht="15.7" hidden="false" customHeight="true" outlineLevel="0" collapsed="false">
      <c r="A1967" s="2"/>
      <c r="B1967" s="3" t="n">
        <f aca="false">DATE(2012,6,15)</f>
        <v>0</v>
      </c>
      <c r="C1967" s="3" t="n">
        <v>41075</v>
      </c>
      <c r="D1967" s="2" t="s">
        <v>15088</v>
      </c>
      <c r="F1967" s="2" t="s">
        <v>75</v>
      </c>
      <c r="G1967" s="2" t="s">
        <v>15089</v>
      </c>
      <c r="H1967" s="2" t="s">
        <v>63</v>
      </c>
      <c r="I1967" s="2" t="s">
        <v>51</v>
      </c>
      <c r="J1967" s="2" t="s">
        <v>3854</v>
      </c>
      <c r="K1967" s="2" t="s">
        <v>15088</v>
      </c>
      <c r="L1967" s="2" t="s">
        <v>51</v>
      </c>
      <c r="M1967" s="2" t="s">
        <v>63</v>
      </c>
      <c r="N1967" s="2" t="s">
        <v>15090</v>
      </c>
      <c r="O1967" s="2"/>
      <c r="P1967" s="2" t="s">
        <v>37</v>
      </c>
      <c r="Q1967" s="4" t="n">
        <v>2836</v>
      </c>
      <c r="R1967" s="2" t="s">
        <v>56</v>
      </c>
      <c r="S1967" s="2" t="s">
        <v>2265</v>
      </c>
      <c r="T1967" s="2" t="s">
        <v>40</v>
      </c>
      <c r="U1967" s="2" t="s">
        <v>15091</v>
      </c>
      <c r="V1967" s="2"/>
      <c r="W1967" s="2" t="s">
        <v>42</v>
      </c>
      <c r="X1967" s="2" t="s">
        <v>43</v>
      </c>
      <c r="Y1967" s="2" t="s">
        <v>37</v>
      </c>
      <c r="Z1967" s="2" t="s">
        <v>44</v>
      </c>
      <c r="AA1967" s="2"/>
      <c r="AB1967" s="2"/>
      <c r="AC1967" s="2" t="s">
        <v>15092</v>
      </c>
      <c r="AD1967" s="2" t="s">
        <v>46</v>
      </c>
    </row>
    <row r="1968" customFormat="false" ht="15.7" hidden="false" customHeight="true" outlineLevel="0" collapsed="false">
      <c r="A1968" s="2"/>
      <c r="B1968" s="3" t="n">
        <f aca="false">DATE(2012,6,18)</f>
        <v>0</v>
      </c>
      <c r="C1968" s="3" t="n">
        <v>41078</v>
      </c>
      <c r="D1968" s="2" t="s">
        <v>15093</v>
      </c>
      <c r="F1968" s="2" t="s">
        <v>15094</v>
      </c>
      <c r="G1968" s="2" t="s">
        <v>15095</v>
      </c>
      <c r="H1968" s="2" t="s">
        <v>15096</v>
      </c>
      <c r="I1968" s="2" t="s">
        <v>202</v>
      </c>
      <c r="J1968" s="2" t="s">
        <v>9256</v>
      </c>
      <c r="K1968" s="2" t="s">
        <v>15097</v>
      </c>
      <c r="L1968" s="2" t="s">
        <v>202</v>
      </c>
      <c r="M1968" s="2" t="s">
        <v>15098</v>
      </c>
      <c r="N1968" s="2" t="s">
        <v>15099</v>
      </c>
      <c r="O1968" s="2"/>
      <c r="P1968" s="2" t="s">
        <v>37</v>
      </c>
      <c r="Q1968" s="4" t="n">
        <v>8731</v>
      </c>
      <c r="R1968" s="2" t="s">
        <v>136</v>
      </c>
      <c r="S1968" s="2" t="s">
        <v>39</v>
      </c>
      <c r="T1968" s="2" t="s">
        <v>40</v>
      </c>
      <c r="U1968" s="2" t="s">
        <v>15100</v>
      </c>
      <c r="V1968" s="2"/>
      <c r="W1968" s="2" t="s">
        <v>42</v>
      </c>
      <c r="X1968" s="2" t="s">
        <v>43</v>
      </c>
      <c r="Y1968" s="2" t="s">
        <v>37</v>
      </c>
      <c r="Z1968" s="2" t="s">
        <v>44</v>
      </c>
      <c r="AA1968" s="2"/>
      <c r="AB1968" s="2"/>
      <c r="AC1968" s="2" t="s">
        <v>15101</v>
      </c>
      <c r="AD1968" s="2" t="s">
        <v>46</v>
      </c>
    </row>
    <row r="1969" customFormat="false" ht="15.7" hidden="false" customHeight="true" outlineLevel="0" collapsed="false">
      <c r="A1969" s="2"/>
      <c r="B1969" s="3" t="n">
        <f aca="false">DATE(2012,6,18)</f>
        <v>0</v>
      </c>
      <c r="C1969" s="3" t="n">
        <v>41078</v>
      </c>
      <c r="D1969" s="2" t="s">
        <v>15102</v>
      </c>
      <c r="F1969" s="2" t="s">
        <v>15103</v>
      </c>
      <c r="G1969" s="2" t="s">
        <v>15104</v>
      </c>
      <c r="H1969" s="2" t="s">
        <v>130</v>
      </c>
      <c r="I1969" s="2" t="s">
        <v>51</v>
      </c>
      <c r="J1969" s="2" t="s">
        <v>187</v>
      </c>
      <c r="K1969" s="2" t="s">
        <v>15102</v>
      </c>
      <c r="L1969" s="2" t="s">
        <v>51</v>
      </c>
      <c r="M1969" s="2" t="s">
        <v>130</v>
      </c>
      <c r="N1969" s="2" t="s">
        <v>15105</v>
      </c>
      <c r="O1969" s="2"/>
      <c r="P1969" s="2" t="s">
        <v>37</v>
      </c>
      <c r="Q1969" s="4" t="n">
        <v>2836</v>
      </c>
      <c r="R1969" s="2" t="s">
        <v>56</v>
      </c>
      <c r="S1969" s="2" t="s">
        <v>2265</v>
      </c>
      <c r="T1969" s="2" t="s">
        <v>40</v>
      </c>
      <c r="U1969" s="2" t="s">
        <v>15106</v>
      </c>
      <c r="V1969" s="2"/>
      <c r="W1969" s="2" t="s">
        <v>42</v>
      </c>
      <c r="X1969" s="2" t="s">
        <v>46</v>
      </c>
      <c r="Y1969" s="2" t="s">
        <v>37</v>
      </c>
      <c r="Z1969" s="2" t="s">
        <v>362</v>
      </c>
      <c r="AA1969" s="2"/>
      <c r="AB1969" s="2"/>
      <c r="AC1969" s="2" t="s">
        <v>15107</v>
      </c>
      <c r="AD1969" s="2" t="s">
        <v>46</v>
      </c>
    </row>
    <row r="1970" customFormat="false" ht="15.7" hidden="false" customHeight="true" outlineLevel="0" collapsed="false">
      <c r="A1970" s="2"/>
      <c r="B1970" s="3" t="n">
        <f aca="false">DATE(2012,6,18)</f>
        <v>0</v>
      </c>
      <c r="C1970" s="3" t="n">
        <v>41078</v>
      </c>
      <c r="D1970" s="2" t="s">
        <v>15108</v>
      </c>
      <c r="F1970" s="2" t="s">
        <v>4184</v>
      </c>
      <c r="G1970" s="2" t="s">
        <v>15109</v>
      </c>
      <c r="H1970" s="2" t="s">
        <v>305</v>
      </c>
      <c r="I1970" s="2" t="s">
        <v>51</v>
      </c>
      <c r="J1970" s="2" t="s">
        <v>178</v>
      </c>
      <c r="K1970" s="2" t="s">
        <v>15110</v>
      </c>
      <c r="L1970" s="2" t="s">
        <v>51</v>
      </c>
      <c r="M1970" s="2" t="s">
        <v>305</v>
      </c>
      <c r="N1970" s="2" t="s">
        <v>15111</v>
      </c>
      <c r="O1970" s="2"/>
      <c r="P1970" s="2" t="s">
        <v>37</v>
      </c>
      <c r="Q1970" s="4" t="n">
        <v>2836</v>
      </c>
      <c r="R1970" s="2" t="s">
        <v>136</v>
      </c>
      <c r="S1970" s="2" t="s">
        <v>39</v>
      </c>
      <c r="T1970" s="2" t="s">
        <v>40</v>
      </c>
      <c r="U1970" s="2" t="s">
        <v>15112</v>
      </c>
      <c r="V1970" s="2"/>
      <c r="W1970" s="2" t="s">
        <v>42</v>
      </c>
      <c r="X1970" s="2" t="s">
        <v>43</v>
      </c>
      <c r="Y1970" s="2" t="s">
        <v>37</v>
      </c>
      <c r="Z1970" s="2" t="s">
        <v>44</v>
      </c>
      <c r="AA1970" s="2" t="s">
        <v>15113</v>
      </c>
      <c r="AB1970" s="2"/>
      <c r="AC1970" s="2" t="s">
        <v>15114</v>
      </c>
      <c r="AD1970" s="2" t="s">
        <v>46</v>
      </c>
    </row>
    <row r="1971" customFormat="false" ht="15.7" hidden="false" customHeight="true" outlineLevel="0" collapsed="false">
      <c r="A1971" s="2"/>
      <c r="B1971" s="3" t="n">
        <f aca="false">DATE(2012,6,19)</f>
        <v>0</v>
      </c>
      <c r="C1971" s="3" t="n">
        <v>41079</v>
      </c>
      <c r="D1971" s="2" t="s">
        <v>15115</v>
      </c>
      <c r="F1971" s="2" t="s">
        <v>15116</v>
      </c>
      <c r="G1971" s="2" t="s">
        <v>15117</v>
      </c>
      <c r="H1971" s="2" t="s">
        <v>130</v>
      </c>
      <c r="I1971" s="2" t="s">
        <v>330</v>
      </c>
      <c r="J1971" s="2" t="s">
        <v>132</v>
      </c>
      <c r="K1971" s="2" t="s">
        <v>15115</v>
      </c>
      <c r="L1971" s="2" t="s">
        <v>330</v>
      </c>
      <c r="M1971" s="2" t="s">
        <v>130</v>
      </c>
      <c r="N1971" s="2" t="s">
        <v>15118</v>
      </c>
      <c r="O1971" s="2"/>
      <c r="P1971" s="2" t="s">
        <v>37</v>
      </c>
      <c r="Q1971" s="4" t="n">
        <v>2833</v>
      </c>
      <c r="R1971" s="2" t="s">
        <v>136</v>
      </c>
      <c r="S1971" s="2" t="s">
        <v>39</v>
      </c>
      <c r="T1971" s="2" t="s">
        <v>40</v>
      </c>
      <c r="U1971" s="2" t="s">
        <v>15119</v>
      </c>
      <c r="V1971" s="2"/>
      <c r="W1971" s="2" t="s">
        <v>42</v>
      </c>
      <c r="X1971" s="2" t="s">
        <v>43</v>
      </c>
      <c r="Y1971" s="2" t="s">
        <v>37</v>
      </c>
      <c r="Z1971" s="2" t="s">
        <v>44</v>
      </c>
      <c r="AA1971" s="2" t="s">
        <v>15120</v>
      </c>
      <c r="AB1971" s="2"/>
      <c r="AC1971" s="2" t="s">
        <v>15121</v>
      </c>
      <c r="AD1971" s="2" t="s">
        <v>46</v>
      </c>
    </row>
    <row r="1972" customFormat="false" ht="15.7" hidden="false" customHeight="true" outlineLevel="0" collapsed="false">
      <c r="A1972" s="2"/>
      <c r="B1972" s="3" t="n">
        <f aca="false">DATE(2012,6,19)</f>
        <v>0</v>
      </c>
      <c r="C1972" s="3" t="n">
        <v>41079</v>
      </c>
      <c r="D1972" s="2" t="s">
        <v>15122</v>
      </c>
      <c r="F1972" s="2" t="s">
        <v>15123</v>
      </c>
      <c r="G1972" s="2" t="s">
        <v>15124</v>
      </c>
      <c r="H1972" s="2" t="s">
        <v>15125</v>
      </c>
      <c r="I1972" s="2" t="s">
        <v>51</v>
      </c>
      <c r="J1972" s="2" t="s">
        <v>15126</v>
      </c>
      <c r="K1972" s="2" t="s">
        <v>15127</v>
      </c>
      <c r="L1972" s="2" t="s">
        <v>219</v>
      </c>
      <c r="M1972" s="2" t="s">
        <v>15128</v>
      </c>
      <c r="N1972" s="2" t="s">
        <v>15129</v>
      </c>
      <c r="O1972" s="2"/>
      <c r="P1972" s="2" t="s">
        <v>37</v>
      </c>
      <c r="Q1972" s="4" t="n">
        <v>3431</v>
      </c>
      <c r="R1972" s="2" t="s">
        <v>56</v>
      </c>
      <c r="S1972" s="2" t="s">
        <v>2265</v>
      </c>
      <c r="T1972" s="2" t="s">
        <v>40</v>
      </c>
      <c r="U1972" s="2" t="s">
        <v>15130</v>
      </c>
      <c r="V1972" s="2"/>
      <c r="W1972" s="2" t="s">
        <v>138</v>
      </c>
      <c r="X1972" s="2" t="s">
        <v>43</v>
      </c>
      <c r="Y1972" s="2" t="s">
        <v>37</v>
      </c>
      <c r="Z1972" s="2" t="s">
        <v>44</v>
      </c>
      <c r="AA1972" s="2"/>
      <c r="AB1972" s="2"/>
      <c r="AC1972" s="2" t="s">
        <v>15131</v>
      </c>
      <c r="AD1972" s="2" t="s">
        <v>46</v>
      </c>
    </row>
    <row r="1973" customFormat="false" ht="15.7" hidden="false" customHeight="true" outlineLevel="0" collapsed="false">
      <c r="A1973" s="2"/>
      <c r="B1973" s="3" t="n">
        <f aca="false">DATE(2012,6,19)</f>
        <v>0</v>
      </c>
      <c r="C1973" s="3" t="n">
        <v>41079</v>
      </c>
      <c r="D1973" s="2" t="s">
        <v>15132</v>
      </c>
      <c r="F1973" s="2" t="s">
        <v>15133</v>
      </c>
      <c r="G1973" s="2" t="s">
        <v>15134</v>
      </c>
      <c r="H1973" s="2" t="s">
        <v>15135</v>
      </c>
      <c r="I1973" s="2" t="s">
        <v>15136</v>
      </c>
      <c r="J1973" s="2" t="s">
        <v>15137</v>
      </c>
      <c r="K1973" s="2" t="s">
        <v>15132</v>
      </c>
      <c r="L1973" s="2" t="s">
        <v>15136</v>
      </c>
      <c r="M1973" s="2" t="s">
        <v>15135</v>
      </c>
      <c r="N1973" s="2" t="s">
        <v>15138</v>
      </c>
      <c r="O1973" s="2"/>
      <c r="P1973" s="2" t="s">
        <v>37</v>
      </c>
      <c r="Q1973" s="4" t="n">
        <v>2834</v>
      </c>
      <c r="R1973" s="2" t="s">
        <v>136</v>
      </c>
      <c r="S1973" s="2" t="s">
        <v>39</v>
      </c>
      <c r="T1973" s="2" t="s">
        <v>403</v>
      </c>
      <c r="U1973" s="2" t="s">
        <v>15139</v>
      </c>
      <c r="V1973" s="2"/>
      <c r="W1973" s="2" t="s">
        <v>42</v>
      </c>
      <c r="X1973" s="2" t="s">
        <v>43</v>
      </c>
      <c r="Y1973" s="2" t="s">
        <v>37</v>
      </c>
      <c r="Z1973" s="2" t="s">
        <v>916</v>
      </c>
      <c r="AA1973" s="2"/>
      <c r="AB1973" s="2"/>
      <c r="AC1973" s="2" t="s">
        <v>15140</v>
      </c>
      <c r="AD1973" s="2" t="s">
        <v>46</v>
      </c>
    </row>
    <row r="1974" customFormat="false" ht="15.7" hidden="false" customHeight="true" outlineLevel="0" collapsed="false">
      <c r="A1974" s="2"/>
      <c r="B1974" s="3" t="n">
        <f aca="false">DATE(2012,6,19)</f>
        <v>0</v>
      </c>
      <c r="C1974" s="3" t="n">
        <v>41079</v>
      </c>
      <c r="D1974" s="2" t="s">
        <v>15141</v>
      </c>
      <c r="F1974" s="2" t="s">
        <v>15142</v>
      </c>
      <c r="G1974" s="2" t="s">
        <v>15143</v>
      </c>
      <c r="H1974" s="2" t="s">
        <v>3313</v>
      </c>
      <c r="I1974" s="2" t="s">
        <v>180</v>
      </c>
      <c r="J1974" s="2" t="s">
        <v>331</v>
      </c>
      <c r="K1974" s="2" t="s">
        <v>15141</v>
      </c>
      <c r="L1974" s="2" t="s">
        <v>180</v>
      </c>
      <c r="M1974" s="2" t="s">
        <v>3313</v>
      </c>
      <c r="N1974" s="2" t="s">
        <v>15144</v>
      </c>
      <c r="O1974" s="2"/>
      <c r="P1974" s="2" t="s">
        <v>79</v>
      </c>
      <c r="Q1974" s="4" t="n">
        <v>8731</v>
      </c>
      <c r="R1974" s="2" t="s">
        <v>136</v>
      </c>
      <c r="S1974" s="2" t="s">
        <v>39</v>
      </c>
      <c r="T1974" s="2" t="s">
        <v>40</v>
      </c>
      <c r="U1974" s="2" t="s">
        <v>15145</v>
      </c>
      <c r="V1974" s="2"/>
      <c r="W1974" s="2" t="s">
        <v>1050</v>
      </c>
      <c r="X1974" s="2" t="s">
        <v>43</v>
      </c>
      <c r="Y1974" s="2" t="s">
        <v>37</v>
      </c>
      <c r="Z1974" s="2" t="s">
        <v>44</v>
      </c>
      <c r="AA1974" s="2"/>
      <c r="AB1974" s="2"/>
      <c r="AC1974" s="2" t="s">
        <v>15146</v>
      </c>
      <c r="AD1974" s="2" t="s">
        <v>46</v>
      </c>
    </row>
    <row r="1975" customFormat="false" ht="15.7" hidden="false" customHeight="true" outlineLevel="0" collapsed="false">
      <c r="A1975" s="2"/>
      <c r="B1975" s="3" t="n">
        <f aca="false">DATE(2012,6,20)</f>
        <v>0</v>
      </c>
      <c r="C1975" s="3" t="n">
        <v>41080</v>
      </c>
      <c r="D1975" s="2" t="s">
        <v>15147</v>
      </c>
      <c r="F1975" s="2" t="s">
        <v>15148</v>
      </c>
      <c r="G1975" s="2" t="s">
        <v>15149</v>
      </c>
      <c r="H1975" s="2" t="s">
        <v>523</v>
      </c>
      <c r="I1975" s="2" t="s">
        <v>34</v>
      </c>
      <c r="J1975" s="2" t="s">
        <v>35</v>
      </c>
      <c r="K1975" s="2" t="s">
        <v>15147</v>
      </c>
      <c r="L1975" s="2" t="s">
        <v>34</v>
      </c>
      <c r="M1975" s="2" t="s">
        <v>523</v>
      </c>
      <c r="N1975" s="2" t="s">
        <v>15150</v>
      </c>
      <c r="O1975" s="2"/>
      <c r="P1975" s="2" t="s">
        <v>37</v>
      </c>
      <c r="Q1975" s="4" t="n">
        <v>8731</v>
      </c>
      <c r="R1975" s="2" t="s">
        <v>38</v>
      </c>
      <c r="S1975" s="2" t="s">
        <v>39</v>
      </c>
      <c r="T1975" s="2" t="s">
        <v>403</v>
      </c>
      <c r="U1975" s="2" t="s">
        <v>15151</v>
      </c>
      <c r="V1975" s="2"/>
      <c r="W1975" s="2" t="s">
        <v>42</v>
      </c>
      <c r="X1975" s="2" t="s">
        <v>46</v>
      </c>
      <c r="Y1975" s="2" t="s">
        <v>37</v>
      </c>
      <c r="Z1975" s="2" t="s">
        <v>362</v>
      </c>
      <c r="AA1975" s="2"/>
      <c r="AB1975" s="2"/>
      <c r="AC1975" s="2" t="s">
        <v>15152</v>
      </c>
      <c r="AD1975" s="2" t="s">
        <v>46</v>
      </c>
    </row>
    <row r="1976" customFormat="false" ht="15.7" hidden="false" customHeight="true" outlineLevel="0" collapsed="false">
      <c r="A1976" s="2"/>
      <c r="B1976" s="3" t="n">
        <f aca="false">DATE(2012,6,20)</f>
        <v>0</v>
      </c>
      <c r="C1976" s="3" t="n">
        <v>41080</v>
      </c>
      <c r="D1976" s="2" t="s">
        <v>15153</v>
      </c>
      <c r="F1976" s="2" t="s">
        <v>15154</v>
      </c>
      <c r="G1976" s="2" t="s">
        <v>15155</v>
      </c>
      <c r="H1976" s="2" t="s">
        <v>130</v>
      </c>
      <c r="I1976" s="2" t="s">
        <v>51</v>
      </c>
      <c r="J1976" s="2" t="s">
        <v>7353</v>
      </c>
      <c r="K1976" s="2" t="s">
        <v>15153</v>
      </c>
      <c r="L1976" s="2" t="s">
        <v>51</v>
      </c>
      <c r="M1976" s="2" t="s">
        <v>130</v>
      </c>
      <c r="N1976" s="2" t="s">
        <v>15156</v>
      </c>
      <c r="O1976" s="2"/>
      <c r="P1976" s="2" t="s">
        <v>37</v>
      </c>
      <c r="Q1976" s="4" t="n">
        <v>2834</v>
      </c>
      <c r="R1976" s="2" t="s">
        <v>56</v>
      </c>
      <c r="S1976" s="2" t="s">
        <v>2265</v>
      </c>
      <c r="T1976" s="2" t="s">
        <v>40</v>
      </c>
      <c r="U1976" s="2" t="s">
        <v>15157</v>
      </c>
      <c r="V1976" s="2"/>
      <c r="W1976" s="2" t="s">
        <v>697</v>
      </c>
      <c r="X1976" s="2" t="s">
        <v>46</v>
      </c>
      <c r="Y1976" s="2" t="s">
        <v>37</v>
      </c>
      <c r="Z1976" s="2" t="s">
        <v>362</v>
      </c>
      <c r="AA1976" s="2"/>
      <c r="AB1976" s="2"/>
      <c r="AC1976" s="2" t="s">
        <v>15158</v>
      </c>
      <c r="AD1976" s="2" t="s">
        <v>46</v>
      </c>
    </row>
    <row r="1977" customFormat="false" ht="15.7" hidden="false" customHeight="true" outlineLevel="0" collapsed="false">
      <c r="A1977" s="2"/>
      <c r="B1977" s="3" t="n">
        <f aca="false">DATE(2012,6,22)</f>
        <v>0</v>
      </c>
      <c r="C1977" s="3" t="n">
        <v>41082</v>
      </c>
      <c r="D1977" s="2" t="s">
        <v>15159</v>
      </c>
      <c r="F1977" s="2" t="s">
        <v>15160</v>
      </c>
      <c r="G1977" s="2" t="s">
        <v>15161</v>
      </c>
      <c r="H1977" s="2" t="s">
        <v>15162</v>
      </c>
      <c r="I1977" s="2" t="s">
        <v>670</v>
      </c>
      <c r="J1977" s="2" t="s">
        <v>313</v>
      </c>
      <c r="K1977" s="2" t="s">
        <v>15163</v>
      </c>
      <c r="L1977" s="2" t="s">
        <v>670</v>
      </c>
      <c r="M1977" s="2" t="s">
        <v>15164</v>
      </c>
      <c r="N1977" s="2" t="s">
        <v>15165</v>
      </c>
      <c r="O1977" s="2"/>
      <c r="P1977" s="2" t="s">
        <v>37</v>
      </c>
      <c r="Q1977" s="4" t="n">
        <v>8731</v>
      </c>
      <c r="R1977" s="2" t="s">
        <v>136</v>
      </c>
      <c r="S1977" s="2" t="s">
        <v>39</v>
      </c>
      <c r="T1977" s="2" t="s">
        <v>403</v>
      </c>
      <c r="U1977" s="2" t="s">
        <v>15166</v>
      </c>
      <c r="V1977" s="2"/>
      <c r="W1977" s="2" t="s">
        <v>42</v>
      </c>
      <c r="X1977" s="2" t="s">
        <v>43</v>
      </c>
      <c r="Y1977" s="2" t="s">
        <v>37</v>
      </c>
      <c r="Z1977" s="2" t="s">
        <v>44</v>
      </c>
      <c r="AA1977" s="2"/>
      <c r="AB1977" s="2"/>
      <c r="AC1977" s="2" t="s">
        <v>15167</v>
      </c>
      <c r="AD1977" s="2" t="s">
        <v>46</v>
      </c>
    </row>
    <row r="1978" customFormat="false" ht="15.7" hidden="false" customHeight="true" outlineLevel="0" collapsed="false">
      <c r="A1978" s="2"/>
      <c r="B1978" s="3" t="n">
        <f aca="false">DATE(2012,6,22)</f>
        <v>0</v>
      </c>
      <c r="C1978" s="3" t="n">
        <v>41082</v>
      </c>
      <c r="D1978" s="2" t="s">
        <v>15168</v>
      </c>
      <c r="F1978" s="2" t="s">
        <v>15169</v>
      </c>
      <c r="G1978" s="2" t="s">
        <v>15170</v>
      </c>
      <c r="H1978" s="2" t="s">
        <v>15171</v>
      </c>
      <c r="I1978" s="2" t="s">
        <v>15172</v>
      </c>
      <c r="J1978" s="2" t="s">
        <v>1305</v>
      </c>
      <c r="K1978" s="2" t="s">
        <v>15168</v>
      </c>
      <c r="L1978" s="2" t="s">
        <v>15172</v>
      </c>
      <c r="M1978" s="2" t="s">
        <v>15171</v>
      </c>
      <c r="N1978" s="2" t="s">
        <v>15173</v>
      </c>
      <c r="O1978" s="2"/>
      <c r="P1978" s="2" t="s">
        <v>37</v>
      </c>
      <c r="Q1978" s="4" t="n">
        <v>8731</v>
      </c>
      <c r="R1978" s="2" t="s">
        <v>136</v>
      </c>
      <c r="S1978" s="2" t="s">
        <v>39</v>
      </c>
      <c r="T1978" s="2" t="s">
        <v>40</v>
      </c>
      <c r="U1978" s="2" t="s">
        <v>15174</v>
      </c>
      <c r="V1978" s="2"/>
      <c r="W1978" s="2" t="s">
        <v>42</v>
      </c>
      <c r="X1978" s="2" t="s">
        <v>43</v>
      </c>
      <c r="Y1978" s="2" t="s">
        <v>37</v>
      </c>
      <c r="Z1978" s="2" t="s">
        <v>11148</v>
      </c>
      <c r="AA1978" s="2" t="s">
        <v>15175</v>
      </c>
      <c r="AB1978" s="2"/>
      <c r="AC1978" s="2" t="s">
        <v>15176</v>
      </c>
      <c r="AD1978" s="2" t="s">
        <v>46</v>
      </c>
    </row>
    <row r="1979" customFormat="false" ht="15.7" hidden="false" customHeight="true" outlineLevel="0" collapsed="false">
      <c r="A1979" s="2"/>
      <c r="B1979" s="3" t="n">
        <f aca="false">DATE(2012,6,26)</f>
        <v>0</v>
      </c>
      <c r="C1979" s="3" t="n">
        <v>41086</v>
      </c>
      <c r="D1979" s="2" t="s">
        <v>15177</v>
      </c>
      <c r="F1979" s="2" t="s">
        <v>15178</v>
      </c>
      <c r="G1979" s="2" t="s">
        <v>15179</v>
      </c>
      <c r="H1979" s="2" t="s">
        <v>2312</v>
      </c>
      <c r="I1979" s="2" t="s">
        <v>51</v>
      </c>
      <c r="J1979" s="2" t="s">
        <v>3045</v>
      </c>
      <c r="K1979" s="2" t="s">
        <v>15177</v>
      </c>
      <c r="L1979" s="2" t="s">
        <v>51</v>
      </c>
      <c r="M1979" s="2" t="s">
        <v>2312</v>
      </c>
      <c r="N1979" s="2" t="s">
        <v>15180</v>
      </c>
      <c r="O1979" s="2"/>
      <c r="P1979" s="2" t="s">
        <v>37</v>
      </c>
      <c r="Q1979" s="4" t="n">
        <v>8733</v>
      </c>
      <c r="R1979" s="2" t="s">
        <v>56</v>
      </c>
      <c r="S1979" s="2" t="s">
        <v>2265</v>
      </c>
      <c r="T1979" s="2" t="s">
        <v>40</v>
      </c>
      <c r="U1979" s="2" t="s">
        <v>15181</v>
      </c>
      <c r="V1979" s="2"/>
      <c r="W1979" s="2" t="s">
        <v>42</v>
      </c>
      <c r="X1979" s="2" t="s">
        <v>43</v>
      </c>
      <c r="Y1979" s="2" t="s">
        <v>37</v>
      </c>
      <c r="Z1979" s="2" t="s">
        <v>44</v>
      </c>
      <c r="AA1979" s="2"/>
      <c r="AB1979" s="2"/>
      <c r="AC1979" s="2" t="s">
        <v>15182</v>
      </c>
      <c r="AD1979" s="2" t="s">
        <v>46</v>
      </c>
    </row>
    <row r="1980" customFormat="false" ht="15.7" hidden="false" customHeight="true" outlineLevel="0" collapsed="false">
      <c r="A1980" s="2"/>
      <c r="B1980" s="3" t="n">
        <f aca="false">DATE(2012,6,26)</f>
        <v>0</v>
      </c>
      <c r="C1980" s="3" t="n">
        <v>41086</v>
      </c>
      <c r="D1980" s="2" t="s">
        <v>15183</v>
      </c>
      <c r="F1980" s="2" t="s">
        <v>15184</v>
      </c>
      <c r="G1980" s="2" t="s">
        <v>15185</v>
      </c>
      <c r="H1980" s="2" t="s">
        <v>785</v>
      </c>
      <c r="I1980" s="2" t="s">
        <v>154</v>
      </c>
      <c r="J1980" s="2" t="s">
        <v>65</v>
      </c>
      <c r="K1980" s="2" t="s">
        <v>15183</v>
      </c>
      <c r="L1980" s="2" t="s">
        <v>154</v>
      </c>
      <c r="M1980" s="2" t="s">
        <v>785</v>
      </c>
      <c r="N1980" s="2" t="s">
        <v>15186</v>
      </c>
      <c r="O1980" s="2"/>
      <c r="P1980" s="2" t="s">
        <v>37</v>
      </c>
      <c r="Q1980" s="4" t="n">
        <v>2836</v>
      </c>
      <c r="R1980" s="2" t="s">
        <v>136</v>
      </c>
      <c r="S1980" s="2" t="s">
        <v>39</v>
      </c>
      <c r="T1980" s="2" t="s">
        <v>40</v>
      </c>
      <c r="U1980" s="2" t="s">
        <v>15187</v>
      </c>
      <c r="V1980" s="2"/>
      <c r="W1980" s="2" t="s">
        <v>42</v>
      </c>
      <c r="X1980" s="2" t="s">
        <v>43</v>
      </c>
      <c r="Y1980" s="2" t="s">
        <v>37</v>
      </c>
      <c r="Z1980" s="2" t="s">
        <v>44</v>
      </c>
      <c r="AA1980" s="2"/>
      <c r="AB1980" s="2"/>
      <c r="AC1980" s="2" t="s">
        <v>15188</v>
      </c>
      <c r="AD1980" s="2" t="s">
        <v>46</v>
      </c>
    </row>
    <row r="1981" customFormat="false" ht="15.7" hidden="false" customHeight="true" outlineLevel="0" collapsed="false">
      <c r="A1981" s="2"/>
      <c r="B1981" s="3" t="n">
        <f aca="false">DATE(2012,6,26)</f>
        <v>0</v>
      </c>
      <c r="C1981" s="3" t="n">
        <v>41086</v>
      </c>
      <c r="D1981" s="2" t="s">
        <v>15189</v>
      </c>
      <c r="F1981" s="2" t="s">
        <v>15190</v>
      </c>
      <c r="G1981" s="2" t="s">
        <v>15191</v>
      </c>
      <c r="H1981" s="2" t="s">
        <v>4926</v>
      </c>
      <c r="I1981" s="2" t="s">
        <v>51</v>
      </c>
      <c r="J1981" s="2" t="s">
        <v>195</v>
      </c>
      <c r="K1981" s="2" t="s">
        <v>15189</v>
      </c>
      <c r="L1981" s="2" t="s">
        <v>51</v>
      </c>
      <c r="M1981" s="2" t="s">
        <v>4926</v>
      </c>
      <c r="N1981" s="2" t="s">
        <v>15192</v>
      </c>
      <c r="O1981" s="2"/>
      <c r="P1981" s="2" t="s">
        <v>37</v>
      </c>
      <c r="Q1981" s="4" t="n">
        <v>8731</v>
      </c>
      <c r="R1981" s="2" t="s">
        <v>56</v>
      </c>
      <c r="S1981" s="2" t="s">
        <v>2265</v>
      </c>
      <c r="T1981" s="2" t="s">
        <v>40</v>
      </c>
      <c r="U1981" s="2" t="s">
        <v>15193</v>
      </c>
      <c r="V1981" s="2"/>
      <c r="W1981" s="2" t="s">
        <v>42</v>
      </c>
      <c r="X1981" s="2" t="s">
        <v>43</v>
      </c>
      <c r="Y1981" s="2" t="s">
        <v>37</v>
      </c>
      <c r="Z1981" s="2" t="s">
        <v>44</v>
      </c>
      <c r="AA1981" s="2"/>
      <c r="AB1981" s="2"/>
      <c r="AC1981" s="2" t="s">
        <v>15194</v>
      </c>
      <c r="AD1981" s="2" t="s">
        <v>46</v>
      </c>
    </row>
    <row r="1982" customFormat="false" ht="15.7" hidden="false" customHeight="true" outlineLevel="0" collapsed="false">
      <c r="A1982" s="2"/>
      <c r="B1982" s="3" t="n">
        <f aca="false">DATE(2012,6,27)</f>
        <v>0</v>
      </c>
      <c r="C1982" s="3" t="n">
        <v>41087</v>
      </c>
      <c r="D1982" s="2" t="s">
        <v>15195</v>
      </c>
      <c r="F1982" s="2" t="s">
        <v>9152</v>
      </c>
      <c r="G1982" s="2" t="s">
        <v>15196</v>
      </c>
      <c r="H1982" s="2" t="s">
        <v>170</v>
      </c>
      <c r="I1982" s="2" t="s">
        <v>51</v>
      </c>
      <c r="J1982" s="2" t="s">
        <v>15197</v>
      </c>
      <c r="K1982" s="2" t="s">
        <v>15195</v>
      </c>
      <c r="L1982" s="2" t="s">
        <v>51</v>
      </c>
      <c r="M1982" s="2" t="s">
        <v>170</v>
      </c>
      <c r="N1982" s="2" t="s">
        <v>15198</v>
      </c>
      <c r="O1982" s="2"/>
      <c r="P1982" s="2" t="s">
        <v>37</v>
      </c>
      <c r="Q1982" s="4" t="n">
        <v>2836</v>
      </c>
      <c r="R1982" s="2" t="s">
        <v>56</v>
      </c>
      <c r="S1982" s="2" t="s">
        <v>2265</v>
      </c>
      <c r="T1982" s="2" t="s">
        <v>40</v>
      </c>
      <c r="U1982" s="2" t="s">
        <v>15199</v>
      </c>
      <c r="V1982" s="2"/>
      <c r="W1982" s="2" t="s">
        <v>42</v>
      </c>
      <c r="X1982" s="2" t="s">
        <v>43</v>
      </c>
      <c r="Y1982" s="2" t="s">
        <v>37</v>
      </c>
      <c r="Z1982" s="2" t="s">
        <v>44</v>
      </c>
      <c r="AA1982" s="2"/>
      <c r="AB1982" s="2"/>
      <c r="AC1982" s="2" t="s">
        <v>15200</v>
      </c>
      <c r="AD1982" s="2" t="s">
        <v>46</v>
      </c>
    </row>
    <row r="1983" customFormat="false" ht="15.7" hidden="false" customHeight="true" outlineLevel="0" collapsed="false">
      <c r="A1983" s="2"/>
      <c r="B1983" s="3" t="n">
        <f aca="false">DATE(2012,6,28)</f>
        <v>0</v>
      </c>
      <c r="C1983" s="3" t="n">
        <v>41088</v>
      </c>
      <c r="D1983" s="2" t="s">
        <v>15201</v>
      </c>
      <c r="F1983" s="2" t="s">
        <v>15202</v>
      </c>
      <c r="G1983" s="2" t="s">
        <v>15203</v>
      </c>
      <c r="H1983" s="2" t="s">
        <v>15204</v>
      </c>
      <c r="I1983" s="2" t="s">
        <v>51</v>
      </c>
      <c r="J1983" s="2" t="s">
        <v>9038</v>
      </c>
      <c r="K1983" s="2" t="s">
        <v>15201</v>
      </c>
      <c r="L1983" s="2" t="s">
        <v>51</v>
      </c>
      <c r="M1983" s="2" t="s">
        <v>15204</v>
      </c>
      <c r="N1983" s="2" t="s">
        <v>15205</v>
      </c>
      <c r="O1983" s="2"/>
      <c r="P1983" s="2" t="s">
        <v>37</v>
      </c>
      <c r="Q1983" s="4" t="n">
        <v>4941</v>
      </c>
      <c r="R1983" s="2" t="s">
        <v>56</v>
      </c>
      <c r="S1983" s="2" t="s">
        <v>2265</v>
      </c>
      <c r="T1983" s="2" t="s">
        <v>40</v>
      </c>
      <c r="U1983" s="2" t="s">
        <v>15206</v>
      </c>
      <c r="V1983" s="2"/>
      <c r="W1983" s="2" t="s">
        <v>4951</v>
      </c>
      <c r="X1983" s="2" t="s">
        <v>43</v>
      </c>
      <c r="Y1983" s="2" t="s">
        <v>37</v>
      </c>
      <c r="Z1983" s="2" t="s">
        <v>44</v>
      </c>
      <c r="AA1983" s="2"/>
      <c r="AB1983" s="2"/>
      <c r="AC1983" s="2" t="s">
        <v>15207</v>
      </c>
      <c r="AD1983" s="2" t="s">
        <v>46</v>
      </c>
    </row>
    <row r="1984" customFormat="false" ht="15.7" hidden="false" customHeight="true" outlineLevel="0" collapsed="false">
      <c r="A1984" s="2"/>
      <c r="B1984" s="3" t="n">
        <f aca="false">DATE(2012,6,28)</f>
        <v>0</v>
      </c>
      <c r="C1984" s="3" t="n">
        <v>41088</v>
      </c>
      <c r="D1984" s="2" t="s">
        <v>15208</v>
      </c>
      <c r="F1984" s="2" t="s">
        <v>15209</v>
      </c>
      <c r="G1984" s="2" t="s">
        <v>15210</v>
      </c>
      <c r="H1984" s="2" t="s">
        <v>15211</v>
      </c>
      <c r="I1984" s="2" t="s">
        <v>15212</v>
      </c>
      <c r="J1984" s="2" t="s">
        <v>35</v>
      </c>
      <c r="K1984" s="2" t="s">
        <v>15208</v>
      </c>
      <c r="L1984" s="2" t="s">
        <v>15212</v>
      </c>
      <c r="M1984" s="2" t="s">
        <v>15211</v>
      </c>
      <c r="N1984" s="2" t="s">
        <v>15213</v>
      </c>
      <c r="O1984" s="2"/>
      <c r="P1984" s="2" t="s">
        <v>37</v>
      </c>
      <c r="Q1984" s="4" t="n">
        <v>3629</v>
      </c>
      <c r="R1984" s="2" t="s">
        <v>56</v>
      </c>
      <c r="S1984" s="2" t="s">
        <v>1576</v>
      </c>
      <c r="T1984" s="2" t="s">
        <v>40</v>
      </c>
      <c r="U1984" s="2" t="s">
        <v>15214</v>
      </c>
      <c r="V1984" s="2"/>
      <c r="W1984" s="2" t="s">
        <v>107</v>
      </c>
      <c r="X1984" s="2" t="s">
        <v>46</v>
      </c>
      <c r="Y1984" s="2" t="s">
        <v>37</v>
      </c>
      <c r="Z1984" s="2" t="s">
        <v>987</v>
      </c>
      <c r="AA1984" s="2" t="s">
        <v>15215</v>
      </c>
      <c r="AB1984" s="2"/>
      <c r="AC1984" s="2" t="s">
        <v>15216</v>
      </c>
      <c r="AD1984" s="2" t="s">
        <v>46</v>
      </c>
    </row>
    <row r="1985" customFormat="false" ht="15.7" hidden="false" customHeight="true" outlineLevel="0" collapsed="false">
      <c r="A1985" s="2"/>
      <c r="B1985" s="3" t="n">
        <f aca="false">DATE(2012,6,28)</f>
        <v>0</v>
      </c>
      <c r="C1985" s="3" t="n">
        <v>41088</v>
      </c>
      <c r="D1985" s="2" t="s">
        <v>15217</v>
      </c>
      <c r="F1985" s="2" t="s">
        <v>15218</v>
      </c>
      <c r="G1985" s="2" t="s">
        <v>15219</v>
      </c>
      <c r="H1985" s="2" t="s">
        <v>15220</v>
      </c>
      <c r="I1985" s="2" t="s">
        <v>15221</v>
      </c>
      <c r="J1985" s="2" t="s">
        <v>15222</v>
      </c>
      <c r="K1985" s="2" t="s">
        <v>15217</v>
      </c>
      <c r="L1985" s="2" t="s">
        <v>15221</v>
      </c>
      <c r="M1985" s="2" t="s">
        <v>15220</v>
      </c>
      <c r="N1985" s="2" t="s">
        <v>15223</v>
      </c>
      <c r="O1985" s="2"/>
      <c r="P1985" s="2" t="s">
        <v>37</v>
      </c>
      <c r="Q1985" s="4" t="n">
        <v>8733</v>
      </c>
      <c r="R1985" s="2" t="s">
        <v>38</v>
      </c>
      <c r="S1985" s="2" t="s">
        <v>39</v>
      </c>
      <c r="T1985" s="2" t="s">
        <v>403</v>
      </c>
      <c r="U1985" s="2" t="s">
        <v>15224</v>
      </c>
      <c r="V1985" s="2"/>
      <c r="W1985" s="2" t="s">
        <v>15225</v>
      </c>
      <c r="X1985" s="2" t="s">
        <v>46</v>
      </c>
      <c r="Y1985" s="2" t="s">
        <v>37</v>
      </c>
      <c r="Z1985" s="2" t="s">
        <v>405</v>
      </c>
      <c r="AA1985" s="2"/>
      <c r="AB1985" s="2"/>
      <c r="AC1985" s="2" t="s">
        <v>15226</v>
      </c>
      <c r="AD1985" s="2" t="s">
        <v>46</v>
      </c>
    </row>
    <row r="1986" customFormat="false" ht="15.7" hidden="false" customHeight="true" outlineLevel="0" collapsed="false">
      <c r="A1986" s="2"/>
      <c r="B1986" s="3" t="n">
        <f aca="false">DATE(2012,6,28)</f>
        <v>0</v>
      </c>
      <c r="C1986" s="3" t="n">
        <v>41088</v>
      </c>
      <c r="D1986" s="2" t="s">
        <v>15227</v>
      </c>
      <c r="F1986" s="2" t="s">
        <v>15228</v>
      </c>
      <c r="G1986" s="2" t="s">
        <v>15229</v>
      </c>
      <c r="H1986" s="2" t="s">
        <v>15230</v>
      </c>
      <c r="I1986" s="2" t="s">
        <v>51</v>
      </c>
      <c r="J1986" s="2" t="s">
        <v>15231</v>
      </c>
      <c r="K1986" s="2" t="s">
        <v>15232</v>
      </c>
      <c r="L1986" s="2" t="s">
        <v>219</v>
      </c>
      <c r="M1986" s="2" t="s">
        <v>15233</v>
      </c>
      <c r="N1986" s="2" t="s">
        <v>15234</v>
      </c>
      <c r="O1986" s="2"/>
      <c r="P1986" s="2" t="s">
        <v>37</v>
      </c>
      <c r="Q1986" s="4" t="n">
        <v>3593</v>
      </c>
      <c r="R1986" s="2" t="s">
        <v>56</v>
      </c>
      <c r="S1986" s="2" t="s">
        <v>2265</v>
      </c>
      <c r="T1986" s="2" t="s">
        <v>40</v>
      </c>
      <c r="U1986" s="2" t="s">
        <v>15235</v>
      </c>
      <c r="V1986" s="2"/>
      <c r="W1986" s="2" t="s">
        <v>107</v>
      </c>
      <c r="X1986" s="2" t="s">
        <v>43</v>
      </c>
      <c r="Y1986" s="2" t="s">
        <v>37</v>
      </c>
      <c r="Z1986" s="2" t="s">
        <v>44</v>
      </c>
      <c r="AA1986" s="2"/>
      <c r="AB1986" s="2"/>
      <c r="AC1986" s="2" t="s">
        <v>15236</v>
      </c>
      <c r="AD1986" s="2" t="s">
        <v>46</v>
      </c>
    </row>
    <row r="1987" customFormat="false" ht="15.7" hidden="false" customHeight="true" outlineLevel="0" collapsed="false">
      <c r="A1987" s="2"/>
      <c r="B1987" s="3" t="n">
        <f aca="false">DATE(2012,6,29)</f>
        <v>0</v>
      </c>
      <c r="C1987" s="3" t="n">
        <v>41089</v>
      </c>
      <c r="D1987" s="2" t="s">
        <v>15237</v>
      </c>
      <c r="F1987" s="2" t="s">
        <v>15238</v>
      </c>
      <c r="G1987" s="2" t="s">
        <v>15239</v>
      </c>
      <c r="H1987" s="2" t="s">
        <v>7288</v>
      </c>
      <c r="I1987" s="2" t="s">
        <v>34</v>
      </c>
      <c r="J1987" s="2" t="s">
        <v>35</v>
      </c>
      <c r="K1987" s="2" t="s">
        <v>15240</v>
      </c>
      <c r="L1987" s="2" t="s">
        <v>34</v>
      </c>
      <c r="M1987" s="2" t="s">
        <v>3884</v>
      </c>
      <c r="N1987" s="2" t="s">
        <v>15241</v>
      </c>
      <c r="O1987" s="2"/>
      <c r="P1987" s="2" t="s">
        <v>79</v>
      </c>
      <c r="Q1987" s="4" t="n">
        <v>2836</v>
      </c>
      <c r="R1987" s="2" t="s">
        <v>38</v>
      </c>
      <c r="S1987" s="2" t="s">
        <v>39</v>
      </c>
      <c r="T1987" s="2" t="s">
        <v>403</v>
      </c>
      <c r="U1987" s="2" t="s">
        <v>15242</v>
      </c>
      <c r="V1987" s="2"/>
      <c r="W1987" s="2" t="s">
        <v>14572</v>
      </c>
      <c r="X1987" s="2" t="s">
        <v>43</v>
      </c>
      <c r="Y1987" s="2" t="s">
        <v>37</v>
      </c>
      <c r="Z1987" s="2" t="s">
        <v>44</v>
      </c>
      <c r="AA1987" s="2" t="s">
        <v>15243</v>
      </c>
      <c r="AB1987" s="2"/>
      <c r="AC1987" s="2" t="s">
        <v>15244</v>
      </c>
      <c r="AD1987" s="2" t="s">
        <v>46</v>
      </c>
    </row>
    <row r="1988" customFormat="false" ht="15.7" hidden="false" customHeight="true" outlineLevel="0" collapsed="false">
      <c r="A1988" s="2"/>
      <c r="B1988" s="3" t="n">
        <f aca="false">DATE(2012,6,29)</f>
        <v>0</v>
      </c>
      <c r="C1988" s="3" t="n">
        <v>41089</v>
      </c>
      <c r="D1988" s="2" t="s">
        <v>15237</v>
      </c>
      <c r="F1988" s="2" t="s">
        <v>15238</v>
      </c>
      <c r="G1988" s="2" t="s">
        <v>15239</v>
      </c>
      <c r="H1988" s="2" t="s">
        <v>7288</v>
      </c>
      <c r="I1988" s="2" t="s">
        <v>34</v>
      </c>
      <c r="J1988" s="2" t="s">
        <v>35</v>
      </c>
      <c r="K1988" s="2" t="s">
        <v>15240</v>
      </c>
      <c r="L1988" s="2" t="s">
        <v>34</v>
      </c>
      <c r="M1988" s="2" t="s">
        <v>3884</v>
      </c>
      <c r="N1988" s="2" t="s">
        <v>15241</v>
      </c>
      <c r="O1988" s="2"/>
      <c r="P1988" s="2" t="s">
        <v>37</v>
      </c>
      <c r="Q1988" s="4" t="n">
        <v>2836</v>
      </c>
      <c r="R1988" s="2" t="s">
        <v>7617</v>
      </c>
      <c r="S1988" s="2" t="s">
        <v>5334</v>
      </c>
      <c r="T1988" s="2" t="s">
        <v>40</v>
      </c>
      <c r="U1988" s="2" t="s">
        <v>15245</v>
      </c>
      <c r="V1988" s="2"/>
      <c r="W1988" s="2" t="s">
        <v>42</v>
      </c>
      <c r="X1988" s="2" t="s">
        <v>43</v>
      </c>
      <c r="Y1988" s="2" t="s">
        <v>79</v>
      </c>
      <c r="Z1988" s="2" t="s">
        <v>44</v>
      </c>
      <c r="AA1988" s="2"/>
      <c r="AB1988" s="2"/>
      <c r="AC1988" s="2" t="s">
        <v>15244</v>
      </c>
      <c r="AD1988" s="2" t="s">
        <v>46</v>
      </c>
    </row>
    <row r="1989" customFormat="false" ht="15.7" hidden="false" customHeight="true" outlineLevel="0" collapsed="false">
      <c r="A1989" s="2"/>
      <c r="B1989" s="3" t="n">
        <f aca="false">DATE(2012,6,29)</f>
        <v>0</v>
      </c>
      <c r="C1989" s="3" t="n">
        <v>41089</v>
      </c>
      <c r="D1989" s="2" t="s">
        <v>15246</v>
      </c>
      <c r="F1989" s="2" t="s">
        <v>7257</v>
      </c>
      <c r="G1989" s="2" t="s">
        <v>15247</v>
      </c>
      <c r="H1989" s="2" t="s">
        <v>63</v>
      </c>
      <c r="I1989" s="2" t="s">
        <v>51</v>
      </c>
      <c r="J1989" s="2" t="s">
        <v>3045</v>
      </c>
      <c r="K1989" s="2" t="s">
        <v>15246</v>
      </c>
      <c r="L1989" s="2" t="s">
        <v>51</v>
      </c>
      <c r="M1989" s="2" t="s">
        <v>63</v>
      </c>
      <c r="N1989" s="2" t="s">
        <v>15248</v>
      </c>
      <c r="O1989" s="2"/>
      <c r="P1989" s="2" t="s">
        <v>37</v>
      </c>
      <c r="Q1989" s="4" t="n">
        <v>2834</v>
      </c>
      <c r="R1989" s="2" t="s">
        <v>136</v>
      </c>
      <c r="S1989" s="2" t="s">
        <v>39</v>
      </c>
      <c r="T1989" s="2" t="s">
        <v>40</v>
      </c>
      <c r="U1989" s="2" t="s">
        <v>15249</v>
      </c>
      <c r="V1989" s="2"/>
      <c r="W1989" s="2" t="s">
        <v>42</v>
      </c>
      <c r="X1989" s="2" t="s">
        <v>43</v>
      </c>
      <c r="Y1989" s="2" t="s">
        <v>37</v>
      </c>
      <c r="Z1989" s="2" t="s">
        <v>44</v>
      </c>
      <c r="AA1989" s="2" t="s">
        <v>15250</v>
      </c>
      <c r="AB1989" s="2"/>
      <c r="AC1989" s="2" t="s">
        <v>15251</v>
      </c>
      <c r="AD1989" s="2" t="s">
        <v>46</v>
      </c>
    </row>
    <row r="1990" customFormat="false" ht="15.7" hidden="false" customHeight="true" outlineLevel="0" collapsed="false">
      <c r="A1990" s="2"/>
      <c r="B1990" s="3" t="n">
        <f aca="false">DATE(2012,6,29)</f>
        <v>0</v>
      </c>
      <c r="C1990" s="3" t="n">
        <v>41089</v>
      </c>
      <c r="D1990" s="2" t="s">
        <v>15252</v>
      </c>
      <c r="F1990" s="2" t="s">
        <v>15253</v>
      </c>
      <c r="G1990" s="2" t="s">
        <v>15254</v>
      </c>
      <c r="H1990" s="2" t="s">
        <v>15255</v>
      </c>
      <c r="I1990" s="2" t="s">
        <v>899</v>
      </c>
      <c r="J1990" s="2" t="s">
        <v>1891</v>
      </c>
      <c r="K1990" s="2" t="s">
        <v>15256</v>
      </c>
      <c r="L1990" s="2" t="s">
        <v>899</v>
      </c>
      <c r="M1990" s="2" t="s">
        <v>15257</v>
      </c>
      <c r="N1990" s="2" t="s">
        <v>15258</v>
      </c>
      <c r="O1990" s="2"/>
      <c r="P1990" s="2" t="s">
        <v>37</v>
      </c>
      <c r="Q1990" s="4" t="n">
        <v>2836</v>
      </c>
      <c r="R1990" s="2" t="s">
        <v>136</v>
      </c>
      <c r="S1990" s="2" t="s">
        <v>39</v>
      </c>
      <c r="T1990" s="2" t="s">
        <v>40</v>
      </c>
      <c r="U1990" s="2" t="s">
        <v>15259</v>
      </c>
      <c r="V1990" s="2"/>
      <c r="W1990" s="2" t="s">
        <v>42</v>
      </c>
      <c r="X1990" s="2" t="s">
        <v>43</v>
      </c>
      <c r="Y1990" s="2" t="s">
        <v>37</v>
      </c>
      <c r="Z1990" s="2" t="s">
        <v>44</v>
      </c>
      <c r="AA1990" s="2"/>
      <c r="AB1990" s="2"/>
      <c r="AC1990" s="2" t="s">
        <v>15260</v>
      </c>
      <c r="AD1990" s="2" t="s">
        <v>46</v>
      </c>
    </row>
    <row r="1991" customFormat="false" ht="15.7" hidden="false" customHeight="true" outlineLevel="0" collapsed="false">
      <c r="A1991" s="2"/>
      <c r="B1991" s="3" t="n">
        <f aca="false">DATE(2012,6,29)</f>
        <v>0</v>
      </c>
      <c r="C1991" s="3" t="n">
        <v>41089</v>
      </c>
      <c r="D1991" s="2" t="s">
        <v>15261</v>
      </c>
      <c r="F1991" s="2" t="s">
        <v>15262</v>
      </c>
      <c r="G1991" s="2" t="s">
        <v>15263</v>
      </c>
      <c r="H1991" s="2" t="s">
        <v>15264</v>
      </c>
      <c r="I1991" s="2" t="s">
        <v>154</v>
      </c>
      <c r="J1991" s="2" t="s">
        <v>7963</v>
      </c>
      <c r="K1991" s="2" t="s">
        <v>15265</v>
      </c>
      <c r="L1991" s="2" t="s">
        <v>154</v>
      </c>
      <c r="M1991" s="2" t="s">
        <v>15266</v>
      </c>
      <c r="N1991" s="2" t="s">
        <v>15267</v>
      </c>
      <c r="O1991" s="2"/>
      <c r="P1991" s="2" t="s">
        <v>37</v>
      </c>
      <c r="Q1991" s="4" t="n">
        <v>8731</v>
      </c>
      <c r="R1991" s="2" t="s">
        <v>136</v>
      </c>
      <c r="S1991" s="2" t="s">
        <v>39</v>
      </c>
      <c r="T1991" s="2" t="s">
        <v>403</v>
      </c>
      <c r="U1991" s="2" t="s">
        <v>15268</v>
      </c>
      <c r="V1991" s="2"/>
      <c r="W1991" s="2" t="s">
        <v>4101</v>
      </c>
      <c r="X1991" s="2" t="s">
        <v>43</v>
      </c>
      <c r="Y1991" s="2" t="s">
        <v>37</v>
      </c>
      <c r="Z1991" s="2" t="s">
        <v>44</v>
      </c>
      <c r="AA1991" s="2"/>
      <c r="AB1991" s="2"/>
      <c r="AC1991" s="2" t="s">
        <v>15269</v>
      </c>
      <c r="AD1991" s="2" t="s">
        <v>46</v>
      </c>
    </row>
    <row r="1992" customFormat="false" ht="15.7" hidden="false" customHeight="true" outlineLevel="0" collapsed="false">
      <c r="A1992" s="2"/>
      <c r="B1992" s="3" t="n">
        <f aca="false">DATE(2012,7,2)</f>
        <v>0</v>
      </c>
      <c r="C1992" s="3" t="n">
        <v>41092</v>
      </c>
      <c r="D1992" s="2" t="s">
        <v>15270</v>
      </c>
      <c r="F1992" s="2" t="s">
        <v>15271</v>
      </c>
      <c r="G1992" s="2" t="s">
        <v>15272</v>
      </c>
      <c r="H1992" s="2" t="s">
        <v>130</v>
      </c>
      <c r="I1992" s="2" t="s">
        <v>388</v>
      </c>
      <c r="J1992" s="2" t="s">
        <v>575</v>
      </c>
      <c r="K1992" s="2" t="s">
        <v>15270</v>
      </c>
      <c r="L1992" s="2" t="s">
        <v>388</v>
      </c>
      <c r="M1992" s="2" t="s">
        <v>130</v>
      </c>
      <c r="N1992" s="2" t="s">
        <v>15273</v>
      </c>
      <c r="O1992" s="2"/>
      <c r="P1992" s="2" t="s">
        <v>37</v>
      </c>
      <c r="Q1992" s="4" t="n">
        <v>2834</v>
      </c>
      <c r="R1992" s="2" t="s">
        <v>136</v>
      </c>
      <c r="S1992" s="2" t="s">
        <v>39</v>
      </c>
      <c r="T1992" s="2" t="s">
        <v>403</v>
      </c>
      <c r="U1992" s="2" t="s">
        <v>15274</v>
      </c>
      <c r="V1992" s="2"/>
      <c r="W1992" s="2" t="s">
        <v>42</v>
      </c>
      <c r="X1992" s="2" t="s">
        <v>46</v>
      </c>
      <c r="Y1992" s="2" t="s">
        <v>37</v>
      </c>
      <c r="Z1992" s="2" t="s">
        <v>44</v>
      </c>
      <c r="AA1992" s="2" t="s">
        <v>15275</v>
      </c>
      <c r="AB1992" s="2"/>
      <c r="AC1992" s="2" t="s">
        <v>15276</v>
      </c>
      <c r="AD1992" s="2" t="s">
        <v>46</v>
      </c>
    </row>
    <row r="1993" customFormat="false" ht="15.7" hidden="false" customHeight="true" outlineLevel="0" collapsed="false">
      <c r="A1993" s="2"/>
      <c r="B1993" s="3" t="n">
        <f aca="false">DATE(2012,7,3)</f>
        <v>0</v>
      </c>
      <c r="C1993" s="3" t="n">
        <v>41093</v>
      </c>
      <c r="D1993" s="2" t="s">
        <v>15277</v>
      </c>
      <c r="F1993" s="2" t="s">
        <v>15278</v>
      </c>
      <c r="G1993" s="2" t="s">
        <v>15279</v>
      </c>
      <c r="H1993" s="2" t="s">
        <v>15280</v>
      </c>
      <c r="I1993" s="2" t="s">
        <v>3795</v>
      </c>
      <c r="J1993" s="2" t="s">
        <v>795</v>
      </c>
      <c r="K1993" s="2" t="s">
        <v>15277</v>
      </c>
      <c r="L1993" s="2" t="s">
        <v>3795</v>
      </c>
      <c r="M1993" s="2" t="s">
        <v>15280</v>
      </c>
      <c r="N1993" s="2" t="s">
        <v>15281</v>
      </c>
      <c r="O1993" s="2"/>
      <c r="P1993" s="2" t="s">
        <v>37</v>
      </c>
      <c r="Q1993" s="4" t="n">
        <v>8731</v>
      </c>
      <c r="R1993" s="2" t="s">
        <v>3154</v>
      </c>
      <c r="S1993" s="2" t="s">
        <v>39</v>
      </c>
      <c r="T1993" s="2" t="s">
        <v>403</v>
      </c>
      <c r="U1993" s="2" t="s">
        <v>15282</v>
      </c>
      <c r="V1993" s="2"/>
      <c r="W1993" s="2" t="s">
        <v>1693</v>
      </c>
      <c r="X1993" s="2" t="s">
        <v>43</v>
      </c>
      <c r="Y1993" s="2" t="s">
        <v>37</v>
      </c>
      <c r="Z1993" s="2" t="s">
        <v>44</v>
      </c>
      <c r="AA1993" s="2"/>
      <c r="AB1993" s="2"/>
      <c r="AC1993" s="2" t="s">
        <v>15283</v>
      </c>
      <c r="AD1993" s="2" t="s">
        <v>46</v>
      </c>
    </row>
    <row r="1994" customFormat="false" ht="15.7" hidden="false" customHeight="true" outlineLevel="0" collapsed="false">
      <c r="A1994" s="2"/>
      <c r="B1994" s="3" t="n">
        <f aca="false">DATE(2012,7,4)</f>
        <v>0</v>
      </c>
      <c r="C1994" s="3" t="n">
        <v>41094</v>
      </c>
      <c r="D1994" s="2" t="s">
        <v>15284</v>
      </c>
      <c r="F1994" s="2" t="s">
        <v>15285</v>
      </c>
      <c r="G1994" s="2" t="s">
        <v>15286</v>
      </c>
      <c r="H1994" s="2" t="s">
        <v>8066</v>
      </c>
      <c r="I1994" s="2" t="s">
        <v>15287</v>
      </c>
      <c r="J1994" s="2" t="s">
        <v>35</v>
      </c>
      <c r="K1994" s="2" t="s">
        <v>15284</v>
      </c>
      <c r="L1994" s="2" t="s">
        <v>15287</v>
      </c>
      <c r="M1994" s="2" t="s">
        <v>8066</v>
      </c>
      <c r="N1994" s="2" t="s">
        <v>15288</v>
      </c>
      <c r="O1994" s="2"/>
      <c r="P1994" s="2" t="s">
        <v>37</v>
      </c>
      <c r="Q1994" s="4" t="n">
        <v>8731</v>
      </c>
      <c r="R1994" s="2" t="s">
        <v>2225</v>
      </c>
      <c r="S1994" s="2" t="s">
        <v>39</v>
      </c>
      <c r="T1994" s="2" t="s">
        <v>403</v>
      </c>
      <c r="U1994" s="2" t="s">
        <v>15289</v>
      </c>
      <c r="V1994" s="2"/>
      <c r="W1994" s="2" t="s">
        <v>15290</v>
      </c>
      <c r="X1994" s="2" t="s">
        <v>46</v>
      </c>
      <c r="Y1994" s="2" t="s">
        <v>37</v>
      </c>
      <c r="Z1994" s="2" t="s">
        <v>362</v>
      </c>
      <c r="AA1994" s="2" t="s">
        <v>15291</v>
      </c>
      <c r="AB1994" s="2"/>
      <c r="AC1994" s="2" t="s">
        <v>15292</v>
      </c>
      <c r="AD1994" s="2" t="s">
        <v>46</v>
      </c>
    </row>
    <row r="1995" customFormat="false" ht="15.7" hidden="false" customHeight="true" outlineLevel="0" collapsed="false">
      <c r="A1995" s="2"/>
      <c r="B1995" s="3" t="n">
        <f aca="false">DATE(2012,7,6)</f>
        <v>0</v>
      </c>
      <c r="C1995" s="3" t="n">
        <v>41096</v>
      </c>
      <c r="D1995" s="2" t="s">
        <v>15293</v>
      </c>
      <c r="F1995" s="2" t="s">
        <v>15294</v>
      </c>
      <c r="G1995" s="2" t="s">
        <v>15295</v>
      </c>
      <c r="H1995" s="2" t="s">
        <v>15296</v>
      </c>
      <c r="I1995" s="2" t="s">
        <v>15297</v>
      </c>
      <c r="J1995" s="2" t="s">
        <v>35</v>
      </c>
      <c r="K1995" s="2" t="s">
        <v>15298</v>
      </c>
      <c r="L1995" s="2" t="s">
        <v>540</v>
      </c>
      <c r="M1995" s="2" t="s">
        <v>15296</v>
      </c>
      <c r="N1995" s="2" t="s">
        <v>15299</v>
      </c>
      <c r="O1995" s="2"/>
      <c r="P1995" s="2" t="s">
        <v>37</v>
      </c>
      <c r="Q1995" s="4" t="n">
        <v>2819</v>
      </c>
      <c r="R1995" s="2" t="s">
        <v>12034</v>
      </c>
      <c r="S1995" s="2" t="s">
        <v>39</v>
      </c>
      <c r="T1995" s="2" t="s">
        <v>403</v>
      </c>
      <c r="U1995" s="2" t="s">
        <v>15300</v>
      </c>
      <c r="V1995" s="2"/>
      <c r="W1995" s="2" t="s">
        <v>5039</v>
      </c>
      <c r="X1995" s="2" t="s">
        <v>46</v>
      </c>
      <c r="Y1995" s="2" t="s">
        <v>37</v>
      </c>
      <c r="Z1995" s="2" t="s">
        <v>2732</v>
      </c>
      <c r="AA1995" s="2" t="s">
        <v>15301</v>
      </c>
      <c r="AB1995" s="2"/>
      <c r="AC1995" s="2" t="s">
        <v>15302</v>
      </c>
      <c r="AD1995" s="2" t="s">
        <v>46</v>
      </c>
    </row>
    <row r="1996" customFormat="false" ht="15.7" hidden="false" customHeight="true" outlineLevel="0" collapsed="false">
      <c r="A1996" s="2"/>
      <c r="B1996" s="3" t="n">
        <f aca="false">DATE(2012,7,9)</f>
        <v>0</v>
      </c>
      <c r="C1996" s="3" t="n">
        <v>41099</v>
      </c>
      <c r="D1996" s="2" t="s">
        <v>15303</v>
      </c>
      <c r="F1996" s="2" t="s">
        <v>15304</v>
      </c>
      <c r="G1996" s="2" t="s">
        <v>15305</v>
      </c>
      <c r="H1996" s="2" t="s">
        <v>15306</v>
      </c>
      <c r="I1996" s="2" t="s">
        <v>51</v>
      </c>
      <c r="J1996" s="2" t="s">
        <v>7353</v>
      </c>
      <c r="K1996" s="2" t="s">
        <v>15303</v>
      </c>
      <c r="L1996" s="2" t="s">
        <v>51</v>
      </c>
      <c r="M1996" s="2" t="s">
        <v>15306</v>
      </c>
      <c r="N1996" s="2" t="s">
        <v>15307</v>
      </c>
      <c r="O1996" s="2"/>
      <c r="P1996" s="2" t="s">
        <v>37</v>
      </c>
      <c r="Q1996" s="4" t="n">
        <v>9661</v>
      </c>
      <c r="R1996" s="2" t="s">
        <v>56</v>
      </c>
      <c r="S1996" s="2" t="s">
        <v>788</v>
      </c>
      <c r="T1996" s="2" t="s">
        <v>40</v>
      </c>
      <c r="U1996" s="2" t="s">
        <v>15308</v>
      </c>
      <c r="V1996" s="2"/>
      <c r="W1996" s="2" t="s">
        <v>42</v>
      </c>
      <c r="X1996" s="2" t="s">
        <v>46</v>
      </c>
      <c r="Y1996" s="2" t="s">
        <v>37</v>
      </c>
      <c r="Z1996" s="2" t="s">
        <v>362</v>
      </c>
      <c r="AA1996" s="2"/>
      <c r="AB1996" s="2"/>
      <c r="AC1996" s="2" t="s">
        <v>15309</v>
      </c>
      <c r="AD1996" s="2" t="s">
        <v>46</v>
      </c>
    </row>
    <row r="1997" customFormat="false" ht="15.7" hidden="false" customHeight="true" outlineLevel="0" collapsed="false">
      <c r="A1997" s="2"/>
      <c r="B1997" s="3" t="n">
        <f aca="false">DATE(2012,7,10)</f>
        <v>0</v>
      </c>
      <c r="C1997" s="3" t="n">
        <v>41100</v>
      </c>
      <c r="D1997" s="2" t="s">
        <v>15310</v>
      </c>
      <c r="F1997" s="2" t="s">
        <v>15311</v>
      </c>
      <c r="G1997" s="2" t="s">
        <v>15312</v>
      </c>
      <c r="H1997" s="2" t="s">
        <v>153</v>
      </c>
      <c r="I1997" s="2" t="s">
        <v>15313</v>
      </c>
      <c r="J1997" s="2" t="s">
        <v>35</v>
      </c>
      <c r="K1997" s="2" t="s">
        <v>15310</v>
      </c>
      <c r="L1997" s="2" t="s">
        <v>15313</v>
      </c>
      <c r="M1997" s="2" t="s">
        <v>153</v>
      </c>
      <c r="N1997" s="2" t="s">
        <v>15314</v>
      </c>
      <c r="O1997" s="2"/>
      <c r="P1997" s="2" t="s">
        <v>37</v>
      </c>
      <c r="Q1997" s="4" t="n">
        <v>3826</v>
      </c>
      <c r="R1997" s="2" t="s">
        <v>136</v>
      </c>
      <c r="S1997" s="2" t="s">
        <v>39</v>
      </c>
      <c r="T1997" s="2" t="s">
        <v>40</v>
      </c>
      <c r="U1997" s="2" t="s">
        <v>15315</v>
      </c>
      <c r="V1997" s="2"/>
      <c r="W1997" s="2" t="s">
        <v>42</v>
      </c>
      <c r="X1997" s="2" t="s">
        <v>43</v>
      </c>
      <c r="Y1997" s="2" t="s">
        <v>37</v>
      </c>
      <c r="Z1997" s="2" t="s">
        <v>44</v>
      </c>
      <c r="AA1997" s="2"/>
      <c r="AB1997" s="2"/>
      <c r="AC1997" s="2" t="s">
        <v>15316</v>
      </c>
      <c r="AD1997" s="2" t="s">
        <v>46</v>
      </c>
    </row>
    <row r="1998" customFormat="false" ht="15.7" hidden="false" customHeight="true" outlineLevel="0" collapsed="false">
      <c r="A1998" s="2"/>
      <c r="B1998" s="3" t="n">
        <f aca="false">DATE(2012,7,10)</f>
        <v>0</v>
      </c>
      <c r="C1998" s="3" t="n">
        <v>41100</v>
      </c>
      <c r="D1998" s="2" t="s">
        <v>15317</v>
      </c>
      <c r="F1998" s="2" t="s">
        <v>15318</v>
      </c>
      <c r="G1998" s="2" t="s">
        <v>15319</v>
      </c>
      <c r="H1998" s="2" t="s">
        <v>3168</v>
      </c>
      <c r="I1998" s="2" t="s">
        <v>1431</v>
      </c>
      <c r="J1998" s="2" t="s">
        <v>4383</v>
      </c>
      <c r="K1998" s="2" t="s">
        <v>15320</v>
      </c>
      <c r="L1998" s="2" t="s">
        <v>51</v>
      </c>
      <c r="M1998" s="2" t="s">
        <v>15321</v>
      </c>
      <c r="N1998" s="2" t="s">
        <v>15322</v>
      </c>
      <c r="O1998" s="2"/>
      <c r="P1998" s="2" t="s">
        <v>37</v>
      </c>
      <c r="Q1998" s="4" t="n">
        <v>2836</v>
      </c>
      <c r="R1998" s="2" t="s">
        <v>136</v>
      </c>
      <c r="S1998" s="2" t="s">
        <v>39</v>
      </c>
      <c r="T1998" s="2" t="s">
        <v>40</v>
      </c>
      <c r="U1998" s="2" t="s">
        <v>15323</v>
      </c>
      <c r="V1998" s="2"/>
      <c r="W1998" s="2" t="s">
        <v>2367</v>
      </c>
      <c r="X1998" s="2" t="s">
        <v>43</v>
      </c>
      <c r="Y1998" s="2" t="s">
        <v>37</v>
      </c>
      <c r="Z1998" s="2" t="s">
        <v>44</v>
      </c>
      <c r="AA1998" s="2"/>
      <c r="AB1998" s="2"/>
      <c r="AC1998" s="2" t="s">
        <v>15324</v>
      </c>
      <c r="AD1998" s="2" t="s">
        <v>46</v>
      </c>
    </row>
    <row r="1999" customFormat="false" ht="15.7" hidden="false" customHeight="true" outlineLevel="0" collapsed="false">
      <c r="A1999" s="2"/>
      <c r="B1999" s="3" t="n">
        <f aca="false">DATE(2012,7,12)</f>
        <v>0</v>
      </c>
      <c r="C1999" s="3" t="n">
        <v>41102</v>
      </c>
      <c r="D1999" s="2" t="s">
        <v>15325</v>
      </c>
      <c r="F1999" s="2" t="s">
        <v>15326</v>
      </c>
      <c r="G1999" s="2" t="s">
        <v>15327</v>
      </c>
      <c r="H1999" s="2" t="s">
        <v>63</v>
      </c>
      <c r="I1999" s="2" t="s">
        <v>670</v>
      </c>
      <c r="J1999" s="2" t="s">
        <v>625</v>
      </c>
      <c r="K1999" s="2" t="s">
        <v>15325</v>
      </c>
      <c r="L1999" s="2" t="s">
        <v>670</v>
      </c>
      <c r="M1999" s="2" t="s">
        <v>63</v>
      </c>
      <c r="N1999" s="2" t="s">
        <v>15328</v>
      </c>
      <c r="O1999" s="2"/>
      <c r="P1999" s="2" t="s">
        <v>37</v>
      </c>
      <c r="Q1999" s="4" t="n">
        <v>2834</v>
      </c>
      <c r="R1999" s="2" t="s">
        <v>402</v>
      </c>
      <c r="S1999" s="2" t="s">
        <v>39</v>
      </c>
      <c r="T1999" s="2" t="s">
        <v>40</v>
      </c>
      <c r="U1999" s="2" t="s">
        <v>15329</v>
      </c>
      <c r="V1999" s="2"/>
      <c r="W1999" s="2" t="s">
        <v>42</v>
      </c>
      <c r="X1999" s="2" t="s">
        <v>43</v>
      </c>
      <c r="Y1999" s="2" t="s">
        <v>37</v>
      </c>
      <c r="Z1999" s="2" t="s">
        <v>44</v>
      </c>
      <c r="AA1999" s="2"/>
      <c r="AB1999" s="2"/>
      <c r="AC1999" s="2" t="s">
        <v>15330</v>
      </c>
      <c r="AD1999" s="2" t="s">
        <v>46</v>
      </c>
    </row>
    <row r="2000" customFormat="false" ht="15.7" hidden="false" customHeight="true" outlineLevel="0" collapsed="false">
      <c r="A2000" s="2"/>
      <c r="B2000" s="3" t="n">
        <f aca="false">DATE(2012,7,13)</f>
        <v>0</v>
      </c>
      <c r="C2000" s="3" t="n">
        <v>41103</v>
      </c>
      <c r="D2000" s="2" t="s">
        <v>15331</v>
      </c>
      <c r="F2000" s="2" t="s">
        <v>256</v>
      </c>
      <c r="G2000" s="2" t="s">
        <v>15332</v>
      </c>
      <c r="H2000" s="2" t="s">
        <v>170</v>
      </c>
      <c r="I2000" s="2" t="s">
        <v>899</v>
      </c>
      <c r="J2000" s="2" t="s">
        <v>258</v>
      </c>
      <c r="K2000" s="2" t="s">
        <v>15333</v>
      </c>
      <c r="L2000" s="2" t="s">
        <v>899</v>
      </c>
      <c r="M2000" s="2" t="s">
        <v>63</v>
      </c>
      <c r="N2000" s="2" t="s">
        <v>15334</v>
      </c>
      <c r="O2000" s="2"/>
      <c r="P2000" s="2" t="s">
        <v>37</v>
      </c>
      <c r="Q2000" s="4" t="n">
        <v>2836</v>
      </c>
      <c r="R2000" s="2" t="s">
        <v>136</v>
      </c>
      <c r="S2000" s="2" t="s">
        <v>39</v>
      </c>
      <c r="T2000" s="2" t="s">
        <v>40</v>
      </c>
      <c r="U2000" s="2" t="s">
        <v>15335</v>
      </c>
      <c r="V2000" s="2"/>
      <c r="W2000" s="2" t="s">
        <v>1050</v>
      </c>
      <c r="X2000" s="2" t="s">
        <v>43</v>
      </c>
      <c r="Y2000" s="2" t="s">
        <v>37</v>
      </c>
      <c r="Z2000" s="2" t="s">
        <v>44</v>
      </c>
      <c r="AA2000" s="2" t="s">
        <v>15336</v>
      </c>
      <c r="AB2000" s="2"/>
      <c r="AC2000" s="2" t="s">
        <v>15337</v>
      </c>
      <c r="AD2000" s="2" t="s">
        <v>46</v>
      </c>
    </row>
    <row r="2001" customFormat="false" ht="15.7" hidden="false" customHeight="true" outlineLevel="0" collapsed="false">
      <c r="A2001" s="2"/>
      <c r="B2001" s="3" t="n">
        <f aca="false">DATE(2012,7,18)</f>
        <v>0</v>
      </c>
      <c r="C2001" s="3" t="n">
        <v>41108</v>
      </c>
      <c r="D2001" s="2" t="s">
        <v>15338</v>
      </c>
      <c r="F2001" s="2" t="s">
        <v>15339</v>
      </c>
      <c r="G2001" s="2" t="s">
        <v>15340</v>
      </c>
      <c r="H2001" s="2" t="s">
        <v>5724</v>
      </c>
      <c r="I2001" s="2" t="s">
        <v>965</v>
      </c>
      <c r="J2001" s="2" t="s">
        <v>331</v>
      </c>
      <c r="K2001" s="2" t="s">
        <v>15338</v>
      </c>
      <c r="L2001" s="2" t="s">
        <v>965</v>
      </c>
      <c r="M2001" s="2" t="s">
        <v>5724</v>
      </c>
      <c r="N2001" s="2" t="s">
        <v>15341</v>
      </c>
      <c r="O2001" s="2"/>
      <c r="P2001" s="2" t="s">
        <v>37</v>
      </c>
      <c r="Q2001" s="4" t="n">
        <v>8733</v>
      </c>
      <c r="R2001" s="2" t="s">
        <v>136</v>
      </c>
      <c r="S2001" s="2" t="s">
        <v>39</v>
      </c>
      <c r="T2001" s="2" t="s">
        <v>403</v>
      </c>
      <c r="U2001" s="2" t="s">
        <v>15342</v>
      </c>
      <c r="V2001" s="2"/>
      <c r="W2001" s="2" t="s">
        <v>42</v>
      </c>
      <c r="X2001" s="2" t="s">
        <v>43</v>
      </c>
      <c r="Y2001" s="2" t="s">
        <v>37</v>
      </c>
      <c r="Z2001" s="2" t="s">
        <v>44</v>
      </c>
      <c r="AA2001" s="2"/>
      <c r="AB2001" s="2"/>
      <c r="AC2001" s="2" t="s">
        <v>15343</v>
      </c>
      <c r="AD2001" s="2" t="s">
        <v>46</v>
      </c>
    </row>
    <row r="2002" customFormat="false" ht="15.7" hidden="false" customHeight="true" outlineLevel="0" collapsed="false">
      <c r="A2002" s="2"/>
      <c r="B2002" s="3" t="n">
        <f aca="false">DATE(2012,7,18)</f>
        <v>0</v>
      </c>
      <c r="C2002" s="3" t="n">
        <v>41108</v>
      </c>
      <c r="D2002" s="2" t="s">
        <v>15344</v>
      </c>
      <c r="F2002" s="2" t="s">
        <v>15345</v>
      </c>
      <c r="G2002" s="2" t="s">
        <v>15346</v>
      </c>
      <c r="H2002" s="2" t="s">
        <v>63</v>
      </c>
      <c r="I2002" s="2" t="s">
        <v>88</v>
      </c>
      <c r="J2002" s="2" t="s">
        <v>4383</v>
      </c>
      <c r="K2002" s="2" t="s">
        <v>15347</v>
      </c>
      <c r="L2002" s="2" t="s">
        <v>88</v>
      </c>
      <c r="M2002" s="2" t="s">
        <v>1387</v>
      </c>
      <c r="N2002" s="2" t="s">
        <v>15348</v>
      </c>
      <c r="O2002" s="2"/>
      <c r="P2002" s="2" t="s">
        <v>37</v>
      </c>
      <c r="Q2002" s="4" t="n">
        <v>2834</v>
      </c>
      <c r="R2002" s="2" t="s">
        <v>56</v>
      </c>
      <c r="S2002" s="2" t="s">
        <v>2265</v>
      </c>
      <c r="T2002" s="2" t="s">
        <v>40</v>
      </c>
      <c r="U2002" s="2" t="s">
        <v>15349</v>
      </c>
      <c r="V2002" s="2"/>
      <c r="W2002" s="2" t="s">
        <v>697</v>
      </c>
      <c r="X2002" s="2" t="s">
        <v>43</v>
      </c>
      <c r="Y2002" s="2" t="s">
        <v>37</v>
      </c>
      <c r="Z2002" s="2" t="s">
        <v>44</v>
      </c>
      <c r="AA2002" s="2"/>
      <c r="AB2002" s="2"/>
      <c r="AC2002" s="2" t="s">
        <v>15350</v>
      </c>
      <c r="AD2002" s="2" t="s">
        <v>46</v>
      </c>
    </row>
    <row r="2003" customFormat="false" ht="15.7" hidden="false" customHeight="true" outlineLevel="0" collapsed="false">
      <c r="A2003" s="2"/>
      <c r="B2003" s="3" t="n">
        <f aca="false">DATE(2012,7,18)</f>
        <v>0</v>
      </c>
      <c r="C2003" s="3" t="n">
        <v>41108</v>
      </c>
      <c r="D2003" s="2" t="s">
        <v>15351</v>
      </c>
      <c r="F2003" s="2" t="s">
        <v>15352</v>
      </c>
      <c r="G2003" s="2" t="s">
        <v>15353</v>
      </c>
      <c r="H2003" s="2" t="s">
        <v>15354</v>
      </c>
      <c r="I2003" s="2" t="s">
        <v>51</v>
      </c>
      <c r="J2003" s="2" t="s">
        <v>15355</v>
      </c>
      <c r="K2003" s="2" t="s">
        <v>15351</v>
      </c>
      <c r="L2003" s="2" t="s">
        <v>51</v>
      </c>
      <c r="M2003" s="2" t="s">
        <v>15354</v>
      </c>
      <c r="N2003" s="2" t="s">
        <v>15356</v>
      </c>
      <c r="O2003" s="2"/>
      <c r="P2003" s="2" t="s">
        <v>37</v>
      </c>
      <c r="Q2003" s="4" t="n">
        <v>8731</v>
      </c>
      <c r="R2003" s="2" t="s">
        <v>56</v>
      </c>
      <c r="S2003" s="2" t="s">
        <v>2265</v>
      </c>
      <c r="T2003" s="2" t="s">
        <v>403</v>
      </c>
      <c r="U2003" s="2" t="s">
        <v>15357</v>
      </c>
      <c r="V2003" s="2"/>
      <c r="W2003" s="2" t="s">
        <v>42</v>
      </c>
      <c r="X2003" s="2" t="s">
        <v>43</v>
      </c>
      <c r="Y2003" s="2" t="s">
        <v>37</v>
      </c>
      <c r="Z2003" s="2" t="s">
        <v>44</v>
      </c>
      <c r="AA2003" s="2" t="s">
        <v>15358</v>
      </c>
      <c r="AB2003" s="2"/>
      <c r="AC2003" s="2" t="s">
        <v>15359</v>
      </c>
      <c r="AD2003" s="2" t="s">
        <v>46</v>
      </c>
    </row>
    <row r="2004" customFormat="false" ht="15.7" hidden="false" customHeight="true" outlineLevel="0" collapsed="false">
      <c r="A2004" s="2"/>
      <c r="B2004" s="3" t="n">
        <f aca="false">DATE(2012,7,22)</f>
        <v>0</v>
      </c>
      <c r="C2004" s="3" t="n">
        <v>41112</v>
      </c>
      <c r="D2004" s="2" t="s">
        <v>15360</v>
      </c>
      <c r="F2004" s="2" t="s">
        <v>15361</v>
      </c>
      <c r="G2004" s="2" t="s">
        <v>15362</v>
      </c>
      <c r="H2004" s="2" t="s">
        <v>762</v>
      </c>
      <c r="I2004" s="2" t="s">
        <v>4325</v>
      </c>
      <c r="J2004" s="2" t="s">
        <v>35</v>
      </c>
      <c r="K2004" s="2" t="s">
        <v>15363</v>
      </c>
      <c r="L2004" s="2" t="s">
        <v>4325</v>
      </c>
      <c r="M2004" s="2" t="s">
        <v>15364</v>
      </c>
      <c r="N2004" s="2" t="s">
        <v>15365</v>
      </c>
      <c r="O2004" s="2"/>
      <c r="P2004" s="2" t="s">
        <v>37</v>
      </c>
      <c r="Q2004" s="4" t="n">
        <v>8731</v>
      </c>
      <c r="R2004" s="2" t="s">
        <v>402</v>
      </c>
      <c r="S2004" s="2" t="s">
        <v>39</v>
      </c>
      <c r="T2004" s="2" t="s">
        <v>403</v>
      </c>
      <c r="U2004" s="2" t="s">
        <v>15366</v>
      </c>
      <c r="V2004" s="2"/>
      <c r="W2004" s="2" t="s">
        <v>42</v>
      </c>
      <c r="X2004" s="2" t="s">
        <v>46</v>
      </c>
      <c r="Y2004" s="2" t="s">
        <v>37</v>
      </c>
      <c r="Z2004" s="2" t="s">
        <v>3495</v>
      </c>
      <c r="AA2004" s="2" t="s">
        <v>15367</v>
      </c>
      <c r="AB2004" s="2"/>
      <c r="AC2004" s="2" t="s">
        <v>15368</v>
      </c>
      <c r="AD2004" s="2" t="s">
        <v>46</v>
      </c>
    </row>
    <row r="2005" customFormat="false" ht="15.7" hidden="false" customHeight="true" outlineLevel="0" collapsed="false">
      <c r="A2005" s="2"/>
      <c r="B2005" s="3" t="n">
        <f aca="false">DATE(2012,7,23)</f>
        <v>0</v>
      </c>
      <c r="C2005" s="3" t="n">
        <v>41113</v>
      </c>
      <c r="D2005" s="2" t="s">
        <v>15369</v>
      </c>
      <c r="F2005" s="2" t="s">
        <v>15370</v>
      </c>
      <c r="G2005" s="2" t="s">
        <v>15371</v>
      </c>
      <c r="H2005" s="2" t="s">
        <v>15372</v>
      </c>
      <c r="I2005" s="2" t="s">
        <v>64</v>
      </c>
      <c r="J2005" s="2" t="s">
        <v>625</v>
      </c>
      <c r="K2005" s="2" t="s">
        <v>15369</v>
      </c>
      <c r="L2005" s="2" t="s">
        <v>64</v>
      </c>
      <c r="M2005" s="2" t="s">
        <v>15372</v>
      </c>
      <c r="N2005" s="2" t="s">
        <v>15373</v>
      </c>
      <c r="O2005" s="2"/>
      <c r="P2005" s="2" t="s">
        <v>37</v>
      </c>
      <c r="Q2005" s="4" t="n">
        <v>8731</v>
      </c>
      <c r="R2005" s="2" t="s">
        <v>136</v>
      </c>
      <c r="S2005" s="2" t="s">
        <v>39</v>
      </c>
      <c r="T2005" s="2" t="s">
        <v>40</v>
      </c>
      <c r="U2005" s="2" t="s">
        <v>15374</v>
      </c>
      <c r="V2005" s="2"/>
      <c r="W2005" s="2" t="s">
        <v>3949</v>
      </c>
      <c r="X2005" s="2" t="s">
        <v>43</v>
      </c>
      <c r="Y2005" s="2" t="s">
        <v>37</v>
      </c>
      <c r="Z2005" s="2" t="s">
        <v>44</v>
      </c>
      <c r="AA2005" s="2"/>
      <c r="AB2005" s="2"/>
      <c r="AC2005" s="2" t="s">
        <v>15375</v>
      </c>
      <c r="AD2005" s="2" t="s">
        <v>46</v>
      </c>
    </row>
    <row r="2006" customFormat="false" ht="15.7" hidden="false" customHeight="true" outlineLevel="0" collapsed="false">
      <c r="A2006" s="2"/>
      <c r="B2006" s="3" t="n">
        <f aca="false">DATE(2012,7,23)</f>
        <v>0</v>
      </c>
      <c r="C2006" s="3" t="n">
        <v>41113</v>
      </c>
      <c r="D2006" s="2" t="s">
        <v>15376</v>
      </c>
      <c r="F2006" s="2" t="s">
        <v>15377</v>
      </c>
      <c r="G2006" s="2" t="s">
        <v>15378</v>
      </c>
      <c r="H2006" s="2" t="s">
        <v>15379</v>
      </c>
      <c r="I2006" s="2" t="s">
        <v>1412</v>
      </c>
      <c r="J2006" s="2" t="s">
        <v>65</v>
      </c>
      <c r="K2006" s="2" t="s">
        <v>15376</v>
      </c>
      <c r="L2006" s="2" t="s">
        <v>1412</v>
      </c>
      <c r="M2006" s="2" t="s">
        <v>15379</v>
      </c>
      <c r="N2006" s="2" t="s">
        <v>15380</v>
      </c>
      <c r="O2006" s="2"/>
      <c r="P2006" s="2" t="s">
        <v>37</v>
      </c>
      <c r="Q2006" s="4" t="n">
        <v>3826</v>
      </c>
      <c r="R2006" s="2" t="s">
        <v>136</v>
      </c>
      <c r="S2006" s="2" t="s">
        <v>39</v>
      </c>
      <c r="T2006" s="2" t="s">
        <v>403</v>
      </c>
      <c r="U2006" s="2" t="s">
        <v>15381</v>
      </c>
      <c r="V2006" s="2"/>
      <c r="W2006" s="2" t="s">
        <v>42</v>
      </c>
      <c r="X2006" s="2" t="s">
        <v>43</v>
      </c>
      <c r="Y2006" s="2" t="s">
        <v>37</v>
      </c>
      <c r="Z2006" s="2" t="s">
        <v>44</v>
      </c>
      <c r="AA2006" s="2"/>
      <c r="AB2006" s="2"/>
      <c r="AC2006" s="2" t="s">
        <v>15382</v>
      </c>
      <c r="AD2006" s="2" t="s">
        <v>46</v>
      </c>
    </row>
    <row r="2007" customFormat="false" ht="15.7" hidden="false" customHeight="true" outlineLevel="0" collapsed="false">
      <c r="A2007" s="2"/>
      <c r="B2007" s="3" t="n">
        <f aca="false">DATE(2012,7,27)</f>
        <v>0</v>
      </c>
      <c r="C2007" s="3" t="n">
        <v>41117</v>
      </c>
      <c r="D2007" s="2" t="s">
        <v>15383</v>
      </c>
      <c r="F2007" s="2" t="s">
        <v>15384</v>
      </c>
      <c r="G2007" s="2" t="s">
        <v>15385</v>
      </c>
      <c r="H2007" s="2" t="s">
        <v>15386</v>
      </c>
      <c r="I2007" s="2" t="s">
        <v>51</v>
      </c>
      <c r="J2007" s="2" t="s">
        <v>15387</v>
      </c>
      <c r="K2007" s="2" t="s">
        <v>15388</v>
      </c>
      <c r="L2007" s="2" t="s">
        <v>51</v>
      </c>
      <c r="M2007" s="2" t="s">
        <v>15386</v>
      </c>
      <c r="N2007" s="2" t="s">
        <v>15389</v>
      </c>
      <c r="O2007" s="2"/>
      <c r="P2007" s="2" t="s">
        <v>37</v>
      </c>
      <c r="Q2007" s="4" t="n">
        <v>3845</v>
      </c>
      <c r="R2007" s="2" t="s">
        <v>56</v>
      </c>
      <c r="S2007" s="2" t="s">
        <v>2265</v>
      </c>
      <c r="T2007" s="2" t="s">
        <v>40</v>
      </c>
      <c r="U2007" s="2" t="s">
        <v>15390</v>
      </c>
      <c r="V2007" s="2"/>
      <c r="W2007" s="2" t="s">
        <v>42</v>
      </c>
      <c r="X2007" s="2" t="s">
        <v>46</v>
      </c>
      <c r="Y2007" s="2" t="s">
        <v>37</v>
      </c>
      <c r="Z2007" s="2" t="s">
        <v>362</v>
      </c>
      <c r="AA2007" s="2"/>
      <c r="AB2007" s="2"/>
      <c r="AC2007" s="2" t="s">
        <v>15391</v>
      </c>
      <c r="AD2007" s="2" t="s">
        <v>46</v>
      </c>
    </row>
    <row r="2008" customFormat="false" ht="15.7" hidden="false" customHeight="true" outlineLevel="0" collapsed="false">
      <c r="A2008" s="2"/>
      <c r="B2008" s="3" t="n">
        <f aca="false">DATE(2012,7,30)</f>
        <v>0</v>
      </c>
      <c r="C2008" s="3" t="n">
        <v>41120</v>
      </c>
      <c r="D2008" s="2" t="s">
        <v>15392</v>
      </c>
      <c r="F2008" s="2" t="s">
        <v>15393</v>
      </c>
      <c r="G2008" s="2" t="s">
        <v>15394</v>
      </c>
      <c r="H2008" s="2" t="s">
        <v>63</v>
      </c>
      <c r="I2008" s="2" t="s">
        <v>487</v>
      </c>
      <c r="J2008" s="2" t="s">
        <v>3906</v>
      </c>
      <c r="K2008" s="2" t="s">
        <v>15395</v>
      </c>
      <c r="L2008" s="2" t="s">
        <v>487</v>
      </c>
      <c r="M2008" s="2" t="s">
        <v>1770</v>
      </c>
      <c r="N2008" s="2" t="s">
        <v>15396</v>
      </c>
      <c r="O2008" s="2" t="s">
        <v>15397</v>
      </c>
      <c r="P2008" s="2" t="s">
        <v>37</v>
      </c>
      <c r="Q2008" s="4" t="n">
        <v>2834</v>
      </c>
      <c r="R2008" s="2" t="s">
        <v>56</v>
      </c>
      <c r="S2008" s="2" t="s">
        <v>2265</v>
      </c>
      <c r="T2008" s="2" t="s">
        <v>40</v>
      </c>
      <c r="U2008" s="2" t="s">
        <v>15398</v>
      </c>
      <c r="V2008" s="2"/>
      <c r="W2008" s="2" t="s">
        <v>42</v>
      </c>
      <c r="X2008" s="2" t="s">
        <v>46</v>
      </c>
      <c r="Y2008" s="2" t="s">
        <v>37</v>
      </c>
      <c r="Z2008" s="2" t="s">
        <v>362</v>
      </c>
      <c r="AA2008" s="2"/>
      <c r="AB2008" s="2" t="s">
        <v>15399</v>
      </c>
      <c r="AC2008" s="2" t="s">
        <v>15400</v>
      </c>
      <c r="AD2008" s="2" t="s">
        <v>46</v>
      </c>
    </row>
    <row r="2009" customFormat="false" ht="15.7" hidden="false" customHeight="true" outlineLevel="0" collapsed="false">
      <c r="A2009" s="2"/>
      <c r="B2009" s="3" t="n">
        <f aca="false">DATE(2012,7,30)</f>
        <v>0</v>
      </c>
      <c r="C2009" s="3" t="n">
        <v>41120</v>
      </c>
      <c r="D2009" s="2" t="s">
        <v>15401</v>
      </c>
      <c r="F2009" s="2" t="s">
        <v>15402</v>
      </c>
      <c r="G2009" s="2" t="s">
        <v>15403</v>
      </c>
      <c r="H2009" s="2" t="s">
        <v>63</v>
      </c>
      <c r="I2009" s="2" t="s">
        <v>487</v>
      </c>
      <c r="J2009" s="2" t="s">
        <v>732</v>
      </c>
      <c r="K2009" s="2" t="s">
        <v>15404</v>
      </c>
      <c r="L2009" s="2" t="s">
        <v>540</v>
      </c>
      <c r="M2009" s="2" t="s">
        <v>170</v>
      </c>
      <c r="N2009" s="2" t="s">
        <v>15405</v>
      </c>
      <c r="O2009" s="2"/>
      <c r="P2009" s="2" t="s">
        <v>37</v>
      </c>
      <c r="Q2009" s="4" t="n">
        <v>2834</v>
      </c>
      <c r="R2009" s="2" t="s">
        <v>56</v>
      </c>
      <c r="S2009" s="2" t="s">
        <v>2265</v>
      </c>
      <c r="T2009" s="2" t="s">
        <v>40</v>
      </c>
      <c r="U2009" s="2" t="s">
        <v>15406</v>
      </c>
      <c r="V2009" s="2"/>
      <c r="W2009" s="2" t="s">
        <v>1050</v>
      </c>
      <c r="X2009" s="2" t="s">
        <v>43</v>
      </c>
      <c r="Y2009" s="2" t="s">
        <v>37</v>
      </c>
      <c r="Z2009" s="2" t="s">
        <v>44</v>
      </c>
      <c r="AA2009" s="2"/>
      <c r="AB2009" s="2"/>
      <c r="AC2009" s="2" t="s">
        <v>15407</v>
      </c>
      <c r="AD2009" s="2" t="s">
        <v>46</v>
      </c>
    </row>
    <row r="2010" customFormat="false" ht="15.7" hidden="false" customHeight="true" outlineLevel="0" collapsed="false">
      <c r="A2010" s="2"/>
      <c r="B2010" s="3" t="n">
        <f aca="false">DATE(2012,8,1)</f>
        <v>0</v>
      </c>
      <c r="C2010" s="3" t="n">
        <v>41122</v>
      </c>
      <c r="D2010" s="2" t="s">
        <v>15408</v>
      </c>
      <c r="F2010" s="2" t="s">
        <v>15409</v>
      </c>
      <c r="G2010" s="2" t="s">
        <v>15410</v>
      </c>
      <c r="H2010" s="2" t="s">
        <v>170</v>
      </c>
      <c r="I2010" s="2" t="s">
        <v>51</v>
      </c>
      <c r="J2010" s="2" t="s">
        <v>15411</v>
      </c>
      <c r="K2010" s="2" t="s">
        <v>15408</v>
      </c>
      <c r="L2010" s="2" t="s">
        <v>51</v>
      </c>
      <c r="M2010" s="2" t="s">
        <v>170</v>
      </c>
      <c r="N2010" s="2" t="s">
        <v>15412</v>
      </c>
      <c r="O2010" s="2"/>
      <c r="P2010" s="2" t="s">
        <v>37</v>
      </c>
      <c r="Q2010" s="4" t="n">
        <v>2836</v>
      </c>
      <c r="R2010" s="2" t="s">
        <v>56</v>
      </c>
      <c r="S2010" s="2" t="s">
        <v>2265</v>
      </c>
      <c r="T2010" s="2" t="s">
        <v>40</v>
      </c>
      <c r="U2010" s="2" t="s">
        <v>15413</v>
      </c>
      <c r="V2010" s="2"/>
      <c r="W2010" s="2" t="s">
        <v>344</v>
      </c>
      <c r="X2010" s="2" t="s">
        <v>43</v>
      </c>
      <c r="Y2010" s="2" t="s">
        <v>37</v>
      </c>
      <c r="Z2010" s="2" t="s">
        <v>44</v>
      </c>
      <c r="AA2010" s="2"/>
      <c r="AB2010" s="2"/>
      <c r="AC2010" s="2" t="s">
        <v>15414</v>
      </c>
      <c r="AD2010" s="2" t="s">
        <v>46</v>
      </c>
    </row>
    <row r="2011" customFormat="false" ht="15.7" hidden="false" customHeight="true" outlineLevel="0" collapsed="false">
      <c r="A2011" s="2"/>
      <c r="B2011" s="3" t="n">
        <f aca="false">DATE(2012,8,1)</f>
        <v>0</v>
      </c>
      <c r="C2011" s="3" t="n">
        <v>41122</v>
      </c>
      <c r="D2011" s="2" t="s">
        <v>15415</v>
      </c>
      <c r="F2011" s="2" t="s">
        <v>15416</v>
      </c>
      <c r="G2011" s="2" t="s">
        <v>15417</v>
      </c>
      <c r="H2011" s="2" t="s">
        <v>5857</v>
      </c>
      <c r="I2011" s="2" t="s">
        <v>4325</v>
      </c>
      <c r="J2011" s="2" t="s">
        <v>35</v>
      </c>
      <c r="K2011" s="2" t="s">
        <v>15418</v>
      </c>
      <c r="L2011" s="2" t="s">
        <v>4325</v>
      </c>
      <c r="M2011" s="2" t="s">
        <v>13273</v>
      </c>
      <c r="N2011" s="2" t="s">
        <v>15419</v>
      </c>
      <c r="O2011" s="2"/>
      <c r="P2011" s="2" t="s">
        <v>37</v>
      </c>
      <c r="Q2011" s="4" t="n">
        <v>3511</v>
      </c>
      <c r="R2011" s="2" t="s">
        <v>402</v>
      </c>
      <c r="S2011" s="2" t="s">
        <v>39</v>
      </c>
      <c r="T2011" s="2" t="s">
        <v>403</v>
      </c>
      <c r="U2011" s="2" t="s">
        <v>15420</v>
      </c>
      <c r="V2011" s="2"/>
      <c r="W2011" s="2" t="s">
        <v>15421</v>
      </c>
      <c r="X2011" s="2" t="s">
        <v>46</v>
      </c>
      <c r="Y2011" s="2" t="s">
        <v>37</v>
      </c>
      <c r="Z2011" s="2" t="s">
        <v>2732</v>
      </c>
      <c r="AA2011" s="2" t="s">
        <v>15422</v>
      </c>
      <c r="AB2011" s="2"/>
      <c r="AC2011" s="2" t="s">
        <v>15423</v>
      </c>
      <c r="AD2011" s="2" t="s">
        <v>46</v>
      </c>
    </row>
    <row r="2012" customFormat="false" ht="15.7" hidden="false" customHeight="true" outlineLevel="0" collapsed="false">
      <c r="A2012" s="2"/>
      <c r="B2012" s="3" t="n">
        <f aca="false">DATE(2012,8,3)</f>
        <v>0</v>
      </c>
      <c r="C2012" s="3" t="n">
        <v>41124</v>
      </c>
      <c r="D2012" s="2" t="s">
        <v>15424</v>
      </c>
      <c r="F2012" s="2" t="s">
        <v>256</v>
      </c>
      <c r="G2012" s="2" t="s">
        <v>15425</v>
      </c>
      <c r="H2012" s="2" t="s">
        <v>170</v>
      </c>
      <c r="I2012" s="2" t="s">
        <v>51</v>
      </c>
      <c r="J2012" s="2" t="s">
        <v>15426</v>
      </c>
      <c r="K2012" s="2" t="s">
        <v>15424</v>
      </c>
      <c r="L2012" s="2" t="s">
        <v>51</v>
      </c>
      <c r="M2012" s="2" t="s">
        <v>170</v>
      </c>
      <c r="N2012" s="2" t="s">
        <v>15427</v>
      </c>
      <c r="O2012" s="2"/>
      <c r="P2012" s="2" t="s">
        <v>37</v>
      </c>
      <c r="Q2012" s="4" t="n">
        <v>2836</v>
      </c>
      <c r="R2012" s="2" t="s">
        <v>56</v>
      </c>
      <c r="S2012" s="2" t="s">
        <v>2265</v>
      </c>
      <c r="T2012" s="2" t="s">
        <v>40</v>
      </c>
      <c r="U2012" s="2" t="s">
        <v>15428</v>
      </c>
      <c r="V2012" s="2"/>
      <c r="W2012" s="2" t="s">
        <v>42</v>
      </c>
      <c r="X2012" s="2" t="s">
        <v>46</v>
      </c>
      <c r="Y2012" s="2" t="s">
        <v>37</v>
      </c>
      <c r="Z2012" s="2" t="s">
        <v>2732</v>
      </c>
      <c r="AA2012" s="2"/>
      <c r="AB2012" s="2"/>
      <c r="AC2012" s="2" t="s">
        <v>15429</v>
      </c>
      <c r="AD2012" s="2" t="s">
        <v>46</v>
      </c>
    </row>
    <row r="2013" customFormat="false" ht="15.7" hidden="false" customHeight="true" outlineLevel="0" collapsed="false">
      <c r="A2013" s="2"/>
      <c r="B2013" s="3" t="n">
        <f aca="false">DATE(2012,8,6)</f>
        <v>0</v>
      </c>
      <c r="C2013" s="3" t="n">
        <v>41127</v>
      </c>
      <c r="D2013" s="2" t="s">
        <v>15430</v>
      </c>
      <c r="F2013" s="2" t="s">
        <v>15431</v>
      </c>
      <c r="G2013" s="2" t="s">
        <v>15432</v>
      </c>
      <c r="H2013" s="2" t="s">
        <v>9318</v>
      </c>
      <c r="I2013" s="2" t="s">
        <v>88</v>
      </c>
      <c r="J2013" s="2" t="s">
        <v>155</v>
      </c>
      <c r="K2013" s="2" t="s">
        <v>15430</v>
      </c>
      <c r="L2013" s="2" t="s">
        <v>88</v>
      </c>
      <c r="M2013" s="2" t="s">
        <v>9318</v>
      </c>
      <c r="N2013" s="2" t="s">
        <v>15433</v>
      </c>
      <c r="O2013" s="2"/>
      <c r="P2013" s="2" t="s">
        <v>37</v>
      </c>
      <c r="Q2013" s="4" t="n">
        <v>2836</v>
      </c>
      <c r="R2013" s="2" t="s">
        <v>136</v>
      </c>
      <c r="S2013" s="2" t="s">
        <v>39</v>
      </c>
      <c r="T2013" s="2" t="s">
        <v>40</v>
      </c>
      <c r="U2013" s="2" t="s">
        <v>15434</v>
      </c>
      <c r="V2013" s="2"/>
      <c r="W2013" s="2" t="s">
        <v>1050</v>
      </c>
      <c r="X2013" s="2" t="s">
        <v>43</v>
      </c>
      <c r="Y2013" s="2" t="s">
        <v>37</v>
      </c>
      <c r="Z2013" s="2" t="s">
        <v>44</v>
      </c>
      <c r="AA2013" s="2"/>
      <c r="AB2013" s="2"/>
      <c r="AC2013" s="2" t="s">
        <v>15435</v>
      </c>
      <c r="AD2013" s="2" t="s">
        <v>46</v>
      </c>
    </row>
    <row r="2014" customFormat="false" ht="15.7" hidden="false" customHeight="true" outlineLevel="0" collapsed="false">
      <c r="A2014" s="2"/>
      <c r="B2014" s="3" t="n">
        <f aca="false">DATE(2012,8,7)</f>
        <v>0</v>
      </c>
      <c r="C2014" s="3" t="n">
        <v>41128</v>
      </c>
      <c r="D2014" s="2" t="s">
        <v>15436</v>
      </c>
      <c r="F2014" s="2" t="s">
        <v>15437</v>
      </c>
      <c r="G2014" s="2" t="s">
        <v>15438</v>
      </c>
      <c r="H2014" s="2" t="s">
        <v>15439</v>
      </c>
      <c r="I2014" s="2" t="s">
        <v>1645</v>
      </c>
      <c r="J2014" s="2" t="s">
        <v>35</v>
      </c>
      <c r="K2014" s="2" t="s">
        <v>15440</v>
      </c>
      <c r="L2014" s="2" t="s">
        <v>1645</v>
      </c>
      <c r="M2014" s="2" t="s">
        <v>15439</v>
      </c>
      <c r="N2014" s="2" t="s">
        <v>15441</v>
      </c>
      <c r="O2014" s="2"/>
      <c r="P2014" s="2" t="s">
        <v>37</v>
      </c>
      <c r="Q2014" s="4" t="n">
        <v>2879</v>
      </c>
      <c r="R2014" s="2" t="s">
        <v>1402</v>
      </c>
      <c r="S2014" s="2" t="s">
        <v>39</v>
      </c>
      <c r="T2014" s="2" t="s">
        <v>40</v>
      </c>
      <c r="U2014" s="2" t="s">
        <v>15442</v>
      </c>
      <c r="V2014" s="2"/>
      <c r="W2014" s="2" t="s">
        <v>42</v>
      </c>
      <c r="X2014" s="2" t="s">
        <v>43</v>
      </c>
      <c r="Y2014" s="2" t="s">
        <v>37</v>
      </c>
      <c r="Z2014" s="2" t="s">
        <v>44</v>
      </c>
      <c r="AA2014" s="2"/>
      <c r="AB2014" s="2"/>
      <c r="AC2014" s="2" t="s">
        <v>15443</v>
      </c>
      <c r="AD2014" s="2" t="s">
        <v>46</v>
      </c>
    </row>
    <row r="2015" customFormat="false" ht="15.7" hidden="false" customHeight="true" outlineLevel="0" collapsed="false">
      <c r="A2015" s="2"/>
      <c r="B2015" s="3" t="n">
        <f aca="false">DATE(2012,8,7)</f>
        <v>0</v>
      </c>
      <c r="C2015" s="3" t="n">
        <v>41128</v>
      </c>
      <c r="D2015" s="2" t="s">
        <v>15444</v>
      </c>
      <c r="F2015" s="2" t="s">
        <v>15445</v>
      </c>
      <c r="G2015" s="2" t="s">
        <v>15446</v>
      </c>
      <c r="H2015" s="2" t="s">
        <v>170</v>
      </c>
      <c r="I2015" s="2" t="s">
        <v>51</v>
      </c>
      <c r="J2015" s="2" t="s">
        <v>15447</v>
      </c>
      <c r="K2015" s="2" t="s">
        <v>15444</v>
      </c>
      <c r="L2015" s="2" t="s">
        <v>51</v>
      </c>
      <c r="M2015" s="2" t="s">
        <v>170</v>
      </c>
      <c r="N2015" s="2" t="s">
        <v>15448</v>
      </c>
      <c r="O2015" s="2"/>
      <c r="P2015" s="2" t="s">
        <v>37</v>
      </c>
      <c r="Q2015" s="4" t="n">
        <v>8731</v>
      </c>
      <c r="R2015" s="2" t="s">
        <v>56</v>
      </c>
      <c r="S2015" s="2"/>
      <c r="T2015" s="2" t="s">
        <v>40</v>
      </c>
      <c r="U2015" s="2" t="s">
        <v>15449</v>
      </c>
      <c r="V2015" s="2"/>
      <c r="W2015" s="2" t="s">
        <v>42</v>
      </c>
      <c r="X2015" s="2" t="s">
        <v>43</v>
      </c>
      <c r="Y2015" s="2" t="s">
        <v>37</v>
      </c>
      <c r="Z2015" s="2" t="s">
        <v>44</v>
      </c>
      <c r="AA2015" s="2"/>
      <c r="AB2015" s="2"/>
      <c r="AC2015" s="2" t="s">
        <v>15450</v>
      </c>
      <c r="AD2015" s="2" t="s">
        <v>46</v>
      </c>
    </row>
    <row r="2016" customFormat="false" ht="15.7" hidden="false" customHeight="true" outlineLevel="0" collapsed="false">
      <c r="A2016" s="2"/>
      <c r="B2016" s="3" t="n">
        <f aca="false">DATE(2012,8,8)</f>
        <v>0</v>
      </c>
      <c r="C2016" s="3" t="n">
        <v>41129</v>
      </c>
      <c r="D2016" s="2" t="s">
        <v>15451</v>
      </c>
      <c r="F2016" s="2" t="s">
        <v>15452</v>
      </c>
      <c r="G2016" s="2" t="s">
        <v>15453</v>
      </c>
      <c r="H2016" s="2" t="s">
        <v>305</v>
      </c>
      <c r="I2016" s="2" t="s">
        <v>51</v>
      </c>
      <c r="J2016" s="2" t="s">
        <v>12561</v>
      </c>
      <c r="K2016" s="2" t="s">
        <v>15451</v>
      </c>
      <c r="L2016" s="2" t="s">
        <v>51</v>
      </c>
      <c r="M2016" s="2" t="s">
        <v>305</v>
      </c>
      <c r="N2016" s="2" t="s">
        <v>15454</v>
      </c>
      <c r="O2016" s="2"/>
      <c r="P2016" s="2" t="s">
        <v>37</v>
      </c>
      <c r="Q2016" s="4" t="n">
        <v>8071</v>
      </c>
      <c r="R2016" s="2" t="s">
        <v>136</v>
      </c>
      <c r="S2016" s="2" t="s">
        <v>39</v>
      </c>
      <c r="T2016" s="2" t="s">
        <v>40</v>
      </c>
      <c r="U2016" s="2" t="s">
        <v>15455</v>
      </c>
      <c r="V2016" s="2"/>
      <c r="W2016" s="2" t="s">
        <v>42</v>
      </c>
      <c r="X2016" s="2" t="s">
        <v>43</v>
      </c>
      <c r="Y2016" s="2" t="s">
        <v>37</v>
      </c>
      <c r="Z2016" s="2" t="s">
        <v>44</v>
      </c>
      <c r="AA2016" s="2"/>
      <c r="AB2016" s="2"/>
      <c r="AC2016" s="2" t="s">
        <v>15456</v>
      </c>
      <c r="AD2016" s="2" t="s">
        <v>46</v>
      </c>
    </row>
    <row r="2017" customFormat="false" ht="15.7" hidden="false" customHeight="true" outlineLevel="0" collapsed="false">
      <c r="A2017" s="2"/>
      <c r="B2017" s="3" t="n">
        <f aca="false">DATE(2012,8,14)</f>
        <v>0</v>
      </c>
      <c r="C2017" s="3" t="n">
        <v>41135</v>
      </c>
      <c r="D2017" s="2" t="s">
        <v>15457</v>
      </c>
      <c r="F2017" s="2" t="s">
        <v>7630</v>
      </c>
      <c r="G2017" s="2" t="s">
        <v>15458</v>
      </c>
      <c r="H2017" s="2" t="s">
        <v>130</v>
      </c>
      <c r="I2017" s="2" t="s">
        <v>388</v>
      </c>
      <c r="J2017" s="2" t="s">
        <v>65</v>
      </c>
      <c r="K2017" s="2" t="s">
        <v>15459</v>
      </c>
      <c r="L2017" s="2" t="s">
        <v>388</v>
      </c>
      <c r="M2017" s="2" t="s">
        <v>63</v>
      </c>
      <c r="N2017" s="2" t="s">
        <v>15460</v>
      </c>
      <c r="O2017" s="2"/>
      <c r="P2017" s="2" t="s">
        <v>37</v>
      </c>
      <c r="Q2017" s="4" t="n">
        <v>8731</v>
      </c>
      <c r="R2017" s="2" t="s">
        <v>136</v>
      </c>
      <c r="S2017" s="2" t="s">
        <v>39</v>
      </c>
      <c r="T2017" s="2" t="s">
        <v>40</v>
      </c>
      <c r="U2017" s="2" t="s">
        <v>15461</v>
      </c>
      <c r="V2017" s="2"/>
      <c r="W2017" s="2" t="s">
        <v>42</v>
      </c>
      <c r="X2017" s="2" t="s">
        <v>43</v>
      </c>
      <c r="Y2017" s="2" t="s">
        <v>37</v>
      </c>
      <c r="Z2017" s="2" t="s">
        <v>44</v>
      </c>
      <c r="AA2017" s="2" t="s">
        <v>15462</v>
      </c>
      <c r="AB2017" s="2"/>
      <c r="AC2017" s="2" t="s">
        <v>15463</v>
      </c>
      <c r="AD2017" s="2" t="s">
        <v>46</v>
      </c>
    </row>
    <row r="2018" customFormat="false" ht="15.7" hidden="false" customHeight="true" outlineLevel="0" collapsed="false">
      <c r="A2018" s="2"/>
      <c r="B2018" s="3" t="n">
        <f aca="false">DATE(2012,8,15)</f>
        <v>0</v>
      </c>
      <c r="C2018" s="3" t="n">
        <v>41136</v>
      </c>
      <c r="D2018" s="2" t="s">
        <v>15464</v>
      </c>
      <c r="F2018" s="2" t="s">
        <v>303</v>
      </c>
      <c r="G2018" s="2" t="s">
        <v>15465</v>
      </c>
      <c r="H2018" s="2" t="s">
        <v>305</v>
      </c>
      <c r="I2018" s="2" t="s">
        <v>51</v>
      </c>
      <c r="J2018" s="2" t="s">
        <v>2190</v>
      </c>
      <c r="K2018" s="2" t="s">
        <v>15466</v>
      </c>
      <c r="L2018" s="2" t="s">
        <v>51</v>
      </c>
      <c r="M2018" s="2" t="s">
        <v>170</v>
      </c>
      <c r="N2018" s="2" t="s">
        <v>15467</v>
      </c>
      <c r="O2018" s="2"/>
      <c r="P2018" s="2" t="s">
        <v>37</v>
      </c>
      <c r="Q2018" s="4" t="n">
        <v>2836</v>
      </c>
      <c r="R2018" s="2" t="s">
        <v>56</v>
      </c>
      <c r="S2018" s="2" t="s">
        <v>2265</v>
      </c>
      <c r="T2018" s="2" t="s">
        <v>40</v>
      </c>
      <c r="U2018" s="2" t="s">
        <v>15468</v>
      </c>
      <c r="V2018" s="2"/>
      <c r="W2018" s="2" t="s">
        <v>42</v>
      </c>
      <c r="X2018" s="2" t="s">
        <v>43</v>
      </c>
      <c r="Y2018" s="2" t="s">
        <v>37</v>
      </c>
      <c r="Z2018" s="2" t="s">
        <v>44</v>
      </c>
      <c r="AA2018" s="2"/>
      <c r="AB2018" s="2"/>
      <c r="AC2018" s="2" t="s">
        <v>15469</v>
      </c>
      <c r="AD2018" s="2" t="s">
        <v>46</v>
      </c>
    </row>
    <row r="2019" customFormat="false" ht="15.7" hidden="false" customHeight="true" outlineLevel="0" collapsed="false">
      <c r="A2019" s="2"/>
      <c r="B2019" s="3" t="n">
        <f aca="false">DATE(2012,8,16)</f>
        <v>0</v>
      </c>
      <c r="C2019" s="3" t="n">
        <v>41137</v>
      </c>
      <c r="D2019" s="2" t="s">
        <v>15470</v>
      </c>
      <c r="F2019" s="2" t="s">
        <v>15471</v>
      </c>
      <c r="G2019" s="2" t="s">
        <v>15472</v>
      </c>
      <c r="H2019" s="2" t="s">
        <v>551</v>
      </c>
      <c r="I2019" s="2" t="s">
        <v>4912</v>
      </c>
      <c r="J2019" s="2" t="s">
        <v>35</v>
      </c>
      <c r="K2019" s="2" t="s">
        <v>15470</v>
      </c>
      <c r="L2019" s="2" t="s">
        <v>4912</v>
      </c>
      <c r="M2019" s="2" t="s">
        <v>551</v>
      </c>
      <c r="N2019" s="2" t="s">
        <v>15473</v>
      </c>
      <c r="O2019" s="2"/>
      <c r="P2019" s="2" t="s">
        <v>37</v>
      </c>
      <c r="Q2019" s="4" t="n">
        <v>8731</v>
      </c>
      <c r="R2019" s="2" t="s">
        <v>450</v>
      </c>
      <c r="S2019" s="2" t="s">
        <v>39</v>
      </c>
      <c r="T2019" s="2" t="s">
        <v>403</v>
      </c>
      <c r="U2019" s="2" t="s">
        <v>15474</v>
      </c>
      <c r="V2019" s="2"/>
      <c r="W2019" s="2" t="s">
        <v>42</v>
      </c>
      <c r="X2019" s="2" t="s">
        <v>46</v>
      </c>
      <c r="Y2019" s="2" t="s">
        <v>37</v>
      </c>
      <c r="Z2019" s="2" t="s">
        <v>362</v>
      </c>
      <c r="AA2019" s="2"/>
      <c r="AB2019" s="2"/>
      <c r="AC2019" s="2" t="s">
        <v>15475</v>
      </c>
      <c r="AD2019" s="2" t="s">
        <v>46</v>
      </c>
    </row>
    <row r="2020" customFormat="false" ht="15.7" hidden="false" customHeight="true" outlineLevel="0" collapsed="false">
      <c r="A2020" s="2"/>
      <c r="B2020" s="3" t="n">
        <f aca="false">DATE(2012,8,20)</f>
        <v>0</v>
      </c>
      <c r="C2020" s="3" t="n">
        <v>41141</v>
      </c>
      <c r="D2020" s="2" t="s">
        <v>15476</v>
      </c>
      <c r="F2020" s="2" t="s">
        <v>15477</v>
      </c>
      <c r="G2020" s="2" t="s">
        <v>15478</v>
      </c>
      <c r="H2020" s="2" t="s">
        <v>15479</v>
      </c>
      <c r="I2020" s="2" t="s">
        <v>487</v>
      </c>
      <c r="J2020" s="2" t="s">
        <v>795</v>
      </c>
      <c r="K2020" s="2" t="s">
        <v>15476</v>
      </c>
      <c r="L2020" s="2" t="s">
        <v>487</v>
      </c>
      <c r="M2020" s="2" t="s">
        <v>15479</v>
      </c>
      <c r="N2020" s="2" t="s">
        <v>15480</v>
      </c>
      <c r="O2020" s="2"/>
      <c r="P2020" s="2" t="s">
        <v>37</v>
      </c>
      <c r="Q2020" s="4" t="n">
        <v>3559</v>
      </c>
      <c r="R2020" s="2" t="s">
        <v>1448</v>
      </c>
      <c r="S2020" s="2" t="s">
        <v>39</v>
      </c>
      <c r="T2020" s="2" t="s">
        <v>403</v>
      </c>
      <c r="U2020" s="2" t="s">
        <v>15481</v>
      </c>
      <c r="V2020" s="2"/>
      <c r="W2020" s="2" t="s">
        <v>42</v>
      </c>
      <c r="X2020" s="2" t="s">
        <v>46</v>
      </c>
      <c r="Y2020" s="2" t="s">
        <v>37</v>
      </c>
      <c r="Z2020" s="2" t="s">
        <v>362</v>
      </c>
      <c r="AA2020" s="2"/>
      <c r="AB2020" s="2"/>
      <c r="AC2020" s="2" t="s">
        <v>15482</v>
      </c>
      <c r="AD2020" s="2" t="s">
        <v>46</v>
      </c>
    </row>
    <row r="2021" customFormat="false" ht="15.7" hidden="false" customHeight="true" outlineLevel="0" collapsed="false">
      <c r="A2021" s="2"/>
      <c r="B2021" s="3" t="n">
        <f aca="false">DATE(2012,8,21)</f>
        <v>0</v>
      </c>
      <c r="C2021" s="3" t="n">
        <v>41142</v>
      </c>
      <c r="D2021" s="2" t="s">
        <v>15483</v>
      </c>
      <c r="F2021" s="2" t="s">
        <v>15484</v>
      </c>
      <c r="G2021" s="2" t="s">
        <v>15485</v>
      </c>
      <c r="H2021" s="2" t="s">
        <v>305</v>
      </c>
      <c r="I2021" s="2" t="s">
        <v>88</v>
      </c>
      <c r="J2021" s="2" t="s">
        <v>65</v>
      </c>
      <c r="K2021" s="2" t="s">
        <v>15483</v>
      </c>
      <c r="L2021" s="2" t="s">
        <v>88</v>
      </c>
      <c r="M2021" s="2" t="s">
        <v>305</v>
      </c>
      <c r="N2021" s="2" t="s">
        <v>15486</v>
      </c>
      <c r="O2021" s="2"/>
      <c r="P2021" s="2" t="s">
        <v>37</v>
      </c>
      <c r="Q2021" s="4" t="n">
        <v>8731</v>
      </c>
      <c r="R2021" s="2" t="s">
        <v>136</v>
      </c>
      <c r="S2021" s="2" t="s">
        <v>39</v>
      </c>
      <c r="T2021" s="2" t="s">
        <v>40</v>
      </c>
      <c r="U2021" s="2" t="s">
        <v>15487</v>
      </c>
      <c r="V2021" s="2"/>
      <c r="W2021" s="2" t="s">
        <v>42</v>
      </c>
      <c r="X2021" s="2" t="s">
        <v>43</v>
      </c>
      <c r="Y2021" s="2" t="s">
        <v>37</v>
      </c>
      <c r="Z2021" s="2" t="s">
        <v>44</v>
      </c>
      <c r="AA2021" s="2" t="s">
        <v>15488</v>
      </c>
      <c r="AB2021" s="2"/>
      <c r="AC2021" s="2" t="s">
        <v>15489</v>
      </c>
      <c r="AD2021" s="2" t="s">
        <v>46</v>
      </c>
    </row>
    <row r="2022" customFormat="false" ht="15.7" hidden="false" customHeight="true" outlineLevel="0" collapsed="false">
      <c r="A2022" s="2"/>
      <c r="B2022" s="3" t="n">
        <f aca="false">DATE(2012,8,21)</f>
        <v>0</v>
      </c>
      <c r="C2022" s="3" t="n">
        <v>41142</v>
      </c>
      <c r="D2022" s="2" t="s">
        <v>15490</v>
      </c>
      <c r="F2022" s="2" t="s">
        <v>15491</v>
      </c>
      <c r="G2022" s="2" t="s">
        <v>15492</v>
      </c>
      <c r="H2022" s="2" t="s">
        <v>15493</v>
      </c>
      <c r="I2022" s="2" t="s">
        <v>15494</v>
      </c>
      <c r="J2022" s="2" t="s">
        <v>1456</v>
      </c>
      <c r="K2022" s="2" t="s">
        <v>15490</v>
      </c>
      <c r="L2022" s="2" t="s">
        <v>15494</v>
      </c>
      <c r="M2022" s="2" t="s">
        <v>15493</v>
      </c>
      <c r="N2022" s="2" t="s">
        <v>15495</v>
      </c>
      <c r="O2022" s="2"/>
      <c r="P2022" s="2" t="s">
        <v>37</v>
      </c>
      <c r="Q2022" s="4" t="n">
        <v>3569</v>
      </c>
      <c r="R2022" s="2" t="s">
        <v>136</v>
      </c>
      <c r="S2022" s="2" t="s">
        <v>39</v>
      </c>
      <c r="T2022" s="2" t="s">
        <v>403</v>
      </c>
      <c r="U2022" s="2" t="s">
        <v>15496</v>
      </c>
      <c r="V2022" s="2"/>
      <c r="W2022" s="2" t="s">
        <v>5464</v>
      </c>
      <c r="X2022" s="2" t="s">
        <v>46</v>
      </c>
      <c r="Y2022" s="2" t="s">
        <v>37</v>
      </c>
      <c r="Z2022" s="2" t="s">
        <v>362</v>
      </c>
      <c r="AA2022" s="2"/>
      <c r="AB2022" s="2"/>
      <c r="AC2022" s="2" t="s">
        <v>15497</v>
      </c>
      <c r="AD2022" s="2" t="s">
        <v>46</v>
      </c>
    </row>
    <row r="2023" customFormat="false" ht="15.7" hidden="false" customHeight="true" outlineLevel="0" collapsed="false">
      <c r="A2023" s="2"/>
      <c r="B2023" s="3" t="n">
        <f aca="false">DATE(2012,8,21)</f>
        <v>0</v>
      </c>
      <c r="C2023" s="3" t="n">
        <v>41142</v>
      </c>
      <c r="D2023" s="2" t="s">
        <v>15498</v>
      </c>
      <c r="F2023" s="2" t="s">
        <v>15499</v>
      </c>
      <c r="G2023" s="2" t="s">
        <v>15500</v>
      </c>
      <c r="H2023" s="2" t="s">
        <v>8409</v>
      </c>
      <c r="I2023" s="2" t="s">
        <v>51</v>
      </c>
      <c r="J2023" s="2" t="s">
        <v>7034</v>
      </c>
      <c r="K2023" s="2" t="s">
        <v>15501</v>
      </c>
      <c r="L2023" s="2" t="s">
        <v>51</v>
      </c>
      <c r="M2023" s="2" t="s">
        <v>8409</v>
      </c>
      <c r="N2023" s="2" t="s">
        <v>15502</v>
      </c>
      <c r="O2023" s="2"/>
      <c r="P2023" s="2" t="s">
        <v>37</v>
      </c>
      <c r="Q2023" s="4" t="n">
        <v>2869</v>
      </c>
      <c r="R2023" s="2" t="s">
        <v>56</v>
      </c>
      <c r="S2023" s="2" t="s">
        <v>2265</v>
      </c>
      <c r="T2023" s="2" t="s">
        <v>40</v>
      </c>
      <c r="U2023" s="2" t="s">
        <v>15503</v>
      </c>
      <c r="V2023" s="2"/>
      <c r="W2023" s="2" t="s">
        <v>42</v>
      </c>
      <c r="X2023" s="2" t="s">
        <v>43</v>
      </c>
      <c r="Y2023" s="2" t="s">
        <v>37</v>
      </c>
      <c r="Z2023" s="2" t="s">
        <v>44</v>
      </c>
      <c r="AA2023" s="2"/>
      <c r="AB2023" s="2"/>
      <c r="AC2023" s="2" t="s">
        <v>15504</v>
      </c>
      <c r="AD2023" s="2" t="s">
        <v>46</v>
      </c>
    </row>
    <row r="2024" customFormat="false" ht="15.7" hidden="false" customHeight="true" outlineLevel="0" collapsed="false">
      <c r="A2024" s="2"/>
      <c r="B2024" s="3" t="n">
        <f aca="false">DATE(2012,8,21)</f>
        <v>0</v>
      </c>
      <c r="C2024" s="3" t="n">
        <v>41142</v>
      </c>
      <c r="D2024" s="2" t="s">
        <v>15483</v>
      </c>
      <c r="F2024" s="2" t="s">
        <v>15484</v>
      </c>
      <c r="G2024" s="2" t="s">
        <v>15485</v>
      </c>
      <c r="H2024" s="2" t="s">
        <v>305</v>
      </c>
      <c r="I2024" s="2" t="s">
        <v>88</v>
      </c>
      <c r="J2024" s="2" t="s">
        <v>65</v>
      </c>
      <c r="K2024" s="2" t="s">
        <v>15483</v>
      </c>
      <c r="L2024" s="2" t="s">
        <v>88</v>
      </c>
      <c r="M2024" s="2" t="s">
        <v>305</v>
      </c>
      <c r="N2024" s="2" t="s">
        <v>15486</v>
      </c>
      <c r="O2024" s="2"/>
      <c r="P2024" s="2" t="s">
        <v>37</v>
      </c>
      <c r="Q2024" s="4" t="n">
        <v>8731</v>
      </c>
      <c r="R2024" s="2" t="s">
        <v>136</v>
      </c>
      <c r="S2024" s="2" t="s">
        <v>39</v>
      </c>
      <c r="T2024" s="2" t="s">
        <v>40</v>
      </c>
      <c r="U2024" s="2" t="s">
        <v>15505</v>
      </c>
      <c r="V2024" s="2"/>
      <c r="W2024" s="2" t="s">
        <v>1050</v>
      </c>
      <c r="X2024" s="2" t="s">
        <v>43</v>
      </c>
      <c r="Y2024" s="2" t="s">
        <v>37</v>
      </c>
      <c r="Z2024" s="2" t="s">
        <v>44</v>
      </c>
      <c r="AA2024" s="2" t="s">
        <v>15488</v>
      </c>
      <c r="AB2024" s="2"/>
      <c r="AC2024" s="2" t="s">
        <v>15489</v>
      </c>
      <c r="AD2024" s="2" t="s">
        <v>46</v>
      </c>
    </row>
    <row r="2025" customFormat="false" ht="15.7" hidden="false" customHeight="true" outlineLevel="0" collapsed="false">
      <c r="A2025" s="2"/>
      <c r="B2025" s="3" t="n">
        <f aca="false">DATE(2012,8,22)</f>
        <v>0</v>
      </c>
      <c r="C2025" s="3" t="n">
        <v>41143</v>
      </c>
      <c r="D2025" s="2" t="s">
        <v>15506</v>
      </c>
      <c r="F2025" s="2" t="s">
        <v>15507</v>
      </c>
      <c r="G2025" s="2" t="s">
        <v>15508</v>
      </c>
      <c r="H2025" s="2" t="s">
        <v>130</v>
      </c>
      <c r="I2025" s="2" t="s">
        <v>51</v>
      </c>
      <c r="J2025" s="2" t="s">
        <v>15509</v>
      </c>
      <c r="K2025" s="2" t="s">
        <v>15506</v>
      </c>
      <c r="L2025" s="2" t="s">
        <v>51</v>
      </c>
      <c r="M2025" s="2" t="s">
        <v>130</v>
      </c>
      <c r="N2025" s="2" t="s">
        <v>15510</v>
      </c>
      <c r="O2025" s="2"/>
      <c r="P2025" s="2" t="s">
        <v>37</v>
      </c>
      <c r="Q2025" s="4" t="n">
        <v>2833</v>
      </c>
      <c r="R2025" s="2" t="s">
        <v>38</v>
      </c>
      <c r="S2025" s="2" t="s">
        <v>39</v>
      </c>
      <c r="T2025" s="2" t="s">
        <v>40</v>
      </c>
      <c r="U2025" s="2" t="s">
        <v>15511</v>
      </c>
      <c r="V2025" s="2"/>
      <c r="W2025" s="2" t="s">
        <v>2209</v>
      </c>
      <c r="X2025" s="2" t="s">
        <v>43</v>
      </c>
      <c r="Y2025" s="2" t="s">
        <v>37</v>
      </c>
      <c r="Z2025" s="2" t="s">
        <v>44</v>
      </c>
      <c r="AA2025" s="2"/>
      <c r="AB2025" s="2"/>
      <c r="AC2025" s="2" t="s">
        <v>15512</v>
      </c>
      <c r="AD2025" s="2" t="s">
        <v>46</v>
      </c>
    </row>
    <row r="2026" customFormat="false" ht="15.7" hidden="false" customHeight="true" outlineLevel="0" collapsed="false">
      <c r="A2026" s="2"/>
      <c r="B2026" s="3" t="n">
        <f aca="false">DATE(2012,8,28)</f>
        <v>0</v>
      </c>
      <c r="C2026" s="3" t="n">
        <v>41149</v>
      </c>
      <c r="D2026" s="2" t="s">
        <v>15513</v>
      </c>
      <c r="F2026" s="2" t="s">
        <v>15514</v>
      </c>
      <c r="G2026" s="2" t="s">
        <v>15515</v>
      </c>
      <c r="H2026" s="2" t="s">
        <v>4340</v>
      </c>
      <c r="I2026" s="2" t="s">
        <v>11507</v>
      </c>
      <c r="J2026" s="2" t="s">
        <v>35</v>
      </c>
      <c r="K2026" s="2" t="s">
        <v>15513</v>
      </c>
      <c r="L2026" s="2" t="s">
        <v>11507</v>
      </c>
      <c r="M2026" s="2" t="s">
        <v>4340</v>
      </c>
      <c r="N2026" s="2" t="s">
        <v>15516</v>
      </c>
      <c r="O2026" s="2"/>
      <c r="P2026" s="2" t="s">
        <v>37</v>
      </c>
      <c r="Q2026" s="4" t="n">
        <v>8731</v>
      </c>
      <c r="R2026" s="2" t="s">
        <v>402</v>
      </c>
      <c r="S2026" s="2" t="s">
        <v>39</v>
      </c>
      <c r="T2026" s="2" t="s">
        <v>40</v>
      </c>
      <c r="U2026" s="2" t="s">
        <v>15517</v>
      </c>
      <c r="V2026" s="2"/>
      <c r="W2026" s="2" t="s">
        <v>42</v>
      </c>
      <c r="X2026" s="2" t="s">
        <v>46</v>
      </c>
      <c r="Y2026" s="2" t="s">
        <v>37</v>
      </c>
      <c r="Z2026" s="2" t="s">
        <v>362</v>
      </c>
      <c r="AA2026" s="2"/>
      <c r="AB2026" s="2"/>
      <c r="AC2026" s="2" t="s">
        <v>15518</v>
      </c>
      <c r="AD2026" s="2" t="s">
        <v>46</v>
      </c>
    </row>
    <row r="2027" customFormat="false" ht="15.7" hidden="false" customHeight="true" outlineLevel="0" collapsed="false">
      <c r="A2027" s="2"/>
      <c r="B2027" s="3" t="n">
        <f aca="false">DATE(2012,8,28)</f>
        <v>0</v>
      </c>
      <c r="C2027" s="3" t="n">
        <v>41149</v>
      </c>
      <c r="D2027" s="2" t="s">
        <v>15519</v>
      </c>
      <c r="F2027" s="2" t="s">
        <v>15520</v>
      </c>
      <c r="G2027" s="2" t="s">
        <v>15521</v>
      </c>
      <c r="H2027" s="2" t="s">
        <v>5477</v>
      </c>
      <c r="I2027" s="2" t="s">
        <v>51</v>
      </c>
      <c r="J2027" s="2" t="s">
        <v>15522</v>
      </c>
      <c r="K2027" s="2" t="s">
        <v>15519</v>
      </c>
      <c r="L2027" s="2" t="s">
        <v>51</v>
      </c>
      <c r="M2027" s="2" t="s">
        <v>5477</v>
      </c>
      <c r="N2027" s="2" t="s">
        <v>15523</v>
      </c>
      <c r="O2027" s="2"/>
      <c r="P2027" s="2" t="s">
        <v>37</v>
      </c>
      <c r="Q2027" s="4" t="n">
        <v>2879</v>
      </c>
      <c r="R2027" s="2" t="s">
        <v>136</v>
      </c>
      <c r="S2027" s="2" t="s">
        <v>39</v>
      </c>
      <c r="T2027" s="2" t="s">
        <v>40</v>
      </c>
      <c r="U2027" s="2" t="s">
        <v>15524</v>
      </c>
      <c r="V2027" s="2"/>
      <c r="W2027" s="2" t="s">
        <v>1050</v>
      </c>
      <c r="X2027" s="2" t="s">
        <v>43</v>
      </c>
      <c r="Y2027" s="2" t="s">
        <v>37</v>
      </c>
      <c r="Z2027" s="2" t="s">
        <v>44</v>
      </c>
      <c r="AA2027" s="2" t="s">
        <v>15525</v>
      </c>
      <c r="AB2027" s="2"/>
      <c r="AC2027" s="2" t="s">
        <v>15526</v>
      </c>
      <c r="AD2027" s="2" t="s">
        <v>46</v>
      </c>
    </row>
    <row r="2028" customFormat="false" ht="15.7" hidden="false" customHeight="true" outlineLevel="0" collapsed="false">
      <c r="A2028" s="2"/>
      <c r="B2028" s="3" t="n">
        <f aca="false">DATE(2012,8,29)</f>
        <v>0</v>
      </c>
      <c r="C2028" s="3" t="n">
        <v>41150</v>
      </c>
      <c r="D2028" s="2" t="s">
        <v>15527</v>
      </c>
      <c r="F2028" s="2" t="s">
        <v>15528</v>
      </c>
      <c r="G2028" s="2" t="s">
        <v>15529</v>
      </c>
      <c r="H2028" s="2" t="s">
        <v>15530</v>
      </c>
      <c r="I2028" s="2" t="s">
        <v>10571</v>
      </c>
      <c r="J2028" s="2" t="s">
        <v>35</v>
      </c>
      <c r="K2028" s="2" t="s">
        <v>15527</v>
      </c>
      <c r="L2028" s="2" t="s">
        <v>10571</v>
      </c>
      <c r="M2028" s="2" t="s">
        <v>15530</v>
      </c>
      <c r="N2028" s="2" t="s">
        <v>15531</v>
      </c>
      <c r="O2028" s="2"/>
      <c r="P2028" s="2" t="s">
        <v>37</v>
      </c>
      <c r="Q2028" s="4" t="n">
        <v>8731</v>
      </c>
      <c r="R2028" s="2" t="s">
        <v>402</v>
      </c>
      <c r="S2028" s="2" t="s">
        <v>39</v>
      </c>
      <c r="T2028" s="2" t="s">
        <v>403</v>
      </c>
      <c r="U2028" s="2" t="s">
        <v>15532</v>
      </c>
      <c r="V2028" s="2"/>
      <c r="W2028" s="2" t="s">
        <v>4487</v>
      </c>
      <c r="X2028" s="2" t="s">
        <v>46</v>
      </c>
      <c r="Y2028" s="2" t="s">
        <v>37</v>
      </c>
      <c r="Z2028" s="2" t="s">
        <v>362</v>
      </c>
      <c r="AA2028" s="2"/>
      <c r="AB2028" s="2"/>
      <c r="AC2028" s="2" t="s">
        <v>15533</v>
      </c>
      <c r="AD2028" s="2" t="s">
        <v>46</v>
      </c>
    </row>
    <row r="2029" customFormat="false" ht="15.7" hidden="false" customHeight="true" outlineLevel="0" collapsed="false">
      <c r="A2029" s="2"/>
      <c r="B2029" s="3" t="n">
        <f aca="false">DATE(2012,8,29)</f>
        <v>0</v>
      </c>
      <c r="C2029" s="3" t="n">
        <v>41150</v>
      </c>
      <c r="D2029" s="2" t="s">
        <v>15534</v>
      </c>
      <c r="F2029" s="2" t="s">
        <v>2026</v>
      </c>
      <c r="G2029" s="2" t="s">
        <v>15535</v>
      </c>
      <c r="H2029" s="2" t="s">
        <v>762</v>
      </c>
      <c r="I2029" s="2" t="s">
        <v>51</v>
      </c>
      <c r="J2029" s="2" t="s">
        <v>15536</v>
      </c>
      <c r="K2029" s="2" t="s">
        <v>15534</v>
      </c>
      <c r="L2029" s="2" t="s">
        <v>51</v>
      </c>
      <c r="M2029" s="2" t="s">
        <v>762</v>
      </c>
      <c r="N2029" s="2" t="s">
        <v>15537</v>
      </c>
      <c r="O2029" s="2"/>
      <c r="P2029" s="2" t="s">
        <v>37</v>
      </c>
      <c r="Q2029" s="4" t="n">
        <v>2833</v>
      </c>
      <c r="R2029" s="2" t="s">
        <v>56</v>
      </c>
      <c r="S2029" s="2" t="s">
        <v>2265</v>
      </c>
      <c r="T2029" s="2" t="s">
        <v>40</v>
      </c>
      <c r="U2029" s="2" t="s">
        <v>15538</v>
      </c>
      <c r="V2029" s="2"/>
      <c r="W2029" s="2" t="s">
        <v>42</v>
      </c>
      <c r="X2029" s="2" t="s">
        <v>43</v>
      </c>
      <c r="Y2029" s="2" t="s">
        <v>37</v>
      </c>
      <c r="Z2029" s="2" t="s">
        <v>44</v>
      </c>
      <c r="AA2029" s="2"/>
      <c r="AB2029" s="2"/>
      <c r="AC2029" s="2" t="s">
        <v>15539</v>
      </c>
      <c r="AD2029" s="2" t="s">
        <v>46</v>
      </c>
    </row>
    <row r="2030" customFormat="false" ht="15.7" hidden="false" customHeight="true" outlineLevel="0" collapsed="false">
      <c r="A2030" s="2"/>
      <c r="B2030" s="3" t="n">
        <f aca="false">DATE(2012,9,1)</f>
        <v>0</v>
      </c>
      <c r="C2030" s="3" t="n">
        <v>41153</v>
      </c>
      <c r="D2030" s="2" t="s">
        <v>15540</v>
      </c>
      <c r="F2030" s="2" t="s">
        <v>15541</v>
      </c>
      <c r="G2030" s="2" t="s">
        <v>15542</v>
      </c>
      <c r="H2030" s="2" t="s">
        <v>170</v>
      </c>
      <c r="I2030" s="2" t="s">
        <v>965</v>
      </c>
      <c r="J2030" s="2" t="s">
        <v>331</v>
      </c>
      <c r="K2030" s="2" t="s">
        <v>15540</v>
      </c>
      <c r="L2030" s="2" t="s">
        <v>965</v>
      </c>
      <c r="M2030" s="2" t="s">
        <v>170</v>
      </c>
      <c r="N2030" s="2" t="s">
        <v>15543</v>
      </c>
      <c r="O2030" s="2"/>
      <c r="P2030" s="2" t="s">
        <v>79</v>
      </c>
      <c r="Q2030" s="4" t="n">
        <v>2836</v>
      </c>
      <c r="R2030" s="2" t="s">
        <v>136</v>
      </c>
      <c r="S2030" s="2" t="s">
        <v>39</v>
      </c>
      <c r="T2030" s="2" t="s">
        <v>40</v>
      </c>
      <c r="U2030" s="2" t="s">
        <v>15544</v>
      </c>
      <c r="V2030" s="2"/>
      <c r="W2030" s="2" t="s">
        <v>15545</v>
      </c>
      <c r="X2030" s="2" t="s">
        <v>43</v>
      </c>
      <c r="Y2030" s="2" t="s">
        <v>37</v>
      </c>
      <c r="Z2030" s="2" t="s">
        <v>44</v>
      </c>
      <c r="AA2030" s="2"/>
      <c r="AB2030" s="2"/>
      <c r="AC2030" s="2" t="s">
        <v>15546</v>
      </c>
      <c r="AD2030" s="2" t="s">
        <v>46</v>
      </c>
    </row>
    <row r="2031" customFormat="false" ht="15.7" hidden="false" customHeight="true" outlineLevel="0" collapsed="false">
      <c r="A2031" s="2"/>
      <c r="B2031" s="3" t="n">
        <f aca="false">DATE(2012,9,4)</f>
        <v>0</v>
      </c>
      <c r="C2031" s="3" t="n">
        <v>41156</v>
      </c>
      <c r="D2031" s="2" t="s">
        <v>15547</v>
      </c>
      <c r="F2031" s="2" t="s">
        <v>15548</v>
      </c>
      <c r="G2031" s="2" t="s">
        <v>15549</v>
      </c>
      <c r="H2031" s="2" t="s">
        <v>5080</v>
      </c>
      <c r="I2031" s="2" t="s">
        <v>51</v>
      </c>
      <c r="J2031" s="2" t="s">
        <v>2980</v>
      </c>
      <c r="K2031" s="2" t="s">
        <v>15550</v>
      </c>
      <c r="L2031" s="2" t="s">
        <v>51</v>
      </c>
      <c r="M2031" s="2" t="s">
        <v>247</v>
      </c>
      <c r="N2031" s="2" t="s">
        <v>15551</v>
      </c>
      <c r="O2031" s="2"/>
      <c r="P2031" s="2" t="s">
        <v>37</v>
      </c>
      <c r="Q2031" s="4" t="n">
        <v>2834</v>
      </c>
      <c r="R2031" s="2" t="s">
        <v>56</v>
      </c>
      <c r="S2031" s="2" t="s">
        <v>2265</v>
      </c>
      <c r="T2031" s="2" t="s">
        <v>403</v>
      </c>
      <c r="U2031" s="2" t="s">
        <v>15552</v>
      </c>
      <c r="V2031" s="2"/>
      <c r="W2031" s="2" t="s">
        <v>697</v>
      </c>
      <c r="X2031" s="2" t="s">
        <v>43</v>
      </c>
      <c r="Y2031" s="2" t="s">
        <v>37</v>
      </c>
      <c r="Z2031" s="2" t="s">
        <v>44</v>
      </c>
      <c r="AA2031" s="2"/>
      <c r="AB2031" s="2"/>
      <c r="AC2031" s="2" t="s">
        <v>15553</v>
      </c>
      <c r="AD2031" s="2" t="s">
        <v>46</v>
      </c>
    </row>
    <row r="2032" customFormat="false" ht="15.7" hidden="false" customHeight="true" outlineLevel="0" collapsed="false">
      <c r="A2032" s="2"/>
      <c r="B2032" s="3" t="n">
        <f aca="false">DATE(2012,9,4)</f>
        <v>0</v>
      </c>
      <c r="C2032" s="3" t="n">
        <v>41156</v>
      </c>
      <c r="D2032" s="2" t="s">
        <v>15554</v>
      </c>
      <c r="F2032" s="2" t="s">
        <v>15555</v>
      </c>
      <c r="G2032" s="2" t="s">
        <v>15556</v>
      </c>
      <c r="H2032" s="2" t="s">
        <v>15557</v>
      </c>
      <c r="I2032" s="2" t="s">
        <v>670</v>
      </c>
      <c r="J2032" s="2" t="s">
        <v>65</v>
      </c>
      <c r="K2032" s="2" t="s">
        <v>15554</v>
      </c>
      <c r="L2032" s="2" t="s">
        <v>670</v>
      </c>
      <c r="M2032" s="2" t="s">
        <v>15557</v>
      </c>
      <c r="N2032" s="2" t="s">
        <v>15558</v>
      </c>
      <c r="O2032" s="2"/>
      <c r="P2032" s="2" t="s">
        <v>37</v>
      </c>
      <c r="Q2032" s="4" t="n">
        <v>8731</v>
      </c>
      <c r="R2032" s="2" t="s">
        <v>136</v>
      </c>
      <c r="S2032" s="2" t="s">
        <v>39</v>
      </c>
      <c r="T2032" s="2" t="s">
        <v>403</v>
      </c>
      <c r="U2032" s="2" t="s">
        <v>15559</v>
      </c>
      <c r="V2032" s="2"/>
      <c r="W2032" s="2" t="s">
        <v>42</v>
      </c>
      <c r="X2032" s="2" t="s">
        <v>43</v>
      </c>
      <c r="Y2032" s="2" t="s">
        <v>37</v>
      </c>
      <c r="Z2032" s="2" t="s">
        <v>44</v>
      </c>
      <c r="AA2032" s="2"/>
      <c r="AB2032" s="2"/>
      <c r="AC2032" s="2" t="s">
        <v>15560</v>
      </c>
      <c r="AD2032" s="2" t="s">
        <v>46</v>
      </c>
    </row>
    <row r="2033" customFormat="false" ht="15.7" hidden="false" customHeight="true" outlineLevel="0" collapsed="false">
      <c r="A2033" s="2"/>
      <c r="B2033" s="3" t="n">
        <f aca="false">DATE(2012,9,5)</f>
        <v>0</v>
      </c>
      <c r="C2033" s="3" t="n">
        <v>41157</v>
      </c>
      <c r="D2033" s="2" t="s">
        <v>15561</v>
      </c>
      <c r="F2033" s="2" t="s">
        <v>15562</v>
      </c>
      <c r="G2033" s="2" t="s">
        <v>15563</v>
      </c>
      <c r="H2033" s="2" t="s">
        <v>63</v>
      </c>
      <c r="I2033" s="2" t="s">
        <v>51</v>
      </c>
      <c r="J2033" s="2" t="s">
        <v>4804</v>
      </c>
      <c r="K2033" s="2" t="s">
        <v>15561</v>
      </c>
      <c r="L2033" s="2" t="s">
        <v>51</v>
      </c>
      <c r="M2033" s="2" t="s">
        <v>63</v>
      </c>
      <c r="N2033" s="2" t="s">
        <v>15564</v>
      </c>
      <c r="O2033" s="2"/>
      <c r="P2033" s="2" t="s">
        <v>37</v>
      </c>
      <c r="Q2033" s="4" t="n">
        <v>8731</v>
      </c>
      <c r="R2033" s="2" t="s">
        <v>56</v>
      </c>
      <c r="S2033" s="2" t="s">
        <v>2265</v>
      </c>
      <c r="T2033" s="2" t="s">
        <v>40</v>
      </c>
      <c r="U2033" s="2" t="s">
        <v>15565</v>
      </c>
      <c r="V2033" s="2"/>
      <c r="W2033" s="2" t="s">
        <v>42</v>
      </c>
      <c r="X2033" s="2" t="s">
        <v>43</v>
      </c>
      <c r="Y2033" s="2" t="s">
        <v>37</v>
      </c>
      <c r="Z2033" s="2" t="s">
        <v>44</v>
      </c>
      <c r="AA2033" s="2"/>
      <c r="AB2033" s="2"/>
      <c r="AC2033" s="2" t="s">
        <v>15566</v>
      </c>
      <c r="AD2033" s="2" t="s">
        <v>46</v>
      </c>
    </row>
    <row r="2034" customFormat="false" ht="15.7" hidden="false" customHeight="true" outlineLevel="0" collapsed="false">
      <c r="A2034" s="2"/>
      <c r="B2034" s="3" t="n">
        <f aca="false">DATE(2012,9,6)</f>
        <v>0</v>
      </c>
      <c r="C2034" s="3" t="n">
        <v>41158</v>
      </c>
      <c r="D2034" s="2" t="s">
        <v>15567</v>
      </c>
      <c r="F2034" s="2" t="s">
        <v>15568</v>
      </c>
      <c r="G2034" s="2" t="s">
        <v>15569</v>
      </c>
      <c r="H2034" s="2" t="s">
        <v>130</v>
      </c>
      <c r="I2034" s="2" t="s">
        <v>51</v>
      </c>
      <c r="J2034" s="2" t="s">
        <v>15570</v>
      </c>
      <c r="K2034" s="2" t="s">
        <v>15571</v>
      </c>
      <c r="L2034" s="2" t="s">
        <v>219</v>
      </c>
      <c r="M2034" s="2" t="s">
        <v>130</v>
      </c>
      <c r="N2034" s="2" t="s">
        <v>15572</v>
      </c>
      <c r="O2034" s="2"/>
      <c r="P2034" s="2" t="s">
        <v>37</v>
      </c>
      <c r="Q2034" s="4" t="n">
        <v>2836</v>
      </c>
      <c r="R2034" s="2" t="s">
        <v>56</v>
      </c>
      <c r="S2034" s="2" t="s">
        <v>2265</v>
      </c>
      <c r="T2034" s="2" t="s">
        <v>40</v>
      </c>
      <c r="U2034" s="2" t="s">
        <v>15573</v>
      </c>
      <c r="V2034" s="2"/>
      <c r="W2034" s="2" t="s">
        <v>42</v>
      </c>
      <c r="X2034" s="2" t="s">
        <v>43</v>
      </c>
      <c r="Y2034" s="2" t="s">
        <v>37</v>
      </c>
      <c r="Z2034" s="2" t="s">
        <v>44</v>
      </c>
      <c r="AA2034" s="2"/>
      <c r="AB2034" s="2"/>
      <c r="AC2034" s="2" t="s">
        <v>15574</v>
      </c>
      <c r="AD2034" s="2" t="s">
        <v>46</v>
      </c>
    </row>
    <row r="2035" customFormat="false" ht="15.7" hidden="false" customHeight="true" outlineLevel="0" collapsed="false">
      <c r="A2035" s="2"/>
      <c r="B2035" s="3" t="n">
        <f aca="false">DATE(2012,9,6)</f>
        <v>0</v>
      </c>
      <c r="C2035" s="3" t="n">
        <v>41158</v>
      </c>
      <c r="D2035" s="2" t="s">
        <v>15575</v>
      </c>
      <c r="F2035" s="2" t="s">
        <v>15576</v>
      </c>
      <c r="G2035" s="2" t="s">
        <v>15577</v>
      </c>
      <c r="H2035" s="2" t="s">
        <v>7839</v>
      </c>
      <c r="I2035" s="2" t="s">
        <v>100</v>
      </c>
      <c r="J2035" s="2" t="s">
        <v>1456</v>
      </c>
      <c r="K2035" s="2" t="s">
        <v>15578</v>
      </c>
      <c r="L2035" s="2" t="s">
        <v>100</v>
      </c>
      <c r="M2035" s="2" t="s">
        <v>7839</v>
      </c>
      <c r="N2035" s="2" t="s">
        <v>15579</v>
      </c>
      <c r="O2035" s="2"/>
      <c r="P2035" s="2" t="s">
        <v>37</v>
      </c>
      <c r="Q2035" s="4" t="n">
        <v>8731</v>
      </c>
      <c r="R2035" s="2" t="s">
        <v>136</v>
      </c>
      <c r="S2035" s="2" t="s">
        <v>39</v>
      </c>
      <c r="T2035" s="2" t="s">
        <v>403</v>
      </c>
      <c r="U2035" s="2" t="s">
        <v>15580</v>
      </c>
      <c r="V2035" s="2"/>
      <c r="W2035" s="2" t="s">
        <v>42</v>
      </c>
      <c r="X2035" s="2" t="s">
        <v>43</v>
      </c>
      <c r="Y2035" s="2" t="s">
        <v>37</v>
      </c>
      <c r="Z2035" s="2" t="s">
        <v>44</v>
      </c>
      <c r="AA2035" s="2"/>
      <c r="AB2035" s="2"/>
      <c r="AC2035" s="2" t="s">
        <v>15581</v>
      </c>
      <c r="AD2035" s="2" t="s">
        <v>46</v>
      </c>
    </row>
    <row r="2036" customFormat="false" ht="15.7" hidden="false" customHeight="true" outlineLevel="0" collapsed="false">
      <c r="A2036" s="2"/>
      <c r="B2036" s="3" t="n">
        <f aca="false">DATE(2012,9,6)</f>
        <v>0</v>
      </c>
      <c r="C2036" s="3" t="n">
        <v>41158</v>
      </c>
      <c r="D2036" s="2" t="s">
        <v>15582</v>
      </c>
      <c r="F2036" s="2" t="s">
        <v>15583</v>
      </c>
      <c r="G2036" s="2" t="s">
        <v>15584</v>
      </c>
      <c r="H2036" s="2" t="s">
        <v>15585</v>
      </c>
      <c r="I2036" s="2" t="s">
        <v>15586</v>
      </c>
      <c r="J2036" s="2" t="s">
        <v>3276</v>
      </c>
      <c r="K2036" s="2" t="s">
        <v>15587</v>
      </c>
      <c r="L2036" s="2" t="s">
        <v>15586</v>
      </c>
      <c r="M2036" s="2" t="s">
        <v>15588</v>
      </c>
      <c r="N2036" s="2" t="s">
        <v>15589</v>
      </c>
      <c r="O2036" s="2"/>
      <c r="P2036" s="2" t="s">
        <v>37</v>
      </c>
      <c r="Q2036" s="4" t="n">
        <v>2836</v>
      </c>
      <c r="R2036" s="2" t="s">
        <v>136</v>
      </c>
      <c r="S2036" s="2" t="s">
        <v>39</v>
      </c>
      <c r="T2036" s="2" t="s">
        <v>40</v>
      </c>
      <c r="U2036" s="2" t="s">
        <v>15590</v>
      </c>
      <c r="V2036" s="2"/>
      <c r="W2036" s="2" t="s">
        <v>42</v>
      </c>
      <c r="X2036" s="2" t="s">
        <v>43</v>
      </c>
      <c r="Y2036" s="2" t="s">
        <v>37</v>
      </c>
      <c r="Z2036" s="2" t="s">
        <v>916</v>
      </c>
      <c r="AA2036" s="2"/>
      <c r="AB2036" s="2"/>
      <c r="AC2036" s="2" t="s">
        <v>15591</v>
      </c>
      <c r="AD2036" s="2" t="s">
        <v>46</v>
      </c>
    </row>
    <row r="2037" customFormat="false" ht="15.7" hidden="false" customHeight="true" outlineLevel="0" collapsed="false">
      <c r="A2037" s="2"/>
      <c r="B2037" s="3" t="n">
        <f aca="false">DATE(2012,9,6)</f>
        <v>0</v>
      </c>
      <c r="C2037" s="3" t="n">
        <v>41158</v>
      </c>
      <c r="D2037" s="2" t="s">
        <v>15592</v>
      </c>
      <c r="F2037" s="2" t="s">
        <v>256</v>
      </c>
      <c r="G2037" s="2" t="s">
        <v>15593</v>
      </c>
      <c r="H2037" s="2" t="s">
        <v>170</v>
      </c>
      <c r="I2037" s="2" t="s">
        <v>11034</v>
      </c>
      <c r="J2037" s="2" t="s">
        <v>35</v>
      </c>
      <c r="K2037" s="2" t="s">
        <v>15592</v>
      </c>
      <c r="L2037" s="2" t="s">
        <v>11034</v>
      </c>
      <c r="M2037" s="2" t="s">
        <v>170</v>
      </c>
      <c r="N2037" s="2" t="s">
        <v>15594</v>
      </c>
      <c r="O2037" s="2" t="s">
        <v>15595</v>
      </c>
      <c r="P2037" s="2" t="s">
        <v>37</v>
      </c>
      <c r="Q2037" s="4" t="n">
        <v>2836</v>
      </c>
      <c r="R2037" s="2" t="s">
        <v>402</v>
      </c>
      <c r="S2037" s="2" t="s">
        <v>39</v>
      </c>
      <c r="T2037" s="2" t="s">
        <v>40</v>
      </c>
      <c r="U2037" s="2" t="s">
        <v>15596</v>
      </c>
      <c r="V2037" s="2"/>
      <c r="W2037" s="2" t="s">
        <v>42</v>
      </c>
      <c r="X2037" s="2" t="s">
        <v>46</v>
      </c>
      <c r="Y2037" s="2" t="s">
        <v>37</v>
      </c>
      <c r="Z2037" s="2" t="s">
        <v>362</v>
      </c>
      <c r="AA2037" s="2"/>
      <c r="AB2037" s="2" t="s">
        <v>15597</v>
      </c>
      <c r="AC2037" s="2" t="s">
        <v>15598</v>
      </c>
      <c r="AD2037" s="2" t="s">
        <v>46</v>
      </c>
    </row>
    <row r="2038" customFormat="false" ht="15.7" hidden="false" customHeight="true" outlineLevel="0" collapsed="false">
      <c r="A2038" s="2"/>
      <c r="B2038" s="3" t="n">
        <f aca="false">DATE(2012,9,7)</f>
        <v>0</v>
      </c>
      <c r="C2038" s="3" t="n">
        <v>41159</v>
      </c>
      <c r="D2038" s="2" t="s">
        <v>15599</v>
      </c>
      <c r="F2038" s="2" t="s">
        <v>15600</v>
      </c>
      <c r="G2038" s="2" t="s">
        <v>15601</v>
      </c>
      <c r="H2038" s="2" t="s">
        <v>15602</v>
      </c>
      <c r="I2038" s="2" t="s">
        <v>670</v>
      </c>
      <c r="J2038" s="2" t="s">
        <v>3452</v>
      </c>
      <c r="K2038" s="2" t="s">
        <v>15603</v>
      </c>
      <c r="L2038" s="2" t="s">
        <v>670</v>
      </c>
      <c r="M2038" s="2" t="s">
        <v>15604</v>
      </c>
      <c r="N2038" s="2" t="s">
        <v>15605</v>
      </c>
      <c r="O2038" s="2"/>
      <c r="P2038" s="2" t="s">
        <v>37</v>
      </c>
      <c r="Q2038" s="4" t="n">
        <v>5052</v>
      </c>
      <c r="R2038" s="2" t="s">
        <v>56</v>
      </c>
      <c r="S2038" s="2" t="s">
        <v>2265</v>
      </c>
      <c r="T2038" s="2" t="s">
        <v>40</v>
      </c>
      <c r="U2038" s="2" t="s">
        <v>15606</v>
      </c>
      <c r="V2038" s="2"/>
      <c r="W2038" s="2" t="s">
        <v>15607</v>
      </c>
      <c r="X2038" s="2" t="s">
        <v>43</v>
      </c>
      <c r="Y2038" s="2" t="s">
        <v>37</v>
      </c>
      <c r="Z2038" s="2" t="s">
        <v>44</v>
      </c>
      <c r="AA2038" s="2"/>
      <c r="AB2038" s="2"/>
      <c r="AC2038" s="2" t="s">
        <v>15608</v>
      </c>
      <c r="AD2038" s="2" t="s">
        <v>46</v>
      </c>
    </row>
    <row r="2039" customFormat="false" ht="15.7" hidden="false" customHeight="true" outlineLevel="0" collapsed="false">
      <c r="A2039" s="2"/>
      <c r="B2039" s="3" t="n">
        <f aca="false">DATE(2012,9,10)</f>
        <v>0</v>
      </c>
      <c r="C2039" s="3" t="n">
        <v>41162</v>
      </c>
      <c r="D2039" s="2" t="s">
        <v>15609</v>
      </c>
      <c r="F2039" s="2" t="s">
        <v>15610</v>
      </c>
      <c r="G2039" s="2" t="s">
        <v>15611</v>
      </c>
      <c r="H2039" s="2" t="s">
        <v>15612</v>
      </c>
      <c r="I2039" s="2" t="s">
        <v>51</v>
      </c>
      <c r="J2039" s="2" t="s">
        <v>15613</v>
      </c>
      <c r="K2039" s="2" t="s">
        <v>15609</v>
      </c>
      <c r="L2039" s="2" t="s">
        <v>51</v>
      </c>
      <c r="M2039" s="2" t="s">
        <v>15612</v>
      </c>
      <c r="N2039" s="2" t="s">
        <v>15614</v>
      </c>
      <c r="O2039" s="2"/>
      <c r="P2039" s="2" t="s">
        <v>37</v>
      </c>
      <c r="Q2039" s="4" t="n">
        <v>8731</v>
      </c>
      <c r="R2039" s="2" t="s">
        <v>56</v>
      </c>
      <c r="S2039" s="2" t="s">
        <v>2265</v>
      </c>
      <c r="T2039" s="2" t="s">
        <v>40</v>
      </c>
      <c r="U2039" s="2" t="s">
        <v>15615</v>
      </c>
      <c r="V2039" s="2"/>
      <c r="W2039" s="2" t="s">
        <v>42</v>
      </c>
      <c r="X2039" s="2" t="s">
        <v>43</v>
      </c>
      <c r="Y2039" s="2" t="s">
        <v>37</v>
      </c>
      <c r="Z2039" s="2" t="s">
        <v>44</v>
      </c>
      <c r="AA2039" s="2" t="s">
        <v>15616</v>
      </c>
      <c r="AB2039" s="2"/>
      <c r="AC2039" s="2" t="s">
        <v>15617</v>
      </c>
      <c r="AD2039" s="2" t="s">
        <v>46</v>
      </c>
    </row>
    <row r="2040" customFormat="false" ht="15.7" hidden="false" customHeight="true" outlineLevel="0" collapsed="false">
      <c r="A2040" s="2"/>
      <c r="B2040" s="3" t="n">
        <f aca="false">DATE(2012,9,10)</f>
        <v>0</v>
      </c>
      <c r="C2040" s="3" t="n">
        <v>41162</v>
      </c>
      <c r="D2040" s="2" t="s">
        <v>15618</v>
      </c>
      <c r="F2040" s="2" t="s">
        <v>15619</v>
      </c>
      <c r="G2040" s="2" t="s">
        <v>15620</v>
      </c>
      <c r="H2040" s="2" t="s">
        <v>15621</v>
      </c>
      <c r="I2040" s="2" t="s">
        <v>4325</v>
      </c>
      <c r="J2040" s="2" t="s">
        <v>35</v>
      </c>
      <c r="K2040" s="2" t="s">
        <v>15622</v>
      </c>
      <c r="L2040" s="2" t="s">
        <v>4325</v>
      </c>
      <c r="M2040" s="2" t="s">
        <v>15621</v>
      </c>
      <c r="N2040" s="2" t="s">
        <v>15623</v>
      </c>
      <c r="O2040" s="2"/>
      <c r="P2040" s="2" t="s">
        <v>37</v>
      </c>
      <c r="Q2040" s="2" t="s">
        <v>3180</v>
      </c>
      <c r="R2040" s="2" t="s">
        <v>402</v>
      </c>
      <c r="S2040" s="2" t="s">
        <v>39</v>
      </c>
      <c r="T2040" s="2" t="s">
        <v>40</v>
      </c>
      <c r="U2040" s="2" t="s">
        <v>15624</v>
      </c>
      <c r="V2040" s="2"/>
      <c r="W2040" s="2" t="s">
        <v>15625</v>
      </c>
      <c r="X2040" s="2" t="s">
        <v>43</v>
      </c>
      <c r="Y2040" s="2" t="s">
        <v>37</v>
      </c>
      <c r="Z2040" s="2" t="s">
        <v>44</v>
      </c>
      <c r="AA2040" s="2"/>
      <c r="AB2040" s="2"/>
      <c r="AC2040" s="2" t="s">
        <v>15626</v>
      </c>
      <c r="AD2040" s="2" t="s">
        <v>46</v>
      </c>
    </row>
    <row r="2041" customFormat="false" ht="15.7" hidden="false" customHeight="true" outlineLevel="0" collapsed="false">
      <c r="A2041" s="2"/>
      <c r="B2041" s="3" t="n">
        <f aca="false">DATE(2012,9,10)</f>
        <v>0</v>
      </c>
      <c r="C2041" s="3" t="n">
        <v>41162</v>
      </c>
      <c r="D2041" s="2" t="s">
        <v>15627</v>
      </c>
      <c r="F2041" s="2" t="s">
        <v>15628</v>
      </c>
      <c r="G2041" s="2" t="s">
        <v>15629</v>
      </c>
      <c r="H2041" s="2" t="s">
        <v>551</v>
      </c>
      <c r="I2041" s="2" t="s">
        <v>6838</v>
      </c>
      <c r="J2041" s="2" t="s">
        <v>35</v>
      </c>
      <c r="K2041" s="2" t="s">
        <v>15627</v>
      </c>
      <c r="L2041" s="2" t="s">
        <v>6838</v>
      </c>
      <c r="M2041" s="2" t="s">
        <v>551</v>
      </c>
      <c r="N2041" s="2" t="s">
        <v>15630</v>
      </c>
      <c r="O2041" s="2"/>
      <c r="P2041" s="2" t="s">
        <v>37</v>
      </c>
      <c r="Q2041" s="4" t="n">
        <v>2834</v>
      </c>
      <c r="R2041" s="2" t="s">
        <v>402</v>
      </c>
      <c r="S2041" s="2" t="s">
        <v>39</v>
      </c>
      <c r="T2041" s="2" t="s">
        <v>403</v>
      </c>
      <c r="U2041" s="2" t="s">
        <v>15631</v>
      </c>
      <c r="V2041" s="2"/>
      <c r="W2041" s="2" t="s">
        <v>15632</v>
      </c>
      <c r="X2041" s="2" t="s">
        <v>46</v>
      </c>
      <c r="Y2041" s="2" t="s">
        <v>37</v>
      </c>
      <c r="Z2041" s="2" t="s">
        <v>15633</v>
      </c>
      <c r="AA2041" s="2" t="s">
        <v>15634</v>
      </c>
      <c r="AB2041" s="2"/>
      <c r="AC2041" s="2" t="s">
        <v>15635</v>
      </c>
      <c r="AD2041" s="2" t="s">
        <v>46</v>
      </c>
    </row>
    <row r="2042" customFormat="false" ht="15.7" hidden="false" customHeight="true" outlineLevel="0" collapsed="false">
      <c r="A2042" s="2"/>
      <c r="B2042" s="3" t="n">
        <f aca="false">DATE(2012,9,10)</f>
        <v>0</v>
      </c>
      <c r="C2042" s="3" t="n">
        <v>41162</v>
      </c>
      <c r="D2042" s="2" t="s">
        <v>15636</v>
      </c>
      <c r="F2042" s="2" t="s">
        <v>15637</v>
      </c>
      <c r="G2042" s="2" t="s">
        <v>15638</v>
      </c>
      <c r="H2042" s="2" t="s">
        <v>305</v>
      </c>
      <c r="I2042" s="2" t="s">
        <v>330</v>
      </c>
      <c r="J2042" s="2" t="s">
        <v>331</v>
      </c>
      <c r="K2042" s="2" t="s">
        <v>15639</v>
      </c>
      <c r="L2042" s="2" t="s">
        <v>330</v>
      </c>
      <c r="M2042" s="2" t="s">
        <v>368</v>
      </c>
      <c r="N2042" s="2" t="s">
        <v>15640</v>
      </c>
      <c r="O2042" s="2"/>
      <c r="P2042" s="2" t="s">
        <v>37</v>
      </c>
      <c r="Q2042" s="4" t="n">
        <v>8731</v>
      </c>
      <c r="R2042" s="2" t="s">
        <v>136</v>
      </c>
      <c r="S2042" s="2" t="s">
        <v>39</v>
      </c>
      <c r="T2042" s="2" t="s">
        <v>403</v>
      </c>
      <c r="U2042" s="2" t="s">
        <v>15641</v>
      </c>
      <c r="V2042" s="2"/>
      <c r="W2042" s="2" t="s">
        <v>42</v>
      </c>
      <c r="X2042" s="2" t="s">
        <v>43</v>
      </c>
      <c r="Y2042" s="2" t="s">
        <v>37</v>
      </c>
      <c r="Z2042" s="2" t="s">
        <v>44</v>
      </c>
      <c r="AA2042" s="2"/>
      <c r="AB2042" s="2"/>
      <c r="AC2042" s="2" t="s">
        <v>15642</v>
      </c>
      <c r="AD2042" s="2" t="s">
        <v>46</v>
      </c>
    </row>
    <row r="2043" customFormat="false" ht="15.7" hidden="false" customHeight="true" outlineLevel="0" collapsed="false">
      <c r="A2043" s="2"/>
      <c r="B2043" s="3" t="n">
        <f aca="false">DATE(2012,9,11)</f>
        <v>0</v>
      </c>
      <c r="C2043" s="3" t="n">
        <v>41163</v>
      </c>
      <c r="D2043" s="2" t="s">
        <v>15643</v>
      </c>
      <c r="F2043" s="2" t="s">
        <v>15644</v>
      </c>
      <c r="G2043" s="2" t="s">
        <v>15645</v>
      </c>
      <c r="H2043" s="2" t="s">
        <v>15646</v>
      </c>
      <c r="I2043" s="2" t="s">
        <v>100</v>
      </c>
      <c r="J2043" s="2" t="s">
        <v>15647</v>
      </c>
      <c r="K2043" s="2" t="s">
        <v>15643</v>
      </c>
      <c r="L2043" s="2" t="s">
        <v>100</v>
      </c>
      <c r="M2043" s="2" t="s">
        <v>15646</v>
      </c>
      <c r="N2043" s="2" t="s">
        <v>15648</v>
      </c>
      <c r="O2043" s="2"/>
      <c r="P2043" s="2" t="s">
        <v>37</v>
      </c>
      <c r="Q2043" s="4" t="n">
        <v>9661</v>
      </c>
      <c r="R2043" s="2" t="s">
        <v>136</v>
      </c>
      <c r="S2043" s="2" t="s">
        <v>39</v>
      </c>
      <c r="T2043" s="2" t="s">
        <v>40</v>
      </c>
      <c r="U2043" s="2" t="s">
        <v>15649</v>
      </c>
      <c r="V2043" s="2"/>
      <c r="W2043" s="2" t="s">
        <v>42</v>
      </c>
      <c r="X2043" s="2" t="s">
        <v>43</v>
      </c>
      <c r="Y2043" s="2" t="s">
        <v>37</v>
      </c>
      <c r="Z2043" s="2" t="s">
        <v>44</v>
      </c>
      <c r="AA2043" s="2"/>
      <c r="AB2043" s="2"/>
      <c r="AC2043" s="2" t="s">
        <v>15650</v>
      </c>
      <c r="AD2043" s="2" t="s">
        <v>46</v>
      </c>
    </row>
    <row r="2044" customFormat="false" ht="15.7" hidden="false" customHeight="true" outlineLevel="0" collapsed="false">
      <c r="A2044" s="2"/>
      <c r="B2044" s="3" t="n">
        <f aca="false">DATE(2012,9,11)</f>
        <v>0</v>
      </c>
      <c r="C2044" s="3" t="n">
        <v>41163</v>
      </c>
      <c r="D2044" s="2" t="s">
        <v>15651</v>
      </c>
      <c r="F2044" s="2" t="s">
        <v>5489</v>
      </c>
      <c r="G2044" s="2" t="s">
        <v>15652</v>
      </c>
      <c r="H2044" s="2" t="s">
        <v>130</v>
      </c>
      <c r="I2044" s="2" t="s">
        <v>15653</v>
      </c>
      <c r="J2044" s="2" t="s">
        <v>35</v>
      </c>
      <c r="K2044" s="2" t="s">
        <v>15654</v>
      </c>
      <c r="L2044" s="2" t="s">
        <v>1904</v>
      </c>
      <c r="M2044" s="2" t="s">
        <v>130</v>
      </c>
      <c r="N2044" s="2" t="s">
        <v>15655</v>
      </c>
      <c r="O2044" s="2"/>
      <c r="P2044" s="2" t="s">
        <v>37</v>
      </c>
      <c r="Q2044" s="4" t="n">
        <v>2836</v>
      </c>
      <c r="R2044" s="2" t="s">
        <v>136</v>
      </c>
      <c r="S2044" s="2" t="s">
        <v>39</v>
      </c>
      <c r="T2044" s="2" t="s">
        <v>40</v>
      </c>
      <c r="U2044" s="2" t="s">
        <v>15656</v>
      </c>
      <c r="V2044" s="2"/>
      <c r="W2044" s="2" t="s">
        <v>5464</v>
      </c>
      <c r="X2044" s="2" t="s">
        <v>43</v>
      </c>
      <c r="Y2044" s="2" t="s">
        <v>37</v>
      </c>
      <c r="Z2044" s="2" t="s">
        <v>44</v>
      </c>
      <c r="AA2044" s="2"/>
      <c r="AB2044" s="2"/>
      <c r="AC2044" s="2" t="s">
        <v>15657</v>
      </c>
      <c r="AD2044" s="2" t="s">
        <v>46</v>
      </c>
    </row>
    <row r="2045" customFormat="false" ht="15.7" hidden="false" customHeight="true" outlineLevel="0" collapsed="false">
      <c r="A2045" s="2"/>
      <c r="B2045" s="3" t="n">
        <f aca="false">DATE(2012,9,12)</f>
        <v>0</v>
      </c>
      <c r="C2045" s="3" t="n">
        <v>41164</v>
      </c>
      <c r="D2045" s="2" t="s">
        <v>15658</v>
      </c>
      <c r="F2045" s="2" t="s">
        <v>15659</v>
      </c>
      <c r="G2045" s="2" t="s">
        <v>15660</v>
      </c>
      <c r="H2045" s="2" t="s">
        <v>2283</v>
      </c>
      <c r="I2045" s="2" t="s">
        <v>51</v>
      </c>
      <c r="J2045" s="2" t="s">
        <v>3854</v>
      </c>
      <c r="K2045" s="2" t="s">
        <v>15658</v>
      </c>
      <c r="L2045" s="2" t="s">
        <v>51</v>
      </c>
      <c r="M2045" s="2" t="s">
        <v>2283</v>
      </c>
      <c r="N2045" s="2" t="s">
        <v>15661</v>
      </c>
      <c r="O2045" s="2"/>
      <c r="P2045" s="2" t="s">
        <v>37</v>
      </c>
      <c r="Q2045" s="4" t="n">
        <v>2836</v>
      </c>
      <c r="R2045" s="2" t="s">
        <v>56</v>
      </c>
      <c r="S2045" s="2" t="s">
        <v>2265</v>
      </c>
      <c r="T2045" s="2" t="s">
        <v>40</v>
      </c>
      <c r="U2045" s="2" t="s">
        <v>15662</v>
      </c>
      <c r="V2045" s="2"/>
      <c r="W2045" s="2" t="s">
        <v>42</v>
      </c>
      <c r="X2045" s="2" t="s">
        <v>43</v>
      </c>
      <c r="Y2045" s="2" t="s">
        <v>37</v>
      </c>
      <c r="Z2045" s="2" t="s">
        <v>44</v>
      </c>
      <c r="AA2045" s="2"/>
      <c r="AB2045" s="2"/>
      <c r="AC2045" s="2" t="s">
        <v>15663</v>
      </c>
      <c r="AD2045" s="2" t="s">
        <v>46</v>
      </c>
    </row>
    <row r="2046" customFormat="false" ht="15.7" hidden="false" customHeight="true" outlineLevel="0" collapsed="false">
      <c r="A2046" s="2"/>
      <c r="B2046" s="3" t="n">
        <f aca="false">DATE(2012,9,13)</f>
        <v>0</v>
      </c>
      <c r="C2046" s="3" t="n">
        <v>41165</v>
      </c>
      <c r="D2046" s="2" t="s">
        <v>15664</v>
      </c>
      <c r="F2046" s="2" t="s">
        <v>15665</v>
      </c>
      <c r="G2046" s="2" t="s">
        <v>15666</v>
      </c>
      <c r="H2046" s="2" t="s">
        <v>4457</v>
      </c>
      <c r="I2046" s="2" t="s">
        <v>51</v>
      </c>
      <c r="J2046" s="2" t="s">
        <v>15667</v>
      </c>
      <c r="K2046" s="2" t="s">
        <v>15664</v>
      </c>
      <c r="L2046" s="2" t="s">
        <v>51</v>
      </c>
      <c r="M2046" s="2" t="s">
        <v>4457</v>
      </c>
      <c r="N2046" s="2" t="s">
        <v>15668</v>
      </c>
      <c r="O2046" s="2"/>
      <c r="P2046" s="2" t="s">
        <v>37</v>
      </c>
      <c r="Q2046" s="4" t="n">
        <v>8731</v>
      </c>
      <c r="R2046" s="2" t="s">
        <v>56</v>
      </c>
      <c r="S2046" s="2" t="s">
        <v>2265</v>
      </c>
      <c r="T2046" s="2" t="s">
        <v>403</v>
      </c>
      <c r="U2046" s="2" t="s">
        <v>15669</v>
      </c>
      <c r="V2046" s="2"/>
      <c r="W2046" s="2" t="s">
        <v>42</v>
      </c>
      <c r="X2046" s="2" t="s">
        <v>43</v>
      </c>
      <c r="Y2046" s="2" t="s">
        <v>37</v>
      </c>
      <c r="Z2046" s="2" t="s">
        <v>44</v>
      </c>
      <c r="AA2046" s="2"/>
      <c r="AB2046" s="2"/>
      <c r="AC2046" s="2" t="s">
        <v>15670</v>
      </c>
      <c r="AD2046" s="2" t="s">
        <v>46</v>
      </c>
    </row>
    <row r="2047" customFormat="false" ht="15.7" hidden="false" customHeight="true" outlineLevel="0" collapsed="false">
      <c r="A2047" s="2"/>
      <c r="B2047" s="3" t="n">
        <f aca="false">DATE(2012,9,14)</f>
        <v>0</v>
      </c>
      <c r="C2047" s="3" t="n">
        <v>41166</v>
      </c>
      <c r="D2047" s="2" t="s">
        <v>15671</v>
      </c>
      <c r="F2047" s="2" t="s">
        <v>15672</v>
      </c>
      <c r="G2047" s="2" t="s">
        <v>15673</v>
      </c>
      <c r="H2047" s="2" t="s">
        <v>15674</v>
      </c>
      <c r="I2047" s="2" t="s">
        <v>321</v>
      </c>
      <c r="J2047" s="2" t="s">
        <v>35</v>
      </c>
      <c r="K2047" s="2" t="s">
        <v>15671</v>
      </c>
      <c r="L2047" s="2" t="s">
        <v>321</v>
      </c>
      <c r="M2047" s="2" t="s">
        <v>15674</v>
      </c>
      <c r="N2047" s="2" t="s">
        <v>15675</v>
      </c>
      <c r="O2047" s="2"/>
      <c r="P2047" s="2" t="s">
        <v>37</v>
      </c>
      <c r="Q2047" s="4" t="n">
        <v>8733</v>
      </c>
      <c r="R2047" s="2" t="s">
        <v>136</v>
      </c>
      <c r="S2047" s="2" t="s">
        <v>39</v>
      </c>
      <c r="T2047" s="2" t="s">
        <v>403</v>
      </c>
      <c r="U2047" s="2" t="s">
        <v>15676</v>
      </c>
      <c r="V2047" s="2"/>
      <c r="W2047" s="2" t="s">
        <v>42</v>
      </c>
      <c r="X2047" s="2" t="s">
        <v>43</v>
      </c>
      <c r="Y2047" s="2" t="s">
        <v>37</v>
      </c>
      <c r="Z2047" s="2" t="s">
        <v>44</v>
      </c>
      <c r="AA2047" s="2"/>
      <c r="AB2047" s="2"/>
      <c r="AC2047" s="2" t="s">
        <v>15677</v>
      </c>
      <c r="AD2047" s="2" t="s">
        <v>46</v>
      </c>
    </row>
    <row r="2048" customFormat="false" ht="15.7" hidden="false" customHeight="true" outlineLevel="0" collapsed="false">
      <c r="A2048" s="2"/>
      <c r="B2048" s="3" t="n">
        <f aca="false">DATE(2012,9,14)</f>
        <v>0</v>
      </c>
      <c r="C2048" s="3" t="n">
        <v>41166</v>
      </c>
      <c r="D2048" s="2" t="s">
        <v>15678</v>
      </c>
      <c r="F2048" s="2" t="s">
        <v>15679</v>
      </c>
      <c r="G2048" s="2" t="s">
        <v>15680</v>
      </c>
      <c r="H2048" s="2" t="s">
        <v>15681</v>
      </c>
      <c r="I2048" s="2" t="s">
        <v>4744</v>
      </c>
      <c r="J2048" s="2" t="s">
        <v>35</v>
      </c>
      <c r="K2048" s="2" t="s">
        <v>15678</v>
      </c>
      <c r="L2048" s="2" t="s">
        <v>4744</v>
      </c>
      <c r="M2048" s="2" t="s">
        <v>15681</v>
      </c>
      <c r="N2048" s="2" t="s">
        <v>15682</v>
      </c>
      <c r="O2048" s="2"/>
      <c r="P2048" s="2" t="s">
        <v>37</v>
      </c>
      <c r="Q2048" s="4" t="n">
        <v>8733</v>
      </c>
      <c r="R2048" s="2" t="s">
        <v>2508</v>
      </c>
      <c r="S2048" s="2" t="s">
        <v>39</v>
      </c>
      <c r="T2048" s="2" t="s">
        <v>403</v>
      </c>
      <c r="U2048" s="2" t="s">
        <v>15683</v>
      </c>
      <c r="V2048" s="2"/>
      <c r="W2048" s="2" t="s">
        <v>42</v>
      </c>
      <c r="X2048" s="2" t="s">
        <v>46</v>
      </c>
      <c r="Y2048" s="2" t="s">
        <v>37</v>
      </c>
      <c r="Z2048" s="2" t="s">
        <v>362</v>
      </c>
      <c r="AA2048" s="2"/>
      <c r="AB2048" s="2"/>
      <c r="AC2048" s="2" t="s">
        <v>15684</v>
      </c>
      <c r="AD2048" s="2" t="s">
        <v>46</v>
      </c>
    </row>
    <row r="2049" customFormat="false" ht="15.7" hidden="false" customHeight="true" outlineLevel="0" collapsed="false">
      <c r="A2049" s="2"/>
      <c r="B2049" s="3" t="n">
        <f aca="false">DATE(2012,9,17)</f>
        <v>0</v>
      </c>
      <c r="C2049" s="3" t="n">
        <v>41169</v>
      </c>
      <c r="D2049" s="2" t="s">
        <v>15685</v>
      </c>
      <c r="F2049" s="2" t="s">
        <v>75</v>
      </c>
      <c r="G2049" s="2" t="s">
        <v>15686</v>
      </c>
      <c r="H2049" s="2" t="s">
        <v>63</v>
      </c>
      <c r="I2049" s="2" t="s">
        <v>51</v>
      </c>
      <c r="J2049" s="2" t="s">
        <v>3854</v>
      </c>
      <c r="K2049" s="2" t="s">
        <v>15685</v>
      </c>
      <c r="L2049" s="2" t="s">
        <v>51</v>
      </c>
      <c r="M2049" s="2" t="s">
        <v>63</v>
      </c>
      <c r="N2049" s="2" t="s">
        <v>15687</v>
      </c>
      <c r="O2049" s="2"/>
      <c r="P2049" s="2" t="s">
        <v>37</v>
      </c>
      <c r="Q2049" s="4" t="n">
        <v>2836</v>
      </c>
      <c r="R2049" s="2" t="s">
        <v>56</v>
      </c>
      <c r="S2049" s="2" t="s">
        <v>2265</v>
      </c>
      <c r="T2049" s="2" t="s">
        <v>40</v>
      </c>
      <c r="U2049" s="2" t="s">
        <v>15688</v>
      </c>
      <c r="V2049" s="2"/>
      <c r="W2049" s="2" t="s">
        <v>42</v>
      </c>
      <c r="X2049" s="2" t="s">
        <v>43</v>
      </c>
      <c r="Y2049" s="2" t="s">
        <v>37</v>
      </c>
      <c r="Z2049" s="2" t="s">
        <v>44</v>
      </c>
      <c r="AA2049" s="2"/>
      <c r="AB2049" s="2"/>
      <c r="AC2049" s="2" t="s">
        <v>15689</v>
      </c>
      <c r="AD2049" s="2" t="s">
        <v>46</v>
      </c>
    </row>
    <row r="2050" customFormat="false" ht="15.7" hidden="false" customHeight="true" outlineLevel="0" collapsed="false">
      <c r="A2050" s="2"/>
      <c r="B2050" s="3" t="n">
        <f aca="false">DATE(2012,9,18)</f>
        <v>0</v>
      </c>
      <c r="C2050" s="3" t="n">
        <v>41170</v>
      </c>
      <c r="D2050" s="2" t="s">
        <v>15690</v>
      </c>
      <c r="F2050" s="2" t="s">
        <v>15691</v>
      </c>
      <c r="G2050" s="2" t="s">
        <v>15692</v>
      </c>
      <c r="H2050" s="2" t="s">
        <v>15693</v>
      </c>
      <c r="I2050" s="2" t="s">
        <v>51</v>
      </c>
      <c r="J2050" s="2" t="s">
        <v>2338</v>
      </c>
      <c r="K2050" s="2" t="s">
        <v>15694</v>
      </c>
      <c r="L2050" s="2" t="s">
        <v>51</v>
      </c>
      <c r="M2050" s="2" t="s">
        <v>15693</v>
      </c>
      <c r="N2050" s="2" t="s">
        <v>15695</v>
      </c>
      <c r="O2050" s="2"/>
      <c r="P2050" s="2" t="s">
        <v>37</v>
      </c>
      <c r="Q2050" s="4" t="n">
        <v>7375</v>
      </c>
      <c r="R2050" s="2" t="s">
        <v>56</v>
      </c>
      <c r="S2050" s="2" t="s">
        <v>2265</v>
      </c>
      <c r="T2050" s="2" t="s">
        <v>40</v>
      </c>
      <c r="U2050" s="2" t="s">
        <v>15696</v>
      </c>
      <c r="V2050" s="2"/>
      <c r="W2050" s="2" t="s">
        <v>15697</v>
      </c>
      <c r="X2050" s="2" t="s">
        <v>43</v>
      </c>
      <c r="Y2050" s="2" t="s">
        <v>37</v>
      </c>
      <c r="Z2050" s="2" t="s">
        <v>44</v>
      </c>
      <c r="AA2050" s="2"/>
      <c r="AB2050" s="2"/>
      <c r="AC2050" s="2" t="s">
        <v>15698</v>
      </c>
      <c r="AD2050" s="2" t="s">
        <v>46</v>
      </c>
    </row>
    <row r="2051" customFormat="false" ht="15.7" hidden="false" customHeight="true" outlineLevel="0" collapsed="false">
      <c r="A2051" s="2"/>
      <c r="B2051" s="3" t="n">
        <f aca="false">DATE(2012,9,20)</f>
        <v>0</v>
      </c>
      <c r="C2051" s="3" t="n">
        <v>41172</v>
      </c>
      <c r="D2051" s="2" t="s">
        <v>15699</v>
      </c>
      <c r="F2051" s="2" t="s">
        <v>11692</v>
      </c>
      <c r="G2051" s="2" t="s">
        <v>15700</v>
      </c>
      <c r="H2051" s="2" t="s">
        <v>5477</v>
      </c>
      <c r="I2051" s="2" t="s">
        <v>1412</v>
      </c>
      <c r="J2051" s="2" t="s">
        <v>6170</v>
      </c>
      <c r="K2051" s="2" t="s">
        <v>15699</v>
      </c>
      <c r="L2051" s="2" t="s">
        <v>1412</v>
      </c>
      <c r="M2051" s="2" t="s">
        <v>5477</v>
      </c>
      <c r="N2051" s="2" t="s">
        <v>15701</v>
      </c>
      <c r="O2051" s="2"/>
      <c r="P2051" s="2" t="s">
        <v>37</v>
      </c>
      <c r="Q2051" s="4" t="n">
        <v>2836</v>
      </c>
      <c r="R2051" s="2" t="s">
        <v>136</v>
      </c>
      <c r="S2051" s="2" t="s">
        <v>39</v>
      </c>
      <c r="T2051" s="2" t="s">
        <v>40</v>
      </c>
      <c r="U2051" s="2" t="s">
        <v>15702</v>
      </c>
      <c r="V2051" s="2"/>
      <c r="W2051" s="2" t="s">
        <v>82</v>
      </c>
      <c r="X2051" s="2" t="s">
        <v>43</v>
      </c>
      <c r="Y2051" s="2" t="s">
        <v>37</v>
      </c>
      <c r="Z2051" s="2" t="s">
        <v>44</v>
      </c>
      <c r="AA2051" s="2"/>
      <c r="AB2051" s="2"/>
      <c r="AC2051" s="2" t="s">
        <v>15703</v>
      </c>
      <c r="AD2051" s="2" t="s">
        <v>46</v>
      </c>
    </row>
    <row r="2052" customFormat="false" ht="15.7" hidden="false" customHeight="true" outlineLevel="0" collapsed="false">
      <c r="A2052" s="2"/>
      <c r="B2052" s="3" t="n">
        <f aca="false">DATE(2012,9,20)</f>
        <v>0</v>
      </c>
      <c r="C2052" s="3" t="n">
        <v>41172</v>
      </c>
      <c r="D2052" s="2" t="s">
        <v>15704</v>
      </c>
      <c r="F2052" s="2" t="s">
        <v>15705</v>
      </c>
      <c r="G2052" s="2" t="s">
        <v>15706</v>
      </c>
      <c r="H2052" s="2" t="s">
        <v>130</v>
      </c>
      <c r="I2052" s="2" t="s">
        <v>568</v>
      </c>
      <c r="J2052" s="2" t="s">
        <v>203</v>
      </c>
      <c r="K2052" s="2" t="s">
        <v>15704</v>
      </c>
      <c r="L2052" s="2" t="s">
        <v>568</v>
      </c>
      <c r="M2052" s="2" t="s">
        <v>130</v>
      </c>
      <c r="N2052" s="2" t="s">
        <v>15707</v>
      </c>
      <c r="O2052" s="2"/>
      <c r="P2052" s="2" t="s">
        <v>37</v>
      </c>
      <c r="Q2052" s="4" t="n">
        <v>2836</v>
      </c>
      <c r="R2052" s="2" t="s">
        <v>136</v>
      </c>
      <c r="S2052" s="2" t="s">
        <v>39</v>
      </c>
      <c r="T2052" s="2" t="s">
        <v>40</v>
      </c>
      <c r="U2052" s="2" t="s">
        <v>15708</v>
      </c>
      <c r="V2052" s="2"/>
      <c r="W2052" s="2" t="s">
        <v>42</v>
      </c>
      <c r="X2052" s="2" t="s">
        <v>43</v>
      </c>
      <c r="Y2052" s="2" t="s">
        <v>37</v>
      </c>
      <c r="Z2052" s="2" t="s">
        <v>44</v>
      </c>
      <c r="AA2052" s="2" t="s">
        <v>15709</v>
      </c>
      <c r="AB2052" s="2"/>
      <c r="AC2052" s="2" t="s">
        <v>15710</v>
      </c>
      <c r="AD2052" s="2" t="s">
        <v>46</v>
      </c>
    </row>
    <row r="2053" customFormat="false" ht="15.7" hidden="false" customHeight="true" outlineLevel="0" collapsed="false">
      <c r="A2053" s="2"/>
      <c r="B2053" s="3" t="n">
        <f aca="false">DATE(2012,9,21)</f>
        <v>0</v>
      </c>
      <c r="C2053" s="3" t="n">
        <v>41173</v>
      </c>
      <c r="D2053" s="2" t="s">
        <v>15711</v>
      </c>
      <c r="F2053" s="2" t="s">
        <v>15712</v>
      </c>
      <c r="G2053" s="2" t="s">
        <v>15713</v>
      </c>
      <c r="H2053" s="2" t="s">
        <v>9318</v>
      </c>
      <c r="I2053" s="2" t="s">
        <v>51</v>
      </c>
      <c r="J2053" s="2" t="s">
        <v>15714</v>
      </c>
      <c r="K2053" s="2" t="s">
        <v>15711</v>
      </c>
      <c r="L2053" s="2" t="s">
        <v>51</v>
      </c>
      <c r="M2053" s="2" t="s">
        <v>9318</v>
      </c>
      <c r="N2053" s="2" t="s">
        <v>15715</v>
      </c>
      <c r="O2053" s="2"/>
      <c r="P2053" s="2" t="s">
        <v>37</v>
      </c>
      <c r="Q2053" s="4" t="n">
        <v>2834</v>
      </c>
      <c r="R2053" s="2" t="s">
        <v>56</v>
      </c>
      <c r="S2053" s="2" t="s">
        <v>2265</v>
      </c>
      <c r="T2053" s="2" t="s">
        <v>40</v>
      </c>
      <c r="U2053" s="2" t="s">
        <v>15716</v>
      </c>
      <c r="V2053" s="2"/>
      <c r="W2053" s="2" t="s">
        <v>42</v>
      </c>
      <c r="X2053" s="2" t="s">
        <v>43</v>
      </c>
      <c r="Y2053" s="2" t="s">
        <v>37</v>
      </c>
      <c r="Z2053" s="2" t="s">
        <v>44</v>
      </c>
      <c r="AA2053" s="2"/>
      <c r="AB2053" s="2"/>
      <c r="AC2053" s="2" t="s">
        <v>15717</v>
      </c>
      <c r="AD2053" s="2" t="s">
        <v>46</v>
      </c>
    </row>
    <row r="2054" customFormat="false" ht="15.7" hidden="false" customHeight="true" outlineLevel="0" collapsed="false">
      <c r="A2054" s="2"/>
      <c r="B2054" s="3" t="n">
        <f aca="false">DATE(2012,9,25)</f>
        <v>0</v>
      </c>
      <c r="C2054" s="3" t="n">
        <v>41177</v>
      </c>
      <c r="D2054" s="2" t="s">
        <v>15718</v>
      </c>
      <c r="F2054" s="2" t="s">
        <v>15719</v>
      </c>
      <c r="G2054" s="2" t="s">
        <v>15720</v>
      </c>
      <c r="H2054" s="2" t="s">
        <v>15721</v>
      </c>
      <c r="I2054" s="2" t="s">
        <v>9955</v>
      </c>
      <c r="J2054" s="2" t="s">
        <v>1983</v>
      </c>
      <c r="K2054" s="2" t="s">
        <v>15722</v>
      </c>
      <c r="L2054" s="2" t="s">
        <v>9955</v>
      </c>
      <c r="M2054" s="2" t="s">
        <v>15723</v>
      </c>
      <c r="N2054" s="2" t="s">
        <v>15724</v>
      </c>
      <c r="O2054" s="2"/>
      <c r="P2054" s="2" t="s">
        <v>37</v>
      </c>
      <c r="Q2054" s="4" t="n">
        <v>3823</v>
      </c>
      <c r="R2054" s="2" t="s">
        <v>136</v>
      </c>
      <c r="S2054" s="2" t="s">
        <v>39</v>
      </c>
      <c r="T2054" s="2" t="s">
        <v>403</v>
      </c>
      <c r="U2054" s="2" t="s">
        <v>15725</v>
      </c>
      <c r="V2054" s="2"/>
      <c r="W2054" s="2" t="s">
        <v>42</v>
      </c>
      <c r="X2054" s="2" t="s">
        <v>43</v>
      </c>
      <c r="Y2054" s="2" t="s">
        <v>37</v>
      </c>
      <c r="Z2054" s="2" t="s">
        <v>44</v>
      </c>
      <c r="AA2054" s="2"/>
      <c r="AB2054" s="2"/>
      <c r="AC2054" s="2" t="s">
        <v>15726</v>
      </c>
      <c r="AD2054" s="2" t="s">
        <v>46</v>
      </c>
    </row>
    <row r="2055" customFormat="false" ht="15.7" hidden="false" customHeight="true" outlineLevel="0" collapsed="false">
      <c r="A2055" s="2"/>
      <c r="B2055" s="3" t="n">
        <f aca="false">DATE(2012,9,26)</f>
        <v>0</v>
      </c>
      <c r="C2055" s="3" t="n">
        <v>41178</v>
      </c>
      <c r="D2055" s="2" t="s">
        <v>15727</v>
      </c>
      <c r="F2055" s="2" t="s">
        <v>15728</v>
      </c>
      <c r="G2055" s="2" t="s">
        <v>15729</v>
      </c>
      <c r="H2055" s="2" t="s">
        <v>15730</v>
      </c>
      <c r="I2055" s="2" t="s">
        <v>12378</v>
      </c>
      <c r="J2055" s="2" t="s">
        <v>35</v>
      </c>
      <c r="K2055" s="2" t="s">
        <v>15727</v>
      </c>
      <c r="L2055" s="2" t="s">
        <v>12378</v>
      </c>
      <c r="M2055" s="2" t="s">
        <v>15730</v>
      </c>
      <c r="N2055" s="2" t="s">
        <v>15731</v>
      </c>
      <c r="O2055" s="2"/>
      <c r="P2055" s="2" t="s">
        <v>37</v>
      </c>
      <c r="Q2055" s="4" t="n">
        <v>8731</v>
      </c>
      <c r="R2055" s="2" t="s">
        <v>450</v>
      </c>
      <c r="S2055" s="2" t="s">
        <v>39</v>
      </c>
      <c r="T2055" s="2" t="s">
        <v>40</v>
      </c>
      <c r="U2055" s="2" t="s">
        <v>15732</v>
      </c>
      <c r="V2055" s="2"/>
      <c r="W2055" s="2" t="s">
        <v>697</v>
      </c>
      <c r="X2055" s="2" t="s">
        <v>46</v>
      </c>
      <c r="Y2055" s="2" t="s">
        <v>37</v>
      </c>
      <c r="Z2055" s="2" t="s">
        <v>2080</v>
      </c>
      <c r="AA2055" s="2"/>
      <c r="AB2055" s="2"/>
      <c r="AC2055" s="2" t="s">
        <v>15733</v>
      </c>
      <c r="AD2055" s="2" t="s">
        <v>46</v>
      </c>
    </row>
    <row r="2056" customFormat="false" ht="15.7" hidden="false" customHeight="true" outlineLevel="0" collapsed="false">
      <c r="A2056" s="2"/>
      <c r="B2056" s="3" t="n">
        <f aca="false">DATE(2012,9,28)</f>
        <v>0</v>
      </c>
      <c r="C2056" s="3" t="n">
        <v>41180</v>
      </c>
      <c r="D2056" s="2" t="s">
        <v>15734</v>
      </c>
      <c r="F2056" s="2" t="s">
        <v>15735</v>
      </c>
      <c r="G2056" s="2" t="s">
        <v>15736</v>
      </c>
      <c r="H2056" s="2" t="s">
        <v>15737</v>
      </c>
      <c r="I2056" s="2" t="s">
        <v>4203</v>
      </c>
      <c r="J2056" s="2" t="s">
        <v>3231</v>
      </c>
      <c r="K2056" s="2" t="s">
        <v>15734</v>
      </c>
      <c r="L2056" s="2" t="s">
        <v>4203</v>
      </c>
      <c r="M2056" s="2" t="s">
        <v>15737</v>
      </c>
      <c r="N2056" s="2" t="s">
        <v>15738</v>
      </c>
      <c r="O2056" s="2"/>
      <c r="P2056" s="2" t="s">
        <v>37</v>
      </c>
      <c r="Q2056" s="4" t="n">
        <v>2869</v>
      </c>
      <c r="R2056" s="2" t="s">
        <v>136</v>
      </c>
      <c r="S2056" s="2" t="s">
        <v>39</v>
      </c>
      <c r="T2056" s="2" t="s">
        <v>40</v>
      </c>
      <c r="U2056" s="2" t="s">
        <v>15739</v>
      </c>
      <c r="V2056" s="2"/>
      <c r="W2056" s="2" t="s">
        <v>42</v>
      </c>
      <c r="X2056" s="2" t="s">
        <v>43</v>
      </c>
      <c r="Y2056" s="2" t="s">
        <v>37</v>
      </c>
      <c r="Z2056" s="2" t="s">
        <v>44</v>
      </c>
      <c r="AA2056" s="2"/>
      <c r="AB2056" s="2"/>
      <c r="AC2056" s="2" t="s">
        <v>15740</v>
      </c>
      <c r="AD2056" s="2" t="s">
        <v>46</v>
      </c>
    </row>
    <row r="2057" customFormat="false" ht="15.7" hidden="false" customHeight="true" outlineLevel="0" collapsed="false">
      <c r="A2057" s="2"/>
      <c r="B2057" s="3" t="n">
        <f aca="false">DATE(2012,10,1)</f>
        <v>0</v>
      </c>
      <c r="C2057" s="3" t="n">
        <v>41183</v>
      </c>
      <c r="D2057" s="2" t="s">
        <v>15741</v>
      </c>
      <c r="F2057" s="2" t="s">
        <v>15742</v>
      </c>
      <c r="G2057" s="2" t="s">
        <v>15743</v>
      </c>
      <c r="H2057" s="2" t="s">
        <v>130</v>
      </c>
      <c r="I2057" s="2" t="s">
        <v>369</v>
      </c>
      <c r="J2057" s="2" t="s">
        <v>35</v>
      </c>
      <c r="K2057" s="2" t="s">
        <v>15744</v>
      </c>
      <c r="L2057" s="2" t="s">
        <v>369</v>
      </c>
      <c r="M2057" s="2" t="s">
        <v>134</v>
      </c>
      <c r="N2057" s="2" t="s">
        <v>15745</v>
      </c>
      <c r="O2057" s="2"/>
      <c r="P2057" s="2" t="s">
        <v>37</v>
      </c>
      <c r="Q2057" s="4" t="n">
        <v>2834</v>
      </c>
      <c r="R2057" s="2" t="s">
        <v>136</v>
      </c>
      <c r="S2057" s="2" t="s">
        <v>39</v>
      </c>
      <c r="T2057" s="2" t="s">
        <v>40</v>
      </c>
      <c r="U2057" s="2" t="s">
        <v>15746</v>
      </c>
      <c r="V2057" s="2"/>
      <c r="W2057" s="2" t="s">
        <v>42</v>
      </c>
      <c r="X2057" s="2" t="s">
        <v>43</v>
      </c>
      <c r="Y2057" s="2" t="s">
        <v>37</v>
      </c>
      <c r="Z2057" s="2" t="s">
        <v>44</v>
      </c>
      <c r="AA2057" s="2" t="s">
        <v>15747</v>
      </c>
      <c r="AB2057" s="2"/>
      <c r="AC2057" s="2" t="s">
        <v>15748</v>
      </c>
      <c r="AD2057" s="2" t="s">
        <v>46</v>
      </c>
    </row>
    <row r="2058" customFormat="false" ht="15.7" hidden="false" customHeight="true" outlineLevel="0" collapsed="false">
      <c r="A2058" s="2"/>
      <c r="B2058" s="3" t="n">
        <f aca="false">DATE(2012,10,2)</f>
        <v>0</v>
      </c>
      <c r="C2058" s="3" t="n">
        <v>41184</v>
      </c>
      <c r="D2058" s="2" t="s">
        <v>15749</v>
      </c>
      <c r="F2058" s="2" t="s">
        <v>15750</v>
      </c>
      <c r="G2058" s="2" t="s">
        <v>15751</v>
      </c>
      <c r="H2058" s="2" t="s">
        <v>1027</v>
      </c>
      <c r="I2058" s="2" t="s">
        <v>296</v>
      </c>
      <c r="J2058" s="2" t="s">
        <v>2088</v>
      </c>
      <c r="K2058" s="2" t="s">
        <v>15749</v>
      </c>
      <c r="L2058" s="2" t="s">
        <v>296</v>
      </c>
      <c r="M2058" s="2" t="s">
        <v>1027</v>
      </c>
      <c r="N2058" s="2" t="s">
        <v>15752</v>
      </c>
      <c r="O2058" s="2"/>
      <c r="P2058" s="2" t="s">
        <v>37</v>
      </c>
      <c r="Q2058" s="4" t="n">
        <v>8731</v>
      </c>
      <c r="R2058" s="2" t="s">
        <v>56</v>
      </c>
      <c r="S2058" s="2" t="s">
        <v>2265</v>
      </c>
      <c r="T2058" s="2" t="s">
        <v>40</v>
      </c>
      <c r="U2058" s="2" t="s">
        <v>15753</v>
      </c>
      <c r="V2058" s="2"/>
      <c r="W2058" s="2" t="s">
        <v>42</v>
      </c>
      <c r="X2058" s="2" t="s">
        <v>43</v>
      </c>
      <c r="Y2058" s="2" t="s">
        <v>37</v>
      </c>
      <c r="Z2058" s="2" t="s">
        <v>44</v>
      </c>
      <c r="AA2058" s="2"/>
      <c r="AB2058" s="2"/>
      <c r="AC2058" s="2" t="s">
        <v>15754</v>
      </c>
      <c r="AD2058" s="2" t="s">
        <v>46</v>
      </c>
    </row>
    <row r="2059" customFormat="false" ht="15.7" hidden="false" customHeight="true" outlineLevel="0" collapsed="false">
      <c r="A2059" s="2"/>
      <c r="B2059" s="3" t="n">
        <f aca="false">DATE(2012,10,2)</f>
        <v>0</v>
      </c>
      <c r="C2059" s="3" t="n">
        <v>41184</v>
      </c>
      <c r="D2059" s="2" t="s">
        <v>15755</v>
      </c>
      <c r="F2059" s="2" t="s">
        <v>1172</v>
      </c>
      <c r="G2059" s="2" t="s">
        <v>15756</v>
      </c>
      <c r="H2059" s="2" t="s">
        <v>63</v>
      </c>
      <c r="I2059" s="2" t="s">
        <v>257</v>
      </c>
      <c r="J2059" s="2" t="s">
        <v>966</v>
      </c>
      <c r="K2059" s="2" t="s">
        <v>15757</v>
      </c>
      <c r="L2059" s="2" t="s">
        <v>257</v>
      </c>
      <c r="M2059" s="2" t="s">
        <v>63</v>
      </c>
      <c r="N2059" s="2" t="s">
        <v>15758</v>
      </c>
      <c r="O2059" s="2"/>
      <c r="P2059" s="2" t="s">
        <v>37</v>
      </c>
      <c r="Q2059" s="4" t="n">
        <v>2833</v>
      </c>
      <c r="R2059" s="2" t="s">
        <v>136</v>
      </c>
      <c r="S2059" s="2" t="s">
        <v>39</v>
      </c>
      <c r="T2059" s="2" t="s">
        <v>403</v>
      </c>
      <c r="U2059" s="2" t="s">
        <v>15759</v>
      </c>
      <c r="V2059" s="2"/>
      <c r="W2059" s="2" t="s">
        <v>42</v>
      </c>
      <c r="X2059" s="2" t="s">
        <v>43</v>
      </c>
      <c r="Y2059" s="2" t="s">
        <v>37</v>
      </c>
      <c r="Z2059" s="2" t="s">
        <v>44</v>
      </c>
      <c r="AA2059" s="2" t="s">
        <v>15760</v>
      </c>
      <c r="AB2059" s="2"/>
      <c r="AC2059" s="2" t="s">
        <v>15761</v>
      </c>
      <c r="AD2059" s="2" t="s">
        <v>46</v>
      </c>
    </row>
    <row r="2060" customFormat="false" ht="15.7" hidden="false" customHeight="true" outlineLevel="0" collapsed="false">
      <c r="A2060" s="2"/>
      <c r="B2060" s="3" t="n">
        <f aca="false">DATE(2012,10,2)</f>
        <v>0</v>
      </c>
      <c r="C2060" s="3" t="n">
        <v>41184</v>
      </c>
      <c r="D2060" s="2" t="s">
        <v>15762</v>
      </c>
      <c r="F2060" s="2" t="s">
        <v>15763</v>
      </c>
      <c r="G2060" s="2" t="s">
        <v>15764</v>
      </c>
      <c r="H2060" s="2" t="s">
        <v>130</v>
      </c>
      <c r="I2060" s="2" t="s">
        <v>1431</v>
      </c>
      <c r="J2060" s="2" t="s">
        <v>65</v>
      </c>
      <c r="K2060" s="2" t="s">
        <v>15765</v>
      </c>
      <c r="L2060" s="2" t="s">
        <v>1431</v>
      </c>
      <c r="M2060" s="2" t="s">
        <v>63</v>
      </c>
      <c r="N2060" s="2" t="s">
        <v>15766</v>
      </c>
      <c r="O2060" s="2"/>
      <c r="P2060" s="2" t="s">
        <v>37</v>
      </c>
      <c r="Q2060" s="4" t="n">
        <v>2836</v>
      </c>
      <c r="R2060" s="2" t="s">
        <v>136</v>
      </c>
      <c r="S2060" s="2" t="s">
        <v>39</v>
      </c>
      <c r="T2060" s="2" t="s">
        <v>40</v>
      </c>
      <c r="U2060" s="2" t="s">
        <v>15767</v>
      </c>
      <c r="V2060" s="2"/>
      <c r="W2060" s="2" t="s">
        <v>5464</v>
      </c>
      <c r="X2060" s="2" t="s">
        <v>43</v>
      </c>
      <c r="Y2060" s="2" t="s">
        <v>37</v>
      </c>
      <c r="Z2060" s="2" t="s">
        <v>44</v>
      </c>
      <c r="AA2060" s="2"/>
      <c r="AB2060" s="2"/>
      <c r="AC2060" s="2" t="s">
        <v>15768</v>
      </c>
      <c r="AD2060" s="2" t="s">
        <v>46</v>
      </c>
    </row>
    <row r="2061" customFormat="false" ht="15.7" hidden="false" customHeight="true" outlineLevel="0" collapsed="false">
      <c r="A2061" s="2"/>
      <c r="B2061" s="3" t="n">
        <f aca="false">DATE(2012,10,2)</f>
        <v>0</v>
      </c>
      <c r="C2061" s="3" t="n">
        <v>41184</v>
      </c>
      <c r="D2061" s="2" t="s">
        <v>15769</v>
      </c>
      <c r="F2061" s="2" t="s">
        <v>9152</v>
      </c>
      <c r="G2061" s="2" t="s">
        <v>15770</v>
      </c>
      <c r="H2061" s="2" t="s">
        <v>170</v>
      </c>
      <c r="I2061" s="2" t="s">
        <v>10247</v>
      </c>
      <c r="J2061" s="2" t="s">
        <v>35</v>
      </c>
      <c r="K2061" s="2" t="s">
        <v>15769</v>
      </c>
      <c r="L2061" s="2" t="s">
        <v>10247</v>
      </c>
      <c r="M2061" s="2" t="s">
        <v>170</v>
      </c>
      <c r="N2061" s="2" t="s">
        <v>15771</v>
      </c>
      <c r="O2061" s="2"/>
      <c r="P2061" s="2" t="s">
        <v>37</v>
      </c>
      <c r="Q2061" s="4" t="n">
        <v>8731</v>
      </c>
      <c r="R2061" s="2" t="s">
        <v>869</v>
      </c>
      <c r="S2061" s="2" t="s">
        <v>39</v>
      </c>
      <c r="T2061" s="2" t="s">
        <v>2444</v>
      </c>
      <c r="U2061" s="2" t="s">
        <v>15772</v>
      </c>
      <c r="V2061" s="2"/>
      <c r="W2061" s="2" t="s">
        <v>15773</v>
      </c>
      <c r="X2061" s="2" t="s">
        <v>43</v>
      </c>
      <c r="Y2061" s="2" t="s">
        <v>37</v>
      </c>
      <c r="Z2061" s="2" t="s">
        <v>44</v>
      </c>
      <c r="AA2061" s="2"/>
      <c r="AB2061" s="2"/>
      <c r="AC2061" s="2" t="s">
        <v>15774</v>
      </c>
      <c r="AD2061" s="2" t="s">
        <v>46</v>
      </c>
    </row>
    <row r="2062" customFormat="false" ht="15.7" hidden="false" customHeight="true" outlineLevel="0" collapsed="false">
      <c r="A2062" s="2"/>
      <c r="B2062" s="3" t="n">
        <f aca="false">DATE(2012,10,3)</f>
        <v>0</v>
      </c>
      <c r="C2062" s="3" t="n">
        <v>41185</v>
      </c>
      <c r="D2062" s="2" t="s">
        <v>15775</v>
      </c>
      <c r="F2062" s="2" t="s">
        <v>15776</v>
      </c>
      <c r="G2062" s="2" t="s">
        <v>15777</v>
      </c>
      <c r="H2062" s="2" t="s">
        <v>5724</v>
      </c>
      <c r="I2062" s="2" t="s">
        <v>2850</v>
      </c>
      <c r="J2062" s="2" t="s">
        <v>35</v>
      </c>
      <c r="K2062" s="2" t="s">
        <v>15778</v>
      </c>
      <c r="L2062" s="2" t="s">
        <v>2850</v>
      </c>
      <c r="M2062" s="2" t="s">
        <v>1749</v>
      </c>
      <c r="N2062" s="2" t="s">
        <v>15779</v>
      </c>
      <c r="O2062" s="2"/>
      <c r="P2062" s="2" t="s">
        <v>37</v>
      </c>
      <c r="Q2062" s="4" t="n">
        <v>2836</v>
      </c>
      <c r="R2062" s="2" t="s">
        <v>136</v>
      </c>
      <c r="S2062" s="2" t="s">
        <v>39</v>
      </c>
      <c r="T2062" s="2" t="s">
        <v>403</v>
      </c>
      <c r="U2062" s="2" t="s">
        <v>15780</v>
      </c>
      <c r="V2062" s="2"/>
      <c r="W2062" s="2" t="s">
        <v>42</v>
      </c>
      <c r="X2062" s="2" t="s">
        <v>43</v>
      </c>
      <c r="Y2062" s="2" t="s">
        <v>37</v>
      </c>
      <c r="Z2062" s="2" t="s">
        <v>44</v>
      </c>
      <c r="AA2062" s="2"/>
      <c r="AB2062" s="2"/>
      <c r="AC2062" s="2" t="s">
        <v>15781</v>
      </c>
      <c r="AD2062" s="2" t="s">
        <v>46</v>
      </c>
    </row>
    <row r="2063" customFormat="false" ht="15.7" hidden="false" customHeight="true" outlineLevel="0" collapsed="false">
      <c r="A2063" s="2"/>
      <c r="B2063" s="3" t="n">
        <f aca="false">DATE(2012,10,3)</f>
        <v>0</v>
      </c>
      <c r="C2063" s="3" t="n">
        <v>41185</v>
      </c>
      <c r="D2063" s="2" t="s">
        <v>15782</v>
      </c>
      <c r="F2063" s="2" t="s">
        <v>4184</v>
      </c>
      <c r="G2063" s="2" t="s">
        <v>15783</v>
      </c>
      <c r="H2063" s="2" t="s">
        <v>305</v>
      </c>
      <c r="I2063" s="2" t="s">
        <v>12378</v>
      </c>
      <c r="J2063" s="2" t="s">
        <v>35</v>
      </c>
      <c r="K2063" s="2" t="s">
        <v>15784</v>
      </c>
      <c r="L2063" s="2" t="s">
        <v>12378</v>
      </c>
      <c r="M2063" s="2" t="s">
        <v>551</v>
      </c>
      <c r="N2063" s="2" t="s">
        <v>15785</v>
      </c>
      <c r="O2063" s="2"/>
      <c r="P2063" s="2" t="s">
        <v>37</v>
      </c>
      <c r="Q2063" s="4" t="n">
        <v>2836</v>
      </c>
      <c r="R2063" s="2" t="s">
        <v>136</v>
      </c>
      <c r="S2063" s="2" t="s">
        <v>39</v>
      </c>
      <c r="T2063" s="2" t="s">
        <v>40</v>
      </c>
      <c r="U2063" s="2" t="s">
        <v>15786</v>
      </c>
      <c r="V2063" s="2"/>
      <c r="W2063" s="2" t="s">
        <v>2209</v>
      </c>
      <c r="X2063" s="2" t="s">
        <v>43</v>
      </c>
      <c r="Y2063" s="2" t="s">
        <v>37</v>
      </c>
      <c r="Z2063" s="2" t="s">
        <v>44</v>
      </c>
      <c r="AA2063" s="2" t="s">
        <v>15787</v>
      </c>
      <c r="AB2063" s="2"/>
      <c r="AC2063" s="2" t="s">
        <v>15788</v>
      </c>
      <c r="AD2063" s="2" t="s">
        <v>46</v>
      </c>
    </row>
    <row r="2064" customFormat="false" ht="15.7" hidden="false" customHeight="true" outlineLevel="0" collapsed="false">
      <c r="A2064" s="2"/>
      <c r="B2064" s="3" t="n">
        <f aca="false">DATE(2012,10,3)</f>
        <v>0</v>
      </c>
      <c r="C2064" s="3" t="n">
        <v>41185</v>
      </c>
      <c r="D2064" s="2" t="s">
        <v>15789</v>
      </c>
      <c r="F2064" s="2" t="s">
        <v>11364</v>
      </c>
      <c r="G2064" s="2" t="s">
        <v>15790</v>
      </c>
      <c r="H2064" s="2" t="s">
        <v>130</v>
      </c>
      <c r="I2064" s="2" t="s">
        <v>51</v>
      </c>
      <c r="J2064" s="2" t="s">
        <v>15791</v>
      </c>
      <c r="K2064" s="2" t="s">
        <v>15789</v>
      </c>
      <c r="L2064" s="2" t="s">
        <v>51</v>
      </c>
      <c r="M2064" s="2" t="s">
        <v>130</v>
      </c>
      <c r="N2064" s="2" t="s">
        <v>15792</v>
      </c>
      <c r="O2064" s="2"/>
      <c r="P2064" s="2" t="s">
        <v>37</v>
      </c>
      <c r="Q2064" s="4" t="n">
        <v>2836</v>
      </c>
      <c r="R2064" s="2" t="s">
        <v>136</v>
      </c>
      <c r="S2064" s="2" t="s">
        <v>39</v>
      </c>
      <c r="T2064" s="2" t="s">
        <v>403</v>
      </c>
      <c r="U2064" s="2" t="s">
        <v>15793</v>
      </c>
      <c r="V2064" s="2"/>
      <c r="W2064" s="2" t="s">
        <v>42</v>
      </c>
      <c r="X2064" s="2" t="s">
        <v>43</v>
      </c>
      <c r="Y2064" s="2" t="s">
        <v>37</v>
      </c>
      <c r="Z2064" s="2" t="s">
        <v>44</v>
      </c>
      <c r="AA2064" s="2" t="s">
        <v>15794</v>
      </c>
      <c r="AB2064" s="2"/>
      <c r="AC2064" s="2" t="s">
        <v>15795</v>
      </c>
      <c r="AD2064" s="2" t="s">
        <v>46</v>
      </c>
    </row>
    <row r="2065" customFormat="false" ht="15.7" hidden="false" customHeight="true" outlineLevel="0" collapsed="false">
      <c r="A2065" s="2"/>
      <c r="B2065" s="3" t="n">
        <f aca="false">DATE(2012,10,4)</f>
        <v>0</v>
      </c>
      <c r="C2065" s="3" t="n">
        <v>41186</v>
      </c>
      <c r="D2065" s="2" t="s">
        <v>15796</v>
      </c>
      <c r="F2065" s="2" t="s">
        <v>15797</v>
      </c>
      <c r="G2065" s="2" t="s">
        <v>15798</v>
      </c>
      <c r="H2065" s="2" t="s">
        <v>15799</v>
      </c>
      <c r="I2065" s="2" t="s">
        <v>51</v>
      </c>
      <c r="J2065" s="2" t="s">
        <v>15800</v>
      </c>
      <c r="K2065" s="2" t="s">
        <v>15801</v>
      </c>
      <c r="L2065" s="2" t="s">
        <v>51</v>
      </c>
      <c r="M2065" s="2" t="s">
        <v>2832</v>
      </c>
      <c r="N2065" s="2" t="s">
        <v>15802</v>
      </c>
      <c r="O2065" s="2"/>
      <c r="P2065" s="2" t="s">
        <v>37</v>
      </c>
      <c r="Q2065" s="4" t="n">
        <v>8731</v>
      </c>
      <c r="R2065" s="2" t="s">
        <v>56</v>
      </c>
      <c r="S2065" s="2" t="s">
        <v>2265</v>
      </c>
      <c r="T2065" s="2" t="s">
        <v>403</v>
      </c>
      <c r="U2065" s="2" t="s">
        <v>15803</v>
      </c>
      <c r="V2065" s="2"/>
      <c r="W2065" s="2" t="s">
        <v>42</v>
      </c>
      <c r="X2065" s="2" t="s">
        <v>43</v>
      </c>
      <c r="Y2065" s="2" t="s">
        <v>37</v>
      </c>
      <c r="Z2065" s="2" t="s">
        <v>44</v>
      </c>
      <c r="AA2065" s="2"/>
      <c r="AB2065" s="2"/>
      <c r="AC2065" s="2" t="s">
        <v>15804</v>
      </c>
      <c r="AD2065" s="2" t="s">
        <v>46</v>
      </c>
    </row>
    <row r="2066" customFormat="false" ht="15.7" hidden="false" customHeight="true" outlineLevel="0" collapsed="false">
      <c r="A2066" s="2"/>
      <c r="B2066" s="3" t="n">
        <f aca="false">DATE(2012,10,5)</f>
        <v>0</v>
      </c>
      <c r="C2066" s="3" t="n">
        <v>41187</v>
      </c>
      <c r="D2066" s="2" t="s">
        <v>15805</v>
      </c>
      <c r="F2066" s="2" t="s">
        <v>256</v>
      </c>
      <c r="G2066" s="2" t="s">
        <v>15806</v>
      </c>
      <c r="H2066" s="2" t="s">
        <v>170</v>
      </c>
      <c r="I2066" s="2" t="s">
        <v>2590</v>
      </c>
      <c r="J2066" s="2" t="s">
        <v>35</v>
      </c>
      <c r="K2066" s="2" t="s">
        <v>15805</v>
      </c>
      <c r="L2066" s="2" t="s">
        <v>2590</v>
      </c>
      <c r="M2066" s="2" t="s">
        <v>170</v>
      </c>
      <c r="N2066" s="2" t="s">
        <v>15807</v>
      </c>
      <c r="O2066" s="2" t="s">
        <v>15808</v>
      </c>
      <c r="P2066" s="2" t="s">
        <v>37</v>
      </c>
      <c r="Q2066" s="4" t="n">
        <v>8731</v>
      </c>
      <c r="R2066" s="2" t="s">
        <v>402</v>
      </c>
      <c r="S2066" s="2" t="s">
        <v>39</v>
      </c>
      <c r="T2066" s="2" t="s">
        <v>40</v>
      </c>
      <c r="U2066" s="2" t="s">
        <v>15809</v>
      </c>
      <c r="V2066" s="2"/>
      <c r="W2066" s="2" t="s">
        <v>697</v>
      </c>
      <c r="X2066" s="2" t="s">
        <v>46</v>
      </c>
      <c r="Y2066" s="2" t="s">
        <v>37</v>
      </c>
      <c r="Z2066" s="2" t="s">
        <v>987</v>
      </c>
      <c r="AA2066" s="2"/>
      <c r="AB2066" s="2" t="s">
        <v>15810</v>
      </c>
      <c r="AC2066" s="2" t="s">
        <v>15811</v>
      </c>
      <c r="AD2066" s="2" t="s">
        <v>46</v>
      </c>
    </row>
    <row r="2067" customFormat="false" ht="15.7" hidden="false" customHeight="true" outlineLevel="0" collapsed="false">
      <c r="A2067" s="2"/>
      <c r="B2067" s="3" t="n">
        <f aca="false">DATE(2012,10,8)</f>
        <v>0</v>
      </c>
      <c r="C2067" s="3" t="n">
        <v>41190</v>
      </c>
      <c r="D2067" s="2" t="s">
        <v>15812</v>
      </c>
      <c r="F2067" s="2" t="s">
        <v>15813</v>
      </c>
      <c r="G2067" s="2" t="s">
        <v>15814</v>
      </c>
      <c r="H2067" s="2" t="s">
        <v>63</v>
      </c>
      <c r="I2067" s="2" t="s">
        <v>202</v>
      </c>
      <c r="J2067" s="2" t="s">
        <v>65</v>
      </c>
      <c r="K2067" s="2" t="s">
        <v>15815</v>
      </c>
      <c r="L2067" s="2" t="s">
        <v>202</v>
      </c>
      <c r="M2067" s="2" t="s">
        <v>63</v>
      </c>
      <c r="N2067" s="2" t="s">
        <v>15816</v>
      </c>
      <c r="O2067" s="2"/>
      <c r="P2067" s="2" t="s">
        <v>37</v>
      </c>
      <c r="Q2067" s="4" t="n">
        <v>8731</v>
      </c>
      <c r="R2067" s="2" t="s">
        <v>136</v>
      </c>
      <c r="S2067" s="2" t="s">
        <v>39</v>
      </c>
      <c r="T2067" s="2" t="s">
        <v>40</v>
      </c>
      <c r="U2067" s="2" t="s">
        <v>15817</v>
      </c>
      <c r="V2067" s="2"/>
      <c r="W2067" s="2" t="s">
        <v>42</v>
      </c>
      <c r="X2067" s="2" t="s">
        <v>43</v>
      </c>
      <c r="Y2067" s="2" t="s">
        <v>37</v>
      </c>
      <c r="Z2067" s="2" t="s">
        <v>44</v>
      </c>
      <c r="AA2067" s="2"/>
      <c r="AB2067" s="2"/>
      <c r="AC2067" s="2" t="s">
        <v>15818</v>
      </c>
      <c r="AD2067" s="2" t="s">
        <v>46</v>
      </c>
    </row>
    <row r="2068" customFormat="false" ht="15.7" hidden="false" customHeight="true" outlineLevel="0" collapsed="false">
      <c r="A2068" s="2"/>
      <c r="B2068" s="3" t="n">
        <f aca="false">DATE(2012,10,9)</f>
        <v>0</v>
      </c>
      <c r="C2068" s="3" t="n">
        <v>41191</v>
      </c>
      <c r="D2068" s="2" t="s">
        <v>15819</v>
      </c>
      <c r="F2068" s="2" t="s">
        <v>15820</v>
      </c>
      <c r="G2068" s="2" t="s">
        <v>15821</v>
      </c>
      <c r="H2068" s="2" t="s">
        <v>5724</v>
      </c>
      <c r="I2068" s="2" t="s">
        <v>965</v>
      </c>
      <c r="J2068" s="2" t="s">
        <v>331</v>
      </c>
      <c r="K2068" s="2" t="s">
        <v>15819</v>
      </c>
      <c r="L2068" s="2" t="s">
        <v>965</v>
      </c>
      <c r="M2068" s="2" t="s">
        <v>5724</v>
      </c>
      <c r="N2068" s="2" t="s">
        <v>15822</v>
      </c>
      <c r="O2068" s="2"/>
      <c r="P2068" s="2" t="s">
        <v>37</v>
      </c>
      <c r="Q2068" s="4" t="n">
        <v>8731</v>
      </c>
      <c r="R2068" s="2" t="s">
        <v>136</v>
      </c>
      <c r="S2068" s="2" t="s">
        <v>39</v>
      </c>
      <c r="T2068" s="2" t="s">
        <v>403</v>
      </c>
      <c r="U2068" s="2" t="s">
        <v>15823</v>
      </c>
      <c r="V2068" s="2"/>
      <c r="W2068" s="2" t="s">
        <v>42</v>
      </c>
      <c r="X2068" s="2" t="s">
        <v>43</v>
      </c>
      <c r="Y2068" s="2" t="s">
        <v>37</v>
      </c>
      <c r="Z2068" s="2" t="s">
        <v>44</v>
      </c>
      <c r="AA2068" s="2"/>
      <c r="AB2068" s="2"/>
      <c r="AC2068" s="2" t="s">
        <v>15824</v>
      </c>
      <c r="AD2068" s="2" t="s">
        <v>46</v>
      </c>
    </row>
    <row r="2069" customFormat="false" ht="15.7" hidden="false" customHeight="true" outlineLevel="0" collapsed="false">
      <c r="A2069" s="2"/>
      <c r="B2069" s="3" t="n">
        <f aca="false">DATE(2012,10,9)</f>
        <v>0</v>
      </c>
      <c r="C2069" s="3" t="n">
        <v>41191</v>
      </c>
      <c r="D2069" s="2" t="s">
        <v>15825</v>
      </c>
      <c r="F2069" s="2" t="s">
        <v>15826</v>
      </c>
      <c r="G2069" s="2" t="s">
        <v>15827</v>
      </c>
      <c r="H2069" s="2" t="s">
        <v>15828</v>
      </c>
      <c r="I2069" s="2" t="s">
        <v>8272</v>
      </c>
      <c r="J2069" s="2" t="s">
        <v>15829</v>
      </c>
      <c r="K2069" s="2" t="s">
        <v>15830</v>
      </c>
      <c r="L2069" s="2" t="s">
        <v>8272</v>
      </c>
      <c r="M2069" s="2" t="s">
        <v>15828</v>
      </c>
      <c r="N2069" s="2" t="s">
        <v>15831</v>
      </c>
      <c r="O2069" s="2"/>
      <c r="P2069" s="2" t="s">
        <v>37</v>
      </c>
      <c r="Q2069" s="4" t="n">
        <v>8734</v>
      </c>
      <c r="R2069" s="2" t="s">
        <v>15832</v>
      </c>
      <c r="S2069" s="2" t="s">
        <v>39</v>
      </c>
      <c r="T2069" s="2" t="s">
        <v>403</v>
      </c>
      <c r="U2069" s="2" t="s">
        <v>15833</v>
      </c>
      <c r="V2069" s="2"/>
      <c r="W2069" s="2" t="s">
        <v>344</v>
      </c>
      <c r="X2069" s="2" t="s">
        <v>43</v>
      </c>
      <c r="Y2069" s="2" t="s">
        <v>37</v>
      </c>
      <c r="Z2069" s="2" t="s">
        <v>44</v>
      </c>
      <c r="AA2069" s="2"/>
      <c r="AB2069" s="2"/>
      <c r="AC2069" s="2" t="s">
        <v>15834</v>
      </c>
      <c r="AD2069" s="2" t="s">
        <v>46</v>
      </c>
    </row>
    <row r="2070" customFormat="false" ht="15.7" hidden="false" customHeight="true" outlineLevel="0" collapsed="false">
      <c r="A2070" s="2"/>
      <c r="B2070" s="3" t="n">
        <f aca="false">DATE(2012,10,9)</f>
        <v>0</v>
      </c>
      <c r="C2070" s="3" t="n">
        <v>41191</v>
      </c>
      <c r="D2070" s="2" t="s">
        <v>15835</v>
      </c>
      <c r="F2070" s="2" t="s">
        <v>15836</v>
      </c>
      <c r="G2070" s="2" t="s">
        <v>15837</v>
      </c>
      <c r="H2070" s="2" t="s">
        <v>15838</v>
      </c>
      <c r="I2070" s="2" t="s">
        <v>2530</v>
      </c>
      <c r="J2070" s="2" t="s">
        <v>15839</v>
      </c>
      <c r="K2070" s="2" t="s">
        <v>15840</v>
      </c>
      <c r="L2070" s="2" t="s">
        <v>10169</v>
      </c>
      <c r="M2070" s="2" t="s">
        <v>15841</v>
      </c>
      <c r="N2070" s="2" t="s">
        <v>15842</v>
      </c>
      <c r="O2070" s="2"/>
      <c r="P2070" s="2" t="s">
        <v>37</v>
      </c>
      <c r="Q2070" s="4" t="n">
        <v>8731</v>
      </c>
      <c r="R2070" s="2" t="s">
        <v>56</v>
      </c>
      <c r="S2070" s="2" t="s">
        <v>2265</v>
      </c>
      <c r="T2070" s="2" t="s">
        <v>40</v>
      </c>
      <c r="U2070" s="2" t="s">
        <v>15843</v>
      </c>
      <c r="V2070" s="2"/>
      <c r="W2070" s="2" t="s">
        <v>42</v>
      </c>
      <c r="X2070" s="2" t="s">
        <v>43</v>
      </c>
      <c r="Y2070" s="2" t="s">
        <v>37</v>
      </c>
      <c r="Z2070" s="2" t="s">
        <v>916</v>
      </c>
      <c r="AA2070" s="2"/>
      <c r="AB2070" s="2"/>
      <c r="AC2070" s="2" t="s">
        <v>15844</v>
      </c>
      <c r="AD2070" s="2" t="s">
        <v>46</v>
      </c>
    </row>
    <row r="2071" customFormat="false" ht="15.7" hidden="false" customHeight="true" outlineLevel="0" collapsed="false">
      <c r="A2071" s="2"/>
      <c r="B2071" s="3" t="n">
        <f aca="false">DATE(2012,10,10)</f>
        <v>0</v>
      </c>
      <c r="C2071" s="3" t="n">
        <v>41192</v>
      </c>
      <c r="D2071" s="2" t="s">
        <v>15845</v>
      </c>
      <c r="F2071" s="2" t="s">
        <v>11781</v>
      </c>
      <c r="G2071" s="2" t="s">
        <v>15846</v>
      </c>
      <c r="H2071" s="2" t="s">
        <v>305</v>
      </c>
      <c r="I2071" s="2" t="s">
        <v>51</v>
      </c>
      <c r="J2071" s="2" t="s">
        <v>15847</v>
      </c>
      <c r="K2071" s="2" t="s">
        <v>15845</v>
      </c>
      <c r="L2071" s="2" t="s">
        <v>51</v>
      </c>
      <c r="M2071" s="2" t="s">
        <v>305</v>
      </c>
      <c r="N2071" s="2" t="s">
        <v>15848</v>
      </c>
      <c r="O2071" s="2"/>
      <c r="P2071" s="2" t="s">
        <v>37</v>
      </c>
      <c r="Q2071" s="4" t="n">
        <v>2836</v>
      </c>
      <c r="R2071" s="2" t="s">
        <v>56</v>
      </c>
      <c r="S2071" s="2" t="s">
        <v>2265</v>
      </c>
      <c r="T2071" s="2" t="s">
        <v>40</v>
      </c>
      <c r="U2071" s="2" t="s">
        <v>15849</v>
      </c>
      <c r="V2071" s="2"/>
      <c r="W2071" s="2" t="s">
        <v>697</v>
      </c>
      <c r="X2071" s="2" t="s">
        <v>43</v>
      </c>
      <c r="Y2071" s="2" t="s">
        <v>37</v>
      </c>
      <c r="Z2071" s="2" t="s">
        <v>44</v>
      </c>
      <c r="AA2071" s="2"/>
      <c r="AB2071" s="2"/>
      <c r="AC2071" s="2" t="s">
        <v>15850</v>
      </c>
      <c r="AD2071" s="2" t="s">
        <v>46</v>
      </c>
    </row>
    <row r="2072" customFormat="false" ht="15.7" hidden="false" customHeight="true" outlineLevel="0" collapsed="false">
      <c r="A2072" s="2"/>
      <c r="B2072" s="3" t="n">
        <f aca="false">DATE(2012,10,11)</f>
        <v>0</v>
      </c>
      <c r="C2072" s="3" t="n">
        <v>41193</v>
      </c>
      <c r="D2072" s="2" t="s">
        <v>15851</v>
      </c>
      <c r="F2072" s="2" t="s">
        <v>15852</v>
      </c>
      <c r="G2072" s="2" t="s">
        <v>15853</v>
      </c>
      <c r="H2072" s="2" t="s">
        <v>15854</v>
      </c>
      <c r="I2072" s="2" t="s">
        <v>51</v>
      </c>
      <c r="J2072" s="2" t="s">
        <v>4995</v>
      </c>
      <c r="K2072" s="2" t="s">
        <v>15855</v>
      </c>
      <c r="L2072" s="2" t="s">
        <v>51</v>
      </c>
      <c r="M2072" s="2" t="s">
        <v>15856</v>
      </c>
      <c r="N2072" s="2" t="s">
        <v>15857</v>
      </c>
      <c r="O2072" s="2"/>
      <c r="P2072" s="2" t="s">
        <v>37</v>
      </c>
      <c r="Q2072" s="4" t="n">
        <v>3569</v>
      </c>
      <c r="R2072" s="2" t="s">
        <v>56</v>
      </c>
      <c r="S2072" s="2" t="s">
        <v>2265</v>
      </c>
      <c r="T2072" s="2" t="s">
        <v>403</v>
      </c>
      <c r="U2072" s="2" t="s">
        <v>15858</v>
      </c>
      <c r="V2072" s="2"/>
      <c r="W2072" s="2" t="s">
        <v>138</v>
      </c>
      <c r="X2072" s="2" t="s">
        <v>46</v>
      </c>
      <c r="Y2072" s="2" t="s">
        <v>37</v>
      </c>
      <c r="Z2072" s="2" t="s">
        <v>362</v>
      </c>
      <c r="AA2072" s="2"/>
      <c r="AB2072" s="2"/>
      <c r="AC2072" s="2" t="s">
        <v>15859</v>
      </c>
      <c r="AD2072" s="2" t="s">
        <v>46</v>
      </c>
    </row>
    <row r="2073" customFormat="false" ht="15.7" hidden="false" customHeight="true" outlineLevel="0" collapsed="false">
      <c r="A2073" s="2"/>
      <c r="B2073" s="3" t="n">
        <f aca="false">DATE(2012,10,15)</f>
        <v>0</v>
      </c>
      <c r="C2073" s="3" t="n">
        <v>41197</v>
      </c>
      <c r="D2073" s="2" t="s">
        <v>15860</v>
      </c>
      <c r="F2073" s="2" t="s">
        <v>15861</v>
      </c>
      <c r="G2073" s="2" t="s">
        <v>15862</v>
      </c>
      <c r="H2073" s="2" t="s">
        <v>15863</v>
      </c>
      <c r="I2073" s="2" t="s">
        <v>1973</v>
      </c>
      <c r="J2073" s="2" t="s">
        <v>35</v>
      </c>
      <c r="K2073" s="2" t="s">
        <v>15860</v>
      </c>
      <c r="L2073" s="2" t="s">
        <v>1973</v>
      </c>
      <c r="M2073" s="2" t="s">
        <v>15863</v>
      </c>
      <c r="N2073" s="2" t="s">
        <v>15864</v>
      </c>
      <c r="O2073" s="2"/>
      <c r="P2073" s="2" t="s">
        <v>37</v>
      </c>
      <c r="Q2073" s="4" t="n">
        <v>4911</v>
      </c>
      <c r="R2073" s="2" t="s">
        <v>136</v>
      </c>
      <c r="S2073" s="2" t="s">
        <v>39</v>
      </c>
      <c r="T2073" s="2" t="s">
        <v>40</v>
      </c>
      <c r="U2073" s="2" t="s">
        <v>15865</v>
      </c>
      <c r="V2073" s="2"/>
      <c r="W2073" s="2" t="s">
        <v>14343</v>
      </c>
      <c r="X2073" s="2" t="s">
        <v>43</v>
      </c>
      <c r="Y2073" s="2" t="s">
        <v>37</v>
      </c>
      <c r="Z2073" s="2" t="s">
        <v>44</v>
      </c>
      <c r="AA2073" s="2"/>
      <c r="AB2073" s="2"/>
      <c r="AC2073" s="2" t="s">
        <v>15866</v>
      </c>
      <c r="AD2073" s="2" t="s">
        <v>46</v>
      </c>
    </row>
    <row r="2074" customFormat="false" ht="15.7" hidden="false" customHeight="true" outlineLevel="0" collapsed="false">
      <c r="A2074" s="2"/>
      <c r="B2074" s="3" t="n">
        <f aca="false">DATE(2012,10,15)</f>
        <v>0</v>
      </c>
      <c r="C2074" s="3" t="n">
        <v>41197</v>
      </c>
      <c r="D2074" s="2" t="s">
        <v>12702</v>
      </c>
      <c r="F2074" s="2" t="s">
        <v>12703</v>
      </c>
      <c r="G2074" s="2" t="s">
        <v>12704</v>
      </c>
      <c r="H2074" s="2" t="s">
        <v>12705</v>
      </c>
      <c r="I2074" s="2" t="s">
        <v>388</v>
      </c>
      <c r="J2074" s="2" t="s">
        <v>203</v>
      </c>
      <c r="K2074" s="2" t="s">
        <v>12706</v>
      </c>
      <c r="L2074" s="2" t="s">
        <v>388</v>
      </c>
      <c r="M2074" s="2" t="s">
        <v>12705</v>
      </c>
      <c r="N2074" s="2" t="s">
        <v>12707</v>
      </c>
      <c r="O2074" s="2"/>
      <c r="P2074" s="2" t="s">
        <v>37</v>
      </c>
      <c r="Q2074" s="4" t="n">
        <v>2836</v>
      </c>
      <c r="R2074" s="2" t="s">
        <v>136</v>
      </c>
      <c r="S2074" s="2" t="s">
        <v>39</v>
      </c>
      <c r="T2074" s="2" t="s">
        <v>403</v>
      </c>
      <c r="U2074" s="2" t="s">
        <v>15867</v>
      </c>
      <c r="V2074" s="2"/>
      <c r="W2074" s="2" t="s">
        <v>42</v>
      </c>
      <c r="X2074" s="2" t="s">
        <v>43</v>
      </c>
      <c r="Y2074" s="2" t="s">
        <v>37</v>
      </c>
      <c r="Z2074" s="2" t="s">
        <v>44</v>
      </c>
      <c r="AA2074" s="2"/>
      <c r="AB2074" s="2"/>
      <c r="AC2074" s="2" t="s">
        <v>12709</v>
      </c>
      <c r="AD2074" s="2" t="s">
        <v>46</v>
      </c>
    </row>
    <row r="2075" customFormat="false" ht="15.7" hidden="false" customHeight="true" outlineLevel="0" collapsed="false">
      <c r="A2075" s="2"/>
      <c r="B2075" s="3" t="n">
        <f aca="false">DATE(2012,10,16)</f>
        <v>0</v>
      </c>
      <c r="C2075" s="3" t="n">
        <v>41198</v>
      </c>
      <c r="D2075" s="2" t="s">
        <v>15868</v>
      </c>
      <c r="F2075" s="2" t="s">
        <v>15869</v>
      </c>
      <c r="G2075" s="2" t="s">
        <v>15870</v>
      </c>
      <c r="H2075" s="2" t="s">
        <v>130</v>
      </c>
      <c r="I2075" s="2" t="s">
        <v>51</v>
      </c>
      <c r="J2075" s="2" t="s">
        <v>1834</v>
      </c>
      <c r="K2075" s="2" t="s">
        <v>15871</v>
      </c>
      <c r="L2075" s="2" t="s">
        <v>51</v>
      </c>
      <c r="M2075" s="2" t="s">
        <v>63</v>
      </c>
      <c r="N2075" s="2" t="s">
        <v>15872</v>
      </c>
      <c r="O2075" s="2"/>
      <c r="P2075" s="2" t="s">
        <v>37</v>
      </c>
      <c r="Q2075" s="4" t="n">
        <v>2836</v>
      </c>
      <c r="R2075" s="2" t="s">
        <v>56</v>
      </c>
      <c r="S2075" s="2" t="s">
        <v>2265</v>
      </c>
      <c r="T2075" s="2" t="s">
        <v>40</v>
      </c>
      <c r="U2075" s="2" t="s">
        <v>15873</v>
      </c>
      <c r="V2075" s="2"/>
      <c r="W2075" s="2" t="s">
        <v>5464</v>
      </c>
      <c r="X2075" s="2" t="s">
        <v>43</v>
      </c>
      <c r="Y2075" s="2" t="s">
        <v>37</v>
      </c>
      <c r="Z2075" s="2" t="s">
        <v>44</v>
      </c>
      <c r="AA2075" s="2" t="s">
        <v>15874</v>
      </c>
      <c r="AB2075" s="2"/>
      <c r="AC2075" s="2" t="s">
        <v>15875</v>
      </c>
      <c r="AD2075" s="2" t="s">
        <v>46</v>
      </c>
    </row>
    <row r="2076" customFormat="false" ht="15.7" hidden="false" customHeight="true" outlineLevel="0" collapsed="false">
      <c r="A2076" s="2"/>
      <c r="B2076" s="3" t="n">
        <f aca="false">DATE(2012,10,17)</f>
        <v>0</v>
      </c>
      <c r="C2076" s="3" t="n">
        <v>41199</v>
      </c>
      <c r="D2076" s="2" t="s">
        <v>15876</v>
      </c>
      <c r="F2076" s="2" t="s">
        <v>15877</v>
      </c>
      <c r="G2076" s="2" t="s">
        <v>15878</v>
      </c>
      <c r="H2076" s="2" t="s">
        <v>15879</v>
      </c>
      <c r="I2076" s="2" t="s">
        <v>12227</v>
      </c>
      <c r="J2076" s="2" t="s">
        <v>35</v>
      </c>
      <c r="K2076" s="2" t="s">
        <v>15876</v>
      </c>
      <c r="L2076" s="2" t="s">
        <v>12227</v>
      </c>
      <c r="M2076" s="2" t="s">
        <v>15879</v>
      </c>
      <c r="N2076" s="2" t="s">
        <v>15880</v>
      </c>
      <c r="O2076" s="2"/>
      <c r="P2076" s="2" t="s">
        <v>37</v>
      </c>
      <c r="Q2076" s="4" t="n">
        <v>2819</v>
      </c>
      <c r="R2076" s="2" t="s">
        <v>402</v>
      </c>
      <c r="S2076" s="2" t="s">
        <v>39</v>
      </c>
      <c r="T2076" s="2" t="s">
        <v>403</v>
      </c>
      <c r="U2076" s="2" t="s">
        <v>15881</v>
      </c>
      <c r="V2076" s="2"/>
      <c r="W2076" s="2" t="s">
        <v>697</v>
      </c>
      <c r="X2076" s="2" t="s">
        <v>46</v>
      </c>
      <c r="Y2076" s="2" t="s">
        <v>37</v>
      </c>
      <c r="Z2076" s="2" t="s">
        <v>362</v>
      </c>
      <c r="AA2076" s="2"/>
      <c r="AB2076" s="2"/>
      <c r="AC2076" s="2" t="s">
        <v>15882</v>
      </c>
      <c r="AD2076" s="2" t="s">
        <v>46</v>
      </c>
    </row>
    <row r="2077" customFormat="false" ht="15.7" hidden="false" customHeight="true" outlineLevel="0" collapsed="false">
      <c r="A2077" s="2"/>
      <c r="B2077" s="3" t="n">
        <f aca="false">DATE(2012,10,17)</f>
        <v>0</v>
      </c>
      <c r="C2077" s="3" t="n">
        <v>41199</v>
      </c>
      <c r="D2077" s="2" t="s">
        <v>15883</v>
      </c>
      <c r="F2077" s="2" t="s">
        <v>15884</v>
      </c>
      <c r="G2077" s="2" t="s">
        <v>15885</v>
      </c>
      <c r="H2077" s="2" t="s">
        <v>1027</v>
      </c>
      <c r="I2077" s="2" t="s">
        <v>388</v>
      </c>
      <c r="J2077" s="2" t="s">
        <v>625</v>
      </c>
      <c r="K2077" s="2" t="s">
        <v>15883</v>
      </c>
      <c r="L2077" s="2" t="s">
        <v>388</v>
      </c>
      <c r="M2077" s="2" t="s">
        <v>1027</v>
      </c>
      <c r="N2077" s="2" t="s">
        <v>15886</v>
      </c>
      <c r="O2077" s="2"/>
      <c r="P2077" s="2" t="s">
        <v>37</v>
      </c>
      <c r="Q2077" s="4" t="n">
        <v>8731</v>
      </c>
      <c r="R2077" s="2" t="s">
        <v>136</v>
      </c>
      <c r="S2077" s="2" t="s">
        <v>39</v>
      </c>
      <c r="T2077" s="2" t="s">
        <v>40</v>
      </c>
      <c r="U2077" s="2" t="s">
        <v>15887</v>
      </c>
      <c r="V2077" s="2"/>
      <c r="W2077" s="2" t="s">
        <v>42</v>
      </c>
      <c r="X2077" s="2" t="s">
        <v>43</v>
      </c>
      <c r="Y2077" s="2" t="s">
        <v>37</v>
      </c>
      <c r="Z2077" s="2" t="s">
        <v>44</v>
      </c>
      <c r="AA2077" s="2"/>
      <c r="AB2077" s="2"/>
      <c r="AC2077" s="2" t="s">
        <v>15888</v>
      </c>
      <c r="AD2077" s="2" t="s">
        <v>46</v>
      </c>
    </row>
    <row r="2078" customFormat="false" ht="15.7" hidden="false" customHeight="true" outlineLevel="0" collapsed="false">
      <c r="A2078" s="2"/>
      <c r="B2078" s="3" t="n">
        <f aca="false">DATE(2012,10,18)</f>
        <v>0</v>
      </c>
      <c r="C2078" s="3" t="n">
        <v>41200</v>
      </c>
      <c r="D2078" s="2" t="s">
        <v>15889</v>
      </c>
      <c r="F2078" s="2" t="s">
        <v>999</v>
      </c>
      <c r="G2078" s="2" t="s">
        <v>15890</v>
      </c>
      <c r="H2078" s="2" t="s">
        <v>762</v>
      </c>
      <c r="I2078" s="2" t="s">
        <v>180</v>
      </c>
      <c r="J2078" s="2" t="s">
        <v>132</v>
      </c>
      <c r="K2078" s="2" t="s">
        <v>15891</v>
      </c>
      <c r="L2078" s="2" t="s">
        <v>131</v>
      </c>
      <c r="M2078" s="2" t="s">
        <v>523</v>
      </c>
      <c r="N2078" s="2" t="s">
        <v>15892</v>
      </c>
      <c r="O2078" s="2"/>
      <c r="P2078" s="2" t="s">
        <v>37</v>
      </c>
      <c r="Q2078" s="4" t="n">
        <v>8731</v>
      </c>
      <c r="R2078" s="2" t="s">
        <v>136</v>
      </c>
      <c r="S2078" s="2" t="s">
        <v>39</v>
      </c>
      <c r="T2078" s="2" t="s">
        <v>40</v>
      </c>
      <c r="U2078" s="2" t="s">
        <v>15893</v>
      </c>
      <c r="V2078" s="2"/>
      <c r="W2078" s="2" t="s">
        <v>42</v>
      </c>
      <c r="X2078" s="2" t="s">
        <v>43</v>
      </c>
      <c r="Y2078" s="2" t="s">
        <v>37</v>
      </c>
      <c r="Z2078" s="2" t="s">
        <v>44</v>
      </c>
      <c r="AA2078" s="2"/>
      <c r="AB2078" s="2"/>
      <c r="AC2078" s="2" t="s">
        <v>15894</v>
      </c>
      <c r="AD2078" s="2" t="s">
        <v>46</v>
      </c>
    </row>
    <row r="2079" customFormat="false" ht="15.7" hidden="false" customHeight="true" outlineLevel="0" collapsed="false">
      <c r="A2079" s="2"/>
      <c r="B2079" s="3" t="n">
        <f aca="false">DATE(2012,10,22)</f>
        <v>0</v>
      </c>
      <c r="C2079" s="3" t="n">
        <v>41204</v>
      </c>
      <c r="D2079" s="2" t="s">
        <v>15895</v>
      </c>
      <c r="F2079" s="2" t="s">
        <v>15896</v>
      </c>
      <c r="G2079" s="2" t="s">
        <v>15897</v>
      </c>
      <c r="H2079" s="2" t="s">
        <v>15898</v>
      </c>
      <c r="I2079" s="2" t="s">
        <v>296</v>
      </c>
      <c r="J2079" s="2" t="s">
        <v>1456</v>
      </c>
      <c r="K2079" s="2" t="s">
        <v>15895</v>
      </c>
      <c r="L2079" s="2" t="s">
        <v>296</v>
      </c>
      <c r="M2079" s="2" t="s">
        <v>15898</v>
      </c>
      <c r="N2079" s="2" t="s">
        <v>15899</v>
      </c>
      <c r="O2079" s="2"/>
      <c r="P2079" s="2" t="s">
        <v>37</v>
      </c>
      <c r="Q2079" s="4" t="n">
        <v>3559</v>
      </c>
      <c r="R2079" s="2" t="s">
        <v>56</v>
      </c>
      <c r="S2079" s="2" t="s">
        <v>2265</v>
      </c>
      <c r="T2079" s="2" t="s">
        <v>403</v>
      </c>
      <c r="U2079" s="2" t="s">
        <v>15900</v>
      </c>
      <c r="V2079" s="2"/>
      <c r="W2079" s="2" t="s">
        <v>697</v>
      </c>
      <c r="X2079" s="2" t="s">
        <v>46</v>
      </c>
      <c r="Y2079" s="2" t="s">
        <v>37</v>
      </c>
      <c r="Z2079" s="2" t="s">
        <v>362</v>
      </c>
      <c r="AA2079" s="2"/>
      <c r="AB2079" s="2"/>
      <c r="AC2079" s="2" t="s">
        <v>15901</v>
      </c>
      <c r="AD2079" s="2" t="s">
        <v>46</v>
      </c>
    </row>
    <row r="2080" customFormat="false" ht="15.7" hidden="false" customHeight="true" outlineLevel="0" collapsed="false">
      <c r="A2080" s="2"/>
      <c r="B2080" s="3" t="n">
        <f aca="false">DATE(2012,10,22)</f>
        <v>0</v>
      </c>
      <c r="C2080" s="3" t="n">
        <v>41204</v>
      </c>
      <c r="D2080" s="2" t="s">
        <v>15902</v>
      </c>
      <c r="F2080" s="2" t="s">
        <v>15903</v>
      </c>
      <c r="G2080" s="2" t="s">
        <v>15904</v>
      </c>
      <c r="H2080" s="2" t="s">
        <v>15905</v>
      </c>
      <c r="I2080" s="2" t="s">
        <v>15906</v>
      </c>
      <c r="J2080" s="2" t="s">
        <v>35</v>
      </c>
      <c r="K2080" s="2" t="s">
        <v>15902</v>
      </c>
      <c r="L2080" s="2" t="s">
        <v>15906</v>
      </c>
      <c r="M2080" s="2" t="s">
        <v>15905</v>
      </c>
      <c r="N2080" s="2" t="s">
        <v>15907</v>
      </c>
      <c r="O2080" s="2"/>
      <c r="P2080" s="2" t="s">
        <v>79</v>
      </c>
      <c r="Q2080" s="4" t="n">
        <v>9511</v>
      </c>
      <c r="R2080" s="2" t="s">
        <v>38</v>
      </c>
      <c r="S2080" s="2" t="s">
        <v>39</v>
      </c>
      <c r="T2080" s="2" t="s">
        <v>403</v>
      </c>
      <c r="U2080" s="2" t="s">
        <v>15908</v>
      </c>
      <c r="V2080" s="2"/>
      <c r="W2080" s="2" t="s">
        <v>15909</v>
      </c>
      <c r="X2080" s="2" t="s">
        <v>46</v>
      </c>
      <c r="Y2080" s="2" t="s">
        <v>37</v>
      </c>
      <c r="Z2080" s="2" t="s">
        <v>12784</v>
      </c>
      <c r="AA2080" s="2" t="s">
        <v>15910</v>
      </c>
      <c r="AB2080" s="2"/>
      <c r="AC2080" s="2" t="s">
        <v>15911</v>
      </c>
      <c r="AD2080" s="2" t="s">
        <v>46</v>
      </c>
    </row>
    <row r="2081" customFormat="false" ht="15.7" hidden="false" customHeight="true" outlineLevel="0" collapsed="false">
      <c r="A2081" s="2"/>
      <c r="B2081" s="3" t="n">
        <f aca="false">DATE(2012,10,22)</f>
        <v>0</v>
      </c>
      <c r="C2081" s="3" t="n">
        <v>41204</v>
      </c>
      <c r="D2081" s="2" t="s">
        <v>15912</v>
      </c>
      <c r="F2081" s="2" t="s">
        <v>15913</v>
      </c>
      <c r="G2081" s="2" t="s">
        <v>15914</v>
      </c>
      <c r="H2081" s="2" t="s">
        <v>15915</v>
      </c>
      <c r="I2081" s="2" t="s">
        <v>15916</v>
      </c>
      <c r="J2081" s="2" t="s">
        <v>15917</v>
      </c>
      <c r="K2081" s="2" t="s">
        <v>15912</v>
      </c>
      <c r="L2081" s="2" t="s">
        <v>15916</v>
      </c>
      <c r="M2081" s="2" t="s">
        <v>15915</v>
      </c>
      <c r="N2081" s="2" t="s">
        <v>15918</v>
      </c>
      <c r="O2081" s="2" t="s">
        <v>15919</v>
      </c>
      <c r="P2081" s="2" t="s">
        <v>37</v>
      </c>
      <c r="Q2081" s="4" t="n">
        <v>3845</v>
      </c>
      <c r="R2081" s="2" t="s">
        <v>56</v>
      </c>
      <c r="S2081" s="2" t="s">
        <v>92</v>
      </c>
      <c r="T2081" s="2" t="s">
        <v>40</v>
      </c>
      <c r="U2081" s="2" t="s">
        <v>15920</v>
      </c>
      <c r="V2081" s="2"/>
      <c r="W2081" s="2" t="s">
        <v>697</v>
      </c>
      <c r="X2081" s="2" t="s">
        <v>46</v>
      </c>
      <c r="Y2081" s="2" t="s">
        <v>37</v>
      </c>
      <c r="Z2081" s="2" t="s">
        <v>11255</v>
      </c>
      <c r="AA2081" s="2"/>
      <c r="AB2081" s="2" t="s">
        <v>15921</v>
      </c>
      <c r="AC2081" s="2" t="s">
        <v>15922</v>
      </c>
      <c r="AD2081" s="2" t="s">
        <v>46</v>
      </c>
    </row>
    <row r="2082" customFormat="false" ht="15.7" hidden="false" customHeight="true" outlineLevel="0" collapsed="false">
      <c r="A2082" s="2"/>
      <c r="B2082" s="3" t="n">
        <f aca="false">DATE(2012,10,23)</f>
        <v>0</v>
      </c>
      <c r="C2082" s="3" t="n">
        <v>41205</v>
      </c>
      <c r="D2082" s="2" t="s">
        <v>15923</v>
      </c>
      <c r="F2082" s="2" t="s">
        <v>15924</v>
      </c>
      <c r="G2082" s="2" t="s">
        <v>15925</v>
      </c>
      <c r="H2082" s="2" t="s">
        <v>170</v>
      </c>
      <c r="I2082" s="2" t="s">
        <v>51</v>
      </c>
      <c r="J2082" s="2" t="s">
        <v>2633</v>
      </c>
      <c r="K2082" s="2" t="s">
        <v>15926</v>
      </c>
      <c r="L2082" s="2" t="s">
        <v>568</v>
      </c>
      <c r="M2082" s="2" t="s">
        <v>63</v>
      </c>
      <c r="N2082" s="2" t="s">
        <v>15927</v>
      </c>
      <c r="O2082" s="2"/>
      <c r="P2082" s="2" t="s">
        <v>37</v>
      </c>
      <c r="Q2082" s="4" t="n">
        <v>2836</v>
      </c>
      <c r="R2082" s="2" t="s">
        <v>7617</v>
      </c>
      <c r="S2082" s="2" t="s">
        <v>5334</v>
      </c>
      <c r="T2082" s="2" t="s">
        <v>2444</v>
      </c>
      <c r="U2082" s="2" t="s">
        <v>15928</v>
      </c>
      <c r="V2082" s="2"/>
      <c r="W2082" s="2" t="s">
        <v>42</v>
      </c>
      <c r="X2082" s="2" t="s">
        <v>43</v>
      </c>
      <c r="Y2082" s="2" t="s">
        <v>79</v>
      </c>
      <c r="Z2082" s="2" t="s">
        <v>44</v>
      </c>
      <c r="AA2082" s="2" t="s">
        <v>15929</v>
      </c>
      <c r="AB2082" s="2"/>
      <c r="AC2082" s="2" t="s">
        <v>15930</v>
      </c>
      <c r="AD2082" s="2" t="s">
        <v>46</v>
      </c>
    </row>
    <row r="2083" customFormat="false" ht="15.7" hidden="false" customHeight="true" outlineLevel="0" collapsed="false">
      <c r="A2083" s="2"/>
      <c r="B2083" s="3" t="n">
        <f aca="false">DATE(2012,10,24)</f>
        <v>0</v>
      </c>
      <c r="C2083" s="3" t="n">
        <v>41206</v>
      </c>
      <c r="D2083" s="2" t="s">
        <v>15931</v>
      </c>
      <c r="F2083" s="2" t="s">
        <v>15932</v>
      </c>
      <c r="G2083" s="2" t="s">
        <v>15933</v>
      </c>
      <c r="H2083" s="2" t="s">
        <v>15934</v>
      </c>
      <c r="I2083" s="2" t="s">
        <v>51</v>
      </c>
      <c r="J2083" s="2" t="s">
        <v>171</v>
      </c>
      <c r="K2083" s="2" t="s">
        <v>15935</v>
      </c>
      <c r="L2083" s="2" t="s">
        <v>51</v>
      </c>
      <c r="M2083" s="2" t="s">
        <v>15936</v>
      </c>
      <c r="N2083" s="2" t="s">
        <v>15937</v>
      </c>
      <c r="O2083" s="2"/>
      <c r="P2083" s="2" t="s">
        <v>37</v>
      </c>
      <c r="Q2083" s="4" t="n">
        <v>3674</v>
      </c>
      <c r="R2083" s="2" t="s">
        <v>56</v>
      </c>
      <c r="S2083" s="2" t="s">
        <v>2265</v>
      </c>
      <c r="T2083" s="2" t="s">
        <v>403</v>
      </c>
      <c r="U2083" s="2" t="s">
        <v>15938</v>
      </c>
      <c r="V2083" s="2"/>
      <c r="W2083" s="2" t="s">
        <v>42</v>
      </c>
      <c r="X2083" s="2" t="s">
        <v>43</v>
      </c>
      <c r="Y2083" s="2" t="s">
        <v>37</v>
      </c>
      <c r="Z2083" s="2" t="s">
        <v>44</v>
      </c>
      <c r="AA2083" s="2"/>
      <c r="AB2083" s="2"/>
      <c r="AC2083" s="2" t="s">
        <v>15939</v>
      </c>
      <c r="AD2083" s="2" t="s">
        <v>46</v>
      </c>
    </row>
    <row r="2084" customFormat="false" ht="15.7" hidden="false" customHeight="true" outlineLevel="0" collapsed="false">
      <c r="A2084" s="2"/>
      <c r="B2084" s="3" t="n">
        <f aca="false">DATE(2012,10,25)</f>
        <v>0</v>
      </c>
      <c r="C2084" s="3" t="n">
        <v>41207</v>
      </c>
      <c r="D2084" s="2" t="s">
        <v>15940</v>
      </c>
      <c r="F2084" s="2" t="s">
        <v>15941</v>
      </c>
      <c r="G2084" s="2" t="s">
        <v>15942</v>
      </c>
      <c r="H2084" s="2" t="s">
        <v>814</v>
      </c>
      <c r="I2084" s="2" t="s">
        <v>51</v>
      </c>
      <c r="J2084" s="2" t="s">
        <v>171</v>
      </c>
      <c r="K2084" s="2" t="s">
        <v>15940</v>
      </c>
      <c r="L2084" s="2" t="s">
        <v>51</v>
      </c>
      <c r="M2084" s="2" t="s">
        <v>814</v>
      </c>
      <c r="N2084" s="2" t="s">
        <v>15943</v>
      </c>
      <c r="O2084" s="2" t="s">
        <v>15944</v>
      </c>
      <c r="P2084" s="2" t="s">
        <v>37</v>
      </c>
      <c r="Q2084" s="4" t="n">
        <v>2836</v>
      </c>
      <c r="R2084" s="2" t="s">
        <v>56</v>
      </c>
      <c r="S2084" s="2" t="s">
        <v>92</v>
      </c>
      <c r="T2084" s="2" t="s">
        <v>40</v>
      </c>
      <c r="U2084" s="2" t="s">
        <v>15945</v>
      </c>
      <c r="V2084" s="2"/>
      <c r="W2084" s="2" t="s">
        <v>107</v>
      </c>
      <c r="X2084" s="2" t="s">
        <v>46</v>
      </c>
      <c r="Y2084" s="2" t="s">
        <v>37</v>
      </c>
      <c r="Z2084" s="2" t="s">
        <v>362</v>
      </c>
      <c r="AA2084" s="2"/>
      <c r="AB2084" s="2" t="s">
        <v>15946</v>
      </c>
      <c r="AC2084" s="2" t="s">
        <v>15947</v>
      </c>
      <c r="AD2084" s="2" t="s">
        <v>46</v>
      </c>
    </row>
    <row r="2085" customFormat="false" ht="15.7" hidden="false" customHeight="true" outlineLevel="0" collapsed="false">
      <c r="A2085" s="2"/>
      <c r="B2085" s="3" t="n">
        <f aca="false">DATE(2012,10,25)</f>
        <v>0</v>
      </c>
      <c r="C2085" s="3" t="n">
        <v>41207</v>
      </c>
      <c r="D2085" s="2" t="s">
        <v>15948</v>
      </c>
      <c r="F2085" s="2" t="s">
        <v>256</v>
      </c>
      <c r="G2085" s="2" t="s">
        <v>15949</v>
      </c>
      <c r="H2085" s="2" t="s">
        <v>170</v>
      </c>
      <c r="I2085" s="2" t="s">
        <v>15950</v>
      </c>
      <c r="J2085" s="2" t="s">
        <v>35</v>
      </c>
      <c r="K2085" s="2" t="s">
        <v>15948</v>
      </c>
      <c r="L2085" s="2" t="s">
        <v>15950</v>
      </c>
      <c r="M2085" s="2" t="s">
        <v>170</v>
      </c>
      <c r="N2085" s="2" t="s">
        <v>15951</v>
      </c>
      <c r="O2085" s="2"/>
      <c r="P2085" s="2" t="s">
        <v>37</v>
      </c>
      <c r="Q2085" s="4" t="n">
        <v>2836</v>
      </c>
      <c r="R2085" s="2" t="s">
        <v>136</v>
      </c>
      <c r="S2085" s="2" t="s">
        <v>39</v>
      </c>
      <c r="T2085" s="2" t="s">
        <v>40</v>
      </c>
      <c r="U2085" s="2" t="s">
        <v>15952</v>
      </c>
      <c r="V2085" s="2"/>
      <c r="W2085" s="2" t="s">
        <v>107</v>
      </c>
      <c r="X2085" s="2" t="s">
        <v>43</v>
      </c>
      <c r="Y2085" s="2" t="s">
        <v>37</v>
      </c>
      <c r="Z2085" s="2" t="s">
        <v>44</v>
      </c>
      <c r="AA2085" s="2"/>
      <c r="AB2085" s="2"/>
      <c r="AC2085" s="2" t="s">
        <v>15953</v>
      </c>
      <c r="AD2085" s="2" t="s">
        <v>46</v>
      </c>
    </row>
    <row r="2086" customFormat="false" ht="15.7" hidden="false" customHeight="true" outlineLevel="0" collapsed="false">
      <c r="A2086" s="2"/>
      <c r="B2086" s="3" t="n">
        <f aca="false">DATE(2012,10,29)</f>
        <v>0</v>
      </c>
      <c r="C2086" s="3" t="n">
        <v>41211</v>
      </c>
      <c r="D2086" s="2" t="s">
        <v>15954</v>
      </c>
      <c r="F2086" s="2" t="s">
        <v>15955</v>
      </c>
      <c r="G2086" s="2" t="s">
        <v>15956</v>
      </c>
      <c r="H2086" s="2" t="s">
        <v>3500</v>
      </c>
      <c r="I2086" s="2" t="s">
        <v>15957</v>
      </c>
      <c r="J2086" s="2" t="s">
        <v>35</v>
      </c>
      <c r="K2086" s="2" t="s">
        <v>15958</v>
      </c>
      <c r="L2086" s="2" t="s">
        <v>15957</v>
      </c>
      <c r="M2086" s="2" t="s">
        <v>15959</v>
      </c>
      <c r="N2086" s="2" t="s">
        <v>15960</v>
      </c>
      <c r="O2086" s="2"/>
      <c r="P2086" s="2" t="s">
        <v>37</v>
      </c>
      <c r="Q2086" s="4" t="n">
        <v>3711</v>
      </c>
      <c r="R2086" s="2" t="s">
        <v>136</v>
      </c>
      <c r="S2086" s="2" t="s">
        <v>39</v>
      </c>
      <c r="T2086" s="2" t="s">
        <v>40</v>
      </c>
      <c r="U2086" s="2" t="s">
        <v>15961</v>
      </c>
      <c r="V2086" s="2"/>
      <c r="W2086" s="2" t="s">
        <v>42</v>
      </c>
      <c r="X2086" s="2" t="s">
        <v>43</v>
      </c>
      <c r="Y2086" s="2" t="s">
        <v>37</v>
      </c>
      <c r="Z2086" s="2" t="s">
        <v>44</v>
      </c>
      <c r="AA2086" s="2"/>
      <c r="AB2086" s="2"/>
      <c r="AC2086" s="2" t="s">
        <v>15962</v>
      </c>
      <c r="AD2086" s="2" t="s">
        <v>46</v>
      </c>
    </row>
    <row r="2087" customFormat="false" ht="15.7" hidden="false" customHeight="true" outlineLevel="0" collapsed="false">
      <c r="A2087" s="2"/>
      <c r="B2087" s="3" t="n">
        <f aca="false">DATE(2012,10,29)</f>
        <v>0</v>
      </c>
      <c r="C2087" s="3" t="n">
        <v>41211</v>
      </c>
      <c r="D2087" s="2" t="s">
        <v>15963</v>
      </c>
      <c r="F2087" s="2" t="s">
        <v>15964</v>
      </c>
      <c r="G2087" s="2" t="s">
        <v>15965</v>
      </c>
      <c r="H2087" s="2" t="s">
        <v>130</v>
      </c>
      <c r="I2087" s="2" t="s">
        <v>1867</v>
      </c>
      <c r="J2087" s="2" t="s">
        <v>35</v>
      </c>
      <c r="K2087" s="2" t="s">
        <v>15966</v>
      </c>
      <c r="L2087" s="2" t="s">
        <v>1867</v>
      </c>
      <c r="M2087" s="2" t="s">
        <v>130</v>
      </c>
      <c r="N2087" s="2" t="s">
        <v>15967</v>
      </c>
      <c r="O2087" s="2"/>
      <c r="P2087" s="2" t="s">
        <v>37</v>
      </c>
      <c r="Q2087" s="4" t="n">
        <v>2835</v>
      </c>
      <c r="R2087" s="2" t="s">
        <v>136</v>
      </c>
      <c r="S2087" s="2" t="s">
        <v>39</v>
      </c>
      <c r="T2087" s="2" t="s">
        <v>403</v>
      </c>
      <c r="U2087" s="2" t="s">
        <v>15968</v>
      </c>
      <c r="V2087" s="2"/>
      <c r="W2087" s="2" t="s">
        <v>15969</v>
      </c>
      <c r="X2087" s="2" t="s">
        <v>46</v>
      </c>
      <c r="Y2087" s="2" t="s">
        <v>37</v>
      </c>
      <c r="Z2087" s="2" t="s">
        <v>362</v>
      </c>
      <c r="AA2087" s="2"/>
      <c r="AB2087" s="2"/>
      <c r="AC2087" s="2" t="s">
        <v>15970</v>
      </c>
      <c r="AD2087" s="2" t="s">
        <v>46</v>
      </c>
    </row>
    <row r="2088" customFormat="false" ht="15.7" hidden="false" customHeight="true" outlineLevel="0" collapsed="false">
      <c r="A2088" s="2"/>
      <c r="B2088" s="3" t="n">
        <f aca="false">DATE(2012,10,29)</f>
        <v>0</v>
      </c>
      <c r="C2088" s="3" t="n">
        <v>41211</v>
      </c>
      <c r="D2088" s="2" t="s">
        <v>15971</v>
      </c>
      <c r="F2088" s="2" t="s">
        <v>935</v>
      </c>
      <c r="G2088" s="2" t="s">
        <v>15972</v>
      </c>
      <c r="H2088" s="2" t="s">
        <v>130</v>
      </c>
      <c r="I2088" s="2" t="s">
        <v>2803</v>
      </c>
      <c r="J2088" s="2" t="s">
        <v>35</v>
      </c>
      <c r="K2088" s="2" t="s">
        <v>15971</v>
      </c>
      <c r="L2088" s="2" t="s">
        <v>2803</v>
      </c>
      <c r="M2088" s="2" t="s">
        <v>130</v>
      </c>
      <c r="N2088" s="2" t="s">
        <v>15973</v>
      </c>
      <c r="O2088" s="2"/>
      <c r="P2088" s="2" t="s">
        <v>37</v>
      </c>
      <c r="Q2088" s="4" t="n">
        <v>8731</v>
      </c>
      <c r="R2088" s="2" t="s">
        <v>136</v>
      </c>
      <c r="S2088" s="2" t="s">
        <v>39</v>
      </c>
      <c r="T2088" s="2" t="s">
        <v>40</v>
      </c>
      <c r="U2088" s="2" t="s">
        <v>15974</v>
      </c>
      <c r="V2088" s="2"/>
      <c r="W2088" s="2" t="s">
        <v>697</v>
      </c>
      <c r="X2088" s="2" t="s">
        <v>43</v>
      </c>
      <c r="Y2088" s="2" t="s">
        <v>37</v>
      </c>
      <c r="Z2088" s="2" t="s">
        <v>44</v>
      </c>
      <c r="AA2088" s="2"/>
      <c r="AB2088" s="2"/>
      <c r="AC2088" s="2" t="s">
        <v>15975</v>
      </c>
      <c r="AD2088" s="2" t="s">
        <v>46</v>
      </c>
    </row>
    <row r="2089" customFormat="false" ht="15.7" hidden="false" customHeight="true" outlineLevel="0" collapsed="false">
      <c r="A2089" s="2"/>
      <c r="B2089" s="3" t="n">
        <f aca="false">DATE(2012,10,29)</f>
        <v>0</v>
      </c>
      <c r="C2089" s="3" t="n">
        <v>41211</v>
      </c>
      <c r="D2089" s="2" t="s">
        <v>15976</v>
      </c>
      <c r="F2089" s="2" t="s">
        <v>15977</v>
      </c>
      <c r="G2089" s="2" t="s">
        <v>15978</v>
      </c>
      <c r="H2089" s="2" t="s">
        <v>15979</v>
      </c>
      <c r="I2089" s="2" t="s">
        <v>15586</v>
      </c>
      <c r="J2089" s="2" t="s">
        <v>3276</v>
      </c>
      <c r="K2089" s="2" t="s">
        <v>15980</v>
      </c>
      <c r="L2089" s="2" t="s">
        <v>15586</v>
      </c>
      <c r="M2089" s="2" t="s">
        <v>15981</v>
      </c>
      <c r="N2089" s="2" t="s">
        <v>15982</v>
      </c>
      <c r="O2089" s="2"/>
      <c r="P2089" s="2" t="s">
        <v>37</v>
      </c>
      <c r="Q2089" s="4" t="n">
        <v>8731</v>
      </c>
      <c r="R2089" s="2" t="s">
        <v>136</v>
      </c>
      <c r="S2089" s="2" t="s">
        <v>39</v>
      </c>
      <c r="T2089" s="2" t="s">
        <v>40</v>
      </c>
      <c r="U2089" s="2" t="s">
        <v>15983</v>
      </c>
      <c r="V2089" s="2"/>
      <c r="W2089" s="2" t="s">
        <v>42</v>
      </c>
      <c r="X2089" s="2" t="s">
        <v>43</v>
      </c>
      <c r="Y2089" s="2" t="s">
        <v>37</v>
      </c>
      <c r="Z2089" s="2" t="s">
        <v>916</v>
      </c>
      <c r="AA2089" s="2" t="s">
        <v>15984</v>
      </c>
      <c r="AB2089" s="2"/>
      <c r="AC2089" s="2" t="s">
        <v>15985</v>
      </c>
      <c r="AD2089" s="2" t="s">
        <v>46</v>
      </c>
    </row>
    <row r="2090" customFormat="false" ht="15.7" hidden="false" customHeight="true" outlineLevel="0" collapsed="false">
      <c r="A2090" s="2"/>
      <c r="B2090" s="3" t="n">
        <f aca="false">DATE(2012,10,29)</f>
        <v>0</v>
      </c>
      <c r="C2090" s="3" t="n">
        <v>41211</v>
      </c>
      <c r="D2090" s="2" t="s">
        <v>15986</v>
      </c>
      <c r="F2090" s="2" t="s">
        <v>15987</v>
      </c>
      <c r="G2090" s="2" t="s">
        <v>15988</v>
      </c>
      <c r="H2090" s="2" t="s">
        <v>130</v>
      </c>
      <c r="I2090" s="2" t="s">
        <v>3802</v>
      </c>
      <c r="J2090" s="2" t="s">
        <v>35</v>
      </c>
      <c r="K2090" s="2" t="s">
        <v>15989</v>
      </c>
      <c r="L2090" s="2" t="s">
        <v>3802</v>
      </c>
      <c r="M2090" s="2" t="s">
        <v>130</v>
      </c>
      <c r="N2090" s="2" t="s">
        <v>15990</v>
      </c>
      <c r="O2090" s="2"/>
      <c r="P2090" s="2" t="s">
        <v>37</v>
      </c>
      <c r="Q2090" s="4" t="n">
        <v>2834</v>
      </c>
      <c r="R2090" s="2" t="s">
        <v>402</v>
      </c>
      <c r="S2090" s="2" t="s">
        <v>39</v>
      </c>
      <c r="T2090" s="2" t="s">
        <v>40</v>
      </c>
      <c r="U2090" s="2" t="s">
        <v>15991</v>
      </c>
      <c r="V2090" s="2"/>
      <c r="W2090" s="2" t="s">
        <v>755</v>
      </c>
      <c r="X2090" s="2" t="s">
        <v>43</v>
      </c>
      <c r="Y2090" s="2" t="s">
        <v>37</v>
      </c>
      <c r="Z2090" s="2" t="s">
        <v>44</v>
      </c>
      <c r="AA2090" s="2"/>
      <c r="AB2090" s="2"/>
      <c r="AC2090" s="2" t="s">
        <v>15992</v>
      </c>
      <c r="AD2090" s="2" t="s">
        <v>46</v>
      </c>
    </row>
    <row r="2091" customFormat="false" ht="15.7" hidden="false" customHeight="true" outlineLevel="0" collapsed="false">
      <c r="A2091" s="2"/>
      <c r="B2091" s="3" t="n">
        <f aca="false">DATE(2012,10,30)</f>
        <v>0</v>
      </c>
      <c r="C2091" s="3" t="n">
        <v>41212</v>
      </c>
      <c r="D2091" s="2" t="s">
        <v>15993</v>
      </c>
      <c r="F2091" s="2" t="s">
        <v>15994</v>
      </c>
      <c r="G2091" s="2" t="s">
        <v>15995</v>
      </c>
      <c r="H2091" s="2" t="s">
        <v>15996</v>
      </c>
      <c r="I2091" s="2" t="s">
        <v>15997</v>
      </c>
      <c r="J2091" s="2" t="s">
        <v>15998</v>
      </c>
      <c r="K2091" s="2" t="s">
        <v>15999</v>
      </c>
      <c r="L2091" s="2" t="s">
        <v>16000</v>
      </c>
      <c r="M2091" s="2" t="s">
        <v>16001</v>
      </c>
      <c r="N2091" s="2" t="s">
        <v>16002</v>
      </c>
      <c r="O2091" s="2"/>
      <c r="P2091" s="2" t="s">
        <v>37</v>
      </c>
      <c r="Q2091" s="4" t="n">
        <v>8731</v>
      </c>
      <c r="R2091" s="2" t="s">
        <v>136</v>
      </c>
      <c r="S2091" s="2" t="s">
        <v>39</v>
      </c>
      <c r="T2091" s="2" t="s">
        <v>40</v>
      </c>
      <c r="U2091" s="2" t="s">
        <v>16003</v>
      </c>
      <c r="V2091" s="2"/>
      <c r="W2091" s="2" t="s">
        <v>42</v>
      </c>
      <c r="X2091" s="2" t="s">
        <v>43</v>
      </c>
      <c r="Y2091" s="2" t="s">
        <v>37</v>
      </c>
      <c r="Z2091" s="2" t="s">
        <v>916</v>
      </c>
      <c r="AA2091" s="2"/>
      <c r="AB2091" s="2"/>
      <c r="AC2091" s="2" t="s">
        <v>16004</v>
      </c>
      <c r="AD2091" s="2" t="s">
        <v>46</v>
      </c>
    </row>
    <row r="2092" customFormat="false" ht="15.7" hidden="false" customHeight="true" outlineLevel="0" collapsed="false">
      <c r="A2092" s="2"/>
      <c r="B2092" s="3" t="n">
        <f aca="false">DATE(2012,10,31)</f>
        <v>0</v>
      </c>
      <c r="C2092" s="3" t="n">
        <v>41213</v>
      </c>
      <c r="D2092" s="2" t="s">
        <v>16005</v>
      </c>
      <c r="F2092" s="2" t="s">
        <v>176</v>
      </c>
      <c r="G2092" s="2" t="s">
        <v>16006</v>
      </c>
      <c r="H2092" s="2" t="s">
        <v>130</v>
      </c>
      <c r="I2092" s="2" t="s">
        <v>410</v>
      </c>
      <c r="J2092" s="2" t="s">
        <v>900</v>
      </c>
      <c r="K2092" s="2" t="s">
        <v>16007</v>
      </c>
      <c r="L2092" s="2" t="s">
        <v>410</v>
      </c>
      <c r="M2092" s="2" t="s">
        <v>551</v>
      </c>
      <c r="N2092" s="2" t="s">
        <v>16008</v>
      </c>
      <c r="O2092" s="2"/>
      <c r="P2092" s="2" t="s">
        <v>37</v>
      </c>
      <c r="Q2092" s="4" t="n">
        <v>2834</v>
      </c>
      <c r="R2092" s="2" t="s">
        <v>136</v>
      </c>
      <c r="S2092" s="2" t="s">
        <v>39</v>
      </c>
      <c r="T2092" s="2" t="s">
        <v>403</v>
      </c>
      <c r="U2092" s="2" t="s">
        <v>16009</v>
      </c>
      <c r="V2092" s="2"/>
      <c r="W2092" s="2" t="s">
        <v>107</v>
      </c>
      <c r="X2092" s="2" t="s">
        <v>43</v>
      </c>
      <c r="Y2092" s="2" t="s">
        <v>37</v>
      </c>
      <c r="Z2092" s="2" t="s">
        <v>44</v>
      </c>
      <c r="AA2092" s="2"/>
      <c r="AB2092" s="2"/>
      <c r="AC2092" s="2" t="s">
        <v>16010</v>
      </c>
      <c r="AD2092" s="2" t="s">
        <v>46</v>
      </c>
    </row>
    <row r="2093" customFormat="false" ht="15.7" hidden="false" customHeight="true" outlineLevel="0" collapsed="false">
      <c r="A2093" s="2"/>
      <c r="B2093" s="3" t="n">
        <f aca="false">DATE(2012,11,1)</f>
        <v>0</v>
      </c>
      <c r="C2093" s="3" t="n">
        <v>41214</v>
      </c>
      <c r="D2093" s="2" t="s">
        <v>16011</v>
      </c>
      <c r="F2093" s="2" t="s">
        <v>16012</v>
      </c>
      <c r="G2093" s="2" t="s">
        <v>16013</v>
      </c>
      <c r="H2093" s="2" t="s">
        <v>551</v>
      </c>
      <c r="I2093" s="2" t="s">
        <v>7116</v>
      </c>
      <c r="J2093" s="2" t="s">
        <v>625</v>
      </c>
      <c r="K2093" s="2" t="s">
        <v>16011</v>
      </c>
      <c r="L2093" s="2" t="s">
        <v>7116</v>
      </c>
      <c r="M2093" s="2" t="s">
        <v>551</v>
      </c>
      <c r="N2093" s="2" t="s">
        <v>16014</v>
      </c>
      <c r="O2093" s="2"/>
      <c r="P2093" s="2" t="s">
        <v>37</v>
      </c>
      <c r="Q2093" s="4" t="n">
        <v>2834</v>
      </c>
      <c r="R2093" s="2" t="s">
        <v>56</v>
      </c>
      <c r="S2093" s="2" t="s">
        <v>2265</v>
      </c>
      <c r="T2093" s="2" t="s">
        <v>40</v>
      </c>
      <c r="U2093" s="2" t="s">
        <v>16015</v>
      </c>
      <c r="V2093" s="2"/>
      <c r="W2093" s="2" t="s">
        <v>42</v>
      </c>
      <c r="X2093" s="2" t="s">
        <v>43</v>
      </c>
      <c r="Y2093" s="2" t="s">
        <v>37</v>
      </c>
      <c r="Z2093" s="2" t="s">
        <v>44</v>
      </c>
      <c r="AA2093" s="2"/>
      <c r="AB2093" s="2"/>
      <c r="AC2093" s="2" t="s">
        <v>16016</v>
      </c>
      <c r="AD2093" s="2" t="s">
        <v>46</v>
      </c>
    </row>
    <row r="2094" customFormat="false" ht="15.7" hidden="false" customHeight="true" outlineLevel="0" collapsed="false">
      <c r="A2094" s="2"/>
      <c r="B2094" s="3" t="n">
        <f aca="false">DATE(2012,11,2)</f>
        <v>0</v>
      </c>
      <c r="C2094" s="3" t="n">
        <v>41215</v>
      </c>
      <c r="D2094" s="2" t="s">
        <v>16017</v>
      </c>
      <c r="F2094" s="2" t="s">
        <v>16018</v>
      </c>
      <c r="G2094" s="2" t="s">
        <v>16019</v>
      </c>
      <c r="H2094" s="2" t="s">
        <v>684</v>
      </c>
      <c r="I2094" s="2" t="s">
        <v>5161</v>
      </c>
      <c r="J2094" s="2" t="s">
        <v>35</v>
      </c>
      <c r="K2094" s="2" t="s">
        <v>16017</v>
      </c>
      <c r="L2094" s="2" t="s">
        <v>5161</v>
      </c>
      <c r="M2094" s="2" t="s">
        <v>684</v>
      </c>
      <c r="N2094" s="2" t="s">
        <v>16020</v>
      </c>
      <c r="O2094" s="2"/>
      <c r="P2094" s="2" t="s">
        <v>37</v>
      </c>
      <c r="Q2094" s="4" t="n">
        <v>2834</v>
      </c>
      <c r="R2094" s="2" t="s">
        <v>1208</v>
      </c>
      <c r="S2094" s="2" t="s">
        <v>39</v>
      </c>
      <c r="T2094" s="2" t="s">
        <v>40</v>
      </c>
      <c r="U2094" s="2" t="s">
        <v>16021</v>
      </c>
      <c r="V2094" s="2"/>
      <c r="W2094" s="2" t="s">
        <v>107</v>
      </c>
      <c r="X2094" s="2" t="s">
        <v>43</v>
      </c>
      <c r="Y2094" s="2" t="s">
        <v>37</v>
      </c>
      <c r="Z2094" s="2" t="s">
        <v>44</v>
      </c>
      <c r="AA2094" s="2"/>
      <c r="AB2094" s="2"/>
      <c r="AC2094" s="2" t="s">
        <v>16022</v>
      </c>
      <c r="AD2094" s="2" t="s">
        <v>46</v>
      </c>
    </row>
    <row r="2095" customFormat="false" ht="15.7" hidden="false" customHeight="true" outlineLevel="0" collapsed="false">
      <c r="A2095" s="2"/>
      <c r="B2095" s="3" t="n">
        <f aca="false">DATE(2012,11,2)</f>
        <v>0</v>
      </c>
      <c r="C2095" s="3" t="n">
        <v>41215</v>
      </c>
      <c r="D2095" s="2" t="s">
        <v>16023</v>
      </c>
      <c r="F2095" s="2" t="s">
        <v>16024</v>
      </c>
      <c r="G2095" s="2" t="s">
        <v>16025</v>
      </c>
      <c r="H2095" s="2" t="s">
        <v>16026</v>
      </c>
      <c r="I2095" s="2" t="s">
        <v>16027</v>
      </c>
      <c r="J2095" s="2" t="s">
        <v>116</v>
      </c>
      <c r="K2095" s="2" t="s">
        <v>16028</v>
      </c>
      <c r="L2095" s="2" t="s">
        <v>16029</v>
      </c>
      <c r="M2095" s="2" t="s">
        <v>16030</v>
      </c>
      <c r="N2095" s="2" t="s">
        <v>16031</v>
      </c>
      <c r="O2095" s="2" t="s">
        <v>16032</v>
      </c>
      <c r="P2095" s="2" t="s">
        <v>37</v>
      </c>
      <c r="Q2095" s="4" t="n">
        <v>9511</v>
      </c>
      <c r="R2095" s="2" t="s">
        <v>402</v>
      </c>
      <c r="S2095" s="2" t="s">
        <v>39</v>
      </c>
      <c r="T2095" s="2" t="s">
        <v>40</v>
      </c>
      <c r="U2095" s="2" t="s">
        <v>16033</v>
      </c>
      <c r="V2095" s="2"/>
      <c r="W2095" s="2" t="s">
        <v>16034</v>
      </c>
      <c r="X2095" s="2" t="s">
        <v>46</v>
      </c>
      <c r="Y2095" s="2" t="s">
        <v>37</v>
      </c>
      <c r="Z2095" s="2" t="s">
        <v>1404</v>
      </c>
      <c r="AA2095" s="2" t="s">
        <v>16035</v>
      </c>
      <c r="AB2095" s="2" t="s">
        <v>16036</v>
      </c>
      <c r="AC2095" s="2" t="s">
        <v>16037</v>
      </c>
      <c r="AD2095" s="2" t="s">
        <v>46</v>
      </c>
    </row>
    <row r="2096" customFormat="false" ht="15.7" hidden="false" customHeight="true" outlineLevel="0" collapsed="false">
      <c r="A2096" s="2"/>
      <c r="B2096" s="3" t="n">
        <f aca="false">DATE(2012,11,7)</f>
        <v>0</v>
      </c>
      <c r="C2096" s="3" t="n">
        <v>41220</v>
      </c>
      <c r="D2096" s="2" t="s">
        <v>16038</v>
      </c>
      <c r="F2096" s="2" t="s">
        <v>5969</v>
      </c>
      <c r="G2096" s="2" t="s">
        <v>16039</v>
      </c>
      <c r="H2096" s="2" t="s">
        <v>3500</v>
      </c>
      <c r="I2096" s="2" t="s">
        <v>4325</v>
      </c>
      <c r="J2096" s="2" t="s">
        <v>35</v>
      </c>
      <c r="K2096" s="2" t="s">
        <v>16040</v>
      </c>
      <c r="L2096" s="2" t="s">
        <v>4325</v>
      </c>
      <c r="M2096" s="2" t="s">
        <v>3500</v>
      </c>
      <c r="N2096" s="2" t="s">
        <v>16041</v>
      </c>
      <c r="O2096" s="2"/>
      <c r="P2096" s="2" t="s">
        <v>37</v>
      </c>
      <c r="Q2096" s="4" t="n">
        <v>3714</v>
      </c>
      <c r="R2096" s="2" t="s">
        <v>402</v>
      </c>
      <c r="S2096" s="2" t="s">
        <v>39</v>
      </c>
      <c r="T2096" s="2" t="s">
        <v>403</v>
      </c>
      <c r="U2096" s="2" t="s">
        <v>16042</v>
      </c>
      <c r="V2096" s="2"/>
      <c r="W2096" s="2" t="s">
        <v>107</v>
      </c>
      <c r="X2096" s="2" t="s">
        <v>43</v>
      </c>
      <c r="Y2096" s="2" t="s">
        <v>37</v>
      </c>
      <c r="Z2096" s="2" t="s">
        <v>44</v>
      </c>
      <c r="AA2096" s="2"/>
      <c r="AB2096" s="2"/>
      <c r="AC2096" s="2" t="s">
        <v>16043</v>
      </c>
      <c r="AD2096" s="2" t="s">
        <v>46</v>
      </c>
    </row>
    <row r="2097" customFormat="false" ht="15.7" hidden="false" customHeight="true" outlineLevel="0" collapsed="false">
      <c r="A2097" s="2"/>
      <c r="B2097" s="3" t="n">
        <f aca="false">DATE(2012,11,9)</f>
        <v>0</v>
      </c>
      <c r="C2097" s="3" t="n">
        <v>41222</v>
      </c>
      <c r="D2097" s="2" t="s">
        <v>16044</v>
      </c>
      <c r="F2097" s="2" t="s">
        <v>10115</v>
      </c>
      <c r="G2097" s="2" t="s">
        <v>16045</v>
      </c>
      <c r="H2097" s="2" t="s">
        <v>305</v>
      </c>
      <c r="I2097" s="2" t="s">
        <v>51</v>
      </c>
      <c r="J2097" s="2" t="s">
        <v>16046</v>
      </c>
      <c r="K2097" s="2" t="s">
        <v>16044</v>
      </c>
      <c r="L2097" s="2" t="s">
        <v>51</v>
      </c>
      <c r="M2097" s="2" t="s">
        <v>305</v>
      </c>
      <c r="N2097" s="2" t="s">
        <v>16047</v>
      </c>
      <c r="O2097" s="2"/>
      <c r="P2097" s="2" t="s">
        <v>37</v>
      </c>
      <c r="Q2097" s="4" t="n">
        <v>8731</v>
      </c>
      <c r="R2097" s="2" t="s">
        <v>56</v>
      </c>
      <c r="S2097" s="2" t="s">
        <v>2265</v>
      </c>
      <c r="T2097" s="2" t="s">
        <v>403</v>
      </c>
      <c r="U2097" s="2" t="s">
        <v>16048</v>
      </c>
      <c r="V2097" s="2"/>
      <c r="W2097" s="2" t="s">
        <v>1050</v>
      </c>
      <c r="X2097" s="2" t="s">
        <v>43</v>
      </c>
      <c r="Y2097" s="2" t="s">
        <v>37</v>
      </c>
      <c r="Z2097" s="2" t="s">
        <v>44</v>
      </c>
      <c r="AA2097" s="2"/>
      <c r="AB2097" s="2"/>
      <c r="AC2097" s="2" t="s">
        <v>16049</v>
      </c>
      <c r="AD2097" s="2" t="s">
        <v>46</v>
      </c>
    </row>
    <row r="2098" customFormat="false" ht="15.7" hidden="false" customHeight="true" outlineLevel="0" collapsed="false">
      <c r="A2098" s="2"/>
      <c r="B2098" s="3" t="n">
        <f aca="false">DATE(2012,11,13)</f>
        <v>0</v>
      </c>
      <c r="C2098" s="3" t="n">
        <v>41226</v>
      </c>
      <c r="D2098" s="2" t="s">
        <v>16050</v>
      </c>
      <c r="F2098" s="2" t="s">
        <v>2026</v>
      </c>
      <c r="G2098" s="2" t="s">
        <v>16051</v>
      </c>
      <c r="H2098" s="2" t="s">
        <v>762</v>
      </c>
      <c r="I2098" s="2" t="s">
        <v>51</v>
      </c>
      <c r="J2098" s="2" t="s">
        <v>7353</v>
      </c>
      <c r="K2098" s="2" t="s">
        <v>16050</v>
      </c>
      <c r="L2098" s="2" t="s">
        <v>51</v>
      </c>
      <c r="M2098" s="2" t="s">
        <v>762</v>
      </c>
      <c r="N2098" s="2" t="s">
        <v>16052</v>
      </c>
      <c r="O2098" s="2" t="s">
        <v>16053</v>
      </c>
      <c r="P2098" s="2" t="s">
        <v>37</v>
      </c>
      <c r="Q2098" s="4" t="n">
        <v>2836</v>
      </c>
      <c r="R2098" s="2" t="s">
        <v>56</v>
      </c>
      <c r="S2098" s="2" t="s">
        <v>2265</v>
      </c>
      <c r="T2098" s="2" t="s">
        <v>40</v>
      </c>
      <c r="U2098" s="2" t="s">
        <v>16054</v>
      </c>
      <c r="V2098" s="2"/>
      <c r="W2098" s="2" t="s">
        <v>42</v>
      </c>
      <c r="X2098" s="2" t="s">
        <v>46</v>
      </c>
      <c r="Y2098" s="2" t="s">
        <v>37</v>
      </c>
      <c r="Z2098" s="2" t="s">
        <v>362</v>
      </c>
      <c r="AA2098" s="2"/>
      <c r="AB2098" s="2" t="s">
        <v>16055</v>
      </c>
      <c r="AC2098" s="2" t="s">
        <v>16056</v>
      </c>
      <c r="AD2098" s="2" t="s">
        <v>46</v>
      </c>
    </row>
    <row r="2099" customFormat="false" ht="15.7" hidden="false" customHeight="true" outlineLevel="0" collapsed="false">
      <c r="A2099" s="2"/>
      <c r="B2099" s="3" t="n">
        <f aca="false">DATE(2012,11,13)</f>
        <v>0</v>
      </c>
      <c r="C2099" s="3" t="n">
        <v>41226</v>
      </c>
      <c r="D2099" s="2" t="s">
        <v>16057</v>
      </c>
      <c r="F2099" s="2" t="s">
        <v>16058</v>
      </c>
      <c r="G2099" s="2" t="s">
        <v>16059</v>
      </c>
      <c r="H2099" s="2" t="s">
        <v>16060</v>
      </c>
      <c r="I2099" s="2" t="s">
        <v>51</v>
      </c>
      <c r="J2099" s="2" t="s">
        <v>16061</v>
      </c>
      <c r="K2099" s="2" t="s">
        <v>16057</v>
      </c>
      <c r="L2099" s="2" t="s">
        <v>51</v>
      </c>
      <c r="M2099" s="2" t="s">
        <v>16060</v>
      </c>
      <c r="N2099" s="2" t="s">
        <v>16062</v>
      </c>
      <c r="O2099" s="2"/>
      <c r="P2099" s="2" t="s">
        <v>37</v>
      </c>
      <c r="Q2099" s="4" t="n">
        <v>3675</v>
      </c>
      <c r="R2099" s="2" t="s">
        <v>56</v>
      </c>
      <c r="S2099" s="2" t="s">
        <v>2265</v>
      </c>
      <c r="T2099" s="2" t="s">
        <v>403</v>
      </c>
      <c r="U2099" s="2" t="s">
        <v>16063</v>
      </c>
      <c r="V2099" s="2"/>
      <c r="W2099" s="2" t="s">
        <v>138</v>
      </c>
      <c r="X2099" s="2" t="s">
        <v>43</v>
      </c>
      <c r="Y2099" s="2" t="s">
        <v>37</v>
      </c>
      <c r="Z2099" s="2" t="s">
        <v>44</v>
      </c>
      <c r="AA2099" s="2"/>
      <c r="AB2099" s="2"/>
      <c r="AC2099" s="2" t="s">
        <v>16064</v>
      </c>
      <c r="AD2099" s="2" t="s">
        <v>46</v>
      </c>
    </row>
    <row r="2100" customFormat="false" ht="15.7" hidden="false" customHeight="true" outlineLevel="0" collapsed="false">
      <c r="A2100" s="2"/>
      <c r="B2100" s="3" t="n">
        <f aca="false">DATE(2012,11,13)</f>
        <v>0</v>
      </c>
      <c r="C2100" s="3" t="n">
        <v>41226</v>
      </c>
      <c r="D2100" s="2" t="s">
        <v>16065</v>
      </c>
      <c r="F2100" s="2" t="s">
        <v>16066</v>
      </c>
      <c r="G2100" s="2" t="s">
        <v>16067</v>
      </c>
      <c r="H2100" s="2" t="s">
        <v>548</v>
      </c>
      <c r="I2100" s="2" t="s">
        <v>724</v>
      </c>
      <c r="J2100" s="2" t="s">
        <v>155</v>
      </c>
      <c r="K2100" s="2" t="s">
        <v>16065</v>
      </c>
      <c r="L2100" s="2" t="s">
        <v>724</v>
      </c>
      <c r="M2100" s="2" t="s">
        <v>548</v>
      </c>
      <c r="N2100" s="2" t="s">
        <v>16068</v>
      </c>
      <c r="O2100" s="2"/>
      <c r="P2100" s="2" t="s">
        <v>37</v>
      </c>
      <c r="Q2100" s="4" t="n">
        <v>3845</v>
      </c>
      <c r="R2100" s="2" t="s">
        <v>136</v>
      </c>
      <c r="S2100" s="2" t="s">
        <v>39</v>
      </c>
      <c r="T2100" s="2" t="s">
        <v>40</v>
      </c>
      <c r="U2100" s="2" t="s">
        <v>16069</v>
      </c>
      <c r="V2100" s="2"/>
      <c r="W2100" s="2" t="s">
        <v>42</v>
      </c>
      <c r="X2100" s="2" t="s">
        <v>43</v>
      </c>
      <c r="Y2100" s="2" t="s">
        <v>37</v>
      </c>
      <c r="Z2100" s="2" t="s">
        <v>44</v>
      </c>
      <c r="AA2100" s="2"/>
      <c r="AB2100" s="2"/>
      <c r="AC2100" s="2" t="s">
        <v>16070</v>
      </c>
      <c r="AD2100" s="2" t="s">
        <v>46</v>
      </c>
    </row>
    <row r="2101" customFormat="false" ht="15.7" hidden="false" customHeight="true" outlineLevel="0" collapsed="false">
      <c r="A2101" s="2"/>
      <c r="B2101" s="3" t="n">
        <f aca="false">DATE(2012,11,14)</f>
        <v>0</v>
      </c>
      <c r="C2101" s="3" t="n">
        <v>41227</v>
      </c>
      <c r="D2101" s="2" t="s">
        <v>16071</v>
      </c>
      <c r="F2101" s="2" t="s">
        <v>16072</v>
      </c>
      <c r="G2101" s="2" t="s">
        <v>16073</v>
      </c>
      <c r="H2101" s="2" t="s">
        <v>130</v>
      </c>
      <c r="I2101" s="2" t="s">
        <v>51</v>
      </c>
      <c r="J2101" s="2" t="s">
        <v>2338</v>
      </c>
      <c r="K2101" s="2" t="s">
        <v>16071</v>
      </c>
      <c r="L2101" s="2" t="s">
        <v>51</v>
      </c>
      <c r="M2101" s="2" t="s">
        <v>130</v>
      </c>
      <c r="N2101" s="2" t="s">
        <v>16074</v>
      </c>
      <c r="O2101" s="2"/>
      <c r="P2101" s="2" t="s">
        <v>37</v>
      </c>
      <c r="Q2101" s="4" t="n">
        <v>2836</v>
      </c>
      <c r="R2101" s="2" t="s">
        <v>56</v>
      </c>
      <c r="S2101" s="2" t="s">
        <v>2265</v>
      </c>
      <c r="T2101" s="2" t="s">
        <v>40</v>
      </c>
      <c r="U2101" s="2" t="s">
        <v>16075</v>
      </c>
      <c r="V2101" s="2"/>
      <c r="W2101" s="2" t="s">
        <v>42</v>
      </c>
      <c r="X2101" s="2" t="s">
        <v>43</v>
      </c>
      <c r="Y2101" s="2" t="s">
        <v>37</v>
      </c>
      <c r="Z2101" s="2" t="s">
        <v>44</v>
      </c>
      <c r="AA2101" s="2"/>
      <c r="AB2101" s="2"/>
      <c r="AC2101" s="2" t="s">
        <v>16076</v>
      </c>
      <c r="AD2101" s="2" t="s">
        <v>46</v>
      </c>
    </row>
    <row r="2102" customFormat="false" ht="15.7" hidden="false" customHeight="true" outlineLevel="0" collapsed="false">
      <c r="A2102" s="2"/>
      <c r="B2102" s="3" t="n">
        <f aca="false">DATE(2012,11,14)</f>
        <v>0</v>
      </c>
      <c r="C2102" s="3" t="n">
        <v>41227</v>
      </c>
      <c r="D2102" s="2" t="s">
        <v>15021</v>
      </c>
      <c r="F2102" s="2" t="s">
        <v>15022</v>
      </c>
      <c r="G2102" s="2" t="s">
        <v>15023</v>
      </c>
      <c r="H2102" s="2" t="s">
        <v>15024</v>
      </c>
      <c r="I2102" s="2" t="s">
        <v>15025</v>
      </c>
      <c r="J2102" s="2" t="s">
        <v>35</v>
      </c>
      <c r="K2102" s="2" t="s">
        <v>15021</v>
      </c>
      <c r="L2102" s="2" t="s">
        <v>15025</v>
      </c>
      <c r="M2102" s="2" t="s">
        <v>15024</v>
      </c>
      <c r="N2102" s="2" t="s">
        <v>16077</v>
      </c>
      <c r="O2102" s="2"/>
      <c r="P2102" s="2" t="s">
        <v>37</v>
      </c>
      <c r="Q2102" s="4" t="n">
        <v>1382</v>
      </c>
      <c r="R2102" s="2" t="s">
        <v>12595</v>
      </c>
      <c r="S2102" s="2" t="s">
        <v>39</v>
      </c>
      <c r="T2102" s="2" t="s">
        <v>403</v>
      </c>
      <c r="U2102" s="2" t="s">
        <v>16078</v>
      </c>
      <c r="V2102" s="2"/>
      <c r="W2102" s="2" t="s">
        <v>4505</v>
      </c>
      <c r="X2102" s="2" t="s">
        <v>46</v>
      </c>
      <c r="Y2102" s="2" t="s">
        <v>37</v>
      </c>
      <c r="Z2102" s="2" t="s">
        <v>362</v>
      </c>
      <c r="AA2102" s="2"/>
      <c r="AB2102" s="2"/>
      <c r="AC2102" s="2" t="s">
        <v>15028</v>
      </c>
      <c r="AD2102" s="2" t="s">
        <v>46</v>
      </c>
    </row>
    <row r="2103" customFormat="false" ht="15.7" hidden="false" customHeight="true" outlineLevel="0" collapsed="false">
      <c r="A2103" s="2"/>
      <c r="B2103" s="3" t="n">
        <f aca="false">DATE(2012,11,15)</f>
        <v>0</v>
      </c>
      <c r="C2103" s="3" t="n">
        <v>41228</v>
      </c>
      <c r="D2103" s="2" t="s">
        <v>16079</v>
      </c>
      <c r="F2103" s="2" t="s">
        <v>16080</v>
      </c>
      <c r="G2103" s="2" t="s">
        <v>16081</v>
      </c>
      <c r="H2103" s="2" t="s">
        <v>16082</v>
      </c>
      <c r="I2103" s="2" t="s">
        <v>16083</v>
      </c>
      <c r="J2103" s="2" t="s">
        <v>116</v>
      </c>
      <c r="K2103" s="2" t="s">
        <v>16084</v>
      </c>
      <c r="L2103" s="2" t="s">
        <v>16083</v>
      </c>
      <c r="M2103" s="2" t="s">
        <v>16082</v>
      </c>
      <c r="N2103" s="2" t="s">
        <v>16085</v>
      </c>
      <c r="O2103" s="2"/>
      <c r="P2103" s="2" t="s">
        <v>37</v>
      </c>
      <c r="Q2103" s="4" t="n">
        <v>1081</v>
      </c>
      <c r="R2103" s="2" t="s">
        <v>1448</v>
      </c>
      <c r="S2103" s="2" t="s">
        <v>39</v>
      </c>
      <c r="T2103" s="2" t="s">
        <v>403</v>
      </c>
      <c r="U2103" s="2" t="s">
        <v>16086</v>
      </c>
      <c r="V2103" s="2"/>
      <c r="W2103" s="2" t="s">
        <v>9400</v>
      </c>
      <c r="X2103" s="2" t="s">
        <v>46</v>
      </c>
      <c r="Y2103" s="2" t="s">
        <v>37</v>
      </c>
      <c r="Z2103" s="2" t="s">
        <v>452</v>
      </c>
      <c r="AA2103" s="2"/>
      <c r="AB2103" s="2"/>
      <c r="AC2103" s="2" t="s">
        <v>16087</v>
      </c>
      <c r="AD2103" s="2" t="s">
        <v>46</v>
      </c>
    </row>
    <row r="2104" customFormat="false" ht="15.7" hidden="false" customHeight="true" outlineLevel="0" collapsed="false">
      <c r="A2104" s="2"/>
      <c r="B2104" s="3" t="n">
        <f aca="false">DATE(2012,11,16)</f>
        <v>0</v>
      </c>
      <c r="C2104" s="3" t="n">
        <v>41229</v>
      </c>
      <c r="D2104" s="2" t="s">
        <v>16088</v>
      </c>
      <c r="F2104" s="2" t="s">
        <v>16089</v>
      </c>
      <c r="G2104" s="2" t="s">
        <v>16090</v>
      </c>
      <c r="H2104" s="2" t="s">
        <v>16091</v>
      </c>
      <c r="I2104" s="2" t="s">
        <v>4325</v>
      </c>
      <c r="J2104" s="2" t="s">
        <v>35</v>
      </c>
      <c r="K2104" s="2" t="s">
        <v>16088</v>
      </c>
      <c r="L2104" s="2" t="s">
        <v>4325</v>
      </c>
      <c r="M2104" s="2" t="s">
        <v>16091</v>
      </c>
      <c r="N2104" s="2" t="s">
        <v>16092</v>
      </c>
      <c r="O2104" s="2"/>
      <c r="P2104" s="2" t="s">
        <v>37</v>
      </c>
      <c r="Q2104" s="4" t="n">
        <v>3915</v>
      </c>
      <c r="R2104" s="2" t="s">
        <v>402</v>
      </c>
      <c r="S2104" s="2" t="s">
        <v>39</v>
      </c>
      <c r="T2104" s="2" t="s">
        <v>403</v>
      </c>
      <c r="U2104" s="2" t="s">
        <v>16093</v>
      </c>
      <c r="V2104" s="2"/>
      <c r="W2104" s="2" t="s">
        <v>2209</v>
      </c>
      <c r="X2104" s="2" t="s">
        <v>46</v>
      </c>
      <c r="Y2104" s="2" t="s">
        <v>37</v>
      </c>
      <c r="Z2104" s="2" t="s">
        <v>3495</v>
      </c>
      <c r="AA2104" s="2" t="s">
        <v>16094</v>
      </c>
      <c r="AB2104" s="2"/>
      <c r="AC2104" s="2" t="s">
        <v>16095</v>
      </c>
      <c r="AD2104" s="2" t="s">
        <v>46</v>
      </c>
    </row>
    <row r="2105" customFormat="false" ht="15.7" hidden="false" customHeight="true" outlineLevel="0" collapsed="false">
      <c r="A2105" s="2"/>
      <c r="B2105" s="3" t="n">
        <f aca="false">DATE(2012,11,16)</f>
        <v>0</v>
      </c>
      <c r="C2105" s="3" t="n">
        <v>41229</v>
      </c>
      <c r="D2105" s="2" t="s">
        <v>16096</v>
      </c>
      <c r="F2105" s="2" t="s">
        <v>16097</v>
      </c>
      <c r="G2105" s="2" t="s">
        <v>16098</v>
      </c>
      <c r="H2105" s="2" t="s">
        <v>16099</v>
      </c>
      <c r="I2105" s="2" t="s">
        <v>219</v>
      </c>
      <c r="J2105" s="2" t="s">
        <v>671</v>
      </c>
      <c r="K2105" s="2" t="s">
        <v>16096</v>
      </c>
      <c r="L2105" s="2" t="s">
        <v>219</v>
      </c>
      <c r="M2105" s="2" t="s">
        <v>16099</v>
      </c>
      <c r="N2105" s="2" t="s">
        <v>16100</v>
      </c>
      <c r="O2105" s="2"/>
      <c r="P2105" s="2" t="s">
        <v>37</v>
      </c>
      <c r="Q2105" s="4" t="n">
        <v>3679</v>
      </c>
      <c r="R2105" s="2" t="s">
        <v>38</v>
      </c>
      <c r="S2105" s="2" t="s">
        <v>39</v>
      </c>
      <c r="T2105" s="2" t="s">
        <v>40</v>
      </c>
      <c r="U2105" s="2" t="s">
        <v>16101</v>
      </c>
      <c r="V2105" s="2"/>
      <c r="W2105" s="2" t="s">
        <v>42</v>
      </c>
      <c r="X2105" s="2" t="s">
        <v>43</v>
      </c>
      <c r="Y2105" s="2" t="s">
        <v>37</v>
      </c>
      <c r="Z2105" s="2" t="s">
        <v>44</v>
      </c>
      <c r="AA2105" s="2"/>
      <c r="AB2105" s="2"/>
      <c r="AC2105" s="2" t="s">
        <v>16102</v>
      </c>
      <c r="AD2105" s="2" t="s">
        <v>46</v>
      </c>
    </row>
    <row r="2106" customFormat="false" ht="15.7" hidden="false" customHeight="true" outlineLevel="0" collapsed="false">
      <c r="A2106" s="2"/>
      <c r="B2106" s="3" t="n">
        <f aca="false">DATE(2012,11,16)</f>
        <v>0</v>
      </c>
      <c r="C2106" s="3" t="n">
        <v>41229</v>
      </c>
      <c r="D2106" s="2" t="s">
        <v>16103</v>
      </c>
      <c r="F2106" s="2" t="s">
        <v>319</v>
      </c>
      <c r="G2106" s="2" t="s">
        <v>16104</v>
      </c>
      <c r="H2106" s="2" t="s">
        <v>305</v>
      </c>
      <c r="I2106" s="2" t="s">
        <v>3265</v>
      </c>
      <c r="J2106" s="2" t="s">
        <v>132</v>
      </c>
      <c r="K2106" s="2" t="s">
        <v>16103</v>
      </c>
      <c r="L2106" s="2" t="s">
        <v>3265</v>
      </c>
      <c r="M2106" s="2" t="s">
        <v>305</v>
      </c>
      <c r="N2106" s="2" t="s">
        <v>16105</v>
      </c>
      <c r="O2106" s="2"/>
      <c r="P2106" s="2" t="s">
        <v>37</v>
      </c>
      <c r="Q2106" s="4" t="n">
        <v>8731</v>
      </c>
      <c r="R2106" s="2" t="s">
        <v>402</v>
      </c>
      <c r="S2106" s="2" t="s">
        <v>39</v>
      </c>
      <c r="T2106" s="2" t="s">
        <v>403</v>
      </c>
      <c r="U2106" s="2" t="s">
        <v>16106</v>
      </c>
      <c r="V2106" s="2"/>
      <c r="W2106" s="2" t="s">
        <v>42</v>
      </c>
      <c r="X2106" s="2" t="s">
        <v>46</v>
      </c>
      <c r="Y2106" s="2" t="s">
        <v>37</v>
      </c>
      <c r="Z2106" s="2" t="s">
        <v>987</v>
      </c>
      <c r="AA2106" s="2" t="s">
        <v>16107</v>
      </c>
      <c r="AB2106" s="2"/>
      <c r="AC2106" s="2" t="s">
        <v>16108</v>
      </c>
      <c r="AD2106" s="2" t="s">
        <v>46</v>
      </c>
    </row>
    <row r="2107" customFormat="false" ht="15.7" hidden="false" customHeight="true" outlineLevel="0" collapsed="false">
      <c r="A2107" s="2"/>
      <c r="B2107" s="3" t="n">
        <f aca="false">DATE(2012,11,20)</f>
        <v>0</v>
      </c>
      <c r="C2107" s="3" t="n">
        <v>41233</v>
      </c>
      <c r="D2107" s="2" t="s">
        <v>16109</v>
      </c>
      <c r="F2107" s="2" t="s">
        <v>16110</v>
      </c>
      <c r="G2107" s="2" t="s">
        <v>16111</v>
      </c>
      <c r="H2107" s="2" t="s">
        <v>130</v>
      </c>
      <c r="I2107" s="2" t="s">
        <v>8326</v>
      </c>
      <c r="J2107" s="2" t="s">
        <v>35</v>
      </c>
      <c r="K2107" s="2" t="s">
        <v>16112</v>
      </c>
      <c r="L2107" s="2" t="s">
        <v>410</v>
      </c>
      <c r="M2107" s="2" t="s">
        <v>16113</v>
      </c>
      <c r="N2107" s="2" t="s">
        <v>16114</v>
      </c>
      <c r="O2107" s="2"/>
      <c r="P2107" s="2" t="s">
        <v>37</v>
      </c>
      <c r="Q2107" s="4" t="n">
        <v>8731</v>
      </c>
      <c r="R2107" s="2" t="s">
        <v>402</v>
      </c>
      <c r="S2107" s="2" t="s">
        <v>39</v>
      </c>
      <c r="T2107" s="2" t="s">
        <v>40</v>
      </c>
      <c r="U2107" s="2" t="s">
        <v>16115</v>
      </c>
      <c r="V2107" s="2"/>
      <c r="W2107" s="2" t="s">
        <v>16116</v>
      </c>
      <c r="X2107" s="2" t="s">
        <v>43</v>
      </c>
      <c r="Y2107" s="2" t="s">
        <v>37</v>
      </c>
      <c r="Z2107" s="2" t="s">
        <v>44</v>
      </c>
      <c r="AA2107" s="2"/>
      <c r="AB2107" s="2"/>
      <c r="AC2107" s="2" t="s">
        <v>16117</v>
      </c>
      <c r="AD2107" s="2" t="s">
        <v>46</v>
      </c>
    </row>
    <row r="2108" customFormat="false" ht="15.7" hidden="false" customHeight="true" outlineLevel="0" collapsed="false">
      <c r="A2108" s="2"/>
      <c r="B2108" s="3" t="n">
        <f aca="false">DATE(2012,11,20)</f>
        <v>0</v>
      </c>
      <c r="C2108" s="3" t="n">
        <v>41233</v>
      </c>
      <c r="D2108" s="2" t="s">
        <v>16118</v>
      </c>
      <c r="F2108" s="2" t="s">
        <v>16119</v>
      </c>
      <c r="G2108" s="2" t="s">
        <v>16120</v>
      </c>
      <c r="H2108" s="2" t="s">
        <v>16121</v>
      </c>
      <c r="I2108" s="2" t="s">
        <v>51</v>
      </c>
      <c r="J2108" s="2" t="s">
        <v>16122</v>
      </c>
      <c r="K2108" s="2" t="s">
        <v>16118</v>
      </c>
      <c r="L2108" s="2" t="s">
        <v>51</v>
      </c>
      <c r="M2108" s="2" t="s">
        <v>16121</v>
      </c>
      <c r="N2108" s="2" t="s">
        <v>16123</v>
      </c>
      <c r="O2108" s="2"/>
      <c r="P2108" s="2" t="s">
        <v>37</v>
      </c>
      <c r="Q2108" s="4" t="n">
        <v>3812</v>
      </c>
      <c r="R2108" s="2" t="s">
        <v>136</v>
      </c>
      <c r="S2108" s="2" t="s">
        <v>39</v>
      </c>
      <c r="T2108" s="2" t="s">
        <v>403</v>
      </c>
      <c r="U2108" s="2" t="s">
        <v>16124</v>
      </c>
      <c r="V2108" s="2"/>
      <c r="W2108" s="2" t="s">
        <v>10841</v>
      </c>
      <c r="X2108" s="2" t="s">
        <v>43</v>
      </c>
      <c r="Y2108" s="2" t="s">
        <v>37</v>
      </c>
      <c r="Z2108" s="2" t="s">
        <v>44</v>
      </c>
      <c r="AA2108" s="2"/>
      <c r="AB2108" s="2"/>
      <c r="AC2108" s="2" t="s">
        <v>16125</v>
      </c>
      <c r="AD2108" s="2" t="s">
        <v>46</v>
      </c>
    </row>
    <row r="2109" customFormat="false" ht="15.7" hidden="false" customHeight="true" outlineLevel="0" collapsed="false">
      <c r="A2109" s="2"/>
      <c r="B2109" s="3" t="n">
        <f aca="false">DATE(2012,11,20)</f>
        <v>0</v>
      </c>
      <c r="C2109" s="3" t="n">
        <v>41233</v>
      </c>
      <c r="D2109" s="2" t="s">
        <v>16126</v>
      </c>
      <c r="F2109" s="2" t="s">
        <v>16127</v>
      </c>
      <c r="G2109" s="2" t="s">
        <v>16128</v>
      </c>
      <c r="H2109" s="2" t="s">
        <v>16129</v>
      </c>
      <c r="I2109" s="2" t="s">
        <v>227</v>
      </c>
      <c r="J2109" s="2" t="s">
        <v>331</v>
      </c>
      <c r="K2109" s="2" t="s">
        <v>16130</v>
      </c>
      <c r="L2109" s="2" t="s">
        <v>227</v>
      </c>
      <c r="M2109" s="2" t="s">
        <v>368</v>
      </c>
      <c r="N2109" s="2" t="s">
        <v>16131</v>
      </c>
      <c r="O2109" s="2"/>
      <c r="P2109" s="2" t="s">
        <v>37</v>
      </c>
      <c r="Q2109" s="4" t="n">
        <v>2834</v>
      </c>
      <c r="R2109" s="2" t="s">
        <v>136</v>
      </c>
      <c r="S2109" s="2" t="s">
        <v>39</v>
      </c>
      <c r="T2109" s="2" t="s">
        <v>403</v>
      </c>
      <c r="U2109" s="2" t="s">
        <v>16132</v>
      </c>
      <c r="V2109" s="2"/>
      <c r="W2109" s="2" t="s">
        <v>42</v>
      </c>
      <c r="X2109" s="2" t="s">
        <v>43</v>
      </c>
      <c r="Y2109" s="2" t="s">
        <v>37</v>
      </c>
      <c r="Z2109" s="2" t="s">
        <v>44</v>
      </c>
      <c r="AA2109" s="2"/>
      <c r="AB2109" s="2"/>
      <c r="AC2109" s="2" t="s">
        <v>16133</v>
      </c>
      <c r="AD2109" s="2" t="s">
        <v>46</v>
      </c>
    </row>
    <row r="2110" customFormat="false" ht="15.7" hidden="false" customHeight="true" outlineLevel="0" collapsed="false">
      <c r="A2110" s="2"/>
      <c r="B2110" s="3" t="n">
        <f aca="false">DATE(2012,11,21)</f>
        <v>0</v>
      </c>
      <c r="C2110" s="3" t="n">
        <v>41234</v>
      </c>
      <c r="D2110" s="2" t="s">
        <v>16134</v>
      </c>
      <c r="F2110" s="2" t="s">
        <v>16135</v>
      </c>
      <c r="G2110" s="2" t="s">
        <v>16136</v>
      </c>
      <c r="H2110" s="2" t="s">
        <v>130</v>
      </c>
      <c r="I2110" s="2" t="s">
        <v>51</v>
      </c>
      <c r="J2110" s="2" t="s">
        <v>16137</v>
      </c>
      <c r="K2110" s="2" t="s">
        <v>16138</v>
      </c>
      <c r="L2110" s="2" t="s">
        <v>2052</v>
      </c>
      <c r="M2110" s="2" t="s">
        <v>551</v>
      </c>
      <c r="N2110" s="2" t="s">
        <v>16139</v>
      </c>
      <c r="O2110" s="2"/>
      <c r="P2110" s="2" t="s">
        <v>37</v>
      </c>
      <c r="Q2110" s="4" t="n">
        <v>8731</v>
      </c>
      <c r="R2110" s="2" t="s">
        <v>56</v>
      </c>
      <c r="S2110" s="2" t="s">
        <v>2265</v>
      </c>
      <c r="T2110" s="2" t="s">
        <v>403</v>
      </c>
      <c r="U2110" s="2" t="s">
        <v>16140</v>
      </c>
      <c r="V2110" s="2"/>
      <c r="W2110" s="2" t="s">
        <v>697</v>
      </c>
      <c r="X2110" s="2" t="s">
        <v>43</v>
      </c>
      <c r="Y2110" s="2" t="s">
        <v>37</v>
      </c>
      <c r="Z2110" s="2" t="s">
        <v>44</v>
      </c>
      <c r="AA2110" s="2"/>
      <c r="AB2110" s="2"/>
      <c r="AC2110" s="2" t="s">
        <v>16141</v>
      </c>
      <c r="AD2110" s="2" t="s">
        <v>46</v>
      </c>
    </row>
    <row r="2111" customFormat="false" ht="15.7" hidden="false" customHeight="true" outlineLevel="0" collapsed="false">
      <c r="A2111" s="2"/>
      <c r="B2111" s="3" t="n">
        <f aca="false">DATE(2012,11,27)</f>
        <v>0</v>
      </c>
      <c r="C2111" s="3" t="n">
        <v>41240</v>
      </c>
      <c r="D2111" s="2" t="s">
        <v>16142</v>
      </c>
      <c r="F2111" s="2" t="s">
        <v>16143</v>
      </c>
      <c r="G2111" s="2" t="s">
        <v>16144</v>
      </c>
      <c r="H2111" s="2" t="s">
        <v>16145</v>
      </c>
      <c r="I2111" s="2" t="s">
        <v>4037</v>
      </c>
      <c r="J2111" s="2" t="s">
        <v>625</v>
      </c>
      <c r="K2111" s="2" t="s">
        <v>16142</v>
      </c>
      <c r="L2111" s="2" t="s">
        <v>4037</v>
      </c>
      <c r="M2111" s="2" t="s">
        <v>16145</v>
      </c>
      <c r="N2111" s="2" t="s">
        <v>16146</v>
      </c>
      <c r="O2111" s="2"/>
      <c r="P2111" s="2" t="s">
        <v>37</v>
      </c>
      <c r="Q2111" s="4" t="n">
        <v>8731</v>
      </c>
      <c r="R2111" s="2" t="s">
        <v>2165</v>
      </c>
      <c r="S2111" s="2" t="s">
        <v>39</v>
      </c>
      <c r="T2111" s="2" t="s">
        <v>40</v>
      </c>
      <c r="U2111" s="2" t="s">
        <v>16147</v>
      </c>
      <c r="V2111" s="2"/>
      <c r="W2111" s="2" t="s">
        <v>42</v>
      </c>
      <c r="X2111" s="2" t="s">
        <v>43</v>
      </c>
      <c r="Y2111" s="2" t="s">
        <v>37</v>
      </c>
      <c r="Z2111" s="2" t="s">
        <v>44</v>
      </c>
      <c r="AA2111" s="2"/>
      <c r="AB2111" s="2"/>
      <c r="AC2111" s="2" t="s">
        <v>16148</v>
      </c>
      <c r="AD2111" s="2" t="s">
        <v>46</v>
      </c>
    </row>
    <row r="2112" customFormat="false" ht="15.7" hidden="false" customHeight="true" outlineLevel="0" collapsed="false">
      <c r="A2112" s="2"/>
      <c r="B2112" s="3" t="n">
        <f aca="false">DATE(2012,11,28)</f>
        <v>0</v>
      </c>
      <c r="C2112" s="3" t="n">
        <v>41241</v>
      </c>
      <c r="D2112" s="2" t="s">
        <v>16149</v>
      </c>
      <c r="F2112" s="2" t="s">
        <v>16150</v>
      </c>
      <c r="G2112" s="2" t="s">
        <v>16151</v>
      </c>
      <c r="H2112" s="2" t="s">
        <v>305</v>
      </c>
      <c r="I2112" s="2" t="s">
        <v>16152</v>
      </c>
      <c r="J2112" s="2" t="s">
        <v>35</v>
      </c>
      <c r="K2112" s="2" t="s">
        <v>16153</v>
      </c>
      <c r="L2112" s="2" t="s">
        <v>16152</v>
      </c>
      <c r="M2112" s="2" t="s">
        <v>16154</v>
      </c>
      <c r="N2112" s="2" t="s">
        <v>16155</v>
      </c>
      <c r="O2112" s="2"/>
      <c r="P2112" s="2" t="s">
        <v>37</v>
      </c>
      <c r="Q2112" s="4" t="n">
        <v>8731</v>
      </c>
      <c r="R2112" s="2" t="s">
        <v>2105</v>
      </c>
      <c r="S2112" s="2" t="s">
        <v>39</v>
      </c>
      <c r="T2112" s="2" t="s">
        <v>403</v>
      </c>
      <c r="U2112" s="2" t="s">
        <v>16156</v>
      </c>
      <c r="V2112" s="2"/>
      <c r="W2112" s="2" t="s">
        <v>744</v>
      </c>
      <c r="X2112" s="2" t="s">
        <v>46</v>
      </c>
      <c r="Y2112" s="2" t="s">
        <v>37</v>
      </c>
      <c r="Z2112" s="2" t="s">
        <v>362</v>
      </c>
      <c r="AA2112" s="2"/>
      <c r="AB2112" s="2"/>
      <c r="AC2112" s="2" t="s">
        <v>16157</v>
      </c>
      <c r="AD2112" s="2" t="s">
        <v>46</v>
      </c>
    </row>
    <row r="2113" customFormat="false" ht="15.7" hidden="false" customHeight="true" outlineLevel="0" collapsed="false">
      <c r="A2113" s="2"/>
      <c r="B2113" s="3" t="n">
        <f aca="false">DATE(2012,11,28)</f>
        <v>0</v>
      </c>
      <c r="C2113" s="3" t="n">
        <v>41241</v>
      </c>
      <c r="D2113" s="2" t="s">
        <v>16158</v>
      </c>
      <c r="F2113" s="2" t="s">
        <v>16159</v>
      </c>
      <c r="G2113" s="2" t="s">
        <v>16160</v>
      </c>
      <c r="H2113" s="2" t="s">
        <v>3761</v>
      </c>
      <c r="I2113" s="2" t="s">
        <v>4179</v>
      </c>
      <c r="J2113" s="2" t="s">
        <v>3906</v>
      </c>
      <c r="K2113" s="2" t="s">
        <v>16158</v>
      </c>
      <c r="L2113" s="2" t="s">
        <v>4179</v>
      </c>
      <c r="M2113" s="2" t="s">
        <v>3761</v>
      </c>
      <c r="N2113" s="2" t="s">
        <v>16161</v>
      </c>
      <c r="O2113" s="2"/>
      <c r="P2113" s="2" t="s">
        <v>37</v>
      </c>
      <c r="Q2113" s="4" t="n">
        <v>2834</v>
      </c>
      <c r="R2113" s="2" t="s">
        <v>136</v>
      </c>
      <c r="S2113" s="2" t="s">
        <v>39</v>
      </c>
      <c r="T2113" s="2" t="s">
        <v>40</v>
      </c>
      <c r="U2113" s="2" t="s">
        <v>16162</v>
      </c>
      <c r="V2113" s="2"/>
      <c r="W2113" s="2" t="s">
        <v>42</v>
      </c>
      <c r="X2113" s="2" t="s">
        <v>43</v>
      </c>
      <c r="Y2113" s="2" t="s">
        <v>37</v>
      </c>
      <c r="Z2113" s="2" t="s">
        <v>44</v>
      </c>
      <c r="AA2113" s="2"/>
      <c r="AB2113" s="2"/>
      <c r="AC2113" s="2" t="s">
        <v>16163</v>
      </c>
      <c r="AD2113" s="2" t="s">
        <v>46</v>
      </c>
    </row>
    <row r="2114" customFormat="false" ht="15.7" hidden="false" customHeight="true" outlineLevel="0" collapsed="false">
      <c r="A2114" s="2"/>
      <c r="B2114" s="3" t="n">
        <f aca="false">DATE(2012,11,28)</f>
        <v>0</v>
      </c>
      <c r="C2114" s="3" t="n">
        <v>41241</v>
      </c>
      <c r="D2114" s="2" t="s">
        <v>16164</v>
      </c>
      <c r="F2114" s="2" t="s">
        <v>2026</v>
      </c>
      <c r="G2114" s="2" t="s">
        <v>16165</v>
      </c>
      <c r="H2114" s="2" t="s">
        <v>7280</v>
      </c>
      <c r="I2114" s="2" t="s">
        <v>51</v>
      </c>
      <c r="J2114" s="2" t="s">
        <v>16046</v>
      </c>
      <c r="K2114" s="2" t="s">
        <v>16164</v>
      </c>
      <c r="L2114" s="2" t="s">
        <v>51</v>
      </c>
      <c r="M2114" s="2" t="s">
        <v>7280</v>
      </c>
      <c r="N2114" s="2" t="s">
        <v>16166</v>
      </c>
      <c r="O2114" s="2"/>
      <c r="P2114" s="2" t="s">
        <v>37</v>
      </c>
      <c r="Q2114" s="4" t="n">
        <v>2836</v>
      </c>
      <c r="R2114" s="2" t="s">
        <v>56</v>
      </c>
      <c r="S2114" s="2" t="s">
        <v>2265</v>
      </c>
      <c r="T2114" s="2" t="s">
        <v>40</v>
      </c>
      <c r="U2114" s="2" t="s">
        <v>16167</v>
      </c>
      <c r="V2114" s="2"/>
      <c r="W2114" s="2" t="s">
        <v>42</v>
      </c>
      <c r="X2114" s="2" t="s">
        <v>43</v>
      </c>
      <c r="Y2114" s="2" t="s">
        <v>37</v>
      </c>
      <c r="Z2114" s="2" t="s">
        <v>44</v>
      </c>
      <c r="AA2114" s="2"/>
      <c r="AB2114" s="2"/>
      <c r="AC2114" s="2" t="s">
        <v>16168</v>
      </c>
      <c r="AD2114" s="2" t="s">
        <v>46</v>
      </c>
    </row>
    <row r="2115" customFormat="false" ht="15.7" hidden="false" customHeight="true" outlineLevel="0" collapsed="false">
      <c r="A2115" s="2"/>
      <c r="B2115" s="3" t="n">
        <f aca="false">DATE(2012,11,29)</f>
        <v>0</v>
      </c>
      <c r="C2115" s="3" t="n">
        <v>41242</v>
      </c>
      <c r="D2115" s="2" t="s">
        <v>16169</v>
      </c>
      <c r="F2115" s="2" t="s">
        <v>16170</v>
      </c>
      <c r="G2115" s="2" t="s">
        <v>16171</v>
      </c>
      <c r="H2115" s="2" t="s">
        <v>16172</v>
      </c>
      <c r="I2115" s="2" t="s">
        <v>51</v>
      </c>
      <c r="J2115" s="2" t="s">
        <v>16173</v>
      </c>
      <c r="K2115" s="2" t="s">
        <v>16174</v>
      </c>
      <c r="L2115" s="2" t="s">
        <v>1431</v>
      </c>
      <c r="M2115" s="2" t="s">
        <v>16172</v>
      </c>
      <c r="N2115" s="2" t="s">
        <v>16175</v>
      </c>
      <c r="O2115" s="2"/>
      <c r="P2115" s="2" t="s">
        <v>37</v>
      </c>
      <c r="Q2115" s="4" t="n">
        <v>3629</v>
      </c>
      <c r="R2115" s="2" t="s">
        <v>56</v>
      </c>
      <c r="S2115" s="2" t="s">
        <v>2265</v>
      </c>
      <c r="T2115" s="2" t="s">
        <v>403</v>
      </c>
      <c r="U2115" s="2" t="s">
        <v>16176</v>
      </c>
      <c r="V2115" s="2"/>
      <c r="W2115" s="2" t="s">
        <v>42</v>
      </c>
      <c r="X2115" s="2" t="s">
        <v>46</v>
      </c>
      <c r="Y2115" s="2" t="s">
        <v>37</v>
      </c>
      <c r="Z2115" s="2" t="s">
        <v>362</v>
      </c>
      <c r="AA2115" s="2"/>
      <c r="AB2115" s="2"/>
      <c r="AC2115" s="2" t="s">
        <v>16177</v>
      </c>
      <c r="AD2115" s="2" t="s">
        <v>46</v>
      </c>
    </row>
    <row r="2116" customFormat="false" ht="15.7" hidden="false" customHeight="true" outlineLevel="0" collapsed="false">
      <c r="A2116" s="2"/>
      <c r="B2116" s="3" t="n">
        <f aca="false">DATE(2012,12,4)</f>
        <v>0</v>
      </c>
      <c r="C2116" s="3" t="n">
        <v>41247</v>
      </c>
      <c r="D2116" s="2" t="s">
        <v>16178</v>
      </c>
      <c r="F2116" s="2" t="s">
        <v>16179</v>
      </c>
      <c r="G2116" s="2" t="s">
        <v>16180</v>
      </c>
      <c r="H2116" s="2" t="s">
        <v>16181</v>
      </c>
      <c r="I2116" s="2" t="s">
        <v>16182</v>
      </c>
      <c r="J2116" s="2" t="s">
        <v>35</v>
      </c>
      <c r="K2116" s="2" t="s">
        <v>16178</v>
      </c>
      <c r="L2116" s="2" t="s">
        <v>16182</v>
      </c>
      <c r="M2116" s="2" t="s">
        <v>16181</v>
      </c>
      <c r="N2116" s="2" t="s">
        <v>16183</v>
      </c>
      <c r="O2116" s="2"/>
      <c r="P2116" s="2" t="s">
        <v>37</v>
      </c>
      <c r="Q2116" s="4" t="n">
        <v>3699</v>
      </c>
      <c r="R2116" s="2" t="s">
        <v>402</v>
      </c>
      <c r="S2116" s="2" t="s">
        <v>39</v>
      </c>
      <c r="T2116" s="2" t="s">
        <v>403</v>
      </c>
      <c r="U2116" s="2" t="s">
        <v>16184</v>
      </c>
      <c r="V2116" s="2"/>
      <c r="W2116" s="2" t="s">
        <v>697</v>
      </c>
      <c r="X2116" s="2" t="s">
        <v>46</v>
      </c>
      <c r="Y2116" s="2" t="s">
        <v>37</v>
      </c>
      <c r="Z2116" s="2" t="s">
        <v>16185</v>
      </c>
      <c r="AA2116" s="2" t="s">
        <v>16186</v>
      </c>
      <c r="AB2116" s="2"/>
      <c r="AC2116" s="2" t="s">
        <v>16187</v>
      </c>
      <c r="AD2116" s="2" t="s">
        <v>46</v>
      </c>
    </row>
    <row r="2117" customFormat="false" ht="15.7" hidden="false" customHeight="true" outlineLevel="0" collapsed="false">
      <c r="A2117" s="2"/>
      <c r="B2117" s="3" t="n">
        <f aca="false">DATE(2012,12,4)</f>
        <v>0</v>
      </c>
      <c r="C2117" s="3" t="n">
        <v>41247</v>
      </c>
      <c r="D2117" s="2" t="s">
        <v>16188</v>
      </c>
      <c r="F2117" s="2" t="s">
        <v>16189</v>
      </c>
      <c r="G2117" s="2" t="s">
        <v>16190</v>
      </c>
      <c r="H2117" s="2" t="s">
        <v>731</v>
      </c>
      <c r="I2117" s="2" t="s">
        <v>51</v>
      </c>
      <c r="J2117" s="2" t="s">
        <v>3704</v>
      </c>
      <c r="K2117" s="2" t="s">
        <v>16191</v>
      </c>
      <c r="L2117" s="2" t="s">
        <v>51</v>
      </c>
      <c r="M2117" s="2" t="s">
        <v>16192</v>
      </c>
      <c r="N2117" s="2" t="s">
        <v>16193</v>
      </c>
      <c r="O2117" s="2" t="s">
        <v>16194</v>
      </c>
      <c r="P2117" s="2" t="s">
        <v>37</v>
      </c>
      <c r="Q2117" s="4" t="n">
        <v>2879</v>
      </c>
      <c r="R2117" s="2" t="s">
        <v>56</v>
      </c>
      <c r="S2117" s="2" t="s">
        <v>2265</v>
      </c>
      <c r="T2117" s="2" t="s">
        <v>40</v>
      </c>
      <c r="U2117" s="2" t="s">
        <v>16195</v>
      </c>
      <c r="V2117" s="2"/>
      <c r="W2117" s="2" t="s">
        <v>16196</v>
      </c>
      <c r="X2117" s="2" t="s">
        <v>46</v>
      </c>
      <c r="Y2117" s="2" t="s">
        <v>37</v>
      </c>
      <c r="Z2117" s="2" t="s">
        <v>362</v>
      </c>
      <c r="AA2117" s="2"/>
      <c r="AB2117" s="2" t="s">
        <v>16197</v>
      </c>
      <c r="AC2117" s="2" t="s">
        <v>16198</v>
      </c>
      <c r="AD2117" s="2" t="s">
        <v>46</v>
      </c>
    </row>
    <row r="2118" customFormat="false" ht="15.7" hidden="false" customHeight="true" outlineLevel="0" collapsed="false">
      <c r="A2118" s="2"/>
      <c r="B2118" s="3" t="n">
        <f aca="false">DATE(2012,12,5)</f>
        <v>0</v>
      </c>
      <c r="C2118" s="3" t="n">
        <v>41248</v>
      </c>
      <c r="D2118" s="2" t="s">
        <v>16199</v>
      </c>
      <c r="F2118" s="2" t="s">
        <v>16200</v>
      </c>
      <c r="G2118" s="2" t="s">
        <v>16201</v>
      </c>
      <c r="H2118" s="2" t="s">
        <v>16202</v>
      </c>
      <c r="I2118" s="2" t="s">
        <v>1191</v>
      </c>
      <c r="J2118" s="2" t="s">
        <v>35</v>
      </c>
      <c r="K2118" s="2" t="s">
        <v>16199</v>
      </c>
      <c r="L2118" s="2" t="s">
        <v>1191</v>
      </c>
      <c r="M2118" s="2" t="s">
        <v>16202</v>
      </c>
      <c r="N2118" s="2" t="s">
        <v>16203</v>
      </c>
      <c r="O2118" s="2" t="s">
        <v>16204</v>
      </c>
      <c r="P2118" s="2" t="s">
        <v>37</v>
      </c>
      <c r="Q2118" s="4" t="n">
        <v>8731</v>
      </c>
      <c r="R2118" s="2" t="s">
        <v>1195</v>
      </c>
      <c r="S2118" s="2" t="s">
        <v>39</v>
      </c>
      <c r="T2118" s="2" t="s">
        <v>40</v>
      </c>
      <c r="U2118" s="2" t="s">
        <v>16205</v>
      </c>
      <c r="V2118" s="2"/>
      <c r="W2118" s="2" t="s">
        <v>7275</v>
      </c>
      <c r="X2118" s="2" t="s">
        <v>46</v>
      </c>
      <c r="Y2118" s="2" t="s">
        <v>37</v>
      </c>
      <c r="Z2118" s="2" t="s">
        <v>362</v>
      </c>
      <c r="AA2118" s="2"/>
      <c r="AB2118" s="2" t="s">
        <v>16206</v>
      </c>
      <c r="AC2118" s="2" t="s">
        <v>16207</v>
      </c>
      <c r="AD2118" s="2" t="s">
        <v>46</v>
      </c>
    </row>
    <row r="2119" customFormat="false" ht="15.7" hidden="false" customHeight="true" outlineLevel="0" collapsed="false">
      <c r="A2119" s="2"/>
      <c r="B2119" s="3" t="n">
        <f aca="false">DATE(2012,12,5)</f>
        <v>0</v>
      </c>
      <c r="C2119" s="3" t="n">
        <v>41248</v>
      </c>
      <c r="D2119" s="2" t="s">
        <v>16208</v>
      </c>
      <c r="F2119" s="2" t="s">
        <v>16209</v>
      </c>
      <c r="G2119" s="2" t="s">
        <v>16210</v>
      </c>
      <c r="H2119" s="2" t="s">
        <v>12871</v>
      </c>
      <c r="I2119" s="2" t="s">
        <v>9745</v>
      </c>
      <c r="J2119" s="2" t="s">
        <v>35</v>
      </c>
      <c r="K2119" s="2" t="s">
        <v>16211</v>
      </c>
      <c r="L2119" s="2" t="s">
        <v>9745</v>
      </c>
      <c r="M2119" s="2" t="s">
        <v>611</v>
      </c>
      <c r="N2119" s="2" t="s">
        <v>16212</v>
      </c>
      <c r="O2119" s="2"/>
      <c r="P2119" s="2" t="s">
        <v>37</v>
      </c>
      <c r="Q2119" s="4" t="n">
        <v>8731</v>
      </c>
      <c r="R2119" s="2" t="s">
        <v>136</v>
      </c>
      <c r="S2119" s="2" t="s">
        <v>39</v>
      </c>
      <c r="T2119" s="2" t="s">
        <v>403</v>
      </c>
      <c r="U2119" s="2" t="s">
        <v>16213</v>
      </c>
      <c r="V2119" s="2"/>
      <c r="W2119" s="2" t="s">
        <v>42</v>
      </c>
      <c r="X2119" s="2" t="s">
        <v>43</v>
      </c>
      <c r="Y2119" s="2" t="s">
        <v>37</v>
      </c>
      <c r="Z2119" s="2" t="s">
        <v>44</v>
      </c>
      <c r="AA2119" s="2"/>
      <c r="AB2119" s="2"/>
      <c r="AC2119" s="2" t="s">
        <v>16214</v>
      </c>
      <c r="AD2119" s="2" t="s">
        <v>46</v>
      </c>
    </row>
    <row r="2120" customFormat="false" ht="15.7" hidden="false" customHeight="true" outlineLevel="0" collapsed="false">
      <c r="A2120" s="2"/>
      <c r="B2120" s="3" t="n">
        <f aca="false">DATE(2012,12,6)</f>
        <v>0</v>
      </c>
      <c r="C2120" s="3" t="n">
        <v>41249</v>
      </c>
      <c r="D2120" s="2" t="s">
        <v>16215</v>
      </c>
      <c r="F2120" s="2" t="s">
        <v>16216</v>
      </c>
      <c r="G2120" s="2" t="s">
        <v>16217</v>
      </c>
      <c r="H2120" s="2" t="s">
        <v>16218</v>
      </c>
      <c r="I2120" s="2" t="s">
        <v>51</v>
      </c>
      <c r="J2120" s="2" t="s">
        <v>16219</v>
      </c>
      <c r="K2120" s="2" t="s">
        <v>16220</v>
      </c>
      <c r="L2120" s="2" t="s">
        <v>51</v>
      </c>
      <c r="M2120" s="2" t="s">
        <v>16221</v>
      </c>
      <c r="N2120" s="2" t="s">
        <v>16222</v>
      </c>
      <c r="O2120" s="2"/>
      <c r="P2120" s="2" t="s">
        <v>37</v>
      </c>
      <c r="Q2120" s="4" t="n">
        <v>2834</v>
      </c>
      <c r="R2120" s="2" t="s">
        <v>136</v>
      </c>
      <c r="S2120" s="2" t="s">
        <v>39</v>
      </c>
      <c r="T2120" s="2" t="s">
        <v>403</v>
      </c>
      <c r="U2120" s="2" t="s">
        <v>16223</v>
      </c>
      <c r="V2120" s="2"/>
      <c r="W2120" s="2" t="s">
        <v>42</v>
      </c>
      <c r="X2120" s="2" t="s">
        <v>43</v>
      </c>
      <c r="Y2120" s="2" t="s">
        <v>37</v>
      </c>
      <c r="Z2120" s="2" t="s">
        <v>44</v>
      </c>
      <c r="AA2120" s="2"/>
      <c r="AB2120" s="2"/>
      <c r="AC2120" s="2" t="s">
        <v>16224</v>
      </c>
      <c r="AD2120" s="2" t="s">
        <v>46</v>
      </c>
    </row>
    <row r="2121" customFormat="false" ht="15.7" hidden="false" customHeight="true" outlineLevel="0" collapsed="false">
      <c r="A2121" s="2"/>
      <c r="B2121" s="3" t="n">
        <f aca="false">DATE(2012,12,6)</f>
        <v>0</v>
      </c>
      <c r="C2121" s="3" t="n">
        <v>41249</v>
      </c>
      <c r="D2121" s="2" t="s">
        <v>16225</v>
      </c>
      <c r="F2121" s="2" t="s">
        <v>16226</v>
      </c>
      <c r="G2121" s="2" t="s">
        <v>16227</v>
      </c>
      <c r="H2121" s="2" t="s">
        <v>16228</v>
      </c>
      <c r="I2121" s="2" t="s">
        <v>8174</v>
      </c>
      <c r="J2121" s="2" t="s">
        <v>8175</v>
      </c>
      <c r="K2121" s="2" t="s">
        <v>16225</v>
      </c>
      <c r="L2121" s="2" t="s">
        <v>8174</v>
      </c>
      <c r="M2121" s="2" t="s">
        <v>16228</v>
      </c>
      <c r="N2121" s="2" t="s">
        <v>16229</v>
      </c>
      <c r="O2121" s="2"/>
      <c r="P2121" s="2" t="s">
        <v>37</v>
      </c>
      <c r="Q2121" s="4" t="n">
        <v>3812</v>
      </c>
      <c r="R2121" s="2" t="s">
        <v>136</v>
      </c>
      <c r="S2121" s="2" t="s">
        <v>39</v>
      </c>
      <c r="T2121" s="2" t="s">
        <v>40</v>
      </c>
      <c r="U2121" s="2" t="s">
        <v>16230</v>
      </c>
      <c r="V2121" s="2"/>
      <c r="W2121" s="2" t="s">
        <v>138</v>
      </c>
      <c r="X2121" s="2" t="s">
        <v>43</v>
      </c>
      <c r="Y2121" s="2" t="s">
        <v>37</v>
      </c>
      <c r="Z2121" s="2" t="s">
        <v>44</v>
      </c>
      <c r="AA2121" s="2"/>
      <c r="AB2121" s="2"/>
      <c r="AC2121" s="2" t="s">
        <v>16231</v>
      </c>
      <c r="AD2121" s="2" t="s">
        <v>46</v>
      </c>
    </row>
    <row r="2122" customFormat="false" ht="15.7" hidden="false" customHeight="true" outlineLevel="0" collapsed="false">
      <c r="A2122" s="2"/>
      <c r="B2122" s="3" t="n">
        <f aca="false">DATE(2012,12,7)</f>
        <v>0</v>
      </c>
      <c r="C2122" s="3" t="n">
        <v>41250</v>
      </c>
      <c r="D2122" s="2" t="s">
        <v>16232</v>
      </c>
      <c r="F2122" s="2" t="s">
        <v>16233</v>
      </c>
      <c r="G2122" s="2" t="s">
        <v>16234</v>
      </c>
      <c r="H2122" s="2" t="s">
        <v>4219</v>
      </c>
      <c r="I2122" s="2" t="s">
        <v>51</v>
      </c>
      <c r="J2122" s="2" t="s">
        <v>16235</v>
      </c>
      <c r="K2122" s="2" t="s">
        <v>16232</v>
      </c>
      <c r="L2122" s="2" t="s">
        <v>51</v>
      </c>
      <c r="M2122" s="2" t="s">
        <v>4219</v>
      </c>
      <c r="N2122" s="2" t="s">
        <v>16236</v>
      </c>
      <c r="O2122" s="2"/>
      <c r="P2122" s="2" t="s">
        <v>37</v>
      </c>
      <c r="Q2122" s="4" t="n">
        <v>8731</v>
      </c>
      <c r="R2122" s="2" t="s">
        <v>56</v>
      </c>
      <c r="S2122" s="2" t="s">
        <v>2265</v>
      </c>
      <c r="T2122" s="2" t="s">
        <v>40</v>
      </c>
      <c r="U2122" s="2" t="s">
        <v>16237</v>
      </c>
      <c r="V2122" s="2"/>
      <c r="W2122" s="2" t="s">
        <v>42</v>
      </c>
      <c r="X2122" s="2" t="s">
        <v>43</v>
      </c>
      <c r="Y2122" s="2" t="s">
        <v>37</v>
      </c>
      <c r="Z2122" s="2" t="s">
        <v>44</v>
      </c>
      <c r="AA2122" s="2"/>
      <c r="AB2122" s="2"/>
      <c r="AC2122" s="2" t="s">
        <v>16238</v>
      </c>
      <c r="AD2122" s="2" t="s">
        <v>46</v>
      </c>
    </row>
    <row r="2123" customFormat="false" ht="15.7" hidden="false" customHeight="true" outlineLevel="0" collapsed="false">
      <c r="A2123" s="2"/>
      <c r="B2123" s="3" t="n">
        <f aca="false">DATE(2012,12,11)</f>
        <v>0</v>
      </c>
      <c r="C2123" s="3" t="n">
        <v>41254</v>
      </c>
      <c r="D2123" s="2" t="s">
        <v>16239</v>
      </c>
      <c r="F2123" s="2" t="s">
        <v>16240</v>
      </c>
      <c r="G2123" s="2" t="s">
        <v>16241</v>
      </c>
      <c r="H2123" s="2" t="s">
        <v>16242</v>
      </c>
      <c r="I2123" s="2" t="s">
        <v>2530</v>
      </c>
      <c r="J2123" s="2" t="s">
        <v>16243</v>
      </c>
      <c r="K2123" s="2" t="s">
        <v>16239</v>
      </c>
      <c r="L2123" s="2" t="s">
        <v>2530</v>
      </c>
      <c r="M2123" s="2" t="s">
        <v>16242</v>
      </c>
      <c r="N2123" s="2" t="s">
        <v>16244</v>
      </c>
      <c r="O2123" s="2"/>
      <c r="P2123" s="2" t="s">
        <v>37</v>
      </c>
      <c r="Q2123" s="4" t="n">
        <v>2836</v>
      </c>
      <c r="R2123" s="2" t="s">
        <v>56</v>
      </c>
      <c r="S2123" s="2" t="s">
        <v>2265</v>
      </c>
      <c r="T2123" s="2" t="s">
        <v>40</v>
      </c>
      <c r="U2123" s="2" t="s">
        <v>16245</v>
      </c>
      <c r="V2123" s="2"/>
      <c r="W2123" s="2" t="s">
        <v>42</v>
      </c>
      <c r="X2123" s="2" t="s">
        <v>43</v>
      </c>
      <c r="Y2123" s="2" t="s">
        <v>37</v>
      </c>
      <c r="Z2123" s="2" t="s">
        <v>916</v>
      </c>
      <c r="AA2123" s="2"/>
      <c r="AB2123" s="2"/>
      <c r="AC2123" s="2" t="s">
        <v>16246</v>
      </c>
      <c r="AD2123" s="2" t="s">
        <v>46</v>
      </c>
    </row>
    <row r="2124" customFormat="false" ht="15.7" hidden="false" customHeight="true" outlineLevel="0" collapsed="false">
      <c r="A2124" s="2"/>
      <c r="B2124" s="3" t="n">
        <f aca="false">DATE(2012,12,11)</f>
        <v>0</v>
      </c>
      <c r="C2124" s="3" t="n">
        <v>41254</v>
      </c>
      <c r="D2124" s="2" t="s">
        <v>16247</v>
      </c>
      <c r="F2124" s="2" t="s">
        <v>16248</v>
      </c>
      <c r="G2124" s="2" t="s">
        <v>16249</v>
      </c>
      <c r="H2124" s="2" t="s">
        <v>130</v>
      </c>
      <c r="I2124" s="2" t="s">
        <v>388</v>
      </c>
      <c r="J2124" s="2" t="s">
        <v>65</v>
      </c>
      <c r="K2124" s="2" t="s">
        <v>16247</v>
      </c>
      <c r="L2124" s="2" t="s">
        <v>388</v>
      </c>
      <c r="M2124" s="2" t="s">
        <v>130</v>
      </c>
      <c r="N2124" s="2" t="s">
        <v>16250</v>
      </c>
      <c r="O2124" s="2"/>
      <c r="P2124" s="2" t="s">
        <v>37</v>
      </c>
      <c r="Q2124" s="4" t="n">
        <v>2833</v>
      </c>
      <c r="R2124" s="2" t="s">
        <v>136</v>
      </c>
      <c r="S2124" s="2" t="s">
        <v>39</v>
      </c>
      <c r="T2124" s="2" t="s">
        <v>403</v>
      </c>
      <c r="U2124" s="2" t="s">
        <v>16251</v>
      </c>
      <c r="V2124" s="2"/>
      <c r="W2124" s="2" t="s">
        <v>42</v>
      </c>
      <c r="X2124" s="2" t="s">
        <v>43</v>
      </c>
      <c r="Y2124" s="2" t="s">
        <v>37</v>
      </c>
      <c r="Z2124" s="2" t="s">
        <v>44</v>
      </c>
      <c r="AA2124" s="2"/>
      <c r="AB2124" s="2"/>
      <c r="AC2124" s="2" t="s">
        <v>16252</v>
      </c>
      <c r="AD2124" s="2" t="s">
        <v>46</v>
      </c>
    </row>
    <row r="2125" customFormat="false" ht="15.7" hidden="false" customHeight="true" outlineLevel="0" collapsed="false">
      <c r="A2125" s="2"/>
      <c r="B2125" s="3" t="n">
        <f aca="false">DATE(2012,12,14)</f>
        <v>0</v>
      </c>
      <c r="C2125" s="3" t="n">
        <v>41257</v>
      </c>
      <c r="D2125" s="2" t="s">
        <v>16253</v>
      </c>
      <c r="F2125" s="2" t="s">
        <v>16254</v>
      </c>
      <c r="G2125" s="2" t="s">
        <v>16255</v>
      </c>
      <c r="H2125" s="2" t="s">
        <v>368</v>
      </c>
      <c r="I2125" s="2" t="s">
        <v>1867</v>
      </c>
      <c r="J2125" s="2" t="s">
        <v>35</v>
      </c>
      <c r="K2125" s="2" t="s">
        <v>16253</v>
      </c>
      <c r="L2125" s="2" t="s">
        <v>1867</v>
      </c>
      <c r="M2125" s="2" t="s">
        <v>368</v>
      </c>
      <c r="N2125" s="2" t="s">
        <v>16256</v>
      </c>
      <c r="O2125" s="2"/>
      <c r="P2125" s="2" t="s">
        <v>37</v>
      </c>
      <c r="Q2125" s="4" t="n">
        <v>8731</v>
      </c>
      <c r="R2125" s="2" t="s">
        <v>38</v>
      </c>
      <c r="S2125" s="2" t="s">
        <v>39</v>
      </c>
      <c r="T2125" s="2" t="s">
        <v>403</v>
      </c>
      <c r="U2125" s="2" t="s">
        <v>16257</v>
      </c>
      <c r="V2125" s="2"/>
      <c r="W2125" s="2" t="s">
        <v>42</v>
      </c>
      <c r="X2125" s="2" t="s">
        <v>46</v>
      </c>
      <c r="Y2125" s="2" t="s">
        <v>37</v>
      </c>
      <c r="Z2125" s="2" t="s">
        <v>362</v>
      </c>
      <c r="AA2125" s="2"/>
      <c r="AB2125" s="2"/>
      <c r="AC2125" s="2" t="s">
        <v>16258</v>
      </c>
      <c r="AD2125" s="2" t="s">
        <v>46</v>
      </c>
    </row>
    <row r="2126" customFormat="false" ht="15.7" hidden="false" customHeight="true" outlineLevel="0" collapsed="false">
      <c r="A2126" s="2"/>
      <c r="B2126" s="3" t="n">
        <f aca="false">DATE(2012,12,17)</f>
        <v>0</v>
      </c>
      <c r="C2126" s="3" t="n">
        <v>41260</v>
      </c>
      <c r="D2126" s="2" t="s">
        <v>16259</v>
      </c>
      <c r="F2126" s="2" t="s">
        <v>4971</v>
      </c>
      <c r="G2126" s="2" t="s">
        <v>16260</v>
      </c>
      <c r="H2126" s="2" t="s">
        <v>63</v>
      </c>
      <c r="I2126" s="2" t="s">
        <v>100</v>
      </c>
      <c r="J2126" s="2" t="s">
        <v>155</v>
      </c>
      <c r="K2126" s="2" t="s">
        <v>16261</v>
      </c>
      <c r="L2126" s="2" t="s">
        <v>100</v>
      </c>
      <c r="M2126" s="2" t="s">
        <v>130</v>
      </c>
      <c r="N2126" s="2" t="s">
        <v>16262</v>
      </c>
      <c r="O2126" s="2"/>
      <c r="P2126" s="2" t="s">
        <v>37</v>
      </c>
      <c r="Q2126" s="4" t="n">
        <v>8731</v>
      </c>
      <c r="R2126" s="2" t="s">
        <v>136</v>
      </c>
      <c r="S2126" s="2" t="s">
        <v>39</v>
      </c>
      <c r="T2126" s="2" t="s">
        <v>40</v>
      </c>
      <c r="U2126" s="2" t="s">
        <v>16263</v>
      </c>
      <c r="V2126" s="2"/>
      <c r="W2126" s="2" t="s">
        <v>42</v>
      </c>
      <c r="X2126" s="2" t="s">
        <v>43</v>
      </c>
      <c r="Y2126" s="2" t="s">
        <v>37</v>
      </c>
      <c r="Z2126" s="2" t="s">
        <v>44</v>
      </c>
      <c r="AA2126" s="2" t="s">
        <v>16264</v>
      </c>
      <c r="AB2126" s="2"/>
      <c r="AC2126" s="2" t="s">
        <v>16265</v>
      </c>
      <c r="AD2126" s="2" t="s">
        <v>46</v>
      </c>
    </row>
    <row r="2127" customFormat="false" ht="15.7" hidden="false" customHeight="true" outlineLevel="0" collapsed="false">
      <c r="A2127" s="2"/>
      <c r="B2127" s="3" t="n">
        <f aca="false">DATE(2012,12,18)</f>
        <v>0</v>
      </c>
      <c r="C2127" s="3" t="n">
        <v>41261</v>
      </c>
      <c r="D2127" s="2" t="s">
        <v>16266</v>
      </c>
      <c r="F2127" s="2" t="s">
        <v>16267</v>
      </c>
      <c r="G2127" s="2" t="s">
        <v>16268</v>
      </c>
      <c r="H2127" s="2" t="s">
        <v>523</v>
      </c>
      <c r="I2127" s="2" t="s">
        <v>3265</v>
      </c>
      <c r="J2127" s="2" t="s">
        <v>900</v>
      </c>
      <c r="K2127" s="2" t="s">
        <v>16269</v>
      </c>
      <c r="L2127" s="2" t="s">
        <v>3265</v>
      </c>
      <c r="M2127" s="2" t="s">
        <v>551</v>
      </c>
      <c r="N2127" s="2" t="s">
        <v>16270</v>
      </c>
      <c r="O2127" s="2"/>
      <c r="P2127" s="2" t="s">
        <v>37</v>
      </c>
      <c r="Q2127" s="4" t="n">
        <v>8731</v>
      </c>
      <c r="R2127" s="2" t="s">
        <v>402</v>
      </c>
      <c r="S2127" s="2" t="s">
        <v>39</v>
      </c>
      <c r="T2127" s="2" t="s">
        <v>403</v>
      </c>
      <c r="U2127" s="2" t="s">
        <v>16271</v>
      </c>
      <c r="V2127" s="2"/>
      <c r="W2127" s="2" t="s">
        <v>42</v>
      </c>
      <c r="X2127" s="2" t="s">
        <v>46</v>
      </c>
      <c r="Y2127" s="2" t="s">
        <v>37</v>
      </c>
      <c r="Z2127" s="2" t="s">
        <v>362</v>
      </c>
      <c r="AA2127" s="2"/>
      <c r="AB2127" s="2"/>
      <c r="AC2127" s="2" t="s">
        <v>16272</v>
      </c>
      <c r="AD2127" s="2" t="s">
        <v>46</v>
      </c>
    </row>
    <row r="2128" customFormat="false" ht="15.7" hidden="false" customHeight="true" outlineLevel="0" collapsed="false">
      <c r="A2128" s="2"/>
      <c r="B2128" s="3" t="n">
        <f aca="false">DATE(2012,12,19)</f>
        <v>0</v>
      </c>
      <c r="C2128" s="3" t="n">
        <v>41262</v>
      </c>
      <c r="D2128" s="2" t="s">
        <v>16273</v>
      </c>
      <c r="F2128" s="2" t="s">
        <v>16274</v>
      </c>
      <c r="G2128" s="2" t="s">
        <v>16275</v>
      </c>
      <c r="H2128" s="2" t="s">
        <v>305</v>
      </c>
      <c r="I2128" s="2" t="s">
        <v>51</v>
      </c>
      <c r="J2128" s="2" t="s">
        <v>178</v>
      </c>
      <c r="K2128" s="2" t="s">
        <v>16273</v>
      </c>
      <c r="L2128" s="2" t="s">
        <v>51</v>
      </c>
      <c r="M2128" s="2" t="s">
        <v>523</v>
      </c>
      <c r="N2128" s="2" t="s">
        <v>16276</v>
      </c>
      <c r="O2128" s="2"/>
      <c r="P2128" s="2" t="s">
        <v>37</v>
      </c>
      <c r="Q2128" s="4" t="n">
        <v>8731</v>
      </c>
      <c r="R2128" s="2" t="s">
        <v>56</v>
      </c>
      <c r="S2128" s="2" t="s">
        <v>2265</v>
      </c>
      <c r="T2128" s="2" t="s">
        <v>40</v>
      </c>
      <c r="U2128" s="2" t="s">
        <v>16277</v>
      </c>
      <c r="V2128" s="2"/>
      <c r="W2128" s="2" t="s">
        <v>42</v>
      </c>
      <c r="X2128" s="2" t="s">
        <v>43</v>
      </c>
      <c r="Y2128" s="2" t="s">
        <v>37</v>
      </c>
      <c r="Z2128" s="2" t="s">
        <v>44</v>
      </c>
      <c r="AA2128" s="2" t="s">
        <v>16278</v>
      </c>
      <c r="AB2128" s="2"/>
      <c r="AC2128" s="2" t="s">
        <v>16279</v>
      </c>
      <c r="AD2128" s="2" t="s">
        <v>46</v>
      </c>
    </row>
    <row r="2129" customFormat="false" ht="15.7" hidden="false" customHeight="true" outlineLevel="0" collapsed="false">
      <c r="A2129" s="2"/>
      <c r="B2129" s="3" t="n">
        <f aca="false">DATE(2012,12,20)</f>
        <v>0</v>
      </c>
      <c r="C2129" s="3" t="n">
        <v>41263</v>
      </c>
      <c r="D2129" s="2" t="s">
        <v>16280</v>
      </c>
      <c r="F2129" s="2" t="s">
        <v>16281</v>
      </c>
      <c r="G2129" s="2" t="s">
        <v>16282</v>
      </c>
      <c r="H2129" s="2" t="s">
        <v>50</v>
      </c>
      <c r="I2129" s="2" t="s">
        <v>51</v>
      </c>
      <c r="J2129" s="2" t="s">
        <v>504</v>
      </c>
      <c r="K2129" s="2" t="s">
        <v>16280</v>
      </c>
      <c r="L2129" s="2" t="s">
        <v>51</v>
      </c>
      <c r="M2129" s="2" t="s">
        <v>50</v>
      </c>
      <c r="N2129" s="2" t="s">
        <v>16283</v>
      </c>
      <c r="O2129" s="2"/>
      <c r="P2129" s="2" t="s">
        <v>37</v>
      </c>
      <c r="Q2129" s="4" t="n">
        <v>8731</v>
      </c>
      <c r="R2129" s="2" t="s">
        <v>56</v>
      </c>
      <c r="S2129" s="2" t="s">
        <v>2265</v>
      </c>
      <c r="T2129" s="2" t="s">
        <v>403</v>
      </c>
      <c r="U2129" s="2" t="s">
        <v>16284</v>
      </c>
      <c r="V2129" s="2"/>
      <c r="W2129" s="2" t="s">
        <v>42</v>
      </c>
      <c r="X2129" s="2" t="s">
        <v>43</v>
      </c>
      <c r="Y2129" s="2" t="s">
        <v>37</v>
      </c>
      <c r="Z2129" s="2" t="s">
        <v>44</v>
      </c>
      <c r="AA2129" s="2"/>
      <c r="AB2129" s="2"/>
      <c r="AC2129" s="2" t="s">
        <v>16285</v>
      </c>
      <c r="AD2129" s="2" t="s">
        <v>46</v>
      </c>
    </row>
    <row r="2130" customFormat="false" ht="15.7" hidden="false" customHeight="true" outlineLevel="0" collapsed="false">
      <c r="A2130" s="2"/>
      <c r="B2130" s="3" t="n">
        <f aca="false">DATE(2012,12,21)</f>
        <v>0</v>
      </c>
      <c r="C2130" s="3" t="n">
        <v>41264</v>
      </c>
      <c r="D2130" s="2" t="s">
        <v>16286</v>
      </c>
      <c r="F2130" s="2" t="s">
        <v>16287</v>
      </c>
      <c r="G2130" s="2" t="s">
        <v>16288</v>
      </c>
      <c r="H2130" s="2" t="s">
        <v>1925</v>
      </c>
      <c r="I2130" s="2" t="s">
        <v>1779</v>
      </c>
      <c r="J2130" s="2" t="s">
        <v>35</v>
      </c>
      <c r="K2130" s="2" t="s">
        <v>16286</v>
      </c>
      <c r="L2130" s="2" t="s">
        <v>1779</v>
      </c>
      <c r="M2130" s="2" t="s">
        <v>1925</v>
      </c>
      <c r="N2130" s="2" t="s">
        <v>16289</v>
      </c>
      <c r="O2130" s="2"/>
      <c r="P2130" s="2" t="s">
        <v>37</v>
      </c>
      <c r="Q2130" s="4" t="n">
        <v>3841</v>
      </c>
      <c r="R2130" s="2" t="s">
        <v>38</v>
      </c>
      <c r="S2130" s="2" t="s">
        <v>39</v>
      </c>
      <c r="T2130" s="2" t="s">
        <v>40</v>
      </c>
      <c r="U2130" s="2" t="s">
        <v>16290</v>
      </c>
      <c r="V2130" s="2"/>
      <c r="W2130" s="2" t="s">
        <v>773</v>
      </c>
      <c r="X2130" s="2" t="s">
        <v>43</v>
      </c>
      <c r="Y2130" s="2" t="s">
        <v>37</v>
      </c>
      <c r="Z2130" s="2" t="s">
        <v>44</v>
      </c>
      <c r="AA2130" s="2" t="s">
        <v>16291</v>
      </c>
      <c r="AB2130" s="2"/>
      <c r="AC2130" s="2" t="s">
        <v>16292</v>
      </c>
      <c r="AD2130" s="2" t="s">
        <v>46</v>
      </c>
    </row>
    <row r="2131" customFormat="false" ht="15.7" hidden="false" customHeight="true" outlineLevel="0" collapsed="false">
      <c r="A2131" s="2"/>
      <c r="B2131" s="3" t="n">
        <f aca="false">DATE(2012,12,21)</f>
        <v>0</v>
      </c>
      <c r="C2131" s="3" t="n">
        <v>41264</v>
      </c>
      <c r="D2131" s="2" t="s">
        <v>16293</v>
      </c>
      <c r="F2131" s="2" t="s">
        <v>16294</v>
      </c>
      <c r="G2131" s="2" t="s">
        <v>16295</v>
      </c>
      <c r="H2131" s="2" t="s">
        <v>523</v>
      </c>
      <c r="I2131" s="2" t="s">
        <v>51</v>
      </c>
      <c r="J2131" s="2" t="s">
        <v>1001</v>
      </c>
      <c r="K2131" s="2" t="s">
        <v>16293</v>
      </c>
      <c r="L2131" s="2" t="s">
        <v>51</v>
      </c>
      <c r="M2131" s="2" t="s">
        <v>523</v>
      </c>
      <c r="N2131" s="2" t="s">
        <v>16296</v>
      </c>
      <c r="O2131" s="2"/>
      <c r="P2131" s="2" t="s">
        <v>37</v>
      </c>
      <c r="Q2131" s="4" t="n">
        <v>8731</v>
      </c>
      <c r="R2131" s="2" t="s">
        <v>56</v>
      </c>
      <c r="S2131" s="2" t="s">
        <v>2265</v>
      </c>
      <c r="T2131" s="2" t="s">
        <v>40</v>
      </c>
      <c r="U2131" s="2" t="s">
        <v>16297</v>
      </c>
      <c r="V2131" s="2"/>
      <c r="W2131" s="2" t="s">
        <v>42</v>
      </c>
      <c r="X2131" s="2" t="s">
        <v>43</v>
      </c>
      <c r="Y2131" s="2" t="s">
        <v>37</v>
      </c>
      <c r="Z2131" s="2" t="s">
        <v>44</v>
      </c>
      <c r="AA2131" s="2"/>
      <c r="AB2131" s="2"/>
      <c r="AC2131" s="2" t="s">
        <v>16298</v>
      </c>
      <c r="AD2131" s="2" t="s">
        <v>46</v>
      </c>
    </row>
    <row r="2132" customFormat="false" ht="15.7" hidden="false" customHeight="true" outlineLevel="0" collapsed="false">
      <c r="A2132" s="2"/>
      <c r="B2132" s="3" t="n">
        <f aca="false">DATE(2012,12,21)</f>
        <v>0</v>
      </c>
      <c r="C2132" s="3" t="n">
        <v>41264</v>
      </c>
      <c r="D2132" s="2" t="s">
        <v>16299</v>
      </c>
      <c r="F2132" s="2" t="s">
        <v>3852</v>
      </c>
      <c r="G2132" s="2" t="s">
        <v>16300</v>
      </c>
      <c r="H2132" s="2" t="s">
        <v>63</v>
      </c>
      <c r="I2132" s="2" t="s">
        <v>51</v>
      </c>
      <c r="J2132" s="2" t="s">
        <v>3854</v>
      </c>
      <c r="K2132" s="2" t="s">
        <v>16299</v>
      </c>
      <c r="L2132" s="2" t="s">
        <v>51</v>
      </c>
      <c r="M2132" s="2" t="s">
        <v>63</v>
      </c>
      <c r="N2132" s="2" t="s">
        <v>16301</v>
      </c>
      <c r="O2132" s="2"/>
      <c r="P2132" s="2" t="s">
        <v>37</v>
      </c>
      <c r="Q2132" s="4" t="n">
        <v>8731</v>
      </c>
      <c r="R2132" s="2" t="s">
        <v>136</v>
      </c>
      <c r="S2132" s="2" t="s">
        <v>39</v>
      </c>
      <c r="T2132" s="2" t="s">
        <v>40</v>
      </c>
      <c r="U2132" s="2" t="s">
        <v>16302</v>
      </c>
      <c r="V2132" s="2"/>
      <c r="W2132" s="2" t="s">
        <v>1050</v>
      </c>
      <c r="X2132" s="2" t="s">
        <v>43</v>
      </c>
      <c r="Y2132" s="2" t="s">
        <v>37</v>
      </c>
      <c r="Z2132" s="2" t="s">
        <v>44</v>
      </c>
      <c r="AA2132" s="2" t="s">
        <v>16303</v>
      </c>
      <c r="AB2132" s="2"/>
      <c r="AC2132" s="2" t="s">
        <v>16304</v>
      </c>
      <c r="AD2132" s="2" t="s">
        <v>46</v>
      </c>
    </row>
    <row r="2133" customFormat="false" ht="15.7" hidden="false" customHeight="true" outlineLevel="0" collapsed="false">
      <c r="A2133" s="2"/>
      <c r="B2133" s="3" t="n">
        <f aca="false">DATE(2012,12,21)</f>
        <v>0</v>
      </c>
      <c r="C2133" s="3" t="n">
        <v>41264</v>
      </c>
      <c r="D2133" s="2" t="s">
        <v>16305</v>
      </c>
      <c r="F2133" s="2" t="s">
        <v>16306</v>
      </c>
      <c r="G2133" s="2" t="s">
        <v>16307</v>
      </c>
      <c r="H2133" s="2" t="s">
        <v>16308</v>
      </c>
      <c r="I2133" s="2" t="s">
        <v>64</v>
      </c>
      <c r="J2133" s="2" t="s">
        <v>1413</v>
      </c>
      <c r="K2133" s="2" t="s">
        <v>16309</v>
      </c>
      <c r="L2133" s="2" t="s">
        <v>64</v>
      </c>
      <c r="M2133" s="2" t="s">
        <v>16310</v>
      </c>
      <c r="N2133" s="2" t="s">
        <v>16311</v>
      </c>
      <c r="O2133" s="2"/>
      <c r="P2133" s="2" t="s">
        <v>37</v>
      </c>
      <c r="Q2133" s="4" t="n">
        <v>3674</v>
      </c>
      <c r="R2133" s="2" t="s">
        <v>70</v>
      </c>
      <c r="S2133" s="2" t="s">
        <v>39</v>
      </c>
      <c r="T2133" s="2" t="s">
        <v>403</v>
      </c>
      <c r="U2133" s="2" t="s">
        <v>16312</v>
      </c>
      <c r="V2133" s="2"/>
      <c r="W2133" s="2" t="s">
        <v>42</v>
      </c>
      <c r="X2133" s="2" t="s">
        <v>46</v>
      </c>
      <c r="Y2133" s="2" t="s">
        <v>37</v>
      </c>
      <c r="Z2133" s="2" t="s">
        <v>362</v>
      </c>
      <c r="AA2133" s="2"/>
      <c r="AB2133" s="2"/>
      <c r="AC2133" s="2" t="s">
        <v>16313</v>
      </c>
      <c r="AD2133" s="2" t="s">
        <v>46</v>
      </c>
    </row>
    <row r="2134" customFormat="false" ht="15.7" hidden="false" customHeight="true" outlineLevel="0" collapsed="false">
      <c r="A2134" s="2"/>
      <c r="B2134" s="3" t="n">
        <f aca="false">DATE(2012,12,23)</f>
        <v>0</v>
      </c>
      <c r="C2134" s="3" t="n">
        <v>41266</v>
      </c>
      <c r="D2134" s="2" t="s">
        <v>16314</v>
      </c>
      <c r="F2134" s="2" t="s">
        <v>16315</v>
      </c>
      <c r="G2134" s="2" t="s">
        <v>16316</v>
      </c>
      <c r="H2134" s="2" t="s">
        <v>130</v>
      </c>
      <c r="I2134" s="2" t="s">
        <v>1904</v>
      </c>
      <c r="J2134" s="2" t="s">
        <v>795</v>
      </c>
      <c r="K2134" s="2" t="s">
        <v>16314</v>
      </c>
      <c r="L2134" s="2" t="s">
        <v>1904</v>
      </c>
      <c r="M2134" s="2" t="s">
        <v>130</v>
      </c>
      <c r="N2134" s="2" t="s">
        <v>16317</v>
      </c>
      <c r="O2134" s="2"/>
      <c r="P2134" s="2" t="s">
        <v>37</v>
      </c>
      <c r="Q2134" s="4" t="n">
        <v>2833</v>
      </c>
      <c r="R2134" s="2" t="s">
        <v>136</v>
      </c>
      <c r="S2134" s="2" t="s">
        <v>39</v>
      </c>
      <c r="T2134" s="2" t="s">
        <v>40</v>
      </c>
      <c r="U2134" s="2" t="s">
        <v>16318</v>
      </c>
      <c r="V2134" s="2"/>
      <c r="W2134" s="2" t="s">
        <v>42</v>
      </c>
      <c r="X2134" s="2" t="s">
        <v>43</v>
      </c>
      <c r="Y2134" s="2" t="s">
        <v>37</v>
      </c>
      <c r="Z2134" s="2" t="s">
        <v>44</v>
      </c>
      <c r="AA2134" s="2" t="s">
        <v>16319</v>
      </c>
      <c r="AB2134" s="2"/>
      <c r="AC2134" s="2" t="s">
        <v>16320</v>
      </c>
      <c r="AD2134" s="2" t="s">
        <v>46</v>
      </c>
    </row>
    <row r="2135" customFormat="false" ht="15.7" hidden="false" customHeight="true" outlineLevel="0" collapsed="false">
      <c r="A2135" s="2"/>
      <c r="B2135" s="3" t="n">
        <f aca="false">DATE(2013,1,1)</f>
        <v>0</v>
      </c>
      <c r="C2135" s="3" t="n">
        <v>41275</v>
      </c>
      <c r="D2135" s="2" t="s">
        <v>16321</v>
      </c>
      <c r="F2135" s="2" t="s">
        <v>16322</v>
      </c>
      <c r="G2135" s="2" t="s">
        <v>16323</v>
      </c>
      <c r="H2135" s="2" t="s">
        <v>16324</v>
      </c>
      <c r="I2135" s="2" t="s">
        <v>8466</v>
      </c>
      <c r="J2135" s="2" t="s">
        <v>35</v>
      </c>
      <c r="K2135" s="2" t="s">
        <v>16325</v>
      </c>
      <c r="L2135" s="2" t="s">
        <v>8466</v>
      </c>
      <c r="M2135" s="2" t="s">
        <v>16326</v>
      </c>
      <c r="N2135" s="2" t="s">
        <v>16327</v>
      </c>
      <c r="O2135" s="2" t="s">
        <v>16328</v>
      </c>
      <c r="P2135" s="2" t="s">
        <v>37</v>
      </c>
      <c r="Q2135" s="4" t="n">
        <v>8731</v>
      </c>
      <c r="R2135" s="2" t="s">
        <v>402</v>
      </c>
      <c r="S2135" s="2" t="s">
        <v>39</v>
      </c>
      <c r="T2135" s="2" t="s">
        <v>403</v>
      </c>
      <c r="U2135" s="2" t="s">
        <v>16329</v>
      </c>
      <c r="V2135" s="2"/>
      <c r="W2135" s="2" t="s">
        <v>10912</v>
      </c>
      <c r="X2135" s="2" t="s">
        <v>46</v>
      </c>
      <c r="Y2135" s="2" t="s">
        <v>37</v>
      </c>
      <c r="Z2135" s="2" t="s">
        <v>362</v>
      </c>
      <c r="AA2135" s="2"/>
      <c r="AB2135" s="2" t="s">
        <v>16330</v>
      </c>
      <c r="AC2135" s="2" t="s">
        <v>16331</v>
      </c>
      <c r="AD2135" s="2" t="s">
        <v>46</v>
      </c>
    </row>
    <row r="2136" customFormat="false" ht="15.7" hidden="false" customHeight="true" outlineLevel="0" collapsed="false">
      <c r="A2136" s="2"/>
      <c r="B2136" s="3" t="n">
        <f aca="false">DATE(2013,1,1)</f>
        <v>0</v>
      </c>
      <c r="C2136" s="3" t="n">
        <v>41275</v>
      </c>
      <c r="D2136" s="2" t="s">
        <v>16332</v>
      </c>
      <c r="F2136" s="2" t="s">
        <v>16333</v>
      </c>
      <c r="G2136" s="2" t="s">
        <v>16334</v>
      </c>
      <c r="H2136" s="2" t="s">
        <v>16335</v>
      </c>
      <c r="I2136" s="2" t="s">
        <v>16336</v>
      </c>
      <c r="J2136" s="2" t="s">
        <v>116</v>
      </c>
      <c r="K2136" s="2" t="s">
        <v>16337</v>
      </c>
      <c r="L2136" s="2" t="s">
        <v>16336</v>
      </c>
      <c r="M2136" s="2" t="s">
        <v>16338</v>
      </c>
      <c r="N2136" s="2" t="s">
        <v>16339</v>
      </c>
      <c r="O2136" s="2"/>
      <c r="P2136" s="2" t="s">
        <v>37</v>
      </c>
      <c r="Q2136" s="4" t="n">
        <v>8731</v>
      </c>
      <c r="R2136" s="2" t="s">
        <v>16340</v>
      </c>
      <c r="S2136" s="2" t="s">
        <v>39</v>
      </c>
      <c r="T2136" s="2" t="s">
        <v>40</v>
      </c>
      <c r="U2136" s="2" t="s">
        <v>16341</v>
      </c>
      <c r="V2136" s="2"/>
      <c r="W2136" s="2" t="s">
        <v>4505</v>
      </c>
      <c r="X2136" s="2" t="s">
        <v>46</v>
      </c>
      <c r="Y2136" s="2" t="s">
        <v>37</v>
      </c>
      <c r="Z2136" s="2" t="s">
        <v>1404</v>
      </c>
      <c r="AA2136" s="2"/>
      <c r="AB2136" s="2"/>
      <c r="AC2136" s="2" t="s">
        <v>16342</v>
      </c>
      <c r="AD2136" s="2" t="s">
        <v>46</v>
      </c>
    </row>
    <row r="2137" customFormat="false" ht="15.7" hidden="false" customHeight="true" outlineLevel="0" collapsed="false">
      <c r="A2137" s="2"/>
      <c r="B2137" s="3" t="n">
        <f aca="false">DATE(2013,1,3)</f>
        <v>0</v>
      </c>
      <c r="C2137" s="3" t="n">
        <v>41277</v>
      </c>
      <c r="D2137" s="2" t="s">
        <v>16343</v>
      </c>
      <c r="F2137" s="2" t="s">
        <v>16344</v>
      </c>
      <c r="G2137" s="2" t="s">
        <v>16345</v>
      </c>
      <c r="H2137" s="2" t="s">
        <v>16346</v>
      </c>
      <c r="I2137" s="2" t="s">
        <v>51</v>
      </c>
      <c r="J2137" s="2" t="s">
        <v>5763</v>
      </c>
      <c r="K2137" s="2" t="s">
        <v>16347</v>
      </c>
      <c r="L2137" s="2" t="s">
        <v>219</v>
      </c>
      <c r="M2137" s="2" t="s">
        <v>16346</v>
      </c>
      <c r="N2137" s="2" t="s">
        <v>16348</v>
      </c>
      <c r="O2137" s="2" t="s">
        <v>16349</v>
      </c>
      <c r="P2137" s="2" t="s">
        <v>37</v>
      </c>
      <c r="Q2137" s="4" t="n">
        <v>8731</v>
      </c>
      <c r="R2137" s="2" t="s">
        <v>56</v>
      </c>
      <c r="S2137" s="2" t="s">
        <v>2265</v>
      </c>
      <c r="T2137" s="2" t="s">
        <v>40</v>
      </c>
      <c r="U2137" s="2" t="s">
        <v>16350</v>
      </c>
      <c r="V2137" s="2"/>
      <c r="W2137" s="2" t="s">
        <v>7275</v>
      </c>
      <c r="X2137" s="2" t="s">
        <v>46</v>
      </c>
      <c r="Y2137" s="2" t="s">
        <v>37</v>
      </c>
      <c r="Z2137" s="2" t="s">
        <v>362</v>
      </c>
      <c r="AA2137" s="2"/>
      <c r="AB2137" s="2" t="s">
        <v>16351</v>
      </c>
      <c r="AC2137" s="2" t="s">
        <v>16352</v>
      </c>
      <c r="AD2137" s="2" t="s">
        <v>46</v>
      </c>
    </row>
    <row r="2138" customFormat="false" ht="15.7" hidden="false" customHeight="true" outlineLevel="0" collapsed="false">
      <c r="A2138" s="2"/>
      <c r="B2138" s="3" t="n">
        <f aca="false">DATE(2013,1,3)</f>
        <v>0</v>
      </c>
      <c r="C2138" s="3" t="n">
        <v>41277</v>
      </c>
      <c r="D2138" s="2" t="s">
        <v>16353</v>
      </c>
      <c r="F2138" s="2" t="s">
        <v>16354</v>
      </c>
      <c r="G2138" s="2" t="s">
        <v>16355</v>
      </c>
      <c r="H2138" s="2" t="s">
        <v>130</v>
      </c>
      <c r="I2138" s="2" t="s">
        <v>3312</v>
      </c>
      <c r="J2138" s="2" t="s">
        <v>795</v>
      </c>
      <c r="K2138" s="2" t="s">
        <v>16353</v>
      </c>
      <c r="L2138" s="2" t="s">
        <v>3312</v>
      </c>
      <c r="M2138" s="2" t="s">
        <v>130</v>
      </c>
      <c r="N2138" s="2" t="s">
        <v>16356</v>
      </c>
      <c r="O2138" s="2"/>
      <c r="P2138" s="2" t="s">
        <v>37</v>
      </c>
      <c r="Q2138" s="4" t="n">
        <v>2836</v>
      </c>
      <c r="R2138" s="2" t="s">
        <v>56</v>
      </c>
      <c r="S2138" s="2" t="s">
        <v>2265</v>
      </c>
      <c r="T2138" s="2" t="s">
        <v>40</v>
      </c>
      <c r="U2138" s="2" t="s">
        <v>16357</v>
      </c>
      <c r="V2138" s="2"/>
      <c r="W2138" s="2" t="s">
        <v>697</v>
      </c>
      <c r="X2138" s="2" t="s">
        <v>43</v>
      </c>
      <c r="Y2138" s="2" t="s">
        <v>37</v>
      </c>
      <c r="Z2138" s="2" t="s">
        <v>44</v>
      </c>
      <c r="AA2138" s="2"/>
      <c r="AB2138" s="2"/>
      <c r="AC2138" s="2" t="s">
        <v>16358</v>
      </c>
      <c r="AD2138" s="2" t="s">
        <v>46</v>
      </c>
    </row>
    <row r="2139" customFormat="false" ht="15.7" hidden="false" customHeight="true" outlineLevel="0" collapsed="false">
      <c r="A2139" s="2"/>
      <c r="B2139" s="3" t="n">
        <f aca="false">DATE(2013,1,7)</f>
        <v>0</v>
      </c>
      <c r="C2139" s="3" t="n">
        <v>41281</v>
      </c>
      <c r="D2139" s="2" t="s">
        <v>16359</v>
      </c>
      <c r="F2139" s="2" t="s">
        <v>11555</v>
      </c>
      <c r="G2139" s="2" t="s">
        <v>16360</v>
      </c>
      <c r="H2139" s="2" t="s">
        <v>305</v>
      </c>
      <c r="I2139" s="2" t="s">
        <v>1080</v>
      </c>
      <c r="J2139" s="2" t="s">
        <v>35</v>
      </c>
      <c r="K2139" s="2" t="s">
        <v>16361</v>
      </c>
      <c r="L2139" s="2" t="s">
        <v>1080</v>
      </c>
      <c r="M2139" s="2" t="s">
        <v>523</v>
      </c>
      <c r="N2139" s="2" t="s">
        <v>16362</v>
      </c>
      <c r="O2139" s="2"/>
      <c r="P2139" s="2" t="s">
        <v>37</v>
      </c>
      <c r="Q2139" s="4" t="n">
        <v>3826</v>
      </c>
      <c r="R2139" s="2" t="s">
        <v>2201</v>
      </c>
      <c r="S2139" s="2" t="s">
        <v>39</v>
      </c>
      <c r="T2139" s="2" t="s">
        <v>40</v>
      </c>
      <c r="U2139" s="2" t="s">
        <v>16363</v>
      </c>
      <c r="V2139" s="2"/>
      <c r="W2139" s="2" t="s">
        <v>42</v>
      </c>
      <c r="X2139" s="2" t="s">
        <v>43</v>
      </c>
      <c r="Y2139" s="2" t="s">
        <v>37</v>
      </c>
      <c r="Z2139" s="2" t="s">
        <v>44</v>
      </c>
      <c r="AA2139" s="2"/>
      <c r="AB2139" s="2"/>
      <c r="AC2139" s="2" t="s">
        <v>16364</v>
      </c>
      <c r="AD2139" s="2" t="s">
        <v>46</v>
      </c>
    </row>
    <row r="2140" customFormat="false" ht="15.7" hidden="false" customHeight="true" outlineLevel="0" collapsed="false">
      <c r="A2140" s="2"/>
      <c r="B2140" s="3" t="n">
        <f aca="false">DATE(2013,1,7)</f>
        <v>0</v>
      </c>
      <c r="C2140" s="3" t="n">
        <v>41281</v>
      </c>
      <c r="D2140" s="2" t="s">
        <v>16365</v>
      </c>
      <c r="F2140" s="2" t="s">
        <v>16366</v>
      </c>
      <c r="G2140" s="2" t="s">
        <v>16367</v>
      </c>
      <c r="H2140" s="2" t="s">
        <v>130</v>
      </c>
      <c r="I2140" s="2" t="s">
        <v>330</v>
      </c>
      <c r="J2140" s="2" t="s">
        <v>331</v>
      </c>
      <c r="K2140" s="2" t="s">
        <v>16365</v>
      </c>
      <c r="L2140" s="2" t="s">
        <v>330</v>
      </c>
      <c r="M2140" s="2" t="s">
        <v>130</v>
      </c>
      <c r="N2140" s="2" t="s">
        <v>16368</v>
      </c>
      <c r="O2140" s="2"/>
      <c r="P2140" s="2" t="s">
        <v>37</v>
      </c>
      <c r="Q2140" s="4" t="n">
        <v>8731</v>
      </c>
      <c r="R2140" s="2" t="s">
        <v>136</v>
      </c>
      <c r="S2140" s="2" t="s">
        <v>39</v>
      </c>
      <c r="T2140" s="2" t="s">
        <v>40</v>
      </c>
      <c r="U2140" s="2" t="s">
        <v>16369</v>
      </c>
      <c r="V2140" s="2"/>
      <c r="W2140" s="2" t="s">
        <v>14572</v>
      </c>
      <c r="X2140" s="2" t="s">
        <v>43</v>
      </c>
      <c r="Y2140" s="2" t="s">
        <v>37</v>
      </c>
      <c r="Z2140" s="2" t="s">
        <v>44</v>
      </c>
      <c r="AA2140" s="2" t="s">
        <v>16370</v>
      </c>
      <c r="AB2140" s="2"/>
      <c r="AC2140" s="2" t="s">
        <v>16371</v>
      </c>
      <c r="AD2140" s="2" t="s">
        <v>46</v>
      </c>
    </row>
    <row r="2141" customFormat="false" ht="15.7" hidden="false" customHeight="true" outlineLevel="0" collapsed="false">
      <c r="A2141" s="2"/>
      <c r="B2141" s="3" t="n">
        <f aca="false">DATE(2013,1,7)</f>
        <v>0</v>
      </c>
      <c r="C2141" s="3" t="n">
        <v>41281</v>
      </c>
      <c r="D2141" s="2" t="s">
        <v>16372</v>
      </c>
      <c r="F2141" s="2" t="s">
        <v>10844</v>
      </c>
      <c r="G2141" s="2" t="s">
        <v>16373</v>
      </c>
      <c r="H2141" s="2" t="s">
        <v>305</v>
      </c>
      <c r="I2141" s="2" t="s">
        <v>51</v>
      </c>
      <c r="J2141" s="2" t="s">
        <v>187</v>
      </c>
      <c r="K2141" s="2" t="s">
        <v>16372</v>
      </c>
      <c r="L2141" s="2" t="s">
        <v>51</v>
      </c>
      <c r="M2141" s="2" t="s">
        <v>305</v>
      </c>
      <c r="N2141" s="2" t="s">
        <v>16374</v>
      </c>
      <c r="O2141" s="2"/>
      <c r="P2141" s="2" t="s">
        <v>37</v>
      </c>
      <c r="Q2141" s="4" t="n">
        <v>8731</v>
      </c>
      <c r="R2141" s="2" t="s">
        <v>56</v>
      </c>
      <c r="S2141" s="2" t="s">
        <v>2265</v>
      </c>
      <c r="T2141" s="2" t="s">
        <v>40</v>
      </c>
      <c r="U2141" s="2" t="s">
        <v>16375</v>
      </c>
      <c r="V2141" s="2"/>
      <c r="W2141" s="2" t="s">
        <v>1050</v>
      </c>
      <c r="X2141" s="2" t="s">
        <v>43</v>
      </c>
      <c r="Y2141" s="2" t="s">
        <v>37</v>
      </c>
      <c r="Z2141" s="2" t="s">
        <v>44</v>
      </c>
      <c r="AA2141" s="2" t="s">
        <v>16376</v>
      </c>
      <c r="AB2141" s="2"/>
      <c r="AC2141" s="2" t="s">
        <v>16377</v>
      </c>
      <c r="AD2141" s="2" t="s">
        <v>46</v>
      </c>
    </row>
    <row r="2142" customFormat="false" ht="15.7" hidden="false" customHeight="true" outlineLevel="0" collapsed="false">
      <c r="A2142" s="2"/>
      <c r="B2142" s="3" t="n">
        <f aca="false">DATE(2013,1,7)</f>
        <v>0</v>
      </c>
      <c r="C2142" s="3" t="n">
        <v>41281</v>
      </c>
      <c r="D2142" s="2" t="s">
        <v>16378</v>
      </c>
      <c r="F2142" s="2" t="s">
        <v>16379</v>
      </c>
      <c r="G2142" s="2" t="s">
        <v>16380</v>
      </c>
      <c r="H2142" s="2" t="s">
        <v>762</v>
      </c>
      <c r="I2142" s="2" t="s">
        <v>388</v>
      </c>
      <c r="J2142" s="2" t="s">
        <v>625</v>
      </c>
      <c r="K2142" s="2" t="s">
        <v>16378</v>
      </c>
      <c r="L2142" s="2" t="s">
        <v>388</v>
      </c>
      <c r="M2142" s="2" t="s">
        <v>762</v>
      </c>
      <c r="N2142" s="2" t="s">
        <v>16381</v>
      </c>
      <c r="O2142" s="2"/>
      <c r="P2142" s="2" t="s">
        <v>37</v>
      </c>
      <c r="Q2142" s="4" t="n">
        <v>8731</v>
      </c>
      <c r="R2142" s="2" t="s">
        <v>2201</v>
      </c>
      <c r="S2142" s="2" t="s">
        <v>39</v>
      </c>
      <c r="T2142" s="2" t="s">
        <v>40</v>
      </c>
      <c r="U2142" s="2" t="s">
        <v>16382</v>
      </c>
      <c r="V2142" s="2"/>
      <c r="W2142" s="2" t="s">
        <v>42</v>
      </c>
      <c r="X2142" s="2" t="s">
        <v>43</v>
      </c>
      <c r="Y2142" s="2" t="s">
        <v>37</v>
      </c>
      <c r="Z2142" s="2" t="s">
        <v>44</v>
      </c>
      <c r="AA2142" s="2"/>
      <c r="AB2142" s="2"/>
      <c r="AC2142" s="2" t="s">
        <v>16383</v>
      </c>
      <c r="AD2142" s="2" t="s">
        <v>46</v>
      </c>
    </row>
    <row r="2143" customFormat="false" ht="15.7" hidden="false" customHeight="true" outlineLevel="0" collapsed="false">
      <c r="A2143" s="2"/>
      <c r="B2143" s="3" t="n">
        <f aca="false">DATE(2013,1,8)</f>
        <v>0</v>
      </c>
      <c r="C2143" s="3" t="n">
        <v>41282</v>
      </c>
      <c r="D2143" s="2" t="s">
        <v>16384</v>
      </c>
      <c r="F2143" s="2" t="s">
        <v>16385</v>
      </c>
      <c r="G2143" s="2" t="s">
        <v>16386</v>
      </c>
      <c r="H2143" s="2" t="s">
        <v>16387</v>
      </c>
      <c r="I2143" s="2" t="s">
        <v>51</v>
      </c>
      <c r="J2143" s="2" t="s">
        <v>3045</v>
      </c>
      <c r="K2143" s="2" t="s">
        <v>16388</v>
      </c>
      <c r="L2143" s="2" t="s">
        <v>51</v>
      </c>
      <c r="M2143" s="2" t="s">
        <v>8167</v>
      </c>
      <c r="N2143" s="2" t="s">
        <v>16389</v>
      </c>
      <c r="O2143" s="2" t="s">
        <v>16390</v>
      </c>
      <c r="P2143" s="2" t="s">
        <v>37</v>
      </c>
      <c r="Q2143" s="4" t="n">
        <v>8731</v>
      </c>
      <c r="R2143" s="2" t="s">
        <v>56</v>
      </c>
      <c r="S2143" s="2" t="s">
        <v>2265</v>
      </c>
      <c r="T2143" s="2" t="s">
        <v>40</v>
      </c>
      <c r="U2143" s="2" t="s">
        <v>16391</v>
      </c>
      <c r="V2143" s="2"/>
      <c r="W2143" s="2" t="s">
        <v>42</v>
      </c>
      <c r="X2143" s="2" t="s">
        <v>46</v>
      </c>
      <c r="Y2143" s="2" t="s">
        <v>37</v>
      </c>
      <c r="Z2143" s="2" t="s">
        <v>362</v>
      </c>
      <c r="AA2143" s="2"/>
      <c r="AB2143" s="2" t="s">
        <v>16392</v>
      </c>
      <c r="AC2143" s="2" t="s">
        <v>16393</v>
      </c>
      <c r="AD2143" s="2" t="s">
        <v>46</v>
      </c>
    </row>
    <row r="2144" customFormat="false" ht="15.7" hidden="false" customHeight="true" outlineLevel="0" collapsed="false">
      <c r="A2144" s="2"/>
      <c r="B2144" s="3" t="n">
        <f aca="false">DATE(2013,1,8)</f>
        <v>0</v>
      </c>
      <c r="C2144" s="3" t="n">
        <v>41282</v>
      </c>
      <c r="D2144" s="2" t="s">
        <v>16394</v>
      </c>
      <c r="F2144" s="2" t="s">
        <v>11781</v>
      </c>
      <c r="G2144" s="2" t="s">
        <v>16395</v>
      </c>
      <c r="H2144" s="2" t="s">
        <v>305</v>
      </c>
      <c r="I2144" s="2" t="s">
        <v>664</v>
      </c>
      <c r="J2144" s="2" t="s">
        <v>228</v>
      </c>
      <c r="K2144" s="2" t="s">
        <v>16394</v>
      </c>
      <c r="L2144" s="2" t="s">
        <v>664</v>
      </c>
      <c r="M2144" s="2" t="s">
        <v>305</v>
      </c>
      <c r="N2144" s="2" t="s">
        <v>16396</v>
      </c>
      <c r="O2144" s="2"/>
      <c r="P2144" s="2" t="s">
        <v>37</v>
      </c>
      <c r="Q2144" s="4" t="n">
        <v>2836</v>
      </c>
      <c r="R2144" s="2" t="s">
        <v>136</v>
      </c>
      <c r="S2144" s="2" t="s">
        <v>39</v>
      </c>
      <c r="T2144" s="2" t="s">
        <v>40</v>
      </c>
      <c r="U2144" s="2" t="s">
        <v>16397</v>
      </c>
      <c r="V2144" s="2"/>
      <c r="W2144" s="2" t="s">
        <v>697</v>
      </c>
      <c r="X2144" s="2" t="s">
        <v>43</v>
      </c>
      <c r="Y2144" s="2" t="s">
        <v>37</v>
      </c>
      <c r="Z2144" s="2" t="s">
        <v>44</v>
      </c>
      <c r="AA2144" s="2"/>
      <c r="AB2144" s="2"/>
      <c r="AC2144" s="2" t="s">
        <v>16398</v>
      </c>
      <c r="AD2144" s="2" t="s">
        <v>46</v>
      </c>
    </row>
    <row r="2145" customFormat="false" ht="15.7" hidden="false" customHeight="true" outlineLevel="0" collapsed="false">
      <c r="A2145" s="2"/>
      <c r="B2145" s="3" t="n">
        <f aca="false">DATE(2013,1,9)</f>
        <v>0</v>
      </c>
      <c r="C2145" s="3" t="n">
        <v>41283</v>
      </c>
      <c r="D2145" s="2" t="s">
        <v>16399</v>
      </c>
      <c r="F2145" s="2" t="s">
        <v>16400</v>
      </c>
      <c r="G2145" s="2" t="s">
        <v>16401</v>
      </c>
      <c r="H2145" s="2" t="s">
        <v>368</v>
      </c>
      <c r="I2145" s="2" t="s">
        <v>131</v>
      </c>
      <c r="J2145" s="2" t="s">
        <v>14811</v>
      </c>
      <c r="K2145" s="2" t="s">
        <v>16399</v>
      </c>
      <c r="L2145" s="2" t="s">
        <v>131</v>
      </c>
      <c r="M2145" s="2" t="s">
        <v>368</v>
      </c>
      <c r="N2145" s="2" t="s">
        <v>16402</v>
      </c>
      <c r="O2145" s="2"/>
      <c r="P2145" s="2" t="s">
        <v>37</v>
      </c>
      <c r="Q2145" s="4" t="n">
        <v>2836</v>
      </c>
      <c r="R2145" s="2" t="s">
        <v>136</v>
      </c>
      <c r="S2145" s="2" t="s">
        <v>39</v>
      </c>
      <c r="T2145" s="2" t="s">
        <v>40</v>
      </c>
      <c r="U2145" s="2" t="s">
        <v>16403</v>
      </c>
      <c r="V2145" s="2"/>
      <c r="W2145" s="2" t="s">
        <v>42</v>
      </c>
      <c r="X2145" s="2" t="s">
        <v>43</v>
      </c>
      <c r="Y2145" s="2" t="s">
        <v>37</v>
      </c>
      <c r="Z2145" s="2" t="s">
        <v>44</v>
      </c>
      <c r="AA2145" s="2"/>
      <c r="AB2145" s="2"/>
      <c r="AC2145" s="2" t="s">
        <v>16404</v>
      </c>
      <c r="AD2145" s="2" t="s">
        <v>46</v>
      </c>
    </row>
    <row r="2146" customFormat="false" ht="15.7" hidden="false" customHeight="true" outlineLevel="0" collapsed="false">
      <c r="A2146" s="2"/>
      <c r="B2146" s="3" t="n">
        <f aca="false">DATE(2013,1,14)</f>
        <v>0</v>
      </c>
      <c r="C2146" s="3" t="n">
        <v>41288</v>
      </c>
      <c r="D2146" s="2" t="s">
        <v>16405</v>
      </c>
      <c r="F2146" s="2" t="s">
        <v>16406</v>
      </c>
      <c r="G2146" s="2" t="s">
        <v>16407</v>
      </c>
      <c r="H2146" s="2" t="s">
        <v>16408</v>
      </c>
      <c r="I2146" s="2" t="s">
        <v>51</v>
      </c>
      <c r="J2146" s="2" t="s">
        <v>16409</v>
      </c>
      <c r="K2146" s="2" t="s">
        <v>16405</v>
      </c>
      <c r="L2146" s="2" t="s">
        <v>51</v>
      </c>
      <c r="M2146" s="2" t="s">
        <v>16408</v>
      </c>
      <c r="N2146" s="2" t="s">
        <v>16410</v>
      </c>
      <c r="O2146" s="2"/>
      <c r="P2146" s="2" t="s">
        <v>37</v>
      </c>
      <c r="Q2146" s="4" t="n">
        <v>8732</v>
      </c>
      <c r="R2146" s="2" t="s">
        <v>56</v>
      </c>
      <c r="S2146" s="2" t="s">
        <v>2265</v>
      </c>
      <c r="T2146" s="2" t="s">
        <v>40</v>
      </c>
      <c r="U2146" s="2" t="s">
        <v>16411</v>
      </c>
      <c r="V2146" s="2"/>
      <c r="W2146" s="2" t="s">
        <v>16412</v>
      </c>
      <c r="X2146" s="2" t="s">
        <v>43</v>
      </c>
      <c r="Y2146" s="2" t="s">
        <v>37</v>
      </c>
      <c r="Z2146" s="2" t="s">
        <v>44</v>
      </c>
      <c r="AA2146" s="2"/>
      <c r="AB2146" s="2"/>
      <c r="AC2146" s="2" t="s">
        <v>16413</v>
      </c>
      <c r="AD2146" s="2" t="s">
        <v>46</v>
      </c>
    </row>
    <row r="2147" customFormat="false" ht="15.7" hidden="false" customHeight="true" outlineLevel="0" collapsed="false">
      <c r="A2147" s="2"/>
      <c r="B2147" s="3" t="n">
        <f aca="false">DATE(2013,1,16)</f>
        <v>0</v>
      </c>
      <c r="C2147" s="3" t="n">
        <v>41290</v>
      </c>
      <c r="D2147" s="2" t="s">
        <v>16414</v>
      </c>
      <c r="F2147" s="2" t="s">
        <v>16415</v>
      </c>
      <c r="G2147" s="2" t="s">
        <v>16416</v>
      </c>
      <c r="H2147" s="2" t="s">
        <v>16417</v>
      </c>
      <c r="I2147" s="2" t="s">
        <v>12781</v>
      </c>
      <c r="J2147" s="2" t="s">
        <v>35</v>
      </c>
      <c r="K2147" s="2" t="s">
        <v>16418</v>
      </c>
      <c r="L2147" s="2" t="s">
        <v>12781</v>
      </c>
      <c r="M2147" s="2" t="s">
        <v>16419</v>
      </c>
      <c r="N2147" s="2" t="s">
        <v>16420</v>
      </c>
      <c r="O2147" s="2"/>
      <c r="P2147" s="2" t="s">
        <v>37</v>
      </c>
      <c r="Q2147" s="4" t="n">
        <v>8731</v>
      </c>
      <c r="R2147" s="2" t="s">
        <v>1448</v>
      </c>
      <c r="S2147" s="2" t="s">
        <v>39</v>
      </c>
      <c r="T2147" s="2" t="s">
        <v>40</v>
      </c>
      <c r="U2147" s="2" t="s">
        <v>16421</v>
      </c>
      <c r="V2147" s="2"/>
      <c r="W2147" s="2" t="s">
        <v>42</v>
      </c>
      <c r="X2147" s="2" t="s">
        <v>43</v>
      </c>
      <c r="Y2147" s="2" t="s">
        <v>37</v>
      </c>
      <c r="Z2147" s="2" t="s">
        <v>44</v>
      </c>
      <c r="AA2147" s="2"/>
      <c r="AB2147" s="2"/>
      <c r="AC2147" s="2" t="s">
        <v>16422</v>
      </c>
      <c r="AD2147" s="2" t="s">
        <v>46</v>
      </c>
    </row>
    <row r="2148" customFormat="false" ht="15.7" hidden="false" customHeight="true" outlineLevel="0" collapsed="false">
      <c r="A2148" s="2"/>
      <c r="B2148" s="3" t="n">
        <f aca="false">DATE(2013,1,21)</f>
        <v>0</v>
      </c>
      <c r="C2148" s="3" t="n">
        <v>41295</v>
      </c>
      <c r="D2148" s="2" t="s">
        <v>16423</v>
      </c>
      <c r="F2148" s="2" t="s">
        <v>256</v>
      </c>
      <c r="G2148" s="2" t="s">
        <v>16424</v>
      </c>
      <c r="H2148" s="2" t="s">
        <v>170</v>
      </c>
      <c r="I2148" s="2" t="s">
        <v>51</v>
      </c>
      <c r="J2148" s="2" t="s">
        <v>6303</v>
      </c>
      <c r="K2148" s="2" t="s">
        <v>16425</v>
      </c>
      <c r="L2148" s="2" t="s">
        <v>51</v>
      </c>
      <c r="M2148" s="2" t="s">
        <v>63</v>
      </c>
      <c r="N2148" s="2" t="s">
        <v>16426</v>
      </c>
      <c r="O2148" s="2"/>
      <c r="P2148" s="2" t="s">
        <v>79</v>
      </c>
      <c r="Q2148" s="4" t="n">
        <v>8731</v>
      </c>
      <c r="R2148" s="2" t="s">
        <v>136</v>
      </c>
      <c r="S2148" s="2" t="s">
        <v>39</v>
      </c>
      <c r="T2148" s="2" t="s">
        <v>40</v>
      </c>
      <c r="U2148" s="2" t="s">
        <v>16427</v>
      </c>
      <c r="V2148" s="2"/>
      <c r="W2148" s="2" t="s">
        <v>1050</v>
      </c>
      <c r="X2148" s="2" t="s">
        <v>43</v>
      </c>
      <c r="Y2148" s="2" t="s">
        <v>37</v>
      </c>
      <c r="Z2148" s="2" t="s">
        <v>44</v>
      </c>
      <c r="AA2148" s="2"/>
      <c r="AB2148" s="2"/>
      <c r="AC2148" s="2" t="s">
        <v>16428</v>
      </c>
      <c r="AD2148" s="2" t="s">
        <v>46</v>
      </c>
    </row>
    <row r="2149" customFormat="false" ht="15.7" hidden="false" customHeight="true" outlineLevel="0" collapsed="false">
      <c r="A2149" s="2"/>
      <c r="B2149" s="3" t="n">
        <f aca="false">DATE(2013,1,22)</f>
        <v>0</v>
      </c>
      <c r="C2149" s="3" t="n">
        <v>41296</v>
      </c>
      <c r="D2149" s="2" t="s">
        <v>16429</v>
      </c>
      <c r="F2149" s="2" t="s">
        <v>16430</v>
      </c>
      <c r="G2149" s="2" t="s">
        <v>16431</v>
      </c>
      <c r="H2149" s="2" t="s">
        <v>130</v>
      </c>
      <c r="I2149" s="2" t="s">
        <v>670</v>
      </c>
      <c r="J2149" s="2" t="s">
        <v>514</v>
      </c>
      <c r="K2149" s="2" t="s">
        <v>16429</v>
      </c>
      <c r="L2149" s="2" t="s">
        <v>670</v>
      </c>
      <c r="M2149" s="2" t="s">
        <v>130</v>
      </c>
      <c r="N2149" s="2" t="s">
        <v>16432</v>
      </c>
      <c r="O2149" s="2"/>
      <c r="P2149" s="2" t="s">
        <v>37</v>
      </c>
      <c r="Q2149" s="4" t="n">
        <v>2836</v>
      </c>
      <c r="R2149" s="2" t="s">
        <v>402</v>
      </c>
      <c r="S2149" s="2" t="s">
        <v>39</v>
      </c>
      <c r="T2149" s="2" t="s">
        <v>40</v>
      </c>
      <c r="U2149" s="2" t="s">
        <v>16433</v>
      </c>
      <c r="V2149" s="2"/>
      <c r="W2149" s="2" t="s">
        <v>42</v>
      </c>
      <c r="X2149" s="2" t="s">
        <v>43</v>
      </c>
      <c r="Y2149" s="2" t="s">
        <v>37</v>
      </c>
      <c r="Z2149" s="2" t="s">
        <v>44</v>
      </c>
      <c r="AA2149" s="2" t="s">
        <v>16434</v>
      </c>
      <c r="AB2149" s="2"/>
      <c r="AC2149" s="2" t="s">
        <v>16435</v>
      </c>
      <c r="AD2149" s="2" t="s">
        <v>46</v>
      </c>
    </row>
    <row r="2150" customFormat="false" ht="15.7" hidden="false" customHeight="true" outlineLevel="0" collapsed="false">
      <c r="A2150" s="2"/>
      <c r="B2150" s="3" t="n">
        <f aca="false">DATE(2013,1,23)</f>
        <v>0</v>
      </c>
      <c r="C2150" s="3" t="n">
        <v>41297</v>
      </c>
      <c r="D2150" s="2" t="s">
        <v>16436</v>
      </c>
      <c r="F2150" s="2" t="s">
        <v>16437</v>
      </c>
      <c r="G2150" s="2" t="s">
        <v>16438</v>
      </c>
      <c r="H2150" s="2" t="s">
        <v>16439</v>
      </c>
      <c r="I2150" s="2" t="s">
        <v>4325</v>
      </c>
      <c r="J2150" s="2" t="s">
        <v>35</v>
      </c>
      <c r="K2150" s="2" t="s">
        <v>16440</v>
      </c>
      <c r="L2150" s="2" t="s">
        <v>4325</v>
      </c>
      <c r="M2150" s="2" t="s">
        <v>16441</v>
      </c>
      <c r="N2150" s="2" t="s">
        <v>16442</v>
      </c>
      <c r="O2150" s="2"/>
      <c r="P2150" s="2" t="s">
        <v>37</v>
      </c>
      <c r="Q2150" s="4" t="n">
        <v>8731</v>
      </c>
      <c r="R2150" s="2" t="s">
        <v>402</v>
      </c>
      <c r="S2150" s="2" t="s">
        <v>39</v>
      </c>
      <c r="T2150" s="2" t="s">
        <v>403</v>
      </c>
      <c r="U2150" s="2" t="s">
        <v>16443</v>
      </c>
      <c r="V2150" s="2"/>
      <c r="W2150" s="2" t="s">
        <v>42</v>
      </c>
      <c r="X2150" s="2" t="s">
        <v>46</v>
      </c>
      <c r="Y2150" s="2" t="s">
        <v>37</v>
      </c>
      <c r="Z2150" s="2" t="s">
        <v>2080</v>
      </c>
      <c r="AA2150" s="2" t="s">
        <v>16444</v>
      </c>
      <c r="AB2150" s="2"/>
      <c r="AC2150" s="2" t="s">
        <v>16445</v>
      </c>
      <c r="AD2150" s="2" t="s">
        <v>46</v>
      </c>
    </row>
    <row r="2151" customFormat="false" ht="15.7" hidden="false" customHeight="true" outlineLevel="0" collapsed="false">
      <c r="A2151" s="2"/>
      <c r="B2151" s="3" t="n">
        <f aca="false">DATE(2013,1,25)</f>
        <v>0</v>
      </c>
      <c r="C2151" s="3" t="n">
        <v>41299</v>
      </c>
      <c r="D2151" s="2" t="s">
        <v>16446</v>
      </c>
      <c r="F2151" s="2" t="s">
        <v>16447</v>
      </c>
      <c r="G2151" s="2" t="s">
        <v>16448</v>
      </c>
      <c r="H2151" s="2" t="s">
        <v>130</v>
      </c>
      <c r="I2151" s="2" t="s">
        <v>1439</v>
      </c>
      <c r="J2151" s="2" t="s">
        <v>35</v>
      </c>
      <c r="K2151" s="2" t="s">
        <v>16446</v>
      </c>
      <c r="L2151" s="2" t="s">
        <v>1439</v>
      </c>
      <c r="M2151" s="2" t="s">
        <v>130</v>
      </c>
      <c r="N2151" s="2" t="s">
        <v>16449</v>
      </c>
      <c r="O2151" s="2"/>
      <c r="P2151" s="2" t="s">
        <v>37</v>
      </c>
      <c r="Q2151" s="4" t="n">
        <v>2834</v>
      </c>
      <c r="R2151" s="2" t="s">
        <v>136</v>
      </c>
      <c r="S2151" s="2" t="s">
        <v>39</v>
      </c>
      <c r="T2151" s="2" t="s">
        <v>40</v>
      </c>
      <c r="U2151" s="2" t="s">
        <v>16450</v>
      </c>
      <c r="V2151" s="2"/>
      <c r="W2151" s="2" t="s">
        <v>1050</v>
      </c>
      <c r="X2151" s="2" t="s">
        <v>43</v>
      </c>
      <c r="Y2151" s="2" t="s">
        <v>37</v>
      </c>
      <c r="Z2151" s="2" t="s">
        <v>44</v>
      </c>
      <c r="AA2151" s="2"/>
      <c r="AB2151" s="2"/>
      <c r="AC2151" s="2" t="s">
        <v>16451</v>
      </c>
      <c r="AD2151" s="2" t="s">
        <v>46</v>
      </c>
    </row>
    <row r="2152" customFormat="false" ht="15.7" hidden="false" customHeight="true" outlineLevel="0" collapsed="false">
      <c r="A2152" s="2"/>
      <c r="B2152" s="3" t="n">
        <f aca="false">DATE(2013,1,26)</f>
        <v>0</v>
      </c>
      <c r="C2152" s="3" t="n">
        <v>41300</v>
      </c>
      <c r="D2152" s="2" t="s">
        <v>16452</v>
      </c>
      <c r="F2152" s="2" t="s">
        <v>16453</v>
      </c>
      <c r="G2152" s="2" t="s">
        <v>16454</v>
      </c>
      <c r="H2152" s="2" t="s">
        <v>16455</v>
      </c>
      <c r="I2152" s="2" t="s">
        <v>51</v>
      </c>
      <c r="J2152" s="2" t="s">
        <v>16456</v>
      </c>
      <c r="K2152" s="2" t="s">
        <v>16452</v>
      </c>
      <c r="L2152" s="2" t="s">
        <v>51</v>
      </c>
      <c r="M2152" s="2" t="s">
        <v>16455</v>
      </c>
      <c r="N2152" s="2" t="s">
        <v>16457</v>
      </c>
      <c r="O2152" s="2"/>
      <c r="P2152" s="2" t="s">
        <v>37</v>
      </c>
      <c r="Q2152" s="4" t="n">
        <v>8731</v>
      </c>
      <c r="R2152" s="2" t="s">
        <v>56</v>
      </c>
      <c r="S2152" s="2" t="s">
        <v>472</v>
      </c>
      <c r="T2152" s="2" t="s">
        <v>40</v>
      </c>
      <c r="U2152" s="2" t="s">
        <v>16458</v>
      </c>
      <c r="V2152" s="2"/>
      <c r="W2152" s="2" t="s">
        <v>42</v>
      </c>
      <c r="X2152" s="2" t="s">
        <v>46</v>
      </c>
      <c r="Y2152" s="2" t="s">
        <v>37</v>
      </c>
      <c r="Z2152" s="2" t="s">
        <v>362</v>
      </c>
      <c r="AA2152" s="2"/>
      <c r="AB2152" s="2"/>
      <c r="AC2152" s="2" t="s">
        <v>16459</v>
      </c>
      <c r="AD2152" s="2" t="s">
        <v>46</v>
      </c>
    </row>
    <row r="2153" customFormat="false" ht="15.7" hidden="false" customHeight="true" outlineLevel="0" collapsed="false">
      <c r="A2153" s="2"/>
      <c r="B2153" s="3" t="n">
        <f aca="false">DATE(2013,1,28)</f>
        <v>0</v>
      </c>
      <c r="C2153" s="3" t="n">
        <v>41302</v>
      </c>
      <c r="D2153" s="2" t="s">
        <v>16460</v>
      </c>
      <c r="F2153" s="2" t="s">
        <v>16461</v>
      </c>
      <c r="G2153" s="2" t="s">
        <v>16462</v>
      </c>
      <c r="H2153" s="2" t="s">
        <v>130</v>
      </c>
      <c r="I2153" s="2" t="s">
        <v>4553</v>
      </c>
      <c r="J2153" s="2" t="s">
        <v>35</v>
      </c>
      <c r="K2153" s="2" t="s">
        <v>16460</v>
      </c>
      <c r="L2153" s="2" t="s">
        <v>4553</v>
      </c>
      <c r="M2153" s="2" t="s">
        <v>130</v>
      </c>
      <c r="N2153" s="2" t="s">
        <v>16463</v>
      </c>
      <c r="O2153" s="2"/>
      <c r="P2153" s="2" t="s">
        <v>37</v>
      </c>
      <c r="Q2153" s="4" t="n">
        <v>2834</v>
      </c>
      <c r="R2153" s="2" t="s">
        <v>450</v>
      </c>
      <c r="S2153" s="2" t="s">
        <v>39</v>
      </c>
      <c r="T2153" s="2" t="s">
        <v>403</v>
      </c>
      <c r="U2153" s="2" t="s">
        <v>16464</v>
      </c>
      <c r="V2153" s="2"/>
      <c r="W2153" s="2" t="s">
        <v>42</v>
      </c>
      <c r="X2153" s="2" t="s">
        <v>46</v>
      </c>
      <c r="Y2153" s="2" t="s">
        <v>37</v>
      </c>
      <c r="Z2153" s="2" t="s">
        <v>362</v>
      </c>
      <c r="AA2153" s="2"/>
      <c r="AB2153" s="2"/>
      <c r="AC2153" s="2" t="s">
        <v>16465</v>
      </c>
      <c r="AD2153" s="2" t="s">
        <v>46</v>
      </c>
    </row>
    <row r="2154" customFormat="false" ht="15.7" hidden="false" customHeight="true" outlineLevel="0" collapsed="false">
      <c r="A2154" s="2"/>
      <c r="B2154" s="3" t="n">
        <f aca="false">DATE(2013,1,28)</f>
        <v>0</v>
      </c>
      <c r="C2154" s="3" t="n">
        <v>41302</v>
      </c>
      <c r="D2154" s="2" t="s">
        <v>16466</v>
      </c>
      <c r="F2154" s="2" t="s">
        <v>11708</v>
      </c>
      <c r="G2154" s="2" t="s">
        <v>16467</v>
      </c>
      <c r="H2154" s="2" t="s">
        <v>130</v>
      </c>
      <c r="I2154" s="2" t="s">
        <v>51</v>
      </c>
      <c r="J2154" s="2" t="s">
        <v>828</v>
      </c>
      <c r="K2154" s="2" t="s">
        <v>16468</v>
      </c>
      <c r="L2154" s="2" t="s">
        <v>51</v>
      </c>
      <c r="M2154" s="2" t="s">
        <v>130</v>
      </c>
      <c r="N2154" s="2" t="s">
        <v>16469</v>
      </c>
      <c r="O2154" s="2"/>
      <c r="P2154" s="2" t="s">
        <v>37</v>
      </c>
      <c r="Q2154" s="4" t="n">
        <v>2836</v>
      </c>
      <c r="R2154" s="2" t="s">
        <v>56</v>
      </c>
      <c r="S2154" s="2" t="s">
        <v>2265</v>
      </c>
      <c r="T2154" s="2" t="s">
        <v>40</v>
      </c>
      <c r="U2154" s="2" t="s">
        <v>16470</v>
      </c>
      <c r="V2154" s="2"/>
      <c r="W2154" s="2" t="s">
        <v>42</v>
      </c>
      <c r="X2154" s="2" t="s">
        <v>43</v>
      </c>
      <c r="Y2154" s="2" t="s">
        <v>37</v>
      </c>
      <c r="Z2154" s="2" t="s">
        <v>44</v>
      </c>
      <c r="AA2154" s="2"/>
      <c r="AB2154" s="2"/>
      <c r="AC2154" s="2" t="s">
        <v>16471</v>
      </c>
      <c r="AD2154" s="2" t="s">
        <v>46</v>
      </c>
    </row>
    <row r="2155" customFormat="false" ht="15.7" hidden="false" customHeight="true" outlineLevel="0" collapsed="false">
      <c r="A2155" s="2"/>
      <c r="B2155" s="3" t="n">
        <f aca="false">DATE(2013,1,28)</f>
        <v>0</v>
      </c>
      <c r="C2155" s="3" t="n">
        <v>41302</v>
      </c>
      <c r="D2155" s="2" t="s">
        <v>16472</v>
      </c>
      <c r="F2155" s="2" t="s">
        <v>16473</v>
      </c>
      <c r="G2155" s="2" t="s">
        <v>16474</v>
      </c>
      <c r="H2155" s="2" t="s">
        <v>130</v>
      </c>
      <c r="I2155" s="2" t="s">
        <v>2658</v>
      </c>
      <c r="J2155" s="2" t="s">
        <v>514</v>
      </c>
      <c r="K2155" s="2" t="s">
        <v>16472</v>
      </c>
      <c r="L2155" s="2" t="s">
        <v>2658</v>
      </c>
      <c r="M2155" s="2" t="s">
        <v>130</v>
      </c>
      <c r="N2155" s="2" t="s">
        <v>16475</v>
      </c>
      <c r="O2155" s="2"/>
      <c r="P2155" s="2" t="s">
        <v>37</v>
      </c>
      <c r="Q2155" s="4" t="n">
        <v>2836</v>
      </c>
      <c r="R2155" s="2" t="s">
        <v>136</v>
      </c>
      <c r="S2155" s="2" t="s">
        <v>39</v>
      </c>
      <c r="T2155" s="2" t="s">
        <v>40</v>
      </c>
      <c r="U2155" s="2" t="s">
        <v>16476</v>
      </c>
      <c r="V2155" s="2"/>
      <c r="W2155" s="2" t="s">
        <v>42</v>
      </c>
      <c r="X2155" s="2" t="s">
        <v>43</v>
      </c>
      <c r="Y2155" s="2" t="s">
        <v>37</v>
      </c>
      <c r="Z2155" s="2" t="s">
        <v>44</v>
      </c>
      <c r="AA2155" s="2"/>
      <c r="AB2155" s="2"/>
      <c r="AC2155" s="2" t="s">
        <v>16477</v>
      </c>
      <c r="AD2155" s="2" t="s">
        <v>46</v>
      </c>
    </row>
    <row r="2156" customFormat="false" ht="15.7" hidden="false" customHeight="true" outlineLevel="0" collapsed="false">
      <c r="A2156" s="2"/>
      <c r="B2156" s="3" t="n">
        <f aca="false">DATE(2013,1,28)</f>
        <v>0</v>
      </c>
      <c r="C2156" s="3" t="n">
        <v>41302</v>
      </c>
      <c r="D2156" s="2" t="s">
        <v>16478</v>
      </c>
      <c r="F2156" s="2" t="s">
        <v>16479</v>
      </c>
      <c r="G2156" s="2" t="s">
        <v>16480</v>
      </c>
      <c r="H2156" s="2" t="s">
        <v>16481</v>
      </c>
      <c r="I2156" s="2" t="s">
        <v>16482</v>
      </c>
      <c r="J2156" s="2" t="s">
        <v>16483</v>
      </c>
      <c r="K2156" s="2" t="s">
        <v>16478</v>
      </c>
      <c r="L2156" s="2" t="s">
        <v>16482</v>
      </c>
      <c r="M2156" s="2" t="s">
        <v>16481</v>
      </c>
      <c r="N2156" s="2" t="s">
        <v>16484</v>
      </c>
      <c r="O2156" s="2"/>
      <c r="P2156" s="2" t="s">
        <v>37</v>
      </c>
      <c r="Q2156" s="4" t="n">
        <v>3629</v>
      </c>
      <c r="R2156" s="2" t="s">
        <v>136</v>
      </c>
      <c r="S2156" s="2" t="s">
        <v>39</v>
      </c>
      <c r="T2156" s="2" t="s">
        <v>40</v>
      </c>
      <c r="U2156" s="2" t="s">
        <v>16485</v>
      </c>
      <c r="V2156" s="2"/>
      <c r="W2156" s="2" t="s">
        <v>697</v>
      </c>
      <c r="X2156" s="2" t="s">
        <v>43</v>
      </c>
      <c r="Y2156" s="2" t="s">
        <v>37</v>
      </c>
      <c r="Z2156" s="2" t="s">
        <v>916</v>
      </c>
      <c r="AA2156" s="2"/>
      <c r="AB2156" s="2"/>
      <c r="AC2156" s="2" t="s">
        <v>16486</v>
      </c>
      <c r="AD2156" s="2" t="s">
        <v>46</v>
      </c>
    </row>
    <row r="2157" customFormat="false" ht="15.7" hidden="false" customHeight="true" outlineLevel="0" collapsed="false">
      <c r="A2157" s="2"/>
      <c r="B2157" s="3" t="n">
        <f aca="false">DATE(2013,1,29)</f>
        <v>0</v>
      </c>
      <c r="C2157" s="3" t="n">
        <v>41303</v>
      </c>
      <c r="D2157" s="2" t="s">
        <v>16487</v>
      </c>
      <c r="F2157" s="2" t="s">
        <v>16488</v>
      </c>
      <c r="G2157" s="2" t="s">
        <v>16489</v>
      </c>
      <c r="H2157" s="2" t="s">
        <v>16490</v>
      </c>
      <c r="I2157" s="2" t="s">
        <v>530</v>
      </c>
      <c r="J2157" s="2" t="s">
        <v>35</v>
      </c>
      <c r="K2157" s="2" t="s">
        <v>16487</v>
      </c>
      <c r="L2157" s="2" t="s">
        <v>530</v>
      </c>
      <c r="M2157" s="2" t="s">
        <v>16490</v>
      </c>
      <c r="N2157" s="2" t="s">
        <v>16491</v>
      </c>
      <c r="O2157" s="2"/>
      <c r="P2157" s="2" t="s">
        <v>37</v>
      </c>
      <c r="Q2157" s="4" t="n">
        <v>8731</v>
      </c>
      <c r="R2157" s="2" t="s">
        <v>136</v>
      </c>
      <c r="S2157" s="2" t="s">
        <v>39</v>
      </c>
      <c r="T2157" s="2" t="s">
        <v>403</v>
      </c>
      <c r="U2157" s="2" t="s">
        <v>16492</v>
      </c>
      <c r="V2157" s="2"/>
      <c r="W2157" s="2" t="s">
        <v>42</v>
      </c>
      <c r="X2157" s="2" t="s">
        <v>43</v>
      </c>
      <c r="Y2157" s="2" t="s">
        <v>37</v>
      </c>
      <c r="Z2157" s="2" t="s">
        <v>44</v>
      </c>
      <c r="AA2157" s="2"/>
      <c r="AB2157" s="2"/>
      <c r="AC2157" s="2" t="s">
        <v>16493</v>
      </c>
      <c r="AD2157" s="2" t="s">
        <v>46</v>
      </c>
    </row>
    <row r="2158" customFormat="false" ht="15.7" hidden="false" customHeight="true" outlineLevel="0" collapsed="false">
      <c r="A2158" s="2"/>
      <c r="B2158" s="3" t="n">
        <f aca="false">DATE(2013,1,30)</f>
        <v>0</v>
      </c>
      <c r="C2158" s="3" t="n">
        <v>41304</v>
      </c>
      <c r="D2158" s="2" t="s">
        <v>16494</v>
      </c>
      <c r="F2158" s="2" t="s">
        <v>935</v>
      </c>
      <c r="G2158" s="2" t="s">
        <v>16495</v>
      </c>
      <c r="H2158" s="2" t="s">
        <v>130</v>
      </c>
      <c r="I2158" s="2" t="s">
        <v>7814</v>
      </c>
      <c r="J2158" s="2" t="s">
        <v>732</v>
      </c>
      <c r="K2158" s="2" t="s">
        <v>16494</v>
      </c>
      <c r="L2158" s="2" t="s">
        <v>7814</v>
      </c>
      <c r="M2158" s="2" t="s">
        <v>130</v>
      </c>
      <c r="N2158" s="2" t="s">
        <v>16496</v>
      </c>
      <c r="O2158" s="2"/>
      <c r="P2158" s="2" t="s">
        <v>37</v>
      </c>
      <c r="Q2158" s="4" t="n">
        <v>2836</v>
      </c>
      <c r="R2158" s="2" t="s">
        <v>56</v>
      </c>
      <c r="S2158" s="2" t="s">
        <v>2265</v>
      </c>
      <c r="T2158" s="2" t="s">
        <v>403</v>
      </c>
      <c r="U2158" s="2" t="s">
        <v>16497</v>
      </c>
      <c r="V2158" s="2"/>
      <c r="W2158" s="2" t="s">
        <v>42</v>
      </c>
      <c r="X2158" s="2" t="s">
        <v>46</v>
      </c>
      <c r="Y2158" s="2" t="s">
        <v>37</v>
      </c>
      <c r="Z2158" s="2" t="s">
        <v>362</v>
      </c>
      <c r="AA2158" s="2"/>
      <c r="AB2158" s="2"/>
      <c r="AC2158" s="2" t="s">
        <v>16498</v>
      </c>
      <c r="AD2158" s="2" t="s">
        <v>46</v>
      </c>
    </row>
    <row r="2159" customFormat="false" ht="15.7" hidden="false" customHeight="true" outlineLevel="0" collapsed="false">
      <c r="A2159" s="2"/>
      <c r="B2159" s="3" t="n">
        <f aca="false">DATE(2013,1,30)</f>
        <v>0</v>
      </c>
      <c r="C2159" s="3" t="n">
        <v>41304</v>
      </c>
      <c r="D2159" s="2" t="s">
        <v>16499</v>
      </c>
      <c r="F2159" s="2" t="s">
        <v>16500</v>
      </c>
      <c r="G2159" s="2" t="s">
        <v>16501</v>
      </c>
      <c r="H2159" s="2" t="s">
        <v>16502</v>
      </c>
      <c r="I2159" s="2" t="s">
        <v>16503</v>
      </c>
      <c r="J2159" s="2" t="s">
        <v>1305</v>
      </c>
      <c r="K2159" s="2" t="s">
        <v>16504</v>
      </c>
      <c r="L2159" s="2" t="s">
        <v>16505</v>
      </c>
      <c r="M2159" s="2" t="s">
        <v>16502</v>
      </c>
      <c r="N2159" s="2" t="s">
        <v>16506</v>
      </c>
      <c r="O2159" s="2" t="s">
        <v>16507</v>
      </c>
      <c r="P2159" s="2" t="s">
        <v>37</v>
      </c>
      <c r="Q2159" s="4" t="n">
        <v>8731</v>
      </c>
      <c r="R2159" s="2" t="s">
        <v>2225</v>
      </c>
      <c r="S2159" s="2" t="s">
        <v>39</v>
      </c>
      <c r="T2159" s="2" t="s">
        <v>40</v>
      </c>
      <c r="U2159" s="2" t="s">
        <v>16508</v>
      </c>
      <c r="V2159" s="2"/>
      <c r="W2159" s="2" t="s">
        <v>42</v>
      </c>
      <c r="X2159" s="2" t="s">
        <v>46</v>
      </c>
      <c r="Y2159" s="2" t="s">
        <v>37</v>
      </c>
      <c r="Z2159" s="2" t="s">
        <v>11255</v>
      </c>
      <c r="AA2159" s="2"/>
      <c r="AB2159" s="2" t="s">
        <v>16509</v>
      </c>
      <c r="AC2159" s="2" t="s">
        <v>16510</v>
      </c>
      <c r="AD2159" s="2" t="s">
        <v>46</v>
      </c>
    </row>
    <row r="2160" customFormat="false" ht="15.7" hidden="false" customHeight="true" outlineLevel="0" collapsed="false">
      <c r="A2160" s="2"/>
      <c r="B2160" s="3" t="n">
        <f aca="false">DATE(2013,1,31)</f>
        <v>0</v>
      </c>
      <c r="C2160" s="3" t="n">
        <v>41305</v>
      </c>
      <c r="D2160" s="2" t="s">
        <v>16511</v>
      </c>
      <c r="F2160" s="2" t="s">
        <v>16512</v>
      </c>
      <c r="G2160" s="2" t="s">
        <v>16513</v>
      </c>
      <c r="H2160" s="2" t="s">
        <v>1972</v>
      </c>
      <c r="I2160" s="2" t="s">
        <v>3320</v>
      </c>
      <c r="J2160" s="2" t="s">
        <v>35</v>
      </c>
      <c r="K2160" s="2" t="s">
        <v>16514</v>
      </c>
      <c r="L2160" s="2" t="s">
        <v>3320</v>
      </c>
      <c r="M2160" s="2" t="s">
        <v>16515</v>
      </c>
      <c r="N2160" s="2" t="s">
        <v>16516</v>
      </c>
      <c r="O2160" s="2"/>
      <c r="P2160" s="2" t="s">
        <v>37</v>
      </c>
      <c r="Q2160" s="4" t="n">
        <v>3594</v>
      </c>
      <c r="R2160" s="2" t="s">
        <v>402</v>
      </c>
      <c r="S2160" s="2" t="s">
        <v>39</v>
      </c>
      <c r="T2160" s="2" t="s">
        <v>40</v>
      </c>
      <c r="U2160" s="2" t="s">
        <v>16517</v>
      </c>
      <c r="V2160" s="2"/>
      <c r="W2160" s="2" t="s">
        <v>697</v>
      </c>
      <c r="X2160" s="2" t="s">
        <v>46</v>
      </c>
      <c r="Y2160" s="2" t="s">
        <v>37</v>
      </c>
      <c r="Z2160" s="2" t="s">
        <v>362</v>
      </c>
      <c r="AA2160" s="2" t="s">
        <v>16518</v>
      </c>
      <c r="AB2160" s="2"/>
      <c r="AC2160" s="2" t="s">
        <v>16519</v>
      </c>
      <c r="AD2160" s="2" t="s">
        <v>46</v>
      </c>
    </row>
    <row r="2161" customFormat="false" ht="15.7" hidden="false" customHeight="true" outlineLevel="0" collapsed="false">
      <c r="A2161" s="2"/>
      <c r="B2161" s="3" t="n">
        <f aca="false">DATE(2013,2,4)</f>
        <v>0</v>
      </c>
      <c r="C2161" s="3" t="n">
        <v>41309</v>
      </c>
      <c r="D2161" s="2" t="s">
        <v>16520</v>
      </c>
      <c r="F2161" s="2" t="s">
        <v>16521</v>
      </c>
      <c r="G2161" s="2" t="s">
        <v>16522</v>
      </c>
      <c r="H2161" s="2" t="s">
        <v>305</v>
      </c>
      <c r="I2161" s="2" t="s">
        <v>51</v>
      </c>
      <c r="J2161" s="2" t="s">
        <v>3310</v>
      </c>
      <c r="K2161" s="2" t="s">
        <v>16520</v>
      </c>
      <c r="L2161" s="2" t="s">
        <v>51</v>
      </c>
      <c r="M2161" s="2" t="s">
        <v>305</v>
      </c>
      <c r="N2161" s="2" t="s">
        <v>16523</v>
      </c>
      <c r="O2161" s="2"/>
      <c r="P2161" s="2" t="s">
        <v>79</v>
      </c>
      <c r="Q2161" s="4" t="n">
        <v>2836</v>
      </c>
      <c r="R2161" s="2" t="s">
        <v>136</v>
      </c>
      <c r="S2161" s="2" t="s">
        <v>39</v>
      </c>
      <c r="T2161" s="2" t="s">
        <v>40</v>
      </c>
      <c r="U2161" s="2" t="s">
        <v>16524</v>
      </c>
      <c r="V2161" s="2"/>
      <c r="W2161" s="2" t="s">
        <v>14572</v>
      </c>
      <c r="X2161" s="2" t="s">
        <v>43</v>
      </c>
      <c r="Y2161" s="2" t="s">
        <v>37</v>
      </c>
      <c r="Z2161" s="2" t="s">
        <v>44</v>
      </c>
      <c r="AA2161" s="2" t="s">
        <v>16525</v>
      </c>
      <c r="AB2161" s="2"/>
      <c r="AC2161" s="2" t="s">
        <v>16526</v>
      </c>
      <c r="AD2161" s="2" t="s">
        <v>46</v>
      </c>
    </row>
    <row r="2162" customFormat="false" ht="15.7" hidden="false" customHeight="true" outlineLevel="0" collapsed="false">
      <c r="A2162" s="2"/>
      <c r="B2162" s="3" t="n">
        <f aca="false">DATE(2013,2,5)</f>
        <v>0</v>
      </c>
      <c r="C2162" s="3" t="n">
        <v>41310</v>
      </c>
      <c r="D2162" s="2" t="s">
        <v>16527</v>
      </c>
      <c r="F2162" s="2" t="s">
        <v>16528</v>
      </c>
      <c r="G2162" s="2" t="s">
        <v>16529</v>
      </c>
      <c r="H2162" s="2" t="s">
        <v>4632</v>
      </c>
      <c r="I2162" s="2" t="s">
        <v>664</v>
      </c>
      <c r="J2162" s="2" t="s">
        <v>132</v>
      </c>
      <c r="K2162" s="2" t="s">
        <v>16527</v>
      </c>
      <c r="L2162" s="2" t="s">
        <v>664</v>
      </c>
      <c r="M2162" s="2" t="s">
        <v>4632</v>
      </c>
      <c r="N2162" s="2" t="s">
        <v>16530</v>
      </c>
      <c r="O2162" s="2"/>
      <c r="P2162" s="2" t="s">
        <v>37</v>
      </c>
      <c r="Q2162" s="4" t="n">
        <v>3679</v>
      </c>
      <c r="R2162" s="2" t="s">
        <v>136</v>
      </c>
      <c r="S2162" s="2" t="s">
        <v>39</v>
      </c>
      <c r="T2162" s="2" t="s">
        <v>40</v>
      </c>
      <c r="U2162" s="2" t="s">
        <v>16531</v>
      </c>
      <c r="V2162" s="2"/>
      <c r="W2162" s="2" t="s">
        <v>744</v>
      </c>
      <c r="X2162" s="2" t="s">
        <v>43</v>
      </c>
      <c r="Y2162" s="2" t="s">
        <v>37</v>
      </c>
      <c r="Z2162" s="2" t="s">
        <v>44</v>
      </c>
      <c r="AA2162" s="2"/>
      <c r="AB2162" s="2"/>
      <c r="AC2162" s="2" t="s">
        <v>16532</v>
      </c>
      <c r="AD2162" s="2" t="s">
        <v>46</v>
      </c>
    </row>
    <row r="2163" customFormat="false" ht="15.7" hidden="false" customHeight="true" outlineLevel="0" collapsed="false">
      <c r="A2163" s="2"/>
      <c r="B2163" s="3" t="n">
        <f aca="false">DATE(2013,2,5)</f>
        <v>0</v>
      </c>
      <c r="C2163" s="3" t="n">
        <v>41310</v>
      </c>
      <c r="D2163" s="2" t="s">
        <v>16533</v>
      </c>
      <c r="F2163" s="2" t="s">
        <v>16534</v>
      </c>
      <c r="G2163" s="2" t="s">
        <v>16535</v>
      </c>
      <c r="H2163" s="2" t="s">
        <v>2641</v>
      </c>
      <c r="I2163" s="2" t="s">
        <v>16536</v>
      </c>
      <c r="J2163" s="2" t="s">
        <v>16537</v>
      </c>
      <c r="K2163" s="2" t="s">
        <v>16538</v>
      </c>
      <c r="L2163" s="2" t="s">
        <v>16536</v>
      </c>
      <c r="M2163" s="2" t="s">
        <v>16539</v>
      </c>
      <c r="N2163" s="2" t="s">
        <v>16540</v>
      </c>
      <c r="O2163" s="2"/>
      <c r="P2163" s="2" t="s">
        <v>37</v>
      </c>
      <c r="Q2163" s="4" t="n">
        <v>2836</v>
      </c>
      <c r="R2163" s="2" t="s">
        <v>136</v>
      </c>
      <c r="S2163" s="2" t="s">
        <v>39</v>
      </c>
      <c r="T2163" s="2" t="s">
        <v>40</v>
      </c>
      <c r="U2163" s="2" t="s">
        <v>16541</v>
      </c>
      <c r="V2163" s="2"/>
      <c r="W2163" s="2" t="s">
        <v>42</v>
      </c>
      <c r="X2163" s="2" t="s">
        <v>43</v>
      </c>
      <c r="Y2163" s="2" t="s">
        <v>37</v>
      </c>
      <c r="Z2163" s="2" t="s">
        <v>916</v>
      </c>
      <c r="AA2163" s="2"/>
      <c r="AB2163" s="2"/>
      <c r="AC2163" s="2" t="s">
        <v>16542</v>
      </c>
      <c r="AD2163" s="2" t="s">
        <v>46</v>
      </c>
    </row>
    <row r="2164" customFormat="false" ht="15.7" hidden="false" customHeight="true" outlineLevel="0" collapsed="false">
      <c r="A2164" s="2"/>
      <c r="B2164" s="3" t="n">
        <f aca="false">DATE(2013,2,6)</f>
        <v>0</v>
      </c>
      <c r="C2164" s="3" t="n">
        <v>41311</v>
      </c>
      <c r="D2164" s="2" t="s">
        <v>16543</v>
      </c>
      <c r="F2164" s="2" t="s">
        <v>16544</v>
      </c>
      <c r="G2164" s="2" t="s">
        <v>16545</v>
      </c>
      <c r="H2164" s="2" t="s">
        <v>16546</v>
      </c>
      <c r="I2164" s="2" t="s">
        <v>459</v>
      </c>
      <c r="J2164" s="2" t="s">
        <v>35</v>
      </c>
      <c r="K2164" s="2" t="s">
        <v>16547</v>
      </c>
      <c r="L2164" s="2" t="s">
        <v>459</v>
      </c>
      <c r="M2164" s="2" t="s">
        <v>13515</v>
      </c>
      <c r="N2164" s="2" t="s">
        <v>16548</v>
      </c>
      <c r="O2164" s="2"/>
      <c r="P2164" s="2" t="s">
        <v>37</v>
      </c>
      <c r="Q2164" s="4" t="n">
        <v>8731</v>
      </c>
      <c r="R2164" s="2" t="s">
        <v>461</v>
      </c>
      <c r="S2164" s="2" t="s">
        <v>39</v>
      </c>
      <c r="T2164" s="2" t="s">
        <v>403</v>
      </c>
      <c r="U2164" s="2" t="s">
        <v>16549</v>
      </c>
      <c r="V2164" s="2"/>
      <c r="W2164" s="2" t="s">
        <v>13622</v>
      </c>
      <c r="X2164" s="2" t="s">
        <v>46</v>
      </c>
      <c r="Y2164" s="2" t="s">
        <v>37</v>
      </c>
      <c r="Z2164" s="2" t="s">
        <v>44</v>
      </c>
      <c r="AA2164" s="2"/>
      <c r="AB2164" s="2"/>
      <c r="AC2164" s="2" t="s">
        <v>16550</v>
      </c>
      <c r="AD2164" s="2" t="s">
        <v>46</v>
      </c>
    </row>
    <row r="2165" customFormat="false" ht="15.7" hidden="false" customHeight="true" outlineLevel="0" collapsed="false">
      <c r="A2165" s="2"/>
      <c r="B2165" s="3" t="n">
        <f aca="false">DATE(2013,2,7)</f>
        <v>0</v>
      </c>
      <c r="C2165" s="3" t="n">
        <v>41312</v>
      </c>
      <c r="D2165" s="2" t="s">
        <v>16551</v>
      </c>
      <c r="F2165" s="2" t="s">
        <v>16552</v>
      </c>
      <c r="G2165" s="2" t="s">
        <v>16553</v>
      </c>
      <c r="H2165" s="2" t="s">
        <v>3840</v>
      </c>
      <c r="I2165" s="2" t="s">
        <v>16554</v>
      </c>
      <c r="J2165" s="2" t="s">
        <v>35</v>
      </c>
      <c r="K2165" s="2" t="s">
        <v>16551</v>
      </c>
      <c r="L2165" s="2" t="s">
        <v>16554</v>
      </c>
      <c r="M2165" s="2" t="s">
        <v>3840</v>
      </c>
      <c r="N2165" s="2" t="s">
        <v>16555</v>
      </c>
      <c r="O2165" s="2" t="s">
        <v>16556</v>
      </c>
      <c r="P2165" s="2" t="s">
        <v>37</v>
      </c>
      <c r="Q2165" s="4" t="n">
        <v>8731</v>
      </c>
      <c r="R2165" s="2" t="s">
        <v>1208</v>
      </c>
      <c r="S2165" s="2" t="s">
        <v>39</v>
      </c>
      <c r="T2165" s="2" t="s">
        <v>40</v>
      </c>
      <c r="U2165" s="2" t="s">
        <v>16557</v>
      </c>
      <c r="V2165" s="2"/>
      <c r="W2165" s="2" t="s">
        <v>42</v>
      </c>
      <c r="X2165" s="2" t="s">
        <v>46</v>
      </c>
      <c r="Y2165" s="2" t="s">
        <v>37</v>
      </c>
      <c r="Z2165" s="2" t="s">
        <v>362</v>
      </c>
      <c r="AA2165" s="2"/>
      <c r="AB2165" s="2" t="s">
        <v>16558</v>
      </c>
      <c r="AC2165" s="2" t="s">
        <v>16559</v>
      </c>
      <c r="AD2165" s="2" t="s">
        <v>46</v>
      </c>
    </row>
    <row r="2166" customFormat="false" ht="15.7" hidden="false" customHeight="true" outlineLevel="0" collapsed="false">
      <c r="A2166" s="2"/>
      <c r="B2166" s="3" t="n">
        <f aca="false">DATE(2013,2,7)</f>
        <v>0</v>
      </c>
      <c r="C2166" s="3" t="n">
        <v>41312</v>
      </c>
      <c r="D2166" s="2" t="s">
        <v>16560</v>
      </c>
      <c r="F2166" s="2" t="s">
        <v>16561</v>
      </c>
      <c r="G2166" s="2" t="s">
        <v>16562</v>
      </c>
      <c r="H2166" s="2" t="s">
        <v>3230</v>
      </c>
      <c r="I2166" s="2" t="s">
        <v>2103</v>
      </c>
      <c r="J2166" s="2" t="s">
        <v>35</v>
      </c>
      <c r="K2166" s="2" t="s">
        <v>16563</v>
      </c>
      <c r="L2166" s="2" t="s">
        <v>2103</v>
      </c>
      <c r="M2166" s="2" t="s">
        <v>4324</v>
      </c>
      <c r="N2166" s="2" t="s">
        <v>16564</v>
      </c>
      <c r="O2166" s="2"/>
      <c r="P2166" s="2" t="s">
        <v>79</v>
      </c>
      <c r="Q2166" s="4" t="n">
        <v>7372</v>
      </c>
      <c r="R2166" s="2" t="s">
        <v>2105</v>
      </c>
      <c r="S2166" s="2" t="s">
        <v>39</v>
      </c>
      <c r="T2166" s="2" t="s">
        <v>40</v>
      </c>
      <c r="U2166" s="2" t="s">
        <v>16565</v>
      </c>
      <c r="V2166" s="2"/>
      <c r="W2166" s="2" t="s">
        <v>2367</v>
      </c>
      <c r="X2166" s="2" t="s">
        <v>43</v>
      </c>
      <c r="Y2166" s="2" t="s">
        <v>37</v>
      </c>
      <c r="Z2166" s="2" t="s">
        <v>44</v>
      </c>
      <c r="AA2166" s="2"/>
      <c r="AB2166" s="2"/>
      <c r="AC2166" s="2" t="s">
        <v>16566</v>
      </c>
      <c r="AD2166" s="2" t="s">
        <v>46</v>
      </c>
    </row>
    <row r="2167" customFormat="false" ht="15.7" hidden="false" customHeight="true" outlineLevel="0" collapsed="false">
      <c r="A2167" s="2"/>
      <c r="B2167" s="3" t="n">
        <f aca="false">DATE(2013,2,8)</f>
        <v>0</v>
      </c>
      <c r="C2167" s="3" t="n">
        <v>41313</v>
      </c>
      <c r="D2167" s="2" t="s">
        <v>16567</v>
      </c>
      <c r="F2167" s="2" t="s">
        <v>16568</v>
      </c>
      <c r="G2167" s="2" t="s">
        <v>16569</v>
      </c>
      <c r="H2167" s="2" t="s">
        <v>16570</v>
      </c>
      <c r="I2167" s="2" t="s">
        <v>34</v>
      </c>
      <c r="J2167" s="2" t="s">
        <v>35</v>
      </c>
      <c r="K2167" s="2" t="s">
        <v>16567</v>
      </c>
      <c r="L2167" s="2" t="s">
        <v>34</v>
      </c>
      <c r="M2167" s="2" t="s">
        <v>16570</v>
      </c>
      <c r="N2167" s="2" t="s">
        <v>16571</v>
      </c>
      <c r="O2167" s="2"/>
      <c r="P2167" s="2" t="s">
        <v>37</v>
      </c>
      <c r="Q2167" s="4" t="n">
        <v>3826</v>
      </c>
      <c r="R2167" s="2" t="s">
        <v>38</v>
      </c>
      <c r="S2167" s="2" t="s">
        <v>39</v>
      </c>
      <c r="T2167" s="2" t="s">
        <v>403</v>
      </c>
      <c r="U2167" s="2" t="s">
        <v>16572</v>
      </c>
      <c r="V2167" s="2"/>
      <c r="W2167" s="2" t="s">
        <v>42</v>
      </c>
      <c r="X2167" s="2" t="s">
        <v>43</v>
      </c>
      <c r="Y2167" s="2" t="s">
        <v>37</v>
      </c>
      <c r="Z2167" s="2" t="s">
        <v>44</v>
      </c>
      <c r="AA2167" s="2" t="s">
        <v>16573</v>
      </c>
      <c r="AB2167" s="2"/>
      <c r="AC2167" s="2" t="s">
        <v>16574</v>
      </c>
      <c r="AD2167" s="2" t="s">
        <v>46</v>
      </c>
    </row>
    <row r="2168" customFormat="false" ht="15.7" hidden="false" customHeight="true" outlineLevel="0" collapsed="false">
      <c r="A2168" s="2"/>
      <c r="B2168" s="3" t="n">
        <f aca="false">DATE(2013,2,12)</f>
        <v>0</v>
      </c>
      <c r="C2168" s="3" t="n">
        <v>41317</v>
      </c>
      <c r="D2168" s="2" t="s">
        <v>16575</v>
      </c>
      <c r="F2168" s="2" t="s">
        <v>16576</v>
      </c>
      <c r="G2168" s="2" t="s">
        <v>16577</v>
      </c>
      <c r="H2168" s="2" t="s">
        <v>16578</v>
      </c>
      <c r="I2168" s="2" t="s">
        <v>487</v>
      </c>
      <c r="J2168" s="2" t="s">
        <v>795</v>
      </c>
      <c r="K2168" s="2" t="s">
        <v>16575</v>
      </c>
      <c r="L2168" s="2" t="s">
        <v>487</v>
      </c>
      <c r="M2168" s="2" t="s">
        <v>16578</v>
      </c>
      <c r="N2168" s="2" t="s">
        <v>16579</v>
      </c>
      <c r="O2168" s="2"/>
      <c r="P2168" s="2" t="s">
        <v>37</v>
      </c>
      <c r="Q2168" s="4" t="n">
        <v>3624</v>
      </c>
      <c r="R2168" s="2" t="s">
        <v>1448</v>
      </c>
      <c r="S2168" s="2" t="s">
        <v>39</v>
      </c>
      <c r="T2168" s="2" t="s">
        <v>40</v>
      </c>
      <c r="U2168" s="2" t="s">
        <v>16580</v>
      </c>
      <c r="V2168" s="2"/>
      <c r="W2168" s="2" t="s">
        <v>42</v>
      </c>
      <c r="X2168" s="2" t="s">
        <v>43</v>
      </c>
      <c r="Y2168" s="2" t="s">
        <v>37</v>
      </c>
      <c r="Z2168" s="2" t="s">
        <v>44</v>
      </c>
      <c r="AA2168" s="2"/>
      <c r="AB2168" s="2"/>
      <c r="AC2168" s="2" t="s">
        <v>16581</v>
      </c>
      <c r="AD2168" s="2" t="s">
        <v>46</v>
      </c>
    </row>
    <row r="2169" customFormat="false" ht="15.7" hidden="false" customHeight="true" outlineLevel="0" collapsed="false">
      <c r="A2169" s="2"/>
      <c r="B2169" s="3" t="n">
        <f aca="false">DATE(2013,2,12)</f>
        <v>0</v>
      </c>
      <c r="C2169" s="3" t="n">
        <v>41317</v>
      </c>
      <c r="D2169" s="2" t="s">
        <v>16582</v>
      </c>
      <c r="F2169" s="2" t="s">
        <v>16583</v>
      </c>
      <c r="G2169" s="2" t="s">
        <v>16584</v>
      </c>
      <c r="H2169" s="2" t="s">
        <v>16585</v>
      </c>
      <c r="I2169" s="2" t="s">
        <v>330</v>
      </c>
      <c r="J2169" s="2" t="s">
        <v>6730</v>
      </c>
      <c r="K2169" s="2" t="s">
        <v>16582</v>
      </c>
      <c r="L2169" s="2" t="s">
        <v>330</v>
      </c>
      <c r="M2169" s="2" t="s">
        <v>16585</v>
      </c>
      <c r="N2169" s="2" t="s">
        <v>16586</v>
      </c>
      <c r="O2169" s="2"/>
      <c r="P2169" s="2" t="s">
        <v>37</v>
      </c>
      <c r="Q2169" s="4" t="n">
        <v>3699</v>
      </c>
      <c r="R2169" s="2" t="s">
        <v>2201</v>
      </c>
      <c r="S2169" s="2" t="s">
        <v>39</v>
      </c>
      <c r="T2169" s="2" t="s">
        <v>403</v>
      </c>
      <c r="U2169" s="2" t="s">
        <v>16587</v>
      </c>
      <c r="V2169" s="2"/>
      <c r="W2169" s="2" t="s">
        <v>697</v>
      </c>
      <c r="X2169" s="2" t="s">
        <v>46</v>
      </c>
      <c r="Y2169" s="2" t="s">
        <v>37</v>
      </c>
      <c r="Z2169" s="2" t="s">
        <v>362</v>
      </c>
      <c r="AA2169" s="2"/>
      <c r="AB2169" s="2"/>
      <c r="AC2169" s="2" t="s">
        <v>16588</v>
      </c>
      <c r="AD2169" s="2" t="s">
        <v>46</v>
      </c>
    </row>
    <row r="2170" customFormat="false" ht="15.7" hidden="false" customHeight="true" outlineLevel="0" collapsed="false">
      <c r="A2170" s="2"/>
      <c r="B2170" s="3" t="n">
        <f aca="false">DATE(2013,2,12)</f>
        <v>0</v>
      </c>
      <c r="C2170" s="3" t="n">
        <v>41317</v>
      </c>
      <c r="D2170" s="2" t="s">
        <v>16589</v>
      </c>
      <c r="F2170" s="2" t="s">
        <v>16590</v>
      </c>
      <c r="G2170" s="2" t="s">
        <v>16591</v>
      </c>
      <c r="H2170" s="2" t="s">
        <v>1943</v>
      </c>
      <c r="I2170" s="2" t="s">
        <v>899</v>
      </c>
      <c r="J2170" s="2" t="s">
        <v>795</v>
      </c>
      <c r="K2170" s="2" t="s">
        <v>16592</v>
      </c>
      <c r="L2170" s="2" t="s">
        <v>51</v>
      </c>
      <c r="M2170" s="2" t="s">
        <v>3761</v>
      </c>
      <c r="N2170" s="2" t="s">
        <v>16593</v>
      </c>
      <c r="O2170" s="2"/>
      <c r="P2170" s="2" t="s">
        <v>37</v>
      </c>
      <c r="Q2170" s="4" t="n">
        <v>8731</v>
      </c>
      <c r="R2170" s="2" t="s">
        <v>136</v>
      </c>
      <c r="S2170" s="2" t="s">
        <v>39</v>
      </c>
      <c r="T2170" s="2" t="s">
        <v>40</v>
      </c>
      <c r="U2170" s="2" t="s">
        <v>16594</v>
      </c>
      <c r="V2170" s="2"/>
      <c r="W2170" s="2" t="s">
        <v>5464</v>
      </c>
      <c r="X2170" s="2" t="s">
        <v>43</v>
      </c>
      <c r="Y2170" s="2" t="s">
        <v>37</v>
      </c>
      <c r="Z2170" s="2" t="s">
        <v>44</v>
      </c>
      <c r="AA2170" s="2"/>
      <c r="AB2170" s="2"/>
      <c r="AC2170" s="2" t="s">
        <v>16595</v>
      </c>
      <c r="AD2170" s="2" t="s">
        <v>46</v>
      </c>
    </row>
    <row r="2171" customFormat="false" ht="15.7" hidden="false" customHeight="true" outlineLevel="0" collapsed="false">
      <c r="A2171" s="2"/>
      <c r="B2171" s="3" t="n">
        <f aca="false">DATE(2013,2,14)</f>
        <v>0</v>
      </c>
      <c r="C2171" s="3" t="n">
        <v>41319</v>
      </c>
      <c r="D2171" s="2" t="s">
        <v>16596</v>
      </c>
      <c r="F2171" s="2" t="s">
        <v>16597</v>
      </c>
      <c r="G2171" s="2" t="s">
        <v>16598</v>
      </c>
      <c r="H2171" s="2" t="s">
        <v>16599</v>
      </c>
      <c r="I2171" s="2" t="s">
        <v>2916</v>
      </c>
      <c r="J2171" s="2" t="s">
        <v>116</v>
      </c>
      <c r="K2171" s="2" t="s">
        <v>16596</v>
      </c>
      <c r="L2171" s="2" t="s">
        <v>2916</v>
      </c>
      <c r="M2171" s="2" t="s">
        <v>16599</v>
      </c>
      <c r="N2171" s="2" t="s">
        <v>16600</v>
      </c>
      <c r="O2171" s="2"/>
      <c r="P2171" s="2" t="s">
        <v>37</v>
      </c>
      <c r="Q2171" s="4" t="n">
        <v>8731</v>
      </c>
      <c r="R2171" s="2" t="s">
        <v>38</v>
      </c>
      <c r="S2171" s="2" t="s">
        <v>39</v>
      </c>
      <c r="T2171" s="2" t="s">
        <v>403</v>
      </c>
      <c r="U2171" s="2" t="s">
        <v>16601</v>
      </c>
      <c r="V2171" s="2"/>
      <c r="W2171" s="2" t="s">
        <v>42</v>
      </c>
      <c r="X2171" s="2" t="s">
        <v>46</v>
      </c>
      <c r="Y2171" s="2" t="s">
        <v>37</v>
      </c>
      <c r="Z2171" s="2" t="s">
        <v>16602</v>
      </c>
      <c r="AA2171" s="2" t="s">
        <v>16603</v>
      </c>
      <c r="AB2171" s="2"/>
      <c r="AC2171" s="2" t="s">
        <v>16604</v>
      </c>
      <c r="AD2171" s="2" t="s">
        <v>46</v>
      </c>
    </row>
    <row r="2172" customFormat="false" ht="15.7" hidden="false" customHeight="true" outlineLevel="0" collapsed="false">
      <c r="A2172" s="2"/>
      <c r="B2172" s="3" t="n">
        <f aca="false">DATE(2013,2,15)</f>
        <v>0</v>
      </c>
      <c r="C2172" s="3" t="n">
        <v>41320</v>
      </c>
      <c r="D2172" s="2" t="s">
        <v>16605</v>
      </c>
      <c r="F2172" s="2" t="s">
        <v>16606</v>
      </c>
      <c r="G2172" s="2" t="s">
        <v>16607</v>
      </c>
      <c r="H2172" s="2" t="s">
        <v>2857</v>
      </c>
      <c r="I2172" s="2" t="s">
        <v>16608</v>
      </c>
      <c r="J2172" s="2" t="s">
        <v>35</v>
      </c>
      <c r="K2172" s="2" t="s">
        <v>16609</v>
      </c>
      <c r="L2172" s="2" t="s">
        <v>16608</v>
      </c>
      <c r="M2172" s="2" t="s">
        <v>4340</v>
      </c>
      <c r="N2172" s="2" t="s">
        <v>16610</v>
      </c>
      <c r="O2172" s="2"/>
      <c r="P2172" s="2" t="s">
        <v>37</v>
      </c>
      <c r="Q2172" s="4" t="n">
        <v>3674</v>
      </c>
      <c r="R2172" s="2" t="s">
        <v>136</v>
      </c>
      <c r="S2172" s="2" t="s">
        <v>39</v>
      </c>
      <c r="T2172" s="2" t="s">
        <v>40</v>
      </c>
      <c r="U2172" s="2" t="s">
        <v>16611</v>
      </c>
      <c r="V2172" s="2"/>
      <c r="W2172" s="2" t="s">
        <v>697</v>
      </c>
      <c r="X2172" s="2" t="s">
        <v>43</v>
      </c>
      <c r="Y2172" s="2" t="s">
        <v>37</v>
      </c>
      <c r="Z2172" s="2" t="s">
        <v>44</v>
      </c>
      <c r="AA2172" s="2"/>
      <c r="AB2172" s="2"/>
      <c r="AC2172" s="2" t="s">
        <v>16612</v>
      </c>
      <c r="AD2172" s="2" t="s">
        <v>46</v>
      </c>
    </row>
    <row r="2173" customFormat="false" ht="15.7" hidden="false" customHeight="true" outlineLevel="0" collapsed="false">
      <c r="A2173" s="2"/>
      <c r="B2173" s="3" t="n">
        <f aca="false">DATE(2013,2,22)</f>
        <v>0</v>
      </c>
      <c r="C2173" s="3" t="n">
        <v>41327</v>
      </c>
      <c r="D2173" s="2" t="s">
        <v>16613</v>
      </c>
      <c r="F2173" s="2" t="s">
        <v>16614</v>
      </c>
      <c r="G2173" s="2" t="s">
        <v>16615</v>
      </c>
      <c r="H2173" s="2" t="s">
        <v>305</v>
      </c>
      <c r="I2173" s="2" t="s">
        <v>51</v>
      </c>
      <c r="J2173" s="2" t="s">
        <v>16616</v>
      </c>
      <c r="K2173" s="2" t="s">
        <v>16613</v>
      </c>
      <c r="L2173" s="2" t="s">
        <v>51</v>
      </c>
      <c r="M2173" s="2" t="s">
        <v>305</v>
      </c>
      <c r="N2173" s="2" t="s">
        <v>16617</v>
      </c>
      <c r="O2173" s="2"/>
      <c r="P2173" s="2" t="s">
        <v>37</v>
      </c>
      <c r="Q2173" s="4" t="n">
        <v>2836</v>
      </c>
      <c r="R2173" s="2" t="s">
        <v>56</v>
      </c>
      <c r="S2173" s="2" t="s">
        <v>2265</v>
      </c>
      <c r="T2173" s="2" t="s">
        <v>40</v>
      </c>
      <c r="U2173" s="2" t="s">
        <v>16618</v>
      </c>
      <c r="V2173" s="2"/>
      <c r="W2173" s="2" t="s">
        <v>16619</v>
      </c>
      <c r="X2173" s="2" t="s">
        <v>46</v>
      </c>
      <c r="Y2173" s="2" t="s">
        <v>37</v>
      </c>
      <c r="Z2173" s="2" t="s">
        <v>362</v>
      </c>
      <c r="AA2173" s="2"/>
      <c r="AB2173" s="2"/>
      <c r="AC2173" s="2" t="s">
        <v>16620</v>
      </c>
      <c r="AD2173" s="2" t="s">
        <v>46</v>
      </c>
    </row>
    <row r="2174" customFormat="false" ht="15.7" hidden="false" customHeight="true" outlineLevel="0" collapsed="false">
      <c r="A2174" s="2"/>
      <c r="B2174" s="3" t="n">
        <f aca="false">DATE(2013,2,22)</f>
        <v>0</v>
      </c>
      <c r="C2174" s="3" t="n">
        <v>41327</v>
      </c>
      <c r="D2174" s="2" t="s">
        <v>16621</v>
      </c>
      <c r="F2174" s="2" t="s">
        <v>1260</v>
      </c>
      <c r="G2174" s="2" t="s">
        <v>16622</v>
      </c>
      <c r="H2174" s="2" t="s">
        <v>130</v>
      </c>
      <c r="I2174" s="2" t="s">
        <v>4325</v>
      </c>
      <c r="J2174" s="2" t="s">
        <v>35</v>
      </c>
      <c r="K2174" s="2" t="s">
        <v>16623</v>
      </c>
      <c r="L2174" s="2" t="s">
        <v>2727</v>
      </c>
      <c r="M2174" s="2" t="s">
        <v>230</v>
      </c>
      <c r="N2174" s="2" t="s">
        <v>16624</v>
      </c>
      <c r="O2174" s="2"/>
      <c r="P2174" s="2" t="s">
        <v>37</v>
      </c>
      <c r="Q2174" s="4" t="n">
        <v>2834</v>
      </c>
      <c r="R2174" s="2" t="s">
        <v>402</v>
      </c>
      <c r="S2174" s="2" t="s">
        <v>39</v>
      </c>
      <c r="T2174" s="2" t="s">
        <v>403</v>
      </c>
      <c r="U2174" s="2" t="s">
        <v>16625</v>
      </c>
      <c r="V2174" s="2"/>
      <c r="W2174" s="2" t="s">
        <v>2209</v>
      </c>
      <c r="X2174" s="2" t="s">
        <v>46</v>
      </c>
      <c r="Y2174" s="2" t="s">
        <v>37</v>
      </c>
      <c r="Z2174" s="2" t="s">
        <v>2732</v>
      </c>
      <c r="AA2174" s="2" t="s">
        <v>16626</v>
      </c>
      <c r="AB2174" s="2"/>
      <c r="AC2174" s="2" t="s">
        <v>16627</v>
      </c>
      <c r="AD2174" s="2" t="s">
        <v>46</v>
      </c>
    </row>
    <row r="2175" customFormat="false" ht="15.7" hidden="false" customHeight="true" outlineLevel="0" collapsed="false">
      <c r="A2175" s="2"/>
      <c r="B2175" s="3" t="n">
        <f aca="false">DATE(2013,2,25)</f>
        <v>0</v>
      </c>
      <c r="C2175" s="3" t="n">
        <v>41330</v>
      </c>
      <c r="D2175" s="2" t="s">
        <v>16628</v>
      </c>
      <c r="F2175" s="2" t="s">
        <v>16629</v>
      </c>
      <c r="G2175" s="2" t="s">
        <v>16630</v>
      </c>
      <c r="H2175" s="2" t="s">
        <v>4561</v>
      </c>
      <c r="I2175" s="2" t="s">
        <v>131</v>
      </c>
      <c r="J2175" s="2" t="s">
        <v>4433</v>
      </c>
      <c r="K2175" s="2" t="s">
        <v>16628</v>
      </c>
      <c r="L2175" s="2" t="s">
        <v>131</v>
      </c>
      <c r="M2175" s="2" t="s">
        <v>4561</v>
      </c>
      <c r="N2175" s="2" t="s">
        <v>16631</v>
      </c>
      <c r="O2175" s="2"/>
      <c r="P2175" s="2" t="s">
        <v>37</v>
      </c>
      <c r="Q2175" s="4" t="n">
        <v>2836</v>
      </c>
      <c r="R2175" s="2" t="s">
        <v>136</v>
      </c>
      <c r="S2175" s="2" t="s">
        <v>39</v>
      </c>
      <c r="T2175" s="2" t="s">
        <v>40</v>
      </c>
      <c r="U2175" s="2" t="s">
        <v>16632</v>
      </c>
      <c r="V2175" s="2"/>
      <c r="W2175" s="2" t="s">
        <v>42</v>
      </c>
      <c r="X2175" s="2" t="s">
        <v>43</v>
      </c>
      <c r="Y2175" s="2" t="s">
        <v>37</v>
      </c>
      <c r="Z2175" s="2" t="s">
        <v>44</v>
      </c>
      <c r="AA2175" s="2"/>
      <c r="AB2175" s="2"/>
      <c r="AC2175" s="2" t="s">
        <v>16633</v>
      </c>
      <c r="AD2175" s="2" t="s">
        <v>46</v>
      </c>
    </row>
    <row r="2176" customFormat="false" ht="15.7" hidden="false" customHeight="true" outlineLevel="0" collapsed="false">
      <c r="A2176" s="2"/>
      <c r="B2176" s="3" t="n">
        <f aca="false">DATE(2013,3,4)</f>
        <v>0</v>
      </c>
      <c r="C2176" s="3" t="n">
        <v>41337</v>
      </c>
      <c r="D2176" s="2" t="s">
        <v>16634</v>
      </c>
      <c r="F2176" s="2" t="s">
        <v>16635</v>
      </c>
      <c r="G2176" s="2" t="s">
        <v>16636</v>
      </c>
      <c r="H2176" s="2" t="s">
        <v>16637</v>
      </c>
      <c r="I2176" s="2" t="s">
        <v>51</v>
      </c>
      <c r="J2176" s="2" t="s">
        <v>16638</v>
      </c>
      <c r="K2176" s="2" t="s">
        <v>16634</v>
      </c>
      <c r="L2176" s="2" t="s">
        <v>51</v>
      </c>
      <c r="M2176" s="2" t="s">
        <v>16637</v>
      </c>
      <c r="N2176" s="2" t="s">
        <v>16639</v>
      </c>
      <c r="O2176" s="2"/>
      <c r="P2176" s="2" t="s">
        <v>37</v>
      </c>
      <c r="Q2176" s="4" t="n">
        <v>2671</v>
      </c>
      <c r="R2176" s="2" t="s">
        <v>56</v>
      </c>
      <c r="S2176" s="2" t="s">
        <v>2265</v>
      </c>
      <c r="T2176" s="2" t="s">
        <v>40</v>
      </c>
      <c r="U2176" s="2" t="s">
        <v>16640</v>
      </c>
      <c r="V2176" s="2"/>
      <c r="W2176" s="2" t="s">
        <v>42</v>
      </c>
      <c r="X2176" s="2" t="s">
        <v>43</v>
      </c>
      <c r="Y2176" s="2" t="s">
        <v>37</v>
      </c>
      <c r="Z2176" s="2" t="s">
        <v>44</v>
      </c>
      <c r="AA2176" s="2"/>
      <c r="AB2176" s="2"/>
      <c r="AC2176" s="2" t="s">
        <v>16641</v>
      </c>
      <c r="AD2176" s="2" t="s">
        <v>46</v>
      </c>
    </row>
    <row r="2177" customFormat="false" ht="15.7" hidden="false" customHeight="true" outlineLevel="0" collapsed="false">
      <c r="A2177" s="2"/>
      <c r="B2177" s="3" t="n">
        <f aca="false">DATE(2013,3,4)</f>
        <v>0</v>
      </c>
      <c r="C2177" s="3" t="n">
        <v>41337</v>
      </c>
      <c r="D2177" s="2" t="s">
        <v>16642</v>
      </c>
      <c r="F2177" s="2" t="s">
        <v>16643</v>
      </c>
      <c r="G2177" s="2" t="s">
        <v>16644</v>
      </c>
      <c r="H2177" s="2" t="s">
        <v>16645</v>
      </c>
      <c r="I2177" s="2" t="s">
        <v>16646</v>
      </c>
      <c r="J2177" s="2" t="s">
        <v>35</v>
      </c>
      <c r="K2177" s="2" t="s">
        <v>16642</v>
      </c>
      <c r="L2177" s="2" t="s">
        <v>3795</v>
      </c>
      <c r="M2177" s="2" t="s">
        <v>16647</v>
      </c>
      <c r="N2177" s="2" t="s">
        <v>16648</v>
      </c>
      <c r="O2177" s="2"/>
      <c r="P2177" s="2" t="s">
        <v>37</v>
      </c>
      <c r="Q2177" s="4" t="n">
        <v>7371</v>
      </c>
      <c r="R2177" s="2" t="s">
        <v>5774</v>
      </c>
      <c r="S2177" s="2" t="s">
        <v>39</v>
      </c>
      <c r="T2177" s="2" t="s">
        <v>40</v>
      </c>
      <c r="U2177" s="2" t="s">
        <v>16649</v>
      </c>
      <c r="V2177" s="2"/>
      <c r="W2177" s="2" t="s">
        <v>13346</v>
      </c>
      <c r="X2177" s="2" t="s">
        <v>46</v>
      </c>
      <c r="Y2177" s="2" t="s">
        <v>37</v>
      </c>
      <c r="Z2177" s="2" t="s">
        <v>44</v>
      </c>
      <c r="AA2177" s="2"/>
      <c r="AB2177" s="2"/>
      <c r="AC2177" s="2" t="s">
        <v>16650</v>
      </c>
      <c r="AD2177" s="2" t="s">
        <v>46</v>
      </c>
    </row>
    <row r="2178" customFormat="false" ht="15.7" hidden="false" customHeight="true" outlineLevel="0" collapsed="false">
      <c r="A2178" s="2"/>
      <c r="B2178" s="3" t="n">
        <f aca="false">DATE(2013,3,4)</f>
        <v>0</v>
      </c>
      <c r="C2178" s="3" t="n">
        <v>41337</v>
      </c>
      <c r="D2178" s="2" t="s">
        <v>16651</v>
      </c>
      <c r="F2178" s="2" t="s">
        <v>16652</v>
      </c>
      <c r="G2178" s="2" t="s">
        <v>16653</v>
      </c>
      <c r="H2178" s="2" t="s">
        <v>993</v>
      </c>
      <c r="I2178" s="2" t="s">
        <v>51</v>
      </c>
      <c r="J2178" s="2" t="s">
        <v>4804</v>
      </c>
      <c r="K2178" s="2" t="s">
        <v>16654</v>
      </c>
      <c r="L2178" s="2" t="s">
        <v>388</v>
      </c>
      <c r="M2178" s="2" t="s">
        <v>3053</v>
      </c>
      <c r="N2178" s="2" t="s">
        <v>16655</v>
      </c>
      <c r="O2178" s="2"/>
      <c r="P2178" s="2" t="s">
        <v>37</v>
      </c>
      <c r="Q2178" s="4" t="n">
        <v>8731</v>
      </c>
      <c r="R2178" s="2" t="s">
        <v>56</v>
      </c>
      <c r="S2178" s="2" t="s">
        <v>2265</v>
      </c>
      <c r="T2178" s="2" t="s">
        <v>40</v>
      </c>
      <c r="U2178" s="2" t="s">
        <v>16656</v>
      </c>
      <c r="V2178" s="2"/>
      <c r="W2178" s="2" t="s">
        <v>42</v>
      </c>
      <c r="X2178" s="2" t="s">
        <v>43</v>
      </c>
      <c r="Y2178" s="2" t="s">
        <v>37</v>
      </c>
      <c r="Z2178" s="2" t="s">
        <v>44</v>
      </c>
      <c r="AA2178" s="2"/>
      <c r="AB2178" s="2"/>
      <c r="AC2178" s="2" t="s">
        <v>16657</v>
      </c>
      <c r="AD2178" s="2" t="s">
        <v>46</v>
      </c>
    </row>
    <row r="2179" customFormat="false" ht="15.7" hidden="false" customHeight="true" outlineLevel="0" collapsed="false">
      <c r="A2179" s="2"/>
      <c r="B2179" s="3" t="n">
        <f aca="false">DATE(2013,3,4)</f>
        <v>0</v>
      </c>
      <c r="C2179" s="3" t="n">
        <v>41337</v>
      </c>
      <c r="D2179" s="2" t="s">
        <v>16658</v>
      </c>
      <c r="F2179" s="2" t="s">
        <v>16659</v>
      </c>
      <c r="G2179" s="2" t="s">
        <v>16660</v>
      </c>
      <c r="H2179" s="2" t="s">
        <v>387</v>
      </c>
      <c r="I2179" s="2" t="s">
        <v>51</v>
      </c>
      <c r="J2179" s="2" t="s">
        <v>2190</v>
      </c>
      <c r="K2179" s="2" t="s">
        <v>16658</v>
      </c>
      <c r="L2179" s="2" t="s">
        <v>51</v>
      </c>
      <c r="M2179" s="2" t="s">
        <v>387</v>
      </c>
      <c r="N2179" s="2" t="s">
        <v>16661</v>
      </c>
      <c r="O2179" s="2"/>
      <c r="P2179" s="2" t="s">
        <v>37</v>
      </c>
      <c r="Q2179" s="4" t="n">
        <v>8731</v>
      </c>
      <c r="R2179" s="2" t="s">
        <v>56</v>
      </c>
      <c r="S2179" s="2" t="s">
        <v>2265</v>
      </c>
      <c r="T2179" s="2" t="s">
        <v>40</v>
      </c>
      <c r="U2179" s="2" t="s">
        <v>16662</v>
      </c>
      <c r="V2179" s="2"/>
      <c r="W2179" s="2" t="s">
        <v>1050</v>
      </c>
      <c r="X2179" s="2" t="s">
        <v>43</v>
      </c>
      <c r="Y2179" s="2" t="s">
        <v>37</v>
      </c>
      <c r="Z2179" s="2" t="s">
        <v>44</v>
      </c>
      <c r="AA2179" s="2"/>
      <c r="AB2179" s="2"/>
      <c r="AC2179" s="2" t="s">
        <v>16663</v>
      </c>
      <c r="AD2179" s="2" t="s">
        <v>46</v>
      </c>
    </row>
    <row r="2180" customFormat="false" ht="15.7" hidden="false" customHeight="true" outlineLevel="0" collapsed="false">
      <c r="A2180" s="2"/>
      <c r="B2180" s="3" t="n">
        <f aca="false">DATE(2013,3,5)</f>
        <v>0</v>
      </c>
      <c r="C2180" s="3" t="n">
        <v>41338</v>
      </c>
      <c r="D2180" s="2" t="s">
        <v>16664</v>
      </c>
      <c r="F2180" s="2" t="s">
        <v>16665</v>
      </c>
      <c r="G2180" s="2" t="s">
        <v>16666</v>
      </c>
      <c r="H2180" s="2" t="s">
        <v>16667</v>
      </c>
      <c r="I2180" s="2" t="s">
        <v>11818</v>
      </c>
      <c r="J2180" s="2" t="s">
        <v>1305</v>
      </c>
      <c r="K2180" s="2" t="s">
        <v>16668</v>
      </c>
      <c r="L2180" s="2" t="s">
        <v>11818</v>
      </c>
      <c r="M2180" s="2" t="s">
        <v>16669</v>
      </c>
      <c r="N2180" s="2" t="s">
        <v>16670</v>
      </c>
      <c r="O2180" s="2"/>
      <c r="P2180" s="2" t="s">
        <v>37</v>
      </c>
      <c r="Q2180" s="4" t="n">
        <v>3721</v>
      </c>
      <c r="R2180" s="2" t="s">
        <v>402</v>
      </c>
      <c r="S2180" s="2" t="s">
        <v>39</v>
      </c>
      <c r="T2180" s="2" t="s">
        <v>403</v>
      </c>
      <c r="U2180" s="2" t="s">
        <v>16671</v>
      </c>
      <c r="V2180" s="2"/>
      <c r="W2180" s="2" t="s">
        <v>697</v>
      </c>
      <c r="X2180" s="2" t="s">
        <v>46</v>
      </c>
      <c r="Y2180" s="2" t="s">
        <v>37</v>
      </c>
      <c r="Z2180" s="2" t="s">
        <v>16672</v>
      </c>
      <c r="AA2180" s="2" t="s">
        <v>16673</v>
      </c>
      <c r="AB2180" s="2"/>
      <c r="AC2180" s="2" t="s">
        <v>16674</v>
      </c>
      <c r="AD2180" s="2" t="s">
        <v>46</v>
      </c>
    </row>
    <row r="2181" customFormat="false" ht="15.7" hidden="false" customHeight="true" outlineLevel="0" collapsed="false">
      <c r="A2181" s="2"/>
      <c r="B2181" s="3" t="n">
        <f aca="false">DATE(2013,3,5)</f>
        <v>0</v>
      </c>
      <c r="C2181" s="3" t="n">
        <v>41338</v>
      </c>
      <c r="D2181" s="2" t="s">
        <v>16675</v>
      </c>
      <c r="F2181" s="2" t="s">
        <v>16676</v>
      </c>
      <c r="G2181" s="2" t="s">
        <v>16677</v>
      </c>
      <c r="H2181" s="2" t="s">
        <v>305</v>
      </c>
      <c r="I2181" s="2" t="s">
        <v>51</v>
      </c>
      <c r="J2181" s="2" t="s">
        <v>15197</v>
      </c>
      <c r="K2181" s="2" t="s">
        <v>16675</v>
      </c>
      <c r="L2181" s="2" t="s">
        <v>51</v>
      </c>
      <c r="M2181" s="2" t="s">
        <v>305</v>
      </c>
      <c r="N2181" s="2" t="s">
        <v>16678</v>
      </c>
      <c r="O2181" s="2"/>
      <c r="P2181" s="2" t="s">
        <v>37</v>
      </c>
      <c r="Q2181" s="4" t="n">
        <v>8731</v>
      </c>
      <c r="R2181" s="2" t="s">
        <v>56</v>
      </c>
      <c r="S2181" s="2" t="s">
        <v>2265</v>
      </c>
      <c r="T2181" s="2" t="s">
        <v>40</v>
      </c>
      <c r="U2181" s="2" t="s">
        <v>16679</v>
      </c>
      <c r="V2181" s="2"/>
      <c r="W2181" s="2" t="s">
        <v>42</v>
      </c>
      <c r="X2181" s="2" t="s">
        <v>43</v>
      </c>
      <c r="Y2181" s="2" t="s">
        <v>37</v>
      </c>
      <c r="Z2181" s="2" t="s">
        <v>44</v>
      </c>
      <c r="AA2181" s="2"/>
      <c r="AB2181" s="2"/>
      <c r="AC2181" s="2" t="s">
        <v>16680</v>
      </c>
      <c r="AD2181" s="2" t="s">
        <v>46</v>
      </c>
    </row>
    <row r="2182" customFormat="false" ht="15.7" hidden="false" customHeight="true" outlineLevel="0" collapsed="false">
      <c r="A2182" s="2"/>
      <c r="B2182" s="3" t="n">
        <f aca="false">DATE(2013,3,5)</f>
        <v>0</v>
      </c>
      <c r="C2182" s="3" t="n">
        <v>41338</v>
      </c>
      <c r="D2182" s="2" t="s">
        <v>16681</v>
      </c>
      <c r="F2182" s="2" t="s">
        <v>16682</v>
      </c>
      <c r="G2182" s="2" t="s">
        <v>16683</v>
      </c>
      <c r="H2182" s="2" t="s">
        <v>63</v>
      </c>
      <c r="I2182" s="2" t="s">
        <v>670</v>
      </c>
      <c r="J2182" s="2" t="s">
        <v>65</v>
      </c>
      <c r="K2182" s="2" t="s">
        <v>16681</v>
      </c>
      <c r="L2182" s="2" t="s">
        <v>670</v>
      </c>
      <c r="M2182" s="2" t="s">
        <v>63</v>
      </c>
      <c r="N2182" s="2" t="s">
        <v>16684</v>
      </c>
      <c r="O2182" s="2"/>
      <c r="P2182" s="2" t="s">
        <v>37</v>
      </c>
      <c r="Q2182" s="4" t="n">
        <v>2835</v>
      </c>
      <c r="R2182" s="2" t="s">
        <v>136</v>
      </c>
      <c r="S2182" s="2" t="s">
        <v>39</v>
      </c>
      <c r="T2182" s="2" t="s">
        <v>40</v>
      </c>
      <c r="U2182" s="2" t="s">
        <v>16685</v>
      </c>
      <c r="V2182" s="2"/>
      <c r="W2182" s="2" t="s">
        <v>4487</v>
      </c>
      <c r="X2182" s="2" t="s">
        <v>43</v>
      </c>
      <c r="Y2182" s="2" t="s">
        <v>37</v>
      </c>
      <c r="Z2182" s="2" t="s">
        <v>44</v>
      </c>
      <c r="AA2182" s="2"/>
      <c r="AB2182" s="2"/>
      <c r="AC2182" s="2" t="s">
        <v>16686</v>
      </c>
      <c r="AD2182" s="2" t="s">
        <v>46</v>
      </c>
    </row>
    <row r="2183" customFormat="false" ht="15.7" hidden="false" customHeight="true" outlineLevel="0" collapsed="false">
      <c r="A2183" s="2"/>
      <c r="B2183" s="3" t="n">
        <f aca="false">DATE(2013,3,5)</f>
        <v>0</v>
      </c>
      <c r="C2183" s="3" t="n">
        <v>41338</v>
      </c>
      <c r="D2183" s="2" t="s">
        <v>16687</v>
      </c>
      <c r="F2183" s="2" t="s">
        <v>16688</v>
      </c>
      <c r="G2183" s="2" t="s">
        <v>16689</v>
      </c>
      <c r="H2183" s="2" t="s">
        <v>130</v>
      </c>
      <c r="I2183" s="2" t="s">
        <v>51</v>
      </c>
      <c r="J2183" s="2" t="s">
        <v>2858</v>
      </c>
      <c r="K2183" s="2" t="s">
        <v>16690</v>
      </c>
      <c r="L2183" s="2" t="s">
        <v>51</v>
      </c>
      <c r="M2183" s="2" t="s">
        <v>551</v>
      </c>
      <c r="N2183" s="2" t="s">
        <v>16691</v>
      </c>
      <c r="O2183" s="2"/>
      <c r="P2183" s="2" t="s">
        <v>37</v>
      </c>
      <c r="Q2183" s="4" t="n">
        <v>8731</v>
      </c>
      <c r="R2183" s="2" t="s">
        <v>56</v>
      </c>
      <c r="S2183" s="2" t="s">
        <v>2265</v>
      </c>
      <c r="T2183" s="2" t="s">
        <v>403</v>
      </c>
      <c r="U2183" s="2" t="s">
        <v>16692</v>
      </c>
      <c r="V2183" s="2"/>
      <c r="W2183" s="2" t="s">
        <v>42</v>
      </c>
      <c r="X2183" s="2" t="s">
        <v>43</v>
      </c>
      <c r="Y2183" s="2" t="s">
        <v>37</v>
      </c>
      <c r="Z2183" s="2" t="s">
        <v>44</v>
      </c>
      <c r="AA2183" s="2"/>
      <c r="AB2183" s="2"/>
      <c r="AC2183" s="2" t="s">
        <v>16693</v>
      </c>
      <c r="AD2183" s="2" t="s">
        <v>46</v>
      </c>
    </row>
    <row r="2184" customFormat="false" ht="15.7" hidden="false" customHeight="true" outlineLevel="0" collapsed="false">
      <c r="A2184" s="2"/>
      <c r="B2184" s="3" t="n">
        <f aca="false">DATE(2013,3,12)</f>
        <v>0</v>
      </c>
      <c r="C2184" s="3" t="n">
        <v>41345</v>
      </c>
      <c r="D2184" s="2" t="s">
        <v>16694</v>
      </c>
      <c r="F2184" s="2" t="s">
        <v>16695</v>
      </c>
      <c r="G2184" s="2" t="s">
        <v>16696</v>
      </c>
      <c r="H2184" s="2" t="s">
        <v>4884</v>
      </c>
      <c r="I2184" s="2" t="s">
        <v>540</v>
      </c>
      <c r="J2184" s="2" t="s">
        <v>35</v>
      </c>
      <c r="K2184" s="2" t="s">
        <v>16694</v>
      </c>
      <c r="L2184" s="2" t="s">
        <v>540</v>
      </c>
      <c r="M2184" s="2" t="s">
        <v>4884</v>
      </c>
      <c r="N2184" s="2" t="s">
        <v>16697</v>
      </c>
      <c r="O2184" s="2"/>
      <c r="P2184" s="2" t="s">
        <v>37</v>
      </c>
      <c r="Q2184" s="4" t="n">
        <v>7372</v>
      </c>
      <c r="R2184" s="2" t="s">
        <v>56</v>
      </c>
      <c r="S2184" s="2" t="s">
        <v>2265</v>
      </c>
      <c r="T2184" s="2" t="s">
        <v>40</v>
      </c>
      <c r="U2184" s="2" t="s">
        <v>16698</v>
      </c>
      <c r="V2184" s="2"/>
      <c r="W2184" s="2" t="s">
        <v>42</v>
      </c>
      <c r="X2184" s="2" t="s">
        <v>46</v>
      </c>
      <c r="Y2184" s="2" t="s">
        <v>37</v>
      </c>
      <c r="Z2184" s="2" t="s">
        <v>362</v>
      </c>
      <c r="AA2184" s="2"/>
      <c r="AB2184" s="2"/>
      <c r="AC2184" s="2" t="s">
        <v>16699</v>
      </c>
      <c r="AD2184" s="2" t="s">
        <v>46</v>
      </c>
    </row>
    <row r="2185" customFormat="false" ht="15.7" hidden="false" customHeight="true" outlineLevel="0" collapsed="false">
      <c r="A2185" s="2"/>
      <c r="B2185" s="3" t="n">
        <f aca="false">DATE(2013,3,13)</f>
        <v>0</v>
      </c>
      <c r="C2185" s="3" t="n">
        <v>41346</v>
      </c>
      <c r="D2185" s="2" t="s">
        <v>16700</v>
      </c>
      <c r="F2185" s="2" t="s">
        <v>16701</v>
      </c>
      <c r="G2185" s="2" t="s">
        <v>16702</v>
      </c>
      <c r="H2185" s="2" t="s">
        <v>478</v>
      </c>
      <c r="I2185" s="2" t="s">
        <v>51</v>
      </c>
      <c r="J2185" s="2" t="s">
        <v>16703</v>
      </c>
      <c r="K2185" s="2" t="s">
        <v>16704</v>
      </c>
      <c r="L2185" s="2" t="s">
        <v>51</v>
      </c>
      <c r="M2185" s="2" t="s">
        <v>478</v>
      </c>
      <c r="N2185" s="2" t="s">
        <v>16705</v>
      </c>
      <c r="O2185" s="2"/>
      <c r="P2185" s="2" t="s">
        <v>37</v>
      </c>
      <c r="Q2185" s="4" t="n">
        <v>3845</v>
      </c>
      <c r="R2185" s="2" t="s">
        <v>56</v>
      </c>
      <c r="S2185" s="2" t="s">
        <v>2265</v>
      </c>
      <c r="T2185" s="2" t="s">
        <v>40</v>
      </c>
      <c r="U2185" s="2" t="s">
        <v>16706</v>
      </c>
      <c r="V2185" s="2"/>
      <c r="W2185" s="2" t="s">
        <v>42</v>
      </c>
      <c r="X2185" s="2" t="s">
        <v>43</v>
      </c>
      <c r="Y2185" s="2" t="s">
        <v>37</v>
      </c>
      <c r="Z2185" s="2" t="s">
        <v>44</v>
      </c>
      <c r="AA2185" s="2"/>
      <c r="AB2185" s="2"/>
      <c r="AC2185" s="2" t="s">
        <v>16707</v>
      </c>
      <c r="AD2185" s="2" t="s">
        <v>46</v>
      </c>
    </row>
    <row r="2186" customFormat="false" ht="15.7" hidden="false" customHeight="true" outlineLevel="0" collapsed="false">
      <c r="A2186" s="2"/>
      <c r="B2186" s="3" t="n">
        <f aca="false">DATE(2013,3,14)</f>
        <v>0</v>
      </c>
      <c r="C2186" s="3" t="n">
        <v>41347</v>
      </c>
      <c r="D2186" s="2" t="s">
        <v>16708</v>
      </c>
      <c r="F2186" s="2" t="s">
        <v>16709</v>
      </c>
      <c r="G2186" s="2" t="s">
        <v>16710</v>
      </c>
      <c r="H2186" s="2" t="s">
        <v>16711</v>
      </c>
      <c r="I2186" s="2" t="s">
        <v>51</v>
      </c>
      <c r="J2186" s="2" t="s">
        <v>16712</v>
      </c>
      <c r="K2186" s="2" t="s">
        <v>16708</v>
      </c>
      <c r="L2186" s="2" t="s">
        <v>51</v>
      </c>
      <c r="M2186" s="2" t="s">
        <v>16711</v>
      </c>
      <c r="N2186" s="2" t="s">
        <v>16713</v>
      </c>
      <c r="O2186" s="2"/>
      <c r="P2186" s="2" t="s">
        <v>37</v>
      </c>
      <c r="Q2186" s="4" t="n">
        <v>8731</v>
      </c>
      <c r="R2186" s="2" t="s">
        <v>56</v>
      </c>
      <c r="S2186" s="2" t="s">
        <v>2265</v>
      </c>
      <c r="T2186" s="2" t="s">
        <v>403</v>
      </c>
      <c r="U2186" s="2" t="s">
        <v>16714</v>
      </c>
      <c r="V2186" s="2"/>
      <c r="W2186" s="2" t="s">
        <v>5464</v>
      </c>
      <c r="X2186" s="2" t="s">
        <v>46</v>
      </c>
      <c r="Y2186" s="2" t="s">
        <v>37</v>
      </c>
      <c r="Z2186" s="2" t="s">
        <v>362</v>
      </c>
      <c r="AA2186" s="2"/>
      <c r="AB2186" s="2"/>
      <c r="AC2186" s="2" t="s">
        <v>16715</v>
      </c>
      <c r="AD2186" s="2" t="s">
        <v>46</v>
      </c>
    </row>
    <row r="2187" customFormat="false" ht="15.7" hidden="false" customHeight="true" outlineLevel="0" collapsed="false">
      <c r="A2187" s="2"/>
      <c r="B2187" s="3" t="n">
        <f aca="false">DATE(2013,3,15)</f>
        <v>0</v>
      </c>
      <c r="C2187" s="3" t="n">
        <v>41348</v>
      </c>
      <c r="D2187" s="2" t="s">
        <v>16716</v>
      </c>
      <c r="F2187" s="2" t="s">
        <v>16717</v>
      </c>
      <c r="G2187" s="2" t="s">
        <v>16718</v>
      </c>
      <c r="H2187" s="2" t="s">
        <v>16719</v>
      </c>
      <c r="I2187" s="2" t="s">
        <v>16720</v>
      </c>
      <c r="J2187" s="2" t="s">
        <v>1456</v>
      </c>
      <c r="K2187" s="2" t="s">
        <v>16716</v>
      </c>
      <c r="L2187" s="2" t="s">
        <v>16720</v>
      </c>
      <c r="M2187" s="2" t="s">
        <v>16719</v>
      </c>
      <c r="N2187" s="2" t="s">
        <v>16721</v>
      </c>
      <c r="O2187" s="2"/>
      <c r="P2187" s="2" t="s">
        <v>37</v>
      </c>
      <c r="Q2187" s="4" t="n">
        <v>8731</v>
      </c>
      <c r="R2187" s="2" t="s">
        <v>16722</v>
      </c>
      <c r="S2187" s="2" t="s">
        <v>39</v>
      </c>
      <c r="T2187" s="2" t="s">
        <v>673</v>
      </c>
      <c r="U2187" s="2" t="s">
        <v>16723</v>
      </c>
      <c r="V2187" s="2"/>
      <c r="W2187" s="2" t="s">
        <v>42</v>
      </c>
      <c r="X2187" s="2" t="s">
        <v>46</v>
      </c>
      <c r="Y2187" s="2" t="s">
        <v>37</v>
      </c>
      <c r="Z2187" s="2" t="s">
        <v>2732</v>
      </c>
      <c r="AA2187" s="2"/>
      <c r="AB2187" s="2"/>
      <c r="AC2187" s="2" t="s">
        <v>16724</v>
      </c>
      <c r="AD2187" s="2" t="s">
        <v>46</v>
      </c>
    </row>
    <row r="2188" customFormat="false" ht="15.7" hidden="false" customHeight="true" outlineLevel="0" collapsed="false">
      <c r="A2188" s="2"/>
      <c r="B2188" s="3" t="n">
        <f aca="false">DATE(2013,3,19)</f>
        <v>0</v>
      </c>
      <c r="C2188" s="3" t="n">
        <v>41352</v>
      </c>
      <c r="D2188" s="2" t="s">
        <v>16725</v>
      </c>
      <c r="F2188" s="2" t="s">
        <v>16726</v>
      </c>
      <c r="G2188" s="2" t="s">
        <v>16727</v>
      </c>
      <c r="H2188" s="2" t="s">
        <v>3313</v>
      </c>
      <c r="I2188" s="2" t="s">
        <v>16728</v>
      </c>
      <c r="J2188" s="2" t="s">
        <v>35</v>
      </c>
      <c r="K2188" s="2" t="s">
        <v>16729</v>
      </c>
      <c r="L2188" s="2" t="s">
        <v>14116</v>
      </c>
      <c r="M2188" s="2" t="s">
        <v>3313</v>
      </c>
      <c r="N2188" s="2" t="s">
        <v>16730</v>
      </c>
      <c r="O2188" s="2"/>
      <c r="P2188" s="2" t="s">
        <v>37</v>
      </c>
      <c r="Q2188" s="4" t="n">
        <v>2836</v>
      </c>
      <c r="R2188" s="2" t="s">
        <v>136</v>
      </c>
      <c r="S2188" s="2" t="s">
        <v>39</v>
      </c>
      <c r="T2188" s="2" t="s">
        <v>40</v>
      </c>
      <c r="U2188" s="2" t="s">
        <v>16731</v>
      </c>
      <c r="V2188" s="2"/>
      <c r="W2188" s="2" t="s">
        <v>42</v>
      </c>
      <c r="X2188" s="2" t="s">
        <v>43</v>
      </c>
      <c r="Y2188" s="2" t="s">
        <v>37</v>
      </c>
      <c r="Z2188" s="2" t="s">
        <v>44</v>
      </c>
      <c r="AA2188" s="2"/>
      <c r="AB2188" s="2"/>
      <c r="AC2188" s="2" t="s">
        <v>16732</v>
      </c>
      <c r="AD2188" s="2" t="s">
        <v>46</v>
      </c>
    </row>
    <row r="2189" customFormat="false" ht="15.7" hidden="false" customHeight="true" outlineLevel="0" collapsed="false">
      <c r="A2189" s="2"/>
      <c r="B2189" s="3" t="n">
        <f aca="false">DATE(2013,3,19)</f>
        <v>0</v>
      </c>
      <c r="C2189" s="3" t="n">
        <v>41352</v>
      </c>
      <c r="D2189" s="2" t="s">
        <v>16733</v>
      </c>
      <c r="F2189" s="2" t="s">
        <v>16734</v>
      </c>
      <c r="G2189" s="2" t="s">
        <v>16735</v>
      </c>
      <c r="H2189" s="2" t="s">
        <v>16736</v>
      </c>
      <c r="I2189" s="2" t="s">
        <v>837</v>
      </c>
      <c r="J2189" s="2" t="s">
        <v>116</v>
      </c>
      <c r="K2189" s="2" t="s">
        <v>16737</v>
      </c>
      <c r="L2189" s="2" t="s">
        <v>837</v>
      </c>
      <c r="M2189" s="2" t="s">
        <v>16738</v>
      </c>
      <c r="N2189" s="2" t="s">
        <v>16739</v>
      </c>
      <c r="O2189" s="2"/>
      <c r="P2189" s="2" t="s">
        <v>37</v>
      </c>
      <c r="Q2189" s="4" t="n">
        <v>3575</v>
      </c>
      <c r="R2189" s="2" t="s">
        <v>402</v>
      </c>
      <c r="S2189" s="2" t="s">
        <v>39</v>
      </c>
      <c r="T2189" s="2" t="s">
        <v>403</v>
      </c>
      <c r="U2189" s="2" t="s">
        <v>16740</v>
      </c>
      <c r="V2189" s="2"/>
      <c r="W2189" s="2" t="s">
        <v>2209</v>
      </c>
      <c r="X2189" s="2" t="s">
        <v>46</v>
      </c>
      <c r="Y2189" s="2" t="s">
        <v>37</v>
      </c>
      <c r="Z2189" s="2" t="s">
        <v>7389</v>
      </c>
      <c r="AA2189" s="2" t="s">
        <v>16741</v>
      </c>
      <c r="AB2189" s="2"/>
      <c r="AC2189" s="2" t="s">
        <v>16742</v>
      </c>
      <c r="AD2189" s="2" t="s">
        <v>46</v>
      </c>
    </row>
    <row r="2190" customFormat="false" ht="15.7" hidden="false" customHeight="true" outlineLevel="0" collapsed="false">
      <c r="A2190" s="2"/>
      <c r="B2190" s="3" t="n">
        <f aca="false">DATE(2013,3,19)</f>
        <v>0</v>
      </c>
      <c r="C2190" s="3" t="n">
        <v>41352</v>
      </c>
      <c r="D2190" s="2" t="s">
        <v>16743</v>
      </c>
      <c r="F2190" s="2" t="s">
        <v>16744</v>
      </c>
      <c r="G2190" s="2" t="s">
        <v>16745</v>
      </c>
      <c r="H2190" s="2" t="s">
        <v>16746</v>
      </c>
      <c r="I2190" s="2" t="s">
        <v>10700</v>
      </c>
      <c r="J2190" s="2" t="s">
        <v>132</v>
      </c>
      <c r="K2190" s="2" t="s">
        <v>16747</v>
      </c>
      <c r="L2190" s="2" t="s">
        <v>10700</v>
      </c>
      <c r="M2190" s="2" t="s">
        <v>16748</v>
      </c>
      <c r="N2190" s="2" t="s">
        <v>16749</v>
      </c>
      <c r="O2190" s="2"/>
      <c r="P2190" s="2" t="s">
        <v>37</v>
      </c>
      <c r="Q2190" s="4" t="n">
        <v>8111</v>
      </c>
      <c r="R2190" s="2" t="s">
        <v>9292</v>
      </c>
      <c r="S2190" s="2" t="s">
        <v>39</v>
      </c>
      <c r="T2190" s="2" t="s">
        <v>40</v>
      </c>
      <c r="U2190" s="2" t="s">
        <v>16750</v>
      </c>
      <c r="V2190" s="2"/>
      <c r="W2190" s="2" t="s">
        <v>16751</v>
      </c>
      <c r="X2190" s="2" t="s">
        <v>43</v>
      </c>
      <c r="Y2190" s="2" t="s">
        <v>37</v>
      </c>
      <c r="Z2190" s="2" t="s">
        <v>44</v>
      </c>
      <c r="AA2190" s="2"/>
      <c r="AB2190" s="2"/>
      <c r="AC2190" s="2" t="s">
        <v>16752</v>
      </c>
      <c r="AD2190" s="2" t="s">
        <v>46</v>
      </c>
    </row>
    <row r="2191" customFormat="false" ht="15.7" hidden="false" customHeight="true" outlineLevel="0" collapsed="false">
      <c r="A2191" s="2"/>
      <c r="B2191" s="3" t="n">
        <f aca="false">DATE(2013,3,25)</f>
        <v>0</v>
      </c>
      <c r="C2191" s="3" t="n">
        <v>41358</v>
      </c>
      <c r="D2191" s="2" t="s">
        <v>16753</v>
      </c>
      <c r="F2191" s="2" t="s">
        <v>16754</v>
      </c>
      <c r="G2191" s="2" t="s">
        <v>16755</v>
      </c>
      <c r="H2191" s="2" t="s">
        <v>305</v>
      </c>
      <c r="I2191" s="2" t="s">
        <v>685</v>
      </c>
      <c r="J2191" s="2" t="s">
        <v>35</v>
      </c>
      <c r="K2191" s="2" t="s">
        <v>16756</v>
      </c>
      <c r="L2191" s="2" t="s">
        <v>685</v>
      </c>
      <c r="M2191" s="2" t="s">
        <v>523</v>
      </c>
      <c r="N2191" s="2" t="s">
        <v>16757</v>
      </c>
      <c r="O2191" s="2"/>
      <c r="P2191" s="2" t="s">
        <v>37</v>
      </c>
      <c r="Q2191" s="4" t="n">
        <v>2836</v>
      </c>
      <c r="R2191" s="2" t="s">
        <v>688</v>
      </c>
      <c r="S2191" s="2" t="s">
        <v>39</v>
      </c>
      <c r="T2191" s="2" t="s">
        <v>40</v>
      </c>
      <c r="U2191" s="2" t="s">
        <v>16758</v>
      </c>
      <c r="V2191" s="2"/>
      <c r="W2191" s="2" t="s">
        <v>42</v>
      </c>
      <c r="X2191" s="2" t="s">
        <v>43</v>
      </c>
      <c r="Y2191" s="2" t="s">
        <v>37</v>
      </c>
      <c r="Z2191" s="2" t="s">
        <v>44</v>
      </c>
      <c r="AA2191" s="2"/>
      <c r="AB2191" s="2"/>
      <c r="AC2191" s="2" t="s">
        <v>16759</v>
      </c>
      <c r="AD2191" s="2" t="s">
        <v>46</v>
      </c>
    </row>
    <row r="2192" customFormat="false" ht="15.7" hidden="false" customHeight="true" outlineLevel="0" collapsed="false">
      <c r="A2192" s="2"/>
      <c r="B2192" s="3" t="n">
        <f aca="false">DATE(2013,3,25)</f>
        <v>0</v>
      </c>
      <c r="C2192" s="3" t="n">
        <v>41358</v>
      </c>
      <c r="D2192" s="2" t="s">
        <v>16760</v>
      </c>
      <c r="F2192" s="2" t="s">
        <v>16761</v>
      </c>
      <c r="G2192" s="2" t="s">
        <v>16762</v>
      </c>
      <c r="H2192" s="2" t="s">
        <v>1770</v>
      </c>
      <c r="I2192" s="2" t="s">
        <v>7116</v>
      </c>
      <c r="J2192" s="2" t="s">
        <v>101</v>
      </c>
      <c r="K2192" s="2" t="s">
        <v>16763</v>
      </c>
      <c r="L2192" s="2" t="s">
        <v>7116</v>
      </c>
      <c r="M2192" s="2" t="s">
        <v>16764</v>
      </c>
      <c r="N2192" s="2" t="s">
        <v>16765</v>
      </c>
      <c r="O2192" s="2"/>
      <c r="P2192" s="2" t="s">
        <v>37</v>
      </c>
      <c r="Q2192" s="4" t="n">
        <v>2836</v>
      </c>
      <c r="R2192" s="2" t="s">
        <v>56</v>
      </c>
      <c r="S2192" s="2" t="s">
        <v>2265</v>
      </c>
      <c r="T2192" s="2" t="s">
        <v>403</v>
      </c>
      <c r="U2192" s="2" t="s">
        <v>16766</v>
      </c>
      <c r="V2192" s="2"/>
      <c r="W2192" s="2" t="s">
        <v>42</v>
      </c>
      <c r="X2192" s="2" t="s">
        <v>43</v>
      </c>
      <c r="Y2192" s="2" t="s">
        <v>37</v>
      </c>
      <c r="Z2192" s="2" t="s">
        <v>44</v>
      </c>
      <c r="AA2192" s="2"/>
      <c r="AB2192" s="2"/>
      <c r="AC2192" s="2" t="s">
        <v>16767</v>
      </c>
      <c r="AD2192" s="2" t="s">
        <v>46</v>
      </c>
    </row>
    <row r="2193" customFormat="false" ht="15.7" hidden="false" customHeight="true" outlineLevel="0" collapsed="false">
      <c r="A2193" s="2"/>
      <c r="B2193" s="3" t="n">
        <f aca="false">DATE(2013,3,26)</f>
        <v>0</v>
      </c>
      <c r="C2193" s="3" t="n">
        <v>41359</v>
      </c>
      <c r="D2193" s="2" t="s">
        <v>16768</v>
      </c>
      <c r="F2193" s="2" t="s">
        <v>16769</v>
      </c>
      <c r="G2193" s="2" t="s">
        <v>16770</v>
      </c>
      <c r="H2193" s="2" t="s">
        <v>16771</v>
      </c>
      <c r="I2193" s="2" t="s">
        <v>10332</v>
      </c>
      <c r="J2193" s="2" t="s">
        <v>35</v>
      </c>
      <c r="K2193" s="2" t="s">
        <v>16768</v>
      </c>
      <c r="L2193" s="2" t="s">
        <v>10332</v>
      </c>
      <c r="M2193" s="2" t="s">
        <v>16771</v>
      </c>
      <c r="N2193" s="2" t="s">
        <v>16772</v>
      </c>
      <c r="O2193" s="2"/>
      <c r="P2193" s="2" t="s">
        <v>37</v>
      </c>
      <c r="Q2193" s="4" t="n">
        <v>3519</v>
      </c>
      <c r="R2193" s="2" t="s">
        <v>402</v>
      </c>
      <c r="S2193" s="2" t="s">
        <v>39</v>
      </c>
      <c r="T2193" s="2" t="s">
        <v>11074</v>
      </c>
      <c r="U2193" s="2" t="s">
        <v>16773</v>
      </c>
      <c r="V2193" s="2"/>
      <c r="W2193" s="2" t="s">
        <v>2209</v>
      </c>
      <c r="X2193" s="2" t="s">
        <v>46</v>
      </c>
      <c r="Y2193" s="2" t="s">
        <v>37</v>
      </c>
      <c r="Z2193" s="2" t="s">
        <v>362</v>
      </c>
      <c r="AA2193" s="2"/>
      <c r="AB2193" s="2"/>
      <c r="AC2193" s="2" t="s">
        <v>16774</v>
      </c>
      <c r="AD2193" s="2" t="s">
        <v>46</v>
      </c>
    </row>
    <row r="2194" customFormat="false" ht="15.7" hidden="false" customHeight="true" outlineLevel="0" collapsed="false">
      <c r="A2194" s="2"/>
      <c r="B2194" s="3" t="n">
        <f aca="false">DATE(2013,3,26)</f>
        <v>0</v>
      </c>
      <c r="C2194" s="3" t="n">
        <v>41359</v>
      </c>
      <c r="D2194" s="2" t="s">
        <v>16775</v>
      </c>
      <c r="F2194" s="2" t="s">
        <v>16776</v>
      </c>
      <c r="G2194" s="2" t="s">
        <v>16777</v>
      </c>
      <c r="H2194" s="2" t="s">
        <v>3313</v>
      </c>
      <c r="I2194" s="2" t="s">
        <v>88</v>
      </c>
      <c r="J2194" s="2" t="s">
        <v>671</v>
      </c>
      <c r="K2194" s="2" t="s">
        <v>16778</v>
      </c>
      <c r="L2194" s="2" t="s">
        <v>88</v>
      </c>
      <c r="M2194" s="2" t="s">
        <v>3313</v>
      </c>
      <c r="N2194" s="2" t="s">
        <v>16779</v>
      </c>
      <c r="O2194" s="2"/>
      <c r="P2194" s="2" t="s">
        <v>37</v>
      </c>
      <c r="Q2194" s="4" t="n">
        <v>2834</v>
      </c>
      <c r="R2194" s="2" t="s">
        <v>136</v>
      </c>
      <c r="S2194" s="2" t="s">
        <v>39</v>
      </c>
      <c r="T2194" s="2" t="s">
        <v>40</v>
      </c>
      <c r="U2194" s="2" t="s">
        <v>16780</v>
      </c>
      <c r="V2194" s="2"/>
      <c r="W2194" s="2" t="s">
        <v>773</v>
      </c>
      <c r="X2194" s="2" t="s">
        <v>43</v>
      </c>
      <c r="Y2194" s="2" t="s">
        <v>37</v>
      </c>
      <c r="Z2194" s="2" t="s">
        <v>44</v>
      </c>
      <c r="AA2194" s="2"/>
      <c r="AB2194" s="2"/>
      <c r="AC2194" s="2" t="s">
        <v>16781</v>
      </c>
      <c r="AD2194" s="2" t="s">
        <v>46</v>
      </c>
    </row>
    <row r="2195" customFormat="false" ht="15.7" hidden="false" customHeight="true" outlineLevel="0" collapsed="false">
      <c r="A2195" s="2"/>
      <c r="B2195" s="3" t="n">
        <f aca="false">DATE(2013,3,28)</f>
        <v>0</v>
      </c>
      <c r="C2195" s="3" t="n">
        <v>41361</v>
      </c>
      <c r="D2195" s="2" t="s">
        <v>16782</v>
      </c>
      <c r="F2195" s="2" t="s">
        <v>16783</v>
      </c>
      <c r="G2195" s="2" t="s">
        <v>16784</v>
      </c>
      <c r="H2195" s="2" t="s">
        <v>16785</v>
      </c>
      <c r="I2195" s="2" t="s">
        <v>1973</v>
      </c>
      <c r="J2195" s="2" t="s">
        <v>35</v>
      </c>
      <c r="K2195" s="2" t="s">
        <v>16786</v>
      </c>
      <c r="L2195" s="2" t="s">
        <v>1973</v>
      </c>
      <c r="M2195" s="2" t="s">
        <v>16787</v>
      </c>
      <c r="N2195" s="2" t="s">
        <v>16788</v>
      </c>
      <c r="O2195" s="2"/>
      <c r="P2195" s="2" t="s">
        <v>37</v>
      </c>
      <c r="Q2195" s="4" t="n">
        <v>1081</v>
      </c>
      <c r="R2195" s="2" t="s">
        <v>16789</v>
      </c>
      <c r="S2195" s="2" t="s">
        <v>39</v>
      </c>
      <c r="T2195" s="2" t="s">
        <v>122</v>
      </c>
      <c r="U2195" s="2" t="s">
        <v>16790</v>
      </c>
      <c r="V2195" s="2"/>
      <c r="W2195" s="2" t="s">
        <v>11084</v>
      </c>
      <c r="X2195" s="2" t="s">
        <v>46</v>
      </c>
      <c r="Y2195" s="2" t="s">
        <v>37</v>
      </c>
      <c r="Z2195" s="2" t="s">
        <v>362</v>
      </c>
      <c r="AA2195" s="2"/>
      <c r="AB2195" s="2"/>
      <c r="AC2195" s="2" t="s">
        <v>16791</v>
      </c>
      <c r="AD2195" s="2" t="s">
        <v>46</v>
      </c>
    </row>
    <row r="2196" customFormat="false" ht="15.7" hidden="false" customHeight="true" outlineLevel="0" collapsed="false">
      <c r="A2196" s="2"/>
      <c r="B2196" s="3" t="n">
        <f aca="false">DATE(2013,3,28)</f>
        <v>0</v>
      </c>
      <c r="C2196" s="3" t="n">
        <v>41361</v>
      </c>
      <c r="D2196" s="2" t="s">
        <v>16792</v>
      </c>
      <c r="F2196" s="2" t="s">
        <v>16793</v>
      </c>
      <c r="G2196" s="2" t="s">
        <v>16794</v>
      </c>
      <c r="H2196" s="2" t="s">
        <v>16795</v>
      </c>
      <c r="I2196" s="2" t="s">
        <v>16796</v>
      </c>
      <c r="J2196" s="2" t="s">
        <v>116</v>
      </c>
      <c r="K2196" s="2" t="s">
        <v>16797</v>
      </c>
      <c r="L2196" s="2" t="s">
        <v>16796</v>
      </c>
      <c r="M2196" s="2" t="s">
        <v>16798</v>
      </c>
      <c r="N2196" s="2" t="s">
        <v>16799</v>
      </c>
      <c r="O2196" s="2"/>
      <c r="P2196" s="2" t="s">
        <v>37</v>
      </c>
      <c r="Q2196" s="4" t="n">
        <v>2836</v>
      </c>
      <c r="R2196" s="2" t="s">
        <v>402</v>
      </c>
      <c r="S2196" s="2" t="s">
        <v>39</v>
      </c>
      <c r="T2196" s="2" t="s">
        <v>40</v>
      </c>
      <c r="U2196" s="2" t="s">
        <v>16800</v>
      </c>
      <c r="V2196" s="2"/>
      <c r="W2196" s="2" t="s">
        <v>42</v>
      </c>
      <c r="X2196" s="2" t="s">
        <v>43</v>
      </c>
      <c r="Y2196" s="2" t="s">
        <v>37</v>
      </c>
      <c r="Z2196" s="2" t="s">
        <v>916</v>
      </c>
      <c r="AA2196" s="2"/>
      <c r="AB2196" s="2"/>
      <c r="AC2196" s="2" t="s">
        <v>16801</v>
      </c>
      <c r="AD2196" s="2" t="s">
        <v>46</v>
      </c>
    </row>
    <row r="2197" customFormat="false" ht="15.7" hidden="false" customHeight="true" outlineLevel="0" collapsed="false">
      <c r="A2197" s="2"/>
      <c r="B2197" s="3" t="n">
        <f aca="false">DATE(2013,3,29)</f>
        <v>0</v>
      </c>
      <c r="C2197" s="3" t="n">
        <v>41362</v>
      </c>
      <c r="D2197" s="2" t="s">
        <v>16802</v>
      </c>
      <c r="F2197" s="2" t="s">
        <v>16803</v>
      </c>
      <c r="G2197" s="2" t="s">
        <v>16804</v>
      </c>
      <c r="H2197" s="2" t="s">
        <v>1027</v>
      </c>
      <c r="I2197" s="2" t="s">
        <v>34</v>
      </c>
      <c r="J2197" s="2" t="s">
        <v>35</v>
      </c>
      <c r="K2197" s="2" t="s">
        <v>16802</v>
      </c>
      <c r="L2197" s="2" t="s">
        <v>34</v>
      </c>
      <c r="M2197" s="2" t="s">
        <v>1027</v>
      </c>
      <c r="N2197" s="2" t="s">
        <v>16805</v>
      </c>
      <c r="O2197" s="2"/>
      <c r="P2197" s="2" t="s">
        <v>37</v>
      </c>
      <c r="Q2197" s="4" t="n">
        <v>8731</v>
      </c>
      <c r="R2197" s="2" t="s">
        <v>136</v>
      </c>
      <c r="S2197" s="2" t="s">
        <v>39</v>
      </c>
      <c r="T2197" s="2" t="s">
        <v>40</v>
      </c>
      <c r="U2197" s="2" t="s">
        <v>16806</v>
      </c>
      <c r="V2197" s="2"/>
      <c r="W2197" s="2" t="s">
        <v>42</v>
      </c>
      <c r="X2197" s="2" t="s">
        <v>43</v>
      </c>
      <c r="Y2197" s="2" t="s">
        <v>37</v>
      </c>
      <c r="Z2197" s="2" t="s">
        <v>44</v>
      </c>
      <c r="AA2197" s="2"/>
      <c r="AB2197" s="2"/>
      <c r="AC2197" s="2" t="s">
        <v>16807</v>
      </c>
      <c r="AD2197" s="2" t="s">
        <v>46</v>
      </c>
    </row>
    <row r="2198" customFormat="false" ht="15.7" hidden="false" customHeight="true" outlineLevel="0" collapsed="false">
      <c r="A2198" s="2"/>
      <c r="B2198" s="3" t="n">
        <f aca="false">DATE(2013,4,2)</f>
        <v>0</v>
      </c>
      <c r="C2198" s="3" t="n">
        <v>41366</v>
      </c>
      <c r="D2198" s="2" t="s">
        <v>16808</v>
      </c>
      <c r="F2198" s="2" t="s">
        <v>16809</v>
      </c>
      <c r="G2198" s="2" t="s">
        <v>16810</v>
      </c>
      <c r="H2198" s="2" t="s">
        <v>12466</v>
      </c>
      <c r="I2198" s="2" t="s">
        <v>51</v>
      </c>
      <c r="J2198" s="2" t="s">
        <v>293</v>
      </c>
      <c r="K2198" s="2" t="s">
        <v>16811</v>
      </c>
      <c r="L2198" s="2" t="s">
        <v>965</v>
      </c>
      <c r="M2198" s="2" t="s">
        <v>12466</v>
      </c>
      <c r="N2198" s="2" t="s">
        <v>16812</v>
      </c>
      <c r="O2198" s="2"/>
      <c r="P2198" s="2" t="s">
        <v>37</v>
      </c>
      <c r="Q2198" s="4" t="n">
        <v>3357</v>
      </c>
      <c r="R2198" s="2" t="s">
        <v>56</v>
      </c>
      <c r="S2198" s="2" t="s">
        <v>2265</v>
      </c>
      <c r="T2198" s="2" t="s">
        <v>40</v>
      </c>
      <c r="U2198" s="2" t="s">
        <v>16813</v>
      </c>
      <c r="V2198" s="2"/>
      <c r="W2198" s="2" t="s">
        <v>697</v>
      </c>
      <c r="X2198" s="2" t="s">
        <v>43</v>
      </c>
      <c r="Y2198" s="2" t="s">
        <v>37</v>
      </c>
      <c r="Z2198" s="2" t="s">
        <v>44</v>
      </c>
      <c r="AA2198" s="2"/>
      <c r="AB2198" s="2"/>
      <c r="AC2198" s="2" t="s">
        <v>16814</v>
      </c>
      <c r="AD2198" s="2" t="s">
        <v>46</v>
      </c>
    </row>
    <row r="2199" customFormat="false" ht="15.7" hidden="false" customHeight="true" outlineLevel="0" collapsed="false">
      <c r="A2199" s="2"/>
      <c r="B2199" s="3" t="n">
        <f aca="false">DATE(2013,4,3)</f>
        <v>0</v>
      </c>
      <c r="C2199" s="3" t="n">
        <v>41367</v>
      </c>
      <c r="D2199" s="2" t="s">
        <v>16815</v>
      </c>
      <c r="F2199" s="2" t="s">
        <v>1599</v>
      </c>
      <c r="G2199" s="2" t="s">
        <v>16816</v>
      </c>
      <c r="H2199" s="2" t="s">
        <v>1101</v>
      </c>
      <c r="I2199" s="2" t="s">
        <v>51</v>
      </c>
      <c r="J2199" s="2" t="s">
        <v>16817</v>
      </c>
      <c r="K2199" s="2" t="s">
        <v>16815</v>
      </c>
      <c r="L2199" s="2" t="s">
        <v>51</v>
      </c>
      <c r="M2199" s="2" t="s">
        <v>1101</v>
      </c>
      <c r="N2199" s="2" t="s">
        <v>16818</v>
      </c>
      <c r="O2199" s="2"/>
      <c r="P2199" s="2" t="s">
        <v>37</v>
      </c>
      <c r="Q2199" s="4" t="n">
        <v>8731</v>
      </c>
      <c r="R2199" s="2" t="s">
        <v>56</v>
      </c>
      <c r="S2199" s="2" t="s">
        <v>2265</v>
      </c>
      <c r="T2199" s="2" t="s">
        <v>40</v>
      </c>
      <c r="U2199" s="2" t="s">
        <v>16819</v>
      </c>
      <c r="V2199" s="2"/>
      <c r="W2199" s="2" t="s">
        <v>42</v>
      </c>
      <c r="X2199" s="2" t="s">
        <v>43</v>
      </c>
      <c r="Y2199" s="2" t="s">
        <v>37</v>
      </c>
      <c r="Z2199" s="2" t="s">
        <v>44</v>
      </c>
      <c r="AA2199" s="2"/>
      <c r="AB2199" s="2"/>
      <c r="AC2199" s="2" t="s">
        <v>16820</v>
      </c>
      <c r="AD2199" s="2" t="s">
        <v>46</v>
      </c>
    </row>
    <row r="2200" customFormat="false" ht="15.7" hidden="false" customHeight="true" outlineLevel="0" collapsed="false">
      <c r="A2200" s="2"/>
      <c r="B2200" s="3" t="n">
        <f aca="false">DATE(2013,4,8)</f>
        <v>0</v>
      </c>
      <c r="C2200" s="3" t="n">
        <v>41372</v>
      </c>
      <c r="D2200" s="2" t="s">
        <v>16821</v>
      </c>
      <c r="F2200" s="2" t="s">
        <v>9430</v>
      </c>
      <c r="G2200" s="2" t="s">
        <v>16822</v>
      </c>
      <c r="H2200" s="2" t="s">
        <v>130</v>
      </c>
      <c r="I2200" s="2" t="s">
        <v>88</v>
      </c>
      <c r="J2200" s="2" t="s">
        <v>65</v>
      </c>
      <c r="K2200" s="2" t="s">
        <v>16821</v>
      </c>
      <c r="L2200" s="2" t="s">
        <v>88</v>
      </c>
      <c r="M2200" s="2" t="s">
        <v>130</v>
      </c>
      <c r="N2200" s="2" t="s">
        <v>16823</v>
      </c>
      <c r="O2200" s="2"/>
      <c r="P2200" s="2" t="s">
        <v>37</v>
      </c>
      <c r="Q2200" s="4" t="n">
        <v>2835</v>
      </c>
      <c r="R2200" s="2" t="s">
        <v>136</v>
      </c>
      <c r="S2200" s="2" t="s">
        <v>39</v>
      </c>
      <c r="T2200" s="2" t="s">
        <v>40</v>
      </c>
      <c r="U2200" s="2" t="s">
        <v>16824</v>
      </c>
      <c r="V2200" s="2"/>
      <c r="W2200" s="2" t="s">
        <v>4487</v>
      </c>
      <c r="X2200" s="2" t="s">
        <v>43</v>
      </c>
      <c r="Y2200" s="2" t="s">
        <v>37</v>
      </c>
      <c r="Z2200" s="2" t="s">
        <v>44</v>
      </c>
      <c r="AA2200" s="2"/>
      <c r="AB2200" s="2"/>
      <c r="AC2200" s="2" t="s">
        <v>16825</v>
      </c>
      <c r="AD2200" s="2" t="s">
        <v>46</v>
      </c>
    </row>
    <row r="2201" customFormat="false" ht="15.7" hidden="false" customHeight="true" outlineLevel="0" collapsed="false">
      <c r="A2201" s="2"/>
      <c r="B2201" s="3" t="n">
        <f aca="false">DATE(2013,4,11)</f>
        <v>0</v>
      </c>
      <c r="C2201" s="3" t="n">
        <v>41375</v>
      </c>
      <c r="D2201" s="2" t="s">
        <v>16826</v>
      </c>
      <c r="F2201" s="2" t="s">
        <v>16827</v>
      </c>
      <c r="G2201" s="2" t="s">
        <v>16828</v>
      </c>
      <c r="H2201" s="2" t="s">
        <v>16829</v>
      </c>
      <c r="I2201" s="2" t="s">
        <v>219</v>
      </c>
      <c r="J2201" s="2" t="s">
        <v>625</v>
      </c>
      <c r="K2201" s="2" t="s">
        <v>16830</v>
      </c>
      <c r="L2201" s="2" t="s">
        <v>51</v>
      </c>
      <c r="M2201" s="2" t="s">
        <v>1574</v>
      </c>
      <c r="N2201" s="2" t="s">
        <v>16831</v>
      </c>
      <c r="O2201" s="2"/>
      <c r="P2201" s="2" t="s">
        <v>37</v>
      </c>
      <c r="Q2201" s="4" t="n">
        <v>8731</v>
      </c>
      <c r="R2201" s="2" t="s">
        <v>38</v>
      </c>
      <c r="S2201" s="2" t="s">
        <v>39</v>
      </c>
      <c r="T2201" s="2" t="s">
        <v>403</v>
      </c>
      <c r="U2201" s="2" t="s">
        <v>16832</v>
      </c>
      <c r="V2201" s="2"/>
      <c r="W2201" s="2" t="s">
        <v>42</v>
      </c>
      <c r="X2201" s="2" t="s">
        <v>43</v>
      </c>
      <c r="Y2201" s="2" t="s">
        <v>37</v>
      </c>
      <c r="Z2201" s="2" t="s">
        <v>44</v>
      </c>
      <c r="AA2201" s="2"/>
      <c r="AB2201" s="2"/>
      <c r="AC2201" s="2" t="s">
        <v>16833</v>
      </c>
      <c r="AD2201" s="2" t="s">
        <v>46</v>
      </c>
    </row>
    <row r="2202" customFormat="false" ht="15.7" hidden="false" customHeight="true" outlineLevel="0" collapsed="false">
      <c r="A2202" s="2"/>
      <c r="B2202" s="3" t="n">
        <f aca="false">DATE(2013,4,15)</f>
        <v>0</v>
      </c>
      <c r="C2202" s="3" t="n">
        <v>41379</v>
      </c>
      <c r="D2202" s="2" t="s">
        <v>16834</v>
      </c>
      <c r="F2202" s="2" t="s">
        <v>16835</v>
      </c>
      <c r="G2202" s="2" t="s">
        <v>16836</v>
      </c>
      <c r="H2202" s="2" t="s">
        <v>3500</v>
      </c>
      <c r="I2202" s="2" t="s">
        <v>51</v>
      </c>
      <c r="J2202" s="2" t="s">
        <v>7609</v>
      </c>
      <c r="K2202" s="2" t="s">
        <v>16834</v>
      </c>
      <c r="L2202" s="2" t="s">
        <v>51</v>
      </c>
      <c r="M2202" s="2" t="s">
        <v>3500</v>
      </c>
      <c r="N2202" s="2" t="s">
        <v>16837</v>
      </c>
      <c r="O2202" s="2"/>
      <c r="P2202" s="2" t="s">
        <v>37</v>
      </c>
      <c r="Q2202" s="4" t="n">
        <v>3594</v>
      </c>
      <c r="R2202" s="2" t="s">
        <v>56</v>
      </c>
      <c r="S2202" s="2" t="s">
        <v>2265</v>
      </c>
      <c r="T2202" s="2" t="s">
        <v>40</v>
      </c>
      <c r="U2202" s="2" t="s">
        <v>16838</v>
      </c>
      <c r="V2202" s="2"/>
      <c r="W2202" s="2" t="s">
        <v>42</v>
      </c>
      <c r="X2202" s="2" t="s">
        <v>43</v>
      </c>
      <c r="Y2202" s="2" t="s">
        <v>37</v>
      </c>
      <c r="Z2202" s="2" t="s">
        <v>44</v>
      </c>
      <c r="AA2202" s="2"/>
      <c r="AB2202" s="2"/>
      <c r="AC2202" s="2" t="s">
        <v>16839</v>
      </c>
      <c r="AD2202" s="2" t="s">
        <v>46</v>
      </c>
    </row>
    <row r="2203" customFormat="false" ht="15.7" hidden="false" customHeight="true" outlineLevel="0" collapsed="false">
      <c r="A2203" s="2"/>
      <c r="B2203" s="3" t="n">
        <f aca="false">DATE(2013,4,16)</f>
        <v>0</v>
      </c>
      <c r="C2203" s="3" t="n">
        <v>41380</v>
      </c>
      <c r="D2203" s="2" t="s">
        <v>16840</v>
      </c>
      <c r="F2203" s="2" t="s">
        <v>200</v>
      </c>
      <c r="G2203" s="2" t="s">
        <v>16841</v>
      </c>
      <c r="H2203" s="2" t="s">
        <v>170</v>
      </c>
      <c r="I2203" s="2" t="s">
        <v>821</v>
      </c>
      <c r="J2203" s="2" t="s">
        <v>65</v>
      </c>
      <c r="K2203" s="2" t="s">
        <v>16842</v>
      </c>
      <c r="L2203" s="2" t="s">
        <v>821</v>
      </c>
      <c r="M2203" s="2" t="s">
        <v>63</v>
      </c>
      <c r="N2203" s="2" t="s">
        <v>16843</v>
      </c>
      <c r="O2203" s="2"/>
      <c r="P2203" s="2" t="s">
        <v>37</v>
      </c>
      <c r="Q2203" s="4" t="n">
        <v>8731</v>
      </c>
      <c r="R2203" s="2" t="s">
        <v>450</v>
      </c>
      <c r="S2203" s="2" t="s">
        <v>39</v>
      </c>
      <c r="T2203" s="2" t="s">
        <v>40</v>
      </c>
      <c r="U2203" s="2" t="s">
        <v>16844</v>
      </c>
      <c r="V2203" s="2"/>
      <c r="W2203" s="2" t="s">
        <v>14179</v>
      </c>
      <c r="X2203" s="2" t="s">
        <v>46</v>
      </c>
      <c r="Y2203" s="2" t="s">
        <v>37</v>
      </c>
      <c r="Z2203" s="2" t="s">
        <v>987</v>
      </c>
      <c r="AA2203" s="2"/>
      <c r="AB2203" s="2"/>
      <c r="AC2203" s="2" t="s">
        <v>16845</v>
      </c>
      <c r="AD2203" s="2" t="s">
        <v>46</v>
      </c>
    </row>
    <row r="2204" customFormat="false" ht="15.7" hidden="false" customHeight="true" outlineLevel="0" collapsed="false">
      <c r="A2204" s="2"/>
      <c r="B2204" s="3" t="n">
        <f aca="false">DATE(2013,4,16)</f>
        <v>0</v>
      </c>
      <c r="C2204" s="3" t="n">
        <v>41380</v>
      </c>
      <c r="D2204" s="2" t="s">
        <v>16846</v>
      </c>
      <c r="F2204" s="2" t="s">
        <v>75</v>
      </c>
      <c r="G2204" s="2" t="s">
        <v>16847</v>
      </c>
      <c r="H2204" s="2" t="s">
        <v>63</v>
      </c>
      <c r="I2204" s="2" t="s">
        <v>899</v>
      </c>
      <c r="J2204" s="2" t="s">
        <v>795</v>
      </c>
      <c r="K2204" s="2" t="s">
        <v>16846</v>
      </c>
      <c r="L2204" s="2" t="s">
        <v>899</v>
      </c>
      <c r="M2204" s="2" t="s">
        <v>63</v>
      </c>
      <c r="N2204" s="2" t="s">
        <v>16848</v>
      </c>
      <c r="O2204" s="2"/>
      <c r="P2204" s="2" t="s">
        <v>37</v>
      </c>
      <c r="Q2204" s="4" t="n">
        <v>8731</v>
      </c>
      <c r="R2204" s="2" t="s">
        <v>136</v>
      </c>
      <c r="S2204" s="2" t="s">
        <v>39</v>
      </c>
      <c r="T2204" s="2" t="s">
        <v>40</v>
      </c>
      <c r="U2204" s="2" t="s">
        <v>16849</v>
      </c>
      <c r="V2204" s="2"/>
      <c r="W2204" s="2" t="s">
        <v>42</v>
      </c>
      <c r="X2204" s="2" t="s">
        <v>43</v>
      </c>
      <c r="Y2204" s="2" t="s">
        <v>37</v>
      </c>
      <c r="Z2204" s="2" t="s">
        <v>44</v>
      </c>
      <c r="AA2204" s="2" t="s">
        <v>16850</v>
      </c>
      <c r="AB2204" s="2"/>
      <c r="AC2204" s="2" t="s">
        <v>16851</v>
      </c>
      <c r="AD2204" s="2" t="s">
        <v>46</v>
      </c>
    </row>
    <row r="2205" customFormat="false" ht="15.7" hidden="false" customHeight="true" outlineLevel="0" collapsed="false">
      <c r="A2205" s="2"/>
      <c r="B2205" s="3" t="n">
        <f aca="false">DATE(2013,4,17)</f>
        <v>0</v>
      </c>
      <c r="C2205" s="3" t="n">
        <v>41381</v>
      </c>
      <c r="D2205" s="2" t="s">
        <v>16852</v>
      </c>
      <c r="F2205" s="2" t="s">
        <v>16853</v>
      </c>
      <c r="G2205" s="2" t="s">
        <v>16854</v>
      </c>
      <c r="H2205" s="2" t="s">
        <v>16855</v>
      </c>
      <c r="I2205" s="2" t="s">
        <v>3125</v>
      </c>
      <c r="J2205" s="2" t="s">
        <v>1891</v>
      </c>
      <c r="K2205" s="2" t="s">
        <v>16856</v>
      </c>
      <c r="L2205" s="2" t="s">
        <v>3125</v>
      </c>
      <c r="M2205" s="2" t="s">
        <v>16857</v>
      </c>
      <c r="N2205" s="2" t="s">
        <v>16858</v>
      </c>
      <c r="O2205" s="2"/>
      <c r="P2205" s="2" t="s">
        <v>37</v>
      </c>
      <c r="Q2205" s="4" t="n">
        <v>8731</v>
      </c>
      <c r="R2205" s="2" t="s">
        <v>2118</v>
      </c>
      <c r="S2205" s="2" t="s">
        <v>39</v>
      </c>
      <c r="T2205" s="2" t="s">
        <v>403</v>
      </c>
      <c r="U2205" s="2" t="s">
        <v>16859</v>
      </c>
      <c r="V2205" s="2"/>
      <c r="W2205" s="2" t="s">
        <v>42</v>
      </c>
      <c r="X2205" s="2" t="s">
        <v>46</v>
      </c>
      <c r="Y2205" s="2" t="s">
        <v>37</v>
      </c>
      <c r="Z2205" s="2" t="s">
        <v>756</v>
      </c>
      <c r="AA2205" s="2"/>
      <c r="AB2205" s="2"/>
      <c r="AC2205" s="2" t="s">
        <v>16860</v>
      </c>
      <c r="AD2205" s="2" t="s">
        <v>46</v>
      </c>
    </row>
    <row r="2206" customFormat="false" ht="15.7" hidden="false" customHeight="true" outlineLevel="0" collapsed="false">
      <c r="A2206" s="2"/>
      <c r="B2206" s="3" t="n">
        <f aca="false">DATE(2013,4,18)</f>
        <v>0</v>
      </c>
      <c r="C2206" s="3" t="n">
        <v>41382</v>
      </c>
      <c r="D2206" s="2" t="s">
        <v>16861</v>
      </c>
      <c r="F2206" s="2" t="s">
        <v>16862</v>
      </c>
      <c r="G2206" s="2" t="s">
        <v>16863</v>
      </c>
      <c r="H2206" s="2" t="s">
        <v>1181</v>
      </c>
      <c r="I2206" s="2" t="s">
        <v>5102</v>
      </c>
      <c r="J2206" s="2" t="s">
        <v>35</v>
      </c>
      <c r="K2206" s="2" t="s">
        <v>16864</v>
      </c>
      <c r="L2206" s="2" t="s">
        <v>5102</v>
      </c>
      <c r="M2206" s="2" t="s">
        <v>16865</v>
      </c>
      <c r="N2206" s="2" t="s">
        <v>16866</v>
      </c>
      <c r="O2206" s="2"/>
      <c r="P2206" s="2" t="s">
        <v>37</v>
      </c>
      <c r="Q2206" s="4" t="n">
        <v>2836</v>
      </c>
      <c r="R2206" s="2" t="s">
        <v>70</v>
      </c>
      <c r="S2206" s="2" t="s">
        <v>39</v>
      </c>
      <c r="T2206" s="2" t="s">
        <v>40</v>
      </c>
      <c r="U2206" s="2" t="s">
        <v>16867</v>
      </c>
      <c r="V2206" s="2"/>
      <c r="W2206" s="2" t="s">
        <v>42</v>
      </c>
      <c r="X2206" s="2" t="s">
        <v>43</v>
      </c>
      <c r="Y2206" s="2" t="s">
        <v>37</v>
      </c>
      <c r="Z2206" s="2" t="s">
        <v>44</v>
      </c>
      <c r="AA2206" s="2"/>
      <c r="AB2206" s="2"/>
      <c r="AC2206" s="2" t="s">
        <v>16868</v>
      </c>
      <c r="AD2206" s="2" t="s">
        <v>46</v>
      </c>
    </row>
    <row r="2207" customFormat="false" ht="15.7" hidden="false" customHeight="true" outlineLevel="0" collapsed="false">
      <c r="A2207" s="2"/>
      <c r="B2207" s="3" t="n">
        <f aca="false">DATE(2013,4,22)</f>
        <v>0</v>
      </c>
      <c r="C2207" s="3" t="n">
        <v>41386</v>
      </c>
      <c r="D2207" s="2" t="s">
        <v>16869</v>
      </c>
      <c r="F2207" s="2" t="s">
        <v>16870</v>
      </c>
      <c r="G2207" s="2" t="s">
        <v>16871</v>
      </c>
      <c r="H2207" s="2" t="s">
        <v>1340</v>
      </c>
      <c r="I2207" s="2" t="s">
        <v>51</v>
      </c>
      <c r="J2207" s="2" t="s">
        <v>16872</v>
      </c>
      <c r="K2207" s="2" t="s">
        <v>16873</v>
      </c>
      <c r="L2207" s="2" t="s">
        <v>51</v>
      </c>
      <c r="M2207" s="2" t="s">
        <v>4301</v>
      </c>
      <c r="N2207" s="2" t="s">
        <v>16874</v>
      </c>
      <c r="O2207" s="2"/>
      <c r="P2207" s="2" t="s">
        <v>37</v>
      </c>
      <c r="Q2207" s="4" t="n">
        <v>8731</v>
      </c>
      <c r="R2207" s="2" t="s">
        <v>56</v>
      </c>
      <c r="S2207" s="2" t="s">
        <v>2265</v>
      </c>
      <c r="T2207" s="2" t="s">
        <v>40</v>
      </c>
      <c r="U2207" s="2" t="s">
        <v>16875</v>
      </c>
      <c r="V2207" s="2"/>
      <c r="W2207" s="2" t="s">
        <v>42</v>
      </c>
      <c r="X2207" s="2" t="s">
        <v>43</v>
      </c>
      <c r="Y2207" s="2" t="s">
        <v>37</v>
      </c>
      <c r="Z2207" s="2" t="s">
        <v>44</v>
      </c>
      <c r="AA2207" s="2"/>
      <c r="AB2207" s="2"/>
      <c r="AC2207" s="2" t="s">
        <v>16876</v>
      </c>
      <c r="AD2207" s="2" t="s">
        <v>46</v>
      </c>
    </row>
    <row r="2208" customFormat="false" ht="15.7" hidden="false" customHeight="true" outlineLevel="0" collapsed="false">
      <c r="A2208" s="2"/>
      <c r="B2208" s="3" t="n">
        <f aca="false">DATE(2013,4,24)</f>
        <v>0</v>
      </c>
      <c r="C2208" s="3" t="n">
        <v>41388</v>
      </c>
      <c r="D2208" s="2" t="s">
        <v>16877</v>
      </c>
      <c r="F2208" s="2" t="s">
        <v>16878</v>
      </c>
      <c r="G2208" s="2" t="s">
        <v>16879</v>
      </c>
      <c r="H2208" s="2" t="s">
        <v>16880</v>
      </c>
      <c r="I2208" s="2" t="s">
        <v>7116</v>
      </c>
      <c r="J2208" s="2" t="s">
        <v>16881</v>
      </c>
      <c r="K2208" s="2" t="s">
        <v>16877</v>
      </c>
      <c r="L2208" s="2" t="s">
        <v>7116</v>
      </c>
      <c r="M2208" s="2" t="s">
        <v>16880</v>
      </c>
      <c r="N2208" s="2" t="s">
        <v>16882</v>
      </c>
      <c r="O2208" s="2"/>
      <c r="P2208" s="2" t="s">
        <v>37</v>
      </c>
      <c r="Q2208" s="4" t="n">
        <v>8731</v>
      </c>
      <c r="R2208" s="2" t="s">
        <v>56</v>
      </c>
      <c r="S2208" s="2" t="s">
        <v>2265</v>
      </c>
      <c r="T2208" s="2" t="s">
        <v>403</v>
      </c>
      <c r="U2208" s="2" t="s">
        <v>16883</v>
      </c>
      <c r="V2208" s="2"/>
      <c r="W2208" s="2" t="s">
        <v>5464</v>
      </c>
      <c r="X2208" s="2" t="s">
        <v>43</v>
      </c>
      <c r="Y2208" s="2" t="s">
        <v>37</v>
      </c>
      <c r="Z2208" s="2" t="s">
        <v>44</v>
      </c>
      <c r="AA2208" s="2"/>
      <c r="AB2208" s="2"/>
      <c r="AC2208" s="2" t="s">
        <v>16884</v>
      </c>
      <c r="AD2208" s="2" t="s">
        <v>46</v>
      </c>
    </row>
    <row r="2209" customFormat="false" ht="15.7" hidden="false" customHeight="true" outlineLevel="0" collapsed="false">
      <c r="A2209" s="2"/>
      <c r="B2209" s="3" t="n">
        <f aca="false">DATE(2013,4,26)</f>
        <v>0</v>
      </c>
      <c r="C2209" s="3" t="n">
        <v>41390</v>
      </c>
      <c r="D2209" s="2" t="s">
        <v>16885</v>
      </c>
      <c r="F2209" s="2" t="s">
        <v>16886</v>
      </c>
      <c r="G2209" s="2" t="s">
        <v>16887</v>
      </c>
      <c r="H2209" s="2" t="s">
        <v>170</v>
      </c>
      <c r="I2209" s="2" t="s">
        <v>1973</v>
      </c>
      <c r="J2209" s="2" t="s">
        <v>35</v>
      </c>
      <c r="K2209" s="2" t="s">
        <v>16885</v>
      </c>
      <c r="L2209" s="2" t="s">
        <v>1973</v>
      </c>
      <c r="M2209" s="2" t="s">
        <v>170</v>
      </c>
      <c r="N2209" s="2" t="s">
        <v>16888</v>
      </c>
      <c r="O2209" s="2"/>
      <c r="P2209" s="2" t="s">
        <v>37</v>
      </c>
      <c r="Q2209" s="4" t="n">
        <v>2836</v>
      </c>
      <c r="R2209" s="2" t="s">
        <v>136</v>
      </c>
      <c r="S2209" s="2" t="s">
        <v>39</v>
      </c>
      <c r="T2209" s="2" t="s">
        <v>40</v>
      </c>
      <c r="U2209" s="2" t="s">
        <v>16889</v>
      </c>
      <c r="V2209" s="2"/>
      <c r="W2209" s="2" t="s">
        <v>5464</v>
      </c>
      <c r="X2209" s="2" t="s">
        <v>43</v>
      </c>
      <c r="Y2209" s="2" t="s">
        <v>37</v>
      </c>
      <c r="Z2209" s="2" t="s">
        <v>44</v>
      </c>
      <c r="AA2209" s="2"/>
      <c r="AB2209" s="2"/>
      <c r="AC2209" s="2" t="s">
        <v>16890</v>
      </c>
      <c r="AD2209" s="2" t="s">
        <v>46</v>
      </c>
    </row>
    <row r="2210" customFormat="false" ht="15.7" hidden="false" customHeight="true" outlineLevel="0" collapsed="false">
      <c r="A2210" s="2"/>
      <c r="B2210" s="3" t="n">
        <f aca="false">DATE(2013,4,29)</f>
        <v>0</v>
      </c>
      <c r="C2210" s="3" t="n">
        <v>41393</v>
      </c>
      <c r="D2210" s="2" t="s">
        <v>16891</v>
      </c>
      <c r="F2210" s="2" t="s">
        <v>16892</v>
      </c>
      <c r="G2210" s="2" t="s">
        <v>16893</v>
      </c>
      <c r="H2210" s="2" t="s">
        <v>130</v>
      </c>
      <c r="I2210" s="2" t="s">
        <v>51</v>
      </c>
      <c r="J2210" s="2" t="s">
        <v>994</v>
      </c>
      <c r="K2210" s="2" t="s">
        <v>16891</v>
      </c>
      <c r="L2210" s="2" t="s">
        <v>51</v>
      </c>
      <c r="M2210" s="2" t="s">
        <v>130</v>
      </c>
      <c r="N2210" s="2" t="s">
        <v>16894</v>
      </c>
      <c r="O2210" s="2"/>
      <c r="P2210" s="2" t="s">
        <v>37</v>
      </c>
      <c r="Q2210" s="4" t="n">
        <v>8731</v>
      </c>
      <c r="R2210" s="2" t="s">
        <v>136</v>
      </c>
      <c r="S2210" s="2" t="s">
        <v>39</v>
      </c>
      <c r="T2210" s="2" t="s">
        <v>40</v>
      </c>
      <c r="U2210" s="2" t="s">
        <v>16895</v>
      </c>
      <c r="V2210" s="2"/>
      <c r="W2210" s="2" t="s">
        <v>5464</v>
      </c>
      <c r="X2210" s="2" t="s">
        <v>43</v>
      </c>
      <c r="Y2210" s="2" t="s">
        <v>37</v>
      </c>
      <c r="Z2210" s="2" t="s">
        <v>44</v>
      </c>
      <c r="AA2210" s="2"/>
      <c r="AB2210" s="2"/>
      <c r="AC2210" s="2" t="s">
        <v>16896</v>
      </c>
      <c r="AD2210" s="2" t="s">
        <v>46</v>
      </c>
    </row>
    <row r="2211" customFormat="false" ht="15.7" hidden="false" customHeight="true" outlineLevel="0" collapsed="false">
      <c r="A2211" s="2"/>
      <c r="B2211" s="3" t="n">
        <f aca="false">DATE(2013,5,1)</f>
        <v>0</v>
      </c>
      <c r="C2211" s="3" t="n">
        <v>41395</v>
      </c>
      <c r="D2211" s="2" t="s">
        <v>16897</v>
      </c>
      <c r="F2211" s="2" t="s">
        <v>9152</v>
      </c>
      <c r="G2211" s="2" t="s">
        <v>16898</v>
      </c>
      <c r="H2211" s="2" t="s">
        <v>170</v>
      </c>
      <c r="I2211" s="2" t="s">
        <v>51</v>
      </c>
      <c r="J2211" s="2" t="s">
        <v>1319</v>
      </c>
      <c r="K2211" s="2" t="s">
        <v>16897</v>
      </c>
      <c r="L2211" s="2" t="s">
        <v>51</v>
      </c>
      <c r="M2211" s="2" t="s">
        <v>170</v>
      </c>
      <c r="N2211" s="2" t="s">
        <v>16899</v>
      </c>
      <c r="O2211" s="2"/>
      <c r="P2211" s="2" t="s">
        <v>37</v>
      </c>
      <c r="Q2211" s="4" t="n">
        <v>8731</v>
      </c>
      <c r="R2211" s="2" t="s">
        <v>136</v>
      </c>
      <c r="S2211" s="2" t="s">
        <v>39</v>
      </c>
      <c r="T2211" s="2" t="s">
        <v>40</v>
      </c>
      <c r="U2211" s="2" t="s">
        <v>16900</v>
      </c>
      <c r="V2211" s="2"/>
      <c r="W2211" s="2" t="s">
        <v>42</v>
      </c>
      <c r="X2211" s="2" t="s">
        <v>43</v>
      </c>
      <c r="Y2211" s="2" t="s">
        <v>37</v>
      </c>
      <c r="Z2211" s="2" t="s">
        <v>44</v>
      </c>
      <c r="AA2211" s="2"/>
      <c r="AB2211" s="2"/>
      <c r="AC2211" s="2" t="s">
        <v>16901</v>
      </c>
      <c r="AD2211" s="2" t="s">
        <v>46</v>
      </c>
    </row>
    <row r="2212" customFormat="false" ht="15.7" hidden="false" customHeight="true" outlineLevel="0" collapsed="false">
      <c r="A2212" s="2"/>
      <c r="B2212" s="3" t="n">
        <f aca="false">DATE(2013,5,2)</f>
        <v>0</v>
      </c>
      <c r="C2212" s="3" t="n">
        <v>41396</v>
      </c>
      <c r="D2212" s="2" t="s">
        <v>16902</v>
      </c>
      <c r="F2212" s="2" t="s">
        <v>256</v>
      </c>
      <c r="G2212" s="2" t="s">
        <v>16903</v>
      </c>
      <c r="H2212" s="2" t="s">
        <v>1101</v>
      </c>
      <c r="I2212" s="2" t="s">
        <v>51</v>
      </c>
      <c r="J2212" s="2" t="s">
        <v>11235</v>
      </c>
      <c r="K2212" s="2" t="s">
        <v>16902</v>
      </c>
      <c r="L2212" s="2" t="s">
        <v>51</v>
      </c>
      <c r="M2212" s="2" t="s">
        <v>1101</v>
      </c>
      <c r="N2212" s="2" t="s">
        <v>16904</v>
      </c>
      <c r="O2212" s="2"/>
      <c r="P2212" s="2" t="s">
        <v>37</v>
      </c>
      <c r="Q2212" s="4" t="n">
        <v>8731</v>
      </c>
      <c r="R2212" s="2" t="s">
        <v>56</v>
      </c>
      <c r="S2212" s="2" t="s">
        <v>2265</v>
      </c>
      <c r="T2212" s="2" t="s">
        <v>403</v>
      </c>
      <c r="U2212" s="2" t="s">
        <v>16905</v>
      </c>
      <c r="V2212" s="2"/>
      <c r="W2212" s="2" t="s">
        <v>5464</v>
      </c>
      <c r="X2212" s="2" t="s">
        <v>46</v>
      </c>
      <c r="Y2212" s="2" t="s">
        <v>37</v>
      </c>
      <c r="Z2212" s="2" t="s">
        <v>362</v>
      </c>
      <c r="AA2212" s="2"/>
      <c r="AB2212" s="2"/>
      <c r="AC2212" s="2" t="s">
        <v>16906</v>
      </c>
      <c r="AD2212" s="2" t="s">
        <v>46</v>
      </c>
    </row>
    <row r="2213" customFormat="false" ht="15.7" hidden="false" customHeight="true" outlineLevel="0" collapsed="false">
      <c r="A2213" s="2"/>
      <c r="B2213" s="3" t="n">
        <f aca="false">DATE(2013,5,3)</f>
        <v>0</v>
      </c>
      <c r="C2213" s="3" t="n">
        <v>41397</v>
      </c>
      <c r="D2213" s="2" t="s">
        <v>16907</v>
      </c>
      <c r="F2213" s="2" t="s">
        <v>16908</v>
      </c>
      <c r="G2213" s="2" t="s">
        <v>16909</v>
      </c>
      <c r="H2213" s="2" t="s">
        <v>16910</v>
      </c>
      <c r="I2213" s="2" t="s">
        <v>51</v>
      </c>
      <c r="J2213" s="2" t="s">
        <v>171</v>
      </c>
      <c r="K2213" s="2" t="s">
        <v>16911</v>
      </c>
      <c r="L2213" s="2" t="s">
        <v>51</v>
      </c>
      <c r="M2213" s="2" t="s">
        <v>16910</v>
      </c>
      <c r="N2213" s="2" t="s">
        <v>16912</v>
      </c>
      <c r="O2213" s="2" t="s">
        <v>16913</v>
      </c>
      <c r="P2213" s="2" t="s">
        <v>37</v>
      </c>
      <c r="Q2213" s="4" t="n">
        <v>3841</v>
      </c>
      <c r="R2213" s="2" t="s">
        <v>56</v>
      </c>
      <c r="S2213" s="2" t="s">
        <v>2265</v>
      </c>
      <c r="T2213" s="2" t="s">
        <v>40</v>
      </c>
      <c r="U2213" s="2" t="s">
        <v>16914</v>
      </c>
      <c r="V2213" s="2"/>
      <c r="W2213" s="2" t="s">
        <v>107</v>
      </c>
      <c r="X2213" s="2" t="s">
        <v>46</v>
      </c>
      <c r="Y2213" s="2" t="s">
        <v>37</v>
      </c>
      <c r="Z2213" s="2" t="s">
        <v>362</v>
      </c>
      <c r="AA2213" s="2"/>
      <c r="AB2213" s="2" t="s">
        <v>16915</v>
      </c>
      <c r="AC2213" s="2" t="s">
        <v>16916</v>
      </c>
      <c r="AD2213" s="2" t="s">
        <v>46</v>
      </c>
    </row>
    <row r="2214" customFormat="false" ht="15.7" hidden="false" customHeight="true" outlineLevel="0" collapsed="false">
      <c r="A2214" s="2"/>
      <c r="B2214" s="3" t="n">
        <f aca="false">DATE(2013,5,6)</f>
        <v>0</v>
      </c>
      <c r="C2214" s="3" t="n">
        <v>41400</v>
      </c>
      <c r="D2214" s="2" t="s">
        <v>16917</v>
      </c>
      <c r="F2214" s="2" t="s">
        <v>3594</v>
      </c>
      <c r="G2214" s="2" t="s">
        <v>16918</v>
      </c>
      <c r="H2214" s="2" t="s">
        <v>170</v>
      </c>
      <c r="I2214" s="2" t="s">
        <v>51</v>
      </c>
      <c r="J2214" s="2" t="s">
        <v>16919</v>
      </c>
      <c r="K2214" s="2" t="s">
        <v>16917</v>
      </c>
      <c r="L2214" s="2" t="s">
        <v>51</v>
      </c>
      <c r="M2214" s="2" t="s">
        <v>170</v>
      </c>
      <c r="N2214" s="2" t="s">
        <v>16920</v>
      </c>
      <c r="O2214" s="2"/>
      <c r="P2214" s="2" t="s">
        <v>37</v>
      </c>
      <c r="Q2214" s="4" t="n">
        <v>3845</v>
      </c>
      <c r="R2214" s="2" t="s">
        <v>56</v>
      </c>
      <c r="S2214" s="2" t="s">
        <v>2265</v>
      </c>
      <c r="T2214" s="2" t="s">
        <v>40</v>
      </c>
      <c r="U2214" s="2" t="s">
        <v>16921</v>
      </c>
      <c r="V2214" s="2"/>
      <c r="W2214" s="2" t="s">
        <v>42</v>
      </c>
      <c r="X2214" s="2" t="s">
        <v>43</v>
      </c>
      <c r="Y2214" s="2" t="s">
        <v>37</v>
      </c>
      <c r="Z2214" s="2" t="s">
        <v>44</v>
      </c>
      <c r="AA2214" s="2"/>
      <c r="AB2214" s="2"/>
      <c r="AC2214" s="2" t="s">
        <v>16922</v>
      </c>
      <c r="AD2214" s="2" t="s">
        <v>46</v>
      </c>
    </row>
    <row r="2215" customFormat="false" ht="15.7" hidden="false" customHeight="true" outlineLevel="0" collapsed="false">
      <c r="A2215" s="2"/>
      <c r="B2215" s="3" t="n">
        <f aca="false">DATE(2013,5,10)</f>
        <v>0</v>
      </c>
      <c r="C2215" s="3" t="n">
        <v>41404</v>
      </c>
      <c r="D2215" s="2" t="s">
        <v>16923</v>
      </c>
      <c r="F2215" s="2" t="s">
        <v>16924</v>
      </c>
      <c r="G2215" s="2" t="s">
        <v>16925</v>
      </c>
      <c r="H2215" s="2" t="s">
        <v>3168</v>
      </c>
      <c r="I2215" s="2" t="s">
        <v>16926</v>
      </c>
      <c r="J2215" s="2" t="s">
        <v>331</v>
      </c>
      <c r="K2215" s="2" t="s">
        <v>16923</v>
      </c>
      <c r="L2215" s="2" t="s">
        <v>16926</v>
      </c>
      <c r="M2215" s="2" t="s">
        <v>3168</v>
      </c>
      <c r="N2215" s="2" t="s">
        <v>16927</v>
      </c>
      <c r="O2215" s="2" t="s">
        <v>16928</v>
      </c>
      <c r="P2215" s="2" t="s">
        <v>37</v>
      </c>
      <c r="Q2215" s="4" t="n">
        <v>8731</v>
      </c>
      <c r="R2215" s="2" t="s">
        <v>2129</v>
      </c>
      <c r="S2215" s="2" t="s">
        <v>39</v>
      </c>
      <c r="T2215" s="2" t="s">
        <v>40</v>
      </c>
      <c r="U2215" s="2" t="s">
        <v>16929</v>
      </c>
      <c r="V2215" s="2"/>
      <c r="W2215" s="2" t="s">
        <v>42</v>
      </c>
      <c r="X2215" s="2" t="s">
        <v>46</v>
      </c>
      <c r="Y2215" s="2" t="s">
        <v>37</v>
      </c>
      <c r="Z2215" s="2" t="s">
        <v>10656</v>
      </c>
      <c r="AA2215" s="2"/>
      <c r="AB2215" s="2" t="s">
        <v>16930</v>
      </c>
      <c r="AC2215" s="2" t="s">
        <v>16931</v>
      </c>
      <c r="AD2215" s="2" t="s">
        <v>46</v>
      </c>
    </row>
    <row r="2216" customFormat="false" ht="15.7" hidden="false" customHeight="true" outlineLevel="0" collapsed="false">
      <c r="A2216" s="2"/>
      <c r="B2216" s="3" t="n">
        <f aca="false">DATE(2013,5,10)</f>
        <v>0</v>
      </c>
      <c r="C2216" s="3" t="n">
        <v>41404</v>
      </c>
      <c r="D2216" s="2" t="s">
        <v>16932</v>
      </c>
      <c r="F2216" s="2" t="s">
        <v>16933</v>
      </c>
      <c r="G2216" s="2" t="s">
        <v>16934</v>
      </c>
      <c r="H2216" s="2" t="s">
        <v>130</v>
      </c>
      <c r="I2216" s="2" t="s">
        <v>219</v>
      </c>
      <c r="J2216" s="2" t="s">
        <v>220</v>
      </c>
      <c r="K2216" s="2" t="s">
        <v>16932</v>
      </c>
      <c r="L2216" s="2" t="s">
        <v>219</v>
      </c>
      <c r="M2216" s="2" t="s">
        <v>130</v>
      </c>
      <c r="N2216" s="2" t="s">
        <v>16935</v>
      </c>
      <c r="O2216" s="2"/>
      <c r="P2216" s="2" t="s">
        <v>37</v>
      </c>
      <c r="Q2216" s="4" t="n">
        <v>8731</v>
      </c>
      <c r="R2216" s="2" t="s">
        <v>38</v>
      </c>
      <c r="S2216" s="2" t="s">
        <v>39</v>
      </c>
      <c r="T2216" s="2" t="s">
        <v>40</v>
      </c>
      <c r="U2216" s="2" t="s">
        <v>16936</v>
      </c>
      <c r="V2216" s="2"/>
      <c r="W2216" s="2" t="s">
        <v>82</v>
      </c>
      <c r="X2216" s="2" t="s">
        <v>43</v>
      </c>
      <c r="Y2216" s="2" t="s">
        <v>37</v>
      </c>
      <c r="Z2216" s="2" t="s">
        <v>44</v>
      </c>
      <c r="AA2216" s="2"/>
      <c r="AB2216" s="2"/>
      <c r="AC2216" s="2" t="s">
        <v>16937</v>
      </c>
      <c r="AD2216" s="2" t="s">
        <v>46</v>
      </c>
    </row>
    <row r="2217" customFormat="false" ht="15.7" hidden="false" customHeight="true" outlineLevel="0" collapsed="false">
      <c r="A2217" s="2"/>
      <c r="B2217" s="3" t="n">
        <f aca="false">DATE(2013,5,13)</f>
        <v>0</v>
      </c>
      <c r="C2217" s="3" t="n">
        <v>41407</v>
      </c>
      <c r="D2217" s="2" t="s">
        <v>16938</v>
      </c>
      <c r="F2217" s="2" t="s">
        <v>16939</v>
      </c>
      <c r="G2217" s="2" t="s">
        <v>16940</v>
      </c>
      <c r="H2217" s="2" t="s">
        <v>16941</v>
      </c>
      <c r="I2217" s="2" t="s">
        <v>16942</v>
      </c>
      <c r="J2217" s="2" t="s">
        <v>116</v>
      </c>
      <c r="K2217" s="2" t="s">
        <v>16938</v>
      </c>
      <c r="L2217" s="2" t="s">
        <v>16942</v>
      </c>
      <c r="M2217" s="2" t="s">
        <v>16941</v>
      </c>
      <c r="N2217" s="2" t="s">
        <v>16943</v>
      </c>
      <c r="O2217" s="2" t="s">
        <v>16944</v>
      </c>
      <c r="P2217" s="2" t="s">
        <v>37</v>
      </c>
      <c r="Q2217" s="4" t="n">
        <v>3845</v>
      </c>
      <c r="R2217" s="2" t="s">
        <v>402</v>
      </c>
      <c r="S2217" s="2" t="s">
        <v>39</v>
      </c>
      <c r="T2217" s="2" t="s">
        <v>40</v>
      </c>
      <c r="U2217" s="2" t="s">
        <v>16945</v>
      </c>
      <c r="V2217" s="2"/>
      <c r="W2217" s="2" t="s">
        <v>16946</v>
      </c>
      <c r="X2217" s="2" t="s">
        <v>46</v>
      </c>
      <c r="Y2217" s="2" t="s">
        <v>37</v>
      </c>
      <c r="Z2217" s="2" t="s">
        <v>16947</v>
      </c>
      <c r="AA2217" s="2"/>
      <c r="AB2217" s="2" t="s">
        <v>16948</v>
      </c>
      <c r="AC2217" s="2" t="s">
        <v>16949</v>
      </c>
      <c r="AD2217" s="2" t="s">
        <v>46</v>
      </c>
    </row>
    <row r="2218" customFormat="false" ht="15.7" hidden="false" customHeight="true" outlineLevel="0" collapsed="false">
      <c r="A2218" s="2"/>
      <c r="B2218" s="3" t="n">
        <f aca="false">DATE(2013,5,14)</f>
        <v>0</v>
      </c>
      <c r="C2218" s="3" t="n">
        <v>41408</v>
      </c>
      <c r="D2218" s="2" t="s">
        <v>16950</v>
      </c>
      <c r="F2218" s="2" t="s">
        <v>16951</v>
      </c>
      <c r="G2218" s="2" t="s">
        <v>16952</v>
      </c>
      <c r="H2218" s="2" t="s">
        <v>130</v>
      </c>
      <c r="I2218" s="2" t="s">
        <v>51</v>
      </c>
      <c r="J2218" s="2" t="s">
        <v>5565</v>
      </c>
      <c r="K2218" s="2" t="s">
        <v>16950</v>
      </c>
      <c r="L2218" s="2" t="s">
        <v>51</v>
      </c>
      <c r="M2218" s="2" t="s">
        <v>130</v>
      </c>
      <c r="N2218" s="2" t="s">
        <v>16953</v>
      </c>
      <c r="O2218" s="2"/>
      <c r="P2218" s="2" t="s">
        <v>37</v>
      </c>
      <c r="Q2218" s="4" t="n">
        <v>8731</v>
      </c>
      <c r="R2218" s="2" t="s">
        <v>136</v>
      </c>
      <c r="S2218" s="2" t="s">
        <v>39</v>
      </c>
      <c r="T2218" s="2" t="s">
        <v>40</v>
      </c>
      <c r="U2218" s="2" t="s">
        <v>16954</v>
      </c>
      <c r="V2218" s="2"/>
      <c r="W2218" s="2" t="s">
        <v>42</v>
      </c>
      <c r="X2218" s="2" t="s">
        <v>43</v>
      </c>
      <c r="Y2218" s="2" t="s">
        <v>37</v>
      </c>
      <c r="Z2218" s="2" t="s">
        <v>44</v>
      </c>
      <c r="AA2218" s="2"/>
      <c r="AB2218" s="2"/>
      <c r="AC2218" s="2" t="s">
        <v>16955</v>
      </c>
      <c r="AD2218" s="2" t="s">
        <v>46</v>
      </c>
    </row>
    <row r="2219" customFormat="false" ht="15.7" hidden="false" customHeight="true" outlineLevel="0" collapsed="false">
      <c r="A2219" s="2"/>
      <c r="B2219" s="3" t="n">
        <f aca="false">DATE(2013,5,19)</f>
        <v>0</v>
      </c>
      <c r="C2219" s="3" t="n">
        <v>41413</v>
      </c>
      <c r="D2219" s="2" t="s">
        <v>16956</v>
      </c>
      <c r="F2219" s="2" t="s">
        <v>16957</v>
      </c>
      <c r="G2219" s="2" t="s">
        <v>16958</v>
      </c>
      <c r="H2219" s="2" t="s">
        <v>16959</v>
      </c>
      <c r="I2219" s="2" t="s">
        <v>16960</v>
      </c>
      <c r="J2219" s="2" t="s">
        <v>116</v>
      </c>
      <c r="K2219" s="2" t="s">
        <v>16956</v>
      </c>
      <c r="L2219" s="2" t="s">
        <v>16960</v>
      </c>
      <c r="M2219" s="2" t="s">
        <v>16959</v>
      </c>
      <c r="N2219" s="2" t="s">
        <v>16961</v>
      </c>
      <c r="O2219" s="2"/>
      <c r="P2219" s="2" t="s">
        <v>37</v>
      </c>
      <c r="Q2219" s="4" t="n">
        <v>2836</v>
      </c>
      <c r="R2219" s="2" t="s">
        <v>16962</v>
      </c>
      <c r="S2219" s="2" t="s">
        <v>39</v>
      </c>
      <c r="T2219" s="2" t="s">
        <v>40</v>
      </c>
      <c r="U2219" s="2" t="s">
        <v>16963</v>
      </c>
      <c r="V2219" s="2"/>
      <c r="W2219" s="2" t="s">
        <v>42</v>
      </c>
      <c r="X2219" s="2" t="s">
        <v>46</v>
      </c>
      <c r="Y2219" s="2" t="s">
        <v>37</v>
      </c>
      <c r="Z2219" s="2" t="s">
        <v>452</v>
      </c>
      <c r="AA2219" s="2"/>
      <c r="AB2219" s="2"/>
      <c r="AC2219" s="2" t="s">
        <v>16964</v>
      </c>
      <c r="AD2219" s="2" t="s">
        <v>46</v>
      </c>
    </row>
    <row r="2220" customFormat="false" ht="15.7" hidden="false" customHeight="true" outlineLevel="0" collapsed="false">
      <c r="A2220" s="2"/>
      <c r="B2220" s="3" t="n">
        <f aca="false">DATE(2013,5,21)</f>
        <v>0</v>
      </c>
      <c r="C2220" s="3" t="n">
        <v>41415</v>
      </c>
      <c r="D2220" s="2" t="s">
        <v>16965</v>
      </c>
      <c r="F2220" s="2" t="s">
        <v>16966</v>
      </c>
      <c r="G2220" s="2" t="s">
        <v>16967</v>
      </c>
      <c r="H2220" s="2" t="s">
        <v>16968</v>
      </c>
      <c r="I2220" s="2" t="s">
        <v>7014</v>
      </c>
      <c r="J2220" s="2" t="s">
        <v>35</v>
      </c>
      <c r="K2220" s="2" t="s">
        <v>16965</v>
      </c>
      <c r="L2220" s="2" t="s">
        <v>7014</v>
      </c>
      <c r="M2220" s="2" t="s">
        <v>16968</v>
      </c>
      <c r="N2220" s="2" t="s">
        <v>16969</v>
      </c>
      <c r="O2220" s="2"/>
      <c r="P2220" s="2" t="s">
        <v>37</v>
      </c>
      <c r="Q2220" s="4" t="n">
        <v>3826</v>
      </c>
      <c r="R2220" s="2" t="s">
        <v>1448</v>
      </c>
      <c r="S2220" s="2" t="s">
        <v>39</v>
      </c>
      <c r="T2220" s="2" t="s">
        <v>2444</v>
      </c>
      <c r="U2220" s="2" t="s">
        <v>16970</v>
      </c>
      <c r="V2220" s="2"/>
      <c r="W2220" s="2" t="s">
        <v>344</v>
      </c>
      <c r="X2220" s="2" t="s">
        <v>43</v>
      </c>
      <c r="Y2220" s="2" t="s">
        <v>37</v>
      </c>
      <c r="Z2220" s="2" t="s">
        <v>44</v>
      </c>
      <c r="AA2220" s="2"/>
      <c r="AB2220" s="2"/>
      <c r="AC2220" s="2" t="s">
        <v>16971</v>
      </c>
      <c r="AD2220" s="2" t="s">
        <v>46</v>
      </c>
    </row>
    <row r="2221" customFormat="false" ht="15.7" hidden="false" customHeight="true" outlineLevel="0" collapsed="false">
      <c r="A2221" s="2"/>
      <c r="B2221" s="3" t="n">
        <f aca="false">DATE(2013,5,23)</f>
        <v>0</v>
      </c>
      <c r="C2221" s="3" t="n">
        <v>41417</v>
      </c>
      <c r="D2221" s="2" t="s">
        <v>16972</v>
      </c>
      <c r="F2221" s="2" t="s">
        <v>16973</v>
      </c>
      <c r="G2221" s="2" t="s">
        <v>16974</v>
      </c>
      <c r="H2221" s="2" t="s">
        <v>16975</v>
      </c>
      <c r="I2221" s="2" t="s">
        <v>163</v>
      </c>
      <c r="J2221" s="2" t="s">
        <v>35</v>
      </c>
      <c r="K2221" s="2" t="s">
        <v>16972</v>
      </c>
      <c r="L2221" s="2" t="s">
        <v>163</v>
      </c>
      <c r="M2221" s="2" t="s">
        <v>16975</v>
      </c>
      <c r="N2221" s="2" t="s">
        <v>16976</v>
      </c>
      <c r="O2221" s="2"/>
      <c r="P2221" s="2" t="s">
        <v>37</v>
      </c>
      <c r="Q2221" s="4" t="n">
        <v>2671</v>
      </c>
      <c r="R2221" s="2" t="s">
        <v>2508</v>
      </c>
      <c r="S2221" s="2" t="s">
        <v>39</v>
      </c>
      <c r="T2221" s="2" t="s">
        <v>403</v>
      </c>
      <c r="U2221" s="2" t="s">
        <v>16977</v>
      </c>
      <c r="V2221" s="2"/>
      <c r="W2221" s="2" t="s">
        <v>42</v>
      </c>
      <c r="X2221" s="2" t="s">
        <v>46</v>
      </c>
      <c r="Y2221" s="2" t="s">
        <v>37</v>
      </c>
      <c r="Z2221" s="2" t="s">
        <v>362</v>
      </c>
      <c r="AA2221" s="2"/>
      <c r="AB2221" s="2"/>
      <c r="AC2221" s="2" t="s">
        <v>16978</v>
      </c>
      <c r="AD2221" s="2" t="s">
        <v>46</v>
      </c>
    </row>
    <row r="2222" customFormat="false" ht="15.7" hidden="false" customHeight="true" outlineLevel="0" collapsed="false">
      <c r="A2222" s="2"/>
      <c r="B2222" s="3" t="n">
        <f aca="false">DATE(2013,5,29)</f>
        <v>0</v>
      </c>
      <c r="C2222" s="3" t="n">
        <v>41423</v>
      </c>
      <c r="D2222" s="2" t="s">
        <v>16979</v>
      </c>
      <c r="F2222" s="2" t="s">
        <v>16980</v>
      </c>
      <c r="G2222" s="2" t="s">
        <v>16981</v>
      </c>
      <c r="H2222" s="2" t="s">
        <v>63</v>
      </c>
      <c r="I2222" s="2" t="s">
        <v>219</v>
      </c>
      <c r="J2222" s="2" t="s">
        <v>65</v>
      </c>
      <c r="K2222" s="2" t="s">
        <v>16979</v>
      </c>
      <c r="L2222" s="2" t="s">
        <v>219</v>
      </c>
      <c r="M2222" s="2" t="s">
        <v>63</v>
      </c>
      <c r="N2222" s="2" t="s">
        <v>16982</v>
      </c>
      <c r="O2222" s="2"/>
      <c r="P2222" s="2" t="s">
        <v>37</v>
      </c>
      <c r="Q2222" s="4" t="n">
        <v>2833</v>
      </c>
      <c r="R2222" s="2" t="s">
        <v>38</v>
      </c>
      <c r="S2222" s="2" t="s">
        <v>39</v>
      </c>
      <c r="T2222" s="2" t="s">
        <v>40</v>
      </c>
      <c r="U2222" s="2" t="s">
        <v>16983</v>
      </c>
      <c r="V2222" s="2"/>
      <c r="W2222" s="2" t="s">
        <v>697</v>
      </c>
      <c r="X2222" s="2" t="s">
        <v>43</v>
      </c>
      <c r="Y2222" s="2" t="s">
        <v>37</v>
      </c>
      <c r="Z2222" s="2" t="s">
        <v>44</v>
      </c>
      <c r="AA2222" s="2"/>
      <c r="AB2222" s="2"/>
      <c r="AC2222" s="2" t="s">
        <v>16984</v>
      </c>
      <c r="AD2222" s="2" t="s">
        <v>46</v>
      </c>
    </row>
    <row r="2223" customFormat="false" ht="15.7" hidden="false" customHeight="true" outlineLevel="0" collapsed="false">
      <c r="A2223" s="2"/>
      <c r="B2223" s="3" t="n">
        <f aca="false">DATE(2013,5,29)</f>
        <v>0</v>
      </c>
      <c r="C2223" s="3" t="n">
        <v>41423</v>
      </c>
      <c r="D2223" s="2" t="s">
        <v>16985</v>
      </c>
      <c r="F2223" s="2" t="s">
        <v>200</v>
      </c>
      <c r="G2223" s="2" t="s">
        <v>16986</v>
      </c>
      <c r="H2223" s="2" t="s">
        <v>170</v>
      </c>
      <c r="I2223" s="2" t="s">
        <v>16987</v>
      </c>
      <c r="J2223" s="2" t="s">
        <v>35</v>
      </c>
      <c r="K2223" s="2" t="s">
        <v>16985</v>
      </c>
      <c r="L2223" s="2" t="s">
        <v>16987</v>
      </c>
      <c r="M2223" s="2" t="s">
        <v>170</v>
      </c>
      <c r="N2223" s="2" t="s">
        <v>16988</v>
      </c>
      <c r="O2223" s="2"/>
      <c r="P2223" s="2" t="s">
        <v>37</v>
      </c>
      <c r="Q2223" s="4" t="n">
        <v>8731</v>
      </c>
      <c r="R2223" s="2" t="s">
        <v>136</v>
      </c>
      <c r="S2223" s="2" t="s">
        <v>39</v>
      </c>
      <c r="T2223" s="2" t="s">
        <v>40</v>
      </c>
      <c r="U2223" s="2" t="s">
        <v>16989</v>
      </c>
      <c r="V2223" s="2"/>
      <c r="W2223" s="2" t="s">
        <v>1050</v>
      </c>
      <c r="X2223" s="2" t="s">
        <v>43</v>
      </c>
      <c r="Y2223" s="2" t="s">
        <v>37</v>
      </c>
      <c r="Z2223" s="2" t="s">
        <v>44</v>
      </c>
      <c r="AA2223" s="2"/>
      <c r="AB2223" s="2"/>
      <c r="AC2223" s="2" t="s">
        <v>16990</v>
      </c>
      <c r="AD2223" s="2" t="s">
        <v>46</v>
      </c>
    </row>
    <row r="2224" customFormat="false" ht="15.7" hidden="false" customHeight="true" outlineLevel="0" collapsed="false">
      <c r="A2224" s="2"/>
      <c r="B2224" s="3" t="n">
        <f aca="false">DATE(2013,5,29)</f>
        <v>0</v>
      </c>
      <c r="C2224" s="3" t="n">
        <v>41423</v>
      </c>
      <c r="D2224" s="2" t="s">
        <v>16991</v>
      </c>
      <c r="F2224" s="2" t="s">
        <v>16992</v>
      </c>
      <c r="G2224" s="2" t="s">
        <v>16993</v>
      </c>
      <c r="H2224" s="2" t="s">
        <v>16994</v>
      </c>
      <c r="I2224" s="2" t="s">
        <v>4325</v>
      </c>
      <c r="J2224" s="2" t="s">
        <v>35</v>
      </c>
      <c r="K2224" s="2" t="s">
        <v>16995</v>
      </c>
      <c r="L2224" s="2" t="s">
        <v>670</v>
      </c>
      <c r="M2224" s="2" t="s">
        <v>6157</v>
      </c>
      <c r="N2224" s="2" t="s">
        <v>16996</v>
      </c>
      <c r="O2224" s="2"/>
      <c r="P2224" s="2" t="s">
        <v>37</v>
      </c>
      <c r="Q2224" s="4" t="n">
        <v>8731</v>
      </c>
      <c r="R2224" s="2" t="s">
        <v>402</v>
      </c>
      <c r="S2224" s="2" t="s">
        <v>39</v>
      </c>
      <c r="T2224" s="2" t="s">
        <v>403</v>
      </c>
      <c r="U2224" s="2" t="s">
        <v>16997</v>
      </c>
      <c r="V2224" s="2"/>
      <c r="W2224" s="2" t="s">
        <v>42</v>
      </c>
      <c r="X2224" s="2" t="s">
        <v>46</v>
      </c>
      <c r="Y2224" s="2" t="s">
        <v>37</v>
      </c>
      <c r="Z2224" s="2" t="s">
        <v>16998</v>
      </c>
      <c r="AA2224" s="2"/>
      <c r="AB2224" s="2"/>
      <c r="AC2224" s="2" t="s">
        <v>16999</v>
      </c>
      <c r="AD2224" s="2" t="s">
        <v>46</v>
      </c>
    </row>
    <row r="2225" customFormat="false" ht="15.7" hidden="false" customHeight="true" outlineLevel="0" collapsed="false">
      <c r="A2225" s="2"/>
      <c r="B2225" s="3" t="n">
        <f aca="false">DATE(2013,5,29)</f>
        <v>0</v>
      </c>
      <c r="C2225" s="3" t="n">
        <v>41423</v>
      </c>
      <c r="D2225" s="2" t="s">
        <v>16979</v>
      </c>
      <c r="F2225" s="2" t="s">
        <v>16980</v>
      </c>
      <c r="G2225" s="2" t="s">
        <v>16981</v>
      </c>
      <c r="H2225" s="2" t="s">
        <v>63</v>
      </c>
      <c r="I2225" s="2" t="s">
        <v>219</v>
      </c>
      <c r="J2225" s="2" t="s">
        <v>65</v>
      </c>
      <c r="K2225" s="2" t="s">
        <v>16979</v>
      </c>
      <c r="L2225" s="2" t="s">
        <v>219</v>
      </c>
      <c r="M2225" s="2" t="s">
        <v>63</v>
      </c>
      <c r="N2225" s="2" t="s">
        <v>17000</v>
      </c>
      <c r="O2225" s="2"/>
      <c r="P2225" s="2" t="s">
        <v>37</v>
      </c>
      <c r="Q2225" s="4" t="n">
        <v>2833</v>
      </c>
      <c r="R2225" s="2" t="s">
        <v>38</v>
      </c>
      <c r="S2225" s="2" t="s">
        <v>39</v>
      </c>
      <c r="T2225" s="2" t="s">
        <v>403</v>
      </c>
      <c r="U2225" s="2" t="s">
        <v>17001</v>
      </c>
      <c r="V2225" s="2"/>
      <c r="W2225" s="2" t="s">
        <v>107</v>
      </c>
      <c r="X2225" s="2" t="s">
        <v>46</v>
      </c>
      <c r="Y2225" s="2" t="s">
        <v>37</v>
      </c>
      <c r="Z2225" s="2" t="s">
        <v>362</v>
      </c>
      <c r="AA2225" s="2"/>
      <c r="AB2225" s="2"/>
      <c r="AC2225" s="2" t="s">
        <v>16984</v>
      </c>
      <c r="AD2225" s="2" t="s">
        <v>46</v>
      </c>
    </row>
    <row r="2226" customFormat="false" ht="15.7" hidden="false" customHeight="true" outlineLevel="0" collapsed="false">
      <c r="A2226" s="2"/>
      <c r="B2226" s="3" t="n">
        <f aca="false">DATE(2013,5,30)</f>
        <v>0</v>
      </c>
      <c r="C2226" s="3" t="n">
        <v>41424</v>
      </c>
      <c r="D2226" s="2" t="s">
        <v>17002</v>
      </c>
      <c r="F2226" s="2" t="s">
        <v>17003</v>
      </c>
      <c r="G2226" s="2" t="s">
        <v>17004</v>
      </c>
      <c r="H2226" s="2" t="s">
        <v>17005</v>
      </c>
      <c r="I2226" s="2" t="s">
        <v>17006</v>
      </c>
      <c r="J2226" s="2" t="s">
        <v>116</v>
      </c>
      <c r="K2226" s="2" t="s">
        <v>17007</v>
      </c>
      <c r="L2226" s="2" t="s">
        <v>17006</v>
      </c>
      <c r="M2226" s="2" t="s">
        <v>17005</v>
      </c>
      <c r="N2226" s="2" t="s">
        <v>17008</v>
      </c>
      <c r="O2226" s="2"/>
      <c r="P2226" s="2" t="s">
        <v>37</v>
      </c>
      <c r="Q2226" s="4" t="n">
        <v>3669</v>
      </c>
      <c r="R2226" s="2" t="s">
        <v>8685</v>
      </c>
      <c r="S2226" s="2" t="s">
        <v>39</v>
      </c>
      <c r="T2226" s="2" t="s">
        <v>40</v>
      </c>
      <c r="U2226" s="2" t="s">
        <v>17009</v>
      </c>
      <c r="V2226" s="2"/>
      <c r="W2226" s="2" t="s">
        <v>7275</v>
      </c>
      <c r="X2226" s="2" t="s">
        <v>46</v>
      </c>
      <c r="Y2226" s="2" t="s">
        <v>37</v>
      </c>
      <c r="Z2226" s="2" t="s">
        <v>452</v>
      </c>
      <c r="AA2226" s="2"/>
      <c r="AB2226" s="2"/>
      <c r="AC2226" s="2" t="s">
        <v>17010</v>
      </c>
      <c r="AD2226" s="2" t="s">
        <v>46</v>
      </c>
    </row>
    <row r="2227" customFormat="false" ht="15.7" hidden="false" customHeight="true" outlineLevel="0" collapsed="false">
      <c r="A2227" s="2"/>
      <c r="B2227" s="3" t="n">
        <f aca="false">DATE(2013,5,31)</f>
        <v>0</v>
      </c>
      <c r="C2227" s="3" t="n">
        <v>41425</v>
      </c>
      <c r="D2227" s="2" t="s">
        <v>17011</v>
      </c>
      <c r="F2227" s="2" t="s">
        <v>17012</v>
      </c>
      <c r="G2227" s="2" t="s">
        <v>17013</v>
      </c>
      <c r="H2227" s="2" t="s">
        <v>1574</v>
      </c>
      <c r="I2227" s="2" t="s">
        <v>1645</v>
      </c>
      <c r="J2227" s="2" t="s">
        <v>35</v>
      </c>
      <c r="K2227" s="2" t="s">
        <v>17011</v>
      </c>
      <c r="L2227" s="2" t="s">
        <v>1645</v>
      </c>
      <c r="M2227" s="2" t="s">
        <v>1574</v>
      </c>
      <c r="N2227" s="2" t="s">
        <v>17014</v>
      </c>
      <c r="O2227" s="2"/>
      <c r="P2227" s="2" t="s">
        <v>37</v>
      </c>
      <c r="Q2227" s="4" t="n">
        <v>6799</v>
      </c>
      <c r="R2227" s="2" t="s">
        <v>136</v>
      </c>
      <c r="S2227" s="2" t="s">
        <v>39</v>
      </c>
      <c r="T2227" s="2" t="s">
        <v>403</v>
      </c>
      <c r="U2227" s="2" t="s">
        <v>17015</v>
      </c>
      <c r="V2227" s="2"/>
      <c r="W2227" s="2" t="s">
        <v>16412</v>
      </c>
      <c r="X2227" s="2" t="s">
        <v>46</v>
      </c>
      <c r="Y2227" s="2" t="s">
        <v>37</v>
      </c>
      <c r="Z2227" s="2" t="s">
        <v>362</v>
      </c>
      <c r="AA2227" s="2"/>
      <c r="AB2227" s="2"/>
      <c r="AC2227" s="2" t="s">
        <v>17016</v>
      </c>
      <c r="AD2227" s="2" t="s">
        <v>46</v>
      </c>
    </row>
    <row r="2228" customFormat="false" ht="15.7" hidden="false" customHeight="true" outlineLevel="0" collapsed="false">
      <c r="A2228" s="2"/>
      <c r="B2228" s="3" t="n">
        <f aca="false">DATE(2013,6,1)</f>
        <v>0</v>
      </c>
      <c r="C2228" s="3" t="n">
        <v>41426</v>
      </c>
      <c r="D2228" s="2" t="s">
        <v>17017</v>
      </c>
      <c r="F2228" s="2" t="s">
        <v>14130</v>
      </c>
      <c r="G2228" s="2" t="s">
        <v>17018</v>
      </c>
      <c r="H2228" s="2" t="s">
        <v>305</v>
      </c>
      <c r="I2228" s="2" t="s">
        <v>1439</v>
      </c>
      <c r="J2228" s="2" t="s">
        <v>35</v>
      </c>
      <c r="K2228" s="2" t="s">
        <v>17019</v>
      </c>
      <c r="L2228" s="2" t="s">
        <v>410</v>
      </c>
      <c r="M2228" s="2" t="s">
        <v>17020</v>
      </c>
      <c r="N2228" s="2" t="s">
        <v>17021</v>
      </c>
      <c r="O2228" s="2"/>
      <c r="P2228" s="2" t="s">
        <v>37</v>
      </c>
      <c r="Q2228" s="4" t="n">
        <v>2836</v>
      </c>
      <c r="R2228" s="2" t="s">
        <v>2201</v>
      </c>
      <c r="S2228" s="2" t="s">
        <v>39</v>
      </c>
      <c r="T2228" s="2" t="s">
        <v>40</v>
      </c>
      <c r="U2228" s="2" t="s">
        <v>17022</v>
      </c>
      <c r="V2228" s="2"/>
      <c r="W2228" s="2" t="s">
        <v>42</v>
      </c>
      <c r="X2228" s="2" t="s">
        <v>43</v>
      </c>
      <c r="Y2228" s="2" t="s">
        <v>37</v>
      </c>
      <c r="Z2228" s="2" t="s">
        <v>44</v>
      </c>
      <c r="AA2228" s="2"/>
      <c r="AB2228" s="2"/>
      <c r="AC2228" s="2" t="s">
        <v>17023</v>
      </c>
      <c r="AD2228" s="2" t="s">
        <v>46</v>
      </c>
    </row>
    <row r="2229" customFormat="false" ht="15.7" hidden="false" customHeight="true" outlineLevel="0" collapsed="false">
      <c r="A2229" s="2"/>
      <c r="B2229" s="3" t="n">
        <f aca="false">DATE(2013,6,2)</f>
        <v>0</v>
      </c>
      <c r="C2229" s="3" t="n">
        <v>41427</v>
      </c>
      <c r="D2229" s="2" t="s">
        <v>17024</v>
      </c>
      <c r="F2229" s="2" t="s">
        <v>17025</v>
      </c>
      <c r="G2229" s="2" t="s">
        <v>17026</v>
      </c>
      <c r="H2229" s="2" t="s">
        <v>17027</v>
      </c>
      <c r="I2229" s="2" t="s">
        <v>51</v>
      </c>
      <c r="J2229" s="2" t="s">
        <v>171</v>
      </c>
      <c r="K2229" s="2" t="s">
        <v>17028</v>
      </c>
      <c r="L2229" s="2" t="s">
        <v>51</v>
      </c>
      <c r="M2229" s="2" t="s">
        <v>17029</v>
      </c>
      <c r="N2229" s="2" t="s">
        <v>17030</v>
      </c>
      <c r="O2229" s="2"/>
      <c r="P2229" s="2" t="s">
        <v>37</v>
      </c>
      <c r="Q2229" s="4" t="n">
        <v>2869</v>
      </c>
      <c r="R2229" s="2" t="s">
        <v>56</v>
      </c>
      <c r="S2229" s="2" t="s">
        <v>92</v>
      </c>
      <c r="T2229" s="2" t="s">
        <v>673</v>
      </c>
      <c r="U2229" s="2" t="s">
        <v>17031</v>
      </c>
      <c r="V2229" s="2"/>
      <c r="W2229" s="2" t="s">
        <v>42</v>
      </c>
      <c r="X2229" s="2" t="s">
        <v>46</v>
      </c>
      <c r="Y2229" s="2" t="s">
        <v>37</v>
      </c>
      <c r="Z2229" s="2" t="s">
        <v>362</v>
      </c>
      <c r="AA2229" s="2"/>
      <c r="AB2229" s="2"/>
      <c r="AC2229" s="2" t="s">
        <v>17032</v>
      </c>
      <c r="AD2229" s="2" t="s">
        <v>46</v>
      </c>
    </row>
    <row r="2230" customFormat="false" ht="15.7" hidden="false" customHeight="true" outlineLevel="0" collapsed="false">
      <c r="A2230" s="2"/>
      <c r="B2230" s="3" t="n">
        <f aca="false">DATE(2013,6,6)</f>
        <v>0</v>
      </c>
      <c r="C2230" s="3" t="n">
        <v>41431</v>
      </c>
      <c r="D2230" s="2" t="s">
        <v>17033</v>
      </c>
      <c r="F2230" s="2" t="s">
        <v>17034</v>
      </c>
      <c r="G2230" s="2" t="s">
        <v>17035</v>
      </c>
      <c r="H2230" s="2" t="s">
        <v>17036</v>
      </c>
      <c r="I2230" s="2" t="s">
        <v>51</v>
      </c>
      <c r="J2230" s="2" t="s">
        <v>3310</v>
      </c>
      <c r="K2230" s="2" t="s">
        <v>17033</v>
      </c>
      <c r="L2230" s="2" t="s">
        <v>51</v>
      </c>
      <c r="M2230" s="2" t="s">
        <v>17036</v>
      </c>
      <c r="N2230" s="2" t="s">
        <v>17037</v>
      </c>
      <c r="O2230" s="2"/>
      <c r="P2230" s="2" t="s">
        <v>37</v>
      </c>
      <c r="Q2230" s="4" t="n">
        <v>8731</v>
      </c>
      <c r="R2230" s="2" t="s">
        <v>56</v>
      </c>
      <c r="S2230" s="2" t="s">
        <v>2265</v>
      </c>
      <c r="T2230" s="2" t="s">
        <v>40</v>
      </c>
      <c r="U2230" s="2" t="s">
        <v>17038</v>
      </c>
      <c r="V2230" s="2"/>
      <c r="W2230" s="2" t="s">
        <v>42</v>
      </c>
      <c r="X2230" s="2" t="s">
        <v>43</v>
      </c>
      <c r="Y2230" s="2" t="s">
        <v>37</v>
      </c>
      <c r="Z2230" s="2" t="s">
        <v>44</v>
      </c>
      <c r="AA2230" s="2"/>
      <c r="AB2230" s="2"/>
      <c r="AC2230" s="2" t="s">
        <v>17039</v>
      </c>
      <c r="AD2230" s="2" t="s">
        <v>46</v>
      </c>
    </row>
    <row r="2231" customFormat="false" ht="15.7" hidden="false" customHeight="true" outlineLevel="0" collapsed="false">
      <c r="A2231" s="2"/>
      <c r="B2231" s="3" t="n">
        <f aca="false">DATE(2013,6,6)</f>
        <v>0</v>
      </c>
      <c r="C2231" s="3" t="n">
        <v>41431</v>
      </c>
      <c r="D2231" s="2" t="s">
        <v>17040</v>
      </c>
      <c r="F2231" s="2" t="s">
        <v>1138</v>
      </c>
      <c r="G2231" s="2" t="s">
        <v>17041</v>
      </c>
      <c r="H2231" s="2" t="s">
        <v>305</v>
      </c>
      <c r="I2231" s="2" t="s">
        <v>3320</v>
      </c>
      <c r="J2231" s="2" t="s">
        <v>35</v>
      </c>
      <c r="K2231" s="2" t="s">
        <v>17042</v>
      </c>
      <c r="L2231" s="2" t="s">
        <v>3320</v>
      </c>
      <c r="M2231" s="2" t="s">
        <v>305</v>
      </c>
      <c r="N2231" s="2" t="s">
        <v>17043</v>
      </c>
      <c r="O2231" s="2"/>
      <c r="P2231" s="2" t="s">
        <v>37</v>
      </c>
      <c r="Q2231" s="4" t="n">
        <v>2836</v>
      </c>
      <c r="R2231" s="2" t="s">
        <v>402</v>
      </c>
      <c r="S2231" s="2" t="s">
        <v>39</v>
      </c>
      <c r="T2231" s="2" t="s">
        <v>403</v>
      </c>
      <c r="U2231" s="2" t="s">
        <v>17044</v>
      </c>
      <c r="V2231" s="2"/>
      <c r="W2231" s="2" t="s">
        <v>107</v>
      </c>
      <c r="X2231" s="2" t="s">
        <v>46</v>
      </c>
      <c r="Y2231" s="2" t="s">
        <v>37</v>
      </c>
      <c r="Z2231" s="2" t="s">
        <v>362</v>
      </c>
      <c r="AA2231" s="2" t="s">
        <v>17045</v>
      </c>
      <c r="AB2231" s="2"/>
      <c r="AC2231" s="2" t="s">
        <v>17046</v>
      </c>
      <c r="AD2231" s="2" t="s">
        <v>46</v>
      </c>
    </row>
    <row r="2232" customFormat="false" ht="15.7" hidden="false" customHeight="true" outlineLevel="0" collapsed="false">
      <c r="A2232" s="2"/>
      <c r="B2232" s="3" t="n">
        <f aca="false">DATE(2013,6,11)</f>
        <v>0</v>
      </c>
      <c r="C2232" s="3" t="n">
        <v>41436</v>
      </c>
      <c r="D2232" s="2" t="s">
        <v>17047</v>
      </c>
      <c r="F2232" s="2" t="s">
        <v>17048</v>
      </c>
      <c r="G2232" s="2" t="s">
        <v>17049</v>
      </c>
      <c r="H2232" s="2" t="s">
        <v>130</v>
      </c>
      <c r="I2232" s="2" t="s">
        <v>17050</v>
      </c>
      <c r="J2232" s="2" t="s">
        <v>35</v>
      </c>
      <c r="K2232" s="2" t="s">
        <v>17051</v>
      </c>
      <c r="L2232" s="2" t="s">
        <v>17050</v>
      </c>
      <c r="M2232" s="2" t="s">
        <v>523</v>
      </c>
      <c r="N2232" s="2" t="s">
        <v>17052</v>
      </c>
      <c r="O2232" s="2"/>
      <c r="P2232" s="2" t="s">
        <v>37</v>
      </c>
      <c r="Q2232" s="4" t="n">
        <v>2834</v>
      </c>
      <c r="R2232" s="2" t="s">
        <v>2661</v>
      </c>
      <c r="S2232" s="2" t="s">
        <v>39</v>
      </c>
      <c r="T2232" s="2" t="s">
        <v>40</v>
      </c>
      <c r="U2232" s="2" t="s">
        <v>17053</v>
      </c>
      <c r="V2232" s="2"/>
      <c r="W2232" s="2" t="s">
        <v>344</v>
      </c>
      <c r="X2232" s="2" t="s">
        <v>43</v>
      </c>
      <c r="Y2232" s="2" t="s">
        <v>37</v>
      </c>
      <c r="Z2232" s="2" t="s">
        <v>44</v>
      </c>
      <c r="AA2232" s="2"/>
      <c r="AB2232" s="2"/>
      <c r="AC2232" s="2" t="s">
        <v>17054</v>
      </c>
      <c r="AD2232" s="2" t="s">
        <v>46</v>
      </c>
    </row>
    <row r="2233" customFormat="false" ht="15.7" hidden="false" customHeight="true" outlineLevel="0" collapsed="false">
      <c r="A2233" s="2"/>
      <c r="B2233" s="3" t="n">
        <f aca="false">DATE(2013,6,11)</f>
        <v>0</v>
      </c>
      <c r="C2233" s="3" t="n">
        <v>41436</v>
      </c>
      <c r="D2233" s="2" t="s">
        <v>17055</v>
      </c>
      <c r="F2233" s="2" t="s">
        <v>17056</v>
      </c>
      <c r="G2233" s="2" t="s">
        <v>17057</v>
      </c>
      <c r="H2233" s="2" t="s">
        <v>17058</v>
      </c>
      <c r="I2233" s="2" t="s">
        <v>2948</v>
      </c>
      <c r="J2233" s="2" t="s">
        <v>1807</v>
      </c>
      <c r="K2233" s="2" t="s">
        <v>17059</v>
      </c>
      <c r="L2233" s="2" t="s">
        <v>2948</v>
      </c>
      <c r="M2233" s="2" t="s">
        <v>17060</v>
      </c>
      <c r="N2233" s="2" t="s">
        <v>17061</v>
      </c>
      <c r="O2233" s="2"/>
      <c r="P2233" s="2" t="s">
        <v>37</v>
      </c>
      <c r="Q2233" s="4" t="n">
        <v>8731</v>
      </c>
      <c r="R2233" s="2" t="s">
        <v>9420</v>
      </c>
      <c r="S2233" s="2" t="s">
        <v>39</v>
      </c>
      <c r="T2233" s="2" t="s">
        <v>403</v>
      </c>
      <c r="U2233" s="2" t="s">
        <v>17062</v>
      </c>
      <c r="V2233" s="2"/>
      <c r="W2233" s="2" t="s">
        <v>42</v>
      </c>
      <c r="X2233" s="2" t="s">
        <v>46</v>
      </c>
      <c r="Y2233" s="2" t="s">
        <v>37</v>
      </c>
      <c r="Z2233" s="2" t="s">
        <v>362</v>
      </c>
      <c r="AA2233" s="2"/>
      <c r="AB2233" s="2"/>
      <c r="AC2233" s="2" t="s">
        <v>17063</v>
      </c>
      <c r="AD2233" s="2" t="s">
        <v>46</v>
      </c>
    </row>
    <row r="2234" customFormat="false" ht="15.7" hidden="false" customHeight="true" outlineLevel="0" collapsed="false">
      <c r="A2234" s="2"/>
      <c r="B2234" s="3" t="n">
        <f aca="false">DATE(2013,6,11)</f>
        <v>0</v>
      </c>
      <c r="C2234" s="3" t="n">
        <v>41436</v>
      </c>
      <c r="D2234" s="2" t="s">
        <v>17064</v>
      </c>
      <c r="F2234" s="2" t="s">
        <v>17065</v>
      </c>
      <c r="G2234" s="2" t="s">
        <v>17066</v>
      </c>
      <c r="H2234" s="2" t="s">
        <v>9917</v>
      </c>
      <c r="I2234" s="2" t="s">
        <v>2530</v>
      </c>
      <c r="J2234" s="2" t="s">
        <v>17067</v>
      </c>
      <c r="K2234" s="2" t="s">
        <v>17064</v>
      </c>
      <c r="L2234" s="2" t="s">
        <v>2530</v>
      </c>
      <c r="M2234" s="2" t="s">
        <v>9917</v>
      </c>
      <c r="N2234" s="2" t="s">
        <v>17068</v>
      </c>
      <c r="O2234" s="2"/>
      <c r="P2234" s="2" t="s">
        <v>37</v>
      </c>
      <c r="Q2234" s="4" t="n">
        <v>8731</v>
      </c>
      <c r="R2234" s="2" t="s">
        <v>56</v>
      </c>
      <c r="S2234" s="2" t="s">
        <v>931</v>
      </c>
      <c r="T2234" s="2" t="s">
        <v>403</v>
      </c>
      <c r="U2234" s="2" t="s">
        <v>17069</v>
      </c>
      <c r="V2234" s="2"/>
      <c r="W2234" s="2" t="s">
        <v>42</v>
      </c>
      <c r="X2234" s="2" t="s">
        <v>43</v>
      </c>
      <c r="Y2234" s="2" t="s">
        <v>37</v>
      </c>
      <c r="Z2234" s="2" t="s">
        <v>916</v>
      </c>
      <c r="AA2234" s="2"/>
      <c r="AB2234" s="2"/>
      <c r="AC2234" s="2" t="s">
        <v>17070</v>
      </c>
      <c r="AD2234" s="2" t="s">
        <v>46</v>
      </c>
    </row>
    <row r="2235" customFormat="false" ht="15.7" hidden="false" customHeight="true" outlineLevel="0" collapsed="false">
      <c r="A2235" s="2"/>
      <c r="B2235" s="3" t="n">
        <f aca="false">DATE(2013,6,12)</f>
        <v>0</v>
      </c>
      <c r="C2235" s="3" t="n">
        <v>41437</v>
      </c>
      <c r="D2235" s="2" t="s">
        <v>17071</v>
      </c>
      <c r="F2235" s="2" t="s">
        <v>17072</v>
      </c>
      <c r="G2235" s="2" t="s">
        <v>17073</v>
      </c>
      <c r="H2235" s="2" t="s">
        <v>17074</v>
      </c>
      <c r="I2235" s="2" t="s">
        <v>11795</v>
      </c>
      <c r="J2235" s="2" t="s">
        <v>6730</v>
      </c>
      <c r="K2235" s="2" t="s">
        <v>17075</v>
      </c>
      <c r="L2235" s="2" t="s">
        <v>11795</v>
      </c>
      <c r="M2235" s="2" t="s">
        <v>17074</v>
      </c>
      <c r="N2235" s="2" t="s">
        <v>17076</v>
      </c>
      <c r="O2235" s="2" t="s">
        <v>17077</v>
      </c>
      <c r="P2235" s="2" t="s">
        <v>37</v>
      </c>
      <c r="Q2235" s="4" t="n">
        <v>8731</v>
      </c>
      <c r="R2235" s="2" t="s">
        <v>1208</v>
      </c>
      <c r="S2235" s="2" t="s">
        <v>39</v>
      </c>
      <c r="T2235" s="2" t="s">
        <v>40</v>
      </c>
      <c r="U2235" s="2" t="s">
        <v>17078</v>
      </c>
      <c r="V2235" s="2"/>
      <c r="W2235" s="2" t="s">
        <v>42</v>
      </c>
      <c r="X2235" s="2" t="s">
        <v>46</v>
      </c>
      <c r="Y2235" s="2" t="s">
        <v>37</v>
      </c>
      <c r="Z2235" s="2" t="s">
        <v>17079</v>
      </c>
      <c r="AA2235" s="2" t="s">
        <v>17080</v>
      </c>
      <c r="AB2235" s="2" t="s">
        <v>17081</v>
      </c>
      <c r="AC2235" s="2" t="s">
        <v>17082</v>
      </c>
      <c r="AD2235" s="2" t="s">
        <v>46</v>
      </c>
    </row>
    <row r="2236" customFormat="false" ht="15.7" hidden="false" customHeight="true" outlineLevel="0" collapsed="false">
      <c r="A2236" s="2"/>
      <c r="B2236" s="3" t="n">
        <f aca="false">DATE(2013,6,13)</f>
        <v>0</v>
      </c>
      <c r="C2236" s="3" t="n">
        <v>41438</v>
      </c>
      <c r="D2236" s="2" t="s">
        <v>17083</v>
      </c>
      <c r="F2236" s="2" t="s">
        <v>17084</v>
      </c>
      <c r="G2236" s="2" t="s">
        <v>17085</v>
      </c>
      <c r="H2236" s="2" t="s">
        <v>762</v>
      </c>
      <c r="I2236" s="2" t="s">
        <v>899</v>
      </c>
      <c r="J2236" s="2" t="s">
        <v>795</v>
      </c>
      <c r="K2236" s="2" t="s">
        <v>17083</v>
      </c>
      <c r="L2236" s="2" t="s">
        <v>899</v>
      </c>
      <c r="M2236" s="2" t="s">
        <v>762</v>
      </c>
      <c r="N2236" s="2" t="s">
        <v>17086</v>
      </c>
      <c r="O2236" s="2"/>
      <c r="P2236" s="2" t="s">
        <v>37</v>
      </c>
      <c r="Q2236" s="4" t="n">
        <v>8731</v>
      </c>
      <c r="R2236" s="2" t="s">
        <v>136</v>
      </c>
      <c r="S2236" s="2" t="s">
        <v>39</v>
      </c>
      <c r="T2236" s="2" t="s">
        <v>40</v>
      </c>
      <c r="U2236" s="2" t="s">
        <v>17087</v>
      </c>
      <c r="V2236" s="2"/>
      <c r="W2236" s="2" t="s">
        <v>42</v>
      </c>
      <c r="X2236" s="2" t="s">
        <v>43</v>
      </c>
      <c r="Y2236" s="2" t="s">
        <v>37</v>
      </c>
      <c r="Z2236" s="2" t="s">
        <v>44</v>
      </c>
      <c r="AA2236" s="2"/>
      <c r="AB2236" s="2"/>
      <c r="AC2236" s="2" t="s">
        <v>17088</v>
      </c>
      <c r="AD2236" s="2" t="s">
        <v>46</v>
      </c>
    </row>
    <row r="2237" customFormat="false" ht="15.7" hidden="false" customHeight="true" outlineLevel="0" collapsed="false">
      <c r="A2237" s="2"/>
      <c r="B2237" s="3" t="n">
        <f aca="false">DATE(2013,6,14)</f>
        <v>0</v>
      </c>
      <c r="C2237" s="3" t="n">
        <v>41439</v>
      </c>
      <c r="D2237" s="2" t="s">
        <v>17089</v>
      </c>
      <c r="F2237" s="2" t="s">
        <v>17090</v>
      </c>
      <c r="G2237" s="2" t="s">
        <v>17091</v>
      </c>
      <c r="H2237" s="2" t="s">
        <v>17092</v>
      </c>
      <c r="I2237" s="2" t="s">
        <v>34</v>
      </c>
      <c r="J2237" s="2" t="s">
        <v>35</v>
      </c>
      <c r="K2237" s="2" t="s">
        <v>17093</v>
      </c>
      <c r="L2237" s="2" t="s">
        <v>34</v>
      </c>
      <c r="M2237" s="2" t="s">
        <v>12041</v>
      </c>
      <c r="N2237" s="2" t="s">
        <v>17094</v>
      </c>
      <c r="O2237" s="2"/>
      <c r="P2237" s="2" t="s">
        <v>37</v>
      </c>
      <c r="Q2237" s="4" t="n">
        <v>8731</v>
      </c>
      <c r="R2237" s="2" t="s">
        <v>38</v>
      </c>
      <c r="S2237" s="2" t="s">
        <v>39</v>
      </c>
      <c r="T2237" s="2" t="s">
        <v>40</v>
      </c>
      <c r="U2237" s="2" t="s">
        <v>17095</v>
      </c>
      <c r="V2237" s="2"/>
      <c r="W2237" s="2" t="s">
        <v>42</v>
      </c>
      <c r="X2237" s="2" t="s">
        <v>43</v>
      </c>
      <c r="Y2237" s="2" t="s">
        <v>37</v>
      </c>
      <c r="Z2237" s="2" t="s">
        <v>44</v>
      </c>
      <c r="AA2237" s="2"/>
      <c r="AB2237" s="2"/>
      <c r="AC2237" s="2" t="s">
        <v>17096</v>
      </c>
      <c r="AD2237" s="2" t="s">
        <v>46</v>
      </c>
    </row>
    <row r="2238" customFormat="false" ht="15.7" hidden="false" customHeight="true" outlineLevel="0" collapsed="false">
      <c r="A2238" s="2"/>
      <c r="B2238" s="3" t="n">
        <f aca="false">DATE(2013,6,17)</f>
        <v>0</v>
      </c>
      <c r="C2238" s="3" t="n">
        <v>41442</v>
      </c>
      <c r="D2238" s="2" t="s">
        <v>17097</v>
      </c>
      <c r="F2238" s="2" t="s">
        <v>256</v>
      </c>
      <c r="G2238" s="2" t="s">
        <v>17098</v>
      </c>
      <c r="H2238" s="2" t="s">
        <v>170</v>
      </c>
      <c r="I2238" s="2" t="s">
        <v>2879</v>
      </c>
      <c r="J2238" s="2" t="s">
        <v>35</v>
      </c>
      <c r="K2238" s="2" t="s">
        <v>17097</v>
      </c>
      <c r="L2238" s="2" t="s">
        <v>2879</v>
      </c>
      <c r="M2238" s="2" t="s">
        <v>170</v>
      </c>
      <c r="N2238" s="2" t="s">
        <v>17099</v>
      </c>
      <c r="O2238" s="2"/>
      <c r="P2238" s="2" t="s">
        <v>37</v>
      </c>
      <c r="Q2238" s="4" t="n">
        <v>8731</v>
      </c>
      <c r="R2238" s="2" t="s">
        <v>136</v>
      </c>
      <c r="S2238" s="2" t="s">
        <v>39</v>
      </c>
      <c r="T2238" s="2" t="s">
        <v>40</v>
      </c>
      <c r="U2238" s="2" t="s">
        <v>17100</v>
      </c>
      <c r="V2238" s="2"/>
      <c r="W2238" s="2" t="s">
        <v>42</v>
      </c>
      <c r="X2238" s="2" t="s">
        <v>43</v>
      </c>
      <c r="Y2238" s="2" t="s">
        <v>37</v>
      </c>
      <c r="Z2238" s="2" t="s">
        <v>44</v>
      </c>
      <c r="AA2238" s="2"/>
      <c r="AB2238" s="2"/>
      <c r="AC2238" s="2" t="s">
        <v>17101</v>
      </c>
      <c r="AD2238" s="2" t="s">
        <v>46</v>
      </c>
    </row>
    <row r="2239" customFormat="false" ht="15.7" hidden="false" customHeight="true" outlineLevel="0" collapsed="false">
      <c r="A2239" s="2"/>
      <c r="B2239" s="3" t="n">
        <f aca="false">DATE(2013,6,18)</f>
        <v>0</v>
      </c>
      <c r="C2239" s="3" t="n">
        <v>41443</v>
      </c>
      <c r="D2239" s="2" t="s">
        <v>17102</v>
      </c>
      <c r="F2239" s="2" t="s">
        <v>17103</v>
      </c>
      <c r="G2239" s="2" t="s">
        <v>17104</v>
      </c>
      <c r="H2239" s="2" t="s">
        <v>17105</v>
      </c>
      <c r="I2239" s="2" t="s">
        <v>3223</v>
      </c>
      <c r="J2239" s="2" t="s">
        <v>116</v>
      </c>
      <c r="K2239" s="2" t="s">
        <v>17106</v>
      </c>
      <c r="L2239" s="2" t="s">
        <v>3223</v>
      </c>
      <c r="M2239" s="2" t="s">
        <v>17107</v>
      </c>
      <c r="N2239" s="2" t="s">
        <v>17108</v>
      </c>
      <c r="O2239" s="2"/>
      <c r="P2239" s="2" t="s">
        <v>37</v>
      </c>
      <c r="Q2239" s="4" t="n">
        <v>8731</v>
      </c>
      <c r="R2239" s="2" t="s">
        <v>402</v>
      </c>
      <c r="S2239" s="2" t="s">
        <v>39</v>
      </c>
      <c r="T2239" s="2" t="s">
        <v>403</v>
      </c>
      <c r="U2239" s="2" t="s">
        <v>17109</v>
      </c>
      <c r="V2239" s="2"/>
      <c r="W2239" s="2" t="s">
        <v>42</v>
      </c>
      <c r="X2239" s="2" t="s">
        <v>46</v>
      </c>
      <c r="Y2239" s="2" t="s">
        <v>37</v>
      </c>
      <c r="Z2239" s="2" t="s">
        <v>17110</v>
      </c>
      <c r="AA2239" s="2" t="s">
        <v>17111</v>
      </c>
      <c r="AB2239" s="2"/>
      <c r="AC2239" s="2" t="s">
        <v>17112</v>
      </c>
      <c r="AD2239" s="2" t="s">
        <v>46</v>
      </c>
    </row>
    <row r="2240" customFormat="false" ht="15.7" hidden="false" customHeight="true" outlineLevel="0" collapsed="false">
      <c r="A2240" s="2"/>
      <c r="B2240" s="3" t="n">
        <f aca="false">DATE(2013,6,18)</f>
        <v>0</v>
      </c>
      <c r="C2240" s="3" t="n">
        <v>41443</v>
      </c>
      <c r="D2240" s="2" t="s">
        <v>17113</v>
      </c>
      <c r="F2240" s="2" t="s">
        <v>17114</v>
      </c>
      <c r="G2240" s="2" t="s">
        <v>17115</v>
      </c>
      <c r="H2240" s="2" t="s">
        <v>1564</v>
      </c>
      <c r="I2240" s="2" t="s">
        <v>51</v>
      </c>
      <c r="J2240" s="2" t="s">
        <v>4919</v>
      </c>
      <c r="K2240" s="2" t="s">
        <v>17116</v>
      </c>
      <c r="L2240" s="2" t="s">
        <v>17117</v>
      </c>
      <c r="M2240" s="2" t="s">
        <v>6091</v>
      </c>
      <c r="N2240" s="2" t="s">
        <v>17118</v>
      </c>
      <c r="O2240" s="2"/>
      <c r="P2240" s="2" t="s">
        <v>37</v>
      </c>
      <c r="Q2240" s="4" t="n">
        <v>2836</v>
      </c>
      <c r="R2240" s="2" t="s">
        <v>56</v>
      </c>
      <c r="S2240" s="2" t="s">
        <v>92</v>
      </c>
      <c r="T2240" s="2" t="s">
        <v>40</v>
      </c>
      <c r="U2240" s="2" t="s">
        <v>17119</v>
      </c>
      <c r="V2240" s="2"/>
      <c r="W2240" s="2" t="s">
        <v>42</v>
      </c>
      <c r="X2240" s="2" t="s">
        <v>43</v>
      </c>
      <c r="Y2240" s="2" t="s">
        <v>37</v>
      </c>
      <c r="Z2240" s="2" t="s">
        <v>44</v>
      </c>
      <c r="AA2240" s="2"/>
      <c r="AB2240" s="2"/>
      <c r="AC2240" s="2" t="s">
        <v>17120</v>
      </c>
      <c r="AD2240" s="2" t="s">
        <v>46</v>
      </c>
    </row>
    <row r="2241" customFormat="false" ht="15.7" hidden="false" customHeight="true" outlineLevel="0" collapsed="false">
      <c r="A2241" s="2"/>
      <c r="B2241" s="3" t="n">
        <f aca="false">DATE(2013,6,19)</f>
        <v>0</v>
      </c>
      <c r="C2241" s="3" t="n">
        <v>41444</v>
      </c>
      <c r="D2241" s="2" t="s">
        <v>17121</v>
      </c>
      <c r="F2241" s="2" t="s">
        <v>17122</v>
      </c>
      <c r="G2241" s="2" t="s">
        <v>17123</v>
      </c>
      <c r="H2241" s="2" t="s">
        <v>17124</v>
      </c>
      <c r="I2241" s="2" t="s">
        <v>17125</v>
      </c>
      <c r="J2241" s="2" t="s">
        <v>35</v>
      </c>
      <c r="K2241" s="2" t="s">
        <v>17126</v>
      </c>
      <c r="L2241" s="2" t="s">
        <v>17127</v>
      </c>
      <c r="M2241" s="2" t="s">
        <v>17128</v>
      </c>
      <c r="N2241" s="2" t="s">
        <v>17129</v>
      </c>
      <c r="O2241" s="2"/>
      <c r="P2241" s="2" t="s">
        <v>37</v>
      </c>
      <c r="Q2241" s="4" t="n">
        <v>8731</v>
      </c>
      <c r="R2241" s="2" t="s">
        <v>136</v>
      </c>
      <c r="S2241" s="2" t="s">
        <v>39</v>
      </c>
      <c r="T2241" s="2" t="s">
        <v>40</v>
      </c>
      <c r="U2241" s="2" t="s">
        <v>17130</v>
      </c>
      <c r="V2241" s="2"/>
      <c r="W2241" s="2" t="s">
        <v>138</v>
      </c>
      <c r="X2241" s="2" t="s">
        <v>43</v>
      </c>
      <c r="Y2241" s="2" t="s">
        <v>37</v>
      </c>
      <c r="Z2241" s="2" t="s">
        <v>44</v>
      </c>
      <c r="AA2241" s="2"/>
      <c r="AB2241" s="2"/>
      <c r="AC2241" s="2" t="s">
        <v>17131</v>
      </c>
      <c r="AD2241" s="2" t="s">
        <v>46</v>
      </c>
    </row>
    <row r="2242" customFormat="false" ht="15.7" hidden="false" customHeight="true" outlineLevel="0" collapsed="false">
      <c r="A2242" s="2"/>
      <c r="B2242" s="3" t="n">
        <f aca="false">DATE(2013,6,19)</f>
        <v>0</v>
      </c>
      <c r="C2242" s="3" t="n">
        <v>41444</v>
      </c>
      <c r="D2242" s="2" t="s">
        <v>17132</v>
      </c>
      <c r="F2242" s="2" t="s">
        <v>9152</v>
      </c>
      <c r="G2242" s="2" t="s">
        <v>17133</v>
      </c>
      <c r="H2242" s="2" t="s">
        <v>170</v>
      </c>
      <c r="I2242" s="2" t="s">
        <v>17134</v>
      </c>
      <c r="J2242" s="2" t="s">
        <v>35</v>
      </c>
      <c r="K2242" s="2" t="s">
        <v>17132</v>
      </c>
      <c r="L2242" s="2" t="s">
        <v>17134</v>
      </c>
      <c r="M2242" s="2" t="s">
        <v>170</v>
      </c>
      <c r="N2242" s="2" t="s">
        <v>17135</v>
      </c>
      <c r="O2242" s="2"/>
      <c r="P2242" s="2" t="s">
        <v>37</v>
      </c>
      <c r="Q2242" s="4" t="n">
        <v>2836</v>
      </c>
      <c r="R2242" s="2" t="s">
        <v>5774</v>
      </c>
      <c r="S2242" s="2" t="s">
        <v>39</v>
      </c>
      <c r="T2242" s="2" t="s">
        <v>403</v>
      </c>
      <c r="U2242" s="2" t="s">
        <v>17136</v>
      </c>
      <c r="V2242" s="2"/>
      <c r="W2242" s="2" t="s">
        <v>4487</v>
      </c>
      <c r="X2242" s="2" t="s">
        <v>43</v>
      </c>
      <c r="Y2242" s="2" t="s">
        <v>37</v>
      </c>
      <c r="Z2242" s="2" t="s">
        <v>44</v>
      </c>
      <c r="AA2242" s="2"/>
      <c r="AB2242" s="2"/>
      <c r="AC2242" s="2" t="s">
        <v>17137</v>
      </c>
      <c r="AD2242" s="2" t="s">
        <v>46</v>
      </c>
    </row>
    <row r="2243" customFormat="false" ht="15.7" hidden="false" customHeight="true" outlineLevel="0" collapsed="false">
      <c r="A2243" s="2"/>
      <c r="B2243" s="3" t="n">
        <f aca="false">DATE(2013,6,20)</f>
        <v>0</v>
      </c>
      <c r="C2243" s="3" t="n">
        <v>41445</v>
      </c>
      <c r="D2243" s="2" t="s">
        <v>17138</v>
      </c>
      <c r="F2243" s="2" t="s">
        <v>17139</v>
      </c>
      <c r="G2243" s="2" t="s">
        <v>17140</v>
      </c>
      <c r="H2243" s="2" t="s">
        <v>17141</v>
      </c>
      <c r="I2243" s="2" t="s">
        <v>17142</v>
      </c>
      <c r="J2243" s="2" t="s">
        <v>1305</v>
      </c>
      <c r="K2243" s="2" t="s">
        <v>17143</v>
      </c>
      <c r="L2243" s="2" t="s">
        <v>17144</v>
      </c>
      <c r="M2243" s="2" t="s">
        <v>17145</v>
      </c>
      <c r="N2243" s="2" t="s">
        <v>17146</v>
      </c>
      <c r="O2243" s="2"/>
      <c r="P2243" s="2" t="s">
        <v>37</v>
      </c>
      <c r="Q2243" s="4" t="n">
        <v>8731</v>
      </c>
      <c r="R2243" s="2" t="s">
        <v>3154</v>
      </c>
      <c r="S2243" s="2" t="s">
        <v>39</v>
      </c>
      <c r="T2243" s="2" t="s">
        <v>403</v>
      </c>
      <c r="U2243" s="2" t="s">
        <v>17147</v>
      </c>
      <c r="V2243" s="2"/>
      <c r="W2243" s="2" t="s">
        <v>42</v>
      </c>
      <c r="X2243" s="2" t="s">
        <v>46</v>
      </c>
      <c r="Y2243" s="2" t="s">
        <v>37</v>
      </c>
      <c r="Z2243" s="2" t="s">
        <v>11255</v>
      </c>
      <c r="AA2243" s="2"/>
      <c r="AB2243" s="2"/>
      <c r="AC2243" s="2" t="s">
        <v>17148</v>
      </c>
      <c r="AD2243" s="2" t="s">
        <v>46</v>
      </c>
    </row>
    <row r="2244" customFormat="false" ht="15.7" hidden="false" customHeight="true" outlineLevel="0" collapsed="false">
      <c r="A2244" s="2"/>
      <c r="B2244" s="3" t="n">
        <f aca="false">DATE(2013,6,24)</f>
        <v>0</v>
      </c>
      <c r="C2244" s="3" t="n">
        <v>41449</v>
      </c>
      <c r="D2244" s="2" t="s">
        <v>17149</v>
      </c>
      <c r="F2244" s="2" t="s">
        <v>17150</v>
      </c>
      <c r="G2244" s="2" t="s">
        <v>17151</v>
      </c>
      <c r="H2244" s="2" t="s">
        <v>17152</v>
      </c>
      <c r="I2244" s="2" t="s">
        <v>9761</v>
      </c>
      <c r="J2244" s="2" t="s">
        <v>35</v>
      </c>
      <c r="K2244" s="2" t="s">
        <v>17149</v>
      </c>
      <c r="L2244" s="2" t="s">
        <v>9761</v>
      </c>
      <c r="M2244" s="2" t="s">
        <v>17152</v>
      </c>
      <c r="N2244" s="2" t="s">
        <v>17153</v>
      </c>
      <c r="O2244" s="2"/>
      <c r="P2244" s="2" t="s">
        <v>37</v>
      </c>
      <c r="Q2244" s="4" t="n">
        <v>8731</v>
      </c>
      <c r="R2244" s="2" t="s">
        <v>136</v>
      </c>
      <c r="S2244" s="2" t="s">
        <v>39</v>
      </c>
      <c r="T2244" s="2" t="s">
        <v>40</v>
      </c>
      <c r="U2244" s="2" t="s">
        <v>17154</v>
      </c>
      <c r="V2244" s="2"/>
      <c r="W2244" s="2" t="s">
        <v>344</v>
      </c>
      <c r="X2244" s="2" t="s">
        <v>43</v>
      </c>
      <c r="Y2244" s="2" t="s">
        <v>37</v>
      </c>
      <c r="Z2244" s="2" t="s">
        <v>44</v>
      </c>
      <c r="AA2244" s="2"/>
      <c r="AB2244" s="2"/>
      <c r="AC2244" s="2" t="s">
        <v>17155</v>
      </c>
      <c r="AD2244" s="2" t="s">
        <v>46</v>
      </c>
    </row>
    <row r="2245" customFormat="false" ht="15.7" hidden="false" customHeight="true" outlineLevel="0" collapsed="false">
      <c r="A2245" s="2"/>
      <c r="B2245" s="3" t="n">
        <f aca="false">DATE(2013,6,24)</f>
        <v>0</v>
      </c>
      <c r="C2245" s="3" t="n">
        <v>41449</v>
      </c>
      <c r="D2245" s="2" t="s">
        <v>17156</v>
      </c>
      <c r="F2245" s="2" t="s">
        <v>8512</v>
      </c>
      <c r="G2245" s="2" t="s">
        <v>17157</v>
      </c>
      <c r="H2245" s="2" t="s">
        <v>130</v>
      </c>
      <c r="I2245" s="2" t="s">
        <v>51</v>
      </c>
      <c r="J2245" s="2" t="s">
        <v>3704</v>
      </c>
      <c r="K2245" s="2" t="s">
        <v>17158</v>
      </c>
      <c r="L2245" s="2" t="s">
        <v>51</v>
      </c>
      <c r="M2245" s="2" t="s">
        <v>130</v>
      </c>
      <c r="N2245" s="2" t="s">
        <v>17159</v>
      </c>
      <c r="O2245" s="2"/>
      <c r="P2245" s="2" t="s">
        <v>37</v>
      </c>
      <c r="Q2245" s="4" t="n">
        <v>2836</v>
      </c>
      <c r="R2245" s="2" t="s">
        <v>296</v>
      </c>
      <c r="S2245" s="2" t="s">
        <v>11842</v>
      </c>
      <c r="T2245" s="2" t="s">
        <v>40</v>
      </c>
      <c r="U2245" s="2" t="s">
        <v>17160</v>
      </c>
      <c r="V2245" s="2"/>
      <c r="W2245" s="2" t="s">
        <v>1050</v>
      </c>
      <c r="X2245" s="2" t="s">
        <v>43</v>
      </c>
      <c r="Y2245" s="2" t="s">
        <v>79</v>
      </c>
      <c r="Z2245" s="2" t="s">
        <v>44</v>
      </c>
      <c r="AA2245" s="2"/>
      <c r="AB2245" s="2"/>
      <c r="AC2245" s="2" t="s">
        <v>17161</v>
      </c>
      <c r="AD2245" s="2" t="s">
        <v>46</v>
      </c>
    </row>
    <row r="2246" customFormat="false" ht="15.7" hidden="false" customHeight="true" outlineLevel="0" collapsed="false">
      <c r="A2246" s="2"/>
      <c r="B2246" s="3" t="n">
        <f aca="false">DATE(2013,6,24)</f>
        <v>0</v>
      </c>
      <c r="C2246" s="3" t="n">
        <v>41449</v>
      </c>
      <c r="D2246" s="2" t="s">
        <v>17162</v>
      </c>
      <c r="F2246" s="2" t="s">
        <v>17163</v>
      </c>
      <c r="G2246" s="2" t="s">
        <v>17164</v>
      </c>
      <c r="H2246" s="2" t="s">
        <v>170</v>
      </c>
      <c r="I2246" s="2" t="s">
        <v>51</v>
      </c>
      <c r="J2246" s="2" t="s">
        <v>4097</v>
      </c>
      <c r="K2246" s="2" t="s">
        <v>17165</v>
      </c>
      <c r="L2246" s="2" t="s">
        <v>330</v>
      </c>
      <c r="M2246" s="2" t="s">
        <v>305</v>
      </c>
      <c r="N2246" s="2" t="s">
        <v>17166</v>
      </c>
      <c r="O2246" s="2"/>
      <c r="P2246" s="2" t="s">
        <v>37</v>
      </c>
      <c r="Q2246" s="4" t="n">
        <v>8731</v>
      </c>
      <c r="R2246" s="2" t="s">
        <v>56</v>
      </c>
      <c r="S2246" s="2" t="s">
        <v>2265</v>
      </c>
      <c r="T2246" s="2" t="s">
        <v>40</v>
      </c>
      <c r="U2246" s="2" t="s">
        <v>17167</v>
      </c>
      <c r="V2246" s="2"/>
      <c r="W2246" s="2" t="s">
        <v>138</v>
      </c>
      <c r="X2246" s="2" t="s">
        <v>43</v>
      </c>
      <c r="Y2246" s="2" t="s">
        <v>37</v>
      </c>
      <c r="Z2246" s="2" t="s">
        <v>44</v>
      </c>
      <c r="AA2246" s="2"/>
      <c r="AB2246" s="2"/>
      <c r="AC2246" s="2" t="s">
        <v>17168</v>
      </c>
      <c r="AD2246" s="2" t="s">
        <v>46</v>
      </c>
    </row>
    <row r="2247" customFormat="false" ht="15.7" hidden="false" customHeight="true" outlineLevel="0" collapsed="false">
      <c r="A2247" s="2"/>
      <c r="B2247" s="3" t="n">
        <f aca="false">DATE(2013,6,25)</f>
        <v>0</v>
      </c>
      <c r="C2247" s="3" t="n">
        <v>41450</v>
      </c>
      <c r="D2247" s="2" t="s">
        <v>17169</v>
      </c>
      <c r="F2247" s="2" t="s">
        <v>17170</v>
      </c>
      <c r="G2247" s="2" t="s">
        <v>17171</v>
      </c>
      <c r="H2247" s="2" t="s">
        <v>17172</v>
      </c>
      <c r="I2247" s="2" t="s">
        <v>685</v>
      </c>
      <c r="J2247" s="2" t="s">
        <v>35</v>
      </c>
      <c r="K2247" s="2" t="s">
        <v>17169</v>
      </c>
      <c r="L2247" s="2" t="s">
        <v>685</v>
      </c>
      <c r="M2247" s="2" t="s">
        <v>17172</v>
      </c>
      <c r="N2247" s="2" t="s">
        <v>17173</v>
      </c>
      <c r="O2247" s="2"/>
      <c r="P2247" s="2" t="s">
        <v>37</v>
      </c>
      <c r="Q2247" s="4" t="n">
        <v>3625</v>
      </c>
      <c r="R2247" s="2" t="s">
        <v>688</v>
      </c>
      <c r="S2247" s="2" t="s">
        <v>39</v>
      </c>
      <c r="T2247" s="2" t="s">
        <v>40</v>
      </c>
      <c r="U2247" s="2" t="s">
        <v>17174</v>
      </c>
      <c r="V2247" s="2"/>
      <c r="W2247" s="2" t="s">
        <v>42</v>
      </c>
      <c r="X2247" s="2" t="s">
        <v>43</v>
      </c>
      <c r="Y2247" s="2" t="s">
        <v>37</v>
      </c>
      <c r="Z2247" s="2" t="s">
        <v>44</v>
      </c>
      <c r="AA2247" s="2"/>
      <c r="AB2247" s="2"/>
      <c r="AC2247" s="2" t="s">
        <v>17175</v>
      </c>
      <c r="AD2247" s="2" t="s">
        <v>46</v>
      </c>
    </row>
    <row r="2248" customFormat="false" ht="15.7" hidden="false" customHeight="true" outlineLevel="0" collapsed="false">
      <c r="A2248" s="2"/>
      <c r="B2248" s="3" t="n">
        <f aca="false">DATE(2013,6,25)</f>
        <v>0</v>
      </c>
      <c r="C2248" s="3" t="n">
        <v>41450</v>
      </c>
      <c r="D2248" s="2" t="s">
        <v>17176</v>
      </c>
      <c r="F2248" s="2" t="s">
        <v>17177</v>
      </c>
      <c r="G2248" s="2" t="s">
        <v>17178</v>
      </c>
      <c r="H2248" s="2" t="s">
        <v>2361</v>
      </c>
      <c r="I2248" s="2" t="s">
        <v>51</v>
      </c>
      <c r="J2248" s="2" t="s">
        <v>17179</v>
      </c>
      <c r="K2248" s="2" t="s">
        <v>17176</v>
      </c>
      <c r="L2248" s="2" t="s">
        <v>51</v>
      </c>
      <c r="M2248" s="2" t="s">
        <v>2361</v>
      </c>
      <c r="N2248" s="2" t="s">
        <v>17180</v>
      </c>
      <c r="O2248" s="2"/>
      <c r="P2248" s="2" t="s">
        <v>37</v>
      </c>
      <c r="Q2248" s="4" t="n">
        <v>2836</v>
      </c>
      <c r="R2248" s="2" t="s">
        <v>56</v>
      </c>
      <c r="S2248" s="2" t="s">
        <v>2265</v>
      </c>
      <c r="T2248" s="2" t="s">
        <v>40</v>
      </c>
      <c r="U2248" s="2" t="s">
        <v>17181</v>
      </c>
      <c r="V2248" s="2"/>
      <c r="W2248" s="2" t="s">
        <v>42</v>
      </c>
      <c r="X2248" s="2" t="s">
        <v>43</v>
      </c>
      <c r="Y2248" s="2" t="s">
        <v>37</v>
      </c>
      <c r="Z2248" s="2" t="s">
        <v>44</v>
      </c>
      <c r="AA2248" s="2"/>
      <c r="AB2248" s="2"/>
      <c r="AC2248" s="2" t="s">
        <v>17182</v>
      </c>
      <c r="AD2248" s="2" t="s">
        <v>46</v>
      </c>
    </row>
    <row r="2249" customFormat="false" ht="15.7" hidden="false" customHeight="true" outlineLevel="0" collapsed="false">
      <c r="A2249" s="2"/>
      <c r="B2249" s="3" t="n">
        <f aca="false">DATE(2013,6,26)</f>
        <v>0</v>
      </c>
      <c r="C2249" s="3" t="n">
        <v>41451</v>
      </c>
      <c r="D2249" s="2" t="s">
        <v>17183</v>
      </c>
      <c r="F2249" s="2" t="s">
        <v>17184</v>
      </c>
      <c r="G2249" s="2" t="s">
        <v>17185</v>
      </c>
      <c r="H2249" s="2" t="s">
        <v>130</v>
      </c>
      <c r="I2249" s="2" t="s">
        <v>131</v>
      </c>
      <c r="J2249" s="2" t="s">
        <v>966</v>
      </c>
      <c r="K2249" s="2" t="s">
        <v>17183</v>
      </c>
      <c r="L2249" s="2" t="s">
        <v>131</v>
      </c>
      <c r="M2249" s="2" t="s">
        <v>130</v>
      </c>
      <c r="N2249" s="2" t="s">
        <v>17186</v>
      </c>
      <c r="O2249" s="2"/>
      <c r="P2249" s="2" t="s">
        <v>37</v>
      </c>
      <c r="Q2249" s="4" t="n">
        <v>8731</v>
      </c>
      <c r="R2249" s="2" t="s">
        <v>136</v>
      </c>
      <c r="S2249" s="2" t="s">
        <v>39</v>
      </c>
      <c r="T2249" s="2" t="s">
        <v>40</v>
      </c>
      <c r="U2249" s="2" t="s">
        <v>17187</v>
      </c>
      <c r="V2249" s="2"/>
      <c r="W2249" s="2" t="s">
        <v>42</v>
      </c>
      <c r="X2249" s="2" t="s">
        <v>43</v>
      </c>
      <c r="Y2249" s="2" t="s">
        <v>37</v>
      </c>
      <c r="Z2249" s="2" t="s">
        <v>44</v>
      </c>
      <c r="AA2249" s="2" t="s">
        <v>17188</v>
      </c>
      <c r="AB2249" s="2"/>
      <c r="AC2249" s="2" t="s">
        <v>17189</v>
      </c>
      <c r="AD2249" s="2" t="s">
        <v>46</v>
      </c>
    </row>
    <row r="2250" customFormat="false" ht="15.7" hidden="false" customHeight="true" outlineLevel="0" collapsed="false">
      <c r="A2250" s="2"/>
      <c r="B2250" s="3" t="n">
        <f aca="false">DATE(2013,6,26)</f>
        <v>0</v>
      </c>
      <c r="C2250" s="3" t="n">
        <v>41451</v>
      </c>
      <c r="D2250" s="2" t="s">
        <v>17190</v>
      </c>
      <c r="F2250" s="2" t="s">
        <v>17191</v>
      </c>
      <c r="G2250" s="2" t="s">
        <v>17192</v>
      </c>
      <c r="H2250" s="2" t="s">
        <v>368</v>
      </c>
      <c r="I2250" s="2" t="s">
        <v>1437</v>
      </c>
      <c r="J2250" s="2" t="s">
        <v>35</v>
      </c>
      <c r="K2250" s="2" t="s">
        <v>17193</v>
      </c>
      <c r="L2250" s="2" t="s">
        <v>4788</v>
      </c>
      <c r="M2250" s="2" t="s">
        <v>368</v>
      </c>
      <c r="N2250" s="2" t="s">
        <v>17194</v>
      </c>
      <c r="O2250" s="2"/>
      <c r="P2250" s="2" t="s">
        <v>37</v>
      </c>
      <c r="Q2250" s="4" t="n">
        <v>8731</v>
      </c>
      <c r="R2250" s="2" t="s">
        <v>1441</v>
      </c>
      <c r="S2250" s="2" t="s">
        <v>39</v>
      </c>
      <c r="T2250" s="2" t="s">
        <v>403</v>
      </c>
      <c r="U2250" s="2" t="s">
        <v>17195</v>
      </c>
      <c r="V2250" s="2"/>
      <c r="W2250" s="2" t="s">
        <v>42</v>
      </c>
      <c r="X2250" s="2" t="s">
        <v>46</v>
      </c>
      <c r="Y2250" s="2" t="s">
        <v>37</v>
      </c>
      <c r="Z2250" s="2" t="s">
        <v>362</v>
      </c>
      <c r="AA2250" s="2"/>
      <c r="AB2250" s="2"/>
      <c r="AC2250" s="2" t="s">
        <v>17196</v>
      </c>
      <c r="AD2250" s="2" t="s">
        <v>46</v>
      </c>
    </row>
    <row r="2251" customFormat="false" ht="15.7" hidden="false" customHeight="true" outlineLevel="0" collapsed="false">
      <c r="A2251" s="2"/>
      <c r="B2251" s="3" t="n">
        <f aca="false">DATE(2013,6,26)</f>
        <v>0</v>
      </c>
      <c r="C2251" s="3" t="n">
        <v>41451</v>
      </c>
      <c r="D2251" s="2" t="s">
        <v>17197</v>
      </c>
      <c r="F2251" s="2" t="s">
        <v>17198</v>
      </c>
      <c r="G2251" s="2" t="s">
        <v>17199</v>
      </c>
      <c r="H2251" s="2" t="s">
        <v>762</v>
      </c>
      <c r="I2251" s="2" t="s">
        <v>17200</v>
      </c>
      <c r="J2251" s="2" t="s">
        <v>35</v>
      </c>
      <c r="K2251" s="2" t="s">
        <v>17197</v>
      </c>
      <c r="L2251" s="2" t="s">
        <v>17200</v>
      </c>
      <c r="M2251" s="2" t="s">
        <v>762</v>
      </c>
      <c r="N2251" s="2" t="s">
        <v>17201</v>
      </c>
      <c r="O2251" s="2"/>
      <c r="P2251" s="2" t="s">
        <v>37</v>
      </c>
      <c r="Q2251" s="4" t="n">
        <v>8731</v>
      </c>
      <c r="R2251" s="2" t="s">
        <v>70</v>
      </c>
      <c r="S2251" s="2" t="s">
        <v>39</v>
      </c>
      <c r="T2251" s="2" t="s">
        <v>403</v>
      </c>
      <c r="U2251" s="2" t="s">
        <v>17202</v>
      </c>
      <c r="V2251" s="2"/>
      <c r="W2251" s="2" t="s">
        <v>42</v>
      </c>
      <c r="X2251" s="2" t="s">
        <v>46</v>
      </c>
      <c r="Y2251" s="2" t="s">
        <v>37</v>
      </c>
      <c r="Z2251" s="2" t="s">
        <v>362</v>
      </c>
      <c r="AA2251" s="2"/>
      <c r="AB2251" s="2"/>
      <c r="AC2251" s="2" t="s">
        <v>17203</v>
      </c>
      <c r="AD2251" s="2" t="s">
        <v>46</v>
      </c>
    </row>
    <row r="2252" customFormat="false" ht="15.7" hidden="false" customHeight="true" outlineLevel="0" collapsed="false">
      <c r="A2252" s="2"/>
      <c r="B2252" s="3" t="n">
        <f aca="false">DATE(2013,6,27)</f>
        <v>0</v>
      </c>
      <c r="C2252" s="3" t="n">
        <v>41452</v>
      </c>
      <c r="D2252" s="2" t="s">
        <v>17204</v>
      </c>
      <c r="F2252" s="2" t="s">
        <v>17205</v>
      </c>
      <c r="G2252" s="2" t="s">
        <v>17206</v>
      </c>
      <c r="H2252" s="2" t="s">
        <v>17207</v>
      </c>
      <c r="I2252" s="2" t="s">
        <v>296</v>
      </c>
      <c r="J2252" s="2" t="s">
        <v>155</v>
      </c>
      <c r="K2252" s="2" t="s">
        <v>17204</v>
      </c>
      <c r="L2252" s="2" t="s">
        <v>296</v>
      </c>
      <c r="M2252" s="2" t="s">
        <v>17207</v>
      </c>
      <c r="N2252" s="2" t="s">
        <v>17208</v>
      </c>
      <c r="O2252" s="2"/>
      <c r="P2252" s="2" t="s">
        <v>37</v>
      </c>
      <c r="Q2252" s="4" t="n">
        <v>2851</v>
      </c>
      <c r="R2252" s="2" t="s">
        <v>136</v>
      </c>
      <c r="S2252" s="2" t="s">
        <v>39</v>
      </c>
      <c r="T2252" s="2" t="s">
        <v>40</v>
      </c>
      <c r="U2252" s="2" t="s">
        <v>17209</v>
      </c>
      <c r="V2252" s="2"/>
      <c r="W2252" s="2" t="s">
        <v>13889</v>
      </c>
      <c r="X2252" s="2" t="s">
        <v>43</v>
      </c>
      <c r="Y2252" s="2" t="s">
        <v>37</v>
      </c>
      <c r="Z2252" s="2" t="s">
        <v>44</v>
      </c>
      <c r="AA2252" s="2"/>
      <c r="AB2252" s="2"/>
      <c r="AC2252" s="2" t="s">
        <v>17210</v>
      </c>
      <c r="AD2252" s="2" t="s">
        <v>46</v>
      </c>
    </row>
    <row r="2253" customFormat="false" ht="15.7" hidden="false" customHeight="true" outlineLevel="0" collapsed="false">
      <c r="A2253" s="2"/>
      <c r="B2253" s="3" t="n">
        <f aca="false">DATE(2013,6,27)</f>
        <v>0</v>
      </c>
      <c r="C2253" s="3" t="n">
        <v>41452</v>
      </c>
      <c r="D2253" s="2" t="s">
        <v>17211</v>
      </c>
      <c r="F2253" s="2" t="s">
        <v>4786</v>
      </c>
      <c r="G2253" s="2" t="s">
        <v>17212</v>
      </c>
      <c r="H2253" s="2" t="s">
        <v>63</v>
      </c>
      <c r="I2253" s="2" t="s">
        <v>330</v>
      </c>
      <c r="J2253" s="2" t="s">
        <v>132</v>
      </c>
      <c r="K2253" s="2" t="s">
        <v>17213</v>
      </c>
      <c r="L2253" s="2" t="s">
        <v>1287</v>
      </c>
      <c r="M2253" s="2" t="s">
        <v>63</v>
      </c>
      <c r="N2253" s="2" t="s">
        <v>17214</v>
      </c>
      <c r="O2253" s="2"/>
      <c r="P2253" s="2" t="s">
        <v>37</v>
      </c>
      <c r="Q2253" s="4" t="n">
        <v>2836</v>
      </c>
      <c r="R2253" s="2" t="s">
        <v>136</v>
      </c>
      <c r="S2253" s="2" t="s">
        <v>39</v>
      </c>
      <c r="T2253" s="2" t="s">
        <v>40</v>
      </c>
      <c r="U2253" s="2" t="s">
        <v>17215</v>
      </c>
      <c r="V2253" s="2"/>
      <c r="W2253" s="2" t="s">
        <v>82</v>
      </c>
      <c r="X2253" s="2" t="s">
        <v>43</v>
      </c>
      <c r="Y2253" s="2" t="s">
        <v>37</v>
      </c>
      <c r="Z2253" s="2" t="s">
        <v>44</v>
      </c>
      <c r="AA2253" s="2"/>
      <c r="AB2253" s="2"/>
      <c r="AC2253" s="2" t="s">
        <v>17216</v>
      </c>
      <c r="AD2253" s="2" t="s">
        <v>46</v>
      </c>
    </row>
    <row r="2254" customFormat="false" ht="15.7" hidden="false" customHeight="true" outlineLevel="0" collapsed="false">
      <c r="A2254" s="2"/>
      <c r="B2254" s="3" t="n">
        <f aca="false">DATE(2013,7,1)</f>
        <v>0</v>
      </c>
      <c r="C2254" s="3" t="n">
        <v>41456</v>
      </c>
      <c r="D2254" s="2" t="s">
        <v>17217</v>
      </c>
      <c r="F2254" s="2" t="s">
        <v>17218</v>
      </c>
      <c r="G2254" s="2" t="s">
        <v>17219</v>
      </c>
      <c r="H2254" s="2" t="s">
        <v>17220</v>
      </c>
      <c r="I2254" s="2" t="s">
        <v>51</v>
      </c>
      <c r="J2254" s="2" t="s">
        <v>17221</v>
      </c>
      <c r="K2254" s="2" t="s">
        <v>17217</v>
      </c>
      <c r="L2254" s="2" t="s">
        <v>51</v>
      </c>
      <c r="M2254" s="2" t="s">
        <v>17220</v>
      </c>
      <c r="N2254" s="2" t="s">
        <v>17222</v>
      </c>
      <c r="O2254" s="2"/>
      <c r="P2254" s="2" t="s">
        <v>37</v>
      </c>
      <c r="Q2254" s="4" t="n">
        <v>8731</v>
      </c>
      <c r="R2254" s="2" t="s">
        <v>56</v>
      </c>
      <c r="S2254" s="2" t="s">
        <v>17223</v>
      </c>
      <c r="T2254" s="2" t="s">
        <v>403</v>
      </c>
      <c r="U2254" s="2" t="s">
        <v>17224</v>
      </c>
      <c r="V2254" s="2"/>
      <c r="W2254" s="2" t="s">
        <v>4505</v>
      </c>
      <c r="X2254" s="2" t="s">
        <v>46</v>
      </c>
      <c r="Y2254" s="2" t="s">
        <v>37</v>
      </c>
      <c r="Z2254" s="2" t="s">
        <v>362</v>
      </c>
      <c r="AA2254" s="2"/>
      <c r="AB2254" s="2"/>
      <c r="AC2254" s="2" t="s">
        <v>17225</v>
      </c>
      <c r="AD2254" s="2" t="s">
        <v>46</v>
      </c>
    </row>
    <row r="2255" customFormat="false" ht="15.7" hidden="false" customHeight="true" outlineLevel="0" collapsed="false">
      <c r="A2255" s="2"/>
      <c r="B2255" s="3" t="n">
        <f aca="false">DATE(2013,7,1)</f>
        <v>0</v>
      </c>
      <c r="C2255" s="3" t="n">
        <v>41456</v>
      </c>
      <c r="D2255" s="2" t="s">
        <v>17226</v>
      </c>
      <c r="F2255" s="2" t="s">
        <v>17227</v>
      </c>
      <c r="G2255" s="2" t="s">
        <v>17228</v>
      </c>
      <c r="H2255" s="2" t="s">
        <v>211</v>
      </c>
      <c r="I2255" s="2" t="s">
        <v>219</v>
      </c>
      <c r="J2255" s="2" t="s">
        <v>65</v>
      </c>
      <c r="K2255" s="2" t="s">
        <v>17226</v>
      </c>
      <c r="L2255" s="2" t="s">
        <v>219</v>
      </c>
      <c r="M2255" s="2" t="s">
        <v>211</v>
      </c>
      <c r="N2255" s="2" t="s">
        <v>17229</v>
      </c>
      <c r="O2255" s="2"/>
      <c r="P2255" s="2" t="s">
        <v>37</v>
      </c>
      <c r="Q2255" s="4" t="n">
        <v>3845</v>
      </c>
      <c r="R2255" s="2" t="s">
        <v>136</v>
      </c>
      <c r="S2255" s="2" t="s">
        <v>39</v>
      </c>
      <c r="T2255" s="2" t="s">
        <v>40</v>
      </c>
      <c r="U2255" s="2" t="s">
        <v>17230</v>
      </c>
      <c r="V2255" s="2"/>
      <c r="W2255" s="2" t="s">
        <v>7958</v>
      </c>
      <c r="X2255" s="2" t="s">
        <v>43</v>
      </c>
      <c r="Y2255" s="2" t="s">
        <v>37</v>
      </c>
      <c r="Z2255" s="2" t="s">
        <v>44</v>
      </c>
      <c r="AA2255" s="2"/>
      <c r="AB2255" s="2"/>
      <c r="AC2255" s="2" t="s">
        <v>17231</v>
      </c>
      <c r="AD2255" s="2" t="s">
        <v>46</v>
      </c>
    </row>
    <row r="2256" customFormat="false" ht="15.7" hidden="false" customHeight="true" outlineLevel="0" collapsed="false">
      <c r="A2256" s="2"/>
      <c r="B2256" s="3" t="n">
        <f aca="false">DATE(2013,7,1)</f>
        <v>0</v>
      </c>
      <c r="C2256" s="3" t="n">
        <v>41456</v>
      </c>
      <c r="D2256" s="2" t="s">
        <v>17232</v>
      </c>
      <c r="F2256" s="2" t="s">
        <v>17233</v>
      </c>
      <c r="G2256" s="2" t="s">
        <v>17234</v>
      </c>
      <c r="H2256" s="2" t="s">
        <v>762</v>
      </c>
      <c r="I2256" s="2" t="s">
        <v>51</v>
      </c>
      <c r="J2256" s="2" t="s">
        <v>3045</v>
      </c>
      <c r="K2256" s="2" t="s">
        <v>17232</v>
      </c>
      <c r="L2256" s="2" t="s">
        <v>51</v>
      </c>
      <c r="M2256" s="2" t="s">
        <v>762</v>
      </c>
      <c r="N2256" s="2" t="s">
        <v>17235</v>
      </c>
      <c r="O2256" s="2"/>
      <c r="P2256" s="2" t="s">
        <v>37</v>
      </c>
      <c r="Q2256" s="4" t="n">
        <v>8731</v>
      </c>
      <c r="R2256" s="2" t="s">
        <v>56</v>
      </c>
      <c r="S2256" s="2"/>
      <c r="T2256" s="2" t="s">
        <v>40</v>
      </c>
      <c r="U2256" s="2" t="s">
        <v>17236</v>
      </c>
      <c r="V2256" s="2"/>
      <c r="W2256" s="2" t="s">
        <v>42</v>
      </c>
      <c r="X2256" s="2" t="s">
        <v>43</v>
      </c>
      <c r="Y2256" s="2" t="s">
        <v>37</v>
      </c>
      <c r="Z2256" s="2" t="s">
        <v>44</v>
      </c>
      <c r="AA2256" s="2"/>
      <c r="AB2256" s="2"/>
      <c r="AC2256" s="2" t="s">
        <v>17237</v>
      </c>
      <c r="AD2256" s="2" t="s">
        <v>46</v>
      </c>
    </row>
    <row r="2257" customFormat="false" ht="15.7" hidden="false" customHeight="true" outlineLevel="0" collapsed="false">
      <c r="A2257" s="2"/>
      <c r="B2257" s="3" t="n">
        <f aca="false">DATE(2013,7,1)</f>
        <v>0</v>
      </c>
      <c r="C2257" s="3" t="n">
        <v>41456</v>
      </c>
      <c r="D2257" s="2" t="s">
        <v>17238</v>
      </c>
      <c r="F2257" s="2" t="s">
        <v>17239</v>
      </c>
      <c r="G2257" s="2" t="s">
        <v>17240</v>
      </c>
      <c r="H2257" s="2" t="s">
        <v>17241</v>
      </c>
      <c r="I2257" s="2" t="s">
        <v>2530</v>
      </c>
      <c r="J2257" s="2" t="s">
        <v>17242</v>
      </c>
      <c r="K2257" s="2" t="s">
        <v>17243</v>
      </c>
      <c r="L2257" s="2" t="s">
        <v>2530</v>
      </c>
      <c r="M2257" s="2" t="s">
        <v>17244</v>
      </c>
      <c r="N2257" s="2" t="s">
        <v>17245</v>
      </c>
      <c r="O2257" s="2"/>
      <c r="P2257" s="2" t="s">
        <v>37</v>
      </c>
      <c r="Q2257" s="4" t="n">
        <v>8731</v>
      </c>
      <c r="R2257" s="2" t="s">
        <v>56</v>
      </c>
      <c r="S2257" s="2" t="s">
        <v>2265</v>
      </c>
      <c r="T2257" s="2" t="s">
        <v>40</v>
      </c>
      <c r="U2257" s="2" t="s">
        <v>17246</v>
      </c>
      <c r="V2257" s="2"/>
      <c r="W2257" s="2" t="s">
        <v>42</v>
      </c>
      <c r="X2257" s="2" t="s">
        <v>43</v>
      </c>
      <c r="Y2257" s="2" t="s">
        <v>37</v>
      </c>
      <c r="Z2257" s="2" t="s">
        <v>916</v>
      </c>
      <c r="AA2257" s="2"/>
      <c r="AB2257" s="2"/>
      <c r="AC2257" s="2" t="s">
        <v>17247</v>
      </c>
      <c r="AD2257" s="2" t="s">
        <v>46</v>
      </c>
    </row>
    <row r="2258" customFormat="false" ht="15.7" hidden="false" customHeight="true" outlineLevel="0" collapsed="false">
      <c r="A2258" s="2"/>
      <c r="B2258" s="3" t="n">
        <f aca="false">DATE(2013,7,1)</f>
        <v>0</v>
      </c>
      <c r="C2258" s="3" t="n">
        <v>41456</v>
      </c>
      <c r="D2258" s="2" t="s">
        <v>17248</v>
      </c>
      <c r="F2258" s="2" t="s">
        <v>17249</v>
      </c>
      <c r="G2258" s="2" t="s">
        <v>17250</v>
      </c>
      <c r="H2258" s="2" t="s">
        <v>2312</v>
      </c>
      <c r="I2258" s="2" t="s">
        <v>11034</v>
      </c>
      <c r="J2258" s="2" t="s">
        <v>35</v>
      </c>
      <c r="K2258" s="2" t="s">
        <v>17248</v>
      </c>
      <c r="L2258" s="2" t="s">
        <v>11034</v>
      </c>
      <c r="M2258" s="2" t="s">
        <v>2312</v>
      </c>
      <c r="N2258" s="2" t="s">
        <v>17251</v>
      </c>
      <c r="O2258" s="2"/>
      <c r="P2258" s="2" t="s">
        <v>37</v>
      </c>
      <c r="Q2258" s="4" t="n">
        <v>2836</v>
      </c>
      <c r="R2258" s="2" t="s">
        <v>17252</v>
      </c>
      <c r="S2258" s="2" t="s">
        <v>5334</v>
      </c>
      <c r="T2258" s="2" t="s">
        <v>40</v>
      </c>
      <c r="U2258" s="2" t="s">
        <v>17253</v>
      </c>
      <c r="V2258" s="2"/>
      <c r="W2258" s="2" t="s">
        <v>697</v>
      </c>
      <c r="X2258" s="2" t="s">
        <v>43</v>
      </c>
      <c r="Y2258" s="2" t="s">
        <v>79</v>
      </c>
      <c r="Z2258" s="2" t="s">
        <v>44</v>
      </c>
      <c r="AA2258" s="2" t="s">
        <v>17254</v>
      </c>
      <c r="AB2258" s="2"/>
      <c r="AC2258" s="2" t="s">
        <v>17255</v>
      </c>
      <c r="AD2258" s="2" t="s">
        <v>46</v>
      </c>
    </row>
    <row r="2259" customFormat="false" ht="15.7" hidden="false" customHeight="true" outlineLevel="0" collapsed="false">
      <c r="A2259" s="2"/>
      <c r="B2259" s="3" t="n">
        <f aca="false">DATE(2013,7,1)</f>
        <v>0</v>
      </c>
      <c r="C2259" s="3" t="n">
        <v>41456</v>
      </c>
      <c r="D2259" s="2" t="s">
        <v>17256</v>
      </c>
      <c r="F2259" s="2" t="s">
        <v>17257</v>
      </c>
      <c r="G2259" s="2" t="s">
        <v>17258</v>
      </c>
      <c r="H2259" s="2" t="s">
        <v>9704</v>
      </c>
      <c r="I2259" s="2" t="s">
        <v>100</v>
      </c>
      <c r="J2259" s="2" t="s">
        <v>65</v>
      </c>
      <c r="K2259" s="2" t="s">
        <v>17256</v>
      </c>
      <c r="L2259" s="2" t="s">
        <v>100</v>
      </c>
      <c r="M2259" s="2" t="s">
        <v>9704</v>
      </c>
      <c r="N2259" s="2" t="s">
        <v>17259</v>
      </c>
      <c r="O2259" s="2"/>
      <c r="P2259" s="2" t="s">
        <v>37</v>
      </c>
      <c r="Q2259" s="4" t="n">
        <v>3823</v>
      </c>
      <c r="R2259" s="2" t="s">
        <v>136</v>
      </c>
      <c r="S2259" s="2" t="s">
        <v>39</v>
      </c>
      <c r="T2259" s="2" t="s">
        <v>403</v>
      </c>
      <c r="U2259" s="2" t="s">
        <v>17260</v>
      </c>
      <c r="V2259" s="2"/>
      <c r="W2259" s="2" t="s">
        <v>42</v>
      </c>
      <c r="X2259" s="2" t="s">
        <v>43</v>
      </c>
      <c r="Y2259" s="2" t="s">
        <v>37</v>
      </c>
      <c r="Z2259" s="2" t="s">
        <v>44</v>
      </c>
      <c r="AA2259" s="2"/>
      <c r="AB2259" s="2"/>
      <c r="AC2259" s="2" t="s">
        <v>17261</v>
      </c>
      <c r="AD2259" s="2" t="s">
        <v>46</v>
      </c>
    </row>
    <row r="2260" customFormat="false" ht="15.7" hidden="false" customHeight="true" outlineLevel="0" collapsed="false">
      <c r="A2260" s="2"/>
      <c r="B2260" s="3" t="n">
        <f aca="false">DATE(2013,7,2)</f>
        <v>0</v>
      </c>
      <c r="C2260" s="3" t="n">
        <v>41457</v>
      </c>
      <c r="D2260" s="2" t="s">
        <v>17262</v>
      </c>
      <c r="F2260" s="2" t="s">
        <v>2026</v>
      </c>
      <c r="G2260" s="2" t="s">
        <v>17263</v>
      </c>
      <c r="H2260" s="2" t="s">
        <v>9778</v>
      </c>
      <c r="I2260" s="2" t="s">
        <v>5102</v>
      </c>
      <c r="J2260" s="2" t="s">
        <v>35</v>
      </c>
      <c r="K2260" s="2" t="s">
        <v>17264</v>
      </c>
      <c r="L2260" s="2" t="s">
        <v>5102</v>
      </c>
      <c r="M2260" s="2" t="s">
        <v>17265</v>
      </c>
      <c r="N2260" s="2" t="s">
        <v>17266</v>
      </c>
      <c r="O2260" s="2"/>
      <c r="P2260" s="2" t="s">
        <v>37</v>
      </c>
      <c r="Q2260" s="4" t="n">
        <v>8731</v>
      </c>
      <c r="R2260" s="2" t="s">
        <v>70</v>
      </c>
      <c r="S2260" s="2" t="s">
        <v>39</v>
      </c>
      <c r="T2260" s="2" t="s">
        <v>40</v>
      </c>
      <c r="U2260" s="2" t="s">
        <v>17267</v>
      </c>
      <c r="V2260" s="2"/>
      <c r="W2260" s="2" t="s">
        <v>42</v>
      </c>
      <c r="X2260" s="2" t="s">
        <v>43</v>
      </c>
      <c r="Y2260" s="2" t="s">
        <v>37</v>
      </c>
      <c r="Z2260" s="2" t="s">
        <v>44</v>
      </c>
      <c r="AA2260" s="2"/>
      <c r="AB2260" s="2"/>
      <c r="AC2260" s="2" t="s">
        <v>17268</v>
      </c>
      <c r="AD2260" s="2" t="s">
        <v>46</v>
      </c>
    </row>
    <row r="2261" customFormat="false" ht="15.7" hidden="false" customHeight="true" outlineLevel="0" collapsed="false">
      <c r="A2261" s="2"/>
      <c r="B2261" s="3" t="n">
        <f aca="false">DATE(2013,7,2)</f>
        <v>0</v>
      </c>
      <c r="C2261" s="3" t="n">
        <v>41457</v>
      </c>
      <c r="D2261" s="2" t="s">
        <v>17269</v>
      </c>
      <c r="F2261" s="2" t="s">
        <v>17270</v>
      </c>
      <c r="G2261" s="2" t="s">
        <v>17271</v>
      </c>
      <c r="H2261" s="2" t="s">
        <v>4340</v>
      </c>
      <c r="I2261" s="2" t="s">
        <v>11507</v>
      </c>
      <c r="J2261" s="2" t="s">
        <v>35</v>
      </c>
      <c r="K2261" s="2" t="s">
        <v>17272</v>
      </c>
      <c r="L2261" s="2" t="s">
        <v>11507</v>
      </c>
      <c r="M2261" s="2" t="s">
        <v>7311</v>
      </c>
      <c r="N2261" s="2" t="s">
        <v>17273</v>
      </c>
      <c r="O2261" s="2"/>
      <c r="P2261" s="2" t="s">
        <v>37</v>
      </c>
      <c r="Q2261" s="4" t="n">
        <v>3799</v>
      </c>
      <c r="R2261" s="2" t="s">
        <v>402</v>
      </c>
      <c r="S2261" s="2" t="s">
        <v>39</v>
      </c>
      <c r="T2261" s="2" t="s">
        <v>40</v>
      </c>
      <c r="U2261" s="2" t="s">
        <v>17274</v>
      </c>
      <c r="V2261" s="2"/>
      <c r="W2261" s="2" t="s">
        <v>42</v>
      </c>
      <c r="X2261" s="2" t="s">
        <v>43</v>
      </c>
      <c r="Y2261" s="2" t="s">
        <v>37</v>
      </c>
      <c r="Z2261" s="2" t="s">
        <v>44</v>
      </c>
      <c r="AA2261" s="2"/>
      <c r="AB2261" s="2"/>
      <c r="AC2261" s="2" t="s">
        <v>17275</v>
      </c>
      <c r="AD2261" s="2" t="s">
        <v>46</v>
      </c>
    </row>
    <row r="2262" customFormat="false" ht="15.7" hidden="false" customHeight="true" outlineLevel="0" collapsed="false">
      <c r="A2262" s="2"/>
      <c r="B2262" s="3" t="n">
        <f aca="false">DATE(2013,7,2)</f>
        <v>0</v>
      </c>
      <c r="C2262" s="3" t="n">
        <v>41457</v>
      </c>
      <c r="D2262" s="2" t="s">
        <v>17276</v>
      </c>
      <c r="F2262" s="2" t="s">
        <v>17277</v>
      </c>
      <c r="G2262" s="2" t="s">
        <v>17278</v>
      </c>
      <c r="H2262" s="2" t="s">
        <v>523</v>
      </c>
      <c r="I2262" s="2" t="s">
        <v>2658</v>
      </c>
      <c r="J2262" s="2" t="s">
        <v>65</v>
      </c>
      <c r="K2262" s="2" t="s">
        <v>17279</v>
      </c>
      <c r="L2262" s="2" t="s">
        <v>51</v>
      </c>
      <c r="M2262" s="2" t="s">
        <v>130</v>
      </c>
      <c r="N2262" s="2" t="s">
        <v>17280</v>
      </c>
      <c r="O2262" s="2"/>
      <c r="P2262" s="2" t="s">
        <v>37</v>
      </c>
      <c r="Q2262" s="4" t="n">
        <v>3845</v>
      </c>
      <c r="R2262" s="2" t="s">
        <v>56</v>
      </c>
      <c r="S2262" s="2" t="s">
        <v>2265</v>
      </c>
      <c r="T2262" s="2" t="s">
        <v>40</v>
      </c>
      <c r="U2262" s="2" t="s">
        <v>17281</v>
      </c>
      <c r="V2262" s="2"/>
      <c r="W2262" s="2" t="s">
        <v>5464</v>
      </c>
      <c r="X2262" s="2" t="s">
        <v>43</v>
      </c>
      <c r="Y2262" s="2" t="s">
        <v>37</v>
      </c>
      <c r="Z2262" s="2" t="s">
        <v>44</v>
      </c>
      <c r="AA2262" s="2"/>
      <c r="AB2262" s="2"/>
      <c r="AC2262" s="2" t="s">
        <v>17282</v>
      </c>
      <c r="AD2262" s="2" t="s">
        <v>46</v>
      </c>
    </row>
    <row r="2263" customFormat="false" ht="15.7" hidden="false" customHeight="true" outlineLevel="0" collapsed="false">
      <c r="A2263" s="2"/>
      <c r="B2263" s="3" t="n">
        <f aca="false">DATE(2013,7,4)</f>
        <v>0</v>
      </c>
      <c r="C2263" s="3" t="n">
        <v>41459</v>
      </c>
      <c r="D2263" s="2" t="s">
        <v>17283</v>
      </c>
      <c r="F2263" s="2" t="s">
        <v>17284</v>
      </c>
      <c r="G2263" s="2" t="s">
        <v>17285</v>
      </c>
      <c r="H2263" s="2" t="s">
        <v>17286</v>
      </c>
      <c r="I2263" s="2" t="s">
        <v>14116</v>
      </c>
      <c r="J2263" s="2" t="s">
        <v>35</v>
      </c>
      <c r="K2263" s="2" t="s">
        <v>17287</v>
      </c>
      <c r="L2263" s="2" t="s">
        <v>14116</v>
      </c>
      <c r="M2263" s="2" t="s">
        <v>17288</v>
      </c>
      <c r="N2263" s="2" t="s">
        <v>17289</v>
      </c>
      <c r="O2263" s="2"/>
      <c r="P2263" s="2" t="s">
        <v>37</v>
      </c>
      <c r="Q2263" s="4" t="n">
        <v>8731</v>
      </c>
      <c r="R2263" s="2" t="s">
        <v>2201</v>
      </c>
      <c r="S2263" s="2" t="s">
        <v>39</v>
      </c>
      <c r="T2263" s="2" t="s">
        <v>40</v>
      </c>
      <c r="U2263" s="2" t="s">
        <v>17290</v>
      </c>
      <c r="V2263" s="2"/>
      <c r="W2263" s="2" t="s">
        <v>42</v>
      </c>
      <c r="X2263" s="2" t="s">
        <v>43</v>
      </c>
      <c r="Y2263" s="2" t="s">
        <v>37</v>
      </c>
      <c r="Z2263" s="2" t="s">
        <v>44</v>
      </c>
      <c r="AA2263" s="2"/>
      <c r="AB2263" s="2"/>
      <c r="AC2263" s="2" t="s">
        <v>17291</v>
      </c>
      <c r="AD2263" s="2" t="s">
        <v>46</v>
      </c>
    </row>
    <row r="2264" customFormat="false" ht="15.7" hidden="false" customHeight="true" outlineLevel="0" collapsed="false">
      <c r="A2264" s="2"/>
      <c r="B2264" s="3" t="n">
        <f aca="false">DATE(2013,7,4)</f>
        <v>0</v>
      </c>
      <c r="C2264" s="3" t="n">
        <v>41459</v>
      </c>
      <c r="D2264" s="2" t="s">
        <v>17292</v>
      </c>
      <c r="F2264" s="2" t="s">
        <v>17293</v>
      </c>
      <c r="G2264" s="2" t="s">
        <v>17294</v>
      </c>
      <c r="H2264" s="2" t="s">
        <v>17295</v>
      </c>
      <c r="I2264" s="2" t="s">
        <v>6838</v>
      </c>
      <c r="J2264" s="2" t="s">
        <v>35</v>
      </c>
      <c r="K2264" s="2" t="s">
        <v>17292</v>
      </c>
      <c r="L2264" s="2" t="s">
        <v>6838</v>
      </c>
      <c r="M2264" s="2" t="s">
        <v>17295</v>
      </c>
      <c r="N2264" s="2" t="s">
        <v>17296</v>
      </c>
      <c r="O2264" s="2"/>
      <c r="P2264" s="2" t="s">
        <v>37</v>
      </c>
      <c r="Q2264" s="4" t="n">
        <v>3728</v>
      </c>
      <c r="R2264" s="2" t="s">
        <v>402</v>
      </c>
      <c r="S2264" s="2" t="s">
        <v>39</v>
      </c>
      <c r="T2264" s="2" t="s">
        <v>403</v>
      </c>
      <c r="U2264" s="2" t="s">
        <v>17297</v>
      </c>
      <c r="V2264" s="2"/>
      <c r="W2264" s="2" t="s">
        <v>697</v>
      </c>
      <c r="X2264" s="2" t="s">
        <v>46</v>
      </c>
      <c r="Y2264" s="2" t="s">
        <v>37</v>
      </c>
      <c r="Z2264" s="2" t="s">
        <v>2080</v>
      </c>
      <c r="AA2264" s="2" t="s">
        <v>17298</v>
      </c>
      <c r="AB2264" s="2"/>
      <c r="AC2264" s="2" t="s">
        <v>17299</v>
      </c>
      <c r="AD2264" s="2" t="s">
        <v>46</v>
      </c>
    </row>
    <row r="2265" customFormat="false" ht="15.7" hidden="false" customHeight="true" outlineLevel="0" collapsed="false">
      <c r="A2265" s="2"/>
      <c r="B2265" s="3" t="n">
        <f aca="false">DATE(2013,7,8)</f>
        <v>0</v>
      </c>
      <c r="C2265" s="3" t="n">
        <v>41463</v>
      </c>
      <c r="D2265" s="2" t="s">
        <v>17300</v>
      </c>
      <c r="F2265" s="2" t="s">
        <v>16461</v>
      </c>
      <c r="G2265" s="2" t="s">
        <v>17301</v>
      </c>
      <c r="H2265" s="2" t="s">
        <v>130</v>
      </c>
      <c r="I2265" s="2" t="s">
        <v>17302</v>
      </c>
      <c r="J2265" s="2" t="s">
        <v>35</v>
      </c>
      <c r="K2265" s="2" t="s">
        <v>17300</v>
      </c>
      <c r="L2265" s="2" t="s">
        <v>17302</v>
      </c>
      <c r="M2265" s="2" t="s">
        <v>130</v>
      </c>
      <c r="N2265" s="2" t="s">
        <v>17303</v>
      </c>
      <c r="O2265" s="2"/>
      <c r="P2265" s="2" t="s">
        <v>37</v>
      </c>
      <c r="Q2265" s="4" t="n">
        <v>8731</v>
      </c>
      <c r="R2265" s="2" t="s">
        <v>450</v>
      </c>
      <c r="S2265" s="2" t="s">
        <v>39</v>
      </c>
      <c r="T2265" s="2" t="s">
        <v>40</v>
      </c>
      <c r="U2265" s="2" t="s">
        <v>17304</v>
      </c>
      <c r="V2265" s="2"/>
      <c r="W2265" s="2" t="s">
        <v>42</v>
      </c>
      <c r="X2265" s="2" t="s">
        <v>43</v>
      </c>
      <c r="Y2265" s="2" t="s">
        <v>37</v>
      </c>
      <c r="Z2265" s="2" t="s">
        <v>44</v>
      </c>
      <c r="AA2265" s="2"/>
      <c r="AB2265" s="2"/>
      <c r="AC2265" s="2" t="s">
        <v>17305</v>
      </c>
      <c r="AD2265" s="2" t="s">
        <v>46</v>
      </c>
    </row>
    <row r="2266" customFormat="false" ht="15.7" hidden="false" customHeight="true" outlineLevel="0" collapsed="false">
      <c r="A2266" s="2"/>
      <c r="B2266" s="3" t="n">
        <f aca="false">DATE(2013,7,9)</f>
        <v>0</v>
      </c>
      <c r="C2266" s="3" t="n">
        <v>41464</v>
      </c>
      <c r="D2266" s="2" t="s">
        <v>17306</v>
      </c>
      <c r="F2266" s="2" t="s">
        <v>17307</v>
      </c>
      <c r="G2266" s="2" t="s">
        <v>17308</v>
      </c>
      <c r="H2266" s="2" t="s">
        <v>17309</v>
      </c>
      <c r="I2266" s="2" t="s">
        <v>17310</v>
      </c>
      <c r="J2266" s="2" t="s">
        <v>35</v>
      </c>
      <c r="K2266" s="2" t="s">
        <v>17306</v>
      </c>
      <c r="L2266" s="2" t="s">
        <v>17310</v>
      </c>
      <c r="M2266" s="2" t="s">
        <v>17309</v>
      </c>
      <c r="N2266" s="2" t="s">
        <v>17311</v>
      </c>
      <c r="O2266" s="2"/>
      <c r="P2266" s="2" t="s">
        <v>79</v>
      </c>
      <c r="Q2266" s="4" t="n">
        <v>2899</v>
      </c>
      <c r="R2266" s="2" t="s">
        <v>136</v>
      </c>
      <c r="S2266" s="2" t="s">
        <v>39</v>
      </c>
      <c r="T2266" s="2" t="s">
        <v>40</v>
      </c>
      <c r="U2266" s="2" t="s">
        <v>17312</v>
      </c>
      <c r="V2266" s="2"/>
      <c r="W2266" s="2" t="s">
        <v>42</v>
      </c>
      <c r="X2266" s="2" t="s">
        <v>43</v>
      </c>
      <c r="Y2266" s="2" t="s">
        <v>37</v>
      </c>
      <c r="Z2266" s="2" t="s">
        <v>44</v>
      </c>
      <c r="AA2266" s="2"/>
      <c r="AB2266" s="2"/>
      <c r="AC2266" s="2" t="s">
        <v>17313</v>
      </c>
      <c r="AD2266" s="2" t="s">
        <v>46</v>
      </c>
    </row>
    <row r="2267" customFormat="false" ht="15.7" hidden="false" customHeight="true" outlineLevel="0" collapsed="false">
      <c r="A2267" s="2"/>
      <c r="B2267" s="3" t="n">
        <f aca="false">DATE(2013,7,9)</f>
        <v>0</v>
      </c>
      <c r="C2267" s="3" t="n">
        <v>41464</v>
      </c>
      <c r="D2267" s="2" t="s">
        <v>17314</v>
      </c>
      <c r="F2267" s="2" t="s">
        <v>17315</v>
      </c>
      <c r="G2267" s="2" t="s">
        <v>17316</v>
      </c>
      <c r="H2267" s="2" t="s">
        <v>63</v>
      </c>
      <c r="I2267" s="2" t="s">
        <v>568</v>
      </c>
      <c r="J2267" s="2" t="s">
        <v>65</v>
      </c>
      <c r="K2267" s="2" t="s">
        <v>17314</v>
      </c>
      <c r="L2267" s="2" t="s">
        <v>568</v>
      </c>
      <c r="M2267" s="2" t="s">
        <v>63</v>
      </c>
      <c r="N2267" s="2" t="s">
        <v>17317</v>
      </c>
      <c r="O2267" s="2"/>
      <c r="P2267" s="2" t="s">
        <v>37</v>
      </c>
      <c r="Q2267" s="4" t="n">
        <v>2834</v>
      </c>
      <c r="R2267" s="2" t="s">
        <v>56</v>
      </c>
      <c r="S2267" s="2" t="s">
        <v>2265</v>
      </c>
      <c r="T2267" s="2" t="s">
        <v>40</v>
      </c>
      <c r="U2267" s="2" t="s">
        <v>17318</v>
      </c>
      <c r="V2267" s="2"/>
      <c r="W2267" s="2" t="s">
        <v>42</v>
      </c>
      <c r="X2267" s="2" t="s">
        <v>43</v>
      </c>
      <c r="Y2267" s="2" t="s">
        <v>37</v>
      </c>
      <c r="Z2267" s="2" t="s">
        <v>44</v>
      </c>
      <c r="AA2267" s="2" t="s">
        <v>17319</v>
      </c>
      <c r="AB2267" s="2"/>
      <c r="AC2267" s="2" t="s">
        <v>17320</v>
      </c>
      <c r="AD2267" s="2" t="s">
        <v>46</v>
      </c>
    </row>
    <row r="2268" customFormat="false" ht="15.7" hidden="false" customHeight="true" outlineLevel="0" collapsed="false">
      <c r="A2268" s="2"/>
      <c r="B2268" s="3" t="n">
        <f aca="false">DATE(2013,7,10)</f>
        <v>0</v>
      </c>
      <c r="C2268" s="3" t="n">
        <v>41465</v>
      </c>
      <c r="D2268" s="2" t="s">
        <v>17321</v>
      </c>
      <c r="F2268" s="2" t="s">
        <v>17322</v>
      </c>
      <c r="G2268" s="2" t="s">
        <v>17323</v>
      </c>
      <c r="H2268" s="2" t="s">
        <v>582</v>
      </c>
      <c r="I2268" s="2" t="s">
        <v>51</v>
      </c>
      <c r="J2268" s="2" t="s">
        <v>13785</v>
      </c>
      <c r="K2268" s="2" t="s">
        <v>17324</v>
      </c>
      <c r="L2268" s="2" t="s">
        <v>51</v>
      </c>
      <c r="M2268" s="2" t="s">
        <v>582</v>
      </c>
      <c r="N2268" s="2" t="s">
        <v>17325</v>
      </c>
      <c r="O2268" s="2"/>
      <c r="P2268" s="2" t="s">
        <v>37</v>
      </c>
      <c r="Q2268" s="4" t="n">
        <v>8731</v>
      </c>
      <c r="R2268" s="2" t="s">
        <v>56</v>
      </c>
      <c r="S2268" s="2" t="s">
        <v>2265</v>
      </c>
      <c r="T2268" s="2" t="s">
        <v>40</v>
      </c>
      <c r="U2268" s="2" t="s">
        <v>17326</v>
      </c>
      <c r="V2268" s="2"/>
      <c r="W2268" s="2" t="s">
        <v>42</v>
      </c>
      <c r="X2268" s="2" t="s">
        <v>43</v>
      </c>
      <c r="Y2268" s="2" t="s">
        <v>37</v>
      </c>
      <c r="Z2268" s="2" t="s">
        <v>44</v>
      </c>
      <c r="AA2268" s="2"/>
      <c r="AB2268" s="2"/>
      <c r="AC2268" s="2" t="s">
        <v>17327</v>
      </c>
      <c r="AD2268" s="2" t="s">
        <v>46</v>
      </c>
    </row>
    <row r="2269" customFormat="false" ht="15.7" hidden="false" customHeight="true" outlineLevel="0" collapsed="false">
      <c r="A2269" s="2"/>
      <c r="B2269" s="3" t="n">
        <f aca="false">DATE(2013,7,10)</f>
        <v>0</v>
      </c>
      <c r="C2269" s="3" t="n">
        <v>41465</v>
      </c>
      <c r="D2269" s="2" t="s">
        <v>17328</v>
      </c>
      <c r="F2269" s="2" t="s">
        <v>17329</v>
      </c>
      <c r="G2269" s="2" t="s">
        <v>17330</v>
      </c>
      <c r="H2269" s="2" t="s">
        <v>17331</v>
      </c>
      <c r="I2269" s="2" t="s">
        <v>34</v>
      </c>
      <c r="J2269" s="2" t="s">
        <v>35</v>
      </c>
      <c r="K2269" s="2" t="s">
        <v>17332</v>
      </c>
      <c r="L2269" s="2" t="s">
        <v>219</v>
      </c>
      <c r="M2269" s="2" t="s">
        <v>17333</v>
      </c>
      <c r="N2269" s="2" t="s">
        <v>17334</v>
      </c>
      <c r="O2269" s="2"/>
      <c r="P2269" s="2" t="s">
        <v>37</v>
      </c>
      <c r="Q2269" s="4" t="n">
        <v>3612</v>
      </c>
      <c r="R2269" s="2" t="s">
        <v>38</v>
      </c>
      <c r="S2269" s="2" t="s">
        <v>39</v>
      </c>
      <c r="T2269" s="2" t="s">
        <v>40</v>
      </c>
      <c r="U2269" s="2" t="s">
        <v>17335</v>
      </c>
      <c r="V2269" s="2"/>
      <c r="W2269" s="2" t="s">
        <v>42</v>
      </c>
      <c r="X2269" s="2" t="s">
        <v>43</v>
      </c>
      <c r="Y2269" s="2" t="s">
        <v>37</v>
      </c>
      <c r="Z2269" s="2" t="s">
        <v>44</v>
      </c>
      <c r="AA2269" s="2"/>
      <c r="AB2269" s="2"/>
      <c r="AC2269" s="2" t="s">
        <v>17336</v>
      </c>
      <c r="AD2269" s="2" t="s">
        <v>46</v>
      </c>
    </row>
    <row r="2270" customFormat="false" ht="15.7" hidden="false" customHeight="true" outlineLevel="0" collapsed="false">
      <c r="A2270" s="2"/>
      <c r="B2270" s="3" t="n">
        <f aca="false">DATE(2013,7,10)</f>
        <v>0</v>
      </c>
      <c r="C2270" s="3" t="n">
        <v>41465</v>
      </c>
      <c r="D2270" s="2" t="s">
        <v>17337</v>
      </c>
      <c r="F2270" s="2" t="s">
        <v>347</v>
      </c>
      <c r="G2270" s="2" t="s">
        <v>17338</v>
      </c>
      <c r="H2270" s="2" t="s">
        <v>63</v>
      </c>
      <c r="I2270" s="2" t="s">
        <v>1080</v>
      </c>
      <c r="J2270" s="2" t="s">
        <v>35</v>
      </c>
      <c r="K2270" s="2" t="s">
        <v>17339</v>
      </c>
      <c r="L2270" s="2" t="s">
        <v>14116</v>
      </c>
      <c r="M2270" s="2" t="s">
        <v>63</v>
      </c>
      <c r="N2270" s="2" t="s">
        <v>17340</v>
      </c>
      <c r="O2270" s="2"/>
      <c r="P2270" s="2" t="s">
        <v>37</v>
      </c>
      <c r="Q2270" s="4" t="n">
        <v>2834</v>
      </c>
      <c r="R2270" s="2" t="s">
        <v>2201</v>
      </c>
      <c r="S2270" s="2" t="s">
        <v>39</v>
      </c>
      <c r="T2270" s="2" t="s">
        <v>40</v>
      </c>
      <c r="U2270" s="2" t="s">
        <v>17341</v>
      </c>
      <c r="V2270" s="2"/>
      <c r="W2270" s="2" t="s">
        <v>1050</v>
      </c>
      <c r="X2270" s="2" t="s">
        <v>43</v>
      </c>
      <c r="Y2270" s="2" t="s">
        <v>37</v>
      </c>
      <c r="Z2270" s="2" t="s">
        <v>44</v>
      </c>
      <c r="AA2270" s="2" t="s">
        <v>17342</v>
      </c>
      <c r="AB2270" s="2"/>
      <c r="AC2270" s="2" t="s">
        <v>17343</v>
      </c>
      <c r="AD2270" s="2" t="s">
        <v>46</v>
      </c>
    </row>
    <row r="2271" customFormat="false" ht="15.7" hidden="false" customHeight="true" outlineLevel="0" collapsed="false">
      <c r="A2271" s="2"/>
      <c r="B2271" s="3" t="n">
        <f aca="false">DATE(2013,7,10)</f>
        <v>0</v>
      </c>
      <c r="C2271" s="3" t="n">
        <v>41465</v>
      </c>
      <c r="D2271" s="2" t="s">
        <v>17344</v>
      </c>
      <c r="F2271" s="2" t="s">
        <v>17345</v>
      </c>
      <c r="G2271" s="2" t="s">
        <v>17346</v>
      </c>
      <c r="H2271" s="2" t="s">
        <v>17347</v>
      </c>
      <c r="I2271" s="2" t="s">
        <v>17348</v>
      </c>
      <c r="J2271" s="2" t="s">
        <v>35</v>
      </c>
      <c r="K2271" s="2" t="s">
        <v>17349</v>
      </c>
      <c r="L2271" s="2" t="s">
        <v>17348</v>
      </c>
      <c r="M2271" s="2" t="s">
        <v>17350</v>
      </c>
      <c r="N2271" s="2" t="s">
        <v>17351</v>
      </c>
      <c r="O2271" s="2"/>
      <c r="P2271" s="2" t="s">
        <v>37</v>
      </c>
      <c r="Q2271" s="4" t="n">
        <v>8731</v>
      </c>
      <c r="R2271" s="2" t="s">
        <v>17352</v>
      </c>
      <c r="S2271" s="2" t="s">
        <v>39</v>
      </c>
      <c r="T2271" s="2" t="s">
        <v>403</v>
      </c>
      <c r="U2271" s="2" t="s">
        <v>17353</v>
      </c>
      <c r="V2271" s="2"/>
      <c r="W2271" s="2" t="s">
        <v>42</v>
      </c>
      <c r="X2271" s="2" t="s">
        <v>46</v>
      </c>
      <c r="Y2271" s="2" t="s">
        <v>37</v>
      </c>
      <c r="Z2271" s="2" t="s">
        <v>362</v>
      </c>
      <c r="AA2271" s="2"/>
      <c r="AB2271" s="2"/>
      <c r="AC2271" s="2" t="s">
        <v>17354</v>
      </c>
      <c r="AD2271" s="2" t="s">
        <v>46</v>
      </c>
    </row>
    <row r="2272" customFormat="false" ht="15.7" hidden="false" customHeight="true" outlineLevel="0" collapsed="false">
      <c r="A2272" s="2"/>
      <c r="B2272" s="3" t="n">
        <f aca="false">DATE(2013,7,10)</f>
        <v>0</v>
      </c>
      <c r="C2272" s="3" t="n">
        <v>41465</v>
      </c>
      <c r="D2272" s="2" t="s">
        <v>17355</v>
      </c>
      <c r="F2272" s="2" t="s">
        <v>17356</v>
      </c>
      <c r="G2272" s="2" t="s">
        <v>17357</v>
      </c>
      <c r="H2272" s="2" t="s">
        <v>130</v>
      </c>
      <c r="I2272" s="2" t="s">
        <v>51</v>
      </c>
      <c r="J2272" s="2" t="s">
        <v>17358</v>
      </c>
      <c r="K2272" s="2" t="s">
        <v>17355</v>
      </c>
      <c r="L2272" s="2" t="s">
        <v>51</v>
      </c>
      <c r="M2272" s="2" t="s">
        <v>130</v>
      </c>
      <c r="N2272" s="2" t="s">
        <v>17359</v>
      </c>
      <c r="O2272" s="2"/>
      <c r="P2272" s="2" t="s">
        <v>37</v>
      </c>
      <c r="Q2272" s="4" t="n">
        <v>2834</v>
      </c>
      <c r="R2272" s="2" t="s">
        <v>56</v>
      </c>
      <c r="S2272" s="2" t="s">
        <v>2265</v>
      </c>
      <c r="T2272" s="2" t="s">
        <v>40</v>
      </c>
      <c r="U2272" s="2" t="s">
        <v>17360</v>
      </c>
      <c r="V2272" s="2"/>
      <c r="W2272" s="2" t="s">
        <v>42</v>
      </c>
      <c r="X2272" s="2" t="s">
        <v>43</v>
      </c>
      <c r="Y2272" s="2" t="s">
        <v>37</v>
      </c>
      <c r="Z2272" s="2" t="s">
        <v>44</v>
      </c>
      <c r="AA2272" s="2"/>
      <c r="AB2272" s="2"/>
      <c r="AC2272" s="2" t="s">
        <v>17361</v>
      </c>
      <c r="AD2272" s="2" t="s">
        <v>46</v>
      </c>
    </row>
    <row r="2273" customFormat="false" ht="15.7" hidden="false" customHeight="true" outlineLevel="0" collapsed="false">
      <c r="A2273" s="2"/>
      <c r="B2273" s="3" t="n">
        <f aca="false">DATE(2013,7,15)</f>
        <v>0</v>
      </c>
      <c r="C2273" s="3" t="n">
        <v>41470</v>
      </c>
      <c r="D2273" s="2" t="s">
        <v>17362</v>
      </c>
      <c r="F2273" s="2" t="s">
        <v>17363</v>
      </c>
      <c r="G2273" s="2" t="s">
        <v>17364</v>
      </c>
      <c r="H2273" s="2" t="s">
        <v>368</v>
      </c>
      <c r="I2273" s="2" t="s">
        <v>965</v>
      </c>
      <c r="J2273" s="2" t="s">
        <v>331</v>
      </c>
      <c r="K2273" s="2" t="s">
        <v>17365</v>
      </c>
      <c r="L2273" s="2" t="s">
        <v>17366</v>
      </c>
      <c r="M2273" s="2" t="s">
        <v>368</v>
      </c>
      <c r="N2273" s="2" t="s">
        <v>17367</v>
      </c>
      <c r="O2273" s="2"/>
      <c r="P2273" s="2" t="s">
        <v>37</v>
      </c>
      <c r="Q2273" s="4" t="n">
        <v>2836</v>
      </c>
      <c r="R2273" s="2" t="s">
        <v>136</v>
      </c>
      <c r="S2273" s="2" t="s">
        <v>39</v>
      </c>
      <c r="T2273" s="2" t="s">
        <v>40</v>
      </c>
      <c r="U2273" s="2" t="s">
        <v>17368</v>
      </c>
      <c r="V2273" s="2"/>
      <c r="W2273" s="2" t="s">
        <v>42</v>
      </c>
      <c r="X2273" s="2" t="s">
        <v>43</v>
      </c>
      <c r="Y2273" s="2" t="s">
        <v>37</v>
      </c>
      <c r="Z2273" s="2" t="s">
        <v>44</v>
      </c>
      <c r="AA2273" s="2"/>
      <c r="AB2273" s="2"/>
      <c r="AC2273" s="2" t="s">
        <v>17369</v>
      </c>
      <c r="AD2273" s="2" t="s">
        <v>46</v>
      </c>
    </row>
    <row r="2274" customFormat="false" ht="15.7" hidden="false" customHeight="true" outlineLevel="0" collapsed="false">
      <c r="A2274" s="2"/>
      <c r="B2274" s="3" t="n">
        <f aca="false">DATE(2013,7,15)</f>
        <v>0</v>
      </c>
      <c r="C2274" s="3" t="n">
        <v>41470</v>
      </c>
      <c r="D2274" s="2" t="s">
        <v>17370</v>
      </c>
      <c r="F2274" s="2" t="s">
        <v>17371</v>
      </c>
      <c r="G2274" s="2" t="s">
        <v>17372</v>
      </c>
      <c r="H2274" s="2" t="s">
        <v>717</v>
      </c>
      <c r="I2274" s="2" t="s">
        <v>487</v>
      </c>
      <c r="J2274" s="2" t="s">
        <v>795</v>
      </c>
      <c r="K2274" s="2" t="s">
        <v>17370</v>
      </c>
      <c r="L2274" s="2" t="s">
        <v>487</v>
      </c>
      <c r="M2274" s="2" t="s">
        <v>717</v>
      </c>
      <c r="N2274" s="2" t="s">
        <v>17373</v>
      </c>
      <c r="O2274" s="2"/>
      <c r="P2274" s="2" t="s">
        <v>37</v>
      </c>
      <c r="Q2274" s="4" t="n">
        <v>2836</v>
      </c>
      <c r="R2274" s="2" t="s">
        <v>136</v>
      </c>
      <c r="S2274" s="2" t="s">
        <v>39</v>
      </c>
      <c r="T2274" s="2" t="s">
        <v>403</v>
      </c>
      <c r="U2274" s="2" t="s">
        <v>17374</v>
      </c>
      <c r="V2274" s="2"/>
      <c r="W2274" s="2" t="s">
        <v>42</v>
      </c>
      <c r="X2274" s="2" t="s">
        <v>43</v>
      </c>
      <c r="Y2274" s="2" t="s">
        <v>37</v>
      </c>
      <c r="Z2274" s="2" t="s">
        <v>44</v>
      </c>
      <c r="AA2274" s="2"/>
      <c r="AB2274" s="2"/>
      <c r="AC2274" s="2" t="s">
        <v>17375</v>
      </c>
      <c r="AD2274" s="2" t="s">
        <v>46</v>
      </c>
    </row>
    <row r="2275" customFormat="false" ht="15.7" hidden="false" customHeight="true" outlineLevel="0" collapsed="false">
      <c r="A2275" s="2"/>
      <c r="B2275" s="3" t="n">
        <f aca="false">DATE(2013,7,16)</f>
        <v>0</v>
      </c>
      <c r="C2275" s="3" t="n">
        <v>41471</v>
      </c>
      <c r="D2275" s="2" t="s">
        <v>17376</v>
      </c>
      <c r="F2275" s="2" t="s">
        <v>17377</v>
      </c>
      <c r="G2275" s="2" t="s">
        <v>17378</v>
      </c>
      <c r="H2275" s="2" t="s">
        <v>717</v>
      </c>
      <c r="I2275" s="2" t="s">
        <v>1262</v>
      </c>
      <c r="J2275" s="2" t="s">
        <v>65</v>
      </c>
      <c r="K2275" s="2" t="s">
        <v>17376</v>
      </c>
      <c r="L2275" s="2" t="s">
        <v>1262</v>
      </c>
      <c r="M2275" s="2" t="s">
        <v>717</v>
      </c>
      <c r="N2275" s="2" t="s">
        <v>17379</v>
      </c>
      <c r="O2275" s="2"/>
      <c r="P2275" s="2" t="s">
        <v>37</v>
      </c>
      <c r="Q2275" s="4" t="n">
        <v>3845</v>
      </c>
      <c r="R2275" s="2" t="s">
        <v>136</v>
      </c>
      <c r="S2275" s="2" t="s">
        <v>39</v>
      </c>
      <c r="T2275" s="2" t="s">
        <v>40</v>
      </c>
      <c r="U2275" s="2" t="s">
        <v>17380</v>
      </c>
      <c r="V2275" s="2"/>
      <c r="W2275" s="2" t="s">
        <v>82</v>
      </c>
      <c r="X2275" s="2" t="s">
        <v>43</v>
      </c>
      <c r="Y2275" s="2" t="s">
        <v>37</v>
      </c>
      <c r="Z2275" s="2" t="s">
        <v>44</v>
      </c>
      <c r="AA2275" s="2" t="s">
        <v>17381</v>
      </c>
      <c r="AB2275" s="2"/>
      <c r="AC2275" s="2" t="s">
        <v>17382</v>
      </c>
      <c r="AD2275" s="2" t="s">
        <v>46</v>
      </c>
    </row>
    <row r="2276" customFormat="false" ht="15.7" hidden="false" customHeight="true" outlineLevel="0" collapsed="false">
      <c r="A2276" s="2"/>
      <c r="B2276" s="3" t="n">
        <f aca="false">DATE(2013,7,16)</f>
        <v>0</v>
      </c>
      <c r="C2276" s="3" t="n">
        <v>41471</v>
      </c>
      <c r="D2276" s="2" t="s">
        <v>17383</v>
      </c>
      <c r="F2276" s="2" t="s">
        <v>17384</v>
      </c>
      <c r="G2276" s="2" t="s">
        <v>17385</v>
      </c>
      <c r="H2276" s="2" t="s">
        <v>130</v>
      </c>
      <c r="I2276" s="2" t="s">
        <v>410</v>
      </c>
      <c r="J2276" s="2" t="s">
        <v>258</v>
      </c>
      <c r="K2276" s="2" t="s">
        <v>17383</v>
      </c>
      <c r="L2276" s="2" t="s">
        <v>410</v>
      </c>
      <c r="M2276" s="2" t="s">
        <v>130</v>
      </c>
      <c r="N2276" s="2" t="s">
        <v>17386</v>
      </c>
      <c r="O2276" s="2"/>
      <c r="P2276" s="2" t="s">
        <v>37</v>
      </c>
      <c r="Q2276" s="4" t="n">
        <v>2836</v>
      </c>
      <c r="R2276" s="2" t="s">
        <v>136</v>
      </c>
      <c r="S2276" s="2" t="s">
        <v>39</v>
      </c>
      <c r="T2276" s="2" t="s">
        <v>40</v>
      </c>
      <c r="U2276" s="2" t="s">
        <v>17387</v>
      </c>
      <c r="V2276" s="2"/>
      <c r="W2276" s="2" t="s">
        <v>17388</v>
      </c>
      <c r="X2276" s="2" t="s">
        <v>43</v>
      </c>
      <c r="Y2276" s="2" t="s">
        <v>37</v>
      </c>
      <c r="Z2276" s="2" t="s">
        <v>44</v>
      </c>
      <c r="AA2276" s="2" t="s">
        <v>17389</v>
      </c>
      <c r="AB2276" s="2"/>
      <c r="AC2276" s="2" t="s">
        <v>17390</v>
      </c>
      <c r="AD2276" s="2" t="s">
        <v>46</v>
      </c>
    </row>
    <row r="2277" customFormat="false" ht="15.7" hidden="false" customHeight="true" outlineLevel="0" collapsed="false">
      <c r="A2277" s="2"/>
      <c r="B2277" s="3" t="n">
        <f aca="false">DATE(2013,7,19)</f>
        <v>0</v>
      </c>
      <c r="C2277" s="3" t="n">
        <v>41474</v>
      </c>
      <c r="D2277" s="2" t="s">
        <v>17391</v>
      </c>
      <c r="F2277" s="2" t="s">
        <v>17392</v>
      </c>
      <c r="G2277" s="2" t="s">
        <v>17393</v>
      </c>
      <c r="H2277" s="2" t="s">
        <v>17394</v>
      </c>
      <c r="I2277" s="2" t="s">
        <v>2294</v>
      </c>
      <c r="J2277" s="2" t="s">
        <v>35</v>
      </c>
      <c r="K2277" s="2" t="s">
        <v>17395</v>
      </c>
      <c r="L2277" s="2" t="s">
        <v>2294</v>
      </c>
      <c r="M2277" s="2" t="s">
        <v>6305</v>
      </c>
      <c r="N2277" s="2" t="s">
        <v>17396</v>
      </c>
      <c r="O2277" s="2" t="s">
        <v>17397</v>
      </c>
      <c r="P2277" s="2" t="s">
        <v>37</v>
      </c>
      <c r="Q2277" s="4" t="n">
        <v>8731</v>
      </c>
      <c r="R2277" s="2" t="s">
        <v>450</v>
      </c>
      <c r="S2277" s="2" t="s">
        <v>39</v>
      </c>
      <c r="T2277" s="2" t="s">
        <v>40</v>
      </c>
      <c r="U2277" s="2" t="s">
        <v>17398</v>
      </c>
      <c r="V2277" s="2"/>
      <c r="W2277" s="2" t="s">
        <v>42</v>
      </c>
      <c r="X2277" s="2" t="s">
        <v>46</v>
      </c>
      <c r="Y2277" s="2" t="s">
        <v>37</v>
      </c>
      <c r="Z2277" s="2" t="s">
        <v>362</v>
      </c>
      <c r="AA2277" s="2"/>
      <c r="AB2277" s="2" t="s">
        <v>17399</v>
      </c>
      <c r="AC2277" s="2" t="s">
        <v>17400</v>
      </c>
      <c r="AD2277" s="2" t="s">
        <v>46</v>
      </c>
    </row>
    <row r="2278" customFormat="false" ht="15.7" hidden="false" customHeight="true" outlineLevel="0" collapsed="false">
      <c r="A2278" s="2"/>
      <c r="B2278" s="3" t="n">
        <f aca="false">DATE(2013,7,19)</f>
        <v>0</v>
      </c>
      <c r="C2278" s="3" t="n">
        <v>41474</v>
      </c>
      <c r="D2278" s="2" t="s">
        <v>17401</v>
      </c>
      <c r="F2278" s="2" t="s">
        <v>17402</v>
      </c>
      <c r="G2278" s="2" t="s">
        <v>17403</v>
      </c>
      <c r="H2278" s="2" t="s">
        <v>4561</v>
      </c>
      <c r="I2278" s="2" t="s">
        <v>17404</v>
      </c>
      <c r="J2278" s="2" t="s">
        <v>35</v>
      </c>
      <c r="K2278" s="2" t="s">
        <v>17405</v>
      </c>
      <c r="L2278" s="2" t="s">
        <v>17404</v>
      </c>
      <c r="M2278" s="2" t="s">
        <v>3178</v>
      </c>
      <c r="N2278" s="2" t="s">
        <v>17406</v>
      </c>
      <c r="O2278" s="2"/>
      <c r="P2278" s="2" t="s">
        <v>37</v>
      </c>
      <c r="Q2278" s="4" t="n">
        <v>8731</v>
      </c>
      <c r="R2278" s="2" t="s">
        <v>136</v>
      </c>
      <c r="S2278" s="2" t="s">
        <v>39</v>
      </c>
      <c r="T2278" s="2" t="s">
        <v>40</v>
      </c>
      <c r="U2278" s="2" t="s">
        <v>17407</v>
      </c>
      <c r="V2278" s="2"/>
      <c r="W2278" s="2" t="s">
        <v>15225</v>
      </c>
      <c r="X2278" s="2" t="s">
        <v>43</v>
      </c>
      <c r="Y2278" s="2" t="s">
        <v>37</v>
      </c>
      <c r="Z2278" s="2" t="s">
        <v>44</v>
      </c>
      <c r="AA2278" s="2"/>
      <c r="AB2278" s="2"/>
      <c r="AC2278" s="2" t="s">
        <v>17408</v>
      </c>
      <c r="AD2278" s="2" t="s">
        <v>46</v>
      </c>
    </row>
    <row r="2279" customFormat="false" ht="15.7" hidden="false" customHeight="true" outlineLevel="0" collapsed="false">
      <c r="A2279" s="2"/>
      <c r="B2279" s="3" t="n">
        <f aca="false">DATE(2013,7,19)</f>
        <v>0</v>
      </c>
      <c r="C2279" s="3" t="n">
        <v>41474</v>
      </c>
      <c r="D2279" s="2" t="s">
        <v>17409</v>
      </c>
      <c r="F2279" s="2" t="s">
        <v>9152</v>
      </c>
      <c r="G2279" s="2" t="s">
        <v>17410</v>
      </c>
      <c r="H2279" s="2" t="s">
        <v>305</v>
      </c>
      <c r="I2279" s="2" t="s">
        <v>51</v>
      </c>
      <c r="J2279" s="2" t="s">
        <v>2633</v>
      </c>
      <c r="K2279" s="2" t="s">
        <v>17409</v>
      </c>
      <c r="L2279" s="2" t="s">
        <v>51</v>
      </c>
      <c r="M2279" s="2" t="s">
        <v>305</v>
      </c>
      <c r="N2279" s="2" t="s">
        <v>17411</v>
      </c>
      <c r="O2279" s="2"/>
      <c r="P2279" s="2" t="s">
        <v>37</v>
      </c>
      <c r="Q2279" s="4" t="n">
        <v>2836</v>
      </c>
      <c r="R2279" s="2" t="s">
        <v>56</v>
      </c>
      <c r="S2279" s="2" t="s">
        <v>2265</v>
      </c>
      <c r="T2279" s="2" t="s">
        <v>40</v>
      </c>
      <c r="U2279" s="2" t="s">
        <v>17412</v>
      </c>
      <c r="V2279" s="2"/>
      <c r="W2279" s="2" t="s">
        <v>42</v>
      </c>
      <c r="X2279" s="2" t="s">
        <v>43</v>
      </c>
      <c r="Y2279" s="2" t="s">
        <v>37</v>
      </c>
      <c r="Z2279" s="2" t="s">
        <v>44</v>
      </c>
      <c r="AA2279" s="2"/>
      <c r="AB2279" s="2"/>
      <c r="AC2279" s="2" t="s">
        <v>17413</v>
      </c>
      <c r="AD2279" s="2" t="s">
        <v>46</v>
      </c>
    </row>
    <row r="2280" customFormat="false" ht="15.7" hidden="false" customHeight="true" outlineLevel="0" collapsed="false">
      <c r="A2280" s="2"/>
      <c r="B2280" s="3" t="n">
        <f aca="false">DATE(2013,7,19)</f>
        <v>0</v>
      </c>
      <c r="C2280" s="3" t="n">
        <v>41474</v>
      </c>
      <c r="D2280" s="2" t="s">
        <v>17414</v>
      </c>
      <c r="F2280" s="2" t="s">
        <v>17415</v>
      </c>
      <c r="G2280" s="2" t="s">
        <v>17416</v>
      </c>
      <c r="H2280" s="2" t="s">
        <v>928</v>
      </c>
      <c r="I2280" s="2" t="s">
        <v>51</v>
      </c>
      <c r="J2280" s="2" t="s">
        <v>171</v>
      </c>
      <c r="K2280" s="2" t="s">
        <v>17414</v>
      </c>
      <c r="L2280" s="2" t="s">
        <v>51</v>
      </c>
      <c r="M2280" s="2" t="s">
        <v>928</v>
      </c>
      <c r="N2280" s="2" t="s">
        <v>17417</v>
      </c>
      <c r="O2280" s="2"/>
      <c r="P2280" s="2" t="s">
        <v>37</v>
      </c>
      <c r="Q2280" s="4" t="n">
        <v>2836</v>
      </c>
      <c r="R2280" s="2" t="s">
        <v>56</v>
      </c>
      <c r="S2280" s="2" t="s">
        <v>92</v>
      </c>
      <c r="T2280" s="2" t="s">
        <v>40</v>
      </c>
      <c r="U2280" s="2" t="s">
        <v>17418</v>
      </c>
      <c r="V2280" s="2"/>
      <c r="W2280" s="2" t="s">
        <v>42</v>
      </c>
      <c r="X2280" s="2" t="s">
        <v>43</v>
      </c>
      <c r="Y2280" s="2" t="s">
        <v>37</v>
      </c>
      <c r="Z2280" s="2" t="s">
        <v>44</v>
      </c>
      <c r="AA2280" s="2"/>
      <c r="AB2280" s="2"/>
      <c r="AC2280" s="2" t="s">
        <v>17419</v>
      </c>
      <c r="AD2280" s="2" t="s">
        <v>46</v>
      </c>
    </row>
    <row r="2281" customFormat="false" ht="15.7" hidden="false" customHeight="true" outlineLevel="0" collapsed="false">
      <c r="A2281" s="2"/>
      <c r="B2281" s="3" t="n">
        <f aca="false">DATE(2013,7,20)</f>
        <v>0</v>
      </c>
      <c r="C2281" s="3" t="n">
        <v>41475</v>
      </c>
      <c r="D2281" s="2" t="s">
        <v>17420</v>
      </c>
      <c r="F2281" s="2" t="s">
        <v>17421</v>
      </c>
      <c r="G2281" s="2" t="s">
        <v>17422</v>
      </c>
      <c r="H2281" s="2" t="s">
        <v>17423</v>
      </c>
      <c r="I2281" s="2" t="s">
        <v>1779</v>
      </c>
      <c r="J2281" s="2" t="s">
        <v>35</v>
      </c>
      <c r="K2281" s="2" t="s">
        <v>17420</v>
      </c>
      <c r="L2281" s="2" t="s">
        <v>1779</v>
      </c>
      <c r="M2281" s="2" t="s">
        <v>17423</v>
      </c>
      <c r="N2281" s="2" t="s">
        <v>17424</v>
      </c>
      <c r="O2281" s="2" t="s">
        <v>17425</v>
      </c>
      <c r="P2281" s="2" t="s">
        <v>37</v>
      </c>
      <c r="Q2281" s="4" t="n">
        <v>3632</v>
      </c>
      <c r="R2281" s="2" t="s">
        <v>402</v>
      </c>
      <c r="S2281" s="2" t="s">
        <v>39</v>
      </c>
      <c r="T2281" s="2" t="s">
        <v>40</v>
      </c>
      <c r="U2281" s="2" t="s">
        <v>17426</v>
      </c>
      <c r="V2281" s="2"/>
      <c r="W2281" s="2" t="s">
        <v>697</v>
      </c>
      <c r="X2281" s="2" t="s">
        <v>46</v>
      </c>
      <c r="Y2281" s="2" t="s">
        <v>37</v>
      </c>
      <c r="Z2281" s="2" t="s">
        <v>362</v>
      </c>
      <c r="AA2281" s="2"/>
      <c r="AB2281" s="2" t="s">
        <v>17427</v>
      </c>
      <c r="AC2281" s="2" t="s">
        <v>17428</v>
      </c>
      <c r="AD2281" s="2" t="s">
        <v>46</v>
      </c>
    </row>
    <row r="2282" customFormat="false" ht="15.7" hidden="false" customHeight="true" outlineLevel="0" collapsed="false">
      <c r="A2282" s="2"/>
      <c r="B2282" s="3" t="n">
        <f aca="false">DATE(2013,7,22)</f>
        <v>0</v>
      </c>
      <c r="C2282" s="3" t="n">
        <v>41477</v>
      </c>
      <c r="D2282" s="2" t="s">
        <v>17429</v>
      </c>
      <c r="F2282" s="2" t="s">
        <v>17430</v>
      </c>
      <c r="G2282" s="2" t="s">
        <v>17431</v>
      </c>
      <c r="H2282" s="2" t="s">
        <v>17432</v>
      </c>
      <c r="I2282" s="2" t="s">
        <v>369</v>
      </c>
      <c r="J2282" s="2" t="s">
        <v>35</v>
      </c>
      <c r="K2282" s="2" t="s">
        <v>17433</v>
      </c>
      <c r="L2282" s="2" t="s">
        <v>369</v>
      </c>
      <c r="M2282" s="2" t="s">
        <v>684</v>
      </c>
      <c r="N2282" s="2" t="s">
        <v>17434</v>
      </c>
      <c r="O2282" s="2"/>
      <c r="P2282" s="2" t="s">
        <v>37</v>
      </c>
      <c r="Q2282" s="4" t="n">
        <v>8731</v>
      </c>
      <c r="R2282" s="2" t="s">
        <v>136</v>
      </c>
      <c r="S2282" s="2" t="s">
        <v>39</v>
      </c>
      <c r="T2282" s="2" t="s">
        <v>40</v>
      </c>
      <c r="U2282" s="2" t="s">
        <v>17435</v>
      </c>
      <c r="V2282" s="2"/>
      <c r="W2282" s="2" t="s">
        <v>42</v>
      </c>
      <c r="X2282" s="2" t="s">
        <v>43</v>
      </c>
      <c r="Y2282" s="2" t="s">
        <v>37</v>
      </c>
      <c r="Z2282" s="2" t="s">
        <v>44</v>
      </c>
      <c r="AA2282" s="2"/>
      <c r="AB2282" s="2"/>
      <c r="AC2282" s="2" t="s">
        <v>17436</v>
      </c>
      <c r="AD2282" s="2" t="s">
        <v>46</v>
      </c>
    </row>
    <row r="2283" customFormat="false" ht="15.7" hidden="false" customHeight="true" outlineLevel="0" collapsed="false">
      <c r="A2283" s="2"/>
      <c r="B2283" s="3" t="n">
        <f aca="false">DATE(2013,7,23)</f>
        <v>0</v>
      </c>
      <c r="C2283" s="3" t="n">
        <v>41478</v>
      </c>
      <c r="D2283" s="2" t="s">
        <v>17437</v>
      </c>
      <c r="F2283" s="2" t="s">
        <v>17438</v>
      </c>
      <c r="G2283" s="2" t="s">
        <v>17439</v>
      </c>
      <c r="H2283" s="2" t="s">
        <v>305</v>
      </c>
      <c r="I2283" s="2" t="s">
        <v>17440</v>
      </c>
      <c r="J2283" s="2" t="s">
        <v>35</v>
      </c>
      <c r="K2283" s="2" t="s">
        <v>17437</v>
      </c>
      <c r="L2283" s="2" t="s">
        <v>17440</v>
      </c>
      <c r="M2283" s="2" t="s">
        <v>305</v>
      </c>
      <c r="N2283" s="2" t="s">
        <v>17441</v>
      </c>
      <c r="O2283" s="2"/>
      <c r="P2283" s="2" t="s">
        <v>37</v>
      </c>
      <c r="Q2283" s="4" t="n">
        <v>2836</v>
      </c>
      <c r="R2283" s="2" t="s">
        <v>136</v>
      </c>
      <c r="S2283" s="2" t="s">
        <v>39</v>
      </c>
      <c r="T2283" s="2" t="s">
        <v>40</v>
      </c>
      <c r="U2283" s="2" t="s">
        <v>17442</v>
      </c>
      <c r="V2283" s="2"/>
      <c r="W2283" s="2" t="s">
        <v>42</v>
      </c>
      <c r="X2283" s="2" t="s">
        <v>43</v>
      </c>
      <c r="Y2283" s="2" t="s">
        <v>37</v>
      </c>
      <c r="Z2283" s="2" t="s">
        <v>44</v>
      </c>
      <c r="AA2283" s="2" t="s">
        <v>17443</v>
      </c>
      <c r="AB2283" s="2"/>
      <c r="AC2283" s="2" t="s">
        <v>17444</v>
      </c>
      <c r="AD2283" s="2" t="s">
        <v>46</v>
      </c>
    </row>
    <row r="2284" customFormat="false" ht="15.7" hidden="false" customHeight="true" outlineLevel="0" collapsed="false">
      <c r="A2284" s="2"/>
      <c r="B2284" s="3" t="n">
        <f aca="false">DATE(2013,7,23)</f>
        <v>0</v>
      </c>
      <c r="C2284" s="3" t="n">
        <v>41478</v>
      </c>
      <c r="D2284" s="2" t="s">
        <v>17445</v>
      </c>
      <c r="F2284" s="2" t="s">
        <v>17446</v>
      </c>
      <c r="G2284" s="2" t="s">
        <v>17447</v>
      </c>
      <c r="H2284" s="2" t="s">
        <v>17448</v>
      </c>
      <c r="I2284" s="2" t="s">
        <v>17449</v>
      </c>
      <c r="J2284" s="2" t="s">
        <v>35</v>
      </c>
      <c r="K2284" s="2" t="s">
        <v>17450</v>
      </c>
      <c r="L2284" s="2" t="s">
        <v>17451</v>
      </c>
      <c r="M2284" s="2" t="s">
        <v>17448</v>
      </c>
      <c r="N2284" s="2" t="s">
        <v>17452</v>
      </c>
      <c r="O2284" s="2"/>
      <c r="P2284" s="2" t="s">
        <v>37</v>
      </c>
      <c r="Q2284" s="4" t="n">
        <v>8731</v>
      </c>
      <c r="R2284" s="2" t="s">
        <v>3825</v>
      </c>
      <c r="S2284" s="2" t="s">
        <v>39</v>
      </c>
      <c r="T2284" s="2" t="s">
        <v>122</v>
      </c>
      <c r="U2284" s="2" t="s">
        <v>17453</v>
      </c>
      <c r="V2284" s="2"/>
      <c r="W2284" s="2" t="s">
        <v>17454</v>
      </c>
      <c r="X2284" s="2" t="s">
        <v>46</v>
      </c>
      <c r="Y2284" s="2" t="s">
        <v>37</v>
      </c>
      <c r="Z2284" s="2" t="s">
        <v>987</v>
      </c>
      <c r="AA2284" s="2"/>
      <c r="AB2284" s="2"/>
      <c r="AC2284" s="2" t="s">
        <v>17455</v>
      </c>
      <c r="AD2284" s="2" t="s">
        <v>46</v>
      </c>
    </row>
    <row r="2285" customFormat="false" ht="15.7" hidden="false" customHeight="true" outlineLevel="0" collapsed="false">
      <c r="A2285" s="2"/>
      <c r="B2285" s="3" t="n">
        <f aca="false">DATE(2013,7,24)</f>
        <v>0</v>
      </c>
      <c r="C2285" s="3" t="n">
        <v>41479</v>
      </c>
      <c r="D2285" s="2" t="s">
        <v>17456</v>
      </c>
      <c r="F2285" s="2" t="s">
        <v>17457</v>
      </c>
      <c r="G2285" s="2" t="s">
        <v>17458</v>
      </c>
      <c r="H2285" s="2" t="s">
        <v>762</v>
      </c>
      <c r="I2285" s="2" t="s">
        <v>296</v>
      </c>
      <c r="J2285" s="2" t="s">
        <v>1705</v>
      </c>
      <c r="K2285" s="2" t="s">
        <v>17456</v>
      </c>
      <c r="L2285" s="2" t="s">
        <v>296</v>
      </c>
      <c r="M2285" s="2" t="s">
        <v>762</v>
      </c>
      <c r="N2285" s="2" t="s">
        <v>17459</v>
      </c>
      <c r="O2285" s="2" t="s">
        <v>17460</v>
      </c>
      <c r="P2285" s="2" t="s">
        <v>37</v>
      </c>
      <c r="Q2285" s="4" t="n">
        <v>8731</v>
      </c>
      <c r="R2285" s="2" t="s">
        <v>56</v>
      </c>
      <c r="S2285" s="2" t="s">
        <v>3253</v>
      </c>
      <c r="T2285" s="2" t="s">
        <v>40</v>
      </c>
      <c r="U2285" s="2" t="s">
        <v>17461</v>
      </c>
      <c r="V2285" s="2"/>
      <c r="W2285" s="2" t="s">
        <v>42</v>
      </c>
      <c r="X2285" s="2" t="s">
        <v>46</v>
      </c>
      <c r="Y2285" s="2" t="s">
        <v>37</v>
      </c>
      <c r="Z2285" s="2" t="s">
        <v>362</v>
      </c>
      <c r="AA2285" s="2"/>
      <c r="AB2285" s="2" t="s">
        <v>17462</v>
      </c>
      <c r="AC2285" s="2" t="s">
        <v>17463</v>
      </c>
      <c r="AD2285" s="2" t="s">
        <v>46</v>
      </c>
    </row>
    <row r="2286" customFormat="false" ht="15.7" hidden="false" customHeight="true" outlineLevel="0" collapsed="false">
      <c r="A2286" s="2"/>
      <c r="B2286" s="3" t="n">
        <f aca="false">DATE(2013,7,25)</f>
        <v>0</v>
      </c>
      <c r="C2286" s="3" t="n">
        <v>41480</v>
      </c>
      <c r="D2286" s="2" t="s">
        <v>17464</v>
      </c>
      <c r="F2286" s="2" t="s">
        <v>17465</v>
      </c>
      <c r="G2286" s="2" t="s">
        <v>17466</v>
      </c>
      <c r="H2286" s="2" t="s">
        <v>14489</v>
      </c>
      <c r="I2286" s="2" t="s">
        <v>51</v>
      </c>
      <c r="J2286" s="2" t="s">
        <v>3854</v>
      </c>
      <c r="K2286" s="2" t="s">
        <v>17464</v>
      </c>
      <c r="L2286" s="2" t="s">
        <v>51</v>
      </c>
      <c r="M2286" s="2" t="s">
        <v>14489</v>
      </c>
      <c r="N2286" s="2" t="s">
        <v>17467</v>
      </c>
      <c r="O2286" s="2"/>
      <c r="P2286" s="2" t="s">
        <v>37</v>
      </c>
      <c r="Q2286" s="4" t="n">
        <v>8731</v>
      </c>
      <c r="R2286" s="2" t="s">
        <v>56</v>
      </c>
      <c r="S2286" s="2" t="s">
        <v>2265</v>
      </c>
      <c r="T2286" s="2" t="s">
        <v>40</v>
      </c>
      <c r="U2286" s="2" t="s">
        <v>17468</v>
      </c>
      <c r="V2286" s="2"/>
      <c r="W2286" s="2" t="s">
        <v>2209</v>
      </c>
      <c r="X2286" s="2" t="s">
        <v>43</v>
      </c>
      <c r="Y2286" s="2" t="s">
        <v>37</v>
      </c>
      <c r="Z2286" s="2" t="s">
        <v>44</v>
      </c>
      <c r="AA2286" s="2"/>
      <c r="AB2286" s="2"/>
      <c r="AC2286" s="2" t="s">
        <v>17469</v>
      </c>
      <c r="AD2286" s="2" t="s">
        <v>46</v>
      </c>
    </row>
    <row r="2287" customFormat="false" ht="15.7" hidden="false" customHeight="true" outlineLevel="0" collapsed="false">
      <c r="A2287" s="2"/>
      <c r="B2287" s="3" t="n">
        <f aca="false">DATE(2013,7,25)</f>
        <v>0</v>
      </c>
      <c r="C2287" s="3" t="n">
        <v>41480</v>
      </c>
      <c r="D2287" s="2" t="s">
        <v>17470</v>
      </c>
      <c r="F2287" s="2" t="s">
        <v>15628</v>
      </c>
      <c r="G2287" s="2" t="s">
        <v>17471</v>
      </c>
      <c r="H2287" s="2" t="s">
        <v>551</v>
      </c>
      <c r="I2287" s="2" t="s">
        <v>7114</v>
      </c>
      <c r="J2287" s="2" t="s">
        <v>35</v>
      </c>
      <c r="K2287" s="2" t="s">
        <v>17470</v>
      </c>
      <c r="L2287" s="2" t="s">
        <v>7114</v>
      </c>
      <c r="M2287" s="2" t="s">
        <v>551</v>
      </c>
      <c r="N2287" s="2" t="s">
        <v>17472</v>
      </c>
      <c r="O2287" s="2"/>
      <c r="P2287" s="2" t="s">
        <v>37</v>
      </c>
      <c r="Q2287" s="4" t="n">
        <v>8731</v>
      </c>
      <c r="R2287" s="2" t="s">
        <v>136</v>
      </c>
      <c r="S2287" s="2" t="s">
        <v>39</v>
      </c>
      <c r="T2287" s="2" t="s">
        <v>403</v>
      </c>
      <c r="U2287" s="2" t="s">
        <v>17473</v>
      </c>
      <c r="V2287" s="2"/>
      <c r="W2287" s="2" t="s">
        <v>42</v>
      </c>
      <c r="X2287" s="2" t="s">
        <v>43</v>
      </c>
      <c r="Y2287" s="2" t="s">
        <v>37</v>
      </c>
      <c r="Z2287" s="2" t="s">
        <v>44</v>
      </c>
      <c r="AA2287" s="2"/>
      <c r="AB2287" s="2"/>
      <c r="AC2287" s="2" t="s">
        <v>17474</v>
      </c>
      <c r="AD2287" s="2" t="s">
        <v>46</v>
      </c>
    </row>
    <row r="2288" customFormat="false" ht="15.7" hidden="false" customHeight="true" outlineLevel="0" collapsed="false">
      <c r="A2288" s="2"/>
      <c r="B2288" s="3" t="n">
        <f aca="false">DATE(2013,7,25)</f>
        <v>0</v>
      </c>
      <c r="C2288" s="3" t="n">
        <v>41480</v>
      </c>
      <c r="D2288" s="2" t="s">
        <v>17475</v>
      </c>
      <c r="F2288" s="2" t="s">
        <v>17476</v>
      </c>
      <c r="G2288" s="2" t="s">
        <v>17477</v>
      </c>
      <c r="H2288" s="2" t="s">
        <v>5386</v>
      </c>
      <c r="I2288" s="2" t="s">
        <v>51</v>
      </c>
      <c r="J2288" s="2" t="s">
        <v>171</v>
      </c>
      <c r="K2288" s="2" t="s">
        <v>17478</v>
      </c>
      <c r="L2288" s="2" t="s">
        <v>51</v>
      </c>
      <c r="M2288" s="2" t="s">
        <v>17479</v>
      </c>
      <c r="N2288" s="2" t="s">
        <v>17480</v>
      </c>
      <c r="O2288" s="2"/>
      <c r="P2288" s="2" t="s">
        <v>37</v>
      </c>
      <c r="Q2288" s="4" t="n">
        <v>8731</v>
      </c>
      <c r="R2288" s="2" t="s">
        <v>56</v>
      </c>
      <c r="S2288" s="2" t="s">
        <v>92</v>
      </c>
      <c r="T2288" s="2" t="s">
        <v>40</v>
      </c>
      <c r="U2288" s="2" t="s">
        <v>17481</v>
      </c>
      <c r="V2288" s="2"/>
      <c r="W2288" s="2" t="s">
        <v>42</v>
      </c>
      <c r="X2288" s="2" t="s">
        <v>43</v>
      </c>
      <c r="Y2288" s="2" t="s">
        <v>37</v>
      </c>
      <c r="Z2288" s="2" t="s">
        <v>44</v>
      </c>
      <c r="AA2288" s="2"/>
      <c r="AB2288" s="2"/>
      <c r="AC2288" s="2" t="s">
        <v>17482</v>
      </c>
      <c r="AD2288" s="2" t="s">
        <v>46</v>
      </c>
    </row>
    <row r="2289" customFormat="false" ht="15.7" hidden="false" customHeight="true" outlineLevel="0" collapsed="false">
      <c r="A2289" s="2"/>
      <c r="B2289" s="3" t="n">
        <f aca="false">DATE(2013,7,25)</f>
        <v>0</v>
      </c>
      <c r="C2289" s="3" t="n">
        <v>41480</v>
      </c>
      <c r="D2289" s="2" t="s">
        <v>17483</v>
      </c>
      <c r="F2289" s="2" t="s">
        <v>17484</v>
      </c>
      <c r="G2289" s="2" t="s">
        <v>17485</v>
      </c>
      <c r="H2289" s="2" t="s">
        <v>305</v>
      </c>
      <c r="I2289" s="2" t="s">
        <v>3103</v>
      </c>
      <c r="J2289" s="2" t="s">
        <v>625</v>
      </c>
      <c r="K2289" s="2" t="s">
        <v>17483</v>
      </c>
      <c r="L2289" s="2" t="s">
        <v>3103</v>
      </c>
      <c r="M2289" s="2" t="s">
        <v>305</v>
      </c>
      <c r="N2289" s="2" t="s">
        <v>17486</v>
      </c>
      <c r="O2289" s="2"/>
      <c r="P2289" s="2" t="s">
        <v>37</v>
      </c>
      <c r="Q2289" s="4" t="n">
        <v>8731</v>
      </c>
      <c r="R2289" s="2" t="s">
        <v>136</v>
      </c>
      <c r="S2289" s="2" t="s">
        <v>39</v>
      </c>
      <c r="T2289" s="2" t="s">
        <v>40</v>
      </c>
      <c r="U2289" s="2" t="s">
        <v>17487</v>
      </c>
      <c r="V2289" s="2"/>
      <c r="W2289" s="2" t="s">
        <v>42</v>
      </c>
      <c r="X2289" s="2" t="s">
        <v>43</v>
      </c>
      <c r="Y2289" s="2" t="s">
        <v>37</v>
      </c>
      <c r="Z2289" s="2" t="s">
        <v>44</v>
      </c>
      <c r="AA2289" s="2"/>
      <c r="AB2289" s="2"/>
      <c r="AC2289" s="2" t="s">
        <v>17488</v>
      </c>
      <c r="AD2289" s="2" t="s">
        <v>46</v>
      </c>
    </row>
    <row r="2290" customFormat="false" ht="15.7" hidden="false" customHeight="true" outlineLevel="0" collapsed="false">
      <c r="A2290" s="2"/>
      <c r="B2290" s="3" t="n">
        <f aca="false">DATE(2013,7,26)</f>
        <v>0</v>
      </c>
      <c r="C2290" s="3" t="n">
        <v>41481</v>
      </c>
      <c r="D2290" s="2" t="s">
        <v>17489</v>
      </c>
      <c r="F2290" s="2" t="s">
        <v>17490</v>
      </c>
      <c r="G2290" s="2" t="s">
        <v>17491</v>
      </c>
      <c r="H2290" s="2" t="s">
        <v>17492</v>
      </c>
      <c r="I2290" s="2" t="s">
        <v>2522</v>
      </c>
      <c r="J2290" s="2" t="s">
        <v>1456</v>
      </c>
      <c r="K2290" s="2" t="s">
        <v>17489</v>
      </c>
      <c r="L2290" s="2" t="s">
        <v>2522</v>
      </c>
      <c r="M2290" s="2" t="s">
        <v>17492</v>
      </c>
      <c r="N2290" s="2" t="s">
        <v>17493</v>
      </c>
      <c r="O2290" s="2"/>
      <c r="P2290" s="2" t="s">
        <v>37</v>
      </c>
      <c r="Q2290" s="4" t="n">
        <v>3829</v>
      </c>
      <c r="R2290" s="2" t="s">
        <v>136</v>
      </c>
      <c r="S2290" s="2" t="s">
        <v>39</v>
      </c>
      <c r="T2290" s="2" t="s">
        <v>40</v>
      </c>
      <c r="U2290" s="2" t="s">
        <v>17494</v>
      </c>
      <c r="V2290" s="2"/>
      <c r="W2290" s="2" t="s">
        <v>697</v>
      </c>
      <c r="X2290" s="2" t="s">
        <v>43</v>
      </c>
      <c r="Y2290" s="2" t="s">
        <v>37</v>
      </c>
      <c r="Z2290" s="2" t="s">
        <v>44</v>
      </c>
      <c r="AA2290" s="2"/>
      <c r="AB2290" s="2"/>
      <c r="AC2290" s="2" t="s">
        <v>17495</v>
      </c>
      <c r="AD2290" s="2" t="s">
        <v>46</v>
      </c>
    </row>
    <row r="2291" customFormat="false" ht="15.7" hidden="false" customHeight="true" outlineLevel="0" collapsed="false">
      <c r="A2291" s="2"/>
      <c r="B2291" s="3" t="n">
        <f aca="false">DATE(2013,7,26)</f>
        <v>0</v>
      </c>
      <c r="C2291" s="3" t="n">
        <v>41481</v>
      </c>
      <c r="D2291" s="2" t="s">
        <v>17496</v>
      </c>
      <c r="F2291" s="2" t="s">
        <v>1429</v>
      </c>
      <c r="G2291" s="2" t="s">
        <v>17497</v>
      </c>
      <c r="H2291" s="2" t="s">
        <v>305</v>
      </c>
      <c r="I2291" s="2" t="s">
        <v>1904</v>
      </c>
      <c r="J2291" s="2" t="s">
        <v>1891</v>
      </c>
      <c r="K2291" s="2" t="s">
        <v>17498</v>
      </c>
      <c r="L2291" s="2" t="s">
        <v>1904</v>
      </c>
      <c r="M2291" s="2" t="s">
        <v>17499</v>
      </c>
      <c r="N2291" s="2" t="s">
        <v>17500</v>
      </c>
      <c r="O2291" s="2"/>
      <c r="P2291" s="2" t="s">
        <v>37</v>
      </c>
      <c r="Q2291" s="4" t="n">
        <v>8731</v>
      </c>
      <c r="R2291" s="2" t="s">
        <v>450</v>
      </c>
      <c r="S2291" s="2" t="s">
        <v>39</v>
      </c>
      <c r="T2291" s="2" t="s">
        <v>40</v>
      </c>
      <c r="U2291" s="2" t="s">
        <v>17501</v>
      </c>
      <c r="V2291" s="2"/>
      <c r="W2291" s="2" t="s">
        <v>773</v>
      </c>
      <c r="X2291" s="2" t="s">
        <v>43</v>
      </c>
      <c r="Y2291" s="2" t="s">
        <v>37</v>
      </c>
      <c r="Z2291" s="2" t="s">
        <v>44</v>
      </c>
      <c r="AA2291" s="2"/>
      <c r="AB2291" s="2"/>
      <c r="AC2291" s="2" t="s">
        <v>17502</v>
      </c>
      <c r="AD2291" s="2" t="s">
        <v>46</v>
      </c>
    </row>
    <row r="2292" customFormat="false" ht="15.7" hidden="false" customHeight="true" outlineLevel="0" collapsed="false">
      <c r="A2292" s="2"/>
      <c r="B2292" s="3" t="n">
        <f aca="false">DATE(2013,7,26)</f>
        <v>0</v>
      </c>
      <c r="C2292" s="3" t="n">
        <v>41481</v>
      </c>
      <c r="D2292" s="2" t="s">
        <v>17503</v>
      </c>
      <c r="F2292" s="2" t="s">
        <v>17504</v>
      </c>
      <c r="G2292" s="2" t="s">
        <v>17505</v>
      </c>
      <c r="H2292" s="2" t="s">
        <v>1027</v>
      </c>
      <c r="I2292" s="2" t="s">
        <v>51</v>
      </c>
      <c r="J2292" s="2" t="s">
        <v>2873</v>
      </c>
      <c r="K2292" s="2" t="s">
        <v>17506</v>
      </c>
      <c r="L2292" s="2" t="s">
        <v>51</v>
      </c>
      <c r="M2292" s="2" t="s">
        <v>1027</v>
      </c>
      <c r="N2292" s="2" t="s">
        <v>17507</v>
      </c>
      <c r="O2292" s="2"/>
      <c r="P2292" s="2" t="s">
        <v>37</v>
      </c>
      <c r="Q2292" s="4" t="n">
        <v>8731</v>
      </c>
      <c r="R2292" s="2" t="s">
        <v>402</v>
      </c>
      <c r="S2292" s="2" t="s">
        <v>39</v>
      </c>
      <c r="T2292" s="2" t="s">
        <v>40</v>
      </c>
      <c r="U2292" s="2" t="s">
        <v>17508</v>
      </c>
      <c r="V2292" s="2"/>
      <c r="W2292" s="2" t="s">
        <v>42</v>
      </c>
      <c r="X2292" s="2" t="s">
        <v>43</v>
      </c>
      <c r="Y2292" s="2" t="s">
        <v>37</v>
      </c>
      <c r="Z2292" s="2" t="s">
        <v>44</v>
      </c>
      <c r="AA2292" s="2"/>
      <c r="AB2292" s="2"/>
      <c r="AC2292" s="2" t="s">
        <v>17509</v>
      </c>
      <c r="AD2292" s="2" t="s">
        <v>46</v>
      </c>
    </row>
    <row r="2293" customFormat="false" ht="15.7" hidden="false" customHeight="true" outlineLevel="0" collapsed="false">
      <c r="A2293" s="2"/>
      <c r="B2293" s="3" t="n">
        <f aca="false">DATE(2013,7,29)</f>
        <v>0</v>
      </c>
      <c r="C2293" s="3" t="n">
        <v>41484</v>
      </c>
      <c r="D2293" s="2" t="s">
        <v>17510</v>
      </c>
      <c r="F2293" s="2" t="s">
        <v>17511</v>
      </c>
      <c r="G2293" s="2" t="s">
        <v>17512</v>
      </c>
      <c r="H2293" s="2" t="s">
        <v>4124</v>
      </c>
      <c r="I2293" s="2" t="s">
        <v>34</v>
      </c>
      <c r="J2293" s="2" t="s">
        <v>35</v>
      </c>
      <c r="K2293" s="2" t="s">
        <v>17510</v>
      </c>
      <c r="L2293" s="2" t="s">
        <v>34</v>
      </c>
      <c r="M2293" s="2" t="s">
        <v>4124</v>
      </c>
      <c r="N2293" s="2" t="s">
        <v>17513</v>
      </c>
      <c r="O2293" s="2"/>
      <c r="P2293" s="2" t="s">
        <v>37</v>
      </c>
      <c r="Q2293" s="4" t="n">
        <v>3652</v>
      </c>
      <c r="R2293" s="2" t="s">
        <v>38</v>
      </c>
      <c r="S2293" s="2" t="s">
        <v>39</v>
      </c>
      <c r="T2293" s="2" t="s">
        <v>403</v>
      </c>
      <c r="U2293" s="2" t="s">
        <v>17514</v>
      </c>
      <c r="V2293" s="2"/>
      <c r="W2293" s="2" t="s">
        <v>42</v>
      </c>
      <c r="X2293" s="2" t="s">
        <v>43</v>
      </c>
      <c r="Y2293" s="2" t="s">
        <v>37</v>
      </c>
      <c r="Z2293" s="2" t="s">
        <v>44</v>
      </c>
      <c r="AA2293" s="2"/>
      <c r="AB2293" s="2"/>
      <c r="AC2293" s="2" t="s">
        <v>17515</v>
      </c>
      <c r="AD2293" s="2" t="s">
        <v>46</v>
      </c>
    </row>
    <row r="2294" customFormat="false" ht="15.7" hidden="false" customHeight="true" outlineLevel="0" collapsed="false">
      <c r="A2294" s="2"/>
      <c r="B2294" s="3" t="n">
        <f aca="false">DATE(2013,7,30)</f>
        <v>0</v>
      </c>
      <c r="C2294" s="3" t="n">
        <v>41485</v>
      </c>
      <c r="D2294" s="2" t="s">
        <v>17516</v>
      </c>
      <c r="F2294" s="2" t="s">
        <v>17517</v>
      </c>
      <c r="G2294" s="2" t="s">
        <v>17518</v>
      </c>
      <c r="H2294" s="2" t="s">
        <v>17519</v>
      </c>
      <c r="I2294" s="2" t="s">
        <v>13862</v>
      </c>
      <c r="J2294" s="2" t="s">
        <v>17520</v>
      </c>
      <c r="K2294" s="2" t="s">
        <v>17521</v>
      </c>
      <c r="L2294" s="2" t="s">
        <v>17522</v>
      </c>
      <c r="M2294" s="2" t="s">
        <v>17523</v>
      </c>
      <c r="N2294" s="2" t="s">
        <v>17524</v>
      </c>
      <c r="O2294" s="2"/>
      <c r="P2294" s="2" t="s">
        <v>37</v>
      </c>
      <c r="Q2294" s="4" t="n">
        <v>8731</v>
      </c>
      <c r="R2294" s="2" t="s">
        <v>56</v>
      </c>
      <c r="S2294" s="2" t="s">
        <v>2265</v>
      </c>
      <c r="T2294" s="2" t="s">
        <v>40</v>
      </c>
      <c r="U2294" s="2" t="s">
        <v>17525</v>
      </c>
      <c r="V2294" s="2"/>
      <c r="W2294" s="2" t="s">
        <v>42</v>
      </c>
      <c r="X2294" s="2" t="s">
        <v>43</v>
      </c>
      <c r="Y2294" s="2" t="s">
        <v>37</v>
      </c>
      <c r="Z2294" s="2" t="s">
        <v>916</v>
      </c>
      <c r="AA2294" s="2"/>
      <c r="AB2294" s="2"/>
      <c r="AC2294" s="2" t="s">
        <v>17526</v>
      </c>
      <c r="AD2294" s="2" t="s">
        <v>46</v>
      </c>
    </row>
    <row r="2295" customFormat="false" ht="15.7" hidden="false" customHeight="true" outlineLevel="0" collapsed="false">
      <c r="A2295" s="2"/>
      <c r="B2295" s="3" t="n">
        <f aca="false">DATE(2013,7,31)</f>
        <v>0</v>
      </c>
      <c r="C2295" s="3" t="n">
        <v>41486</v>
      </c>
      <c r="D2295" s="2" t="s">
        <v>17527</v>
      </c>
      <c r="F2295" s="2" t="s">
        <v>347</v>
      </c>
      <c r="G2295" s="2" t="s">
        <v>17528</v>
      </c>
      <c r="H2295" s="2" t="s">
        <v>63</v>
      </c>
      <c r="I2295" s="2" t="s">
        <v>88</v>
      </c>
      <c r="J2295" s="2" t="s">
        <v>65</v>
      </c>
      <c r="K2295" s="2" t="s">
        <v>17527</v>
      </c>
      <c r="L2295" s="2" t="s">
        <v>88</v>
      </c>
      <c r="M2295" s="2" t="s">
        <v>63</v>
      </c>
      <c r="N2295" s="2" t="s">
        <v>17529</v>
      </c>
      <c r="O2295" s="2"/>
      <c r="P2295" s="2" t="s">
        <v>37</v>
      </c>
      <c r="Q2295" s="4" t="n">
        <v>8731</v>
      </c>
      <c r="R2295" s="2" t="s">
        <v>136</v>
      </c>
      <c r="S2295" s="2" t="s">
        <v>39</v>
      </c>
      <c r="T2295" s="2" t="s">
        <v>40</v>
      </c>
      <c r="U2295" s="2" t="s">
        <v>17530</v>
      </c>
      <c r="V2295" s="2"/>
      <c r="W2295" s="2" t="s">
        <v>42</v>
      </c>
      <c r="X2295" s="2" t="s">
        <v>43</v>
      </c>
      <c r="Y2295" s="2" t="s">
        <v>37</v>
      </c>
      <c r="Z2295" s="2" t="s">
        <v>44</v>
      </c>
      <c r="AA2295" s="2"/>
      <c r="AB2295" s="2"/>
      <c r="AC2295" s="2" t="s">
        <v>17531</v>
      </c>
      <c r="AD2295" s="2" t="s">
        <v>46</v>
      </c>
    </row>
    <row r="2296" customFormat="false" ht="15.7" hidden="false" customHeight="true" outlineLevel="0" collapsed="false">
      <c r="A2296" s="2"/>
      <c r="B2296" s="3" t="n">
        <f aca="false">DATE(2013,7,31)</f>
        <v>0</v>
      </c>
      <c r="C2296" s="3" t="n">
        <v>41486</v>
      </c>
      <c r="D2296" s="2" t="s">
        <v>17532</v>
      </c>
      <c r="F2296" s="2" t="s">
        <v>17533</v>
      </c>
      <c r="G2296" s="2" t="s">
        <v>17534</v>
      </c>
      <c r="H2296" s="2" t="s">
        <v>130</v>
      </c>
      <c r="I2296" s="2" t="s">
        <v>330</v>
      </c>
      <c r="J2296" s="2" t="s">
        <v>132</v>
      </c>
      <c r="K2296" s="2" t="s">
        <v>17532</v>
      </c>
      <c r="L2296" s="2" t="s">
        <v>330</v>
      </c>
      <c r="M2296" s="2" t="s">
        <v>130</v>
      </c>
      <c r="N2296" s="2" t="s">
        <v>17535</v>
      </c>
      <c r="O2296" s="2"/>
      <c r="P2296" s="2" t="s">
        <v>37</v>
      </c>
      <c r="Q2296" s="4" t="n">
        <v>2836</v>
      </c>
      <c r="R2296" s="2" t="s">
        <v>136</v>
      </c>
      <c r="S2296" s="2" t="s">
        <v>39</v>
      </c>
      <c r="T2296" s="2" t="s">
        <v>40</v>
      </c>
      <c r="U2296" s="2" t="s">
        <v>17536</v>
      </c>
      <c r="V2296" s="2"/>
      <c r="W2296" s="2" t="s">
        <v>42</v>
      </c>
      <c r="X2296" s="2" t="s">
        <v>43</v>
      </c>
      <c r="Y2296" s="2" t="s">
        <v>37</v>
      </c>
      <c r="Z2296" s="2" t="s">
        <v>44</v>
      </c>
      <c r="AA2296" s="2" t="s">
        <v>17537</v>
      </c>
      <c r="AB2296" s="2"/>
      <c r="AC2296" s="2" t="s">
        <v>17538</v>
      </c>
      <c r="AD2296" s="2" t="s">
        <v>46</v>
      </c>
    </row>
    <row r="2297" customFormat="false" ht="15.7" hidden="false" customHeight="true" outlineLevel="0" collapsed="false">
      <c r="A2297" s="2"/>
      <c r="B2297" s="3" t="n">
        <f aca="false">DATE(2013,7,31)</f>
        <v>0</v>
      </c>
      <c r="C2297" s="3" t="n">
        <v>41486</v>
      </c>
      <c r="D2297" s="2" t="s">
        <v>17539</v>
      </c>
      <c r="F2297" s="2" t="s">
        <v>17540</v>
      </c>
      <c r="G2297" s="2" t="s">
        <v>17541</v>
      </c>
      <c r="H2297" s="2" t="s">
        <v>63</v>
      </c>
      <c r="I2297" s="2" t="s">
        <v>435</v>
      </c>
      <c r="J2297" s="2" t="s">
        <v>966</v>
      </c>
      <c r="K2297" s="2" t="s">
        <v>17539</v>
      </c>
      <c r="L2297" s="2" t="s">
        <v>435</v>
      </c>
      <c r="M2297" s="2" t="s">
        <v>63</v>
      </c>
      <c r="N2297" s="2" t="s">
        <v>17542</v>
      </c>
      <c r="O2297" s="2"/>
      <c r="P2297" s="2" t="s">
        <v>37</v>
      </c>
      <c r="Q2297" s="4" t="n">
        <v>8731</v>
      </c>
      <c r="R2297" s="2" t="s">
        <v>136</v>
      </c>
      <c r="S2297" s="2" t="s">
        <v>39</v>
      </c>
      <c r="T2297" s="2" t="s">
        <v>40</v>
      </c>
      <c r="U2297" s="2" t="s">
        <v>17543</v>
      </c>
      <c r="V2297" s="2"/>
      <c r="W2297" s="2" t="s">
        <v>42</v>
      </c>
      <c r="X2297" s="2" t="s">
        <v>43</v>
      </c>
      <c r="Y2297" s="2" t="s">
        <v>37</v>
      </c>
      <c r="Z2297" s="2" t="s">
        <v>44</v>
      </c>
      <c r="AA2297" s="2"/>
      <c r="AB2297" s="2"/>
      <c r="AC2297" s="2" t="s">
        <v>17544</v>
      </c>
      <c r="AD2297" s="2" t="s">
        <v>46</v>
      </c>
    </row>
    <row r="2298" customFormat="false" ht="15.7" hidden="false" customHeight="true" outlineLevel="0" collapsed="false">
      <c r="A2298" s="2"/>
      <c r="B2298" s="3" t="n">
        <f aca="false">DATE(2013,7,31)</f>
        <v>0</v>
      </c>
      <c r="C2298" s="3" t="n">
        <v>41486</v>
      </c>
      <c r="D2298" s="2" t="s">
        <v>17545</v>
      </c>
      <c r="F2298" s="2" t="s">
        <v>17546</v>
      </c>
      <c r="G2298" s="2" t="s">
        <v>17547</v>
      </c>
      <c r="H2298" s="2" t="s">
        <v>1101</v>
      </c>
      <c r="I2298" s="2" t="s">
        <v>670</v>
      </c>
      <c r="J2298" s="2" t="s">
        <v>514</v>
      </c>
      <c r="K2298" s="2" t="s">
        <v>17545</v>
      </c>
      <c r="L2298" s="2" t="s">
        <v>670</v>
      </c>
      <c r="M2298" s="2" t="s">
        <v>1101</v>
      </c>
      <c r="N2298" s="2" t="s">
        <v>17548</v>
      </c>
      <c r="O2298" s="2"/>
      <c r="P2298" s="2" t="s">
        <v>37</v>
      </c>
      <c r="Q2298" s="4" t="n">
        <v>8731</v>
      </c>
      <c r="R2298" s="2" t="s">
        <v>136</v>
      </c>
      <c r="S2298" s="2" t="s">
        <v>39</v>
      </c>
      <c r="T2298" s="2" t="s">
        <v>40</v>
      </c>
      <c r="U2298" s="2" t="s">
        <v>17549</v>
      </c>
      <c r="V2298" s="2"/>
      <c r="W2298" s="2" t="s">
        <v>42</v>
      </c>
      <c r="X2298" s="2" t="s">
        <v>43</v>
      </c>
      <c r="Y2298" s="2" t="s">
        <v>37</v>
      </c>
      <c r="Z2298" s="2" t="s">
        <v>44</v>
      </c>
      <c r="AA2298" s="2"/>
      <c r="AB2298" s="2"/>
      <c r="AC2298" s="2" t="s">
        <v>17550</v>
      </c>
      <c r="AD2298" s="2" t="s">
        <v>46</v>
      </c>
    </row>
    <row r="2299" customFormat="false" ht="15.7" hidden="false" customHeight="true" outlineLevel="0" collapsed="false">
      <c r="A2299" s="2"/>
      <c r="B2299" s="3" t="n">
        <f aca="false">DATE(2013,7,31)</f>
        <v>0</v>
      </c>
      <c r="C2299" s="3" t="n">
        <v>41486</v>
      </c>
      <c r="D2299" s="2" t="s">
        <v>17551</v>
      </c>
      <c r="F2299" s="2" t="s">
        <v>17552</v>
      </c>
      <c r="G2299" s="2" t="s">
        <v>17553</v>
      </c>
      <c r="H2299" s="2" t="s">
        <v>170</v>
      </c>
      <c r="I2299" s="2" t="s">
        <v>51</v>
      </c>
      <c r="J2299" s="2" t="s">
        <v>17554</v>
      </c>
      <c r="K2299" s="2" t="s">
        <v>17555</v>
      </c>
      <c r="L2299" s="2" t="s">
        <v>965</v>
      </c>
      <c r="M2299" s="2" t="s">
        <v>551</v>
      </c>
      <c r="N2299" s="2" t="s">
        <v>17556</v>
      </c>
      <c r="O2299" s="2"/>
      <c r="P2299" s="2" t="s">
        <v>37</v>
      </c>
      <c r="Q2299" s="4" t="n">
        <v>8731</v>
      </c>
      <c r="R2299" s="2" t="s">
        <v>56</v>
      </c>
      <c r="S2299" s="2" t="s">
        <v>2265</v>
      </c>
      <c r="T2299" s="2" t="s">
        <v>40</v>
      </c>
      <c r="U2299" s="2" t="s">
        <v>17557</v>
      </c>
      <c r="V2299" s="2"/>
      <c r="W2299" s="2" t="s">
        <v>17558</v>
      </c>
      <c r="X2299" s="2" t="s">
        <v>43</v>
      </c>
      <c r="Y2299" s="2" t="s">
        <v>37</v>
      </c>
      <c r="Z2299" s="2" t="s">
        <v>44</v>
      </c>
      <c r="AA2299" s="2"/>
      <c r="AB2299" s="2"/>
      <c r="AC2299" s="2" t="s">
        <v>17559</v>
      </c>
      <c r="AD2299" s="2" t="s">
        <v>46</v>
      </c>
    </row>
    <row r="2300" customFormat="false" ht="15.7" hidden="false" customHeight="true" outlineLevel="0" collapsed="false">
      <c r="A2300" s="2"/>
      <c r="B2300" s="3" t="n">
        <f aca="false">DATE(2013,7,31)</f>
        <v>0</v>
      </c>
      <c r="C2300" s="3" t="n">
        <v>41486</v>
      </c>
      <c r="D2300" s="2" t="s">
        <v>17560</v>
      </c>
      <c r="F2300" s="2" t="s">
        <v>17561</v>
      </c>
      <c r="G2300" s="2" t="s">
        <v>17562</v>
      </c>
      <c r="H2300" s="2" t="s">
        <v>17563</v>
      </c>
      <c r="I2300" s="2" t="s">
        <v>2916</v>
      </c>
      <c r="J2300" s="2" t="s">
        <v>116</v>
      </c>
      <c r="K2300" s="2" t="s">
        <v>17564</v>
      </c>
      <c r="L2300" s="2" t="s">
        <v>2916</v>
      </c>
      <c r="M2300" s="2" t="s">
        <v>17565</v>
      </c>
      <c r="N2300" s="2" t="s">
        <v>17566</v>
      </c>
      <c r="O2300" s="2"/>
      <c r="P2300" s="2" t="s">
        <v>37</v>
      </c>
      <c r="Q2300" s="4" t="n">
        <v>2836</v>
      </c>
      <c r="R2300" s="2" t="s">
        <v>38</v>
      </c>
      <c r="S2300" s="2" t="s">
        <v>39</v>
      </c>
      <c r="T2300" s="2" t="s">
        <v>40</v>
      </c>
      <c r="U2300" s="2" t="s">
        <v>17567</v>
      </c>
      <c r="V2300" s="2"/>
      <c r="W2300" s="2" t="s">
        <v>42</v>
      </c>
      <c r="X2300" s="2" t="s">
        <v>46</v>
      </c>
      <c r="Y2300" s="2" t="s">
        <v>37</v>
      </c>
      <c r="Z2300" s="2" t="s">
        <v>17568</v>
      </c>
      <c r="AA2300" s="2"/>
      <c r="AB2300" s="2"/>
      <c r="AC2300" s="2" t="s">
        <v>17569</v>
      </c>
      <c r="AD2300" s="2" t="s">
        <v>46</v>
      </c>
    </row>
    <row r="2301" customFormat="false" ht="15.7" hidden="false" customHeight="true" outlineLevel="0" collapsed="false">
      <c r="A2301" s="2"/>
      <c r="B2301" s="3" t="n">
        <f aca="false">DATE(2013,8,1)</f>
        <v>0</v>
      </c>
      <c r="C2301" s="3" t="n">
        <v>41487</v>
      </c>
      <c r="D2301" s="2" t="s">
        <v>17570</v>
      </c>
      <c r="F2301" s="2" t="s">
        <v>1324</v>
      </c>
      <c r="G2301" s="2" t="s">
        <v>17571</v>
      </c>
      <c r="H2301" s="2" t="s">
        <v>63</v>
      </c>
      <c r="I2301" s="2" t="s">
        <v>51</v>
      </c>
      <c r="J2301" s="2" t="s">
        <v>994</v>
      </c>
      <c r="K2301" s="2" t="s">
        <v>17570</v>
      </c>
      <c r="L2301" s="2" t="s">
        <v>51</v>
      </c>
      <c r="M2301" s="2" t="s">
        <v>63</v>
      </c>
      <c r="N2301" s="2" t="s">
        <v>17572</v>
      </c>
      <c r="O2301" s="2"/>
      <c r="P2301" s="2" t="s">
        <v>37</v>
      </c>
      <c r="Q2301" s="4" t="n">
        <v>2833</v>
      </c>
      <c r="R2301" s="2" t="s">
        <v>56</v>
      </c>
      <c r="S2301" s="2" t="s">
        <v>2265</v>
      </c>
      <c r="T2301" s="2" t="s">
        <v>40</v>
      </c>
      <c r="U2301" s="2" t="s">
        <v>17573</v>
      </c>
      <c r="V2301" s="2"/>
      <c r="W2301" s="2" t="s">
        <v>697</v>
      </c>
      <c r="X2301" s="2" t="s">
        <v>43</v>
      </c>
      <c r="Y2301" s="2" t="s">
        <v>37</v>
      </c>
      <c r="Z2301" s="2" t="s">
        <v>44</v>
      </c>
      <c r="AA2301" s="2"/>
      <c r="AB2301" s="2"/>
      <c r="AC2301" s="2" t="s">
        <v>17574</v>
      </c>
      <c r="AD2301" s="2" t="s">
        <v>46</v>
      </c>
    </row>
    <row r="2302" customFormat="false" ht="15.7" hidden="false" customHeight="true" outlineLevel="0" collapsed="false">
      <c r="A2302" s="2"/>
      <c r="B2302" s="3" t="n">
        <f aca="false">DATE(2013,8,2)</f>
        <v>0</v>
      </c>
      <c r="C2302" s="3" t="n">
        <v>41488</v>
      </c>
      <c r="D2302" s="2" t="s">
        <v>17575</v>
      </c>
      <c r="F2302" s="2" t="s">
        <v>4971</v>
      </c>
      <c r="G2302" s="2" t="s">
        <v>17576</v>
      </c>
      <c r="H2302" s="2" t="s">
        <v>63</v>
      </c>
      <c r="I2302" s="2" t="s">
        <v>51</v>
      </c>
      <c r="J2302" s="2" t="s">
        <v>17577</v>
      </c>
      <c r="K2302" s="2" t="s">
        <v>17575</v>
      </c>
      <c r="L2302" s="2" t="s">
        <v>51</v>
      </c>
      <c r="M2302" s="2" t="s">
        <v>63</v>
      </c>
      <c r="N2302" s="2" t="s">
        <v>17578</v>
      </c>
      <c r="O2302" s="2"/>
      <c r="P2302" s="2" t="s">
        <v>37</v>
      </c>
      <c r="Q2302" s="4" t="n">
        <v>2836</v>
      </c>
      <c r="R2302" s="2" t="s">
        <v>56</v>
      </c>
      <c r="S2302" s="2" t="s">
        <v>2265</v>
      </c>
      <c r="T2302" s="2" t="s">
        <v>40</v>
      </c>
      <c r="U2302" s="2" t="s">
        <v>17579</v>
      </c>
      <c r="V2302" s="2"/>
      <c r="W2302" s="2" t="s">
        <v>697</v>
      </c>
      <c r="X2302" s="2" t="s">
        <v>43</v>
      </c>
      <c r="Y2302" s="2" t="s">
        <v>37</v>
      </c>
      <c r="Z2302" s="2" t="s">
        <v>44</v>
      </c>
      <c r="AA2302" s="2"/>
      <c r="AB2302" s="2"/>
      <c r="AC2302" s="2" t="s">
        <v>17580</v>
      </c>
      <c r="AD2302" s="2" t="s">
        <v>46</v>
      </c>
    </row>
    <row r="2303" customFormat="false" ht="15.7" hidden="false" customHeight="true" outlineLevel="0" collapsed="false">
      <c r="A2303" s="2"/>
      <c r="B2303" s="3" t="n">
        <f aca="false">DATE(2013,8,5)</f>
        <v>0</v>
      </c>
      <c r="C2303" s="3" t="n">
        <v>41491</v>
      </c>
      <c r="D2303" s="2" t="s">
        <v>17581</v>
      </c>
      <c r="F2303" s="2" t="s">
        <v>17582</v>
      </c>
      <c r="G2303" s="2" t="s">
        <v>17583</v>
      </c>
      <c r="H2303" s="2" t="s">
        <v>305</v>
      </c>
      <c r="I2303" s="2" t="s">
        <v>17584</v>
      </c>
      <c r="J2303" s="2" t="s">
        <v>35</v>
      </c>
      <c r="K2303" s="2" t="s">
        <v>17585</v>
      </c>
      <c r="L2303" s="2" t="s">
        <v>17584</v>
      </c>
      <c r="M2303" s="2" t="s">
        <v>684</v>
      </c>
      <c r="N2303" s="2" t="s">
        <v>17586</v>
      </c>
      <c r="O2303" s="2"/>
      <c r="P2303" s="2" t="s">
        <v>37</v>
      </c>
      <c r="Q2303" s="4" t="n">
        <v>8731</v>
      </c>
      <c r="R2303" s="2" t="s">
        <v>136</v>
      </c>
      <c r="S2303" s="2" t="s">
        <v>39</v>
      </c>
      <c r="T2303" s="2" t="s">
        <v>40</v>
      </c>
      <c r="U2303" s="2" t="s">
        <v>17587</v>
      </c>
      <c r="V2303" s="2"/>
      <c r="W2303" s="2" t="s">
        <v>42</v>
      </c>
      <c r="X2303" s="2" t="s">
        <v>43</v>
      </c>
      <c r="Y2303" s="2" t="s">
        <v>37</v>
      </c>
      <c r="Z2303" s="2" t="s">
        <v>44</v>
      </c>
      <c r="AA2303" s="2" t="s">
        <v>17588</v>
      </c>
      <c r="AB2303" s="2"/>
      <c r="AC2303" s="2" t="s">
        <v>17589</v>
      </c>
      <c r="AD2303" s="2" t="s">
        <v>46</v>
      </c>
    </row>
    <row r="2304" customFormat="false" ht="15.7" hidden="false" customHeight="true" outlineLevel="0" collapsed="false">
      <c r="A2304" s="2"/>
      <c r="B2304" s="3" t="n">
        <f aca="false">DATE(2013,8,5)</f>
        <v>0</v>
      </c>
      <c r="C2304" s="3" t="n">
        <v>41491</v>
      </c>
      <c r="D2304" s="2" t="s">
        <v>17590</v>
      </c>
      <c r="F2304" s="2" t="s">
        <v>9627</v>
      </c>
      <c r="G2304" s="2" t="s">
        <v>17591</v>
      </c>
      <c r="H2304" s="2" t="s">
        <v>63</v>
      </c>
      <c r="I2304" s="2" t="s">
        <v>17592</v>
      </c>
      <c r="J2304" s="2" t="s">
        <v>35</v>
      </c>
      <c r="K2304" s="2" t="s">
        <v>17593</v>
      </c>
      <c r="L2304" s="2" t="s">
        <v>17592</v>
      </c>
      <c r="M2304" s="2" t="s">
        <v>13053</v>
      </c>
      <c r="N2304" s="2" t="s">
        <v>17594</v>
      </c>
      <c r="O2304" s="2"/>
      <c r="P2304" s="2" t="s">
        <v>37</v>
      </c>
      <c r="Q2304" s="4" t="n">
        <v>8731</v>
      </c>
      <c r="R2304" s="2" t="s">
        <v>136</v>
      </c>
      <c r="S2304" s="2" t="s">
        <v>39</v>
      </c>
      <c r="T2304" s="2" t="s">
        <v>40</v>
      </c>
      <c r="U2304" s="2" t="s">
        <v>17595</v>
      </c>
      <c r="V2304" s="2"/>
      <c r="W2304" s="2" t="s">
        <v>42</v>
      </c>
      <c r="X2304" s="2" t="s">
        <v>43</v>
      </c>
      <c r="Y2304" s="2" t="s">
        <v>37</v>
      </c>
      <c r="Z2304" s="2" t="s">
        <v>44</v>
      </c>
      <c r="AA2304" s="2"/>
      <c r="AB2304" s="2"/>
      <c r="AC2304" s="2" t="s">
        <v>17596</v>
      </c>
      <c r="AD2304" s="2" t="s">
        <v>46</v>
      </c>
    </row>
    <row r="2305" customFormat="false" ht="15.7" hidden="false" customHeight="true" outlineLevel="0" collapsed="false">
      <c r="A2305" s="2"/>
      <c r="B2305" s="3" t="n">
        <f aca="false">DATE(2013,8,5)</f>
        <v>0</v>
      </c>
      <c r="C2305" s="3" t="n">
        <v>41491</v>
      </c>
      <c r="D2305" s="2" t="s">
        <v>17597</v>
      </c>
      <c r="F2305" s="2" t="s">
        <v>9627</v>
      </c>
      <c r="G2305" s="2" t="s">
        <v>17598</v>
      </c>
      <c r="H2305" s="2" t="s">
        <v>63</v>
      </c>
      <c r="I2305" s="2" t="s">
        <v>17592</v>
      </c>
      <c r="J2305" s="2" t="s">
        <v>35</v>
      </c>
      <c r="K2305" s="2" t="s">
        <v>17599</v>
      </c>
      <c r="L2305" s="2" t="s">
        <v>17592</v>
      </c>
      <c r="M2305" s="2" t="s">
        <v>548</v>
      </c>
      <c r="N2305" s="2" t="s">
        <v>17600</v>
      </c>
      <c r="O2305" s="2"/>
      <c r="P2305" s="2" t="s">
        <v>37</v>
      </c>
      <c r="Q2305" s="4" t="n">
        <v>8731</v>
      </c>
      <c r="R2305" s="2" t="s">
        <v>136</v>
      </c>
      <c r="S2305" s="2" t="s">
        <v>39</v>
      </c>
      <c r="T2305" s="2" t="s">
        <v>40</v>
      </c>
      <c r="U2305" s="2" t="s">
        <v>17601</v>
      </c>
      <c r="V2305" s="2"/>
      <c r="W2305" s="2" t="s">
        <v>42</v>
      </c>
      <c r="X2305" s="2" t="s">
        <v>43</v>
      </c>
      <c r="Y2305" s="2" t="s">
        <v>37</v>
      </c>
      <c r="Z2305" s="2" t="s">
        <v>44</v>
      </c>
      <c r="AA2305" s="2"/>
      <c r="AB2305" s="2"/>
      <c r="AC2305" s="2" t="s">
        <v>17602</v>
      </c>
      <c r="AD2305" s="2" t="s">
        <v>46</v>
      </c>
    </row>
    <row r="2306" customFormat="false" ht="15.7" hidden="false" customHeight="true" outlineLevel="0" collapsed="false">
      <c r="A2306" s="2"/>
      <c r="B2306" s="3" t="n">
        <f aca="false">DATE(2013,8,5)</f>
        <v>0</v>
      </c>
      <c r="C2306" s="3" t="n">
        <v>41491</v>
      </c>
      <c r="D2306" s="2" t="s">
        <v>17603</v>
      </c>
      <c r="F2306" s="2" t="s">
        <v>17604</v>
      </c>
      <c r="G2306" s="2" t="s">
        <v>17605</v>
      </c>
      <c r="H2306" s="2" t="s">
        <v>130</v>
      </c>
      <c r="I2306" s="2" t="s">
        <v>17592</v>
      </c>
      <c r="J2306" s="2" t="s">
        <v>35</v>
      </c>
      <c r="K2306" s="2" t="s">
        <v>17599</v>
      </c>
      <c r="L2306" s="2" t="s">
        <v>17592</v>
      </c>
      <c r="M2306" s="2" t="s">
        <v>548</v>
      </c>
      <c r="N2306" s="2" t="s">
        <v>17606</v>
      </c>
      <c r="O2306" s="2"/>
      <c r="P2306" s="2" t="s">
        <v>37</v>
      </c>
      <c r="Q2306" s="4" t="n">
        <v>8731</v>
      </c>
      <c r="R2306" s="2" t="s">
        <v>136</v>
      </c>
      <c r="S2306" s="2" t="s">
        <v>39</v>
      </c>
      <c r="T2306" s="2" t="s">
        <v>40</v>
      </c>
      <c r="U2306" s="2" t="s">
        <v>17607</v>
      </c>
      <c r="V2306" s="2"/>
      <c r="W2306" s="2" t="s">
        <v>42</v>
      </c>
      <c r="X2306" s="2" t="s">
        <v>43</v>
      </c>
      <c r="Y2306" s="2" t="s">
        <v>37</v>
      </c>
      <c r="Z2306" s="2" t="s">
        <v>44</v>
      </c>
      <c r="AA2306" s="2"/>
      <c r="AB2306" s="2"/>
      <c r="AC2306" s="2" t="s">
        <v>17608</v>
      </c>
      <c r="AD2306" s="2" t="s">
        <v>46</v>
      </c>
    </row>
    <row r="2307" customFormat="false" ht="15.7" hidden="false" customHeight="true" outlineLevel="0" collapsed="false">
      <c r="A2307" s="2"/>
      <c r="B2307" s="3" t="n">
        <f aca="false">DATE(2013,8,5)</f>
        <v>0</v>
      </c>
      <c r="C2307" s="3" t="n">
        <v>41491</v>
      </c>
      <c r="D2307" s="2" t="s">
        <v>17609</v>
      </c>
      <c r="F2307" s="2" t="s">
        <v>17610</v>
      </c>
      <c r="G2307" s="2" t="s">
        <v>17611</v>
      </c>
      <c r="H2307" s="2" t="s">
        <v>1181</v>
      </c>
      <c r="I2307" s="2" t="s">
        <v>17612</v>
      </c>
      <c r="J2307" s="2" t="s">
        <v>35</v>
      </c>
      <c r="K2307" s="2" t="s">
        <v>17609</v>
      </c>
      <c r="L2307" s="2" t="s">
        <v>17612</v>
      </c>
      <c r="M2307" s="2" t="s">
        <v>1181</v>
      </c>
      <c r="N2307" s="2" t="s">
        <v>17613</v>
      </c>
      <c r="O2307" s="2"/>
      <c r="P2307" s="2" t="s">
        <v>37</v>
      </c>
      <c r="Q2307" s="4" t="n">
        <v>8731</v>
      </c>
      <c r="R2307" s="2" t="s">
        <v>5774</v>
      </c>
      <c r="S2307" s="2" t="s">
        <v>39</v>
      </c>
      <c r="T2307" s="2" t="s">
        <v>40</v>
      </c>
      <c r="U2307" s="2" t="s">
        <v>17614</v>
      </c>
      <c r="V2307" s="2"/>
      <c r="W2307" s="2" t="s">
        <v>42</v>
      </c>
      <c r="X2307" s="2" t="s">
        <v>43</v>
      </c>
      <c r="Y2307" s="2" t="s">
        <v>37</v>
      </c>
      <c r="Z2307" s="2" t="s">
        <v>44</v>
      </c>
      <c r="AA2307" s="2"/>
      <c r="AB2307" s="2"/>
      <c r="AC2307" s="2" t="s">
        <v>17615</v>
      </c>
      <c r="AD2307" s="2" t="s">
        <v>46</v>
      </c>
    </row>
    <row r="2308" customFormat="false" ht="15.7" hidden="false" customHeight="true" outlineLevel="0" collapsed="false">
      <c r="A2308" s="2"/>
      <c r="B2308" s="3" t="n">
        <f aca="false">DATE(2013,8,5)</f>
        <v>0</v>
      </c>
      <c r="C2308" s="3" t="n">
        <v>41491</v>
      </c>
      <c r="D2308" s="2" t="s">
        <v>17616</v>
      </c>
      <c r="F2308" s="2" t="s">
        <v>17617</v>
      </c>
      <c r="G2308" s="2" t="s">
        <v>17618</v>
      </c>
      <c r="H2308" s="2" t="s">
        <v>16308</v>
      </c>
      <c r="I2308" s="2" t="s">
        <v>34</v>
      </c>
      <c r="J2308" s="2" t="s">
        <v>35</v>
      </c>
      <c r="K2308" s="2" t="s">
        <v>17619</v>
      </c>
      <c r="L2308" s="2" t="s">
        <v>34</v>
      </c>
      <c r="M2308" s="2" t="s">
        <v>12292</v>
      </c>
      <c r="N2308" s="2" t="s">
        <v>17620</v>
      </c>
      <c r="O2308" s="2"/>
      <c r="P2308" s="2" t="s">
        <v>37</v>
      </c>
      <c r="Q2308" s="4" t="n">
        <v>8731</v>
      </c>
      <c r="R2308" s="2" t="s">
        <v>38</v>
      </c>
      <c r="S2308" s="2" t="s">
        <v>39</v>
      </c>
      <c r="T2308" s="2" t="s">
        <v>40</v>
      </c>
      <c r="U2308" s="2" t="s">
        <v>17621</v>
      </c>
      <c r="V2308" s="2"/>
      <c r="W2308" s="2" t="s">
        <v>42</v>
      </c>
      <c r="X2308" s="2" t="s">
        <v>43</v>
      </c>
      <c r="Y2308" s="2" t="s">
        <v>37</v>
      </c>
      <c r="Z2308" s="2" t="s">
        <v>44</v>
      </c>
      <c r="AA2308" s="2"/>
      <c r="AB2308" s="2"/>
      <c r="AC2308" s="2" t="s">
        <v>17622</v>
      </c>
      <c r="AD2308" s="2" t="s">
        <v>46</v>
      </c>
    </row>
    <row r="2309" customFormat="false" ht="15.7" hidden="false" customHeight="true" outlineLevel="0" collapsed="false">
      <c r="A2309" s="2"/>
      <c r="B2309" s="3" t="n">
        <f aca="false">DATE(2013,8,6)</f>
        <v>0</v>
      </c>
      <c r="C2309" s="3" t="n">
        <v>41492</v>
      </c>
      <c r="D2309" s="2" t="s">
        <v>17623</v>
      </c>
      <c r="F2309" s="2" t="s">
        <v>1138</v>
      </c>
      <c r="G2309" s="2" t="s">
        <v>17624</v>
      </c>
      <c r="H2309" s="2" t="s">
        <v>305</v>
      </c>
      <c r="I2309" s="2" t="s">
        <v>180</v>
      </c>
      <c r="J2309" s="2" t="s">
        <v>331</v>
      </c>
      <c r="K2309" s="2" t="s">
        <v>17623</v>
      </c>
      <c r="L2309" s="2" t="s">
        <v>180</v>
      </c>
      <c r="M2309" s="2" t="s">
        <v>305</v>
      </c>
      <c r="N2309" s="2" t="s">
        <v>17625</v>
      </c>
      <c r="O2309" s="2"/>
      <c r="P2309" s="2" t="s">
        <v>37</v>
      </c>
      <c r="Q2309" s="4" t="n">
        <v>8731</v>
      </c>
      <c r="R2309" s="2" t="s">
        <v>136</v>
      </c>
      <c r="S2309" s="2" t="s">
        <v>39</v>
      </c>
      <c r="T2309" s="2" t="s">
        <v>40</v>
      </c>
      <c r="U2309" s="2" t="s">
        <v>17626</v>
      </c>
      <c r="V2309" s="2"/>
      <c r="W2309" s="2" t="s">
        <v>42</v>
      </c>
      <c r="X2309" s="2" t="s">
        <v>43</v>
      </c>
      <c r="Y2309" s="2" t="s">
        <v>37</v>
      </c>
      <c r="Z2309" s="2" t="s">
        <v>44</v>
      </c>
      <c r="AA2309" s="2"/>
      <c r="AB2309" s="2"/>
      <c r="AC2309" s="2" t="s">
        <v>17627</v>
      </c>
      <c r="AD2309" s="2" t="s">
        <v>46</v>
      </c>
    </row>
    <row r="2310" customFormat="false" ht="15.7" hidden="false" customHeight="true" outlineLevel="0" collapsed="false">
      <c r="A2310" s="2"/>
      <c r="B2310" s="3" t="n">
        <f aca="false">DATE(2013,8,6)</f>
        <v>0</v>
      </c>
      <c r="C2310" s="3" t="n">
        <v>41492</v>
      </c>
      <c r="D2310" s="2" t="s">
        <v>17628</v>
      </c>
      <c r="F2310" s="2" t="s">
        <v>17629</v>
      </c>
      <c r="G2310" s="2" t="s">
        <v>17630</v>
      </c>
      <c r="H2310" s="2" t="s">
        <v>17631</v>
      </c>
      <c r="I2310" s="2" t="s">
        <v>34</v>
      </c>
      <c r="J2310" s="2" t="s">
        <v>35</v>
      </c>
      <c r="K2310" s="2" t="s">
        <v>17628</v>
      </c>
      <c r="L2310" s="2" t="s">
        <v>34</v>
      </c>
      <c r="M2310" s="2" t="s">
        <v>17631</v>
      </c>
      <c r="N2310" s="2" t="s">
        <v>17632</v>
      </c>
      <c r="O2310" s="2"/>
      <c r="P2310" s="2" t="s">
        <v>37</v>
      </c>
      <c r="Q2310" s="4" t="n">
        <v>8731</v>
      </c>
      <c r="R2310" s="2" t="s">
        <v>38</v>
      </c>
      <c r="S2310" s="2" t="s">
        <v>39</v>
      </c>
      <c r="T2310" s="2" t="s">
        <v>40</v>
      </c>
      <c r="U2310" s="2" t="s">
        <v>17633</v>
      </c>
      <c r="V2310" s="2"/>
      <c r="W2310" s="2" t="s">
        <v>42</v>
      </c>
      <c r="X2310" s="2" t="s">
        <v>43</v>
      </c>
      <c r="Y2310" s="2" t="s">
        <v>37</v>
      </c>
      <c r="Z2310" s="2" t="s">
        <v>44</v>
      </c>
      <c r="AA2310" s="2"/>
      <c r="AB2310" s="2"/>
      <c r="AC2310" s="2" t="s">
        <v>17634</v>
      </c>
      <c r="AD2310" s="2" t="s">
        <v>46</v>
      </c>
    </row>
    <row r="2311" customFormat="false" ht="15.7" hidden="false" customHeight="true" outlineLevel="0" collapsed="false">
      <c r="A2311" s="2"/>
      <c r="B2311" s="3" t="n">
        <f aca="false">DATE(2013,8,7)</f>
        <v>0</v>
      </c>
      <c r="C2311" s="3" t="n">
        <v>41493</v>
      </c>
      <c r="D2311" s="2" t="s">
        <v>17635</v>
      </c>
      <c r="F2311" s="2" t="s">
        <v>17636</v>
      </c>
      <c r="G2311" s="2" t="s">
        <v>17637</v>
      </c>
      <c r="H2311" s="2" t="s">
        <v>17638</v>
      </c>
      <c r="I2311" s="2" t="s">
        <v>17639</v>
      </c>
      <c r="J2311" s="2" t="s">
        <v>116</v>
      </c>
      <c r="K2311" s="2" t="s">
        <v>17635</v>
      </c>
      <c r="L2311" s="2" t="s">
        <v>17639</v>
      </c>
      <c r="M2311" s="2" t="s">
        <v>17638</v>
      </c>
      <c r="N2311" s="2" t="s">
        <v>17640</v>
      </c>
      <c r="O2311" s="2"/>
      <c r="P2311" s="2" t="s">
        <v>37</v>
      </c>
      <c r="Q2311" s="4" t="n">
        <v>3841</v>
      </c>
      <c r="R2311" s="2" t="s">
        <v>402</v>
      </c>
      <c r="S2311" s="2" t="s">
        <v>39</v>
      </c>
      <c r="T2311" s="2" t="s">
        <v>40</v>
      </c>
      <c r="U2311" s="2" t="s">
        <v>17641</v>
      </c>
      <c r="V2311" s="2"/>
      <c r="W2311" s="2" t="s">
        <v>42</v>
      </c>
      <c r="X2311" s="2" t="s">
        <v>43</v>
      </c>
      <c r="Y2311" s="2" t="s">
        <v>37</v>
      </c>
      <c r="Z2311" s="2" t="s">
        <v>916</v>
      </c>
      <c r="AA2311" s="2"/>
      <c r="AB2311" s="2"/>
      <c r="AC2311" s="2" t="s">
        <v>17642</v>
      </c>
      <c r="AD2311" s="2" t="s">
        <v>46</v>
      </c>
    </row>
    <row r="2312" customFormat="false" ht="15.7" hidden="false" customHeight="true" outlineLevel="0" collapsed="false">
      <c r="A2312" s="2"/>
      <c r="B2312" s="3" t="n">
        <f aca="false">DATE(2013,8,8)</f>
        <v>0</v>
      </c>
      <c r="C2312" s="3" t="n">
        <v>41494</v>
      </c>
      <c r="D2312" s="2" t="s">
        <v>17643</v>
      </c>
      <c r="F2312" s="2" t="s">
        <v>17644</v>
      </c>
      <c r="G2312" s="2" t="s">
        <v>17645</v>
      </c>
      <c r="H2312" s="2" t="s">
        <v>17646</v>
      </c>
      <c r="I2312" s="2" t="s">
        <v>2294</v>
      </c>
      <c r="J2312" s="2" t="s">
        <v>35</v>
      </c>
      <c r="K2312" s="2" t="s">
        <v>17643</v>
      </c>
      <c r="L2312" s="2" t="s">
        <v>2294</v>
      </c>
      <c r="M2312" s="2" t="s">
        <v>17646</v>
      </c>
      <c r="N2312" s="2" t="s">
        <v>17647</v>
      </c>
      <c r="O2312" s="2"/>
      <c r="P2312" s="2" t="s">
        <v>37</v>
      </c>
      <c r="Q2312" s="4" t="n">
        <v>8071</v>
      </c>
      <c r="R2312" s="2" t="s">
        <v>450</v>
      </c>
      <c r="S2312" s="2" t="s">
        <v>39</v>
      </c>
      <c r="T2312" s="2" t="s">
        <v>403</v>
      </c>
      <c r="U2312" s="2" t="s">
        <v>17648</v>
      </c>
      <c r="V2312" s="2"/>
      <c r="W2312" s="2" t="s">
        <v>15969</v>
      </c>
      <c r="X2312" s="2" t="s">
        <v>46</v>
      </c>
      <c r="Y2312" s="2" t="s">
        <v>37</v>
      </c>
      <c r="Z2312" s="2" t="s">
        <v>362</v>
      </c>
      <c r="AA2312" s="2" t="s">
        <v>17649</v>
      </c>
      <c r="AB2312" s="2"/>
      <c r="AC2312" s="2" t="s">
        <v>17650</v>
      </c>
      <c r="AD2312" s="2" t="s">
        <v>46</v>
      </c>
    </row>
    <row r="2313" customFormat="false" ht="15.7" hidden="false" customHeight="true" outlineLevel="0" collapsed="false">
      <c r="A2313" s="2"/>
      <c r="B2313" s="3" t="n">
        <f aca="false">DATE(2013,8,11)</f>
        <v>0</v>
      </c>
      <c r="C2313" s="3" t="n">
        <v>41497</v>
      </c>
      <c r="D2313" s="2" t="s">
        <v>17651</v>
      </c>
      <c r="F2313" s="2" t="s">
        <v>17652</v>
      </c>
      <c r="G2313" s="2" t="s">
        <v>17653</v>
      </c>
      <c r="H2313" s="2" t="s">
        <v>3954</v>
      </c>
      <c r="I2313" s="2" t="s">
        <v>2294</v>
      </c>
      <c r="J2313" s="2" t="s">
        <v>35</v>
      </c>
      <c r="K2313" s="2" t="s">
        <v>17654</v>
      </c>
      <c r="L2313" s="2" t="s">
        <v>12378</v>
      </c>
      <c r="M2313" s="2" t="s">
        <v>3954</v>
      </c>
      <c r="N2313" s="2" t="s">
        <v>17655</v>
      </c>
      <c r="O2313" s="2"/>
      <c r="P2313" s="2" t="s">
        <v>37</v>
      </c>
      <c r="Q2313" s="4" t="n">
        <v>8732</v>
      </c>
      <c r="R2313" s="2" t="s">
        <v>450</v>
      </c>
      <c r="S2313" s="2" t="s">
        <v>39</v>
      </c>
      <c r="T2313" s="2" t="s">
        <v>40</v>
      </c>
      <c r="U2313" s="2" t="s">
        <v>17656</v>
      </c>
      <c r="V2313" s="2"/>
      <c r="W2313" s="2" t="s">
        <v>138</v>
      </c>
      <c r="X2313" s="2" t="s">
        <v>43</v>
      </c>
      <c r="Y2313" s="2" t="s">
        <v>37</v>
      </c>
      <c r="Z2313" s="2" t="s">
        <v>44</v>
      </c>
      <c r="AA2313" s="2"/>
      <c r="AB2313" s="2"/>
      <c r="AC2313" s="2" t="s">
        <v>17657</v>
      </c>
      <c r="AD2313" s="2" t="s">
        <v>46</v>
      </c>
    </row>
    <row r="2314" customFormat="false" ht="15.7" hidden="false" customHeight="true" outlineLevel="0" collapsed="false">
      <c r="A2314" s="2"/>
      <c r="B2314" s="3" t="n">
        <f aca="false">DATE(2013,8,12)</f>
        <v>0</v>
      </c>
      <c r="C2314" s="3" t="n">
        <v>41498</v>
      </c>
      <c r="D2314" s="2" t="s">
        <v>17658</v>
      </c>
      <c r="F2314" s="2" t="s">
        <v>17659</v>
      </c>
      <c r="G2314" s="2" t="s">
        <v>17660</v>
      </c>
      <c r="H2314" s="2" t="s">
        <v>8741</v>
      </c>
      <c r="I2314" s="2" t="s">
        <v>1287</v>
      </c>
      <c r="J2314" s="2" t="s">
        <v>35</v>
      </c>
      <c r="K2314" s="2" t="s">
        <v>17658</v>
      </c>
      <c r="L2314" s="2" t="s">
        <v>1287</v>
      </c>
      <c r="M2314" s="2" t="s">
        <v>8741</v>
      </c>
      <c r="N2314" s="2" t="s">
        <v>17661</v>
      </c>
      <c r="O2314" s="2"/>
      <c r="P2314" s="2" t="s">
        <v>37</v>
      </c>
      <c r="Q2314" s="4" t="n">
        <v>8731</v>
      </c>
      <c r="R2314" s="2" t="s">
        <v>136</v>
      </c>
      <c r="S2314" s="2" t="s">
        <v>39</v>
      </c>
      <c r="T2314" s="2" t="s">
        <v>40</v>
      </c>
      <c r="U2314" s="2" t="s">
        <v>17662</v>
      </c>
      <c r="V2314" s="2"/>
      <c r="W2314" s="2" t="s">
        <v>42</v>
      </c>
      <c r="X2314" s="2" t="s">
        <v>43</v>
      </c>
      <c r="Y2314" s="2" t="s">
        <v>37</v>
      </c>
      <c r="Z2314" s="2" t="s">
        <v>44</v>
      </c>
      <c r="AA2314" s="2"/>
      <c r="AB2314" s="2"/>
      <c r="AC2314" s="2" t="s">
        <v>17663</v>
      </c>
      <c r="AD2314" s="2" t="s">
        <v>46</v>
      </c>
    </row>
    <row r="2315" customFormat="false" ht="15.7" hidden="false" customHeight="true" outlineLevel="0" collapsed="false">
      <c r="A2315" s="2"/>
      <c r="B2315" s="3" t="n">
        <f aca="false">DATE(2013,8,12)</f>
        <v>0</v>
      </c>
      <c r="C2315" s="3" t="n">
        <v>41498</v>
      </c>
      <c r="D2315" s="2" t="s">
        <v>17664</v>
      </c>
      <c r="F2315" s="2" t="s">
        <v>17665</v>
      </c>
      <c r="G2315" s="2" t="s">
        <v>17666</v>
      </c>
      <c r="H2315" s="2" t="s">
        <v>63</v>
      </c>
      <c r="I2315" s="2" t="s">
        <v>4325</v>
      </c>
      <c r="J2315" s="2" t="s">
        <v>35</v>
      </c>
      <c r="K2315" s="2" t="s">
        <v>17667</v>
      </c>
      <c r="L2315" s="2" t="s">
        <v>17668</v>
      </c>
      <c r="M2315" s="2" t="s">
        <v>230</v>
      </c>
      <c r="N2315" s="2" t="s">
        <v>17669</v>
      </c>
      <c r="O2315" s="2"/>
      <c r="P2315" s="2" t="s">
        <v>37</v>
      </c>
      <c r="Q2315" s="4" t="n">
        <v>8731</v>
      </c>
      <c r="R2315" s="2" t="s">
        <v>402</v>
      </c>
      <c r="S2315" s="2" t="s">
        <v>39</v>
      </c>
      <c r="T2315" s="2" t="s">
        <v>40</v>
      </c>
      <c r="U2315" s="2" t="s">
        <v>17670</v>
      </c>
      <c r="V2315" s="2"/>
      <c r="W2315" s="2" t="s">
        <v>697</v>
      </c>
      <c r="X2315" s="2" t="s">
        <v>43</v>
      </c>
      <c r="Y2315" s="2" t="s">
        <v>37</v>
      </c>
      <c r="Z2315" s="2" t="s">
        <v>44</v>
      </c>
      <c r="AA2315" s="2"/>
      <c r="AB2315" s="2"/>
      <c r="AC2315" s="2" t="s">
        <v>17671</v>
      </c>
      <c r="AD2315" s="2" t="s">
        <v>46</v>
      </c>
    </row>
    <row r="2316" customFormat="false" ht="15.7" hidden="false" customHeight="true" outlineLevel="0" collapsed="false">
      <c r="A2316" s="2"/>
      <c r="B2316" s="3" t="n">
        <f aca="false">DATE(2013,8,12)</f>
        <v>0</v>
      </c>
      <c r="C2316" s="3" t="n">
        <v>41498</v>
      </c>
      <c r="D2316" s="2" t="s">
        <v>17672</v>
      </c>
      <c r="F2316" s="2" t="s">
        <v>739</v>
      </c>
      <c r="G2316" s="2" t="s">
        <v>17673</v>
      </c>
      <c r="H2316" s="2" t="s">
        <v>130</v>
      </c>
      <c r="I2316" s="2" t="s">
        <v>17674</v>
      </c>
      <c r="J2316" s="2" t="s">
        <v>35</v>
      </c>
      <c r="K2316" s="2" t="s">
        <v>17672</v>
      </c>
      <c r="L2316" s="2" t="s">
        <v>17674</v>
      </c>
      <c r="M2316" s="2" t="s">
        <v>130</v>
      </c>
      <c r="N2316" s="2" t="s">
        <v>17675</v>
      </c>
      <c r="O2316" s="2"/>
      <c r="P2316" s="2" t="s">
        <v>37</v>
      </c>
      <c r="Q2316" s="4" t="n">
        <v>8731</v>
      </c>
      <c r="R2316" s="2" t="s">
        <v>56</v>
      </c>
      <c r="S2316" s="2"/>
      <c r="T2316" s="2" t="s">
        <v>403</v>
      </c>
      <c r="U2316" s="2" t="s">
        <v>17676</v>
      </c>
      <c r="V2316" s="2"/>
      <c r="W2316" s="2" t="s">
        <v>42</v>
      </c>
      <c r="X2316" s="2" t="s">
        <v>46</v>
      </c>
      <c r="Y2316" s="2" t="s">
        <v>37</v>
      </c>
      <c r="Z2316" s="2" t="s">
        <v>362</v>
      </c>
      <c r="AA2316" s="2"/>
      <c r="AB2316" s="2"/>
      <c r="AC2316" s="2" t="s">
        <v>17677</v>
      </c>
      <c r="AD2316" s="2" t="s">
        <v>46</v>
      </c>
    </row>
    <row r="2317" customFormat="false" ht="15.7" hidden="false" customHeight="true" outlineLevel="0" collapsed="false">
      <c r="A2317" s="2"/>
      <c r="B2317" s="3" t="n">
        <f aca="false">DATE(2013,8,12)</f>
        <v>0</v>
      </c>
      <c r="C2317" s="3" t="n">
        <v>41498</v>
      </c>
      <c r="D2317" s="2" t="s">
        <v>17678</v>
      </c>
      <c r="F2317" s="2" t="s">
        <v>17679</v>
      </c>
      <c r="G2317" s="2" t="s">
        <v>17680</v>
      </c>
      <c r="H2317" s="2" t="s">
        <v>17681</v>
      </c>
      <c r="I2317" s="2" t="s">
        <v>51</v>
      </c>
      <c r="J2317" s="2" t="s">
        <v>2338</v>
      </c>
      <c r="K2317" s="2" t="s">
        <v>17678</v>
      </c>
      <c r="L2317" s="2" t="s">
        <v>51</v>
      </c>
      <c r="M2317" s="2" t="s">
        <v>17681</v>
      </c>
      <c r="N2317" s="2" t="s">
        <v>17682</v>
      </c>
      <c r="O2317" s="2"/>
      <c r="P2317" s="2" t="s">
        <v>37</v>
      </c>
      <c r="Q2317" s="4" t="n">
        <v>8731</v>
      </c>
      <c r="R2317" s="2" t="s">
        <v>56</v>
      </c>
      <c r="S2317" s="2" t="s">
        <v>507</v>
      </c>
      <c r="T2317" s="2" t="s">
        <v>40</v>
      </c>
      <c r="U2317" s="2" t="s">
        <v>17683</v>
      </c>
      <c r="V2317" s="2"/>
      <c r="W2317" s="2" t="s">
        <v>42</v>
      </c>
      <c r="X2317" s="2" t="s">
        <v>43</v>
      </c>
      <c r="Y2317" s="2" t="s">
        <v>37</v>
      </c>
      <c r="Z2317" s="2" t="s">
        <v>44</v>
      </c>
      <c r="AA2317" s="2"/>
      <c r="AB2317" s="2"/>
      <c r="AC2317" s="2" t="s">
        <v>17684</v>
      </c>
      <c r="AD2317" s="2" t="s">
        <v>46</v>
      </c>
    </row>
    <row r="2318" customFormat="false" ht="15.7" hidden="false" customHeight="true" outlineLevel="0" collapsed="false">
      <c r="A2318" s="2"/>
      <c r="B2318" s="3" t="n">
        <f aca="false">DATE(2013,8,12)</f>
        <v>0</v>
      </c>
      <c r="C2318" s="3" t="n">
        <v>41498</v>
      </c>
      <c r="D2318" s="2" t="s">
        <v>17685</v>
      </c>
      <c r="F2318" s="2" t="s">
        <v>17686</v>
      </c>
      <c r="G2318" s="2" t="s">
        <v>17687</v>
      </c>
      <c r="H2318" s="2" t="s">
        <v>130</v>
      </c>
      <c r="I2318" s="2" t="s">
        <v>51</v>
      </c>
      <c r="J2318" s="2" t="s">
        <v>17688</v>
      </c>
      <c r="K2318" s="2" t="s">
        <v>17685</v>
      </c>
      <c r="L2318" s="2" t="s">
        <v>51</v>
      </c>
      <c r="M2318" s="2" t="s">
        <v>130</v>
      </c>
      <c r="N2318" s="2" t="s">
        <v>17689</v>
      </c>
      <c r="O2318" s="2"/>
      <c r="P2318" s="2" t="s">
        <v>37</v>
      </c>
      <c r="Q2318" s="4" t="n">
        <v>8731</v>
      </c>
      <c r="R2318" s="2" t="s">
        <v>56</v>
      </c>
      <c r="S2318" s="2" t="s">
        <v>1622</v>
      </c>
      <c r="T2318" s="2" t="s">
        <v>403</v>
      </c>
      <c r="U2318" s="2" t="s">
        <v>17690</v>
      </c>
      <c r="V2318" s="2"/>
      <c r="W2318" s="2" t="s">
        <v>697</v>
      </c>
      <c r="X2318" s="2" t="s">
        <v>46</v>
      </c>
      <c r="Y2318" s="2" t="s">
        <v>37</v>
      </c>
      <c r="Z2318" s="2" t="s">
        <v>362</v>
      </c>
      <c r="AA2318" s="2"/>
      <c r="AB2318" s="2"/>
      <c r="AC2318" s="2" t="s">
        <v>17691</v>
      </c>
      <c r="AD2318" s="2" t="s">
        <v>46</v>
      </c>
    </row>
    <row r="2319" customFormat="false" ht="15.7" hidden="false" customHeight="true" outlineLevel="0" collapsed="false">
      <c r="A2319" s="2"/>
      <c r="B2319" s="3" t="n">
        <f aca="false">DATE(2013,8,13)</f>
        <v>0</v>
      </c>
      <c r="C2319" s="3" t="n">
        <v>41499</v>
      </c>
      <c r="D2319" s="2" t="s">
        <v>17692</v>
      </c>
      <c r="F2319" s="2" t="s">
        <v>17693</v>
      </c>
      <c r="G2319" s="2" t="s">
        <v>17694</v>
      </c>
      <c r="H2319" s="2" t="s">
        <v>130</v>
      </c>
      <c r="I2319" s="2" t="s">
        <v>3885</v>
      </c>
      <c r="J2319" s="2" t="s">
        <v>35</v>
      </c>
      <c r="K2319" s="2" t="s">
        <v>17695</v>
      </c>
      <c r="L2319" s="2" t="s">
        <v>3885</v>
      </c>
      <c r="M2319" s="2" t="s">
        <v>130</v>
      </c>
      <c r="N2319" s="2" t="s">
        <v>17696</v>
      </c>
      <c r="O2319" s="2"/>
      <c r="P2319" s="2" t="s">
        <v>37</v>
      </c>
      <c r="Q2319" s="4" t="n">
        <v>2833</v>
      </c>
      <c r="R2319" s="2" t="s">
        <v>38</v>
      </c>
      <c r="S2319" s="2" t="s">
        <v>39</v>
      </c>
      <c r="T2319" s="2" t="s">
        <v>40</v>
      </c>
      <c r="U2319" s="2" t="s">
        <v>17697</v>
      </c>
      <c r="V2319" s="2"/>
      <c r="W2319" s="2" t="s">
        <v>1050</v>
      </c>
      <c r="X2319" s="2" t="s">
        <v>43</v>
      </c>
      <c r="Y2319" s="2" t="s">
        <v>37</v>
      </c>
      <c r="Z2319" s="2" t="s">
        <v>44</v>
      </c>
      <c r="AA2319" s="2"/>
      <c r="AB2319" s="2"/>
      <c r="AC2319" s="2" t="s">
        <v>17698</v>
      </c>
      <c r="AD2319" s="2" t="s">
        <v>46</v>
      </c>
    </row>
    <row r="2320" customFormat="false" ht="15.7" hidden="false" customHeight="true" outlineLevel="0" collapsed="false">
      <c r="A2320" s="2"/>
      <c r="B2320" s="3" t="n">
        <f aca="false">DATE(2013,8,15)</f>
        <v>0</v>
      </c>
      <c r="C2320" s="3" t="n">
        <v>41501</v>
      </c>
      <c r="D2320" s="2" t="s">
        <v>17699</v>
      </c>
      <c r="F2320" s="2" t="s">
        <v>17700</v>
      </c>
      <c r="G2320" s="2" t="s">
        <v>17701</v>
      </c>
      <c r="H2320" s="2" t="s">
        <v>14874</v>
      </c>
      <c r="I2320" s="2" t="s">
        <v>459</v>
      </c>
      <c r="J2320" s="2" t="s">
        <v>35</v>
      </c>
      <c r="K2320" s="2" t="s">
        <v>17702</v>
      </c>
      <c r="L2320" s="2" t="s">
        <v>459</v>
      </c>
      <c r="M2320" s="2" t="s">
        <v>17703</v>
      </c>
      <c r="N2320" s="2" t="s">
        <v>17704</v>
      </c>
      <c r="O2320" s="2"/>
      <c r="P2320" s="2" t="s">
        <v>37</v>
      </c>
      <c r="Q2320" s="4" t="n">
        <v>8733</v>
      </c>
      <c r="R2320" s="2" t="s">
        <v>461</v>
      </c>
      <c r="S2320" s="2" t="s">
        <v>39</v>
      </c>
      <c r="T2320" s="2" t="s">
        <v>403</v>
      </c>
      <c r="U2320" s="2" t="s">
        <v>17705</v>
      </c>
      <c r="V2320" s="2"/>
      <c r="W2320" s="2" t="s">
        <v>13622</v>
      </c>
      <c r="X2320" s="2" t="s">
        <v>46</v>
      </c>
      <c r="Y2320" s="2" t="s">
        <v>37</v>
      </c>
      <c r="Z2320" s="2" t="s">
        <v>756</v>
      </c>
      <c r="AA2320" s="2"/>
      <c r="AB2320" s="2"/>
      <c r="AC2320" s="2" t="s">
        <v>17706</v>
      </c>
      <c r="AD2320" s="2" t="s">
        <v>46</v>
      </c>
    </row>
    <row r="2321" customFormat="false" ht="15.7" hidden="false" customHeight="true" outlineLevel="0" collapsed="false">
      <c r="A2321" s="2"/>
      <c r="B2321" s="3" t="n">
        <f aca="false">DATE(2013,8,15)</f>
        <v>0</v>
      </c>
      <c r="C2321" s="3" t="n">
        <v>41501</v>
      </c>
      <c r="D2321" s="2" t="s">
        <v>17707</v>
      </c>
      <c r="F2321" s="2" t="s">
        <v>11781</v>
      </c>
      <c r="G2321" s="2" t="s">
        <v>17708</v>
      </c>
      <c r="H2321" s="2" t="s">
        <v>305</v>
      </c>
      <c r="I2321" s="2" t="s">
        <v>51</v>
      </c>
      <c r="J2321" s="2" t="s">
        <v>3045</v>
      </c>
      <c r="K2321" s="2" t="s">
        <v>17709</v>
      </c>
      <c r="L2321" s="2" t="s">
        <v>664</v>
      </c>
      <c r="M2321" s="2" t="s">
        <v>6008</v>
      </c>
      <c r="N2321" s="2" t="s">
        <v>17710</v>
      </c>
      <c r="O2321" s="2"/>
      <c r="P2321" s="2" t="s">
        <v>37</v>
      </c>
      <c r="Q2321" s="4" t="n">
        <v>8731</v>
      </c>
      <c r="R2321" s="2" t="s">
        <v>56</v>
      </c>
      <c r="S2321" s="2" t="s">
        <v>80</v>
      </c>
      <c r="T2321" s="2" t="s">
        <v>40</v>
      </c>
      <c r="U2321" s="2" t="s">
        <v>17711</v>
      </c>
      <c r="V2321" s="2"/>
      <c r="W2321" s="2" t="s">
        <v>42</v>
      </c>
      <c r="X2321" s="2" t="s">
        <v>43</v>
      </c>
      <c r="Y2321" s="2" t="s">
        <v>37</v>
      </c>
      <c r="Z2321" s="2" t="s">
        <v>44</v>
      </c>
      <c r="AA2321" s="2"/>
      <c r="AB2321" s="2"/>
      <c r="AC2321" s="2" t="s">
        <v>17712</v>
      </c>
      <c r="AD2321" s="2" t="s">
        <v>46</v>
      </c>
    </row>
    <row r="2322" customFormat="false" ht="15.7" hidden="false" customHeight="true" outlineLevel="0" collapsed="false">
      <c r="A2322" s="2"/>
      <c r="B2322" s="3" t="n">
        <f aca="false">DATE(2013,8,16)</f>
        <v>0</v>
      </c>
      <c r="C2322" s="3" t="n">
        <v>41502</v>
      </c>
      <c r="D2322" s="2" t="s">
        <v>17713</v>
      </c>
      <c r="F2322" s="2" t="s">
        <v>17714</v>
      </c>
      <c r="G2322" s="2" t="s">
        <v>17715</v>
      </c>
      <c r="H2322" s="2" t="s">
        <v>17716</v>
      </c>
      <c r="I2322" s="2" t="s">
        <v>2590</v>
      </c>
      <c r="J2322" s="2" t="s">
        <v>35</v>
      </c>
      <c r="K2322" s="2" t="s">
        <v>17713</v>
      </c>
      <c r="L2322" s="2" t="s">
        <v>2590</v>
      </c>
      <c r="M2322" s="2" t="s">
        <v>17716</v>
      </c>
      <c r="N2322" s="2" t="s">
        <v>17717</v>
      </c>
      <c r="O2322" s="2"/>
      <c r="P2322" s="2" t="s">
        <v>37</v>
      </c>
      <c r="Q2322" s="4" t="n">
        <v>3674</v>
      </c>
      <c r="R2322" s="2" t="s">
        <v>402</v>
      </c>
      <c r="S2322" s="2" t="s">
        <v>39</v>
      </c>
      <c r="T2322" s="2" t="s">
        <v>403</v>
      </c>
      <c r="U2322" s="2" t="s">
        <v>17718</v>
      </c>
      <c r="V2322" s="2"/>
      <c r="W2322" s="2" t="s">
        <v>5464</v>
      </c>
      <c r="X2322" s="2" t="s">
        <v>46</v>
      </c>
      <c r="Y2322" s="2" t="s">
        <v>37</v>
      </c>
      <c r="Z2322" s="2" t="s">
        <v>362</v>
      </c>
      <c r="AA2322" s="2"/>
      <c r="AB2322" s="2"/>
      <c r="AC2322" s="2" t="s">
        <v>17719</v>
      </c>
      <c r="AD2322" s="2" t="s">
        <v>46</v>
      </c>
    </row>
    <row r="2323" customFormat="false" ht="15.7" hidden="false" customHeight="true" outlineLevel="0" collapsed="false">
      <c r="A2323" s="2"/>
      <c r="B2323" s="3" t="n">
        <f aca="false">DATE(2013,8,20)</f>
        <v>0</v>
      </c>
      <c r="C2323" s="3" t="n">
        <v>41506</v>
      </c>
      <c r="D2323" s="2" t="s">
        <v>17720</v>
      </c>
      <c r="F2323" s="2" t="s">
        <v>17721</v>
      </c>
      <c r="G2323" s="2" t="s">
        <v>17722</v>
      </c>
      <c r="H2323" s="2" t="s">
        <v>170</v>
      </c>
      <c r="I2323" s="2" t="s">
        <v>670</v>
      </c>
      <c r="J2323" s="2" t="s">
        <v>15829</v>
      </c>
      <c r="K2323" s="2" t="s">
        <v>17720</v>
      </c>
      <c r="L2323" s="2" t="s">
        <v>670</v>
      </c>
      <c r="M2323" s="2" t="s">
        <v>170</v>
      </c>
      <c r="N2323" s="2" t="s">
        <v>17723</v>
      </c>
      <c r="O2323" s="2"/>
      <c r="P2323" s="2" t="s">
        <v>37</v>
      </c>
      <c r="Q2323" s="4" t="n">
        <v>8731</v>
      </c>
      <c r="R2323" s="2" t="s">
        <v>136</v>
      </c>
      <c r="S2323" s="2" t="s">
        <v>39</v>
      </c>
      <c r="T2323" s="2" t="s">
        <v>40</v>
      </c>
      <c r="U2323" s="2" t="s">
        <v>17724</v>
      </c>
      <c r="V2323" s="2"/>
      <c r="W2323" s="2" t="s">
        <v>42</v>
      </c>
      <c r="X2323" s="2" t="s">
        <v>43</v>
      </c>
      <c r="Y2323" s="2" t="s">
        <v>37</v>
      </c>
      <c r="Z2323" s="2" t="s">
        <v>44</v>
      </c>
      <c r="AA2323" s="2"/>
      <c r="AB2323" s="2"/>
      <c r="AC2323" s="2" t="s">
        <v>17725</v>
      </c>
      <c r="AD2323" s="2" t="s">
        <v>46</v>
      </c>
    </row>
    <row r="2324" customFormat="false" ht="15.7" hidden="false" customHeight="true" outlineLevel="0" collapsed="false">
      <c r="A2324" s="2"/>
      <c r="B2324" s="3" t="n">
        <f aca="false">DATE(2013,8,20)</f>
        <v>0</v>
      </c>
      <c r="C2324" s="3" t="n">
        <v>41506</v>
      </c>
      <c r="D2324" s="2" t="s">
        <v>17726</v>
      </c>
      <c r="F2324" s="2" t="s">
        <v>17727</v>
      </c>
      <c r="G2324" s="2" t="s">
        <v>17728</v>
      </c>
      <c r="H2324" s="2" t="s">
        <v>63</v>
      </c>
      <c r="I2324" s="2" t="s">
        <v>51</v>
      </c>
      <c r="J2324" s="2" t="s">
        <v>17729</v>
      </c>
      <c r="K2324" s="2" t="s">
        <v>17726</v>
      </c>
      <c r="L2324" s="2" t="s">
        <v>51</v>
      </c>
      <c r="M2324" s="2" t="s">
        <v>63</v>
      </c>
      <c r="N2324" s="2" t="s">
        <v>17730</v>
      </c>
      <c r="O2324" s="2"/>
      <c r="P2324" s="2" t="s">
        <v>37</v>
      </c>
      <c r="Q2324" s="4" t="n">
        <v>2836</v>
      </c>
      <c r="R2324" s="2" t="s">
        <v>56</v>
      </c>
      <c r="S2324" s="2" t="s">
        <v>2265</v>
      </c>
      <c r="T2324" s="2" t="s">
        <v>40</v>
      </c>
      <c r="U2324" s="2" t="s">
        <v>17731</v>
      </c>
      <c r="V2324" s="2"/>
      <c r="W2324" s="2" t="s">
        <v>42</v>
      </c>
      <c r="X2324" s="2" t="s">
        <v>43</v>
      </c>
      <c r="Y2324" s="2" t="s">
        <v>37</v>
      </c>
      <c r="Z2324" s="2" t="s">
        <v>44</v>
      </c>
      <c r="AA2324" s="2"/>
      <c r="AB2324" s="2"/>
      <c r="AC2324" s="2" t="s">
        <v>17732</v>
      </c>
      <c r="AD2324" s="2" t="s">
        <v>46</v>
      </c>
    </row>
    <row r="2325" customFormat="false" ht="15.7" hidden="false" customHeight="true" outlineLevel="0" collapsed="false">
      <c r="A2325" s="2"/>
      <c r="B2325" s="3" t="n">
        <f aca="false">DATE(2013,8,22)</f>
        <v>0</v>
      </c>
      <c r="C2325" s="3" t="n">
        <v>41508</v>
      </c>
      <c r="D2325" s="2" t="s">
        <v>17733</v>
      </c>
      <c r="F2325" s="2" t="s">
        <v>17734</v>
      </c>
      <c r="G2325" s="2" t="s">
        <v>17735</v>
      </c>
      <c r="H2325" s="2" t="s">
        <v>17736</v>
      </c>
      <c r="I2325" s="2" t="s">
        <v>369</v>
      </c>
      <c r="J2325" s="2" t="s">
        <v>35</v>
      </c>
      <c r="K2325" s="2" t="s">
        <v>17737</v>
      </c>
      <c r="L2325" s="2" t="s">
        <v>180</v>
      </c>
      <c r="M2325" s="2" t="s">
        <v>17738</v>
      </c>
      <c r="N2325" s="2" t="s">
        <v>17739</v>
      </c>
      <c r="O2325" s="2"/>
      <c r="P2325" s="2" t="s">
        <v>37</v>
      </c>
      <c r="Q2325" s="4" t="n">
        <v>2819</v>
      </c>
      <c r="R2325" s="2" t="s">
        <v>56</v>
      </c>
      <c r="S2325" s="2" t="s">
        <v>4060</v>
      </c>
      <c r="T2325" s="2" t="s">
        <v>40</v>
      </c>
      <c r="U2325" s="2" t="s">
        <v>17740</v>
      </c>
      <c r="V2325" s="2"/>
      <c r="W2325" s="2" t="s">
        <v>42</v>
      </c>
      <c r="X2325" s="2" t="s">
        <v>43</v>
      </c>
      <c r="Y2325" s="2" t="s">
        <v>37</v>
      </c>
      <c r="Z2325" s="2" t="s">
        <v>44</v>
      </c>
      <c r="AA2325" s="2" t="s">
        <v>17741</v>
      </c>
      <c r="AB2325" s="2"/>
      <c r="AC2325" s="2" t="s">
        <v>17742</v>
      </c>
      <c r="AD2325" s="2" t="s">
        <v>46</v>
      </c>
    </row>
    <row r="2326" customFormat="false" ht="15.7" hidden="false" customHeight="true" outlineLevel="0" collapsed="false">
      <c r="A2326" s="2"/>
      <c r="B2326" s="3" t="n">
        <f aca="false">DATE(2013,8,22)</f>
        <v>0</v>
      </c>
      <c r="C2326" s="3" t="n">
        <v>41508</v>
      </c>
      <c r="D2326" s="2" t="s">
        <v>17743</v>
      </c>
      <c r="F2326" s="2" t="s">
        <v>17744</v>
      </c>
      <c r="G2326" s="2" t="s">
        <v>17745</v>
      </c>
      <c r="H2326" s="2" t="s">
        <v>3954</v>
      </c>
      <c r="I2326" s="2" t="s">
        <v>330</v>
      </c>
      <c r="J2326" s="2" t="s">
        <v>950</v>
      </c>
      <c r="K2326" s="2" t="s">
        <v>17746</v>
      </c>
      <c r="L2326" s="2" t="s">
        <v>51</v>
      </c>
      <c r="M2326" s="2" t="s">
        <v>17747</v>
      </c>
      <c r="N2326" s="2" t="s">
        <v>17748</v>
      </c>
      <c r="O2326" s="2"/>
      <c r="P2326" s="2" t="s">
        <v>37</v>
      </c>
      <c r="Q2326" s="4" t="n">
        <v>8731</v>
      </c>
      <c r="R2326" s="2" t="s">
        <v>136</v>
      </c>
      <c r="S2326" s="2" t="s">
        <v>39</v>
      </c>
      <c r="T2326" s="2" t="s">
        <v>40</v>
      </c>
      <c r="U2326" s="2" t="s">
        <v>17749</v>
      </c>
      <c r="V2326" s="2"/>
      <c r="W2326" s="2" t="s">
        <v>5464</v>
      </c>
      <c r="X2326" s="2" t="s">
        <v>43</v>
      </c>
      <c r="Y2326" s="2" t="s">
        <v>37</v>
      </c>
      <c r="Z2326" s="2" t="s">
        <v>44</v>
      </c>
      <c r="AA2326" s="2"/>
      <c r="AB2326" s="2"/>
      <c r="AC2326" s="2" t="s">
        <v>17750</v>
      </c>
      <c r="AD2326" s="2" t="s">
        <v>46</v>
      </c>
    </row>
    <row r="2327" customFormat="false" ht="15.7" hidden="false" customHeight="true" outlineLevel="0" collapsed="false">
      <c r="A2327" s="2"/>
      <c r="B2327" s="3" t="n">
        <f aca="false">DATE(2013,8,26)</f>
        <v>0</v>
      </c>
      <c r="C2327" s="3" t="n">
        <v>41512</v>
      </c>
      <c r="D2327" s="2" t="s">
        <v>17751</v>
      </c>
      <c r="F2327" s="2" t="s">
        <v>17752</v>
      </c>
      <c r="G2327" s="2" t="s">
        <v>17753</v>
      </c>
      <c r="H2327" s="2" t="s">
        <v>16719</v>
      </c>
      <c r="I2327" s="2" t="s">
        <v>2727</v>
      </c>
      <c r="J2327" s="2" t="s">
        <v>35</v>
      </c>
      <c r="K2327" s="2" t="s">
        <v>17754</v>
      </c>
      <c r="L2327" s="2" t="s">
        <v>670</v>
      </c>
      <c r="M2327" s="2" t="s">
        <v>17755</v>
      </c>
      <c r="N2327" s="2" t="s">
        <v>17756</v>
      </c>
      <c r="O2327" s="2"/>
      <c r="P2327" s="2" t="s">
        <v>37</v>
      </c>
      <c r="Q2327" s="4" t="n">
        <v>2869</v>
      </c>
      <c r="R2327" s="2" t="s">
        <v>402</v>
      </c>
      <c r="S2327" s="2" t="s">
        <v>39</v>
      </c>
      <c r="T2327" s="2" t="s">
        <v>403</v>
      </c>
      <c r="U2327" s="2" t="s">
        <v>17757</v>
      </c>
      <c r="V2327" s="2"/>
      <c r="W2327" s="2" t="s">
        <v>697</v>
      </c>
      <c r="X2327" s="2" t="s">
        <v>43</v>
      </c>
      <c r="Y2327" s="2" t="s">
        <v>37</v>
      </c>
      <c r="Z2327" s="2" t="s">
        <v>44</v>
      </c>
      <c r="AA2327" s="2"/>
      <c r="AB2327" s="2"/>
      <c r="AC2327" s="2" t="s">
        <v>17758</v>
      </c>
      <c r="AD2327" s="2" t="s">
        <v>46</v>
      </c>
    </row>
    <row r="2328" customFormat="false" ht="15.7" hidden="false" customHeight="true" outlineLevel="0" collapsed="false">
      <c r="A2328" s="2"/>
      <c r="B2328" s="3" t="n">
        <f aca="false">DATE(2013,8,26)</f>
        <v>0</v>
      </c>
      <c r="C2328" s="3" t="n">
        <v>41512</v>
      </c>
      <c r="D2328" s="2" t="s">
        <v>17759</v>
      </c>
      <c r="F2328" s="2" t="s">
        <v>12803</v>
      </c>
      <c r="G2328" s="2" t="s">
        <v>17760</v>
      </c>
      <c r="H2328" s="2" t="s">
        <v>762</v>
      </c>
      <c r="I2328" s="2" t="s">
        <v>51</v>
      </c>
      <c r="J2328" s="2" t="s">
        <v>2338</v>
      </c>
      <c r="K2328" s="2" t="s">
        <v>17759</v>
      </c>
      <c r="L2328" s="2" t="s">
        <v>51</v>
      </c>
      <c r="M2328" s="2" t="s">
        <v>762</v>
      </c>
      <c r="N2328" s="2" t="s">
        <v>17761</v>
      </c>
      <c r="O2328" s="2"/>
      <c r="P2328" s="2" t="s">
        <v>37</v>
      </c>
      <c r="Q2328" s="4" t="n">
        <v>8731</v>
      </c>
      <c r="R2328" s="2" t="s">
        <v>56</v>
      </c>
      <c r="S2328" s="2"/>
      <c r="T2328" s="2" t="s">
        <v>40</v>
      </c>
      <c r="U2328" s="2" t="s">
        <v>17762</v>
      </c>
      <c r="V2328" s="2"/>
      <c r="W2328" s="2" t="s">
        <v>42</v>
      </c>
      <c r="X2328" s="2" t="s">
        <v>43</v>
      </c>
      <c r="Y2328" s="2" t="s">
        <v>37</v>
      </c>
      <c r="Z2328" s="2" t="s">
        <v>44</v>
      </c>
      <c r="AA2328" s="2"/>
      <c r="AB2328" s="2"/>
      <c r="AC2328" s="2" t="s">
        <v>17763</v>
      </c>
      <c r="AD2328" s="2" t="s">
        <v>46</v>
      </c>
    </row>
    <row r="2329" customFormat="false" ht="15.7" hidden="false" customHeight="true" outlineLevel="0" collapsed="false">
      <c r="A2329" s="2"/>
      <c r="B2329" s="3" t="n">
        <f aca="false">DATE(2013,8,27)</f>
        <v>0</v>
      </c>
      <c r="C2329" s="3" t="n">
        <v>41513</v>
      </c>
      <c r="D2329" s="2" t="s">
        <v>17764</v>
      </c>
      <c r="F2329" s="2" t="s">
        <v>17765</v>
      </c>
      <c r="G2329" s="2" t="s">
        <v>17766</v>
      </c>
      <c r="H2329" s="2" t="s">
        <v>17767</v>
      </c>
      <c r="I2329" s="2" t="s">
        <v>5930</v>
      </c>
      <c r="J2329" s="2" t="s">
        <v>35</v>
      </c>
      <c r="K2329" s="2" t="s">
        <v>17764</v>
      </c>
      <c r="L2329" s="2" t="s">
        <v>5930</v>
      </c>
      <c r="M2329" s="2" t="s">
        <v>17767</v>
      </c>
      <c r="N2329" s="2" t="s">
        <v>17768</v>
      </c>
      <c r="O2329" s="2"/>
      <c r="P2329" s="2" t="s">
        <v>37</v>
      </c>
      <c r="Q2329" s="4" t="n">
        <v>2836</v>
      </c>
      <c r="R2329" s="2" t="s">
        <v>17769</v>
      </c>
      <c r="S2329" s="2" t="s">
        <v>5334</v>
      </c>
      <c r="T2329" s="2" t="s">
        <v>40</v>
      </c>
      <c r="U2329" s="2" t="s">
        <v>17770</v>
      </c>
      <c r="V2329" s="2"/>
      <c r="W2329" s="2" t="s">
        <v>1050</v>
      </c>
      <c r="X2329" s="2" t="s">
        <v>43</v>
      </c>
      <c r="Y2329" s="2" t="s">
        <v>79</v>
      </c>
      <c r="Z2329" s="2" t="s">
        <v>44</v>
      </c>
      <c r="AA2329" s="2"/>
      <c r="AB2329" s="2"/>
      <c r="AC2329" s="2" t="s">
        <v>17771</v>
      </c>
      <c r="AD2329" s="2" t="s">
        <v>46</v>
      </c>
    </row>
    <row r="2330" customFormat="false" ht="15.7" hidden="false" customHeight="true" outlineLevel="0" collapsed="false">
      <c r="A2330" s="2"/>
      <c r="B2330" s="3" t="n">
        <f aca="false">DATE(2013,8,27)</f>
        <v>0</v>
      </c>
      <c r="C2330" s="3" t="n">
        <v>41513</v>
      </c>
      <c r="D2330" s="2" t="s">
        <v>17772</v>
      </c>
      <c r="F2330" s="2" t="s">
        <v>17773</v>
      </c>
      <c r="G2330" s="2" t="s">
        <v>17774</v>
      </c>
      <c r="H2330" s="2" t="s">
        <v>17775</v>
      </c>
      <c r="I2330" s="2" t="s">
        <v>17776</v>
      </c>
      <c r="J2330" s="2" t="s">
        <v>17777</v>
      </c>
      <c r="K2330" s="2" t="s">
        <v>17772</v>
      </c>
      <c r="L2330" s="2" t="s">
        <v>17776</v>
      </c>
      <c r="M2330" s="2" t="s">
        <v>17775</v>
      </c>
      <c r="N2330" s="2" t="s">
        <v>17778</v>
      </c>
      <c r="O2330" s="2"/>
      <c r="P2330" s="2" t="s">
        <v>37</v>
      </c>
      <c r="Q2330" s="4" t="n">
        <v>8731</v>
      </c>
      <c r="R2330" s="2" t="s">
        <v>402</v>
      </c>
      <c r="S2330" s="2" t="s">
        <v>39</v>
      </c>
      <c r="T2330" s="2" t="s">
        <v>40</v>
      </c>
      <c r="U2330" s="2" t="s">
        <v>17779</v>
      </c>
      <c r="V2330" s="2"/>
      <c r="W2330" s="2" t="s">
        <v>42</v>
      </c>
      <c r="X2330" s="2" t="s">
        <v>43</v>
      </c>
      <c r="Y2330" s="2" t="s">
        <v>37</v>
      </c>
      <c r="Z2330" s="2" t="s">
        <v>916</v>
      </c>
      <c r="AA2330" s="2"/>
      <c r="AB2330" s="2"/>
      <c r="AC2330" s="2" t="s">
        <v>17780</v>
      </c>
      <c r="AD2330" s="2" t="s">
        <v>46</v>
      </c>
    </row>
    <row r="2331" customFormat="false" ht="15.7" hidden="false" customHeight="true" outlineLevel="0" collapsed="false">
      <c r="A2331" s="2"/>
      <c r="B2331" s="3" t="n">
        <f aca="false">DATE(2013,8,28)</f>
        <v>0</v>
      </c>
      <c r="C2331" s="3" t="n">
        <v>41514</v>
      </c>
      <c r="D2331" s="2" t="s">
        <v>17781</v>
      </c>
      <c r="F2331" s="2" t="s">
        <v>17782</v>
      </c>
      <c r="G2331" s="2" t="s">
        <v>17783</v>
      </c>
      <c r="H2331" s="2" t="s">
        <v>17784</v>
      </c>
      <c r="I2331" s="2" t="s">
        <v>17785</v>
      </c>
      <c r="J2331" s="2" t="s">
        <v>35</v>
      </c>
      <c r="K2331" s="2" t="s">
        <v>17786</v>
      </c>
      <c r="L2331" s="2" t="s">
        <v>17785</v>
      </c>
      <c r="M2331" s="2" t="s">
        <v>17787</v>
      </c>
      <c r="N2331" s="2" t="s">
        <v>17788</v>
      </c>
      <c r="O2331" s="2"/>
      <c r="P2331" s="2" t="s">
        <v>37</v>
      </c>
      <c r="Q2331" s="4" t="n">
        <v>8731</v>
      </c>
      <c r="R2331" s="2" t="s">
        <v>1208</v>
      </c>
      <c r="S2331" s="2" t="s">
        <v>39</v>
      </c>
      <c r="T2331" s="2" t="s">
        <v>403</v>
      </c>
      <c r="U2331" s="2" t="s">
        <v>17789</v>
      </c>
      <c r="V2331" s="2"/>
      <c r="W2331" s="2" t="s">
        <v>42</v>
      </c>
      <c r="X2331" s="2" t="s">
        <v>46</v>
      </c>
      <c r="Y2331" s="2" t="s">
        <v>37</v>
      </c>
      <c r="Z2331" s="2" t="s">
        <v>362</v>
      </c>
      <c r="AA2331" s="2"/>
      <c r="AB2331" s="2"/>
      <c r="AC2331" s="2" t="s">
        <v>17790</v>
      </c>
      <c r="AD2331" s="2" t="s">
        <v>46</v>
      </c>
    </row>
    <row r="2332" customFormat="false" ht="15.7" hidden="false" customHeight="true" outlineLevel="0" collapsed="false">
      <c r="A2332" s="2"/>
      <c r="B2332" s="3" t="n">
        <f aca="false">DATE(2013,8,28)</f>
        <v>0</v>
      </c>
      <c r="C2332" s="3" t="n">
        <v>41514</v>
      </c>
      <c r="D2332" s="2" t="s">
        <v>17791</v>
      </c>
      <c r="F2332" s="2" t="s">
        <v>17792</v>
      </c>
      <c r="G2332" s="2" t="s">
        <v>17793</v>
      </c>
      <c r="H2332" s="2" t="s">
        <v>17794</v>
      </c>
      <c r="I2332" s="2" t="s">
        <v>4325</v>
      </c>
      <c r="J2332" s="2" t="s">
        <v>35</v>
      </c>
      <c r="K2332" s="2" t="s">
        <v>17795</v>
      </c>
      <c r="L2332" s="2" t="s">
        <v>4325</v>
      </c>
      <c r="M2332" s="2" t="s">
        <v>17794</v>
      </c>
      <c r="N2332" s="2" t="s">
        <v>17796</v>
      </c>
      <c r="O2332" s="2"/>
      <c r="P2332" s="2" t="s">
        <v>37</v>
      </c>
      <c r="Q2332" s="4" t="n">
        <v>3353</v>
      </c>
      <c r="R2332" s="2" t="s">
        <v>402</v>
      </c>
      <c r="S2332" s="2" t="s">
        <v>39</v>
      </c>
      <c r="T2332" s="2" t="s">
        <v>403</v>
      </c>
      <c r="U2332" s="2" t="s">
        <v>17797</v>
      </c>
      <c r="V2332" s="2"/>
      <c r="W2332" s="2" t="s">
        <v>2209</v>
      </c>
      <c r="X2332" s="2" t="s">
        <v>46</v>
      </c>
      <c r="Y2332" s="2" t="s">
        <v>37</v>
      </c>
      <c r="Z2332" s="2" t="s">
        <v>362</v>
      </c>
      <c r="AA2332" s="2"/>
      <c r="AB2332" s="2"/>
      <c r="AC2332" s="2" t="s">
        <v>17798</v>
      </c>
      <c r="AD2332" s="2" t="s">
        <v>46</v>
      </c>
    </row>
    <row r="2333" customFormat="false" ht="15.7" hidden="false" customHeight="true" outlineLevel="0" collapsed="false">
      <c r="A2333" s="2"/>
      <c r="B2333" s="3" t="n">
        <f aca="false">DATE(2013,8,29)</f>
        <v>0</v>
      </c>
      <c r="C2333" s="3" t="n">
        <v>41515</v>
      </c>
      <c r="D2333" s="2" t="s">
        <v>17799</v>
      </c>
      <c r="F2333" s="2" t="s">
        <v>17800</v>
      </c>
      <c r="G2333" s="2" t="s">
        <v>17801</v>
      </c>
      <c r="H2333" s="2" t="s">
        <v>63</v>
      </c>
      <c r="I2333" s="2" t="s">
        <v>899</v>
      </c>
      <c r="J2333" s="2" t="s">
        <v>7101</v>
      </c>
      <c r="K2333" s="2" t="s">
        <v>17799</v>
      </c>
      <c r="L2333" s="2" t="s">
        <v>899</v>
      </c>
      <c r="M2333" s="2" t="s">
        <v>63</v>
      </c>
      <c r="N2333" s="2" t="s">
        <v>17802</v>
      </c>
      <c r="O2333" s="2"/>
      <c r="P2333" s="2" t="s">
        <v>37</v>
      </c>
      <c r="Q2333" s="4" t="n">
        <v>2834</v>
      </c>
      <c r="R2333" s="2" t="s">
        <v>136</v>
      </c>
      <c r="S2333" s="2" t="s">
        <v>39</v>
      </c>
      <c r="T2333" s="2" t="s">
        <v>403</v>
      </c>
      <c r="U2333" s="2" t="s">
        <v>17803</v>
      </c>
      <c r="V2333" s="2"/>
      <c r="W2333" s="2" t="s">
        <v>42</v>
      </c>
      <c r="X2333" s="2" t="s">
        <v>43</v>
      </c>
      <c r="Y2333" s="2" t="s">
        <v>37</v>
      </c>
      <c r="Z2333" s="2" t="s">
        <v>44</v>
      </c>
      <c r="AA2333" s="2"/>
      <c r="AB2333" s="2"/>
      <c r="AC2333" s="2" t="s">
        <v>17804</v>
      </c>
      <c r="AD2333" s="2" t="s">
        <v>46</v>
      </c>
    </row>
    <row r="2334" customFormat="false" ht="15.7" hidden="false" customHeight="true" outlineLevel="0" collapsed="false">
      <c r="A2334" s="2"/>
      <c r="B2334" s="3" t="n">
        <f aca="false">DATE(2013,8,29)</f>
        <v>0</v>
      </c>
      <c r="C2334" s="3" t="n">
        <v>41515</v>
      </c>
      <c r="D2334" s="2" t="s">
        <v>17805</v>
      </c>
      <c r="F2334" s="2" t="s">
        <v>17806</v>
      </c>
      <c r="G2334" s="2" t="s">
        <v>17807</v>
      </c>
      <c r="H2334" s="2" t="s">
        <v>17808</v>
      </c>
      <c r="I2334" s="2" t="s">
        <v>2530</v>
      </c>
      <c r="J2334" s="2" t="s">
        <v>17809</v>
      </c>
      <c r="K2334" s="2" t="s">
        <v>17805</v>
      </c>
      <c r="L2334" s="2" t="s">
        <v>2530</v>
      </c>
      <c r="M2334" s="2" t="s">
        <v>17808</v>
      </c>
      <c r="N2334" s="2" t="s">
        <v>17810</v>
      </c>
      <c r="O2334" s="2" t="s">
        <v>17811</v>
      </c>
      <c r="P2334" s="2" t="s">
        <v>37</v>
      </c>
      <c r="Q2334" s="4" t="n">
        <v>6798</v>
      </c>
      <c r="R2334" s="2" t="s">
        <v>56</v>
      </c>
      <c r="S2334" s="2" t="s">
        <v>481</v>
      </c>
      <c r="T2334" s="2" t="s">
        <v>40</v>
      </c>
      <c r="U2334" s="2" t="s">
        <v>17812</v>
      </c>
      <c r="V2334" s="2"/>
      <c r="W2334" s="2" t="s">
        <v>42</v>
      </c>
      <c r="X2334" s="2" t="s">
        <v>46</v>
      </c>
      <c r="Y2334" s="2" t="s">
        <v>37</v>
      </c>
      <c r="Z2334" s="2" t="s">
        <v>17813</v>
      </c>
      <c r="AA2334" s="2"/>
      <c r="AB2334" s="2" t="s">
        <v>17814</v>
      </c>
      <c r="AC2334" s="2" t="s">
        <v>17815</v>
      </c>
      <c r="AD2334" s="2" t="s">
        <v>46</v>
      </c>
    </row>
    <row r="2335" customFormat="false" ht="15.7" hidden="false" customHeight="true" outlineLevel="0" collapsed="false">
      <c r="A2335" s="2"/>
      <c r="B2335" s="3" t="n">
        <f aca="false">DATE(2013,8,29)</f>
        <v>0</v>
      </c>
      <c r="C2335" s="3" t="n">
        <v>41515</v>
      </c>
      <c r="D2335" s="2" t="s">
        <v>17816</v>
      </c>
      <c r="F2335" s="2" t="s">
        <v>17817</v>
      </c>
      <c r="G2335" s="2" t="s">
        <v>17818</v>
      </c>
      <c r="H2335" s="2" t="s">
        <v>17819</v>
      </c>
      <c r="I2335" s="2" t="s">
        <v>51</v>
      </c>
      <c r="J2335" s="2" t="s">
        <v>17820</v>
      </c>
      <c r="K2335" s="2" t="s">
        <v>17816</v>
      </c>
      <c r="L2335" s="2" t="s">
        <v>51</v>
      </c>
      <c r="M2335" s="2" t="s">
        <v>17819</v>
      </c>
      <c r="N2335" s="2" t="s">
        <v>17821</v>
      </c>
      <c r="O2335" s="2" t="s">
        <v>17822</v>
      </c>
      <c r="P2335" s="2" t="s">
        <v>37</v>
      </c>
      <c r="Q2335" s="4" t="n">
        <v>8731</v>
      </c>
      <c r="R2335" s="2" t="s">
        <v>56</v>
      </c>
      <c r="S2335" s="2" t="s">
        <v>2265</v>
      </c>
      <c r="T2335" s="2" t="s">
        <v>40</v>
      </c>
      <c r="U2335" s="2" t="s">
        <v>17823</v>
      </c>
      <c r="V2335" s="2"/>
      <c r="W2335" s="2" t="s">
        <v>697</v>
      </c>
      <c r="X2335" s="2" t="s">
        <v>46</v>
      </c>
      <c r="Y2335" s="2" t="s">
        <v>37</v>
      </c>
      <c r="Z2335" s="2" t="s">
        <v>362</v>
      </c>
      <c r="AA2335" s="2"/>
      <c r="AB2335" s="2" t="s">
        <v>17824</v>
      </c>
      <c r="AC2335" s="2" t="s">
        <v>17825</v>
      </c>
      <c r="AD2335" s="2" t="s">
        <v>46</v>
      </c>
    </row>
    <row r="2336" customFormat="false" ht="15.7" hidden="false" customHeight="true" outlineLevel="0" collapsed="false">
      <c r="A2336" s="2"/>
      <c r="B2336" s="3" t="n">
        <f aca="false">DATE(2013,8,30)</f>
        <v>0</v>
      </c>
      <c r="C2336" s="3" t="n">
        <v>41516</v>
      </c>
      <c r="D2336" s="2" t="s">
        <v>17826</v>
      </c>
      <c r="F2336" s="2" t="s">
        <v>17827</v>
      </c>
      <c r="G2336" s="2" t="s">
        <v>17828</v>
      </c>
      <c r="H2336" s="2" t="s">
        <v>17829</v>
      </c>
      <c r="I2336" s="2" t="s">
        <v>664</v>
      </c>
      <c r="J2336" s="2" t="s">
        <v>132</v>
      </c>
      <c r="K2336" s="2" t="s">
        <v>17826</v>
      </c>
      <c r="L2336" s="2" t="s">
        <v>664</v>
      </c>
      <c r="M2336" s="2" t="s">
        <v>17829</v>
      </c>
      <c r="N2336" s="2" t="s">
        <v>17830</v>
      </c>
      <c r="O2336" s="2"/>
      <c r="P2336" s="2" t="s">
        <v>37</v>
      </c>
      <c r="Q2336" s="4" t="n">
        <v>8731</v>
      </c>
      <c r="R2336" s="2" t="s">
        <v>38</v>
      </c>
      <c r="S2336" s="2" t="s">
        <v>39</v>
      </c>
      <c r="T2336" s="2" t="s">
        <v>11074</v>
      </c>
      <c r="U2336" s="2" t="s">
        <v>17831</v>
      </c>
      <c r="V2336" s="2"/>
      <c r="W2336" s="2" t="s">
        <v>344</v>
      </c>
      <c r="X2336" s="2" t="s">
        <v>46</v>
      </c>
      <c r="Y2336" s="2" t="s">
        <v>37</v>
      </c>
      <c r="Z2336" s="2" t="s">
        <v>362</v>
      </c>
      <c r="AA2336" s="2"/>
      <c r="AB2336" s="2"/>
      <c r="AC2336" s="2" t="s">
        <v>17832</v>
      </c>
      <c r="AD2336" s="2" t="s">
        <v>46</v>
      </c>
    </row>
    <row r="2337" customFormat="false" ht="15.7" hidden="false" customHeight="true" outlineLevel="0" collapsed="false">
      <c r="A2337" s="2"/>
      <c r="B2337" s="3" t="n">
        <f aca="false">DATE(2013,9,2)</f>
        <v>0</v>
      </c>
      <c r="C2337" s="3" t="n">
        <v>41519</v>
      </c>
      <c r="D2337" s="2" t="s">
        <v>17833</v>
      </c>
      <c r="F2337" s="2" t="s">
        <v>17834</v>
      </c>
      <c r="G2337" s="2" t="s">
        <v>17835</v>
      </c>
      <c r="H2337" s="2" t="s">
        <v>17836</v>
      </c>
      <c r="I2337" s="2" t="s">
        <v>1080</v>
      </c>
      <c r="J2337" s="2" t="s">
        <v>35</v>
      </c>
      <c r="K2337" s="2" t="s">
        <v>17837</v>
      </c>
      <c r="L2337" s="2" t="s">
        <v>17838</v>
      </c>
      <c r="M2337" s="2" t="s">
        <v>17839</v>
      </c>
      <c r="N2337" s="2" t="s">
        <v>17840</v>
      </c>
      <c r="O2337" s="2"/>
      <c r="P2337" s="2" t="s">
        <v>37</v>
      </c>
      <c r="Q2337" s="4" t="n">
        <v>8731</v>
      </c>
      <c r="R2337" s="2" t="s">
        <v>2201</v>
      </c>
      <c r="S2337" s="2" t="s">
        <v>39</v>
      </c>
      <c r="T2337" s="2" t="s">
        <v>40</v>
      </c>
      <c r="U2337" s="2" t="s">
        <v>17841</v>
      </c>
      <c r="V2337" s="2"/>
      <c r="W2337" s="2" t="s">
        <v>42</v>
      </c>
      <c r="X2337" s="2" t="s">
        <v>43</v>
      </c>
      <c r="Y2337" s="2" t="s">
        <v>37</v>
      </c>
      <c r="Z2337" s="2" t="s">
        <v>44</v>
      </c>
      <c r="AA2337" s="2"/>
      <c r="AB2337" s="2"/>
      <c r="AC2337" s="2" t="s">
        <v>17842</v>
      </c>
      <c r="AD2337" s="2" t="s">
        <v>46</v>
      </c>
    </row>
    <row r="2338" customFormat="false" ht="15.7" hidden="false" customHeight="true" outlineLevel="0" collapsed="false">
      <c r="A2338" s="2"/>
      <c r="B2338" s="3" t="n">
        <f aca="false">DATE(2013,9,3)</f>
        <v>0</v>
      </c>
      <c r="C2338" s="3" t="n">
        <v>41520</v>
      </c>
      <c r="D2338" s="2" t="s">
        <v>17843</v>
      </c>
      <c r="F2338" s="2" t="s">
        <v>6056</v>
      </c>
      <c r="G2338" s="2" t="s">
        <v>17844</v>
      </c>
      <c r="H2338" s="2" t="s">
        <v>5080</v>
      </c>
      <c r="I2338" s="2" t="s">
        <v>51</v>
      </c>
      <c r="J2338" s="2" t="s">
        <v>5565</v>
      </c>
      <c r="K2338" s="2" t="s">
        <v>17843</v>
      </c>
      <c r="L2338" s="2" t="s">
        <v>51</v>
      </c>
      <c r="M2338" s="2" t="s">
        <v>5080</v>
      </c>
      <c r="N2338" s="2" t="s">
        <v>17845</v>
      </c>
      <c r="O2338" s="2"/>
      <c r="P2338" s="2" t="s">
        <v>37</v>
      </c>
      <c r="Q2338" s="4" t="n">
        <v>8731</v>
      </c>
      <c r="R2338" s="2" t="s">
        <v>136</v>
      </c>
      <c r="S2338" s="2" t="s">
        <v>39</v>
      </c>
      <c r="T2338" s="2" t="s">
        <v>40</v>
      </c>
      <c r="U2338" s="2" t="s">
        <v>17846</v>
      </c>
      <c r="V2338" s="2"/>
      <c r="W2338" s="2" t="s">
        <v>5464</v>
      </c>
      <c r="X2338" s="2" t="s">
        <v>43</v>
      </c>
      <c r="Y2338" s="2" t="s">
        <v>37</v>
      </c>
      <c r="Z2338" s="2" t="s">
        <v>44</v>
      </c>
      <c r="AA2338" s="2"/>
      <c r="AB2338" s="2"/>
      <c r="AC2338" s="2" t="s">
        <v>17847</v>
      </c>
      <c r="AD2338" s="2" t="s">
        <v>46</v>
      </c>
    </row>
    <row r="2339" customFormat="false" ht="15.7" hidden="false" customHeight="true" outlineLevel="0" collapsed="false">
      <c r="A2339" s="2"/>
      <c r="B2339" s="3" t="n">
        <f aca="false">DATE(2013,9,3)</f>
        <v>0</v>
      </c>
      <c r="C2339" s="3" t="n">
        <v>41520</v>
      </c>
      <c r="D2339" s="2" t="s">
        <v>17848</v>
      </c>
      <c r="F2339" s="2" t="s">
        <v>17849</v>
      </c>
      <c r="G2339" s="2" t="s">
        <v>17850</v>
      </c>
      <c r="H2339" s="2" t="s">
        <v>17851</v>
      </c>
      <c r="I2339" s="2" t="s">
        <v>17852</v>
      </c>
      <c r="J2339" s="2" t="s">
        <v>35</v>
      </c>
      <c r="K2339" s="2" t="s">
        <v>17853</v>
      </c>
      <c r="L2339" s="2" t="s">
        <v>4325</v>
      </c>
      <c r="M2339" s="2" t="s">
        <v>17851</v>
      </c>
      <c r="N2339" s="2" t="s">
        <v>17854</v>
      </c>
      <c r="O2339" s="2"/>
      <c r="P2339" s="2" t="s">
        <v>37</v>
      </c>
      <c r="Q2339" s="4" t="n">
        <v>8731</v>
      </c>
      <c r="R2339" s="2" t="s">
        <v>402</v>
      </c>
      <c r="S2339" s="2" t="s">
        <v>39</v>
      </c>
      <c r="T2339" s="2" t="s">
        <v>40</v>
      </c>
      <c r="U2339" s="2" t="s">
        <v>17855</v>
      </c>
      <c r="V2339" s="2"/>
      <c r="W2339" s="2" t="s">
        <v>42</v>
      </c>
      <c r="X2339" s="2" t="s">
        <v>43</v>
      </c>
      <c r="Y2339" s="2" t="s">
        <v>37</v>
      </c>
      <c r="Z2339" s="2" t="s">
        <v>44</v>
      </c>
      <c r="AA2339" s="2"/>
      <c r="AB2339" s="2"/>
      <c r="AC2339" s="2" t="s">
        <v>17856</v>
      </c>
      <c r="AD2339" s="2" t="s">
        <v>46</v>
      </c>
    </row>
    <row r="2340" customFormat="false" ht="15.7" hidden="false" customHeight="true" outlineLevel="0" collapsed="false">
      <c r="A2340" s="2"/>
      <c r="B2340" s="3" t="n">
        <f aca="false">DATE(2013,9,3)</f>
        <v>0</v>
      </c>
      <c r="C2340" s="3" t="n">
        <v>41520</v>
      </c>
      <c r="D2340" s="2" t="s">
        <v>17857</v>
      </c>
      <c r="F2340" s="2" t="s">
        <v>1599</v>
      </c>
      <c r="G2340" s="2" t="s">
        <v>17858</v>
      </c>
      <c r="H2340" s="2" t="s">
        <v>1101</v>
      </c>
      <c r="I2340" s="2" t="s">
        <v>7066</v>
      </c>
      <c r="J2340" s="2" t="s">
        <v>35</v>
      </c>
      <c r="K2340" s="2" t="s">
        <v>17857</v>
      </c>
      <c r="L2340" s="2" t="s">
        <v>7066</v>
      </c>
      <c r="M2340" s="2" t="s">
        <v>1101</v>
      </c>
      <c r="N2340" s="2" t="s">
        <v>17859</v>
      </c>
      <c r="O2340" s="2"/>
      <c r="P2340" s="2" t="s">
        <v>37</v>
      </c>
      <c r="Q2340" s="4" t="n">
        <v>8731</v>
      </c>
      <c r="R2340" s="2" t="s">
        <v>1402</v>
      </c>
      <c r="S2340" s="2" t="s">
        <v>39</v>
      </c>
      <c r="T2340" s="2" t="s">
        <v>40</v>
      </c>
      <c r="U2340" s="2" t="s">
        <v>17860</v>
      </c>
      <c r="V2340" s="2"/>
      <c r="W2340" s="2" t="s">
        <v>5464</v>
      </c>
      <c r="X2340" s="2" t="s">
        <v>43</v>
      </c>
      <c r="Y2340" s="2" t="s">
        <v>37</v>
      </c>
      <c r="Z2340" s="2" t="s">
        <v>44</v>
      </c>
      <c r="AA2340" s="2"/>
      <c r="AB2340" s="2"/>
      <c r="AC2340" s="2" t="s">
        <v>17861</v>
      </c>
      <c r="AD2340" s="2" t="s">
        <v>46</v>
      </c>
    </row>
    <row r="2341" customFormat="false" ht="15.7" hidden="false" customHeight="true" outlineLevel="0" collapsed="false">
      <c r="A2341" s="2"/>
      <c r="B2341" s="3" t="n">
        <f aca="false">DATE(2013,9,4)</f>
        <v>0</v>
      </c>
      <c r="C2341" s="3" t="n">
        <v>41521</v>
      </c>
      <c r="D2341" s="2" t="s">
        <v>17862</v>
      </c>
      <c r="F2341" s="2" t="s">
        <v>17863</v>
      </c>
      <c r="G2341" s="2" t="s">
        <v>17864</v>
      </c>
      <c r="H2341" s="2" t="s">
        <v>1020</v>
      </c>
      <c r="I2341" s="2" t="s">
        <v>51</v>
      </c>
      <c r="J2341" s="2" t="s">
        <v>4544</v>
      </c>
      <c r="K2341" s="2" t="s">
        <v>17862</v>
      </c>
      <c r="L2341" s="2" t="s">
        <v>51</v>
      </c>
      <c r="M2341" s="2" t="s">
        <v>1020</v>
      </c>
      <c r="N2341" s="2" t="s">
        <v>17865</v>
      </c>
      <c r="O2341" s="2"/>
      <c r="P2341" s="2" t="s">
        <v>37</v>
      </c>
      <c r="Q2341" s="4" t="n">
        <v>8731</v>
      </c>
      <c r="R2341" s="2" t="s">
        <v>56</v>
      </c>
      <c r="S2341" s="2" t="s">
        <v>2265</v>
      </c>
      <c r="T2341" s="2" t="s">
        <v>403</v>
      </c>
      <c r="U2341" s="2" t="s">
        <v>17866</v>
      </c>
      <c r="V2341" s="2"/>
      <c r="W2341" s="2" t="s">
        <v>42</v>
      </c>
      <c r="X2341" s="2" t="s">
        <v>43</v>
      </c>
      <c r="Y2341" s="2" t="s">
        <v>37</v>
      </c>
      <c r="Z2341" s="2" t="s">
        <v>44</v>
      </c>
      <c r="AA2341" s="2"/>
      <c r="AB2341" s="2"/>
      <c r="AC2341" s="2" t="s">
        <v>17867</v>
      </c>
      <c r="AD2341" s="2" t="s">
        <v>46</v>
      </c>
    </row>
    <row r="2342" customFormat="false" ht="15.7" hidden="false" customHeight="true" outlineLevel="0" collapsed="false">
      <c r="A2342" s="2"/>
      <c r="B2342" s="3" t="n">
        <f aca="false">DATE(2013,9,4)</f>
        <v>0</v>
      </c>
      <c r="C2342" s="3" t="n">
        <v>41521</v>
      </c>
      <c r="D2342" s="2" t="s">
        <v>17868</v>
      </c>
      <c r="F2342" s="2" t="s">
        <v>17869</v>
      </c>
      <c r="G2342" s="2" t="s">
        <v>17870</v>
      </c>
      <c r="H2342" s="2" t="s">
        <v>17871</v>
      </c>
      <c r="I2342" s="2" t="s">
        <v>685</v>
      </c>
      <c r="J2342" s="2" t="s">
        <v>35</v>
      </c>
      <c r="K2342" s="2" t="s">
        <v>17868</v>
      </c>
      <c r="L2342" s="2" t="s">
        <v>685</v>
      </c>
      <c r="M2342" s="2" t="s">
        <v>17871</v>
      </c>
      <c r="N2342" s="2" t="s">
        <v>17872</v>
      </c>
      <c r="O2342" s="2"/>
      <c r="P2342" s="2" t="s">
        <v>37</v>
      </c>
      <c r="Q2342" s="4" t="n">
        <v>8731</v>
      </c>
      <c r="R2342" s="2" t="s">
        <v>688</v>
      </c>
      <c r="S2342" s="2" t="s">
        <v>39</v>
      </c>
      <c r="T2342" s="2" t="s">
        <v>40</v>
      </c>
      <c r="U2342" s="2" t="s">
        <v>17873</v>
      </c>
      <c r="V2342" s="2"/>
      <c r="W2342" s="2" t="s">
        <v>42</v>
      </c>
      <c r="X2342" s="2" t="s">
        <v>43</v>
      </c>
      <c r="Y2342" s="2" t="s">
        <v>37</v>
      </c>
      <c r="Z2342" s="2" t="s">
        <v>44</v>
      </c>
      <c r="AA2342" s="2"/>
      <c r="AB2342" s="2"/>
      <c r="AC2342" s="2" t="s">
        <v>17874</v>
      </c>
      <c r="AD2342" s="2" t="s">
        <v>46</v>
      </c>
    </row>
    <row r="2343" customFormat="false" ht="15.7" hidden="false" customHeight="true" outlineLevel="0" collapsed="false">
      <c r="A2343" s="2"/>
      <c r="B2343" s="3" t="n">
        <f aca="false">DATE(2013,9,5)</f>
        <v>0</v>
      </c>
      <c r="C2343" s="3" t="n">
        <v>41522</v>
      </c>
      <c r="D2343" s="2" t="s">
        <v>17875</v>
      </c>
      <c r="F2343" s="2" t="s">
        <v>17876</v>
      </c>
      <c r="G2343" s="2" t="s">
        <v>17877</v>
      </c>
      <c r="H2343" s="2" t="s">
        <v>1020</v>
      </c>
      <c r="I2343" s="2" t="s">
        <v>51</v>
      </c>
      <c r="J2343" s="2" t="s">
        <v>17878</v>
      </c>
      <c r="K2343" s="2" t="s">
        <v>17875</v>
      </c>
      <c r="L2343" s="2" t="s">
        <v>51</v>
      </c>
      <c r="M2343" s="2" t="s">
        <v>1020</v>
      </c>
      <c r="N2343" s="2" t="s">
        <v>17879</v>
      </c>
      <c r="O2343" s="2"/>
      <c r="P2343" s="2" t="s">
        <v>37</v>
      </c>
      <c r="Q2343" s="4" t="n">
        <v>8099</v>
      </c>
      <c r="R2343" s="2" t="s">
        <v>136</v>
      </c>
      <c r="S2343" s="2" t="s">
        <v>39</v>
      </c>
      <c r="T2343" s="2" t="s">
        <v>40</v>
      </c>
      <c r="U2343" s="2" t="s">
        <v>17880</v>
      </c>
      <c r="V2343" s="2"/>
      <c r="W2343" s="2" t="s">
        <v>42</v>
      </c>
      <c r="X2343" s="2" t="s">
        <v>43</v>
      </c>
      <c r="Y2343" s="2" t="s">
        <v>37</v>
      </c>
      <c r="Z2343" s="2" t="s">
        <v>44</v>
      </c>
      <c r="AA2343" s="2"/>
      <c r="AB2343" s="2"/>
      <c r="AC2343" s="2" t="s">
        <v>17881</v>
      </c>
      <c r="AD2343" s="2" t="s">
        <v>46</v>
      </c>
    </row>
    <row r="2344" customFormat="false" ht="15.7" hidden="false" customHeight="true" outlineLevel="0" collapsed="false">
      <c r="A2344" s="2"/>
      <c r="B2344" s="3" t="n">
        <f aca="false">DATE(2013,9,5)</f>
        <v>0</v>
      </c>
      <c r="C2344" s="3" t="n">
        <v>41522</v>
      </c>
      <c r="D2344" s="2" t="s">
        <v>17882</v>
      </c>
      <c r="F2344" s="2" t="s">
        <v>7325</v>
      </c>
      <c r="G2344" s="2" t="s">
        <v>17883</v>
      </c>
      <c r="H2344" s="2" t="s">
        <v>387</v>
      </c>
      <c r="I2344" s="2" t="s">
        <v>51</v>
      </c>
      <c r="J2344" s="2" t="s">
        <v>17884</v>
      </c>
      <c r="K2344" s="2" t="s">
        <v>17882</v>
      </c>
      <c r="L2344" s="2" t="s">
        <v>51</v>
      </c>
      <c r="M2344" s="2" t="s">
        <v>387</v>
      </c>
      <c r="N2344" s="2" t="s">
        <v>17885</v>
      </c>
      <c r="O2344" s="2"/>
      <c r="P2344" s="2" t="s">
        <v>37</v>
      </c>
      <c r="Q2344" s="4" t="n">
        <v>8731</v>
      </c>
      <c r="R2344" s="2" t="s">
        <v>56</v>
      </c>
      <c r="S2344" s="2" t="s">
        <v>2265</v>
      </c>
      <c r="T2344" s="2" t="s">
        <v>40</v>
      </c>
      <c r="U2344" s="2" t="s">
        <v>17886</v>
      </c>
      <c r="V2344" s="2"/>
      <c r="W2344" s="2" t="s">
        <v>42</v>
      </c>
      <c r="X2344" s="2" t="s">
        <v>43</v>
      </c>
      <c r="Y2344" s="2" t="s">
        <v>37</v>
      </c>
      <c r="Z2344" s="2" t="s">
        <v>44</v>
      </c>
      <c r="AA2344" s="2"/>
      <c r="AB2344" s="2"/>
      <c r="AC2344" s="2" t="s">
        <v>17887</v>
      </c>
      <c r="AD2344" s="2" t="s">
        <v>46</v>
      </c>
    </row>
    <row r="2345" customFormat="false" ht="15.7" hidden="false" customHeight="true" outlineLevel="0" collapsed="false">
      <c r="A2345" s="2"/>
      <c r="B2345" s="3" t="n">
        <f aca="false">DATE(2013,9,5)</f>
        <v>0</v>
      </c>
      <c r="C2345" s="3" t="n">
        <v>41522</v>
      </c>
      <c r="D2345" s="2" t="s">
        <v>17888</v>
      </c>
      <c r="F2345" s="2" t="s">
        <v>17889</v>
      </c>
      <c r="G2345" s="2" t="s">
        <v>17890</v>
      </c>
      <c r="H2345" s="2" t="s">
        <v>17891</v>
      </c>
      <c r="I2345" s="2" t="s">
        <v>540</v>
      </c>
      <c r="J2345" s="2" t="s">
        <v>35</v>
      </c>
      <c r="K2345" s="2" t="s">
        <v>17888</v>
      </c>
      <c r="L2345" s="2" t="s">
        <v>540</v>
      </c>
      <c r="M2345" s="2" t="s">
        <v>17891</v>
      </c>
      <c r="N2345" s="2" t="s">
        <v>17892</v>
      </c>
      <c r="O2345" s="2" t="s">
        <v>17893</v>
      </c>
      <c r="P2345" s="2" t="s">
        <v>37</v>
      </c>
      <c r="Q2345" s="4" t="n">
        <v>2836</v>
      </c>
      <c r="R2345" s="2" t="s">
        <v>1448</v>
      </c>
      <c r="S2345" s="2" t="s">
        <v>39</v>
      </c>
      <c r="T2345" s="2" t="s">
        <v>40</v>
      </c>
      <c r="U2345" s="2" t="s">
        <v>17894</v>
      </c>
      <c r="V2345" s="2"/>
      <c r="W2345" s="2" t="s">
        <v>42</v>
      </c>
      <c r="X2345" s="2" t="s">
        <v>46</v>
      </c>
      <c r="Y2345" s="2" t="s">
        <v>37</v>
      </c>
      <c r="Z2345" s="2" t="s">
        <v>362</v>
      </c>
      <c r="AA2345" s="2"/>
      <c r="AB2345" s="2" t="s">
        <v>17895</v>
      </c>
      <c r="AC2345" s="2" t="s">
        <v>17896</v>
      </c>
      <c r="AD2345" s="2" t="s">
        <v>46</v>
      </c>
    </row>
    <row r="2346" customFormat="false" ht="15.7" hidden="false" customHeight="true" outlineLevel="0" collapsed="false">
      <c r="A2346" s="2"/>
      <c r="B2346" s="3" t="n">
        <f aca="false">DATE(2013,9,5)</f>
        <v>0</v>
      </c>
      <c r="C2346" s="3" t="n">
        <v>41522</v>
      </c>
      <c r="D2346" s="2" t="s">
        <v>17897</v>
      </c>
      <c r="F2346" s="2" t="s">
        <v>3087</v>
      </c>
      <c r="G2346" s="2" t="s">
        <v>17898</v>
      </c>
      <c r="H2346" s="2" t="s">
        <v>1020</v>
      </c>
      <c r="I2346" s="2" t="s">
        <v>1080</v>
      </c>
      <c r="J2346" s="2" t="s">
        <v>35</v>
      </c>
      <c r="K2346" s="2" t="s">
        <v>17899</v>
      </c>
      <c r="L2346" s="2" t="s">
        <v>1080</v>
      </c>
      <c r="M2346" s="2" t="s">
        <v>523</v>
      </c>
      <c r="N2346" s="2" t="s">
        <v>17900</v>
      </c>
      <c r="O2346" s="2"/>
      <c r="P2346" s="2" t="s">
        <v>37</v>
      </c>
      <c r="Q2346" s="4" t="n">
        <v>8731</v>
      </c>
      <c r="R2346" s="2" t="s">
        <v>16962</v>
      </c>
      <c r="S2346" s="2" t="s">
        <v>39</v>
      </c>
      <c r="T2346" s="2" t="s">
        <v>40</v>
      </c>
      <c r="U2346" s="2" t="s">
        <v>17901</v>
      </c>
      <c r="V2346" s="2"/>
      <c r="W2346" s="2" t="s">
        <v>42</v>
      </c>
      <c r="X2346" s="2" t="s">
        <v>43</v>
      </c>
      <c r="Y2346" s="2" t="s">
        <v>37</v>
      </c>
      <c r="Z2346" s="2" t="s">
        <v>44</v>
      </c>
      <c r="AA2346" s="2" t="s">
        <v>17902</v>
      </c>
      <c r="AB2346" s="2"/>
      <c r="AC2346" s="2" t="s">
        <v>17903</v>
      </c>
      <c r="AD2346" s="2" t="s">
        <v>46</v>
      </c>
    </row>
    <row r="2347" customFormat="false" ht="15.7" hidden="false" customHeight="true" outlineLevel="0" collapsed="false">
      <c r="A2347" s="2"/>
      <c r="B2347" s="3" t="n">
        <f aca="false">DATE(2013,9,6)</f>
        <v>0</v>
      </c>
      <c r="C2347" s="3" t="n">
        <v>41523</v>
      </c>
      <c r="D2347" s="2" t="s">
        <v>17904</v>
      </c>
      <c r="F2347" s="2" t="s">
        <v>17905</v>
      </c>
      <c r="G2347" s="2" t="s">
        <v>17906</v>
      </c>
      <c r="H2347" s="2" t="s">
        <v>17907</v>
      </c>
      <c r="I2347" s="2" t="s">
        <v>17908</v>
      </c>
      <c r="J2347" s="2" t="s">
        <v>35</v>
      </c>
      <c r="K2347" s="2" t="s">
        <v>17904</v>
      </c>
      <c r="L2347" s="2" t="s">
        <v>17908</v>
      </c>
      <c r="M2347" s="2" t="s">
        <v>17907</v>
      </c>
      <c r="N2347" s="2" t="s">
        <v>17909</v>
      </c>
      <c r="O2347" s="2"/>
      <c r="P2347" s="2" t="s">
        <v>37</v>
      </c>
      <c r="Q2347" s="4" t="n">
        <v>3613</v>
      </c>
      <c r="R2347" s="2" t="s">
        <v>136</v>
      </c>
      <c r="S2347" s="2" t="s">
        <v>39</v>
      </c>
      <c r="T2347" s="2" t="s">
        <v>40</v>
      </c>
      <c r="U2347" s="2" t="s">
        <v>17910</v>
      </c>
      <c r="V2347" s="2"/>
      <c r="W2347" s="2" t="s">
        <v>42</v>
      </c>
      <c r="X2347" s="2" t="s">
        <v>43</v>
      </c>
      <c r="Y2347" s="2" t="s">
        <v>37</v>
      </c>
      <c r="Z2347" s="2" t="s">
        <v>44</v>
      </c>
      <c r="AA2347" s="2"/>
      <c r="AB2347" s="2"/>
      <c r="AC2347" s="2" t="s">
        <v>17911</v>
      </c>
      <c r="AD2347" s="2" t="s">
        <v>46</v>
      </c>
    </row>
    <row r="2348" customFormat="false" ht="15.7" hidden="false" customHeight="true" outlineLevel="0" collapsed="false">
      <c r="A2348" s="2"/>
      <c r="B2348" s="3" t="n">
        <f aca="false">DATE(2013,9,6)</f>
        <v>0</v>
      </c>
      <c r="C2348" s="3" t="n">
        <v>41523</v>
      </c>
      <c r="D2348" s="2" t="s">
        <v>17912</v>
      </c>
      <c r="F2348" s="2" t="s">
        <v>1138</v>
      </c>
      <c r="G2348" s="2" t="s">
        <v>17913</v>
      </c>
      <c r="H2348" s="2" t="s">
        <v>305</v>
      </c>
      <c r="I2348" s="2" t="s">
        <v>180</v>
      </c>
      <c r="J2348" s="2" t="s">
        <v>17914</v>
      </c>
      <c r="K2348" s="2" t="s">
        <v>17912</v>
      </c>
      <c r="L2348" s="2" t="s">
        <v>180</v>
      </c>
      <c r="M2348" s="2" t="s">
        <v>305</v>
      </c>
      <c r="N2348" s="2" t="s">
        <v>17915</v>
      </c>
      <c r="O2348" s="2"/>
      <c r="P2348" s="2" t="s">
        <v>37</v>
      </c>
      <c r="Q2348" s="4" t="n">
        <v>2836</v>
      </c>
      <c r="R2348" s="2" t="s">
        <v>136</v>
      </c>
      <c r="S2348" s="2" t="s">
        <v>39</v>
      </c>
      <c r="T2348" s="2" t="s">
        <v>40</v>
      </c>
      <c r="U2348" s="2" t="s">
        <v>17916</v>
      </c>
      <c r="V2348" s="2"/>
      <c r="W2348" s="2" t="s">
        <v>82</v>
      </c>
      <c r="X2348" s="2" t="s">
        <v>43</v>
      </c>
      <c r="Y2348" s="2" t="s">
        <v>37</v>
      </c>
      <c r="Z2348" s="2" t="s">
        <v>44</v>
      </c>
      <c r="AA2348" s="2"/>
      <c r="AB2348" s="2"/>
      <c r="AC2348" s="2" t="s">
        <v>17917</v>
      </c>
      <c r="AD2348" s="2" t="s">
        <v>46</v>
      </c>
    </row>
    <row r="2349" customFormat="false" ht="15.7" hidden="false" customHeight="true" outlineLevel="0" collapsed="false">
      <c r="A2349" s="2"/>
      <c r="B2349" s="3" t="n">
        <f aca="false">DATE(2013,9,7)</f>
        <v>0</v>
      </c>
      <c r="C2349" s="3" t="n">
        <v>41524</v>
      </c>
      <c r="D2349" s="2" t="s">
        <v>17918</v>
      </c>
      <c r="F2349" s="2" t="s">
        <v>17919</v>
      </c>
      <c r="G2349" s="2" t="s">
        <v>17920</v>
      </c>
      <c r="H2349" s="2" t="s">
        <v>17921</v>
      </c>
      <c r="I2349" s="2" t="s">
        <v>17922</v>
      </c>
      <c r="J2349" s="2" t="s">
        <v>35</v>
      </c>
      <c r="K2349" s="2" t="s">
        <v>17918</v>
      </c>
      <c r="L2349" s="2" t="s">
        <v>17922</v>
      </c>
      <c r="M2349" s="2" t="s">
        <v>17921</v>
      </c>
      <c r="N2349" s="2" t="s">
        <v>17923</v>
      </c>
      <c r="O2349" s="2"/>
      <c r="P2349" s="2" t="s">
        <v>37</v>
      </c>
      <c r="Q2349" s="4" t="n">
        <v>8734</v>
      </c>
      <c r="R2349" s="2" t="s">
        <v>2129</v>
      </c>
      <c r="S2349" s="2" t="s">
        <v>39</v>
      </c>
      <c r="T2349" s="2" t="s">
        <v>403</v>
      </c>
      <c r="U2349" s="2" t="s">
        <v>17924</v>
      </c>
      <c r="V2349" s="2"/>
      <c r="W2349" s="2" t="s">
        <v>42</v>
      </c>
      <c r="X2349" s="2" t="s">
        <v>46</v>
      </c>
      <c r="Y2349" s="2" t="s">
        <v>37</v>
      </c>
      <c r="Z2349" s="2" t="s">
        <v>362</v>
      </c>
      <c r="AA2349" s="2"/>
      <c r="AB2349" s="2"/>
      <c r="AC2349" s="2" t="s">
        <v>17925</v>
      </c>
      <c r="AD2349" s="2" t="s">
        <v>46</v>
      </c>
    </row>
    <row r="2350" customFormat="false" ht="15.7" hidden="false" customHeight="true" outlineLevel="0" collapsed="false">
      <c r="A2350" s="2"/>
      <c r="B2350" s="3" t="n">
        <f aca="false">DATE(2013,9,9)</f>
        <v>0</v>
      </c>
      <c r="C2350" s="3" t="n">
        <v>41526</v>
      </c>
      <c r="D2350" s="2" t="s">
        <v>15246</v>
      </c>
      <c r="F2350" s="2" t="s">
        <v>7257</v>
      </c>
      <c r="G2350" s="2" t="s">
        <v>15247</v>
      </c>
      <c r="H2350" s="2" t="s">
        <v>63</v>
      </c>
      <c r="I2350" s="2" t="s">
        <v>51</v>
      </c>
      <c r="J2350" s="2" t="s">
        <v>3045</v>
      </c>
      <c r="K2350" s="2" t="s">
        <v>15246</v>
      </c>
      <c r="L2350" s="2" t="s">
        <v>51</v>
      </c>
      <c r="M2350" s="2" t="s">
        <v>63</v>
      </c>
      <c r="N2350" s="2" t="s">
        <v>17926</v>
      </c>
      <c r="O2350" s="2"/>
      <c r="P2350" s="2" t="s">
        <v>37</v>
      </c>
      <c r="Q2350" s="4" t="n">
        <v>2836</v>
      </c>
      <c r="R2350" s="2" t="s">
        <v>56</v>
      </c>
      <c r="S2350" s="2" t="s">
        <v>2265</v>
      </c>
      <c r="T2350" s="2" t="s">
        <v>40</v>
      </c>
      <c r="U2350" s="2" t="s">
        <v>17927</v>
      </c>
      <c r="V2350" s="2"/>
      <c r="W2350" s="2" t="s">
        <v>42</v>
      </c>
      <c r="X2350" s="2" t="s">
        <v>43</v>
      </c>
      <c r="Y2350" s="2" t="s">
        <v>37</v>
      </c>
      <c r="Z2350" s="2" t="s">
        <v>44</v>
      </c>
      <c r="AA2350" s="2" t="s">
        <v>17928</v>
      </c>
      <c r="AB2350" s="2"/>
      <c r="AC2350" s="2" t="s">
        <v>15251</v>
      </c>
      <c r="AD2350" s="2" t="s">
        <v>46</v>
      </c>
    </row>
    <row r="2351" customFormat="false" ht="15.7" hidden="false" customHeight="true" outlineLevel="0" collapsed="false">
      <c r="A2351" s="2"/>
      <c r="B2351" s="3" t="n">
        <f aca="false">DATE(2013,9,10)</f>
        <v>0</v>
      </c>
      <c r="C2351" s="3" t="n">
        <v>41527</v>
      </c>
      <c r="D2351" s="2" t="s">
        <v>17929</v>
      </c>
      <c r="F2351" s="2" t="s">
        <v>17930</v>
      </c>
      <c r="G2351" s="2" t="s">
        <v>17931</v>
      </c>
      <c r="H2351" s="2" t="s">
        <v>130</v>
      </c>
      <c r="I2351" s="2" t="s">
        <v>435</v>
      </c>
      <c r="J2351" s="2" t="s">
        <v>4616</v>
      </c>
      <c r="K2351" s="2" t="s">
        <v>17929</v>
      </c>
      <c r="L2351" s="2" t="s">
        <v>435</v>
      </c>
      <c r="M2351" s="2" t="s">
        <v>130</v>
      </c>
      <c r="N2351" s="2" t="s">
        <v>17932</v>
      </c>
      <c r="O2351" s="2"/>
      <c r="P2351" s="2" t="s">
        <v>37</v>
      </c>
      <c r="Q2351" s="4" t="n">
        <v>8731</v>
      </c>
      <c r="R2351" s="2" t="s">
        <v>136</v>
      </c>
      <c r="S2351" s="2" t="s">
        <v>39</v>
      </c>
      <c r="T2351" s="2" t="s">
        <v>403</v>
      </c>
      <c r="U2351" s="2" t="s">
        <v>17933</v>
      </c>
      <c r="V2351" s="2"/>
      <c r="W2351" s="2" t="s">
        <v>42</v>
      </c>
      <c r="X2351" s="2" t="s">
        <v>43</v>
      </c>
      <c r="Y2351" s="2" t="s">
        <v>37</v>
      </c>
      <c r="Z2351" s="2" t="s">
        <v>44</v>
      </c>
      <c r="AA2351" s="2"/>
      <c r="AB2351" s="2"/>
      <c r="AC2351" s="2" t="s">
        <v>17934</v>
      </c>
      <c r="AD2351" s="2" t="s">
        <v>46</v>
      </c>
    </row>
    <row r="2352" customFormat="false" ht="15.7" hidden="false" customHeight="true" outlineLevel="0" collapsed="false">
      <c r="A2352" s="2"/>
      <c r="B2352" s="3" t="n">
        <f aca="false">DATE(2013,9,10)</f>
        <v>0</v>
      </c>
      <c r="C2352" s="3" t="n">
        <v>41527</v>
      </c>
      <c r="D2352" s="2" t="s">
        <v>17935</v>
      </c>
      <c r="F2352" s="2" t="s">
        <v>17936</v>
      </c>
      <c r="G2352" s="2" t="s">
        <v>17937</v>
      </c>
      <c r="H2352" s="2" t="s">
        <v>523</v>
      </c>
      <c r="I2352" s="2" t="s">
        <v>17938</v>
      </c>
      <c r="J2352" s="2" t="s">
        <v>35</v>
      </c>
      <c r="K2352" s="2" t="s">
        <v>17939</v>
      </c>
      <c r="L2352" s="2" t="s">
        <v>17938</v>
      </c>
      <c r="M2352" s="2" t="s">
        <v>5724</v>
      </c>
      <c r="N2352" s="2" t="s">
        <v>17940</v>
      </c>
      <c r="O2352" s="2"/>
      <c r="P2352" s="2" t="s">
        <v>37</v>
      </c>
      <c r="Q2352" s="4" t="n">
        <v>8731</v>
      </c>
      <c r="R2352" s="2" t="s">
        <v>136</v>
      </c>
      <c r="S2352" s="2" t="s">
        <v>39</v>
      </c>
      <c r="T2352" s="2" t="s">
        <v>40</v>
      </c>
      <c r="U2352" s="2" t="s">
        <v>17941</v>
      </c>
      <c r="V2352" s="2"/>
      <c r="W2352" s="2" t="s">
        <v>42</v>
      </c>
      <c r="X2352" s="2" t="s">
        <v>43</v>
      </c>
      <c r="Y2352" s="2" t="s">
        <v>37</v>
      </c>
      <c r="Z2352" s="2" t="s">
        <v>44</v>
      </c>
      <c r="AA2352" s="2"/>
      <c r="AB2352" s="2"/>
      <c r="AC2352" s="2" t="s">
        <v>17942</v>
      </c>
      <c r="AD2352" s="2" t="s">
        <v>46</v>
      </c>
    </row>
    <row r="2353" customFormat="false" ht="15.7" hidden="false" customHeight="true" outlineLevel="0" collapsed="false">
      <c r="A2353" s="2"/>
      <c r="B2353" s="3" t="n">
        <f aca="false">DATE(2013,9,11)</f>
        <v>0</v>
      </c>
      <c r="C2353" s="3" t="n">
        <v>41528</v>
      </c>
      <c r="D2353" s="2" t="s">
        <v>17943</v>
      </c>
      <c r="F2353" s="2" t="s">
        <v>256</v>
      </c>
      <c r="G2353" s="2" t="s">
        <v>17944</v>
      </c>
      <c r="H2353" s="2" t="s">
        <v>170</v>
      </c>
      <c r="I2353" s="2" t="s">
        <v>51</v>
      </c>
      <c r="J2353" s="2" t="s">
        <v>504</v>
      </c>
      <c r="K2353" s="2" t="s">
        <v>17945</v>
      </c>
      <c r="L2353" s="2" t="s">
        <v>131</v>
      </c>
      <c r="M2353" s="2" t="s">
        <v>8963</v>
      </c>
      <c r="N2353" s="2" t="s">
        <v>17946</v>
      </c>
      <c r="O2353" s="2"/>
      <c r="P2353" s="2" t="s">
        <v>37</v>
      </c>
      <c r="Q2353" s="4" t="n">
        <v>8731</v>
      </c>
      <c r="R2353" s="2" t="s">
        <v>56</v>
      </c>
      <c r="S2353" s="2" t="s">
        <v>2265</v>
      </c>
      <c r="T2353" s="2" t="s">
        <v>2444</v>
      </c>
      <c r="U2353" s="2" t="s">
        <v>17947</v>
      </c>
      <c r="V2353" s="2"/>
      <c r="W2353" s="2" t="s">
        <v>42</v>
      </c>
      <c r="X2353" s="2" t="s">
        <v>43</v>
      </c>
      <c r="Y2353" s="2" t="s">
        <v>37</v>
      </c>
      <c r="Z2353" s="2" t="s">
        <v>44</v>
      </c>
      <c r="AA2353" s="2"/>
      <c r="AB2353" s="2"/>
      <c r="AC2353" s="2" t="s">
        <v>17948</v>
      </c>
      <c r="AD2353" s="2" t="s">
        <v>46</v>
      </c>
    </row>
    <row r="2354" customFormat="false" ht="15.7" hidden="false" customHeight="true" outlineLevel="0" collapsed="false">
      <c r="A2354" s="2"/>
      <c r="B2354" s="3" t="n">
        <f aca="false">DATE(2013,9,12)</f>
        <v>0</v>
      </c>
      <c r="C2354" s="3" t="n">
        <v>41529</v>
      </c>
      <c r="D2354" s="2" t="s">
        <v>17949</v>
      </c>
      <c r="F2354" s="2" t="s">
        <v>17950</v>
      </c>
      <c r="G2354" s="2" t="s">
        <v>17951</v>
      </c>
      <c r="H2354" s="2" t="s">
        <v>1020</v>
      </c>
      <c r="I2354" s="2" t="s">
        <v>51</v>
      </c>
      <c r="J2354" s="2" t="s">
        <v>17952</v>
      </c>
      <c r="K2354" s="2" t="s">
        <v>17949</v>
      </c>
      <c r="L2354" s="2" t="s">
        <v>51</v>
      </c>
      <c r="M2354" s="2" t="s">
        <v>1020</v>
      </c>
      <c r="N2354" s="2" t="s">
        <v>17953</v>
      </c>
      <c r="O2354" s="2"/>
      <c r="P2354" s="2" t="s">
        <v>37</v>
      </c>
      <c r="Q2354" s="4" t="n">
        <v>8731</v>
      </c>
      <c r="R2354" s="2" t="s">
        <v>56</v>
      </c>
      <c r="S2354" s="2" t="s">
        <v>2265</v>
      </c>
      <c r="T2354" s="2" t="s">
        <v>40</v>
      </c>
      <c r="U2354" s="2" t="s">
        <v>17954</v>
      </c>
      <c r="V2354" s="2"/>
      <c r="W2354" s="2" t="s">
        <v>42</v>
      </c>
      <c r="X2354" s="2" t="s">
        <v>43</v>
      </c>
      <c r="Y2354" s="2" t="s">
        <v>37</v>
      </c>
      <c r="Z2354" s="2" t="s">
        <v>44</v>
      </c>
      <c r="AA2354" s="2"/>
      <c r="AB2354" s="2"/>
      <c r="AC2354" s="2" t="s">
        <v>17955</v>
      </c>
      <c r="AD2354" s="2" t="s">
        <v>46</v>
      </c>
    </row>
    <row r="2355" customFormat="false" ht="15.7" hidden="false" customHeight="true" outlineLevel="0" collapsed="false">
      <c r="A2355" s="2"/>
      <c r="B2355" s="3" t="n">
        <f aca="false">DATE(2013,9,12)</f>
        <v>0</v>
      </c>
      <c r="C2355" s="3" t="n">
        <v>41529</v>
      </c>
      <c r="D2355" s="2" t="s">
        <v>17956</v>
      </c>
      <c r="F2355" s="2" t="s">
        <v>17957</v>
      </c>
      <c r="G2355" s="2" t="s">
        <v>17958</v>
      </c>
      <c r="H2355" s="2" t="s">
        <v>1020</v>
      </c>
      <c r="I2355" s="2" t="s">
        <v>3265</v>
      </c>
      <c r="J2355" s="2" t="s">
        <v>6730</v>
      </c>
      <c r="K2355" s="2" t="s">
        <v>17959</v>
      </c>
      <c r="L2355" s="2" t="s">
        <v>3265</v>
      </c>
      <c r="M2355" s="2" t="s">
        <v>1271</v>
      </c>
      <c r="N2355" s="2" t="s">
        <v>17960</v>
      </c>
      <c r="O2355" s="2"/>
      <c r="P2355" s="2" t="s">
        <v>37</v>
      </c>
      <c r="Q2355" s="4" t="n">
        <v>8731</v>
      </c>
      <c r="R2355" s="2" t="s">
        <v>136</v>
      </c>
      <c r="S2355" s="2" t="s">
        <v>39</v>
      </c>
      <c r="T2355" s="2" t="s">
        <v>40</v>
      </c>
      <c r="U2355" s="2" t="s">
        <v>17961</v>
      </c>
      <c r="V2355" s="2"/>
      <c r="W2355" s="2" t="s">
        <v>344</v>
      </c>
      <c r="X2355" s="2" t="s">
        <v>43</v>
      </c>
      <c r="Y2355" s="2" t="s">
        <v>37</v>
      </c>
      <c r="Z2355" s="2" t="s">
        <v>44</v>
      </c>
      <c r="AA2355" s="2"/>
      <c r="AB2355" s="2"/>
      <c r="AC2355" s="2" t="s">
        <v>17962</v>
      </c>
      <c r="AD2355" s="2" t="s">
        <v>46</v>
      </c>
    </row>
    <row r="2356" customFormat="false" ht="15.7" hidden="false" customHeight="true" outlineLevel="0" collapsed="false">
      <c r="A2356" s="2"/>
      <c r="B2356" s="3" t="n">
        <f aca="false">DATE(2013,9,13)</f>
        <v>0</v>
      </c>
      <c r="C2356" s="3" t="n">
        <v>41530</v>
      </c>
      <c r="D2356" s="2" t="s">
        <v>17963</v>
      </c>
      <c r="F2356" s="2" t="s">
        <v>12246</v>
      </c>
      <c r="G2356" s="2" t="s">
        <v>17964</v>
      </c>
      <c r="H2356" s="2" t="s">
        <v>523</v>
      </c>
      <c r="I2356" s="2" t="s">
        <v>7576</v>
      </c>
      <c r="J2356" s="2" t="s">
        <v>35</v>
      </c>
      <c r="K2356" s="2" t="s">
        <v>17965</v>
      </c>
      <c r="L2356" s="2" t="s">
        <v>7576</v>
      </c>
      <c r="M2356" s="2" t="s">
        <v>12041</v>
      </c>
      <c r="N2356" s="2" t="s">
        <v>17966</v>
      </c>
      <c r="O2356" s="2"/>
      <c r="P2356" s="2" t="s">
        <v>37</v>
      </c>
      <c r="Q2356" s="4" t="n">
        <v>2834</v>
      </c>
      <c r="R2356" s="2" t="s">
        <v>402</v>
      </c>
      <c r="S2356" s="2" t="s">
        <v>39</v>
      </c>
      <c r="T2356" s="2" t="s">
        <v>40</v>
      </c>
      <c r="U2356" s="2" t="s">
        <v>17967</v>
      </c>
      <c r="V2356" s="2"/>
      <c r="W2356" s="2" t="s">
        <v>344</v>
      </c>
      <c r="X2356" s="2" t="s">
        <v>43</v>
      </c>
      <c r="Y2356" s="2" t="s">
        <v>37</v>
      </c>
      <c r="Z2356" s="2" t="s">
        <v>44</v>
      </c>
      <c r="AA2356" s="2"/>
      <c r="AB2356" s="2"/>
      <c r="AC2356" s="2" t="s">
        <v>17968</v>
      </c>
      <c r="AD2356" s="2" t="s">
        <v>46</v>
      </c>
    </row>
    <row r="2357" customFormat="false" ht="15.7" hidden="false" customHeight="true" outlineLevel="0" collapsed="false">
      <c r="A2357" s="2"/>
      <c r="B2357" s="3" t="n">
        <f aca="false">DATE(2013,9,16)</f>
        <v>0</v>
      </c>
      <c r="C2357" s="3" t="n">
        <v>41533</v>
      </c>
      <c r="D2357" s="2" t="s">
        <v>17969</v>
      </c>
      <c r="F2357" s="2" t="s">
        <v>17970</v>
      </c>
      <c r="G2357" s="2" t="s">
        <v>17971</v>
      </c>
      <c r="H2357" s="2" t="s">
        <v>17286</v>
      </c>
      <c r="I2357" s="2" t="s">
        <v>51</v>
      </c>
      <c r="J2357" s="2" t="s">
        <v>77</v>
      </c>
      <c r="K2357" s="2" t="s">
        <v>17969</v>
      </c>
      <c r="L2357" s="2" t="s">
        <v>51</v>
      </c>
      <c r="M2357" s="2" t="s">
        <v>17286</v>
      </c>
      <c r="N2357" s="2" t="s">
        <v>17972</v>
      </c>
      <c r="O2357" s="2"/>
      <c r="P2357" s="2" t="s">
        <v>37</v>
      </c>
      <c r="Q2357" s="4" t="n">
        <v>3674</v>
      </c>
      <c r="R2357" s="2" t="s">
        <v>56</v>
      </c>
      <c r="S2357" s="2" t="s">
        <v>2265</v>
      </c>
      <c r="T2357" s="2" t="s">
        <v>40</v>
      </c>
      <c r="U2357" s="2" t="s">
        <v>17973</v>
      </c>
      <c r="V2357" s="2"/>
      <c r="W2357" s="2" t="s">
        <v>42</v>
      </c>
      <c r="X2357" s="2" t="s">
        <v>43</v>
      </c>
      <c r="Y2357" s="2" t="s">
        <v>37</v>
      </c>
      <c r="Z2357" s="2" t="s">
        <v>44</v>
      </c>
      <c r="AA2357" s="2"/>
      <c r="AB2357" s="2"/>
      <c r="AC2357" s="2" t="s">
        <v>17974</v>
      </c>
      <c r="AD2357" s="2" t="s">
        <v>46</v>
      </c>
    </row>
    <row r="2358" customFormat="false" ht="15.7" hidden="false" customHeight="true" outlineLevel="0" collapsed="false">
      <c r="A2358" s="2"/>
      <c r="B2358" s="3" t="n">
        <f aca="false">DATE(2013,9,16)</f>
        <v>0</v>
      </c>
      <c r="C2358" s="3" t="n">
        <v>41533</v>
      </c>
      <c r="D2358" s="2" t="s">
        <v>17975</v>
      </c>
      <c r="F2358" s="2" t="s">
        <v>17976</v>
      </c>
      <c r="G2358" s="2" t="s">
        <v>17977</v>
      </c>
      <c r="H2358" s="2" t="s">
        <v>1027</v>
      </c>
      <c r="I2358" s="2" t="s">
        <v>17938</v>
      </c>
      <c r="J2358" s="2" t="s">
        <v>35</v>
      </c>
      <c r="K2358" s="2" t="s">
        <v>17978</v>
      </c>
      <c r="L2358" s="2" t="s">
        <v>17938</v>
      </c>
      <c r="M2358" s="2" t="s">
        <v>902</v>
      </c>
      <c r="N2358" s="2" t="s">
        <v>17979</v>
      </c>
      <c r="O2358" s="2"/>
      <c r="P2358" s="2" t="s">
        <v>37</v>
      </c>
      <c r="Q2358" s="4" t="n">
        <v>8731</v>
      </c>
      <c r="R2358" s="2" t="s">
        <v>136</v>
      </c>
      <c r="S2358" s="2" t="s">
        <v>39</v>
      </c>
      <c r="T2358" s="2" t="s">
        <v>40</v>
      </c>
      <c r="U2358" s="2" t="s">
        <v>17980</v>
      </c>
      <c r="V2358" s="2"/>
      <c r="W2358" s="2" t="s">
        <v>42</v>
      </c>
      <c r="X2358" s="2" t="s">
        <v>43</v>
      </c>
      <c r="Y2358" s="2" t="s">
        <v>37</v>
      </c>
      <c r="Z2358" s="2" t="s">
        <v>44</v>
      </c>
      <c r="AA2358" s="2"/>
      <c r="AB2358" s="2"/>
      <c r="AC2358" s="2" t="s">
        <v>17981</v>
      </c>
      <c r="AD2358" s="2" t="s">
        <v>46</v>
      </c>
    </row>
    <row r="2359" customFormat="false" ht="15.7" hidden="false" customHeight="true" outlineLevel="0" collapsed="false">
      <c r="A2359" s="2"/>
      <c r="B2359" s="3" t="n">
        <f aca="false">DATE(2013,9,17)</f>
        <v>0</v>
      </c>
      <c r="C2359" s="3" t="n">
        <v>41534</v>
      </c>
      <c r="D2359" s="2" t="s">
        <v>17982</v>
      </c>
      <c r="F2359" s="2" t="s">
        <v>17983</v>
      </c>
      <c r="G2359" s="2" t="s">
        <v>17984</v>
      </c>
      <c r="H2359" s="2" t="s">
        <v>17985</v>
      </c>
      <c r="I2359" s="2" t="s">
        <v>88</v>
      </c>
      <c r="J2359" s="2" t="s">
        <v>65</v>
      </c>
      <c r="K2359" s="2" t="s">
        <v>17986</v>
      </c>
      <c r="L2359" s="2" t="s">
        <v>17987</v>
      </c>
      <c r="M2359" s="2" t="s">
        <v>17988</v>
      </c>
      <c r="N2359" s="2" t="s">
        <v>17989</v>
      </c>
      <c r="O2359" s="2"/>
      <c r="P2359" s="2" t="s">
        <v>37</v>
      </c>
      <c r="Q2359" s="4" t="n">
        <v>2821</v>
      </c>
      <c r="R2359" s="2" t="s">
        <v>136</v>
      </c>
      <c r="S2359" s="2" t="s">
        <v>39</v>
      </c>
      <c r="T2359" s="2" t="s">
        <v>40</v>
      </c>
      <c r="U2359" s="2" t="s">
        <v>17990</v>
      </c>
      <c r="V2359" s="2"/>
      <c r="W2359" s="2" t="s">
        <v>42</v>
      </c>
      <c r="X2359" s="2" t="s">
        <v>43</v>
      </c>
      <c r="Y2359" s="2" t="s">
        <v>37</v>
      </c>
      <c r="Z2359" s="2" t="s">
        <v>44</v>
      </c>
      <c r="AA2359" s="2"/>
      <c r="AB2359" s="2"/>
      <c r="AC2359" s="2" t="s">
        <v>17991</v>
      </c>
      <c r="AD2359" s="2" t="s">
        <v>46</v>
      </c>
    </row>
    <row r="2360" customFormat="false" ht="15.7" hidden="false" customHeight="true" outlineLevel="0" collapsed="false">
      <c r="A2360" s="2"/>
      <c r="B2360" s="3" t="n">
        <f aca="false">DATE(2013,9,19)</f>
        <v>0</v>
      </c>
      <c r="C2360" s="3" t="n">
        <v>41536</v>
      </c>
      <c r="D2360" s="2" t="s">
        <v>17992</v>
      </c>
      <c r="F2360" s="2" t="s">
        <v>17993</v>
      </c>
      <c r="G2360" s="2" t="s">
        <v>17994</v>
      </c>
      <c r="H2360" s="2" t="s">
        <v>2319</v>
      </c>
      <c r="I2360" s="2" t="s">
        <v>1080</v>
      </c>
      <c r="J2360" s="2" t="s">
        <v>35</v>
      </c>
      <c r="K2360" s="2" t="s">
        <v>17992</v>
      </c>
      <c r="L2360" s="2" t="s">
        <v>1080</v>
      </c>
      <c r="M2360" s="2" t="s">
        <v>2319</v>
      </c>
      <c r="N2360" s="2" t="s">
        <v>17995</v>
      </c>
      <c r="O2360" s="2"/>
      <c r="P2360" s="2" t="s">
        <v>37</v>
      </c>
      <c r="Q2360" s="4" t="n">
        <v>8731</v>
      </c>
      <c r="R2360" s="2" t="s">
        <v>2201</v>
      </c>
      <c r="S2360" s="2" t="s">
        <v>39</v>
      </c>
      <c r="T2360" s="2" t="s">
        <v>403</v>
      </c>
      <c r="U2360" s="2" t="s">
        <v>17996</v>
      </c>
      <c r="V2360" s="2"/>
      <c r="W2360" s="2" t="s">
        <v>42</v>
      </c>
      <c r="X2360" s="2" t="s">
        <v>43</v>
      </c>
      <c r="Y2360" s="2" t="s">
        <v>37</v>
      </c>
      <c r="Z2360" s="2" t="s">
        <v>44</v>
      </c>
      <c r="AA2360" s="2"/>
      <c r="AB2360" s="2"/>
      <c r="AC2360" s="2" t="s">
        <v>17997</v>
      </c>
      <c r="AD2360" s="2" t="s">
        <v>46</v>
      </c>
    </row>
    <row r="2361" customFormat="false" ht="15.7" hidden="false" customHeight="true" outlineLevel="0" collapsed="false">
      <c r="A2361" s="2"/>
      <c r="B2361" s="3" t="n">
        <f aca="false">DATE(2013,9,19)</f>
        <v>0</v>
      </c>
      <c r="C2361" s="3" t="n">
        <v>41536</v>
      </c>
      <c r="D2361" s="2" t="s">
        <v>17998</v>
      </c>
      <c r="F2361" s="2" t="s">
        <v>2026</v>
      </c>
      <c r="G2361" s="2" t="s">
        <v>17999</v>
      </c>
      <c r="H2361" s="2" t="s">
        <v>762</v>
      </c>
      <c r="I2361" s="2" t="s">
        <v>51</v>
      </c>
      <c r="J2361" s="2" t="s">
        <v>9038</v>
      </c>
      <c r="K2361" s="2" t="s">
        <v>18000</v>
      </c>
      <c r="L2361" s="2" t="s">
        <v>51</v>
      </c>
      <c r="M2361" s="2" t="s">
        <v>18001</v>
      </c>
      <c r="N2361" s="2" t="s">
        <v>18002</v>
      </c>
      <c r="O2361" s="2"/>
      <c r="P2361" s="2" t="s">
        <v>37</v>
      </c>
      <c r="Q2361" s="4" t="n">
        <v>8731</v>
      </c>
      <c r="R2361" s="2" t="s">
        <v>56</v>
      </c>
      <c r="S2361" s="2" t="s">
        <v>2265</v>
      </c>
      <c r="T2361" s="2" t="s">
        <v>40</v>
      </c>
      <c r="U2361" s="2" t="s">
        <v>18003</v>
      </c>
      <c r="V2361" s="2"/>
      <c r="W2361" s="2" t="s">
        <v>42</v>
      </c>
      <c r="X2361" s="2" t="s">
        <v>43</v>
      </c>
      <c r="Y2361" s="2" t="s">
        <v>37</v>
      </c>
      <c r="Z2361" s="2" t="s">
        <v>44</v>
      </c>
      <c r="AA2361" s="2"/>
      <c r="AB2361" s="2"/>
      <c r="AC2361" s="2" t="s">
        <v>18004</v>
      </c>
      <c r="AD2361" s="2" t="s">
        <v>46</v>
      </c>
    </row>
    <row r="2362" customFormat="false" ht="15.7" hidden="false" customHeight="true" outlineLevel="0" collapsed="false">
      <c r="A2362" s="2"/>
      <c r="B2362" s="3" t="n">
        <f aca="false">DATE(2013,9,19)</f>
        <v>0</v>
      </c>
      <c r="C2362" s="3" t="n">
        <v>41536</v>
      </c>
      <c r="D2362" s="2" t="s">
        <v>18005</v>
      </c>
      <c r="F2362" s="2" t="s">
        <v>18006</v>
      </c>
      <c r="G2362" s="2" t="s">
        <v>18007</v>
      </c>
      <c r="H2362" s="2" t="s">
        <v>582</v>
      </c>
      <c r="I2362" s="2" t="s">
        <v>1867</v>
      </c>
      <c r="J2362" s="2" t="s">
        <v>35</v>
      </c>
      <c r="K2362" s="2" t="s">
        <v>18008</v>
      </c>
      <c r="L2362" s="2" t="s">
        <v>1867</v>
      </c>
      <c r="M2362" s="2" t="s">
        <v>18009</v>
      </c>
      <c r="N2362" s="2" t="s">
        <v>18010</v>
      </c>
      <c r="O2362" s="2"/>
      <c r="P2362" s="2" t="s">
        <v>37</v>
      </c>
      <c r="Q2362" s="4" t="n">
        <v>8731</v>
      </c>
      <c r="R2362" s="2" t="s">
        <v>2201</v>
      </c>
      <c r="S2362" s="2" t="s">
        <v>39</v>
      </c>
      <c r="T2362" s="2" t="s">
        <v>403</v>
      </c>
      <c r="U2362" s="2" t="s">
        <v>18011</v>
      </c>
      <c r="V2362" s="2"/>
      <c r="W2362" s="2" t="s">
        <v>42</v>
      </c>
      <c r="X2362" s="2" t="s">
        <v>43</v>
      </c>
      <c r="Y2362" s="2" t="s">
        <v>37</v>
      </c>
      <c r="Z2362" s="2" t="s">
        <v>44</v>
      </c>
      <c r="AA2362" s="2"/>
      <c r="AB2362" s="2"/>
      <c r="AC2362" s="2" t="s">
        <v>18012</v>
      </c>
      <c r="AD2362" s="2" t="s">
        <v>46</v>
      </c>
    </row>
    <row r="2363" customFormat="false" ht="15.7" hidden="false" customHeight="true" outlineLevel="0" collapsed="false">
      <c r="A2363" s="2"/>
      <c r="B2363" s="3" t="n">
        <f aca="false">DATE(2013,9,23)</f>
        <v>0</v>
      </c>
      <c r="C2363" s="3" t="n">
        <v>41540</v>
      </c>
      <c r="D2363" s="2" t="s">
        <v>18013</v>
      </c>
      <c r="F2363" s="2" t="s">
        <v>18014</v>
      </c>
      <c r="G2363" s="2" t="s">
        <v>18015</v>
      </c>
      <c r="H2363" s="2" t="s">
        <v>130</v>
      </c>
      <c r="I2363" s="2" t="s">
        <v>330</v>
      </c>
      <c r="J2363" s="2" t="s">
        <v>132</v>
      </c>
      <c r="K2363" s="2" t="s">
        <v>18013</v>
      </c>
      <c r="L2363" s="2" t="s">
        <v>330</v>
      </c>
      <c r="M2363" s="2" t="s">
        <v>130</v>
      </c>
      <c r="N2363" s="2" t="s">
        <v>18016</v>
      </c>
      <c r="O2363" s="2"/>
      <c r="P2363" s="2" t="s">
        <v>37</v>
      </c>
      <c r="Q2363" s="4" t="n">
        <v>2834</v>
      </c>
      <c r="R2363" s="2" t="s">
        <v>56</v>
      </c>
      <c r="S2363" s="2"/>
      <c r="T2363" s="2" t="s">
        <v>40</v>
      </c>
      <c r="U2363" s="2" t="s">
        <v>18017</v>
      </c>
      <c r="V2363" s="2"/>
      <c r="W2363" s="2" t="s">
        <v>344</v>
      </c>
      <c r="X2363" s="2" t="s">
        <v>43</v>
      </c>
      <c r="Y2363" s="2" t="s">
        <v>37</v>
      </c>
      <c r="Z2363" s="2" t="s">
        <v>44</v>
      </c>
      <c r="AA2363" s="2"/>
      <c r="AB2363" s="2"/>
      <c r="AC2363" s="2" t="s">
        <v>18018</v>
      </c>
      <c r="AD2363" s="2" t="s">
        <v>46</v>
      </c>
    </row>
    <row r="2364" customFormat="false" ht="15.7" hidden="false" customHeight="true" outlineLevel="0" collapsed="false">
      <c r="A2364" s="2"/>
      <c r="B2364" s="3" t="n">
        <f aca="false">DATE(2013,9,23)</f>
        <v>0</v>
      </c>
      <c r="C2364" s="3" t="n">
        <v>41540</v>
      </c>
      <c r="D2364" s="2" t="s">
        <v>18019</v>
      </c>
      <c r="F2364" s="2" t="s">
        <v>18020</v>
      </c>
      <c r="G2364" s="2" t="s">
        <v>18021</v>
      </c>
      <c r="H2364" s="2" t="s">
        <v>1473</v>
      </c>
      <c r="I2364" s="2" t="s">
        <v>1080</v>
      </c>
      <c r="J2364" s="2" t="s">
        <v>35</v>
      </c>
      <c r="K2364" s="2" t="s">
        <v>18019</v>
      </c>
      <c r="L2364" s="2" t="s">
        <v>1080</v>
      </c>
      <c r="M2364" s="2" t="s">
        <v>1473</v>
      </c>
      <c r="N2364" s="2" t="s">
        <v>18022</v>
      </c>
      <c r="O2364" s="2"/>
      <c r="P2364" s="2" t="s">
        <v>37</v>
      </c>
      <c r="Q2364" s="4" t="n">
        <v>8731</v>
      </c>
      <c r="R2364" s="2" t="s">
        <v>2201</v>
      </c>
      <c r="S2364" s="2" t="s">
        <v>39</v>
      </c>
      <c r="T2364" s="2" t="s">
        <v>40</v>
      </c>
      <c r="U2364" s="2" t="s">
        <v>18023</v>
      </c>
      <c r="V2364" s="2"/>
      <c r="W2364" s="2" t="s">
        <v>42</v>
      </c>
      <c r="X2364" s="2" t="s">
        <v>43</v>
      </c>
      <c r="Y2364" s="2" t="s">
        <v>37</v>
      </c>
      <c r="Z2364" s="2" t="s">
        <v>44</v>
      </c>
      <c r="AA2364" s="2"/>
      <c r="AB2364" s="2"/>
      <c r="AC2364" s="2" t="s">
        <v>18024</v>
      </c>
      <c r="AD2364" s="2" t="s">
        <v>46</v>
      </c>
    </row>
    <row r="2365" customFormat="false" ht="15.7" hidden="false" customHeight="true" outlineLevel="0" collapsed="false">
      <c r="A2365" s="2"/>
      <c r="B2365" s="3" t="n">
        <f aca="false">DATE(2013,9,23)</f>
        <v>0</v>
      </c>
      <c r="C2365" s="3" t="n">
        <v>41540</v>
      </c>
      <c r="D2365" s="2" t="s">
        <v>18025</v>
      </c>
      <c r="F2365" s="2" t="s">
        <v>18026</v>
      </c>
      <c r="G2365" s="2" t="s">
        <v>18027</v>
      </c>
      <c r="H2365" s="2" t="s">
        <v>18028</v>
      </c>
      <c r="I2365" s="2" t="s">
        <v>2294</v>
      </c>
      <c r="J2365" s="2" t="s">
        <v>35</v>
      </c>
      <c r="K2365" s="2" t="s">
        <v>18025</v>
      </c>
      <c r="L2365" s="2" t="s">
        <v>2294</v>
      </c>
      <c r="M2365" s="2" t="s">
        <v>18028</v>
      </c>
      <c r="N2365" s="2" t="s">
        <v>18029</v>
      </c>
      <c r="O2365" s="2" t="s">
        <v>18030</v>
      </c>
      <c r="P2365" s="2" t="s">
        <v>37</v>
      </c>
      <c r="Q2365" s="4" t="n">
        <v>8071</v>
      </c>
      <c r="R2365" s="2" t="s">
        <v>450</v>
      </c>
      <c r="S2365" s="2" t="s">
        <v>39</v>
      </c>
      <c r="T2365" s="2" t="s">
        <v>40</v>
      </c>
      <c r="U2365" s="2" t="s">
        <v>18031</v>
      </c>
      <c r="V2365" s="2"/>
      <c r="W2365" s="2" t="s">
        <v>4487</v>
      </c>
      <c r="X2365" s="2" t="s">
        <v>46</v>
      </c>
      <c r="Y2365" s="2" t="s">
        <v>37</v>
      </c>
      <c r="Z2365" s="2" t="s">
        <v>1639</v>
      </c>
      <c r="AA2365" s="2"/>
      <c r="AB2365" s="2" t="s">
        <v>18032</v>
      </c>
      <c r="AC2365" s="2" t="s">
        <v>18033</v>
      </c>
      <c r="AD2365" s="2" t="s">
        <v>46</v>
      </c>
    </row>
    <row r="2366" customFormat="false" ht="15.7" hidden="false" customHeight="true" outlineLevel="0" collapsed="false">
      <c r="A2366" s="2"/>
      <c r="B2366" s="3" t="n">
        <f aca="false">DATE(2013,9,23)</f>
        <v>0</v>
      </c>
      <c r="C2366" s="3" t="n">
        <v>41540</v>
      </c>
      <c r="D2366" s="2" t="s">
        <v>18034</v>
      </c>
      <c r="F2366" s="2" t="s">
        <v>18035</v>
      </c>
      <c r="G2366" s="2" t="s">
        <v>18036</v>
      </c>
      <c r="H2366" s="2" t="s">
        <v>1020</v>
      </c>
      <c r="I2366" s="2" t="s">
        <v>11009</v>
      </c>
      <c r="J2366" s="2" t="s">
        <v>35</v>
      </c>
      <c r="K2366" s="2" t="s">
        <v>18034</v>
      </c>
      <c r="L2366" s="2" t="s">
        <v>11009</v>
      </c>
      <c r="M2366" s="2" t="s">
        <v>1020</v>
      </c>
      <c r="N2366" s="2" t="s">
        <v>18037</v>
      </c>
      <c r="O2366" s="2"/>
      <c r="P2366" s="2" t="s">
        <v>37</v>
      </c>
      <c r="Q2366" s="4" t="n">
        <v>8731</v>
      </c>
      <c r="R2366" s="2" t="s">
        <v>136</v>
      </c>
      <c r="S2366" s="2" t="s">
        <v>39</v>
      </c>
      <c r="T2366" s="2" t="s">
        <v>40</v>
      </c>
      <c r="U2366" s="2" t="s">
        <v>18038</v>
      </c>
      <c r="V2366" s="2"/>
      <c r="W2366" s="2" t="s">
        <v>42</v>
      </c>
      <c r="X2366" s="2" t="s">
        <v>43</v>
      </c>
      <c r="Y2366" s="2" t="s">
        <v>37</v>
      </c>
      <c r="Z2366" s="2" t="s">
        <v>44</v>
      </c>
      <c r="AA2366" s="2"/>
      <c r="AB2366" s="2"/>
      <c r="AC2366" s="2" t="s">
        <v>18039</v>
      </c>
      <c r="AD2366" s="2" t="s">
        <v>46</v>
      </c>
    </row>
    <row r="2367" customFormat="false" ht="15.7" hidden="false" customHeight="true" outlineLevel="0" collapsed="false">
      <c r="A2367" s="2"/>
      <c r="B2367" s="3" t="n">
        <f aca="false">DATE(2013,9,23)</f>
        <v>0</v>
      </c>
      <c r="C2367" s="3" t="n">
        <v>41540</v>
      </c>
      <c r="D2367" s="2" t="s">
        <v>18040</v>
      </c>
      <c r="F2367" s="2" t="s">
        <v>18041</v>
      </c>
      <c r="G2367" s="2" t="s">
        <v>18042</v>
      </c>
      <c r="H2367" s="2" t="s">
        <v>305</v>
      </c>
      <c r="I2367" s="2" t="s">
        <v>1164</v>
      </c>
      <c r="J2367" s="2" t="s">
        <v>35</v>
      </c>
      <c r="K2367" s="2" t="s">
        <v>18040</v>
      </c>
      <c r="L2367" s="2" t="s">
        <v>1164</v>
      </c>
      <c r="M2367" s="2" t="s">
        <v>305</v>
      </c>
      <c r="N2367" s="2" t="s">
        <v>18043</v>
      </c>
      <c r="O2367" s="2"/>
      <c r="P2367" s="2" t="s">
        <v>37</v>
      </c>
      <c r="Q2367" s="4" t="n">
        <v>8731</v>
      </c>
      <c r="R2367" s="2" t="s">
        <v>136</v>
      </c>
      <c r="S2367" s="2" t="s">
        <v>39</v>
      </c>
      <c r="T2367" s="2" t="s">
        <v>40</v>
      </c>
      <c r="U2367" s="2" t="s">
        <v>18044</v>
      </c>
      <c r="V2367" s="2"/>
      <c r="W2367" s="2" t="s">
        <v>42</v>
      </c>
      <c r="X2367" s="2" t="s">
        <v>43</v>
      </c>
      <c r="Y2367" s="2" t="s">
        <v>37</v>
      </c>
      <c r="Z2367" s="2" t="s">
        <v>44</v>
      </c>
      <c r="AA2367" s="2"/>
      <c r="AB2367" s="2"/>
      <c r="AC2367" s="2" t="s">
        <v>18045</v>
      </c>
      <c r="AD2367" s="2" t="s">
        <v>46</v>
      </c>
    </row>
    <row r="2368" customFormat="false" ht="15.7" hidden="false" customHeight="true" outlineLevel="0" collapsed="false">
      <c r="A2368" s="2"/>
      <c r="B2368" s="3" t="n">
        <f aca="false">DATE(2013,9,24)</f>
        <v>0</v>
      </c>
      <c r="C2368" s="3" t="n">
        <v>41541</v>
      </c>
      <c r="D2368" s="2" t="s">
        <v>18046</v>
      </c>
      <c r="F2368" s="2" t="s">
        <v>18047</v>
      </c>
      <c r="G2368" s="2" t="s">
        <v>18048</v>
      </c>
      <c r="H2368" s="2" t="s">
        <v>63</v>
      </c>
      <c r="I2368" s="2" t="s">
        <v>257</v>
      </c>
      <c r="J2368" s="2" t="s">
        <v>3906</v>
      </c>
      <c r="K2368" s="2" t="s">
        <v>18046</v>
      </c>
      <c r="L2368" s="2" t="s">
        <v>257</v>
      </c>
      <c r="M2368" s="2" t="s">
        <v>63</v>
      </c>
      <c r="N2368" s="2" t="s">
        <v>18049</v>
      </c>
      <c r="O2368" s="2"/>
      <c r="P2368" s="2" t="s">
        <v>37</v>
      </c>
      <c r="Q2368" s="4" t="n">
        <v>8731</v>
      </c>
      <c r="R2368" s="2" t="s">
        <v>136</v>
      </c>
      <c r="S2368" s="2" t="s">
        <v>39</v>
      </c>
      <c r="T2368" s="2" t="s">
        <v>40</v>
      </c>
      <c r="U2368" s="2" t="s">
        <v>18050</v>
      </c>
      <c r="V2368" s="2"/>
      <c r="W2368" s="2" t="s">
        <v>42</v>
      </c>
      <c r="X2368" s="2" t="s">
        <v>43</v>
      </c>
      <c r="Y2368" s="2" t="s">
        <v>37</v>
      </c>
      <c r="Z2368" s="2" t="s">
        <v>44</v>
      </c>
      <c r="AA2368" s="2"/>
      <c r="AB2368" s="2"/>
      <c r="AC2368" s="2" t="s">
        <v>18051</v>
      </c>
      <c r="AD2368" s="2" t="s">
        <v>46</v>
      </c>
    </row>
    <row r="2369" customFormat="false" ht="15.7" hidden="false" customHeight="true" outlineLevel="0" collapsed="false">
      <c r="A2369" s="2"/>
      <c r="B2369" s="3" t="n">
        <f aca="false">DATE(2013,9,25)</f>
        <v>0</v>
      </c>
      <c r="C2369" s="3" t="n">
        <v>41542</v>
      </c>
      <c r="D2369" s="2" t="s">
        <v>18052</v>
      </c>
      <c r="F2369" s="2" t="s">
        <v>18053</v>
      </c>
      <c r="G2369" s="2" t="s">
        <v>18054</v>
      </c>
      <c r="H2369" s="2" t="s">
        <v>3759</v>
      </c>
      <c r="I2369" s="2" t="s">
        <v>51</v>
      </c>
      <c r="J2369" s="2" t="s">
        <v>3135</v>
      </c>
      <c r="K2369" s="2" t="s">
        <v>18055</v>
      </c>
      <c r="L2369" s="2" t="s">
        <v>88</v>
      </c>
      <c r="M2369" s="2" t="s">
        <v>3761</v>
      </c>
      <c r="N2369" s="2" t="s">
        <v>18056</v>
      </c>
      <c r="O2369" s="2"/>
      <c r="P2369" s="2" t="s">
        <v>37</v>
      </c>
      <c r="Q2369" s="4" t="n">
        <v>8731</v>
      </c>
      <c r="R2369" s="2" t="s">
        <v>56</v>
      </c>
      <c r="S2369" s="2" t="s">
        <v>2265</v>
      </c>
      <c r="T2369" s="2" t="s">
        <v>40</v>
      </c>
      <c r="U2369" s="2" t="s">
        <v>18057</v>
      </c>
      <c r="V2369" s="2"/>
      <c r="W2369" s="2" t="s">
        <v>697</v>
      </c>
      <c r="X2369" s="2" t="s">
        <v>43</v>
      </c>
      <c r="Y2369" s="2" t="s">
        <v>37</v>
      </c>
      <c r="Z2369" s="2" t="s">
        <v>44</v>
      </c>
      <c r="AA2369" s="2"/>
      <c r="AB2369" s="2"/>
      <c r="AC2369" s="2" t="s">
        <v>18058</v>
      </c>
      <c r="AD2369" s="2" t="s">
        <v>46</v>
      </c>
    </row>
    <row r="2370" customFormat="false" ht="15.7" hidden="false" customHeight="true" outlineLevel="0" collapsed="false">
      <c r="A2370" s="2"/>
      <c r="B2370" s="3" t="n">
        <f aca="false">DATE(2013,9,26)</f>
        <v>0</v>
      </c>
      <c r="C2370" s="3" t="n">
        <v>41543</v>
      </c>
      <c r="D2370" s="2" t="s">
        <v>18059</v>
      </c>
      <c r="F2370" s="2" t="s">
        <v>18060</v>
      </c>
      <c r="G2370" s="2" t="s">
        <v>18061</v>
      </c>
      <c r="H2370" s="2" t="s">
        <v>12871</v>
      </c>
      <c r="I2370" s="2" t="s">
        <v>202</v>
      </c>
      <c r="J2370" s="2" t="s">
        <v>15829</v>
      </c>
      <c r="K2370" s="2" t="s">
        <v>18062</v>
      </c>
      <c r="L2370" s="2" t="s">
        <v>202</v>
      </c>
      <c r="M2370" s="2" t="s">
        <v>3069</v>
      </c>
      <c r="N2370" s="2" t="s">
        <v>18063</v>
      </c>
      <c r="O2370" s="2"/>
      <c r="P2370" s="2" t="s">
        <v>37</v>
      </c>
      <c r="Q2370" s="4" t="n">
        <v>6794</v>
      </c>
      <c r="R2370" s="2" t="s">
        <v>136</v>
      </c>
      <c r="S2370" s="2" t="s">
        <v>39</v>
      </c>
      <c r="T2370" s="2" t="s">
        <v>2444</v>
      </c>
      <c r="U2370" s="2" t="s">
        <v>18064</v>
      </c>
      <c r="V2370" s="2"/>
      <c r="W2370" s="2" t="s">
        <v>15545</v>
      </c>
      <c r="X2370" s="2" t="s">
        <v>43</v>
      </c>
      <c r="Y2370" s="2" t="s">
        <v>37</v>
      </c>
      <c r="Z2370" s="2" t="s">
        <v>44</v>
      </c>
      <c r="AA2370" s="2"/>
      <c r="AB2370" s="2"/>
      <c r="AC2370" s="2" t="s">
        <v>18065</v>
      </c>
      <c r="AD2370" s="2" t="s">
        <v>46</v>
      </c>
    </row>
    <row r="2371" customFormat="false" ht="15.7" hidden="false" customHeight="true" outlineLevel="0" collapsed="false">
      <c r="A2371" s="2"/>
      <c r="B2371" s="3" t="n">
        <f aca="false">DATE(2013,10,1)</f>
        <v>0</v>
      </c>
      <c r="C2371" s="3" t="n">
        <v>41548</v>
      </c>
      <c r="D2371" s="2" t="s">
        <v>18066</v>
      </c>
      <c r="F2371" s="2" t="s">
        <v>18067</v>
      </c>
      <c r="G2371" s="2" t="s">
        <v>18068</v>
      </c>
      <c r="H2371" s="2" t="s">
        <v>305</v>
      </c>
      <c r="I2371" s="2" t="s">
        <v>1904</v>
      </c>
      <c r="J2371" s="2" t="s">
        <v>8615</v>
      </c>
      <c r="K2371" s="2" t="s">
        <v>18066</v>
      </c>
      <c r="L2371" s="2" t="s">
        <v>1904</v>
      </c>
      <c r="M2371" s="2" t="s">
        <v>305</v>
      </c>
      <c r="N2371" s="2" t="s">
        <v>18069</v>
      </c>
      <c r="O2371" s="2" t="s">
        <v>18070</v>
      </c>
      <c r="P2371" s="2" t="s">
        <v>37</v>
      </c>
      <c r="Q2371" s="4" t="n">
        <v>2834</v>
      </c>
      <c r="R2371" s="2" t="s">
        <v>450</v>
      </c>
      <c r="S2371" s="2" t="s">
        <v>39</v>
      </c>
      <c r="T2371" s="2" t="s">
        <v>40</v>
      </c>
      <c r="U2371" s="2" t="s">
        <v>18071</v>
      </c>
      <c r="V2371" s="2"/>
      <c r="W2371" s="2" t="s">
        <v>697</v>
      </c>
      <c r="X2371" s="2" t="s">
        <v>46</v>
      </c>
      <c r="Y2371" s="2" t="s">
        <v>37</v>
      </c>
      <c r="Z2371" s="2" t="s">
        <v>362</v>
      </c>
      <c r="AA2371" s="2"/>
      <c r="AB2371" s="2" t="s">
        <v>18072</v>
      </c>
      <c r="AC2371" s="2" t="s">
        <v>18073</v>
      </c>
      <c r="AD2371" s="2" t="s">
        <v>46</v>
      </c>
    </row>
    <row r="2372" customFormat="false" ht="15.7" hidden="false" customHeight="true" outlineLevel="0" collapsed="false">
      <c r="A2372" s="2"/>
      <c r="B2372" s="3" t="n">
        <f aca="false">DATE(2013,10,1)</f>
        <v>0</v>
      </c>
      <c r="C2372" s="3" t="n">
        <v>41548</v>
      </c>
      <c r="D2372" s="2" t="s">
        <v>18074</v>
      </c>
      <c r="F2372" s="2" t="s">
        <v>18075</v>
      </c>
      <c r="G2372" s="2" t="s">
        <v>18076</v>
      </c>
      <c r="H2372" s="2" t="s">
        <v>18077</v>
      </c>
      <c r="I2372" s="2" t="s">
        <v>388</v>
      </c>
      <c r="J2372" s="2" t="s">
        <v>575</v>
      </c>
      <c r="K2372" s="2" t="s">
        <v>18078</v>
      </c>
      <c r="L2372" s="2" t="s">
        <v>388</v>
      </c>
      <c r="M2372" s="2" t="s">
        <v>18079</v>
      </c>
      <c r="N2372" s="2" t="s">
        <v>18080</v>
      </c>
      <c r="O2372" s="2"/>
      <c r="P2372" s="2" t="s">
        <v>37</v>
      </c>
      <c r="Q2372" s="4" t="n">
        <v>6794</v>
      </c>
      <c r="R2372" s="2" t="s">
        <v>136</v>
      </c>
      <c r="S2372" s="2" t="s">
        <v>39</v>
      </c>
      <c r="T2372" s="2" t="s">
        <v>122</v>
      </c>
      <c r="U2372" s="2" t="s">
        <v>18081</v>
      </c>
      <c r="V2372" s="2"/>
      <c r="W2372" s="2" t="s">
        <v>82</v>
      </c>
      <c r="X2372" s="2" t="s">
        <v>43</v>
      </c>
      <c r="Y2372" s="2" t="s">
        <v>37</v>
      </c>
      <c r="Z2372" s="2" t="s">
        <v>44</v>
      </c>
      <c r="AA2372" s="2"/>
      <c r="AB2372" s="2"/>
      <c r="AC2372" s="2" t="s">
        <v>18082</v>
      </c>
      <c r="AD2372" s="2" t="s">
        <v>46</v>
      </c>
    </row>
    <row r="2373" customFormat="false" ht="15.7" hidden="false" customHeight="true" outlineLevel="0" collapsed="false">
      <c r="A2373" s="2"/>
      <c r="B2373" s="3" t="n">
        <f aca="false">DATE(2013,10,2)</f>
        <v>0</v>
      </c>
      <c r="C2373" s="3" t="n">
        <v>41549</v>
      </c>
      <c r="D2373" s="2" t="s">
        <v>18083</v>
      </c>
      <c r="F2373" s="2" t="s">
        <v>16110</v>
      </c>
      <c r="G2373" s="2" t="s">
        <v>18084</v>
      </c>
      <c r="H2373" s="2" t="s">
        <v>130</v>
      </c>
      <c r="I2373" s="2" t="s">
        <v>3016</v>
      </c>
      <c r="J2373" s="2" t="s">
        <v>35</v>
      </c>
      <c r="K2373" s="2" t="s">
        <v>18083</v>
      </c>
      <c r="L2373" s="2" t="s">
        <v>3016</v>
      </c>
      <c r="M2373" s="2" t="s">
        <v>130</v>
      </c>
      <c r="N2373" s="2" t="s">
        <v>18085</v>
      </c>
      <c r="O2373" s="2"/>
      <c r="P2373" s="2" t="s">
        <v>79</v>
      </c>
      <c r="Q2373" s="4" t="n">
        <v>2834</v>
      </c>
      <c r="R2373" s="2" t="s">
        <v>136</v>
      </c>
      <c r="S2373" s="2" t="s">
        <v>39</v>
      </c>
      <c r="T2373" s="2" t="s">
        <v>40</v>
      </c>
      <c r="U2373" s="2" t="s">
        <v>18086</v>
      </c>
      <c r="V2373" s="2"/>
      <c r="W2373" s="2" t="s">
        <v>1050</v>
      </c>
      <c r="X2373" s="2" t="s">
        <v>43</v>
      </c>
      <c r="Y2373" s="2" t="s">
        <v>37</v>
      </c>
      <c r="Z2373" s="2" t="s">
        <v>44</v>
      </c>
      <c r="AA2373" s="2" t="s">
        <v>18087</v>
      </c>
      <c r="AB2373" s="2"/>
      <c r="AC2373" s="2" t="s">
        <v>18088</v>
      </c>
      <c r="AD2373" s="2" t="s">
        <v>46</v>
      </c>
    </row>
    <row r="2374" customFormat="false" ht="15.7" hidden="false" customHeight="true" outlineLevel="0" collapsed="false">
      <c r="A2374" s="2"/>
      <c r="B2374" s="3" t="n">
        <f aca="false">DATE(2013,10,3)</f>
        <v>0</v>
      </c>
      <c r="C2374" s="3" t="n">
        <v>41550</v>
      </c>
      <c r="D2374" s="2" t="s">
        <v>18089</v>
      </c>
      <c r="F2374" s="2" t="s">
        <v>18090</v>
      </c>
      <c r="G2374" s="2" t="s">
        <v>18091</v>
      </c>
      <c r="H2374" s="2" t="s">
        <v>18092</v>
      </c>
      <c r="I2374" s="2" t="s">
        <v>100</v>
      </c>
      <c r="J2374" s="2" t="s">
        <v>575</v>
      </c>
      <c r="K2374" s="2" t="s">
        <v>18089</v>
      </c>
      <c r="L2374" s="2" t="s">
        <v>100</v>
      </c>
      <c r="M2374" s="2" t="s">
        <v>18092</v>
      </c>
      <c r="N2374" s="2" t="s">
        <v>18093</v>
      </c>
      <c r="O2374" s="2"/>
      <c r="P2374" s="2" t="s">
        <v>37</v>
      </c>
      <c r="Q2374" s="4" t="n">
        <v>8742</v>
      </c>
      <c r="R2374" s="2" t="s">
        <v>136</v>
      </c>
      <c r="S2374" s="2" t="s">
        <v>39</v>
      </c>
      <c r="T2374" s="2" t="s">
        <v>403</v>
      </c>
      <c r="U2374" s="2" t="s">
        <v>18094</v>
      </c>
      <c r="V2374" s="2"/>
      <c r="W2374" s="2" t="s">
        <v>18095</v>
      </c>
      <c r="X2374" s="2" t="s">
        <v>43</v>
      </c>
      <c r="Y2374" s="2" t="s">
        <v>37</v>
      </c>
      <c r="Z2374" s="2" t="s">
        <v>44</v>
      </c>
      <c r="AA2374" s="2"/>
      <c r="AB2374" s="2"/>
      <c r="AC2374" s="2" t="s">
        <v>18096</v>
      </c>
      <c r="AD2374" s="2" t="s">
        <v>46</v>
      </c>
    </row>
    <row r="2375" customFormat="false" ht="15.7" hidden="false" customHeight="true" outlineLevel="0" collapsed="false">
      <c r="A2375" s="2"/>
      <c r="B2375" s="3" t="n">
        <f aca="false">DATE(2013,10,8)</f>
        <v>0</v>
      </c>
      <c r="C2375" s="3" t="n">
        <v>41555</v>
      </c>
      <c r="D2375" s="2" t="s">
        <v>18097</v>
      </c>
      <c r="F2375" s="2" t="s">
        <v>18098</v>
      </c>
      <c r="G2375" s="2" t="s">
        <v>18099</v>
      </c>
      <c r="H2375" s="2" t="s">
        <v>16113</v>
      </c>
      <c r="I2375" s="2" t="s">
        <v>540</v>
      </c>
      <c r="J2375" s="2" t="s">
        <v>35</v>
      </c>
      <c r="K2375" s="2" t="s">
        <v>18097</v>
      </c>
      <c r="L2375" s="2" t="s">
        <v>540</v>
      </c>
      <c r="M2375" s="2" t="s">
        <v>16113</v>
      </c>
      <c r="N2375" s="2" t="s">
        <v>18100</v>
      </c>
      <c r="O2375" s="2"/>
      <c r="P2375" s="2" t="s">
        <v>37</v>
      </c>
      <c r="Q2375" s="4" t="n">
        <v>2836</v>
      </c>
      <c r="R2375" s="2" t="s">
        <v>1448</v>
      </c>
      <c r="S2375" s="2" t="s">
        <v>39</v>
      </c>
      <c r="T2375" s="2" t="s">
        <v>403</v>
      </c>
      <c r="U2375" s="2" t="s">
        <v>18101</v>
      </c>
      <c r="V2375" s="2"/>
      <c r="W2375" s="2" t="s">
        <v>11368</v>
      </c>
      <c r="X2375" s="2" t="s">
        <v>46</v>
      </c>
      <c r="Y2375" s="2" t="s">
        <v>37</v>
      </c>
      <c r="Z2375" s="2" t="s">
        <v>362</v>
      </c>
      <c r="AA2375" s="2"/>
      <c r="AB2375" s="2"/>
      <c r="AC2375" s="2" t="s">
        <v>18102</v>
      </c>
      <c r="AD2375" s="2" t="s">
        <v>46</v>
      </c>
    </row>
    <row r="2376" customFormat="false" ht="15.7" hidden="false" customHeight="true" outlineLevel="0" collapsed="false">
      <c r="A2376" s="2"/>
      <c r="B2376" s="3" t="n">
        <f aca="false">DATE(2013,10,10)</f>
        <v>0</v>
      </c>
      <c r="C2376" s="3" t="n">
        <v>41557</v>
      </c>
      <c r="D2376" s="2" t="s">
        <v>18103</v>
      </c>
      <c r="F2376" s="2" t="s">
        <v>3087</v>
      </c>
      <c r="G2376" s="2" t="s">
        <v>18104</v>
      </c>
      <c r="H2376" s="2" t="s">
        <v>1020</v>
      </c>
      <c r="I2376" s="2" t="s">
        <v>18105</v>
      </c>
      <c r="J2376" s="2" t="s">
        <v>35</v>
      </c>
      <c r="K2376" s="2" t="s">
        <v>18103</v>
      </c>
      <c r="L2376" s="2" t="s">
        <v>18105</v>
      </c>
      <c r="M2376" s="2" t="s">
        <v>1020</v>
      </c>
      <c r="N2376" s="2" t="s">
        <v>18106</v>
      </c>
      <c r="O2376" s="2"/>
      <c r="P2376" s="2" t="s">
        <v>37</v>
      </c>
      <c r="Q2376" s="4" t="n">
        <v>8731</v>
      </c>
      <c r="R2376" s="2" t="s">
        <v>18107</v>
      </c>
      <c r="S2376" s="2" t="s">
        <v>39</v>
      </c>
      <c r="T2376" s="2" t="s">
        <v>403</v>
      </c>
      <c r="U2376" s="2" t="s">
        <v>18108</v>
      </c>
      <c r="V2376" s="2"/>
      <c r="W2376" s="2" t="s">
        <v>42</v>
      </c>
      <c r="X2376" s="2" t="s">
        <v>46</v>
      </c>
      <c r="Y2376" s="2" t="s">
        <v>37</v>
      </c>
      <c r="Z2376" s="2" t="s">
        <v>44</v>
      </c>
      <c r="AA2376" s="2"/>
      <c r="AB2376" s="2"/>
      <c r="AC2376" s="2" t="s">
        <v>18109</v>
      </c>
      <c r="AD2376" s="2" t="s">
        <v>46</v>
      </c>
    </row>
    <row r="2377" customFormat="false" ht="15.7" hidden="false" customHeight="true" outlineLevel="0" collapsed="false">
      <c r="A2377" s="2"/>
      <c r="B2377" s="3" t="n">
        <f aca="false">DATE(2013,10,16)</f>
        <v>0</v>
      </c>
      <c r="C2377" s="3" t="n">
        <v>41563</v>
      </c>
      <c r="D2377" s="2" t="s">
        <v>18110</v>
      </c>
      <c r="F2377" s="2" t="s">
        <v>18111</v>
      </c>
      <c r="G2377" s="2" t="s">
        <v>18112</v>
      </c>
      <c r="H2377" s="2" t="s">
        <v>130</v>
      </c>
      <c r="I2377" s="2" t="s">
        <v>7513</v>
      </c>
      <c r="J2377" s="2" t="s">
        <v>35</v>
      </c>
      <c r="K2377" s="2" t="s">
        <v>18113</v>
      </c>
      <c r="L2377" s="2" t="s">
        <v>7513</v>
      </c>
      <c r="M2377" s="2" t="s">
        <v>18114</v>
      </c>
      <c r="N2377" s="2" t="s">
        <v>18115</v>
      </c>
      <c r="O2377" s="2"/>
      <c r="P2377" s="2" t="s">
        <v>79</v>
      </c>
      <c r="Q2377" s="4" t="n">
        <v>3841</v>
      </c>
      <c r="R2377" s="2" t="s">
        <v>450</v>
      </c>
      <c r="S2377" s="2" t="s">
        <v>39</v>
      </c>
      <c r="T2377" s="2" t="s">
        <v>40</v>
      </c>
      <c r="U2377" s="2" t="s">
        <v>18116</v>
      </c>
      <c r="V2377" s="2"/>
      <c r="W2377" s="2" t="s">
        <v>344</v>
      </c>
      <c r="X2377" s="2" t="s">
        <v>43</v>
      </c>
      <c r="Y2377" s="2" t="s">
        <v>37</v>
      </c>
      <c r="Z2377" s="2" t="s">
        <v>44</v>
      </c>
      <c r="AA2377" s="2"/>
      <c r="AB2377" s="2"/>
      <c r="AC2377" s="2" t="s">
        <v>18117</v>
      </c>
      <c r="AD2377" s="2" t="s">
        <v>46</v>
      </c>
    </row>
    <row r="2378" customFormat="false" ht="15.7" hidden="false" customHeight="true" outlineLevel="0" collapsed="false">
      <c r="A2378" s="2"/>
      <c r="B2378" s="3" t="n">
        <f aca="false">DATE(2013,10,21)</f>
        <v>0</v>
      </c>
      <c r="C2378" s="3" t="n">
        <v>41568</v>
      </c>
      <c r="D2378" s="2" t="s">
        <v>18118</v>
      </c>
      <c r="F2378" s="2" t="s">
        <v>18119</v>
      </c>
      <c r="G2378" s="2" t="s">
        <v>18120</v>
      </c>
      <c r="H2378" s="2" t="s">
        <v>63</v>
      </c>
      <c r="I2378" s="2" t="s">
        <v>549</v>
      </c>
      <c r="J2378" s="2" t="s">
        <v>488</v>
      </c>
      <c r="K2378" s="2" t="s">
        <v>18118</v>
      </c>
      <c r="L2378" s="2" t="s">
        <v>549</v>
      </c>
      <c r="M2378" s="2" t="s">
        <v>63</v>
      </c>
      <c r="N2378" s="2" t="s">
        <v>18121</v>
      </c>
      <c r="O2378" s="2"/>
      <c r="P2378" s="2" t="s">
        <v>37</v>
      </c>
      <c r="Q2378" s="4" t="n">
        <v>2835</v>
      </c>
      <c r="R2378" s="2" t="s">
        <v>2508</v>
      </c>
      <c r="S2378" s="2" t="s">
        <v>39</v>
      </c>
      <c r="T2378" s="2" t="s">
        <v>403</v>
      </c>
      <c r="U2378" s="2" t="s">
        <v>18122</v>
      </c>
      <c r="V2378" s="2"/>
      <c r="W2378" s="2" t="s">
        <v>344</v>
      </c>
      <c r="X2378" s="2" t="s">
        <v>43</v>
      </c>
      <c r="Y2378" s="2" t="s">
        <v>37</v>
      </c>
      <c r="Z2378" s="2" t="s">
        <v>44</v>
      </c>
      <c r="AA2378" s="2"/>
      <c r="AB2378" s="2"/>
      <c r="AC2378" s="2" t="s">
        <v>18123</v>
      </c>
      <c r="AD2378" s="2" t="s">
        <v>46</v>
      </c>
    </row>
    <row r="2379" customFormat="false" ht="15.7" hidden="false" customHeight="true" outlineLevel="0" collapsed="false">
      <c r="A2379" s="2"/>
      <c r="B2379" s="3" t="n">
        <f aca="false">DATE(2013,10,21)</f>
        <v>0</v>
      </c>
      <c r="C2379" s="3" t="n">
        <v>41568</v>
      </c>
      <c r="D2379" s="2" t="s">
        <v>18124</v>
      </c>
      <c r="F2379" s="2" t="s">
        <v>18125</v>
      </c>
      <c r="G2379" s="2" t="s">
        <v>18126</v>
      </c>
      <c r="H2379" s="2" t="s">
        <v>18127</v>
      </c>
      <c r="I2379" s="2" t="s">
        <v>64</v>
      </c>
      <c r="J2379" s="2" t="s">
        <v>65</v>
      </c>
      <c r="K2379" s="2" t="s">
        <v>18124</v>
      </c>
      <c r="L2379" s="2" t="s">
        <v>64</v>
      </c>
      <c r="M2379" s="2" t="s">
        <v>18127</v>
      </c>
      <c r="N2379" s="2" t="s">
        <v>18128</v>
      </c>
      <c r="O2379" s="2"/>
      <c r="P2379" s="2" t="s">
        <v>37</v>
      </c>
      <c r="Q2379" s="4" t="n">
        <v>2819</v>
      </c>
      <c r="R2379" s="2" t="s">
        <v>70</v>
      </c>
      <c r="S2379" s="2" t="s">
        <v>39</v>
      </c>
      <c r="T2379" s="2" t="s">
        <v>403</v>
      </c>
      <c r="U2379" s="2" t="s">
        <v>18129</v>
      </c>
      <c r="V2379" s="2"/>
      <c r="W2379" s="2" t="s">
        <v>15225</v>
      </c>
      <c r="X2379" s="2" t="s">
        <v>43</v>
      </c>
      <c r="Y2379" s="2" t="s">
        <v>37</v>
      </c>
      <c r="Z2379" s="2" t="s">
        <v>44</v>
      </c>
      <c r="AA2379" s="2"/>
      <c r="AB2379" s="2"/>
      <c r="AC2379" s="2" t="s">
        <v>18130</v>
      </c>
      <c r="AD2379" s="2" t="s">
        <v>46</v>
      </c>
    </row>
    <row r="2380" customFormat="false" ht="15.7" hidden="false" customHeight="true" outlineLevel="0" collapsed="false">
      <c r="A2380" s="2"/>
      <c r="B2380" s="3" t="n">
        <f aca="false">DATE(2013,10,21)</f>
        <v>0</v>
      </c>
      <c r="C2380" s="3" t="n">
        <v>41568</v>
      </c>
      <c r="D2380" s="2" t="s">
        <v>18131</v>
      </c>
      <c r="F2380" s="2" t="s">
        <v>18132</v>
      </c>
      <c r="G2380" s="2" t="s">
        <v>18133</v>
      </c>
      <c r="H2380" s="2" t="s">
        <v>18134</v>
      </c>
      <c r="I2380" s="2" t="s">
        <v>18135</v>
      </c>
      <c r="J2380" s="2" t="s">
        <v>35</v>
      </c>
      <c r="K2380" s="2" t="s">
        <v>18136</v>
      </c>
      <c r="L2380" s="2" t="s">
        <v>18135</v>
      </c>
      <c r="M2380" s="2" t="s">
        <v>18137</v>
      </c>
      <c r="N2380" s="2" t="s">
        <v>18138</v>
      </c>
      <c r="O2380" s="2"/>
      <c r="P2380" s="2" t="s">
        <v>37</v>
      </c>
      <c r="Q2380" s="4" t="n">
        <v>2873</v>
      </c>
      <c r="R2380" s="2" t="s">
        <v>2661</v>
      </c>
      <c r="S2380" s="2" t="s">
        <v>39</v>
      </c>
      <c r="T2380" s="2" t="s">
        <v>40</v>
      </c>
      <c r="U2380" s="2" t="s">
        <v>18139</v>
      </c>
      <c r="V2380" s="2"/>
      <c r="W2380" s="2" t="s">
        <v>18140</v>
      </c>
      <c r="X2380" s="2" t="s">
        <v>43</v>
      </c>
      <c r="Y2380" s="2" t="s">
        <v>37</v>
      </c>
      <c r="Z2380" s="2" t="s">
        <v>44</v>
      </c>
      <c r="AA2380" s="2"/>
      <c r="AB2380" s="2"/>
      <c r="AC2380" s="2" t="s">
        <v>18141</v>
      </c>
      <c r="AD2380" s="2" t="s">
        <v>46</v>
      </c>
    </row>
    <row r="2381" customFormat="false" ht="15.7" hidden="false" customHeight="true" outlineLevel="0" collapsed="false">
      <c r="A2381" s="2"/>
      <c r="B2381" s="3" t="n">
        <f aca="false">DATE(2013,10,22)</f>
        <v>0</v>
      </c>
      <c r="C2381" s="3" t="n">
        <v>41569</v>
      </c>
      <c r="D2381" s="2" t="s">
        <v>18142</v>
      </c>
      <c r="F2381" s="2" t="s">
        <v>18143</v>
      </c>
      <c r="G2381" s="2" t="s">
        <v>18144</v>
      </c>
      <c r="H2381" s="2" t="s">
        <v>18145</v>
      </c>
      <c r="I2381" s="2" t="s">
        <v>2879</v>
      </c>
      <c r="J2381" s="2" t="s">
        <v>35</v>
      </c>
      <c r="K2381" s="2" t="s">
        <v>18146</v>
      </c>
      <c r="L2381" s="2" t="s">
        <v>2879</v>
      </c>
      <c r="M2381" s="2" t="s">
        <v>18147</v>
      </c>
      <c r="N2381" s="2" t="s">
        <v>18148</v>
      </c>
      <c r="O2381" s="2"/>
      <c r="P2381" s="2" t="s">
        <v>37</v>
      </c>
      <c r="Q2381" s="4" t="n">
        <v>2836</v>
      </c>
      <c r="R2381" s="2" t="s">
        <v>136</v>
      </c>
      <c r="S2381" s="2" t="s">
        <v>39</v>
      </c>
      <c r="T2381" s="2" t="s">
        <v>40</v>
      </c>
      <c r="U2381" s="2" t="s">
        <v>18149</v>
      </c>
      <c r="V2381" s="2"/>
      <c r="W2381" s="2" t="s">
        <v>697</v>
      </c>
      <c r="X2381" s="2" t="s">
        <v>43</v>
      </c>
      <c r="Y2381" s="2" t="s">
        <v>37</v>
      </c>
      <c r="Z2381" s="2" t="s">
        <v>44</v>
      </c>
      <c r="AA2381" s="2"/>
      <c r="AB2381" s="2"/>
      <c r="AC2381" s="2" t="s">
        <v>18150</v>
      </c>
      <c r="AD2381" s="2" t="s">
        <v>46</v>
      </c>
    </row>
    <row r="2382" customFormat="false" ht="15.7" hidden="false" customHeight="true" outlineLevel="0" collapsed="false">
      <c r="A2382" s="2"/>
      <c r="B2382" s="3" t="n">
        <f aca="false">DATE(2013,10,24)</f>
        <v>0</v>
      </c>
      <c r="C2382" s="3" t="n">
        <v>41571</v>
      </c>
      <c r="D2382" s="2" t="s">
        <v>18151</v>
      </c>
      <c r="F2382" s="2" t="s">
        <v>18152</v>
      </c>
      <c r="G2382" s="2" t="s">
        <v>18153</v>
      </c>
      <c r="H2382" s="2" t="s">
        <v>15856</v>
      </c>
      <c r="I2382" s="2" t="s">
        <v>1508</v>
      </c>
      <c r="J2382" s="2" t="s">
        <v>1891</v>
      </c>
      <c r="K2382" s="2" t="s">
        <v>18154</v>
      </c>
      <c r="L2382" s="2" t="s">
        <v>51</v>
      </c>
      <c r="M2382" s="2" t="s">
        <v>11374</v>
      </c>
      <c r="N2382" s="2" t="s">
        <v>18155</v>
      </c>
      <c r="O2382" s="2"/>
      <c r="P2382" s="2" t="s">
        <v>37</v>
      </c>
      <c r="Q2382" s="4" t="n">
        <v>3825</v>
      </c>
      <c r="R2382" s="2" t="s">
        <v>56</v>
      </c>
      <c r="S2382" s="2" t="s">
        <v>1226</v>
      </c>
      <c r="T2382" s="2" t="s">
        <v>403</v>
      </c>
      <c r="U2382" s="2" t="s">
        <v>18156</v>
      </c>
      <c r="V2382" s="2"/>
      <c r="W2382" s="2" t="s">
        <v>18157</v>
      </c>
      <c r="X2382" s="2" t="s">
        <v>43</v>
      </c>
      <c r="Y2382" s="2" t="s">
        <v>37</v>
      </c>
      <c r="Z2382" s="2" t="s">
        <v>44</v>
      </c>
      <c r="AA2382" s="2"/>
      <c r="AB2382" s="2"/>
      <c r="AC2382" s="2" t="s">
        <v>18158</v>
      </c>
      <c r="AD2382" s="2" t="s">
        <v>46</v>
      </c>
    </row>
    <row r="2383" customFormat="false" ht="15.7" hidden="false" customHeight="true" outlineLevel="0" collapsed="false">
      <c r="A2383" s="2"/>
      <c r="B2383" s="3" t="n">
        <f aca="false">DATE(2013,10,24)</f>
        <v>0</v>
      </c>
      <c r="C2383" s="3" t="n">
        <v>41571</v>
      </c>
      <c r="D2383" s="2" t="s">
        <v>18159</v>
      </c>
      <c r="F2383" s="2" t="s">
        <v>18160</v>
      </c>
      <c r="G2383" s="2" t="s">
        <v>18161</v>
      </c>
      <c r="H2383" s="2" t="s">
        <v>18162</v>
      </c>
      <c r="I2383" s="2" t="s">
        <v>51</v>
      </c>
      <c r="J2383" s="2" t="s">
        <v>13909</v>
      </c>
      <c r="K2383" s="2" t="s">
        <v>18159</v>
      </c>
      <c r="L2383" s="2" t="s">
        <v>51</v>
      </c>
      <c r="M2383" s="2" t="s">
        <v>18162</v>
      </c>
      <c r="N2383" s="2" t="s">
        <v>18163</v>
      </c>
      <c r="O2383" s="2"/>
      <c r="P2383" s="2" t="s">
        <v>37</v>
      </c>
      <c r="Q2383" s="4" t="n">
        <v>8731</v>
      </c>
      <c r="R2383" s="2" t="s">
        <v>56</v>
      </c>
      <c r="S2383" s="2" t="s">
        <v>977</v>
      </c>
      <c r="T2383" s="2" t="s">
        <v>403</v>
      </c>
      <c r="U2383" s="2" t="s">
        <v>18164</v>
      </c>
      <c r="V2383" s="2"/>
      <c r="W2383" s="2" t="s">
        <v>42</v>
      </c>
      <c r="X2383" s="2" t="s">
        <v>43</v>
      </c>
      <c r="Y2383" s="2" t="s">
        <v>37</v>
      </c>
      <c r="Z2383" s="2" t="s">
        <v>44</v>
      </c>
      <c r="AA2383" s="2"/>
      <c r="AB2383" s="2"/>
      <c r="AC2383" s="2" t="s">
        <v>18165</v>
      </c>
      <c r="AD2383" s="2" t="s">
        <v>46</v>
      </c>
    </row>
    <row r="2384" customFormat="false" ht="15.7" hidden="false" customHeight="true" outlineLevel="0" collapsed="false">
      <c r="A2384" s="2"/>
      <c r="B2384" s="3" t="n">
        <f aca="false">DATE(2013,10,24)</f>
        <v>0</v>
      </c>
      <c r="C2384" s="3" t="n">
        <v>41571</v>
      </c>
      <c r="D2384" s="2" t="s">
        <v>18166</v>
      </c>
      <c r="F2384" s="2" t="s">
        <v>18167</v>
      </c>
      <c r="G2384" s="2" t="s">
        <v>18168</v>
      </c>
      <c r="H2384" s="2" t="s">
        <v>3053</v>
      </c>
      <c r="I2384" s="2" t="s">
        <v>7116</v>
      </c>
      <c r="J2384" s="2" t="s">
        <v>65</v>
      </c>
      <c r="K2384" s="2" t="s">
        <v>18166</v>
      </c>
      <c r="L2384" s="2" t="s">
        <v>7116</v>
      </c>
      <c r="M2384" s="2" t="s">
        <v>3053</v>
      </c>
      <c r="N2384" s="2" t="s">
        <v>18169</v>
      </c>
      <c r="O2384" s="2"/>
      <c r="P2384" s="2" t="s">
        <v>37</v>
      </c>
      <c r="Q2384" s="4" t="n">
        <v>8734</v>
      </c>
      <c r="R2384" s="2" t="s">
        <v>56</v>
      </c>
      <c r="S2384" s="2" t="s">
        <v>92</v>
      </c>
      <c r="T2384" s="2" t="s">
        <v>40</v>
      </c>
      <c r="U2384" s="2" t="s">
        <v>18170</v>
      </c>
      <c r="V2384" s="2"/>
      <c r="W2384" s="2" t="s">
        <v>18171</v>
      </c>
      <c r="X2384" s="2" t="s">
        <v>43</v>
      </c>
      <c r="Y2384" s="2" t="s">
        <v>37</v>
      </c>
      <c r="Z2384" s="2" t="s">
        <v>44</v>
      </c>
      <c r="AA2384" s="2"/>
      <c r="AB2384" s="2"/>
      <c r="AC2384" s="2" t="s">
        <v>18172</v>
      </c>
      <c r="AD2384" s="2" t="s">
        <v>46</v>
      </c>
    </row>
    <row r="2385" customFormat="false" ht="15.7" hidden="false" customHeight="true" outlineLevel="0" collapsed="false">
      <c r="A2385" s="2"/>
      <c r="B2385" s="3" t="n">
        <f aca="false">DATE(2013,10,24)</f>
        <v>0</v>
      </c>
      <c r="C2385" s="3" t="n">
        <v>41571</v>
      </c>
      <c r="D2385" s="2" t="s">
        <v>18173</v>
      </c>
      <c r="F2385" s="2" t="s">
        <v>18174</v>
      </c>
      <c r="G2385" s="2" t="s">
        <v>18175</v>
      </c>
      <c r="H2385" s="2" t="s">
        <v>18176</v>
      </c>
      <c r="I2385" s="2" t="s">
        <v>4744</v>
      </c>
      <c r="J2385" s="2" t="s">
        <v>35</v>
      </c>
      <c r="K2385" s="2" t="s">
        <v>18173</v>
      </c>
      <c r="L2385" s="2" t="s">
        <v>4744</v>
      </c>
      <c r="M2385" s="2" t="s">
        <v>18176</v>
      </c>
      <c r="N2385" s="2" t="s">
        <v>18177</v>
      </c>
      <c r="O2385" s="2"/>
      <c r="P2385" s="2" t="s">
        <v>37</v>
      </c>
      <c r="Q2385" s="4" t="n">
        <v>2835</v>
      </c>
      <c r="R2385" s="2" t="s">
        <v>2508</v>
      </c>
      <c r="S2385" s="2" t="s">
        <v>39</v>
      </c>
      <c r="T2385" s="2" t="s">
        <v>40</v>
      </c>
      <c r="U2385" s="2" t="s">
        <v>18178</v>
      </c>
      <c r="V2385" s="2"/>
      <c r="W2385" s="2" t="s">
        <v>4487</v>
      </c>
      <c r="X2385" s="2" t="s">
        <v>43</v>
      </c>
      <c r="Y2385" s="2" t="s">
        <v>37</v>
      </c>
      <c r="Z2385" s="2" t="s">
        <v>44</v>
      </c>
      <c r="AA2385" s="2"/>
      <c r="AB2385" s="2"/>
      <c r="AC2385" s="2" t="s">
        <v>18179</v>
      </c>
      <c r="AD2385" s="2" t="s">
        <v>46</v>
      </c>
    </row>
    <row r="2386" customFormat="false" ht="15.7" hidden="false" customHeight="true" outlineLevel="0" collapsed="false">
      <c r="A2386" s="2"/>
      <c r="B2386" s="3" t="n">
        <f aca="false">DATE(2013,10,24)</f>
        <v>0</v>
      </c>
      <c r="C2386" s="3" t="n">
        <v>41571</v>
      </c>
      <c r="D2386" s="2" t="s">
        <v>18180</v>
      </c>
      <c r="F2386" s="2" t="s">
        <v>18181</v>
      </c>
      <c r="G2386" s="2" t="s">
        <v>18182</v>
      </c>
      <c r="H2386" s="2" t="s">
        <v>9068</v>
      </c>
      <c r="I2386" s="2" t="s">
        <v>51</v>
      </c>
      <c r="J2386" s="2" t="s">
        <v>2338</v>
      </c>
      <c r="K2386" s="2" t="s">
        <v>18180</v>
      </c>
      <c r="L2386" s="2" t="s">
        <v>51</v>
      </c>
      <c r="M2386" s="2" t="s">
        <v>9068</v>
      </c>
      <c r="N2386" s="2" t="s">
        <v>18183</v>
      </c>
      <c r="O2386" s="2"/>
      <c r="P2386" s="2" t="s">
        <v>37</v>
      </c>
      <c r="Q2386" s="4" t="n">
        <v>8099</v>
      </c>
      <c r="R2386" s="2" t="s">
        <v>56</v>
      </c>
      <c r="S2386" s="2" t="s">
        <v>507</v>
      </c>
      <c r="T2386" s="2" t="s">
        <v>40</v>
      </c>
      <c r="U2386" s="2" t="s">
        <v>18184</v>
      </c>
      <c r="V2386" s="2"/>
      <c r="W2386" s="2" t="s">
        <v>18185</v>
      </c>
      <c r="X2386" s="2" t="s">
        <v>43</v>
      </c>
      <c r="Y2386" s="2" t="s">
        <v>37</v>
      </c>
      <c r="Z2386" s="2" t="s">
        <v>44</v>
      </c>
      <c r="AA2386" s="2"/>
      <c r="AB2386" s="2"/>
      <c r="AC2386" s="2" t="s">
        <v>18186</v>
      </c>
      <c r="AD2386" s="2" t="s">
        <v>46</v>
      </c>
    </row>
    <row r="2387" customFormat="false" ht="15.7" hidden="false" customHeight="true" outlineLevel="0" collapsed="false">
      <c r="A2387" s="2"/>
      <c r="B2387" s="3" t="n">
        <f aca="false">DATE(2013,10,25)</f>
        <v>0</v>
      </c>
      <c r="C2387" s="3" t="n">
        <v>41572</v>
      </c>
      <c r="D2387" s="2" t="s">
        <v>18187</v>
      </c>
      <c r="F2387" s="2" t="s">
        <v>18188</v>
      </c>
      <c r="G2387" s="2" t="s">
        <v>18189</v>
      </c>
      <c r="H2387" s="2" t="s">
        <v>16968</v>
      </c>
      <c r="I2387" s="2" t="s">
        <v>51</v>
      </c>
      <c r="J2387" s="2" t="s">
        <v>18190</v>
      </c>
      <c r="K2387" s="2" t="s">
        <v>18187</v>
      </c>
      <c r="L2387" s="2" t="s">
        <v>51</v>
      </c>
      <c r="M2387" s="2" t="s">
        <v>16968</v>
      </c>
      <c r="N2387" s="2" t="s">
        <v>18191</v>
      </c>
      <c r="O2387" s="2"/>
      <c r="P2387" s="2" t="s">
        <v>37</v>
      </c>
      <c r="Q2387" s="4" t="n">
        <v>8731</v>
      </c>
      <c r="R2387" s="2" t="s">
        <v>56</v>
      </c>
      <c r="S2387" s="2" t="s">
        <v>92</v>
      </c>
      <c r="T2387" s="2" t="s">
        <v>40</v>
      </c>
      <c r="U2387" s="2" t="s">
        <v>18192</v>
      </c>
      <c r="V2387" s="2"/>
      <c r="W2387" s="2" t="s">
        <v>344</v>
      </c>
      <c r="X2387" s="2" t="s">
        <v>43</v>
      </c>
      <c r="Y2387" s="2" t="s">
        <v>37</v>
      </c>
      <c r="Z2387" s="2" t="s">
        <v>44</v>
      </c>
      <c r="AA2387" s="2"/>
      <c r="AB2387" s="2"/>
      <c r="AC2387" s="2" t="s">
        <v>18193</v>
      </c>
      <c r="AD2387" s="2" t="s">
        <v>46</v>
      </c>
    </row>
    <row r="2388" customFormat="false" ht="15.7" hidden="false" customHeight="true" outlineLevel="0" collapsed="false">
      <c r="A2388" s="2"/>
      <c r="B2388" s="3" t="n">
        <f aca="false">DATE(2013,10,29)</f>
        <v>0</v>
      </c>
      <c r="C2388" s="3" t="n">
        <v>41576</v>
      </c>
      <c r="D2388" s="2" t="s">
        <v>18194</v>
      </c>
      <c r="F2388" s="2" t="s">
        <v>256</v>
      </c>
      <c r="G2388" s="2" t="s">
        <v>18195</v>
      </c>
      <c r="H2388" s="2" t="s">
        <v>1020</v>
      </c>
      <c r="I2388" s="2" t="s">
        <v>51</v>
      </c>
      <c r="J2388" s="2" t="s">
        <v>18196</v>
      </c>
      <c r="K2388" s="2" t="s">
        <v>18194</v>
      </c>
      <c r="L2388" s="2" t="s">
        <v>51</v>
      </c>
      <c r="M2388" s="2" t="s">
        <v>1020</v>
      </c>
      <c r="N2388" s="2" t="s">
        <v>18197</v>
      </c>
      <c r="O2388" s="2"/>
      <c r="P2388" s="2" t="s">
        <v>37</v>
      </c>
      <c r="Q2388" s="4" t="n">
        <v>8731</v>
      </c>
      <c r="R2388" s="2" t="s">
        <v>56</v>
      </c>
      <c r="S2388" s="2"/>
      <c r="T2388" s="2" t="s">
        <v>403</v>
      </c>
      <c r="U2388" s="2" t="s">
        <v>18198</v>
      </c>
      <c r="V2388" s="2"/>
      <c r="W2388" s="2" t="s">
        <v>42</v>
      </c>
      <c r="X2388" s="2" t="s">
        <v>43</v>
      </c>
      <c r="Y2388" s="2" t="s">
        <v>37</v>
      </c>
      <c r="Z2388" s="2" t="s">
        <v>44</v>
      </c>
      <c r="AA2388" s="2"/>
      <c r="AB2388" s="2"/>
      <c r="AC2388" s="2" t="s">
        <v>18199</v>
      </c>
      <c r="AD2388" s="2" t="s">
        <v>46</v>
      </c>
    </row>
    <row r="2389" customFormat="false" ht="15.7" hidden="false" customHeight="true" outlineLevel="0" collapsed="false">
      <c r="A2389" s="2"/>
      <c r="B2389" s="3" t="n">
        <f aca="false">DATE(2013,10,29)</f>
        <v>0</v>
      </c>
      <c r="C2389" s="3" t="n">
        <v>41576</v>
      </c>
      <c r="D2389" s="2" t="s">
        <v>18200</v>
      </c>
      <c r="F2389" s="2" t="s">
        <v>18201</v>
      </c>
      <c r="G2389" s="2" t="s">
        <v>18202</v>
      </c>
      <c r="H2389" s="2" t="s">
        <v>18203</v>
      </c>
      <c r="I2389" s="2" t="s">
        <v>2916</v>
      </c>
      <c r="J2389" s="2" t="s">
        <v>116</v>
      </c>
      <c r="K2389" s="2" t="s">
        <v>18204</v>
      </c>
      <c r="L2389" s="2" t="s">
        <v>18205</v>
      </c>
      <c r="M2389" s="2" t="s">
        <v>18206</v>
      </c>
      <c r="N2389" s="2" t="s">
        <v>18207</v>
      </c>
      <c r="O2389" s="2"/>
      <c r="P2389" s="2" t="s">
        <v>37</v>
      </c>
      <c r="Q2389" s="4" t="n">
        <v>7375</v>
      </c>
      <c r="R2389" s="2" t="s">
        <v>38</v>
      </c>
      <c r="S2389" s="2" t="s">
        <v>39</v>
      </c>
      <c r="T2389" s="2" t="s">
        <v>40</v>
      </c>
      <c r="U2389" s="2" t="s">
        <v>18208</v>
      </c>
      <c r="V2389" s="2"/>
      <c r="W2389" s="2" t="s">
        <v>42</v>
      </c>
      <c r="X2389" s="2" t="s">
        <v>43</v>
      </c>
      <c r="Y2389" s="2" t="s">
        <v>37</v>
      </c>
      <c r="Z2389" s="2" t="s">
        <v>916</v>
      </c>
      <c r="AA2389" s="2"/>
      <c r="AB2389" s="2"/>
      <c r="AC2389" s="2" t="s">
        <v>18209</v>
      </c>
      <c r="AD2389" s="2" t="s">
        <v>46</v>
      </c>
    </row>
    <row r="2390" customFormat="false" ht="15.7" hidden="false" customHeight="true" outlineLevel="0" collapsed="false">
      <c r="A2390" s="2"/>
      <c r="B2390" s="3" t="n">
        <f aca="false">DATE(2013,10,29)</f>
        <v>0</v>
      </c>
      <c r="C2390" s="3" t="n">
        <v>41576</v>
      </c>
      <c r="D2390" s="2" t="s">
        <v>18210</v>
      </c>
      <c r="F2390" s="2" t="s">
        <v>18211</v>
      </c>
      <c r="G2390" s="2" t="s">
        <v>18212</v>
      </c>
      <c r="H2390" s="2" t="s">
        <v>18213</v>
      </c>
      <c r="I2390" s="2" t="s">
        <v>51</v>
      </c>
      <c r="J2390" s="2" t="s">
        <v>18214</v>
      </c>
      <c r="K2390" s="2" t="s">
        <v>18210</v>
      </c>
      <c r="L2390" s="2" t="s">
        <v>51</v>
      </c>
      <c r="M2390" s="2" t="s">
        <v>18213</v>
      </c>
      <c r="N2390" s="2" t="s">
        <v>18215</v>
      </c>
      <c r="O2390" s="2"/>
      <c r="P2390" s="2" t="s">
        <v>37</v>
      </c>
      <c r="Q2390" s="4" t="n">
        <v>3312</v>
      </c>
      <c r="R2390" s="2" t="s">
        <v>56</v>
      </c>
      <c r="S2390" s="2" t="s">
        <v>1576</v>
      </c>
      <c r="T2390" s="2" t="s">
        <v>40</v>
      </c>
      <c r="U2390" s="2" t="s">
        <v>18216</v>
      </c>
      <c r="V2390" s="2"/>
      <c r="W2390" s="2" t="s">
        <v>697</v>
      </c>
      <c r="X2390" s="2" t="s">
        <v>43</v>
      </c>
      <c r="Y2390" s="2" t="s">
        <v>37</v>
      </c>
      <c r="Z2390" s="2" t="s">
        <v>44</v>
      </c>
      <c r="AA2390" s="2"/>
      <c r="AB2390" s="2"/>
      <c r="AC2390" s="2" t="s">
        <v>18217</v>
      </c>
      <c r="AD2390" s="2" t="s">
        <v>46</v>
      </c>
    </row>
    <row r="2391" customFormat="false" ht="15.7" hidden="false" customHeight="true" outlineLevel="0" collapsed="false">
      <c r="A2391" s="2"/>
      <c r="B2391" s="3" t="n">
        <f aca="false">DATE(2013,10,30)</f>
        <v>0</v>
      </c>
      <c r="C2391" s="3" t="n">
        <v>41577</v>
      </c>
      <c r="D2391" s="2" t="s">
        <v>18218</v>
      </c>
      <c r="F2391" s="2" t="s">
        <v>18219</v>
      </c>
      <c r="G2391" s="2" t="s">
        <v>18220</v>
      </c>
      <c r="H2391" s="2" t="s">
        <v>18221</v>
      </c>
      <c r="I2391" s="2" t="s">
        <v>540</v>
      </c>
      <c r="J2391" s="2" t="s">
        <v>35</v>
      </c>
      <c r="K2391" s="2" t="s">
        <v>18218</v>
      </c>
      <c r="L2391" s="2" t="s">
        <v>540</v>
      </c>
      <c r="M2391" s="2" t="s">
        <v>18221</v>
      </c>
      <c r="N2391" s="2" t="s">
        <v>18222</v>
      </c>
      <c r="O2391" s="2"/>
      <c r="P2391" s="2" t="s">
        <v>37</v>
      </c>
      <c r="Q2391" s="4" t="n">
        <v>7372</v>
      </c>
      <c r="R2391" s="2" t="s">
        <v>1448</v>
      </c>
      <c r="S2391" s="2" t="s">
        <v>39</v>
      </c>
      <c r="T2391" s="2" t="s">
        <v>40</v>
      </c>
      <c r="U2391" s="2" t="s">
        <v>18223</v>
      </c>
      <c r="V2391" s="2"/>
      <c r="W2391" s="2" t="s">
        <v>18224</v>
      </c>
      <c r="X2391" s="2" t="s">
        <v>46</v>
      </c>
      <c r="Y2391" s="2" t="s">
        <v>37</v>
      </c>
      <c r="Z2391" s="2" t="s">
        <v>362</v>
      </c>
      <c r="AA2391" s="2"/>
      <c r="AB2391" s="2"/>
      <c r="AC2391" s="2" t="s">
        <v>18225</v>
      </c>
      <c r="AD2391" s="2" t="s">
        <v>46</v>
      </c>
    </row>
    <row r="2392" customFormat="false" ht="15.7" hidden="false" customHeight="true" outlineLevel="0" collapsed="false">
      <c r="A2392" s="2"/>
      <c r="B2392" s="3" t="n">
        <f aca="false">DATE(2013,10,30)</f>
        <v>0</v>
      </c>
      <c r="C2392" s="3" t="n">
        <v>41577</v>
      </c>
      <c r="D2392" s="2" t="s">
        <v>18226</v>
      </c>
      <c r="F2392" s="2" t="s">
        <v>18227</v>
      </c>
      <c r="G2392" s="2" t="s">
        <v>18228</v>
      </c>
      <c r="H2392" s="2" t="s">
        <v>63</v>
      </c>
      <c r="I2392" s="2" t="s">
        <v>965</v>
      </c>
      <c r="J2392" s="2" t="s">
        <v>228</v>
      </c>
      <c r="K2392" s="2" t="s">
        <v>18229</v>
      </c>
      <c r="L2392" s="2" t="s">
        <v>965</v>
      </c>
      <c r="M2392" s="2" t="s">
        <v>1027</v>
      </c>
      <c r="N2392" s="2" t="s">
        <v>18230</v>
      </c>
      <c r="O2392" s="2"/>
      <c r="P2392" s="2" t="s">
        <v>37</v>
      </c>
      <c r="Q2392" s="4" t="n">
        <v>2834</v>
      </c>
      <c r="R2392" s="2" t="s">
        <v>136</v>
      </c>
      <c r="S2392" s="2" t="s">
        <v>39</v>
      </c>
      <c r="T2392" s="2" t="s">
        <v>40</v>
      </c>
      <c r="U2392" s="2" t="s">
        <v>18231</v>
      </c>
      <c r="V2392" s="2"/>
      <c r="W2392" s="2" t="s">
        <v>697</v>
      </c>
      <c r="X2392" s="2" t="s">
        <v>43</v>
      </c>
      <c r="Y2392" s="2" t="s">
        <v>37</v>
      </c>
      <c r="Z2392" s="2" t="s">
        <v>44</v>
      </c>
      <c r="AA2392" s="2" t="s">
        <v>18232</v>
      </c>
      <c r="AB2392" s="2"/>
      <c r="AC2392" s="2" t="s">
        <v>18233</v>
      </c>
      <c r="AD2392" s="2" t="s">
        <v>46</v>
      </c>
    </row>
    <row r="2393" customFormat="false" ht="15.7" hidden="false" customHeight="true" outlineLevel="0" collapsed="false">
      <c r="A2393" s="2"/>
      <c r="B2393" s="3" t="n">
        <f aca="false">DATE(2013,10,31)</f>
        <v>0</v>
      </c>
      <c r="C2393" s="3" t="n">
        <v>41578</v>
      </c>
      <c r="D2393" s="2" t="s">
        <v>18234</v>
      </c>
      <c r="F2393" s="2" t="s">
        <v>18235</v>
      </c>
      <c r="G2393" s="2" t="s">
        <v>18236</v>
      </c>
      <c r="H2393" s="2" t="s">
        <v>18237</v>
      </c>
      <c r="I2393" s="2" t="s">
        <v>7920</v>
      </c>
      <c r="J2393" s="2" t="s">
        <v>18238</v>
      </c>
      <c r="K2393" s="2" t="s">
        <v>18239</v>
      </c>
      <c r="L2393" s="2" t="s">
        <v>18240</v>
      </c>
      <c r="M2393" s="2" t="s">
        <v>18241</v>
      </c>
      <c r="N2393" s="2" t="s">
        <v>18242</v>
      </c>
      <c r="O2393" s="2"/>
      <c r="P2393" s="2" t="s">
        <v>37</v>
      </c>
      <c r="Q2393" s="4" t="n">
        <v>2869</v>
      </c>
      <c r="R2393" s="2" t="s">
        <v>136</v>
      </c>
      <c r="S2393" s="2" t="s">
        <v>39</v>
      </c>
      <c r="T2393" s="2" t="s">
        <v>403</v>
      </c>
      <c r="U2393" s="2" t="s">
        <v>18243</v>
      </c>
      <c r="V2393" s="2"/>
      <c r="W2393" s="2" t="s">
        <v>42</v>
      </c>
      <c r="X2393" s="2" t="s">
        <v>43</v>
      </c>
      <c r="Y2393" s="2" t="s">
        <v>37</v>
      </c>
      <c r="Z2393" s="2" t="s">
        <v>916</v>
      </c>
      <c r="AA2393" s="2"/>
      <c r="AB2393" s="2"/>
      <c r="AC2393" s="2" t="s">
        <v>18244</v>
      </c>
      <c r="AD2393" s="2" t="s">
        <v>46</v>
      </c>
    </row>
    <row r="2394" customFormat="false" ht="15.7" hidden="false" customHeight="true" outlineLevel="0" collapsed="false">
      <c r="A2394" s="2"/>
      <c r="B2394" s="3" t="n">
        <f aca="false">DATE(2013,11,4)</f>
        <v>0</v>
      </c>
      <c r="C2394" s="3" t="n">
        <v>41582</v>
      </c>
      <c r="D2394" s="2" t="s">
        <v>18245</v>
      </c>
      <c r="F2394" s="2" t="s">
        <v>18246</v>
      </c>
      <c r="G2394" s="2" t="s">
        <v>18247</v>
      </c>
      <c r="H2394" s="2" t="s">
        <v>18248</v>
      </c>
      <c r="I2394" s="2" t="s">
        <v>388</v>
      </c>
      <c r="J2394" s="2" t="s">
        <v>65</v>
      </c>
      <c r="K2394" s="2" t="s">
        <v>18245</v>
      </c>
      <c r="L2394" s="2" t="s">
        <v>388</v>
      </c>
      <c r="M2394" s="2" t="s">
        <v>18248</v>
      </c>
      <c r="N2394" s="2" t="s">
        <v>18249</v>
      </c>
      <c r="O2394" s="2"/>
      <c r="P2394" s="2" t="s">
        <v>37</v>
      </c>
      <c r="Q2394" s="4" t="n">
        <v>8734</v>
      </c>
      <c r="R2394" s="2" t="s">
        <v>136</v>
      </c>
      <c r="S2394" s="2" t="s">
        <v>39</v>
      </c>
      <c r="T2394" s="2" t="s">
        <v>40</v>
      </c>
      <c r="U2394" s="2" t="s">
        <v>18250</v>
      </c>
      <c r="V2394" s="2"/>
      <c r="W2394" s="2" t="s">
        <v>18251</v>
      </c>
      <c r="X2394" s="2" t="s">
        <v>43</v>
      </c>
      <c r="Y2394" s="2" t="s">
        <v>37</v>
      </c>
      <c r="Z2394" s="2" t="s">
        <v>44</v>
      </c>
      <c r="AA2394" s="2"/>
      <c r="AB2394" s="2"/>
      <c r="AC2394" s="2" t="s">
        <v>18252</v>
      </c>
      <c r="AD2394" s="2" t="s">
        <v>46</v>
      </c>
    </row>
    <row r="2395" customFormat="false" ht="15.7" hidden="false" customHeight="true" outlineLevel="0" collapsed="false">
      <c r="A2395" s="2"/>
      <c r="B2395" s="3" t="n">
        <f aca="false">DATE(2013,11,6)</f>
        <v>0</v>
      </c>
      <c r="C2395" s="3" t="n">
        <v>41584</v>
      </c>
      <c r="D2395" s="2" t="s">
        <v>18253</v>
      </c>
      <c r="F2395" s="2" t="s">
        <v>18254</v>
      </c>
      <c r="G2395" s="2" t="s">
        <v>18255</v>
      </c>
      <c r="H2395" s="2" t="s">
        <v>18256</v>
      </c>
      <c r="I2395" s="2" t="s">
        <v>18257</v>
      </c>
      <c r="J2395" s="2" t="s">
        <v>35</v>
      </c>
      <c r="K2395" s="2" t="s">
        <v>18253</v>
      </c>
      <c r="L2395" s="2" t="s">
        <v>18257</v>
      </c>
      <c r="M2395" s="2" t="s">
        <v>18256</v>
      </c>
      <c r="N2395" s="2" t="s">
        <v>18258</v>
      </c>
      <c r="O2395" s="2"/>
      <c r="P2395" s="2" t="s">
        <v>37</v>
      </c>
      <c r="Q2395" s="4" t="n">
        <v>8732</v>
      </c>
      <c r="R2395" s="2" t="s">
        <v>10692</v>
      </c>
      <c r="S2395" s="2" t="s">
        <v>39</v>
      </c>
      <c r="T2395" s="2" t="s">
        <v>403</v>
      </c>
      <c r="U2395" s="2" t="s">
        <v>18259</v>
      </c>
      <c r="V2395" s="2"/>
      <c r="W2395" s="2" t="s">
        <v>382</v>
      </c>
      <c r="X2395" s="2" t="s">
        <v>43</v>
      </c>
      <c r="Y2395" s="2" t="s">
        <v>37</v>
      </c>
      <c r="Z2395" s="2" t="s">
        <v>44</v>
      </c>
      <c r="AA2395" s="2"/>
      <c r="AB2395" s="2"/>
      <c r="AC2395" s="2" t="s">
        <v>18260</v>
      </c>
      <c r="AD2395" s="2" t="s">
        <v>46</v>
      </c>
    </row>
    <row r="2396" customFormat="false" ht="15.7" hidden="false" customHeight="true" outlineLevel="0" collapsed="false">
      <c r="A2396" s="2"/>
      <c r="B2396" s="3" t="n">
        <f aca="false">DATE(2013,11,7)</f>
        <v>0</v>
      </c>
      <c r="C2396" s="3" t="n">
        <v>41585</v>
      </c>
      <c r="D2396" s="2" t="s">
        <v>18261</v>
      </c>
      <c r="F2396" s="2" t="s">
        <v>18262</v>
      </c>
      <c r="G2396" s="2" t="s">
        <v>18263</v>
      </c>
      <c r="H2396" s="2" t="s">
        <v>18264</v>
      </c>
      <c r="I2396" s="2" t="s">
        <v>549</v>
      </c>
      <c r="J2396" s="2" t="s">
        <v>732</v>
      </c>
      <c r="K2396" s="2" t="s">
        <v>18265</v>
      </c>
      <c r="L2396" s="2" t="s">
        <v>330</v>
      </c>
      <c r="M2396" s="2" t="s">
        <v>18266</v>
      </c>
      <c r="N2396" s="2" t="s">
        <v>18267</v>
      </c>
      <c r="O2396" s="2"/>
      <c r="P2396" s="2" t="s">
        <v>37</v>
      </c>
      <c r="Q2396" s="4" t="n">
        <v>7375</v>
      </c>
      <c r="R2396" s="2" t="s">
        <v>56</v>
      </c>
      <c r="S2396" s="2"/>
      <c r="T2396" s="2" t="s">
        <v>40</v>
      </c>
      <c r="U2396" s="2" t="s">
        <v>18268</v>
      </c>
      <c r="V2396" s="2"/>
      <c r="W2396" s="2" t="s">
        <v>42</v>
      </c>
      <c r="X2396" s="2" t="s">
        <v>43</v>
      </c>
      <c r="Y2396" s="2" t="s">
        <v>37</v>
      </c>
      <c r="Z2396" s="2" t="s">
        <v>44</v>
      </c>
      <c r="AA2396" s="2"/>
      <c r="AB2396" s="2"/>
      <c r="AC2396" s="2" t="s">
        <v>18269</v>
      </c>
      <c r="AD2396" s="2" t="s">
        <v>46</v>
      </c>
    </row>
    <row r="2397" customFormat="false" ht="15.7" hidden="false" customHeight="true" outlineLevel="0" collapsed="false">
      <c r="A2397" s="2"/>
      <c r="B2397" s="3" t="n">
        <f aca="false">DATE(2013,11,7)</f>
        <v>0</v>
      </c>
      <c r="C2397" s="3" t="n">
        <v>41585</v>
      </c>
      <c r="D2397" s="2" t="s">
        <v>18270</v>
      </c>
      <c r="F2397" s="2" t="s">
        <v>18271</v>
      </c>
      <c r="G2397" s="2" t="s">
        <v>18272</v>
      </c>
      <c r="H2397" s="2" t="s">
        <v>18273</v>
      </c>
      <c r="I2397" s="2" t="s">
        <v>51</v>
      </c>
      <c r="J2397" s="2" t="s">
        <v>2816</v>
      </c>
      <c r="K2397" s="2" t="s">
        <v>18270</v>
      </c>
      <c r="L2397" s="2" t="s">
        <v>51</v>
      </c>
      <c r="M2397" s="2" t="s">
        <v>18273</v>
      </c>
      <c r="N2397" s="2" t="s">
        <v>18274</v>
      </c>
      <c r="O2397" s="2"/>
      <c r="P2397" s="2" t="s">
        <v>37</v>
      </c>
      <c r="Q2397" s="4" t="n">
        <v>6799</v>
      </c>
      <c r="R2397" s="2" t="s">
        <v>56</v>
      </c>
      <c r="S2397" s="2" t="s">
        <v>507</v>
      </c>
      <c r="T2397" s="2" t="s">
        <v>40</v>
      </c>
      <c r="U2397" s="2" t="s">
        <v>18275</v>
      </c>
      <c r="V2397" s="2"/>
      <c r="W2397" s="2" t="s">
        <v>18276</v>
      </c>
      <c r="X2397" s="2" t="s">
        <v>43</v>
      </c>
      <c r="Y2397" s="2" t="s">
        <v>37</v>
      </c>
      <c r="Z2397" s="2" t="s">
        <v>44</v>
      </c>
      <c r="AA2397" s="2"/>
      <c r="AB2397" s="2"/>
      <c r="AC2397" s="2" t="s">
        <v>18277</v>
      </c>
      <c r="AD2397" s="2" t="s">
        <v>46</v>
      </c>
    </row>
    <row r="2398" customFormat="false" ht="15.7" hidden="false" customHeight="true" outlineLevel="0" collapsed="false">
      <c r="A2398" s="2"/>
      <c r="B2398" s="3" t="n">
        <f aca="false">DATE(2013,11,8)</f>
        <v>0</v>
      </c>
      <c r="C2398" s="3" t="n">
        <v>41586</v>
      </c>
      <c r="D2398" s="2" t="s">
        <v>18278</v>
      </c>
      <c r="F2398" s="2" t="s">
        <v>18279</v>
      </c>
      <c r="G2398" s="2" t="s">
        <v>18280</v>
      </c>
      <c r="H2398" s="2" t="s">
        <v>18281</v>
      </c>
      <c r="I2398" s="2" t="s">
        <v>51</v>
      </c>
      <c r="J2398" s="2" t="s">
        <v>1496</v>
      </c>
      <c r="K2398" s="2" t="s">
        <v>18278</v>
      </c>
      <c r="L2398" s="2" t="s">
        <v>51</v>
      </c>
      <c r="M2398" s="2" t="s">
        <v>18281</v>
      </c>
      <c r="N2398" s="2" t="s">
        <v>18282</v>
      </c>
      <c r="O2398" s="2"/>
      <c r="P2398" s="2" t="s">
        <v>37</v>
      </c>
      <c r="Q2398" s="4" t="n">
        <v>8399</v>
      </c>
      <c r="R2398" s="2" t="s">
        <v>56</v>
      </c>
      <c r="S2398" s="2" t="s">
        <v>7553</v>
      </c>
      <c r="T2398" s="2" t="s">
        <v>40</v>
      </c>
      <c r="U2398" s="2" t="s">
        <v>18283</v>
      </c>
      <c r="V2398" s="2"/>
      <c r="W2398" s="2" t="s">
        <v>18284</v>
      </c>
      <c r="X2398" s="2" t="s">
        <v>43</v>
      </c>
      <c r="Y2398" s="2" t="s">
        <v>37</v>
      </c>
      <c r="Z2398" s="2" t="s">
        <v>44</v>
      </c>
      <c r="AA2398" s="2"/>
      <c r="AB2398" s="2"/>
      <c r="AC2398" s="2" t="s">
        <v>18285</v>
      </c>
      <c r="AD2398" s="2" t="s">
        <v>46</v>
      </c>
    </row>
    <row r="2399" customFormat="false" ht="15.7" hidden="false" customHeight="true" outlineLevel="0" collapsed="false">
      <c r="A2399" s="2"/>
      <c r="B2399" s="3" t="n">
        <f aca="false">DATE(2013,11,11)</f>
        <v>0</v>
      </c>
      <c r="C2399" s="3" t="n">
        <v>41589</v>
      </c>
      <c r="D2399" s="2" t="s">
        <v>18286</v>
      </c>
      <c r="F2399" s="2" t="s">
        <v>18287</v>
      </c>
      <c r="G2399" s="2" t="s">
        <v>18288</v>
      </c>
      <c r="H2399" s="2" t="s">
        <v>18289</v>
      </c>
      <c r="I2399" s="2" t="s">
        <v>18290</v>
      </c>
      <c r="J2399" s="2" t="s">
        <v>18291</v>
      </c>
      <c r="K2399" s="2" t="s">
        <v>18292</v>
      </c>
      <c r="L2399" s="2" t="s">
        <v>18290</v>
      </c>
      <c r="M2399" s="2" t="s">
        <v>18293</v>
      </c>
      <c r="N2399" s="2" t="s">
        <v>18294</v>
      </c>
      <c r="O2399" s="2"/>
      <c r="P2399" s="2" t="s">
        <v>37</v>
      </c>
      <c r="Q2399" s="4" t="n">
        <v>2836</v>
      </c>
      <c r="R2399" s="2" t="s">
        <v>38</v>
      </c>
      <c r="S2399" s="2" t="s">
        <v>39</v>
      </c>
      <c r="T2399" s="2" t="s">
        <v>403</v>
      </c>
      <c r="U2399" s="2" t="s">
        <v>18295</v>
      </c>
      <c r="V2399" s="2"/>
      <c r="W2399" s="2" t="s">
        <v>42</v>
      </c>
      <c r="X2399" s="2" t="s">
        <v>46</v>
      </c>
      <c r="Y2399" s="2" t="s">
        <v>37</v>
      </c>
      <c r="Z2399" s="2" t="s">
        <v>452</v>
      </c>
      <c r="AA2399" s="2"/>
      <c r="AB2399" s="2"/>
      <c r="AC2399" s="2" t="s">
        <v>18296</v>
      </c>
      <c r="AD2399" s="2" t="s">
        <v>46</v>
      </c>
    </row>
    <row r="2400" customFormat="false" ht="15.7" hidden="false" customHeight="true" outlineLevel="0" collapsed="false">
      <c r="A2400" s="2"/>
      <c r="B2400" s="3" t="n">
        <f aca="false">DATE(2013,11,12)</f>
        <v>0</v>
      </c>
      <c r="C2400" s="3" t="n">
        <v>41590</v>
      </c>
      <c r="D2400" s="2" t="s">
        <v>18297</v>
      </c>
      <c r="F2400" s="2" t="s">
        <v>1902</v>
      </c>
      <c r="G2400" s="2" t="s">
        <v>18298</v>
      </c>
      <c r="H2400" s="2" t="s">
        <v>305</v>
      </c>
      <c r="I2400" s="2" t="s">
        <v>330</v>
      </c>
      <c r="J2400" s="2" t="s">
        <v>331</v>
      </c>
      <c r="K2400" s="2" t="s">
        <v>18299</v>
      </c>
      <c r="L2400" s="2" t="s">
        <v>257</v>
      </c>
      <c r="M2400" s="2" t="s">
        <v>170</v>
      </c>
      <c r="N2400" s="2" t="s">
        <v>18300</v>
      </c>
      <c r="O2400" s="2"/>
      <c r="P2400" s="2" t="s">
        <v>37</v>
      </c>
      <c r="Q2400" s="4" t="n">
        <v>2836</v>
      </c>
      <c r="R2400" s="2" t="s">
        <v>136</v>
      </c>
      <c r="S2400" s="2" t="s">
        <v>39</v>
      </c>
      <c r="T2400" s="2" t="s">
        <v>40</v>
      </c>
      <c r="U2400" s="2" t="s">
        <v>18301</v>
      </c>
      <c r="V2400" s="2"/>
      <c r="W2400" s="2" t="s">
        <v>42</v>
      </c>
      <c r="X2400" s="2" t="s">
        <v>43</v>
      </c>
      <c r="Y2400" s="2" t="s">
        <v>37</v>
      </c>
      <c r="Z2400" s="2" t="s">
        <v>44</v>
      </c>
      <c r="AA2400" s="2" t="s">
        <v>18302</v>
      </c>
      <c r="AB2400" s="2"/>
      <c r="AC2400" s="2" t="s">
        <v>18303</v>
      </c>
      <c r="AD2400" s="2" t="s">
        <v>46</v>
      </c>
    </row>
    <row r="2401" customFormat="false" ht="15.7" hidden="false" customHeight="true" outlineLevel="0" collapsed="false">
      <c r="A2401" s="2"/>
      <c r="B2401" s="3" t="n">
        <f aca="false">DATE(2013,11,13)</f>
        <v>0</v>
      </c>
      <c r="C2401" s="3" t="n">
        <v>41591</v>
      </c>
      <c r="D2401" s="2" t="s">
        <v>18304</v>
      </c>
      <c r="F2401" s="2" t="s">
        <v>18305</v>
      </c>
      <c r="G2401" s="2" t="s">
        <v>18306</v>
      </c>
      <c r="H2401" s="2" t="s">
        <v>8866</v>
      </c>
      <c r="I2401" s="2" t="s">
        <v>11870</v>
      </c>
      <c r="J2401" s="2" t="s">
        <v>35</v>
      </c>
      <c r="K2401" s="2" t="s">
        <v>18307</v>
      </c>
      <c r="L2401" s="2" t="s">
        <v>11870</v>
      </c>
      <c r="M2401" s="2" t="s">
        <v>8866</v>
      </c>
      <c r="N2401" s="2" t="s">
        <v>18308</v>
      </c>
      <c r="O2401" s="2"/>
      <c r="P2401" s="2" t="s">
        <v>37</v>
      </c>
      <c r="Q2401" s="4" t="n">
        <v>8731</v>
      </c>
      <c r="R2401" s="2" t="s">
        <v>16962</v>
      </c>
      <c r="S2401" s="2" t="s">
        <v>39</v>
      </c>
      <c r="T2401" s="2" t="s">
        <v>403</v>
      </c>
      <c r="U2401" s="2" t="s">
        <v>18309</v>
      </c>
      <c r="V2401" s="2"/>
      <c r="W2401" s="2" t="s">
        <v>18310</v>
      </c>
      <c r="X2401" s="2" t="s">
        <v>46</v>
      </c>
      <c r="Y2401" s="2" t="s">
        <v>37</v>
      </c>
      <c r="Z2401" s="2" t="s">
        <v>362</v>
      </c>
      <c r="AA2401" s="2"/>
      <c r="AB2401" s="2"/>
      <c r="AC2401" s="2" t="s">
        <v>18311</v>
      </c>
      <c r="AD2401" s="2" t="s">
        <v>46</v>
      </c>
    </row>
    <row r="2402" customFormat="false" ht="15.7" hidden="false" customHeight="true" outlineLevel="0" collapsed="false">
      <c r="A2402" s="2"/>
      <c r="B2402" s="3" t="n">
        <f aca="false">DATE(2013,11,13)</f>
        <v>0</v>
      </c>
      <c r="C2402" s="3" t="n">
        <v>41591</v>
      </c>
      <c r="D2402" s="2" t="s">
        <v>18312</v>
      </c>
      <c r="F2402" s="2" t="s">
        <v>256</v>
      </c>
      <c r="G2402" s="2" t="s">
        <v>18313</v>
      </c>
      <c r="H2402" s="2" t="s">
        <v>170</v>
      </c>
      <c r="I2402" s="2" t="s">
        <v>549</v>
      </c>
      <c r="J2402" s="2" t="s">
        <v>132</v>
      </c>
      <c r="K2402" s="2" t="s">
        <v>18312</v>
      </c>
      <c r="L2402" s="2" t="s">
        <v>549</v>
      </c>
      <c r="M2402" s="2" t="s">
        <v>170</v>
      </c>
      <c r="N2402" s="2" t="s">
        <v>18314</v>
      </c>
      <c r="O2402" s="2"/>
      <c r="P2402" s="2" t="s">
        <v>37</v>
      </c>
      <c r="Q2402" s="4" t="n">
        <v>2836</v>
      </c>
      <c r="R2402" s="2" t="s">
        <v>136</v>
      </c>
      <c r="S2402" s="2" t="s">
        <v>39</v>
      </c>
      <c r="T2402" s="2" t="s">
        <v>40</v>
      </c>
      <c r="U2402" s="2" t="s">
        <v>18315</v>
      </c>
      <c r="V2402" s="2"/>
      <c r="W2402" s="2" t="s">
        <v>42</v>
      </c>
      <c r="X2402" s="2" t="s">
        <v>43</v>
      </c>
      <c r="Y2402" s="2" t="s">
        <v>37</v>
      </c>
      <c r="Z2402" s="2" t="s">
        <v>44</v>
      </c>
      <c r="AA2402" s="2"/>
      <c r="AB2402" s="2"/>
      <c r="AC2402" s="2" t="s">
        <v>18316</v>
      </c>
      <c r="AD2402" s="2" t="s">
        <v>46</v>
      </c>
    </row>
    <row r="2403" customFormat="false" ht="15.7" hidden="false" customHeight="true" outlineLevel="0" collapsed="false">
      <c r="A2403" s="2"/>
      <c r="B2403" s="3" t="n">
        <f aca="false">DATE(2013,11,14)</f>
        <v>0</v>
      </c>
      <c r="C2403" s="3" t="n">
        <v>41592</v>
      </c>
      <c r="D2403" s="2" t="s">
        <v>18317</v>
      </c>
      <c r="F2403" s="2" t="s">
        <v>18318</v>
      </c>
      <c r="G2403" s="2" t="s">
        <v>18319</v>
      </c>
      <c r="H2403" s="2" t="s">
        <v>1101</v>
      </c>
      <c r="I2403" s="2" t="s">
        <v>51</v>
      </c>
      <c r="J2403" s="2" t="s">
        <v>306</v>
      </c>
      <c r="K2403" s="2" t="s">
        <v>18317</v>
      </c>
      <c r="L2403" s="2" t="s">
        <v>51</v>
      </c>
      <c r="M2403" s="2" t="s">
        <v>1101</v>
      </c>
      <c r="N2403" s="2" t="s">
        <v>18320</v>
      </c>
      <c r="O2403" s="2" t="s">
        <v>18321</v>
      </c>
      <c r="P2403" s="2" t="s">
        <v>37</v>
      </c>
      <c r="Q2403" s="4" t="n">
        <v>8731</v>
      </c>
      <c r="R2403" s="2" t="s">
        <v>56</v>
      </c>
      <c r="S2403" s="2" t="s">
        <v>57</v>
      </c>
      <c r="T2403" s="2" t="s">
        <v>40</v>
      </c>
      <c r="U2403" s="2" t="s">
        <v>18322</v>
      </c>
      <c r="V2403" s="2"/>
      <c r="W2403" s="2" t="s">
        <v>42</v>
      </c>
      <c r="X2403" s="2" t="s">
        <v>46</v>
      </c>
      <c r="Y2403" s="2" t="s">
        <v>37</v>
      </c>
      <c r="Z2403" s="2" t="s">
        <v>362</v>
      </c>
      <c r="AA2403" s="2"/>
      <c r="AB2403" s="2" t="s">
        <v>18323</v>
      </c>
      <c r="AC2403" s="2" t="s">
        <v>18324</v>
      </c>
      <c r="AD2403" s="2" t="s">
        <v>46</v>
      </c>
    </row>
    <row r="2404" customFormat="false" ht="15.7" hidden="false" customHeight="true" outlineLevel="0" collapsed="false">
      <c r="A2404" s="2"/>
      <c r="B2404" s="3" t="n">
        <f aca="false">DATE(2013,11,16)</f>
        <v>0</v>
      </c>
      <c r="C2404" s="3" t="n">
        <v>41594</v>
      </c>
      <c r="D2404" s="2" t="s">
        <v>18325</v>
      </c>
      <c r="F2404" s="2" t="s">
        <v>18326</v>
      </c>
      <c r="G2404" s="2" t="s">
        <v>18327</v>
      </c>
      <c r="H2404" s="2" t="s">
        <v>18328</v>
      </c>
      <c r="I2404" s="2" t="s">
        <v>51</v>
      </c>
      <c r="J2404" s="2" t="s">
        <v>18329</v>
      </c>
      <c r="K2404" s="2" t="s">
        <v>18325</v>
      </c>
      <c r="L2404" s="2" t="s">
        <v>51</v>
      </c>
      <c r="M2404" s="2" t="s">
        <v>18328</v>
      </c>
      <c r="N2404" s="2" t="s">
        <v>18330</v>
      </c>
      <c r="O2404" s="2"/>
      <c r="P2404" s="2" t="s">
        <v>37</v>
      </c>
      <c r="Q2404" s="2" t="s">
        <v>18331</v>
      </c>
      <c r="R2404" s="2" t="s">
        <v>56</v>
      </c>
      <c r="S2404" s="2" t="s">
        <v>10955</v>
      </c>
      <c r="T2404" s="2" t="s">
        <v>403</v>
      </c>
      <c r="U2404" s="2" t="s">
        <v>18332</v>
      </c>
      <c r="V2404" s="2"/>
      <c r="W2404" s="2" t="s">
        <v>697</v>
      </c>
      <c r="X2404" s="2" t="s">
        <v>46</v>
      </c>
      <c r="Y2404" s="2" t="s">
        <v>37</v>
      </c>
      <c r="Z2404" s="2" t="s">
        <v>362</v>
      </c>
      <c r="AA2404" s="2"/>
      <c r="AB2404" s="2"/>
      <c r="AC2404" s="2" t="s">
        <v>18333</v>
      </c>
      <c r="AD2404" s="2" t="s">
        <v>46</v>
      </c>
    </row>
    <row r="2405" customFormat="false" ht="15.7" hidden="false" customHeight="true" outlineLevel="0" collapsed="false">
      <c r="A2405" s="2"/>
      <c r="B2405" s="3" t="n">
        <f aca="false">DATE(2013,11,19)</f>
        <v>0</v>
      </c>
      <c r="C2405" s="3" t="n">
        <v>41597</v>
      </c>
      <c r="D2405" s="2" t="s">
        <v>18334</v>
      </c>
      <c r="F2405" s="2" t="s">
        <v>18335</v>
      </c>
      <c r="G2405" s="2" t="s">
        <v>18336</v>
      </c>
      <c r="H2405" s="2" t="s">
        <v>18337</v>
      </c>
      <c r="I2405" s="2" t="s">
        <v>540</v>
      </c>
      <c r="J2405" s="2" t="s">
        <v>35</v>
      </c>
      <c r="K2405" s="2" t="s">
        <v>18338</v>
      </c>
      <c r="L2405" s="2" t="s">
        <v>1236</v>
      </c>
      <c r="M2405" s="2" t="s">
        <v>18337</v>
      </c>
      <c r="N2405" s="2" t="s">
        <v>18339</v>
      </c>
      <c r="O2405" s="2"/>
      <c r="P2405" s="2" t="s">
        <v>37</v>
      </c>
      <c r="Q2405" s="4" t="n">
        <v>8221</v>
      </c>
      <c r="R2405" s="2" t="s">
        <v>1448</v>
      </c>
      <c r="S2405" s="2" t="s">
        <v>39</v>
      </c>
      <c r="T2405" s="2" t="s">
        <v>40</v>
      </c>
      <c r="U2405" s="2" t="s">
        <v>18340</v>
      </c>
      <c r="V2405" s="2"/>
      <c r="W2405" s="2" t="s">
        <v>3465</v>
      </c>
      <c r="X2405" s="2" t="s">
        <v>46</v>
      </c>
      <c r="Y2405" s="2" t="s">
        <v>37</v>
      </c>
      <c r="Z2405" s="2" t="s">
        <v>362</v>
      </c>
      <c r="AA2405" s="2"/>
      <c r="AB2405" s="2"/>
      <c r="AC2405" s="2" t="s">
        <v>18341</v>
      </c>
      <c r="AD2405" s="2" t="s">
        <v>46</v>
      </c>
    </row>
    <row r="2406" customFormat="false" ht="15.7" hidden="false" customHeight="true" outlineLevel="0" collapsed="false">
      <c r="A2406" s="2"/>
      <c r="B2406" s="3" t="n">
        <f aca="false">DATE(2013,11,19)</f>
        <v>0</v>
      </c>
      <c r="C2406" s="3" t="n">
        <v>41597</v>
      </c>
      <c r="D2406" s="2" t="s">
        <v>18342</v>
      </c>
      <c r="F2406" s="2" t="s">
        <v>18343</v>
      </c>
      <c r="G2406" s="2" t="s">
        <v>18344</v>
      </c>
      <c r="H2406" s="2" t="s">
        <v>18345</v>
      </c>
      <c r="I2406" s="2" t="s">
        <v>540</v>
      </c>
      <c r="J2406" s="2" t="s">
        <v>35</v>
      </c>
      <c r="K2406" s="2" t="s">
        <v>18346</v>
      </c>
      <c r="L2406" s="2" t="s">
        <v>487</v>
      </c>
      <c r="M2406" s="2" t="s">
        <v>18345</v>
      </c>
      <c r="N2406" s="2" t="s">
        <v>18347</v>
      </c>
      <c r="O2406" s="2"/>
      <c r="P2406" s="2" t="s">
        <v>37</v>
      </c>
      <c r="Q2406" s="4" t="n">
        <v>8071</v>
      </c>
      <c r="R2406" s="2" t="s">
        <v>1448</v>
      </c>
      <c r="S2406" s="2" t="s">
        <v>39</v>
      </c>
      <c r="T2406" s="2" t="s">
        <v>40</v>
      </c>
      <c r="U2406" s="2" t="s">
        <v>18348</v>
      </c>
      <c r="V2406" s="2"/>
      <c r="W2406" s="2" t="s">
        <v>42</v>
      </c>
      <c r="X2406" s="2" t="s">
        <v>46</v>
      </c>
      <c r="Y2406" s="2" t="s">
        <v>37</v>
      </c>
      <c r="Z2406" s="2" t="s">
        <v>362</v>
      </c>
      <c r="AA2406" s="2"/>
      <c r="AB2406" s="2"/>
      <c r="AC2406" s="2" t="s">
        <v>18349</v>
      </c>
      <c r="AD2406" s="2" t="s">
        <v>46</v>
      </c>
    </row>
    <row r="2407" customFormat="false" ht="15.7" hidden="false" customHeight="true" outlineLevel="0" collapsed="false">
      <c r="A2407" s="2"/>
      <c r="B2407" s="3" t="n">
        <f aca="false">DATE(2013,11,19)</f>
        <v>0</v>
      </c>
      <c r="C2407" s="3" t="n">
        <v>41597</v>
      </c>
      <c r="D2407" s="2" t="s">
        <v>18350</v>
      </c>
      <c r="F2407" s="2" t="s">
        <v>18351</v>
      </c>
      <c r="G2407" s="2" t="s">
        <v>18352</v>
      </c>
      <c r="H2407" s="2" t="s">
        <v>18353</v>
      </c>
      <c r="I2407" s="2" t="s">
        <v>8915</v>
      </c>
      <c r="J2407" s="2" t="s">
        <v>18354</v>
      </c>
      <c r="K2407" s="2" t="s">
        <v>18355</v>
      </c>
      <c r="L2407" s="2" t="s">
        <v>8915</v>
      </c>
      <c r="M2407" s="2" t="s">
        <v>18356</v>
      </c>
      <c r="N2407" s="2" t="s">
        <v>18357</v>
      </c>
      <c r="O2407" s="2"/>
      <c r="P2407" s="2" t="s">
        <v>37</v>
      </c>
      <c r="Q2407" s="4" t="n">
        <v>7311</v>
      </c>
      <c r="R2407" s="2" t="s">
        <v>136</v>
      </c>
      <c r="S2407" s="2" t="s">
        <v>39</v>
      </c>
      <c r="T2407" s="2" t="s">
        <v>40</v>
      </c>
      <c r="U2407" s="2" t="s">
        <v>18358</v>
      </c>
      <c r="V2407" s="2"/>
      <c r="W2407" s="2" t="s">
        <v>18359</v>
      </c>
      <c r="X2407" s="2" t="s">
        <v>43</v>
      </c>
      <c r="Y2407" s="2" t="s">
        <v>37</v>
      </c>
      <c r="Z2407" s="2" t="s">
        <v>916</v>
      </c>
      <c r="AA2407" s="2"/>
      <c r="AB2407" s="2"/>
      <c r="AC2407" s="2" t="s">
        <v>18360</v>
      </c>
      <c r="AD2407" s="2" t="s">
        <v>46</v>
      </c>
    </row>
    <row r="2408" customFormat="false" ht="15.7" hidden="false" customHeight="true" outlineLevel="0" collapsed="false">
      <c r="A2408" s="2"/>
      <c r="B2408" s="3" t="n">
        <f aca="false">DATE(2013,11,20)</f>
        <v>0</v>
      </c>
      <c r="C2408" s="3" t="n">
        <v>41598</v>
      </c>
      <c r="D2408" s="2" t="s">
        <v>18361</v>
      </c>
      <c r="F2408" s="2" t="s">
        <v>18362</v>
      </c>
      <c r="G2408" s="2" t="s">
        <v>18363</v>
      </c>
      <c r="H2408" s="2" t="s">
        <v>18364</v>
      </c>
      <c r="I2408" s="2" t="s">
        <v>51</v>
      </c>
      <c r="J2408" s="2" t="s">
        <v>1593</v>
      </c>
      <c r="K2408" s="2" t="s">
        <v>18361</v>
      </c>
      <c r="L2408" s="2" t="s">
        <v>51</v>
      </c>
      <c r="M2408" s="2" t="s">
        <v>18364</v>
      </c>
      <c r="N2408" s="2" t="s">
        <v>18365</v>
      </c>
      <c r="O2408" s="2"/>
      <c r="P2408" s="2" t="s">
        <v>37</v>
      </c>
      <c r="Q2408" s="4" t="n">
        <v>8731</v>
      </c>
      <c r="R2408" s="2" t="s">
        <v>56</v>
      </c>
      <c r="S2408" s="2" t="s">
        <v>57</v>
      </c>
      <c r="T2408" s="2" t="s">
        <v>403</v>
      </c>
      <c r="U2408" s="2" t="s">
        <v>18366</v>
      </c>
      <c r="V2408" s="2"/>
      <c r="W2408" s="2" t="s">
        <v>42</v>
      </c>
      <c r="X2408" s="2" t="s">
        <v>43</v>
      </c>
      <c r="Y2408" s="2" t="s">
        <v>37</v>
      </c>
      <c r="Z2408" s="2" t="s">
        <v>44</v>
      </c>
      <c r="AA2408" s="2"/>
      <c r="AB2408" s="2"/>
      <c r="AC2408" s="2" t="s">
        <v>18367</v>
      </c>
      <c r="AD2408" s="2" t="s">
        <v>46</v>
      </c>
    </row>
    <row r="2409" customFormat="false" ht="15.7" hidden="false" customHeight="true" outlineLevel="0" collapsed="false">
      <c r="A2409" s="2"/>
      <c r="B2409" s="3" t="n">
        <f aca="false">DATE(2013,11,25)</f>
        <v>0</v>
      </c>
      <c r="C2409" s="3" t="n">
        <v>41603</v>
      </c>
      <c r="D2409" s="2" t="s">
        <v>18368</v>
      </c>
      <c r="F2409" s="2" t="s">
        <v>18369</v>
      </c>
      <c r="G2409" s="2" t="s">
        <v>18370</v>
      </c>
      <c r="H2409" s="2" t="s">
        <v>18371</v>
      </c>
      <c r="I2409" s="2" t="s">
        <v>18372</v>
      </c>
      <c r="J2409" s="2" t="s">
        <v>18373</v>
      </c>
      <c r="K2409" s="2" t="s">
        <v>18368</v>
      </c>
      <c r="L2409" s="2" t="s">
        <v>18372</v>
      </c>
      <c r="M2409" s="2" t="s">
        <v>18371</v>
      </c>
      <c r="N2409" s="2" t="s">
        <v>18374</v>
      </c>
      <c r="O2409" s="2"/>
      <c r="P2409" s="2" t="s">
        <v>37</v>
      </c>
      <c r="Q2409" s="4" t="n">
        <v>2836</v>
      </c>
      <c r="R2409" s="2" t="s">
        <v>56</v>
      </c>
      <c r="S2409" s="2" t="s">
        <v>57</v>
      </c>
      <c r="T2409" s="2" t="s">
        <v>403</v>
      </c>
      <c r="U2409" s="2" t="s">
        <v>18375</v>
      </c>
      <c r="V2409" s="2"/>
      <c r="W2409" s="2" t="s">
        <v>18376</v>
      </c>
      <c r="X2409" s="2" t="s">
        <v>46</v>
      </c>
      <c r="Y2409" s="2" t="s">
        <v>37</v>
      </c>
      <c r="Z2409" s="2" t="s">
        <v>452</v>
      </c>
      <c r="AA2409" s="2"/>
      <c r="AB2409" s="2"/>
      <c r="AC2409" s="2" t="s">
        <v>18377</v>
      </c>
      <c r="AD2409" s="2" t="s">
        <v>46</v>
      </c>
    </row>
    <row r="2410" customFormat="false" ht="15.7" hidden="false" customHeight="true" outlineLevel="0" collapsed="false">
      <c r="A2410" s="2"/>
      <c r="B2410" s="3" t="n">
        <f aca="false">DATE(2013,11,26)</f>
        <v>0</v>
      </c>
      <c r="C2410" s="3" t="n">
        <v>41604</v>
      </c>
      <c r="D2410" s="2" t="s">
        <v>18378</v>
      </c>
      <c r="F2410" s="2" t="s">
        <v>18379</v>
      </c>
      <c r="G2410" s="2" t="s">
        <v>18380</v>
      </c>
      <c r="H2410" s="2" t="s">
        <v>18381</v>
      </c>
      <c r="I2410" s="2" t="s">
        <v>7014</v>
      </c>
      <c r="J2410" s="2" t="s">
        <v>35</v>
      </c>
      <c r="K2410" s="2" t="s">
        <v>18382</v>
      </c>
      <c r="L2410" s="2" t="s">
        <v>7014</v>
      </c>
      <c r="M2410" s="2" t="s">
        <v>18381</v>
      </c>
      <c r="N2410" s="2" t="s">
        <v>18383</v>
      </c>
      <c r="O2410" s="2"/>
      <c r="P2410" s="2" t="s">
        <v>37</v>
      </c>
      <c r="Q2410" s="4" t="n">
        <v>3674</v>
      </c>
      <c r="R2410" s="2" t="s">
        <v>1448</v>
      </c>
      <c r="S2410" s="2" t="s">
        <v>39</v>
      </c>
      <c r="T2410" s="2" t="s">
        <v>403</v>
      </c>
      <c r="U2410" s="2" t="s">
        <v>18384</v>
      </c>
      <c r="V2410" s="2"/>
      <c r="W2410" s="2" t="s">
        <v>42</v>
      </c>
      <c r="X2410" s="2" t="s">
        <v>43</v>
      </c>
      <c r="Y2410" s="2" t="s">
        <v>37</v>
      </c>
      <c r="Z2410" s="2" t="s">
        <v>44</v>
      </c>
      <c r="AA2410" s="2"/>
      <c r="AB2410" s="2"/>
      <c r="AC2410" s="2" t="s">
        <v>18385</v>
      </c>
      <c r="AD2410" s="2" t="s">
        <v>46</v>
      </c>
    </row>
    <row r="2411" customFormat="false" ht="15.7" hidden="false" customHeight="true" outlineLevel="0" collapsed="false">
      <c r="A2411" s="2"/>
      <c r="B2411" s="3" t="n">
        <f aca="false">DATE(2013,11,29)</f>
        <v>0</v>
      </c>
      <c r="C2411" s="3" t="n">
        <v>41607</v>
      </c>
      <c r="D2411" s="2" t="s">
        <v>18386</v>
      </c>
      <c r="F2411" s="2" t="s">
        <v>18387</v>
      </c>
      <c r="G2411" s="2" t="s">
        <v>18388</v>
      </c>
      <c r="H2411" s="2" t="s">
        <v>18389</v>
      </c>
      <c r="I2411" s="2" t="s">
        <v>8088</v>
      </c>
      <c r="J2411" s="2" t="s">
        <v>35</v>
      </c>
      <c r="K2411" s="2" t="s">
        <v>18390</v>
      </c>
      <c r="L2411" s="2" t="s">
        <v>18391</v>
      </c>
      <c r="M2411" s="2" t="s">
        <v>14339</v>
      </c>
      <c r="N2411" s="2" t="s">
        <v>18392</v>
      </c>
      <c r="O2411" s="2"/>
      <c r="P2411" s="2" t="s">
        <v>37</v>
      </c>
      <c r="Q2411" s="4" t="n">
        <v>4911</v>
      </c>
      <c r="R2411" s="2" t="s">
        <v>1691</v>
      </c>
      <c r="S2411" s="2" t="s">
        <v>39</v>
      </c>
      <c r="T2411" s="2" t="s">
        <v>40</v>
      </c>
      <c r="U2411" s="2" t="s">
        <v>18393</v>
      </c>
      <c r="V2411" s="2"/>
      <c r="W2411" s="2" t="s">
        <v>14343</v>
      </c>
      <c r="X2411" s="2" t="s">
        <v>46</v>
      </c>
      <c r="Y2411" s="2" t="s">
        <v>37</v>
      </c>
      <c r="Z2411" s="2" t="s">
        <v>362</v>
      </c>
      <c r="AA2411" s="2" t="s">
        <v>18394</v>
      </c>
      <c r="AB2411" s="2"/>
      <c r="AC2411" s="2" t="s">
        <v>18395</v>
      </c>
      <c r="AD2411" s="2" t="s">
        <v>46</v>
      </c>
    </row>
    <row r="2412" customFormat="false" ht="15.7" hidden="false" customHeight="true" outlineLevel="0" collapsed="false">
      <c r="A2412" s="2"/>
      <c r="B2412" s="3" t="n">
        <f aca="false">DATE(2013,12,3)</f>
        <v>0</v>
      </c>
      <c r="C2412" s="3" t="n">
        <v>41611</v>
      </c>
      <c r="D2412" s="2" t="s">
        <v>18396</v>
      </c>
      <c r="F2412" s="2" t="s">
        <v>18397</v>
      </c>
      <c r="G2412" s="2" t="s">
        <v>18398</v>
      </c>
      <c r="H2412" s="2" t="s">
        <v>63</v>
      </c>
      <c r="I2412" s="2" t="s">
        <v>51</v>
      </c>
      <c r="J2412" s="2" t="s">
        <v>1834</v>
      </c>
      <c r="K2412" s="2" t="s">
        <v>18396</v>
      </c>
      <c r="L2412" s="2" t="s">
        <v>51</v>
      </c>
      <c r="M2412" s="2" t="s">
        <v>63</v>
      </c>
      <c r="N2412" s="2" t="s">
        <v>18399</v>
      </c>
      <c r="O2412" s="2"/>
      <c r="P2412" s="2" t="s">
        <v>37</v>
      </c>
      <c r="Q2412" s="4" t="n">
        <v>2836</v>
      </c>
      <c r="R2412" s="2" t="s">
        <v>56</v>
      </c>
      <c r="S2412" s="2" t="s">
        <v>92</v>
      </c>
      <c r="T2412" s="2" t="s">
        <v>403</v>
      </c>
      <c r="U2412" s="2" t="s">
        <v>18400</v>
      </c>
      <c r="V2412" s="2"/>
      <c r="W2412" s="2" t="s">
        <v>18401</v>
      </c>
      <c r="X2412" s="2" t="s">
        <v>43</v>
      </c>
      <c r="Y2412" s="2" t="s">
        <v>37</v>
      </c>
      <c r="Z2412" s="2" t="s">
        <v>44</v>
      </c>
      <c r="AA2412" s="2" t="s">
        <v>18402</v>
      </c>
      <c r="AB2412" s="2"/>
      <c r="AC2412" s="2" t="s">
        <v>18403</v>
      </c>
      <c r="AD2412" s="2" t="s">
        <v>46</v>
      </c>
    </row>
    <row r="2413" customFormat="false" ht="15.7" hidden="false" customHeight="true" outlineLevel="0" collapsed="false">
      <c r="A2413" s="2"/>
      <c r="B2413" s="3" t="n">
        <f aca="false">DATE(2013,12,3)</f>
        <v>0</v>
      </c>
      <c r="C2413" s="3" t="n">
        <v>41611</v>
      </c>
      <c r="D2413" s="2" t="s">
        <v>18404</v>
      </c>
      <c r="F2413" s="2" t="s">
        <v>18405</v>
      </c>
      <c r="G2413" s="2" t="s">
        <v>18406</v>
      </c>
      <c r="H2413" s="2" t="s">
        <v>18407</v>
      </c>
      <c r="I2413" s="2" t="s">
        <v>13071</v>
      </c>
      <c r="J2413" s="2" t="s">
        <v>18408</v>
      </c>
      <c r="K2413" s="2" t="s">
        <v>18409</v>
      </c>
      <c r="L2413" s="2" t="s">
        <v>13071</v>
      </c>
      <c r="M2413" s="2" t="s">
        <v>18410</v>
      </c>
      <c r="N2413" s="2" t="s">
        <v>18411</v>
      </c>
      <c r="O2413" s="2" t="s">
        <v>18412</v>
      </c>
      <c r="P2413" s="2" t="s">
        <v>79</v>
      </c>
      <c r="Q2413" s="4" t="n">
        <v>3632</v>
      </c>
      <c r="R2413" s="2" t="s">
        <v>38</v>
      </c>
      <c r="S2413" s="2" t="s">
        <v>39</v>
      </c>
      <c r="T2413" s="2" t="s">
        <v>40</v>
      </c>
      <c r="U2413" s="2" t="s">
        <v>18413</v>
      </c>
      <c r="V2413" s="2"/>
      <c r="W2413" s="2" t="s">
        <v>18414</v>
      </c>
      <c r="X2413" s="2" t="s">
        <v>46</v>
      </c>
      <c r="Y2413" s="2" t="s">
        <v>37</v>
      </c>
      <c r="Z2413" s="2" t="s">
        <v>18415</v>
      </c>
      <c r="AA2413" s="2" t="s">
        <v>18416</v>
      </c>
      <c r="AB2413" s="2" t="s">
        <v>18417</v>
      </c>
      <c r="AC2413" s="2" t="s">
        <v>18418</v>
      </c>
      <c r="AD2413" s="2" t="s">
        <v>46</v>
      </c>
    </row>
    <row r="2414" customFormat="false" ht="15.7" hidden="false" customHeight="true" outlineLevel="0" collapsed="false">
      <c r="A2414" s="2"/>
      <c r="B2414" s="3" t="n">
        <f aca="false">DATE(2013,12,6)</f>
        <v>0</v>
      </c>
      <c r="C2414" s="3" t="n">
        <v>41614</v>
      </c>
      <c r="D2414" s="2" t="s">
        <v>18419</v>
      </c>
      <c r="F2414" s="2" t="s">
        <v>18420</v>
      </c>
      <c r="G2414" s="2" t="s">
        <v>18421</v>
      </c>
      <c r="H2414" s="2" t="s">
        <v>18422</v>
      </c>
      <c r="I2414" s="2" t="s">
        <v>51</v>
      </c>
      <c r="J2414" s="2" t="s">
        <v>171</v>
      </c>
      <c r="K2414" s="2" t="s">
        <v>18423</v>
      </c>
      <c r="L2414" s="2" t="s">
        <v>51</v>
      </c>
      <c r="M2414" s="2" t="s">
        <v>18422</v>
      </c>
      <c r="N2414" s="2" t="s">
        <v>18424</v>
      </c>
      <c r="O2414" s="2"/>
      <c r="P2414" s="2" t="s">
        <v>37</v>
      </c>
      <c r="Q2414" s="4" t="n">
        <v>8093</v>
      </c>
      <c r="R2414" s="2" t="s">
        <v>56</v>
      </c>
      <c r="S2414" s="2" t="s">
        <v>92</v>
      </c>
      <c r="T2414" s="2" t="s">
        <v>40</v>
      </c>
      <c r="U2414" s="2" t="s">
        <v>18425</v>
      </c>
      <c r="V2414" s="2"/>
      <c r="W2414" s="2" t="s">
        <v>344</v>
      </c>
      <c r="X2414" s="2" t="s">
        <v>43</v>
      </c>
      <c r="Y2414" s="2" t="s">
        <v>37</v>
      </c>
      <c r="Z2414" s="2" t="s">
        <v>44</v>
      </c>
      <c r="AA2414" s="2"/>
      <c r="AB2414" s="2"/>
      <c r="AC2414" s="2" t="s">
        <v>18426</v>
      </c>
      <c r="AD2414" s="2" t="s">
        <v>46</v>
      </c>
    </row>
    <row r="2415" customFormat="false" ht="15.7" hidden="false" customHeight="true" outlineLevel="0" collapsed="false">
      <c r="A2415" s="2"/>
      <c r="B2415" s="3" t="n">
        <f aca="false">DATE(2013,12,9)</f>
        <v>0</v>
      </c>
      <c r="C2415" s="3" t="n">
        <v>41617</v>
      </c>
      <c r="D2415" s="2" t="s">
        <v>18427</v>
      </c>
      <c r="F2415" s="2" t="s">
        <v>18428</v>
      </c>
      <c r="G2415" s="2" t="s">
        <v>18429</v>
      </c>
      <c r="H2415" s="2" t="s">
        <v>1271</v>
      </c>
      <c r="I2415" s="2" t="s">
        <v>51</v>
      </c>
      <c r="J2415" s="2" t="s">
        <v>18430</v>
      </c>
      <c r="K2415" s="2" t="s">
        <v>18431</v>
      </c>
      <c r="L2415" s="2" t="s">
        <v>51</v>
      </c>
      <c r="M2415" s="2" t="s">
        <v>1943</v>
      </c>
      <c r="N2415" s="2" t="s">
        <v>18432</v>
      </c>
      <c r="O2415" s="2"/>
      <c r="P2415" s="2" t="s">
        <v>37</v>
      </c>
      <c r="Q2415" s="4" t="n">
        <v>8731</v>
      </c>
      <c r="R2415" s="2" t="s">
        <v>56</v>
      </c>
      <c r="S2415" s="2"/>
      <c r="T2415" s="2" t="s">
        <v>40</v>
      </c>
      <c r="U2415" s="2" t="s">
        <v>18433</v>
      </c>
      <c r="V2415" s="2"/>
      <c r="W2415" s="2" t="s">
        <v>344</v>
      </c>
      <c r="X2415" s="2" t="s">
        <v>43</v>
      </c>
      <c r="Y2415" s="2" t="s">
        <v>37</v>
      </c>
      <c r="Z2415" s="2" t="s">
        <v>44</v>
      </c>
      <c r="AA2415" s="2"/>
      <c r="AB2415" s="2"/>
      <c r="AC2415" s="2" t="s">
        <v>18434</v>
      </c>
      <c r="AD2415" s="2" t="s">
        <v>46</v>
      </c>
    </row>
    <row r="2416" customFormat="false" ht="15.7" hidden="false" customHeight="true" outlineLevel="0" collapsed="false">
      <c r="A2416" s="2"/>
      <c r="B2416" s="3" t="n">
        <f aca="false">DATE(2013,12,9)</f>
        <v>0</v>
      </c>
      <c r="C2416" s="3" t="n">
        <v>41617</v>
      </c>
      <c r="D2416" s="2" t="s">
        <v>18435</v>
      </c>
      <c r="F2416" s="2" t="s">
        <v>18436</v>
      </c>
      <c r="G2416" s="2" t="s">
        <v>18437</v>
      </c>
      <c r="H2416" s="2" t="s">
        <v>762</v>
      </c>
      <c r="I2416" s="2" t="s">
        <v>296</v>
      </c>
      <c r="J2416" s="2" t="s">
        <v>65</v>
      </c>
      <c r="K2416" s="2" t="s">
        <v>18438</v>
      </c>
      <c r="L2416" s="2" t="s">
        <v>296</v>
      </c>
      <c r="M2416" s="2" t="s">
        <v>387</v>
      </c>
      <c r="N2416" s="2" t="s">
        <v>18439</v>
      </c>
      <c r="O2416" s="2"/>
      <c r="P2416" s="2" t="s">
        <v>37</v>
      </c>
      <c r="Q2416" s="4" t="n">
        <v>7374</v>
      </c>
      <c r="R2416" s="2" t="s">
        <v>56</v>
      </c>
      <c r="S2416" s="2"/>
      <c r="T2416" s="2" t="s">
        <v>40</v>
      </c>
      <c r="U2416" s="2" t="s">
        <v>18440</v>
      </c>
      <c r="V2416" s="2"/>
      <c r="W2416" s="2" t="s">
        <v>18441</v>
      </c>
      <c r="X2416" s="2" t="s">
        <v>46</v>
      </c>
      <c r="Y2416" s="2" t="s">
        <v>37</v>
      </c>
      <c r="Z2416" s="2" t="s">
        <v>362</v>
      </c>
      <c r="AA2416" s="2"/>
      <c r="AB2416" s="2"/>
      <c r="AC2416" s="2" t="s">
        <v>18442</v>
      </c>
      <c r="AD2416" s="2" t="s">
        <v>46</v>
      </c>
    </row>
    <row r="2417" customFormat="false" ht="15.7" hidden="false" customHeight="true" outlineLevel="0" collapsed="false">
      <c r="A2417" s="2"/>
      <c r="B2417" s="3" t="n">
        <f aca="false">DATE(2013,12,9)</f>
        <v>0</v>
      </c>
      <c r="C2417" s="3" t="n">
        <v>41617</v>
      </c>
      <c r="D2417" s="2" t="s">
        <v>18443</v>
      </c>
      <c r="F2417" s="2" t="s">
        <v>18444</v>
      </c>
      <c r="G2417" s="2" t="s">
        <v>18445</v>
      </c>
      <c r="H2417" s="2" t="s">
        <v>170</v>
      </c>
      <c r="I2417" s="2" t="s">
        <v>18446</v>
      </c>
      <c r="J2417" s="2" t="s">
        <v>35</v>
      </c>
      <c r="K2417" s="2" t="s">
        <v>18443</v>
      </c>
      <c r="L2417" s="2" t="s">
        <v>18446</v>
      </c>
      <c r="M2417" s="2" t="s">
        <v>170</v>
      </c>
      <c r="N2417" s="2" t="s">
        <v>18447</v>
      </c>
      <c r="O2417" s="2"/>
      <c r="P2417" s="2" t="s">
        <v>37</v>
      </c>
      <c r="Q2417" s="4" t="n">
        <v>2836</v>
      </c>
      <c r="R2417" s="2" t="s">
        <v>5774</v>
      </c>
      <c r="S2417" s="2" t="s">
        <v>39</v>
      </c>
      <c r="T2417" s="2" t="s">
        <v>403</v>
      </c>
      <c r="U2417" s="2" t="s">
        <v>18448</v>
      </c>
      <c r="V2417" s="2"/>
      <c r="W2417" s="2" t="s">
        <v>18449</v>
      </c>
      <c r="X2417" s="2" t="s">
        <v>46</v>
      </c>
      <c r="Y2417" s="2" t="s">
        <v>37</v>
      </c>
      <c r="Z2417" s="2" t="s">
        <v>362</v>
      </c>
      <c r="AA2417" s="2"/>
      <c r="AB2417" s="2"/>
      <c r="AC2417" s="2" t="s">
        <v>18450</v>
      </c>
      <c r="AD2417" s="2" t="s">
        <v>46</v>
      </c>
    </row>
    <row r="2418" customFormat="false" ht="15.7" hidden="false" customHeight="true" outlineLevel="0" collapsed="false">
      <c r="A2418" s="2"/>
      <c r="B2418" s="3" t="n">
        <f aca="false">DATE(2013,12,9)</f>
        <v>0</v>
      </c>
      <c r="C2418" s="3" t="n">
        <v>41617</v>
      </c>
      <c r="D2418" s="2" t="s">
        <v>18451</v>
      </c>
      <c r="F2418" s="2" t="s">
        <v>17233</v>
      </c>
      <c r="G2418" s="2" t="s">
        <v>18452</v>
      </c>
      <c r="H2418" s="2" t="s">
        <v>762</v>
      </c>
      <c r="I2418" s="2" t="s">
        <v>51</v>
      </c>
      <c r="J2418" s="2" t="s">
        <v>18453</v>
      </c>
      <c r="K2418" s="2" t="s">
        <v>18451</v>
      </c>
      <c r="L2418" s="2" t="s">
        <v>51</v>
      </c>
      <c r="M2418" s="2" t="s">
        <v>762</v>
      </c>
      <c r="N2418" s="2" t="s">
        <v>18454</v>
      </c>
      <c r="O2418" s="2"/>
      <c r="P2418" s="2" t="s">
        <v>37</v>
      </c>
      <c r="Q2418" s="4" t="n">
        <v>2834</v>
      </c>
      <c r="R2418" s="2" t="s">
        <v>56</v>
      </c>
      <c r="S2418" s="2"/>
      <c r="T2418" s="2" t="s">
        <v>403</v>
      </c>
      <c r="U2418" s="2" t="s">
        <v>18455</v>
      </c>
      <c r="V2418" s="2"/>
      <c r="W2418" s="2" t="s">
        <v>344</v>
      </c>
      <c r="X2418" s="2" t="s">
        <v>46</v>
      </c>
      <c r="Y2418" s="2" t="s">
        <v>37</v>
      </c>
      <c r="Z2418" s="2" t="s">
        <v>362</v>
      </c>
      <c r="AA2418" s="2"/>
      <c r="AB2418" s="2"/>
      <c r="AC2418" s="2" t="s">
        <v>18456</v>
      </c>
      <c r="AD2418" s="2" t="s">
        <v>46</v>
      </c>
    </row>
    <row r="2419" customFormat="false" ht="15.7" hidden="false" customHeight="true" outlineLevel="0" collapsed="false">
      <c r="A2419" s="2"/>
      <c r="B2419" s="3" t="n">
        <f aca="false">DATE(2013,12,10)</f>
        <v>0</v>
      </c>
      <c r="C2419" s="3" t="n">
        <v>41618</v>
      </c>
      <c r="D2419" s="2" t="s">
        <v>18457</v>
      </c>
      <c r="F2419" s="2" t="s">
        <v>4786</v>
      </c>
      <c r="G2419" s="2" t="s">
        <v>18458</v>
      </c>
      <c r="H2419" s="2" t="s">
        <v>63</v>
      </c>
      <c r="I2419" s="2" t="s">
        <v>2294</v>
      </c>
      <c r="J2419" s="2" t="s">
        <v>35</v>
      </c>
      <c r="K2419" s="2" t="s">
        <v>18457</v>
      </c>
      <c r="L2419" s="2" t="s">
        <v>2294</v>
      </c>
      <c r="M2419" s="2" t="s">
        <v>63</v>
      </c>
      <c r="N2419" s="2" t="s">
        <v>18459</v>
      </c>
      <c r="O2419" s="2"/>
      <c r="P2419" s="2" t="s">
        <v>37</v>
      </c>
      <c r="Q2419" s="4" t="n">
        <v>2834</v>
      </c>
      <c r="R2419" s="2" t="s">
        <v>56</v>
      </c>
      <c r="S2419" s="2"/>
      <c r="T2419" s="2" t="s">
        <v>403</v>
      </c>
      <c r="U2419" s="2" t="s">
        <v>18460</v>
      </c>
      <c r="V2419" s="2"/>
      <c r="W2419" s="2" t="s">
        <v>18461</v>
      </c>
      <c r="X2419" s="2" t="s">
        <v>46</v>
      </c>
      <c r="Y2419" s="2" t="s">
        <v>37</v>
      </c>
      <c r="Z2419" s="2" t="s">
        <v>12970</v>
      </c>
      <c r="AA2419" s="2" t="s">
        <v>18462</v>
      </c>
      <c r="AB2419" s="2"/>
      <c r="AC2419" s="2" t="s">
        <v>18463</v>
      </c>
      <c r="AD2419" s="2" t="s">
        <v>46</v>
      </c>
    </row>
    <row r="2420" customFormat="false" ht="15.7" hidden="false" customHeight="true" outlineLevel="0" collapsed="false">
      <c r="A2420" s="2"/>
      <c r="B2420" s="3" t="n">
        <f aca="false">DATE(2013,12,10)</f>
        <v>0</v>
      </c>
      <c r="C2420" s="3" t="n">
        <v>41618</v>
      </c>
      <c r="D2420" s="2" t="s">
        <v>18464</v>
      </c>
      <c r="F2420" s="2" t="s">
        <v>18465</v>
      </c>
      <c r="G2420" s="2" t="s">
        <v>18466</v>
      </c>
      <c r="H2420" s="2" t="s">
        <v>8741</v>
      </c>
      <c r="I2420" s="2" t="s">
        <v>899</v>
      </c>
      <c r="J2420" s="2" t="s">
        <v>4399</v>
      </c>
      <c r="K2420" s="2" t="s">
        <v>18464</v>
      </c>
      <c r="L2420" s="2" t="s">
        <v>899</v>
      </c>
      <c r="M2420" s="2" t="s">
        <v>8741</v>
      </c>
      <c r="N2420" s="2" t="s">
        <v>18467</v>
      </c>
      <c r="O2420" s="2"/>
      <c r="P2420" s="2" t="s">
        <v>37</v>
      </c>
      <c r="Q2420" s="4" t="n">
        <v>2836</v>
      </c>
      <c r="R2420" s="2" t="s">
        <v>202</v>
      </c>
      <c r="S2420" s="2" t="s">
        <v>11842</v>
      </c>
      <c r="T2420" s="2" t="s">
        <v>40</v>
      </c>
      <c r="U2420" s="2" t="s">
        <v>18468</v>
      </c>
      <c r="V2420" s="2"/>
      <c r="W2420" s="2" t="s">
        <v>18469</v>
      </c>
      <c r="X2420" s="2" t="s">
        <v>43</v>
      </c>
      <c r="Y2420" s="2" t="s">
        <v>79</v>
      </c>
      <c r="Z2420" s="2" t="s">
        <v>44</v>
      </c>
      <c r="AA2420" s="2" t="s">
        <v>18470</v>
      </c>
      <c r="AB2420" s="2"/>
      <c r="AC2420" s="2" t="s">
        <v>18471</v>
      </c>
      <c r="AD2420" s="2" t="s">
        <v>46</v>
      </c>
    </row>
    <row r="2421" customFormat="false" ht="15.7" hidden="false" customHeight="true" outlineLevel="0" collapsed="false">
      <c r="A2421" s="2"/>
      <c r="B2421" s="3" t="n">
        <f aca="false">DATE(2013,12,10)</f>
        <v>0</v>
      </c>
      <c r="C2421" s="3" t="n">
        <v>41618</v>
      </c>
      <c r="D2421" s="2" t="s">
        <v>18472</v>
      </c>
      <c r="F2421" s="2" t="s">
        <v>18473</v>
      </c>
      <c r="G2421" s="2" t="s">
        <v>18474</v>
      </c>
      <c r="H2421" s="2" t="s">
        <v>6365</v>
      </c>
      <c r="I2421" s="2" t="s">
        <v>18475</v>
      </c>
      <c r="J2421" s="2" t="s">
        <v>18476</v>
      </c>
      <c r="K2421" s="2" t="s">
        <v>18477</v>
      </c>
      <c r="L2421" s="2" t="s">
        <v>18475</v>
      </c>
      <c r="M2421" s="2" t="s">
        <v>15585</v>
      </c>
      <c r="N2421" s="2" t="s">
        <v>18478</v>
      </c>
      <c r="O2421" s="2"/>
      <c r="P2421" s="2" t="s">
        <v>37</v>
      </c>
      <c r="Q2421" s="4" t="n">
        <v>8731</v>
      </c>
      <c r="R2421" s="2" t="s">
        <v>56</v>
      </c>
      <c r="S2421" s="2" t="s">
        <v>80</v>
      </c>
      <c r="T2421" s="2" t="s">
        <v>40</v>
      </c>
      <c r="U2421" s="2" t="s">
        <v>18479</v>
      </c>
      <c r="V2421" s="2"/>
      <c r="W2421" s="2" t="s">
        <v>42</v>
      </c>
      <c r="X2421" s="2" t="s">
        <v>43</v>
      </c>
      <c r="Y2421" s="2" t="s">
        <v>37</v>
      </c>
      <c r="Z2421" s="2" t="s">
        <v>916</v>
      </c>
      <c r="AA2421" s="2"/>
      <c r="AB2421" s="2"/>
      <c r="AC2421" s="2" t="s">
        <v>18480</v>
      </c>
      <c r="AD2421" s="2" t="s">
        <v>46</v>
      </c>
    </row>
    <row r="2422" customFormat="false" ht="15.7" hidden="false" customHeight="true" outlineLevel="0" collapsed="false">
      <c r="A2422" s="2"/>
      <c r="B2422" s="3" t="n">
        <f aca="false">DATE(2013,12,11)</f>
        <v>0</v>
      </c>
      <c r="C2422" s="3" t="n">
        <v>41619</v>
      </c>
      <c r="D2422" s="2" t="s">
        <v>18481</v>
      </c>
      <c r="F2422" s="2" t="s">
        <v>18482</v>
      </c>
      <c r="G2422" s="2" t="s">
        <v>18483</v>
      </c>
      <c r="H2422" s="2" t="s">
        <v>305</v>
      </c>
      <c r="I2422" s="2" t="s">
        <v>18484</v>
      </c>
      <c r="J2422" s="2" t="s">
        <v>35</v>
      </c>
      <c r="K2422" s="2" t="s">
        <v>18481</v>
      </c>
      <c r="L2422" s="2" t="s">
        <v>18484</v>
      </c>
      <c r="M2422" s="2" t="s">
        <v>305</v>
      </c>
      <c r="N2422" s="2" t="s">
        <v>18485</v>
      </c>
      <c r="O2422" s="2"/>
      <c r="P2422" s="2" t="s">
        <v>79</v>
      </c>
      <c r="Q2422" s="4" t="n">
        <v>2834</v>
      </c>
      <c r="R2422" s="2" t="s">
        <v>136</v>
      </c>
      <c r="S2422" s="2" t="s">
        <v>39</v>
      </c>
      <c r="T2422" s="2" t="s">
        <v>40</v>
      </c>
      <c r="U2422" s="2" t="s">
        <v>18486</v>
      </c>
      <c r="V2422" s="2"/>
      <c r="W2422" s="2" t="s">
        <v>42</v>
      </c>
      <c r="X2422" s="2" t="s">
        <v>43</v>
      </c>
      <c r="Y2422" s="2" t="s">
        <v>37</v>
      </c>
      <c r="Z2422" s="2" t="s">
        <v>44</v>
      </c>
      <c r="AA2422" s="2" t="s">
        <v>18487</v>
      </c>
      <c r="AB2422" s="2"/>
      <c r="AC2422" s="2" t="s">
        <v>18488</v>
      </c>
      <c r="AD2422" s="2" t="s">
        <v>46</v>
      </c>
    </row>
    <row r="2423" customFormat="false" ht="15.7" hidden="false" customHeight="true" outlineLevel="0" collapsed="false">
      <c r="A2423" s="2"/>
      <c r="B2423" s="3" t="n">
        <f aca="false">DATE(2013,12,16)</f>
        <v>0</v>
      </c>
      <c r="C2423" s="3" t="n">
        <v>41624</v>
      </c>
      <c r="D2423" s="2" t="s">
        <v>18489</v>
      </c>
      <c r="F2423" s="2" t="s">
        <v>18490</v>
      </c>
      <c r="G2423" s="2" t="s">
        <v>18491</v>
      </c>
      <c r="H2423" s="2" t="s">
        <v>8119</v>
      </c>
      <c r="I2423" s="2" t="s">
        <v>51</v>
      </c>
      <c r="J2423" s="2" t="s">
        <v>2816</v>
      </c>
      <c r="K2423" s="2" t="s">
        <v>18492</v>
      </c>
      <c r="L2423" s="2" t="s">
        <v>131</v>
      </c>
      <c r="M2423" s="2" t="s">
        <v>14117</v>
      </c>
      <c r="N2423" s="2" t="s">
        <v>18493</v>
      </c>
      <c r="O2423" s="2"/>
      <c r="P2423" s="2" t="s">
        <v>37</v>
      </c>
      <c r="Q2423" s="4" t="n">
        <v>8742</v>
      </c>
      <c r="R2423" s="2" t="s">
        <v>56</v>
      </c>
      <c r="S2423" s="2" t="s">
        <v>360</v>
      </c>
      <c r="T2423" s="2" t="s">
        <v>40</v>
      </c>
      <c r="U2423" s="2" t="s">
        <v>18494</v>
      </c>
      <c r="V2423" s="2"/>
      <c r="W2423" s="2" t="s">
        <v>18495</v>
      </c>
      <c r="X2423" s="2" t="s">
        <v>43</v>
      </c>
      <c r="Y2423" s="2" t="s">
        <v>37</v>
      </c>
      <c r="Z2423" s="2" t="s">
        <v>44</v>
      </c>
      <c r="AA2423" s="2"/>
      <c r="AB2423" s="2"/>
      <c r="AC2423" s="2" t="s">
        <v>18496</v>
      </c>
      <c r="AD2423" s="2" t="s">
        <v>46</v>
      </c>
    </row>
    <row r="2424" customFormat="false" ht="15.7" hidden="false" customHeight="true" outlineLevel="0" collapsed="false">
      <c r="A2424" s="2"/>
      <c r="B2424" s="3" t="n">
        <f aca="false">DATE(2013,12,17)</f>
        <v>0</v>
      </c>
      <c r="C2424" s="3" t="n">
        <v>41625</v>
      </c>
      <c r="D2424" s="2" t="s">
        <v>18497</v>
      </c>
      <c r="F2424" s="2" t="s">
        <v>347</v>
      </c>
      <c r="G2424" s="2" t="s">
        <v>18498</v>
      </c>
      <c r="H2424" s="2" t="s">
        <v>63</v>
      </c>
      <c r="I2424" s="2" t="s">
        <v>7513</v>
      </c>
      <c r="J2424" s="2" t="s">
        <v>35</v>
      </c>
      <c r="K2424" s="2" t="s">
        <v>18499</v>
      </c>
      <c r="L2424" s="2" t="s">
        <v>7513</v>
      </c>
      <c r="M2424" s="2" t="s">
        <v>130</v>
      </c>
      <c r="N2424" s="2" t="s">
        <v>18500</v>
      </c>
      <c r="O2424" s="2"/>
      <c r="P2424" s="2" t="s">
        <v>79</v>
      </c>
      <c r="Q2424" s="4" t="n">
        <v>3841</v>
      </c>
      <c r="R2424" s="2" t="s">
        <v>136</v>
      </c>
      <c r="S2424" s="2" t="s">
        <v>39</v>
      </c>
      <c r="T2424" s="2" t="s">
        <v>40</v>
      </c>
      <c r="U2424" s="2" t="s">
        <v>18501</v>
      </c>
      <c r="V2424" s="2"/>
      <c r="W2424" s="2" t="s">
        <v>4487</v>
      </c>
      <c r="X2424" s="2" t="s">
        <v>43</v>
      </c>
      <c r="Y2424" s="2" t="s">
        <v>37</v>
      </c>
      <c r="Z2424" s="2" t="s">
        <v>44</v>
      </c>
      <c r="AA2424" s="2"/>
      <c r="AB2424" s="2"/>
      <c r="AC2424" s="2" t="s">
        <v>18502</v>
      </c>
      <c r="AD2424" s="2" t="s">
        <v>46</v>
      </c>
    </row>
    <row r="2425" customFormat="false" ht="15.7" hidden="false" customHeight="true" outlineLevel="0" collapsed="false">
      <c r="A2425" s="2"/>
      <c r="B2425" s="3" t="n">
        <f aca="false">DATE(2013,12,17)</f>
        <v>0</v>
      </c>
      <c r="C2425" s="3" t="n">
        <v>41625</v>
      </c>
      <c r="D2425" s="2" t="s">
        <v>18503</v>
      </c>
      <c r="F2425" s="2" t="s">
        <v>18504</v>
      </c>
      <c r="G2425" s="2" t="s">
        <v>18505</v>
      </c>
      <c r="H2425" s="2" t="s">
        <v>18506</v>
      </c>
      <c r="I2425" s="2" t="s">
        <v>51</v>
      </c>
      <c r="J2425" s="2" t="s">
        <v>5658</v>
      </c>
      <c r="K2425" s="2" t="s">
        <v>18507</v>
      </c>
      <c r="L2425" s="2" t="s">
        <v>51</v>
      </c>
      <c r="M2425" s="2" t="s">
        <v>1574</v>
      </c>
      <c r="N2425" s="2" t="s">
        <v>18508</v>
      </c>
      <c r="O2425" s="2"/>
      <c r="P2425" s="2" t="s">
        <v>37</v>
      </c>
      <c r="Q2425" s="4" t="n">
        <v>6282</v>
      </c>
      <c r="R2425" s="2" t="s">
        <v>56</v>
      </c>
      <c r="S2425" s="2"/>
      <c r="T2425" s="2" t="s">
        <v>40</v>
      </c>
      <c r="U2425" s="2" t="s">
        <v>18509</v>
      </c>
      <c r="V2425" s="2"/>
      <c r="W2425" s="2" t="s">
        <v>18510</v>
      </c>
      <c r="X2425" s="2" t="s">
        <v>43</v>
      </c>
      <c r="Y2425" s="2" t="s">
        <v>37</v>
      </c>
      <c r="Z2425" s="2" t="s">
        <v>44</v>
      </c>
      <c r="AA2425" s="2"/>
      <c r="AB2425" s="2"/>
      <c r="AC2425" s="2" t="s">
        <v>18511</v>
      </c>
      <c r="AD2425" s="2" t="s">
        <v>46</v>
      </c>
    </row>
    <row r="2426" customFormat="false" ht="15.7" hidden="false" customHeight="true" outlineLevel="0" collapsed="false">
      <c r="A2426" s="2"/>
      <c r="B2426" s="3" t="n">
        <f aca="false">DATE(2013,12,17)</f>
        <v>0</v>
      </c>
      <c r="C2426" s="3" t="n">
        <v>41625</v>
      </c>
      <c r="D2426" s="2" t="s">
        <v>18512</v>
      </c>
      <c r="F2426" s="2" t="s">
        <v>18513</v>
      </c>
      <c r="G2426" s="2" t="s">
        <v>18514</v>
      </c>
      <c r="H2426" s="2" t="s">
        <v>18515</v>
      </c>
      <c r="I2426" s="2" t="s">
        <v>64</v>
      </c>
      <c r="J2426" s="2" t="s">
        <v>1182</v>
      </c>
      <c r="K2426" s="2" t="s">
        <v>18512</v>
      </c>
      <c r="L2426" s="2" t="s">
        <v>64</v>
      </c>
      <c r="M2426" s="2" t="s">
        <v>18515</v>
      </c>
      <c r="N2426" s="2" t="s">
        <v>18516</v>
      </c>
      <c r="O2426" s="2"/>
      <c r="P2426" s="2" t="s">
        <v>37</v>
      </c>
      <c r="Q2426" s="4" t="n">
        <v>8732</v>
      </c>
      <c r="R2426" s="2" t="s">
        <v>136</v>
      </c>
      <c r="S2426" s="2" t="s">
        <v>39</v>
      </c>
      <c r="T2426" s="2" t="s">
        <v>40</v>
      </c>
      <c r="U2426" s="2" t="s">
        <v>18517</v>
      </c>
      <c r="V2426" s="2"/>
      <c r="W2426" s="2" t="s">
        <v>2475</v>
      </c>
      <c r="X2426" s="2" t="s">
        <v>43</v>
      </c>
      <c r="Y2426" s="2" t="s">
        <v>37</v>
      </c>
      <c r="Z2426" s="2" t="s">
        <v>44</v>
      </c>
      <c r="AA2426" s="2"/>
      <c r="AB2426" s="2"/>
      <c r="AC2426" s="2" t="s">
        <v>18518</v>
      </c>
      <c r="AD2426" s="2" t="s">
        <v>46</v>
      </c>
    </row>
    <row r="2427" customFormat="false" ht="15.7" hidden="false" customHeight="true" outlineLevel="0" collapsed="false">
      <c r="A2427" s="2"/>
      <c r="B2427" s="3" t="n">
        <f aca="false">DATE(2013,12,17)</f>
        <v>0</v>
      </c>
      <c r="C2427" s="3" t="n">
        <v>41625</v>
      </c>
      <c r="D2427" s="2" t="s">
        <v>18519</v>
      </c>
      <c r="F2427" s="2" t="s">
        <v>18520</v>
      </c>
      <c r="G2427" s="2" t="s">
        <v>18521</v>
      </c>
      <c r="H2427" s="2" t="s">
        <v>1027</v>
      </c>
      <c r="I2427" s="2" t="s">
        <v>7513</v>
      </c>
      <c r="J2427" s="2" t="s">
        <v>35</v>
      </c>
      <c r="K2427" s="2" t="s">
        <v>18499</v>
      </c>
      <c r="L2427" s="2" t="s">
        <v>7513</v>
      </c>
      <c r="M2427" s="2" t="s">
        <v>130</v>
      </c>
      <c r="N2427" s="2" t="s">
        <v>18522</v>
      </c>
      <c r="O2427" s="2"/>
      <c r="P2427" s="2" t="s">
        <v>37</v>
      </c>
      <c r="Q2427" s="4" t="n">
        <v>2834</v>
      </c>
      <c r="R2427" s="2" t="s">
        <v>450</v>
      </c>
      <c r="S2427" s="2" t="s">
        <v>39</v>
      </c>
      <c r="T2427" s="2" t="s">
        <v>40</v>
      </c>
      <c r="U2427" s="2" t="s">
        <v>18523</v>
      </c>
      <c r="V2427" s="2"/>
      <c r="W2427" s="2" t="s">
        <v>18524</v>
      </c>
      <c r="X2427" s="2" t="s">
        <v>43</v>
      </c>
      <c r="Y2427" s="2" t="s">
        <v>37</v>
      </c>
      <c r="Z2427" s="2" t="s">
        <v>44</v>
      </c>
      <c r="AA2427" s="2"/>
      <c r="AB2427" s="2"/>
      <c r="AC2427" s="2" t="s">
        <v>18525</v>
      </c>
      <c r="AD2427" s="2" t="s">
        <v>46</v>
      </c>
    </row>
    <row r="2428" customFormat="false" ht="15.7" hidden="false" customHeight="true" outlineLevel="0" collapsed="false">
      <c r="A2428" s="2"/>
      <c r="B2428" s="3" t="n">
        <f aca="false">DATE(2013,12,18)</f>
        <v>0</v>
      </c>
      <c r="C2428" s="3" t="n">
        <v>41626</v>
      </c>
      <c r="D2428" s="2" t="s">
        <v>18526</v>
      </c>
      <c r="F2428" s="2" t="s">
        <v>18527</v>
      </c>
      <c r="G2428" s="2" t="s">
        <v>18528</v>
      </c>
      <c r="H2428" s="2" t="s">
        <v>3954</v>
      </c>
      <c r="I2428" s="2" t="s">
        <v>7327</v>
      </c>
      <c r="J2428" s="2" t="s">
        <v>1983</v>
      </c>
      <c r="K2428" s="2" t="s">
        <v>18529</v>
      </c>
      <c r="L2428" s="2" t="s">
        <v>18530</v>
      </c>
      <c r="M2428" s="2" t="s">
        <v>18531</v>
      </c>
      <c r="N2428" s="2" t="s">
        <v>18532</v>
      </c>
      <c r="O2428" s="2"/>
      <c r="P2428" s="2" t="s">
        <v>37</v>
      </c>
      <c r="Q2428" s="4" t="n">
        <v>8732</v>
      </c>
      <c r="R2428" s="2" t="s">
        <v>1208</v>
      </c>
      <c r="S2428" s="2" t="s">
        <v>39</v>
      </c>
      <c r="T2428" s="2" t="s">
        <v>403</v>
      </c>
      <c r="U2428" s="2" t="s">
        <v>18533</v>
      </c>
      <c r="V2428" s="2"/>
      <c r="W2428" s="2" t="s">
        <v>7958</v>
      </c>
      <c r="X2428" s="2" t="s">
        <v>46</v>
      </c>
      <c r="Y2428" s="2" t="s">
        <v>37</v>
      </c>
      <c r="Z2428" s="2" t="s">
        <v>1639</v>
      </c>
      <c r="AA2428" s="2"/>
      <c r="AB2428" s="2"/>
      <c r="AC2428" s="2" t="s">
        <v>18534</v>
      </c>
      <c r="AD2428" s="2" t="s">
        <v>46</v>
      </c>
    </row>
    <row r="2429" customFormat="false" ht="15.7" hidden="false" customHeight="true" outlineLevel="0" collapsed="false">
      <c r="A2429" s="2"/>
      <c r="B2429" s="3" t="n">
        <f aca="false">DATE(2013,12,19)</f>
        <v>0</v>
      </c>
      <c r="C2429" s="3" t="n">
        <v>41627</v>
      </c>
      <c r="D2429" s="2" t="s">
        <v>18535</v>
      </c>
      <c r="F2429" s="2" t="s">
        <v>18536</v>
      </c>
      <c r="G2429" s="2" t="s">
        <v>18537</v>
      </c>
      <c r="H2429" s="2" t="s">
        <v>7311</v>
      </c>
      <c r="I2429" s="2" t="s">
        <v>4325</v>
      </c>
      <c r="J2429" s="2" t="s">
        <v>35</v>
      </c>
      <c r="K2429" s="2" t="s">
        <v>18535</v>
      </c>
      <c r="L2429" s="2" t="s">
        <v>4325</v>
      </c>
      <c r="M2429" s="2" t="s">
        <v>7311</v>
      </c>
      <c r="N2429" s="2" t="s">
        <v>18538</v>
      </c>
      <c r="O2429" s="2"/>
      <c r="P2429" s="2" t="s">
        <v>37</v>
      </c>
      <c r="Q2429" s="4" t="n">
        <v>3999</v>
      </c>
      <c r="R2429" s="2" t="s">
        <v>402</v>
      </c>
      <c r="S2429" s="2" t="s">
        <v>39</v>
      </c>
      <c r="T2429" s="2" t="s">
        <v>403</v>
      </c>
      <c r="U2429" s="2" t="s">
        <v>18539</v>
      </c>
      <c r="V2429" s="2"/>
      <c r="W2429" s="2" t="s">
        <v>18540</v>
      </c>
      <c r="X2429" s="2" t="s">
        <v>46</v>
      </c>
      <c r="Y2429" s="2" t="s">
        <v>37</v>
      </c>
      <c r="Z2429" s="2" t="s">
        <v>18541</v>
      </c>
      <c r="AA2429" s="2" t="s">
        <v>18542</v>
      </c>
      <c r="AB2429" s="2"/>
      <c r="AC2429" s="2" t="s">
        <v>18543</v>
      </c>
      <c r="AD2429" s="2" t="s">
        <v>46</v>
      </c>
    </row>
    <row r="2430" customFormat="false" ht="15.7" hidden="false" customHeight="true" outlineLevel="0" collapsed="false">
      <c r="A2430" s="2"/>
      <c r="B2430" s="3" t="n">
        <f aca="false">DATE(2013,12,19)</f>
        <v>0</v>
      </c>
      <c r="C2430" s="3" t="n">
        <v>41627</v>
      </c>
      <c r="D2430" s="2" t="s">
        <v>18544</v>
      </c>
      <c r="F2430" s="2" t="s">
        <v>18545</v>
      </c>
      <c r="G2430" s="2" t="s">
        <v>18546</v>
      </c>
      <c r="H2430" s="2" t="s">
        <v>16455</v>
      </c>
      <c r="I2430" s="2" t="s">
        <v>17440</v>
      </c>
      <c r="J2430" s="2" t="s">
        <v>35</v>
      </c>
      <c r="K2430" s="2" t="s">
        <v>18544</v>
      </c>
      <c r="L2430" s="2" t="s">
        <v>17440</v>
      </c>
      <c r="M2430" s="2" t="s">
        <v>16455</v>
      </c>
      <c r="N2430" s="2" t="s">
        <v>18547</v>
      </c>
      <c r="O2430" s="2"/>
      <c r="P2430" s="2" t="s">
        <v>37</v>
      </c>
      <c r="Q2430" s="4" t="n">
        <v>3999</v>
      </c>
      <c r="R2430" s="2" t="s">
        <v>70</v>
      </c>
      <c r="S2430" s="2" t="s">
        <v>39</v>
      </c>
      <c r="T2430" s="2" t="s">
        <v>40</v>
      </c>
      <c r="U2430" s="2" t="s">
        <v>18548</v>
      </c>
      <c r="V2430" s="2"/>
      <c r="W2430" s="2" t="s">
        <v>107</v>
      </c>
      <c r="X2430" s="2" t="s">
        <v>43</v>
      </c>
      <c r="Y2430" s="2" t="s">
        <v>37</v>
      </c>
      <c r="Z2430" s="2" t="s">
        <v>44</v>
      </c>
      <c r="AA2430" s="2"/>
      <c r="AB2430" s="2"/>
      <c r="AC2430" s="2" t="s">
        <v>18549</v>
      </c>
      <c r="AD2430" s="2" t="s">
        <v>46</v>
      </c>
    </row>
    <row r="2431" customFormat="false" ht="15.7" hidden="false" customHeight="true" outlineLevel="0" collapsed="false">
      <c r="A2431" s="2"/>
      <c r="B2431" s="3" t="n">
        <f aca="false">DATE(2013,12,19)</f>
        <v>0</v>
      </c>
      <c r="C2431" s="3" t="n">
        <v>41627</v>
      </c>
      <c r="D2431" s="2" t="s">
        <v>18550</v>
      </c>
      <c r="F2431" s="2" t="s">
        <v>18551</v>
      </c>
      <c r="G2431" s="2" t="s">
        <v>18552</v>
      </c>
      <c r="H2431" s="2" t="s">
        <v>18553</v>
      </c>
      <c r="I2431" s="2" t="s">
        <v>5930</v>
      </c>
      <c r="J2431" s="2" t="s">
        <v>35</v>
      </c>
      <c r="K2431" s="2" t="s">
        <v>18554</v>
      </c>
      <c r="L2431" s="2" t="s">
        <v>5930</v>
      </c>
      <c r="M2431" s="2" t="s">
        <v>18553</v>
      </c>
      <c r="N2431" s="2" t="s">
        <v>18555</v>
      </c>
      <c r="O2431" s="2"/>
      <c r="P2431" s="2" t="s">
        <v>37</v>
      </c>
      <c r="Q2431" s="4" t="n">
        <v>1031</v>
      </c>
      <c r="R2431" s="2" t="s">
        <v>18556</v>
      </c>
      <c r="S2431" s="2" t="s">
        <v>39</v>
      </c>
      <c r="T2431" s="2" t="s">
        <v>40</v>
      </c>
      <c r="U2431" s="2" t="s">
        <v>18557</v>
      </c>
      <c r="V2431" s="2"/>
      <c r="W2431" s="2" t="s">
        <v>5039</v>
      </c>
      <c r="X2431" s="2" t="s">
        <v>46</v>
      </c>
      <c r="Y2431" s="2" t="s">
        <v>37</v>
      </c>
      <c r="Z2431" s="2" t="s">
        <v>362</v>
      </c>
      <c r="AA2431" s="2"/>
      <c r="AB2431" s="2"/>
      <c r="AC2431" s="2" t="s">
        <v>18558</v>
      </c>
      <c r="AD2431" s="2" t="s">
        <v>46</v>
      </c>
    </row>
    <row r="2432" customFormat="false" ht="15.7" hidden="false" customHeight="true" outlineLevel="0" collapsed="false">
      <c r="A2432" s="2"/>
      <c r="B2432" s="3" t="n">
        <f aca="false">DATE(2013,12,19)</f>
        <v>0</v>
      </c>
      <c r="C2432" s="3" t="n">
        <v>41627</v>
      </c>
      <c r="D2432" s="2" t="s">
        <v>18559</v>
      </c>
      <c r="F2432" s="2" t="s">
        <v>18560</v>
      </c>
      <c r="G2432" s="2" t="s">
        <v>18561</v>
      </c>
      <c r="H2432" s="2" t="s">
        <v>130</v>
      </c>
      <c r="I2432" s="2" t="s">
        <v>1080</v>
      </c>
      <c r="J2432" s="2" t="s">
        <v>35</v>
      </c>
      <c r="K2432" s="2" t="s">
        <v>18562</v>
      </c>
      <c r="L2432" s="2" t="s">
        <v>330</v>
      </c>
      <c r="M2432" s="2" t="s">
        <v>130</v>
      </c>
      <c r="N2432" s="2" t="s">
        <v>18563</v>
      </c>
      <c r="O2432" s="2"/>
      <c r="P2432" s="2" t="s">
        <v>37</v>
      </c>
      <c r="Q2432" s="4" t="n">
        <v>2834</v>
      </c>
      <c r="R2432" s="2" t="s">
        <v>2201</v>
      </c>
      <c r="S2432" s="2" t="s">
        <v>39</v>
      </c>
      <c r="T2432" s="2" t="s">
        <v>403</v>
      </c>
      <c r="U2432" s="2" t="s">
        <v>18564</v>
      </c>
      <c r="V2432" s="2"/>
      <c r="W2432" s="2" t="s">
        <v>344</v>
      </c>
      <c r="X2432" s="2" t="s">
        <v>43</v>
      </c>
      <c r="Y2432" s="2" t="s">
        <v>37</v>
      </c>
      <c r="Z2432" s="2" t="s">
        <v>44</v>
      </c>
      <c r="AA2432" s="2" t="s">
        <v>18565</v>
      </c>
      <c r="AB2432" s="2"/>
      <c r="AC2432" s="2" t="s">
        <v>18566</v>
      </c>
      <c r="AD2432" s="2" t="s">
        <v>46</v>
      </c>
    </row>
    <row r="2433" customFormat="false" ht="15.7" hidden="false" customHeight="true" outlineLevel="0" collapsed="false">
      <c r="A2433" s="2"/>
      <c r="B2433" s="3" t="n">
        <f aca="false">DATE(2013,12,19)</f>
        <v>0</v>
      </c>
      <c r="C2433" s="3" t="n">
        <v>41627</v>
      </c>
      <c r="D2433" s="2" t="s">
        <v>18567</v>
      </c>
      <c r="F2433" s="2" t="s">
        <v>18568</v>
      </c>
      <c r="G2433" s="2" t="s">
        <v>18569</v>
      </c>
      <c r="H2433" s="2" t="s">
        <v>18570</v>
      </c>
      <c r="I2433" s="2" t="s">
        <v>51</v>
      </c>
      <c r="J2433" s="2" t="s">
        <v>18571</v>
      </c>
      <c r="K2433" s="2" t="s">
        <v>18567</v>
      </c>
      <c r="L2433" s="2" t="s">
        <v>51</v>
      </c>
      <c r="M2433" s="2" t="s">
        <v>18570</v>
      </c>
      <c r="N2433" s="2" t="s">
        <v>18572</v>
      </c>
      <c r="O2433" s="2"/>
      <c r="P2433" s="2" t="s">
        <v>37</v>
      </c>
      <c r="Q2433" s="4" t="n">
        <v>8092</v>
      </c>
      <c r="R2433" s="2" t="s">
        <v>56</v>
      </c>
      <c r="S2433" s="2" t="s">
        <v>277</v>
      </c>
      <c r="T2433" s="2" t="s">
        <v>40</v>
      </c>
      <c r="U2433" s="2" t="s">
        <v>18573</v>
      </c>
      <c r="V2433" s="2"/>
      <c r="W2433" s="2" t="s">
        <v>18574</v>
      </c>
      <c r="X2433" s="2" t="s">
        <v>43</v>
      </c>
      <c r="Y2433" s="2" t="s">
        <v>37</v>
      </c>
      <c r="Z2433" s="2" t="s">
        <v>44</v>
      </c>
      <c r="AA2433" s="2"/>
      <c r="AB2433" s="2"/>
      <c r="AC2433" s="2" t="s">
        <v>18575</v>
      </c>
      <c r="AD2433" s="2" t="s">
        <v>46</v>
      </c>
    </row>
    <row r="2434" customFormat="false" ht="15.7" hidden="false" customHeight="true" outlineLevel="0" collapsed="false">
      <c r="A2434" s="2"/>
      <c r="B2434" s="3" t="n">
        <f aca="false">DATE(2013,12,19)</f>
        <v>0</v>
      </c>
      <c r="C2434" s="3" t="n">
        <v>41627</v>
      </c>
      <c r="D2434" s="2" t="s">
        <v>18576</v>
      </c>
      <c r="F2434" s="2" t="s">
        <v>18577</v>
      </c>
      <c r="G2434" s="2" t="s">
        <v>18578</v>
      </c>
      <c r="H2434" s="2" t="s">
        <v>18579</v>
      </c>
      <c r="I2434" s="2" t="s">
        <v>51</v>
      </c>
      <c r="J2434" s="2" t="s">
        <v>18580</v>
      </c>
      <c r="K2434" s="2" t="s">
        <v>18576</v>
      </c>
      <c r="L2434" s="2" t="s">
        <v>51</v>
      </c>
      <c r="M2434" s="2" t="s">
        <v>18579</v>
      </c>
      <c r="N2434" s="2" t="s">
        <v>18581</v>
      </c>
      <c r="O2434" s="2"/>
      <c r="P2434" s="2" t="s">
        <v>37</v>
      </c>
      <c r="Q2434" s="4" t="n">
        <v>3524</v>
      </c>
      <c r="R2434" s="2" t="s">
        <v>56</v>
      </c>
      <c r="S2434" s="2" t="s">
        <v>5690</v>
      </c>
      <c r="T2434" s="2" t="s">
        <v>403</v>
      </c>
      <c r="U2434" s="2" t="s">
        <v>18582</v>
      </c>
      <c r="V2434" s="2"/>
      <c r="W2434" s="2" t="s">
        <v>2564</v>
      </c>
      <c r="X2434" s="2" t="s">
        <v>43</v>
      </c>
      <c r="Y2434" s="2" t="s">
        <v>37</v>
      </c>
      <c r="Z2434" s="2" t="s">
        <v>44</v>
      </c>
      <c r="AA2434" s="2"/>
      <c r="AB2434" s="2"/>
      <c r="AC2434" s="2" t="s">
        <v>18583</v>
      </c>
      <c r="AD2434" s="2" t="s">
        <v>46</v>
      </c>
    </row>
    <row r="2435" customFormat="false" ht="15.7" hidden="false" customHeight="true" outlineLevel="0" collapsed="false">
      <c r="A2435" s="2"/>
      <c r="B2435" s="3" t="n">
        <f aca="false">DATE(2013,12,23)</f>
        <v>0</v>
      </c>
      <c r="C2435" s="3" t="n">
        <v>41631</v>
      </c>
      <c r="D2435" s="2" t="s">
        <v>18584</v>
      </c>
      <c r="F2435" s="2" t="s">
        <v>18585</v>
      </c>
      <c r="G2435" s="2" t="s">
        <v>18586</v>
      </c>
      <c r="H2435" s="2" t="s">
        <v>18587</v>
      </c>
      <c r="I2435" s="2" t="s">
        <v>296</v>
      </c>
      <c r="J2435" s="2" t="s">
        <v>155</v>
      </c>
      <c r="K2435" s="2" t="s">
        <v>18584</v>
      </c>
      <c r="L2435" s="2" t="s">
        <v>296</v>
      </c>
      <c r="M2435" s="2" t="s">
        <v>18587</v>
      </c>
      <c r="N2435" s="2" t="s">
        <v>18588</v>
      </c>
      <c r="O2435" s="2"/>
      <c r="P2435" s="2" t="s">
        <v>37</v>
      </c>
      <c r="Q2435" s="4" t="n">
        <v>2879</v>
      </c>
      <c r="R2435" s="2" t="s">
        <v>487</v>
      </c>
      <c r="S2435" s="2" t="s">
        <v>18589</v>
      </c>
      <c r="T2435" s="2" t="s">
        <v>403</v>
      </c>
      <c r="U2435" s="2" t="s">
        <v>18590</v>
      </c>
      <c r="V2435" s="2"/>
      <c r="W2435" s="2" t="s">
        <v>18591</v>
      </c>
      <c r="X2435" s="2" t="s">
        <v>46</v>
      </c>
      <c r="Y2435" s="2" t="s">
        <v>79</v>
      </c>
      <c r="Z2435" s="2" t="s">
        <v>362</v>
      </c>
      <c r="AA2435" s="2"/>
      <c r="AB2435" s="2"/>
      <c r="AC2435" s="2" t="s">
        <v>18592</v>
      </c>
      <c r="AD2435" s="2" t="s">
        <v>46</v>
      </c>
    </row>
    <row r="2436" customFormat="false" ht="15.7" hidden="false" customHeight="true" outlineLevel="0" collapsed="false">
      <c r="A2436" s="2"/>
      <c r="B2436" s="3" t="n">
        <f aca="false">DATE(2013,12,23)</f>
        <v>0</v>
      </c>
      <c r="C2436" s="3" t="n">
        <v>41631</v>
      </c>
      <c r="D2436" s="2" t="s">
        <v>18593</v>
      </c>
      <c r="F2436" s="2" t="s">
        <v>18594</v>
      </c>
      <c r="G2436" s="2" t="s">
        <v>18595</v>
      </c>
      <c r="H2436" s="2" t="s">
        <v>18596</v>
      </c>
      <c r="I2436" s="2" t="s">
        <v>100</v>
      </c>
      <c r="J2436" s="2" t="s">
        <v>575</v>
      </c>
      <c r="K2436" s="2" t="s">
        <v>18597</v>
      </c>
      <c r="L2436" s="2" t="s">
        <v>100</v>
      </c>
      <c r="M2436" s="2" t="s">
        <v>18596</v>
      </c>
      <c r="N2436" s="2" t="s">
        <v>18598</v>
      </c>
      <c r="O2436" s="2"/>
      <c r="P2436" s="2" t="s">
        <v>37</v>
      </c>
      <c r="Q2436" s="4" t="n">
        <v>2389</v>
      </c>
      <c r="R2436" s="2" t="s">
        <v>105</v>
      </c>
      <c r="S2436" s="2" t="s">
        <v>39</v>
      </c>
      <c r="T2436" s="2" t="s">
        <v>403</v>
      </c>
      <c r="U2436" s="2" t="s">
        <v>18599</v>
      </c>
      <c r="V2436" s="2"/>
      <c r="W2436" s="2" t="s">
        <v>138</v>
      </c>
      <c r="X2436" s="2" t="s">
        <v>43</v>
      </c>
      <c r="Y2436" s="2" t="s">
        <v>37</v>
      </c>
      <c r="Z2436" s="2" t="s">
        <v>44</v>
      </c>
      <c r="AA2436" s="2"/>
      <c r="AB2436" s="2"/>
      <c r="AC2436" s="2" t="s">
        <v>18600</v>
      </c>
      <c r="AD2436" s="2" t="s">
        <v>46</v>
      </c>
    </row>
    <row r="2437" customFormat="false" ht="15.7" hidden="false" customHeight="true" outlineLevel="0" collapsed="false">
      <c r="A2437" s="2"/>
      <c r="B2437" s="3" t="n">
        <f aca="false">DATE(2013,12,23)</f>
        <v>0</v>
      </c>
      <c r="C2437" s="3" t="n">
        <v>41631</v>
      </c>
      <c r="D2437" s="2" t="s">
        <v>18601</v>
      </c>
      <c r="F2437" s="2" t="s">
        <v>18602</v>
      </c>
      <c r="G2437" s="2" t="s">
        <v>18603</v>
      </c>
      <c r="H2437" s="2" t="s">
        <v>153</v>
      </c>
      <c r="I2437" s="2" t="s">
        <v>51</v>
      </c>
      <c r="J2437" s="2" t="s">
        <v>18604</v>
      </c>
      <c r="K2437" s="2" t="s">
        <v>18605</v>
      </c>
      <c r="L2437" s="2" t="s">
        <v>180</v>
      </c>
      <c r="M2437" s="2" t="s">
        <v>305</v>
      </c>
      <c r="N2437" s="2" t="s">
        <v>18606</v>
      </c>
      <c r="O2437" s="2"/>
      <c r="P2437" s="2" t="s">
        <v>37</v>
      </c>
      <c r="Q2437" s="4" t="n">
        <v>3826</v>
      </c>
      <c r="R2437" s="2" t="s">
        <v>56</v>
      </c>
      <c r="S2437" s="2" t="s">
        <v>80</v>
      </c>
      <c r="T2437" s="2" t="s">
        <v>403</v>
      </c>
      <c r="U2437" s="2" t="s">
        <v>18607</v>
      </c>
      <c r="V2437" s="2"/>
      <c r="W2437" s="2" t="s">
        <v>4487</v>
      </c>
      <c r="X2437" s="2" t="s">
        <v>43</v>
      </c>
      <c r="Y2437" s="2" t="s">
        <v>37</v>
      </c>
      <c r="Z2437" s="2" t="s">
        <v>44</v>
      </c>
      <c r="AA2437" s="2"/>
      <c r="AB2437" s="2"/>
      <c r="AC2437" s="2" t="s">
        <v>18608</v>
      </c>
      <c r="AD2437" s="2" t="s">
        <v>46</v>
      </c>
    </row>
    <row r="2438" customFormat="false" ht="15.7" hidden="false" customHeight="true" outlineLevel="0" collapsed="false">
      <c r="A2438" s="2"/>
      <c r="B2438" s="3" t="n">
        <f aca="false">DATE(2013,12,26)</f>
        <v>0</v>
      </c>
      <c r="C2438" s="3" t="n">
        <v>41634</v>
      </c>
      <c r="D2438" s="2" t="s">
        <v>18609</v>
      </c>
      <c r="F2438" s="2" t="s">
        <v>18610</v>
      </c>
      <c r="G2438" s="2" t="s">
        <v>18611</v>
      </c>
      <c r="H2438" s="2" t="s">
        <v>18612</v>
      </c>
      <c r="I2438" s="2" t="s">
        <v>4325</v>
      </c>
      <c r="J2438" s="2" t="s">
        <v>35</v>
      </c>
      <c r="K2438" s="2" t="s">
        <v>18609</v>
      </c>
      <c r="L2438" s="2" t="s">
        <v>4325</v>
      </c>
      <c r="M2438" s="2" t="s">
        <v>18612</v>
      </c>
      <c r="N2438" s="2" t="s">
        <v>18613</v>
      </c>
      <c r="O2438" s="2"/>
      <c r="P2438" s="2" t="s">
        <v>37</v>
      </c>
      <c r="Q2438" s="4" t="n">
        <v>8731</v>
      </c>
      <c r="R2438" s="2" t="s">
        <v>402</v>
      </c>
      <c r="S2438" s="2" t="s">
        <v>39</v>
      </c>
      <c r="T2438" s="2" t="s">
        <v>403</v>
      </c>
      <c r="U2438" s="2" t="s">
        <v>18614</v>
      </c>
      <c r="V2438" s="2"/>
      <c r="W2438" s="2" t="s">
        <v>42</v>
      </c>
      <c r="X2438" s="2" t="s">
        <v>46</v>
      </c>
      <c r="Y2438" s="2" t="s">
        <v>37</v>
      </c>
      <c r="Z2438" s="2" t="s">
        <v>2732</v>
      </c>
      <c r="AA2438" s="2" t="s">
        <v>18615</v>
      </c>
      <c r="AB2438" s="2"/>
      <c r="AC2438" s="2" t="s">
        <v>18616</v>
      </c>
      <c r="AD2438" s="2" t="s">
        <v>46</v>
      </c>
    </row>
    <row r="2439" customFormat="false" ht="15.7" hidden="false" customHeight="true" outlineLevel="0" collapsed="false">
      <c r="A2439" s="2"/>
      <c r="B2439" s="3" t="n">
        <f aca="false">DATE(2013,12,30)</f>
        <v>0</v>
      </c>
      <c r="C2439" s="3" t="n">
        <v>41638</v>
      </c>
      <c r="D2439" s="2" t="s">
        <v>18617</v>
      </c>
      <c r="F2439" s="2" t="s">
        <v>18618</v>
      </c>
      <c r="G2439" s="2" t="s">
        <v>18619</v>
      </c>
      <c r="H2439" s="2" t="s">
        <v>18620</v>
      </c>
      <c r="I2439" s="2" t="s">
        <v>2530</v>
      </c>
      <c r="J2439" s="2" t="s">
        <v>18621</v>
      </c>
      <c r="K2439" s="2" t="s">
        <v>18622</v>
      </c>
      <c r="L2439" s="2" t="s">
        <v>2530</v>
      </c>
      <c r="M2439" s="2" t="s">
        <v>6388</v>
      </c>
      <c r="N2439" s="2" t="s">
        <v>18623</v>
      </c>
      <c r="O2439" s="2"/>
      <c r="P2439" s="2" t="s">
        <v>37</v>
      </c>
      <c r="Q2439" s="4" t="n">
        <v>8731</v>
      </c>
      <c r="R2439" s="2" t="s">
        <v>56</v>
      </c>
      <c r="S2439" s="2" t="s">
        <v>507</v>
      </c>
      <c r="T2439" s="2" t="s">
        <v>40</v>
      </c>
      <c r="U2439" s="2" t="s">
        <v>18624</v>
      </c>
      <c r="V2439" s="2"/>
      <c r="W2439" s="2" t="s">
        <v>344</v>
      </c>
      <c r="X2439" s="2" t="s">
        <v>43</v>
      </c>
      <c r="Y2439" s="2" t="s">
        <v>37</v>
      </c>
      <c r="Z2439" s="2" t="s">
        <v>916</v>
      </c>
      <c r="AA2439" s="2"/>
      <c r="AB2439" s="2"/>
      <c r="AC2439" s="2" t="s">
        <v>18625</v>
      </c>
      <c r="AD2439" s="2" t="s">
        <v>46</v>
      </c>
    </row>
    <row r="2440" customFormat="false" ht="15.7" hidden="false" customHeight="true" outlineLevel="0" collapsed="false">
      <c r="A2440" s="2"/>
      <c r="B2440" s="3" t="n">
        <f aca="false">DATE(2014,1,6)</f>
        <v>0</v>
      </c>
      <c r="C2440" s="3" t="n">
        <v>41645</v>
      </c>
      <c r="D2440" s="2" t="s">
        <v>18626</v>
      </c>
      <c r="F2440" s="2" t="s">
        <v>18627</v>
      </c>
      <c r="G2440" s="2" t="s">
        <v>18628</v>
      </c>
      <c r="H2440" s="2" t="s">
        <v>18629</v>
      </c>
      <c r="I2440" s="2" t="s">
        <v>51</v>
      </c>
      <c r="J2440" s="2" t="s">
        <v>2816</v>
      </c>
      <c r="K2440" s="2" t="s">
        <v>18630</v>
      </c>
      <c r="L2440" s="2" t="s">
        <v>51</v>
      </c>
      <c r="M2440" s="2" t="s">
        <v>18629</v>
      </c>
      <c r="N2440" s="2" t="s">
        <v>18631</v>
      </c>
      <c r="O2440" s="2"/>
      <c r="P2440" s="2" t="s">
        <v>37</v>
      </c>
      <c r="Q2440" s="4" t="n">
        <v>5043</v>
      </c>
      <c r="R2440" s="2" t="s">
        <v>56</v>
      </c>
      <c r="S2440" s="2"/>
      <c r="T2440" s="2" t="s">
        <v>403</v>
      </c>
      <c r="U2440" s="2" t="s">
        <v>18632</v>
      </c>
      <c r="V2440" s="2"/>
      <c r="W2440" s="2" t="s">
        <v>11763</v>
      </c>
      <c r="X2440" s="2" t="s">
        <v>43</v>
      </c>
      <c r="Y2440" s="2" t="s">
        <v>37</v>
      </c>
      <c r="Z2440" s="2" t="s">
        <v>44</v>
      </c>
      <c r="AA2440" s="2"/>
      <c r="AB2440" s="2"/>
      <c r="AC2440" s="2" t="s">
        <v>18633</v>
      </c>
      <c r="AD2440" s="2" t="s">
        <v>46</v>
      </c>
    </row>
    <row r="2441" customFormat="false" ht="15.7" hidden="false" customHeight="true" outlineLevel="0" collapsed="false">
      <c r="A2441" s="2"/>
      <c r="B2441" s="3" t="n">
        <f aca="false">DATE(2014,1,6)</f>
        <v>0</v>
      </c>
      <c r="C2441" s="3" t="n">
        <v>41645</v>
      </c>
      <c r="D2441" s="2" t="s">
        <v>18634</v>
      </c>
      <c r="F2441" s="2" t="s">
        <v>18635</v>
      </c>
      <c r="G2441" s="2" t="s">
        <v>18636</v>
      </c>
      <c r="H2441" s="2" t="s">
        <v>1027</v>
      </c>
      <c r="I2441" s="2" t="s">
        <v>219</v>
      </c>
      <c r="J2441" s="2" t="s">
        <v>203</v>
      </c>
      <c r="K2441" s="2" t="s">
        <v>18637</v>
      </c>
      <c r="L2441" s="2" t="s">
        <v>219</v>
      </c>
      <c r="M2441" s="2" t="s">
        <v>1027</v>
      </c>
      <c r="N2441" s="2" t="s">
        <v>18638</v>
      </c>
      <c r="O2441" s="2"/>
      <c r="P2441" s="2" t="s">
        <v>37</v>
      </c>
      <c r="Q2441" s="4" t="n">
        <v>8731</v>
      </c>
      <c r="R2441" s="2" t="s">
        <v>56</v>
      </c>
      <c r="S2441" s="2" t="s">
        <v>977</v>
      </c>
      <c r="T2441" s="2" t="s">
        <v>40</v>
      </c>
      <c r="U2441" s="2" t="s">
        <v>18639</v>
      </c>
      <c r="V2441" s="2"/>
      <c r="W2441" s="2" t="s">
        <v>42</v>
      </c>
      <c r="X2441" s="2" t="s">
        <v>43</v>
      </c>
      <c r="Y2441" s="2" t="s">
        <v>37</v>
      </c>
      <c r="Z2441" s="2" t="s">
        <v>44</v>
      </c>
      <c r="AA2441" s="2"/>
      <c r="AB2441" s="2"/>
      <c r="AC2441" s="2" t="s">
        <v>18640</v>
      </c>
      <c r="AD2441" s="2" t="s">
        <v>46</v>
      </c>
    </row>
    <row r="2442" customFormat="false" ht="15.7" hidden="false" customHeight="true" outlineLevel="0" collapsed="false">
      <c r="A2442" s="2"/>
      <c r="B2442" s="3" t="n">
        <f aca="false">DATE(2014,1,6)</f>
        <v>0</v>
      </c>
      <c r="C2442" s="3" t="n">
        <v>41645</v>
      </c>
      <c r="D2442" s="2" t="s">
        <v>18641</v>
      </c>
      <c r="F2442" s="2" t="s">
        <v>18642</v>
      </c>
      <c r="G2442" s="2" t="s">
        <v>18643</v>
      </c>
      <c r="H2442" s="2" t="s">
        <v>18644</v>
      </c>
      <c r="I2442" s="2" t="s">
        <v>12760</v>
      </c>
      <c r="J2442" s="2" t="s">
        <v>35</v>
      </c>
      <c r="K2442" s="2" t="s">
        <v>18641</v>
      </c>
      <c r="L2442" s="2" t="s">
        <v>12760</v>
      </c>
      <c r="M2442" s="2" t="s">
        <v>18644</v>
      </c>
      <c r="N2442" s="2" t="s">
        <v>18645</v>
      </c>
      <c r="O2442" s="2"/>
      <c r="P2442" s="2" t="s">
        <v>37</v>
      </c>
      <c r="Q2442" s="4" t="n">
        <v>6282</v>
      </c>
      <c r="R2442" s="2" t="s">
        <v>688</v>
      </c>
      <c r="S2442" s="2" t="s">
        <v>39</v>
      </c>
      <c r="T2442" s="2" t="s">
        <v>40</v>
      </c>
      <c r="U2442" s="2" t="s">
        <v>18646</v>
      </c>
      <c r="V2442" s="2"/>
      <c r="W2442" s="2" t="s">
        <v>16412</v>
      </c>
      <c r="X2442" s="2" t="s">
        <v>43</v>
      </c>
      <c r="Y2442" s="2" t="s">
        <v>37</v>
      </c>
      <c r="Z2442" s="2" t="s">
        <v>44</v>
      </c>
      <c r="AA2442" s="2"/>
      <c r="AB2442" s="2"/>
      <c r="AC2442" s="2" t="s">
        <v>18647</v>
      </c>
      <c r="AD2442" s="2" t="s">
        <v>46</v>
      </c>
    </row>
    <row r="2443" customFormat="false" ht="15.7" hidden="false" customHeight="true" outlineLevel="0" collapsed="false">
      <c r="A2443" s="2"/>
      <c r="B2443" s="3" t="n">
        <f aca="false">DATE(2014,1,7)</f>
        <v>0</v>
      </c>
      <c r="C2443" s="3" t="n">
        <v>41646</v>
      </c>
      <c r="D2443" s="2" t="s">
        <v>18648</v>
      </c>
      <c r="F2443" s="2" t="s">
        <v>18649</v>
      </c>
      <c r="G2443" s="2" t="s">
        <v>18650</v>
      </c>
      <c r="H2443" s="2" t="s">
        <v>4219</v>
      </c>
      <c r="I2443" s="2" t="s">
        <v>51</v>
      </c>
      <c r="J2443" s="2" t="s">
        <v>2980</v>
      </c>
      <c r="K2443" s="2" t="s">
        <v>18648</v>
      </c>
      <c r="L2443" s="2" t="s">
        <v>51</v>
      </c>
      <c r="M2443" s="2" t="s">
        <v>4219</v>
      </c>
      <c r="N2443" s="2" t="s">
        <v>18651</v>
      </c>
      <c r="O2443" s="2"/>
      <c r="P2443" s="2" t="s">
        <v>37</v>
      </c>
      <c r="Q2443" s="4" t="n">
        <v>8734</v>
      </c>
      <c r="R2443" s="2" t="s">
        <v>56</v>
      </c>
      <c r="S2443" s="2"/>
      <c r="T2443" s="2" t="s">
        <v>403</v>
      </c>
      <c r="U2443" s="2" t="s">
        <v>18652</v>
      </c>
      <c r="V2443" s="2"/>
      <c r="W2443" s="2" t="s">
        <v>42</v>
      </c>
      <c r="X2443" s="2" t="s">
        <v>43</v>
      </c>
      <c r="Y2443" s="2" t="s">
        <v>37</v>
      </c>
      <c r="Z2443" s="2" t="s">
        <v>44</v>
      </c>
      <c r="AA2443" s="2"/>
      <c r="AB2443" s="2"/>
      <c r="AC2443" s="2" t="s">
        <v>18653</v>
      </c>
      <c r="AD2443" s="2" t="s">
        <v>46</v>
      </c>
    </row>
    <row r="2444" customFormat="false" ht="15.7" hidden="false" customHeight="true" outlineLevel="0" collapsed="false">
      <c r="A2444" s="2"/>
      <c r="B2444" s="3" t="n">
        <f aca="false">DATE(2014,1,8)</f>
        <v>0</v>
      </c>
      <c r="C2444" s="3" t="n">
        <v>41647</v>
      </c>
      <c r="D2444" s="2" t="s">
        <v>18654</v>
      </c>
      <c r="F2444" s="2" t="s">
        <v>18655</v>
      </c>
      <c r="G2444" s="2" t="s">
        <v>18656</v>
      </c>
      <c r="H2444" s="2" t="s">
        <v>18657</v>
      </c>
      <c r="I2444" s="2" t="s">
        <v>51</v>
      </c>
      <c r="J2444" s="2" t="s">
        <v>3310</v>
      </c>
      <c r="K2444" s="2" t="s">
        <v>18658</v>
      </c>
      <c r="L2444" s="2" t="s">
        <v>487</v>
      </c>
      <c r="M2444" s="2" t="s">
        <v>18657</v>
      </c>
      <c r="N2444" s="2" t="s">
        <v>18659</v>
      </c>
      <c r="O2444" s="2"/>
      <c r="P2444" s="2" t="s">
        <v>37</v>
      </c>
      <c r="Q2444" s="4" t="n">
        <v>2844</v>
      </c>
      <c r="R2444" s="2" t="s">
        <v>136</v>
      </c>
      <c r="S2444" s="2" t="s">
        <v>39</v>
      </c>
      <c r="T2444" s="2" t="s">
        <v>40</v>
      </c>
      <c r="U2444" s="2" t="s">
        <v>18660</v>
      </c>
      <c r="V2444" s="2"/>
      <c r="W2444" s="2" t="s">
        <v>4487</v>
      </c>
      <c r="X2444" s="2" t="s">
        <v>43</v>
      </c>
      <c r="Y2444" s="2" t="s">
        <v>37</v>
      </c>
      <c r="Z2444" s="2" t="s">
        <v>44</v>
      </c>
      <c r="AA2444" s="2"/>
      <c r="AB2444" s="2"/>
      <c r="AC2444" s="2" t="s">
        <v>18661</v>
      </c>
      <c r="AD2444" s="2" t="s">
        <v>46</v>
      </c>
    </row>
    <row r="2445" customFormat="false" ht="15.7" hidden="false" customHeight="true" outlineLevel="0" collapsed="false">
      <c r="A2445" s="2"/>
      <c r="B2445" s="3" t="n">
        <f aca="false">DATE(2014,1,8)</f>
        <v>0</v>
      </c>
      <c r="C2445" s="3" t="n">
        <v>41647</v>
      </c>
      <c r="D2445" s="2" t="s">
        <v>18662</v>
      </c>
      <c r="F2445" s="2" t="s">
        <v>18663</v>
      </c>
      <c r="G2445" s="2" t="s">
        <v>18664</v>
      </c>
      <c r="H2445" s="2" t="s">
        <v>1352</v>
      </c>
      <c r="I2445" s="2" t="s">
        <v>180</v>
      </c>
      <c r="J2445" s="2" t="s">
        <v>1341</v>
      </c>
      <c r="K2445" s="2" t="s">
        <v>18662</v>
      </c>
      <c r="L2445" s="2" t="s">
        <v>180</v>
      </c>
      <c r="M2445" s="2" t="s">
        <v>1352</v>
      </c>
      <c r="N2445" s="2" t="s">
        <v>18665</v>
      </c>
      <c r="O2445" s="2"/>
      <c r="P2445" s="2" t="s">
        <v>37</v>
      </c>
      <c r="Q2445" s="4" t="n">
        <v>8731</v>
      </c>
      <c r="R2445" s="2" t="s">
        <v>56</v>
      </c>
      <c r="S2445" s="2" t="s">
        <v>5690</v>
      </c>
      <c r="T2445" s="2" t="s">
        <v>40</v>
      </c>
      <c r="U2445" s="2" t="s">
        <v>18666</v>
      </c>
      <c r="V2445" s="2"/>
      <c r="W2445" s="2" t="s">
        <v>42</v>
      </c>
      <c r="X2445" s="2" t="s">
        <v>43</v>
      </c>
      <c r="Y2445" s="2" t="s">
        <v>37</v>
      </c>
      <c r="Z2445" s="2" t="s">
        <v>44</v>
      </c>
      <c r="AA2445" s="2"/>
      <c r="AB2445" s="2"/>
      <c r="AC2445" s="2" t="s">
        <v>18667</v>
      </c>
      <c r="AD2445" s="2" t="s">
        <v>46</v>
      </c>
    </row>
    <row r="2446" customFormat="false" ht="15.7" hidden="false" customHeight="true" outlineLevel="0" collapsed="false">
      <c r="A2446" s="2"/>
      <c r="B2446" s="3" t="n">
        <f aca="false">DATE(2014,1,9)</f>
        <v>0</v>
      </c>
      <c r="C2446" s="3" t="n">
        <v>41648</v>
      </c>
      <c r="D2446" s="2" t="s">
        <v>18668</v>
      </c>
      <c r="F2446" s="2" t="s">
        <v>18669</v>
      </c>
      <c r="G2446" s="2" t="s">
        <v>18670</v>
      </c>
      <c r="H2446" s="2" t="s">
        <v>305</v>
      </c>
      <c r="I2446" s="2" t="s">
        <v>51</v>
      </c>
      <c r="J2446" s="2" t="s">
        <v>18671</v>
      </c>
      <c r="K2446" s="2" t="s">
        <v>18668</v>
      </c>
      <c r="L2446" s="2" t="s">
        <v>51</v>
      </c>
      <c r="M2446" s="2" t="s">
        <v>305</v>
      </c>
      <c r="N2446" s="2" t="s">
        <v>18672</v>
      </c>
      <c r="O2446" s="2"/>
      <c r="P2446" s="2" t="s">
        <v>37</v>
      </c>
      <c r="Q2446" s="4" t="n">
        <v>2836</v>
      </c>
      <c r="R2446" s="2" t="s">
        <v>56</v>
      </c>
      <c r="S2446" s="2"/>
      <c r="T2446" s="2" t="s">
        <v>40</v>
      </c>
      <c r="U2446" s="2" t="s">
        <v>18673</v>
      </c>
      <c r="V2446" s="2"/>
      <c r="W2446" s="2" t="s">
        <v>344</v>
      </c>
      <c r="X2446" s="2" t="s">
        <v>43</v>
      </c>
      <c r="Y2446" s="2" t="s">
        <v>37</v>
      </c>
      <c r="Z2446" s="2" t="s">
        <v>44</v>
      </c>
      <c r="AA2446" s="2"/>
      <c r="AB2446" s="2"/>
      <c r="AC2446" s="2" t="s">
        <v>18674</v>
      </c>
      <c r="AD2446" s="2" t="s">
        <v>46</v>
      </c>
    </row>
    <row r="2447" customFormat="false" ht="15.7" hidden="false" customHeight="true" outlineLevel="0" collapsed="false">
      <c r="A2447" s="2"/>
      <c r="B2447" s="3" t="n">
        <f aca="false">DATE(2014,1,9)</f>
        <v>0</v>
      </c>
      <c r="C2447" s="3" t="n">
        <v>41648</v>
      </c>
      <c r="D2447" s="2" t="s">
        <v>18675</v>
      </c>
      <c r="F2447" s="2" t="s">
        <v>18676</v>
      </c>
      <c r="G2447" s="2" t="s">
        <v>18677</v>
      </c>
      <c r="H2447" s="2" t="s">
        <v>2035</v>
      </c>
      <c r="I2447" s="2" t="s">
        <v>330</v>
      </c>
      <c r="J2447" s="2" t="s">
        <v>795</v>
      </c>
      <c r="K2447" s="2" t="s">
        <v>18678</v>
      </c>
      <c r="L2447" s="2" t="s">
        <v>51</v>
      </c>
      <c r="M2447" s="2" t="s">
        <v>18679</v>
      </c>
      <c r="N2447" s="2" t="s">
        <v>18680</v>
      </c>
      <c r="O2447" s="2"/>
      <c r="P2447" s="2" t="s">
        <v>37</v>
      </c>
      <c r="Q2447" s="4" t="n">
        <v>8731</v>
      </c>
      <c r="R2447" s="2" t="s">
        <v>56</v>
      </c>
      <c r="S2447" s="2"/>
      <c r="T2447" s="2" t="s">
        <v>40</v>
      </c>
      <c r="U2447" s="2" t="s">
        <v>18681</v>
      </c>
      <c r="V2447" s="2"/>
      <c r="W2447" s="2" t="s">
        <v>42</v>
      </c>
      <c r="X2447" s="2" t="s">
        <v>43</v>
      </c>
      <c r="Y2447" s="2" t="s">
        <v>37</v>
      </c>
      <c r="Z2447" s="2" t="s">
        <v>44</v>
      </c>
      <c r="AA2447" s="2"/>
      <c r="AB2447" s="2"/>
      <c r="AC2447" s="2" t="s">
        <v>18682</v>
      </c>
      <c r="AD2447" s="2" t="s">
        <v>46</v>
      </c>
    </row>
    <row r="2448" customFormat="false" ht="15.7" hidden="false" customHeight="true" outlineLevel="0" collapsed="false">
      <c r="A2448" s="2"/>
      <c r="B2448" s="3" t="n">
        <f aca="false">DATE(2014,1,9)</f>
        <v>0</v>
      </c>
      <c r="C2448" s="3" t="n">
        <v>41648</v>
      </c>
      <c r="D2448" s="2" t="s">
        <v>18683</v>
      </c>
      <c r="F2448" s="2" t="s">
        <v>18684</v>
      </c>
      <c r="G2448" s="2" t="s">
        <v>18685</v>
      </c>
      <c r="H2448" s="2" t="s">
        <v>130</v>
      </c>
      <c r="I2448" s="2" t="s">
        <v>51</v>
      </c>
      <c r="J2448" s="2" t="s">
        <v>3045</v>
      </c>
      <c r="K2448" s="2" t="s">
        <v>18683</v>
      </c>
      <c r="L2448" s="2" t="s">
        <v>51</v>
      </c>
      <c r="M2448" s="2" t="s">
        <v>130</v>
      </c>
      <c r="N2448" s="2" t="s">
        <v>18686</v>
      </c>
      <c r="O2448" s="2"/>
      <c r="P2448" s="2" t="s">
        <v>37</v>
      </c>
      <c r="Q2448" s="4" t="n">
        <v>8071</v>
      </c>
      <c r="R2448" s="2" t="s">
        <v>56</v>
      </c>
      <c r="S2448" s="2"/>
      <c r="T2448" s="2" t="s">
        <v>40</v>
      </c>
      <c r="U2448" s="2" t="s">
        <v>18687</v>
      </c>
      <c r="V2448" s="2"/>
      <c r="W2448" s="2" t="s">
        <v>15969</v>
      </c>
      <c r="X2448" s="2" t="s">
        <v>43</v>
      </c>
      <c r="Y2448" s="2" t="s">
        <v>37</v>
      </c>
      <c r="Z2448" s="2" t="s">
        <v>44</v>
      </c>
      <c r="AA2448" s="2"/>
      <c r="AB2448" s="2"/>
      <c r="AC2448" s="2" t="s">
        <v>18688</v>
      </c>
      <c r="AD2448" s="2" t="s">
        <v>46</v>
      </c>
    </row>
    <row r="2449" customFormat="false" ht="15.7" hidden="false" customHeight="true" outlineLevel="0" collapsed="false">
      <c r="A2449" s="2"/>
      <c r="B2449" s="3" t="n">
        <f aca="false">DATE(2014,1,9)</f>
        <v>0</v>
      </c>
      <c r="C2449" s="3" t="n">
        <v>41648</v>
      </c>
      <c r="D2449" s="2" t="s">
        <v>18689</v>
      </c>
      <c r="F2449" s="2" t="s">
        <v>18690</v>
      </c>
      <c r="G2449" s="2" t="s">
        <v>18691</v>
      </c>
      <c r="H2449" s="2" t="s">
        <v>18692</v>
      </c>
      <c r="I2449" s="2" t="s">
        <v>51</v>
      </c>
      <c r="J2449" s="2" t="s">
        <v>1834</v>
      </c>
      <c r="K2449" s="2" t="s">
        <v>18689</v>
      </c>
      <c r="L2449" s="2" t="s">
        <v>51</v>
      </c>
      <c r="M2449" s="2" t="s">
        <v>18692</v>
      </c>
      <c r="N2449" s="2" t="s">
        <v>18693</v>
      </c>
      <c r="O2449" s="2"/>
      <c r="P2449" s="2" t="s">
        <v>37</v>
      </c>
      <c r="Q2449" s="4" t="n">
        <v>8734</v>
      </c>
      <c r="R2449" s="2" t="s">
        <v>56</v>
      </c>
      <c r="S2449" s="2" t="s">
        <v>92</v>
      </c>
      <c r="T2449" s="2" t="s">
        <v>40</v>
      </c>
      <c r="U2449" s="2" t="s">
        <v>18694</v>
      </c>
      <c r="V2449" s="2"/>
      <c r="W2449" s="2" t="s">
        <v>18171</v>
      </c>
      <c r="X2449" s="2" t="s">
        <v>43</v>
      </c>
      <c r="Y2449" s="2" t="s">
        <v>37</v>
      </c>
      <c r="Z2449" s="2" t="s">
        <v>44</v>
      </c>
      <c r="AA2449" s="2"/>
      <c r="AB2449" s="2"/>
      <c r="AC2449" s="2" t="s">
        <v>18695</v>
      </c>
      <c r="AD2449" s="2" t="s">
        <v>46</v>
      </c>
    </row>
    <row r="2450" customFormat="false" ht="15.7" hidden="false" customHeight="true" outlineLevel="0" collapsed="false">
      <c r="A2450" s="2"/>
      <c r="B2450" s="3" t="n">
        <f aca="false">DATE(2014,1,10)</f>
        <v>0</v>
      </c>
      <c r="C2450" s="3" t="n">
        <v>41649</v>
      </c>
      <c r="D2450" s="2" t="s">
        <v>18696</v>
      </c>
      <c r="F2450" s="2" t="s">
        <v>6617</v>
      </c>
      <c r="G2450" s="2" t="s">
        <v>18697</v>
      </c>
      <c r="H2450" s="2" t="s">
        <v>170</v>
      </c>
      <c r="I2450" s="2" t="s">
        <v>51</v>
      </c>
      <c r="J2450" s="2" t="s">
        <v>3045</v>
      </c>
      <c r="K2450" s="2" t="s">
        <v>18696</v>
      </c>
      <c r="L2450" s="2" t="s">
        <v>51</v>
      </c>
      <c r="M2450" s="2" t="s">
        <v>170</v>
      </c>
      <c r="N2450" s="2" t="s">
        <v>18698</v>
      </c>
      <c r="O2450" s="2"/>
      <c r="P2450" s="2" t="s">
        <v>37</v>
      </c>
      <c r="Q2450" s="4" t="n">
        <v>2836</v>
      </c>
      <c r="R2450" s="2" t="s">
        <v>56</v>
      </c>
      <c r="S2450" s="2"/>
      <c r="T2450" s="2" t="s">
        <v>403</v>
      </c>
      <c r="U2450" s="2" t="s">
        <v>18699</v>
      </c>
      <c r="V2450" s="2"/>
      <c r="W2450" s="2" t="s">
        <v>42</v>
      </c>
      <c r="X2450" s="2" t="s">
        <v>43</v>
      </c>
      <c r="Y2450" s="2" t="s">
        <v>37</v>
      </c>
      <c r="Z2450" s="2" t="s">
        <v>44</v>
      </c>
      <c r="AA2450" s="2" t="s">
        <v>18700</v>
      </c>
      <c r="AB2450" s="2"/>
      <c r="AC2450" s="2" t="s">
        <v>18701</v>
      </c>
      <c r="AD2450" s="2" t="s">
        <v>46</v>
      </c>
    </row>
    <row r="2451" customFormat="false" ht="15.7" hidden="false" customHeight="true" outlineLevel="0" collapsed="false">
      <c r="A2451" s="2"/>
      <c r="B2451" s="3" t="n">
        <f aca="false">DATE(2014,1,13)</f>
        <v>0</v>
      </c>
      <c r="C2451" s="3" t="n">
        <v>41652</v>
      </c>
      <c r="D2451" s="2" t="s">
        <v>18702</v>
      </c>
      <c r="F2451" s="2" t="s">
        <v>18703</v>
      </c>
      <c r="G2451" s="2" t="s">
        <v>18704</v>
      </c>
      <c r="H2451" s="2" t="s">
        <v>12385</v>
      </c>
      <c r="I2451" s="2" t="s">
        <v>51</v>
      </c>
      <c r="J2451" s="2" t="s">
        <v>15800</v>
      </c>
      <c r="K2451" s="2" t="s">
        <v>18702</v>
      </c>
      <c r="L2451" s="2" t="s">
        <v>51</v>
      </c>
      <c r="M2451" s="2" t="s">
        <v>12385</v>
      </c>
      <c r="N2451" s="2" t="s">
        <v>18705</v>
      </c>
      <c r="O2451" s="2"/>
      <c r="P2451" s="2" t="s">
        <v>37</v>
      </c>
      <c r="Q2451" s="4" t="n">
        <v>2834</v>
      </c>
      <c r="R2451" s="2" t="s">
        <v>56</v>
      </c>
      <c r="S2451" s="2"/>
      <c r="T2451" s="2" t="s">
        <v>40</v>
      </c>
      <c r="U2451" s="2" t="s">
        <v>18706</v>
      </c>
      <c r="V2451" s="2"/>
      <c r="W2451" s="2" t="s">
        <v>18707</v>
      </c>
      <c r="X2451" s="2" t="s">
        <v>43</v>
      </c>
      <c r="Y2451" s="2" t="s">
        <v>37</v>
      </c>
      <c r="Z2451" s="2" t="s">
        <v>44</v>
      </c>
      <c r="AA2451" s="2"/>
      <c r="AB2451" s="2"/>
      <c r="AC2451" s="2" t="s">
        <v>18708</v>
      </c>
      <c r="AD2451" s="2" t="s">
        <v>46</v>
      </c>
    </row>
    <row r="2452" customFormat="false" ht="15.7" hidden="false" customHeight="true" outlineLevel="0" collapsed="false">
      <c r="A2452" s="2"/>
      <c r="B2452" s="3" t="n">
        <f aca="false">DATE(2014,1,13)</f>
        <v>0</v>
      </c>
      <c r="C2452" s="3" t="n">
        <v>41652</v>
      </c>
      <c r="D2452" s="2" t="s">
        <v>18709</v>
      </c>
      <c r="F2452" s="2" t="s">
        <v>18710</v>
      </c>
      <c r="G2452" s="2" t="s">
        <v>18711</v>
      </c>
      <c r="H2452" s="2" t="s">
        <v>2674</v>
      </c>
      <c r="I2452" s="2" t="s">
        <v>388</v>
      </c>
      <c r="J2452" s="2" t="s">
        <v>65</v>
      </c>
      <c r="K2452" s="2" t="s">
        <v>18709</v>
      </c>
      <c r="L2452" s="2" t="s">
        <v>388</v>
      </c>
      <c r="M2452" s="2" t="s">
        <v>2674</v>
      </c>
      <c r="N2452" s="2" t="s">
        <v>18712</v>
      </c>
      <c r="O2452" s="2"/>
      <c r="P2452" s="2" t="s">
        <v>37</v>
      </c>
      <c r="Q2452" s="4" t="n">
        <v>8731</v>
      </c>
      <c r="R2452" s="2" t="s">
        <v>2201</v>
      </c>
      <c r="S2452" s="2" t="s">
        <v>39</v>
      </c>
      <c r="T2452" s="2" t="s">
        <v>403</v>
      </c>
      <c r="U2452" s="2" t="s">
        <v>18713</v>
      </c>
      <c r="V2452" s="2"/>
      <c r="W2452" s="2" t="s">
        <v>42</v>
      </c>
      <c r="X2452" s="2" t="s">
        <v>43</v>
      </c>
      <c r="Y2452" s="2" t="s">
        <v>37</v>
      </c>
      <c r="Z2452" s="2" t="s">
        <v>44</v>
      </c>
      <c r="AA2452" s="2"/>
      <c r="AB2452" s="2"/>
      <c r="AC2452" s="2" t="s">
        <v>18714</v>
      </c>
      <c r="AD2452" s="2" t="s">
        <v>46</v>
      </c>
    </row>
    <row r="2453" customFormat="false" ht="15.7" hidden="false" customHeight="true" outlineLevel="0" collapsed="false">
      <c r="A2453" s="2"/>
      <c r="B2453" s="3" t="n">
        <f aca="false">DATE(2014,1,14)</f>
        <v>0</v>
      </c>
      <c r="C2453" s="3" t="n">
        <v>41653</v>
      </c>
      <c r="D2453" s="2" t="s">
        <v>18715</v>
      </c>
      <c r="F2453" s="2" t="s">
        <v>6971</v>
      </c>
      <c r="G2453" s="2" t="s">
        <v>18716</v>
      </c>
      <c r="H2453" s="2" t="s">
        <v>63</v>
      </c>
      <c r="I2453" s="2" t="s">
        <v>899</v>
      </c>
      <c r="J2453" s="2" t="s">
        <v>7101</v>
      </c>
      <c r="K2453" s="2" t="s">
        <v>18715</v>
      </c>
      <c r="L2453" s="2" t="s">
        <v>899</v>
      </c>
      <c r="M2453" s="2" t="s">
        <v>63</v>
      </c>
      <c r="N2453" s="2" t="s">
        <v>18717</v>
      </c>
      <c r="O2453" s="2"/>
      <c r="P2453" s="2" t="s">
        <v>37</v>
      </c>
      <c r="Q2453" s="4" t="n">
        <v>2834</v>
      </c>
      <c r="R2453" s="2" t="s">
        <v>136</v>
      </c>
      <c r="S2453" s="2" t="s">
        <v>39</v>
      </c>
      <c r="T2453" s="2" t="s">
        <v>403</v>
      </c>
      <c r="U2453" s="2" t="s">
        <v>18718</v>
      </c>
      <c r="V2453" s="2"/>
      <c r="W2453" s="2" t="s">
        <v>11368</v>
      </c>
      <c r="X2453" s="2" t="s">
        <v>43</v>
      </c>
      <c r="Y2453" s="2" t="s">
        <v>37</v>
      </c>
      <c r="Z2453" s="2" t="s">
        <v>44</v>
      </c>
      <c r="AA2453" s="2"/>
      <c r="AB2453" s="2"/>
      <c r="AC2453" s="2" t="s">
        <v>18719</v>
      </c>
      <c r="AD2453" s="2" t="s">
        <v>46</v>
      </c>
    </row>
    <row r="2454" customFormat="false" ht="15.7" hidden="false" customHeight="true" outlineLevel="0" collapsed="false">
      <c r="A2454" s="2"/>
      <c r="B2454" s="3" t="n">
        <f aca="false">DATE(2014,1,14)</f>
        <v>0</v>
      </c>
      <c r="C2454" s="3" t="n">
        <v>41653</v>
      </c>
      <c r="D2454" s="2" t="s">
        <v>18720</v>
      </c>
      <c r="F2454" s="2" t="s">
        <v>18721</v>
      </c>
      <c r="G2454" s="2" t="s">
        <v>18722</v>
      </c>
      <c r="H2454" s="2" t="s">
        <v>130</v>
      </c>
      <c r="I2454" s="2" t="s">
        <v>3016</v>
      </c>
      <c r="J2454" s="2" t="s">
        <v>35</v>
      </c>
      <c r="K2454" s="2" t="s">
        <v>18723</v>
      </c>
      <c r="L2454" s="2" t="s">
        <v>18724</v>
      </c>
      <c r="M2454" s="2" t="s">
        <v>130</v>
      </c>
      <c r="N2454" s="2" t="s">
        <v>18725</v>
      </c>
      <c r="O2454" s="2"/>
      <c r="P2454" s="2" t="s">
        <v>37</v>
      </c>
      <c r="Q2454" s="4" t="n">
        <v>2834</v>
      </c>
      <c r="R2454" s="2" t="s">
        <v>136</v>
      </c>
      <c r="S2454" s="2" t="s">
        <v>39</v>
      </c>
      <c r="T2454" s="2" t="s">
        <v>40</v>
      </c>
      <c r="U2454" s="2" t="s">
        <v>18726</v>
      </c>
      <c r="V2454" s="2"/>
      <c r="W2454" s="2" t="s">
        <v>344</v>
      </c>
      <c r="X2454" s="2" t="s">
        <v>43</v>
      </c>
      <c r="Y2454" s="2" t="s">
        <v>37</v>
      </c>
      <c r="Z2454" s="2" t="s">
        <v>44</v>
      </c>
      <c r="AA2454" s="2"/>
      <c r="AB2454" s="2"/>
      <c r="AC2454" s="2" t="s">
        <v>18727</v>
      </c>
      <c r="AD2454" s="2" t="s">
        <v>46</v>
      </c>
    </row>
    <row r="2455" customFormat="false" ht="15.7" hidden="false" customHeight="true" outlineLevel="0" collapsed="false">
      <c r="A2455" s="2"/>
      <c r="B2455" s="3" t="n">
        <f aca="false">DATE(2014,1,16)</f>
        <v>0</v>
      </c>
      <c r="C2455" s="3" t="n">
        <v>41655</v>
      </c>
      <c r="D2455" s="2" t="s">
        <v>18728</v>
      </c>
      <c r="F2455" s="2" t="s">
        <v>18729</v>
      </c>
      <c r="G2455" s="2" t="s">
        <v>18730</v>
      </c>
      <c r="H2455" s="2" t="s">
        <v>18731</v>
      </c>
      <c r="I2455" s="2" t="s">
        <v>51</v>
      </c>
      <c r="J2455" s="2" t="s">
        <v>18732</v>
      </c>
      <c r="K2455" s="2" t="s">
        <v>18728</v>
      </c>
      <c r="L2455" s="2" t="s">
        <v>51</v>
      </c>
      <c r="M2455" s="2" t="s">
        <v>18731</v>
      </c>
      <c r="N2455" s="2" t="s">
        <v>18733</v>
      </c>
      <c r="O2455" s="2"/>
      <c r="P2455" s="2" t="s">
        <v>37</v>
      </c>
      <c r="Q2455" s="4" t="n">
        <v>2099</v>
      </c>
      <c r="R2455" s="2" t="s">
        <v>56</v>
      </c>
      <c r="S2455" s="2"/>
      <c r="T2455" s="2" t="s">
        <v>40</v>
      </c>
      <c r="U2455" s="2" t="s">
        <v>18734</v>
      </c>
      <c r="V2455" s="2"/>
      <c r="W2455" s="2" t="s">
        <v>42</v>
      </c>
      <c r="X2455" s="2" t="s">
        <v>43</v>
      </c>
      <c r="Y2455" s="2" t="s">
        <v>37</v>
      </c>
      <c r="Z2455" s="2" t="s">
        <v>44</v>
      </c>
      <c r="AA2455" s="2"/>
      <c r="AB2455" s="2"/>
      <c r="AC2455" s="2" t="s">
        <v>18735</v>
      </c>
      <c r="AD2455" s="2" t="s">
        <v>46</v>
      </c>
    </row>
    <row r="2456" customFormat="false" ht="15.7" hidden="false" customHeight="true" outlineLevel="0" collapsed="false">
      <c r="A2456" s="2"/>
      <c r="B2456" s="3" t="n">
        <f aca="false">DATE(2014,1,20)</f>
        <v>0</v>
      </c>
      <c r="C2456" s="3" t="n">
        <v>41659</v>
      </c>
      <c r="D2456" s="2" t="s">
        <v>18736</v>
      </c>
      <c r="F2456" s="2" t="s">
        <v>18737</v>
      </c>
      <c r="G2456" s="2" t="s">
        <v>18738</v>
      </c>
      <c r="H2456" s="2" t="s">
        <v>18739</v>
      </c>
      <c r="I2456" s="2" t="s">
        <v>18740</v>
      </c>
      <c r="J2456" s="2" t="s">
        <v>1305</v>
      </c>
      <c r="K2456" s="2" t="s">
        <v>18741</v>
      </c>
      <c r="L2456" s="2" t="s">
        <v>18740</v>
      </c>
      <c r="M2456" s="2" t="s">
        <v>18742</v>
      </c>
      <c r="N2456" s="2" t="s">
        <v>18743</v>
      </c>
      <c r="O2456" s="2"/>
      <c r="P2456" s="2" t="s">
        <v>37</v>
      </c>
      <c r="Q2456" s="4" t="n">
        <v>8731</v>
      </c>
      <c r="R2456" s="2" t="s">
        <v>402</v>
      </c>
      <c r="S2456" s="2" t="s">
        <v>39</v>
      </c>
      <c r="T2456" s="2" t="s">
        <v>403</v>
      </c>
      <c r="U2456" s="2" t="s">
        <v>18744</v>
      </c>
      <c r="V2456" s="2"/>
      <c r="W2456" s="2" t="s">
        <v>697</v>
      </c>
      <c r="X2456" s="2" t="s">
        <v>46</v>
      </c>
      <c r="Y2456" s="2" t="s">
        <v>37</v>
      </c>
      <c r="Z2456" s="2" t="s">
        <v>18745</v>
      </c>
      <c r="AA2456" s="2" t="s">
        <v>18746</v>
      </c>
      <c r="AB2456" s="2"/>
      <c r="AC2456" s="2" t="s">
        <v>18747</v>
      </c>
      <c r="AD2456" s="2" t="s">
        <v>46</v>
      </c>
    </row>
    <row r="2457" customFormat="false" ht="15.7" hidden="false" customHeight="true" outlineLevel="0" collapsed="false">
      <c r="A2457" s="2"/>
      <c r="B2457" s="3" t="n">
        <f aca="false">DATE(2014,1,21)</f>
        <v>0</v>
      </c>
      <c r="C2457" s="3" t="n">
        <v>41660</v>
      </c>
      <c r="D2457" s="2" t="s">
        <v>18748</v>
      </c>
      <c r="F2457" s="2" t="s">
        <v>18749</v>
      </c>
      <c r="G2457" s="2" t="s">
        <v>18750</v>
      </c>
      <c r="H2457" s="2" t="s">
        <v>18751</v>
      </c>
      <c r="I2457" s="2" t="s">
        <v>3103</v>
      </c>
      <c r="J2457" s="2" t="s">
        <v>155</v>
      </c>
      <c r="K2457" s="2" t="s">
        <v>18748</v>
      </c>
      <c r="L2457" s="2" t="s">
        <v>3103</v>
      </c>
      <c r="M2457" s="2" t="s">
        <v>18751</v>
      </c>
      <c r="N2457" s="2" t="s">
        <v>18752</v>
      </c>
      <c r="O2457" s="2"/>
      <c r="P2457" s="2" t="s">
        <v>79</v>
      </c>
      <c r="Q2457" s="4" t="n">
        <v>8731</v>
      </c>
      <c r="R2457" s="2" t="s">
        <v>136</v>
      </c>
      <c r="S2457" s="2" t="s">
        <v>39</v>
      </c>
      <c r="T2457" s="2" t="s">
        <v>40</v>
      </c>
      <c r="U2457" s="2" t="s">
        <v>18753</v>
      </c>
      <c r="V2457" s="2"/>
      <c r="W2457" s="2" t="s">
        <v>9581</v>
      </c>
      <c r="X2457" s="2" t="s">
        <v>43</v>
      </c>
      <c r="Y2457" s="2" t="s">
        <v>37</v>
      </c>
      <c r="Z2457" s="2" t="s">
        <v>44</v>
      </c>
      <c r="AA2457" s="2"/>
      <c r="AB2457" s="2"/>
      <c r="AC2457" s="2" t="s">
        <v>18754</v>
      </c>
      <c r="AD2457" s="2" t="s">
        <v>46</v>
      </c>
    </row>
    <row r="2458" customFormat="false" ht="15.7" hidden="false" customHeight="true" outlineLevel="0" collapsed="false">
      <c r="A2458" s="2"/>
      <c r="B2458" s="3" t="n">
        <f aca="false">DATE(2014,1,21)</f>
        <v>0</v>
      </c>
      <c r="C2458" s="3" t="n">
        <v>41660</v>
      </c>
      <c r="D2458" s="2" t="s">
        <v>18755</v>
      </c>
      <c r="F2458" s="2" t="s">
        <v>4438</v>
      </c>
      <c r="G2458" s="2" t="s">
        <v>18756</v>
      </c>
      <c r="H2458" s="2" t="s">
        <v>1027</v>
      </c>
      <c r="I2458" s="2" t="s">
        <v>34</v>
      </c>
      <c r="J2458" s="2" t="s">
        <v>35</v>
      </c>
      <c r="K2458" s="2" t="s">
        <v>18757</v>
      </c>
      <c r="L2458" s="2" t="s">
        <v>34</v>
      </c>
      <c r="M2458" s="2" t="s">
        <v>1027</v>
      </c>
      <c r="N2458" s="2" t="s">
        <v>18758</v>
      </c>
      <c r="O2458" s="2"/>
      <c r="P2458" s="2" t="s">
        <v>37</v>
      </c>
      <c r="Q2458" s="4" t="n">
        <v>3999</v>
      </c>
      <c r="R2458" s="2" t="s">
        <v>38</v>
      </c>
      <c r="S2458" s="2" t="s">
        <v>39</v>
      </c>
      <c r="T2458" s="2" t="s">
        <v>40</v>
      </c>
      <c r="U2458" s="2" t="s">
        <v>18759</v>
      </c>
      <c r="V2458" s="2"/>
      <c r="W2458" s="2" t="s">
        <v>18760</v>
      </c>
      <c r="X2458" s="2" t="s">
        <v>43</v>
      </c>
      <c r="Y2458" s="2" t="s">
        <v>37</v>
      </c>
      <c r="Z2458" s="2" t="s">
        <v>44</v>
      </c>
      <c r="AA2458" s="2"/>
      <c r="AB2458" s="2"/>
      <c r="AC2458" s="2" t="s">
        <v>18761</v>
      </c>
      <c r="AD2458" s="2" t="s">
        <v>46</v>
      </c>
    </row>
    <row r="2459" customFormat="false" ht="15.7" hidden="false" customHeight="true" outlineLevel="0" collapsed="false">
      <c r="A2459" s="2"/>
      <c r="B2459" s="3" t="n">
        <f aca="false">DATE(2014,1,21)</f>
        <v>0</v>
      </c>
      <c r="C2459" s="3" t="n">
        <v>41660</v>
      </c>
      <c r="D2459" s="2" t="s">
        <v>18762</v>
      </c>
      <c r="F2459" s="2" t="s">
        <v>18763</v>
      </c>
      <c r="G2459" s="2" t="s">
        <v>18764</v>
      </c>
      <c r="H2459" s="2" t="s">
        <v>18765</v>
      </c>
      <c r="I2459" s="2" t="s">
        <v>51</v>
      </c>
      <c r="J2459" s="2" t="s">
        <v>3704</v>
      </c>
      <c r="K2459" s="2" t="s">
        <v>18762</v>
      </c>
      <c r="L2459" s="2" t="s">
        <v>51</v>
      </c>
      <c r="M2459" s="2" t="s">
        <v>18765</v>
      </c>
      <c r="N2459" s="2" t="s">
        <v>18766</v>
      </c>
      <c r="O2459" s="2"/>
      <c r="P2459" s="2" t="s">
        <v>37</v>
      </c>
      <c r="Q2459" s="4" t="n">
        <v>8071</v>
      </c>
      <c r="R2459" s="2" t="s">
        <v>136</v>
      </c>
      <c r="S2459" s="2" t="s">
        <v>39</v>
      </c>
      <c r="T2459" s="2" t="s">
        <v>40</v>
      </c>
      <c r="U2459" s="2" t="s">
        <v>18767</v>
      </c>
      <c r="V2459" s="2"/>
      <c r="W2459" s="2" t="s">
        <v>4487</v>
      </c>
      <c r="X2459" s="2" t="s">
        <v>43</v>
      </c>
      <c r="Y2459" s="2" t="s">
        <v>37</v>
      </c>
      <c r="Z2459" s="2" t="s">
        <v>44</v>
      </c>
      <c r="AA2459" s="2"/>
      <c r="AB2459" s="2"/>
      <c r="AC2459" s="2" t="s">
        <v>18768</v>
      </c>
      <c r="AD2459" s="2" t="s">
        <v>46</v>
      </c>
    </row>
    <row r="2460" customFormat="false" ht="15.7" hidden="false" customHeight="true" outlineLevel="0" collapsed="false">
      <c r="A2460" s="2"/>
      <c r="B2460" s="3" t="n">
        <f aca="false">DATE(2014,1,21)</f>
        <v>0</v>
      </c>
      <c r="C2460" s="3" t="n">
        <v>41660</v>
      </c>
      <c r="D2460" s="2" t="s">
        <v>18769</v>
      </c>
      <c r="F2460" s="2" t="s">
        <v>18770</v>
      </c>
      <c r="G2460" s="2" t="s">
        <v>18771</v>
      </c>
      <c r="H2460" s="2" t="s">
        <v>1181</v>
      </c>
      <c r="I2460" s="2" t="s">
        <v>51</v>
      </c>
      <c r="J2460" s="2" t="s">
        <v>7568</v>
      </c>
      <c r="K2460" s="2" t="s">
        <v>18769</v>
      </c>
      <c r="L2460" s="2" t="s">
        <v>51</v>
      </c>
      <c r="M2460" s="2" t="s">
        <v>1181</v>
      </c>
      <c r="N2460" s="2" t="s">
        <v>18772</v>
      </c>
      <c r="O2460" s="2"/>
      <c r="P2460" s="2" t="s">
        <v>37</v>
      </c>
      <c r="Q2460" s="4" t="n">
        <v>8742</v>
      </c>
      <c r="R2460" s="2" t="s">
        <v>56</v>
      </c>
      <c r="S2460" s="2" t="s">
        <v>57</v>
      </c>
      <c r="T2460" s="2" t="s">
        <v>40</v>
      </c>
      <c r="U2460" s="2" t="s">
        <v>18773</v>
      </c>
      <c r="V2460" s="2"/>
      <c r="W2460" s="2" t="s">
        <v>18774</v>
      </c>
      <c r="X2460" s="2" t="s">
        <v>43</v>
      </c>
      <c r="Y2460" s="2" t="s">
        <v>37</v>
      </c>
      <c r="Z2460" s="2" t="s">
        <v>44</v>
      </c>
      <c r="AA2460" s="2"/>
      <c r="AB2460" s="2"/>
      <c r="AC2460" s="2" t="s">
        <v>18775</v>
      </c>
      <c r="AD2460" s="2" t="s">
        <v>46</v>
      </c>
    </row>
    <row r="2461" customFormat="false" ht="15.7" hidden="false" customHeight="true" outlineLevel="0" collapsed="false">
      <c r="A2461" s="2"/>
      <c r="B2461" s="3" t="n">
        <f aca="false">DATE(2014,1,22)</f>
        <v>0</v>
      </c>
      <c r="C2461" s="3" t="n">
        <v>41661</v>
      </c>
      <c r="D2461" s="2" t="s">
        <v>18776</v>
      </c>
      <c r="F2461" s="2" t="s">
        <v>18777</v>
      </c>
      <c r="G2461" s="2" t="s">
        <v>18778</v>
      </c>
      <c r="H2461" s="2" t="s">
        <v>170</v>
      </c>
      <c r="I2461" s="2" t="s">
        <v>1904</v>
      </c>
      <c r="J2461" s="2" t="s">
        <v>966</v>
      </c>
      <c r="K2461" s="2" t="s">
        <v>18776</v>
      </c>
      <c r="L2461" s="2" t="s">
        <v>1904</v>
      </c>
      <c r="M2461" s="2" t="s">
        <v>170</v>
      </c>
      <c r="N2461" s="2" t="s">
        <v>18779</v>
      </c>
      <c r="O2461" s="2"/>
      <c r="P2461" s="2" t="s">
        <v>37</v>
      </c>
      <c r="Q2461" s="4" t="n">
        <v>8731</v>
      </c>
      <c r="R2461" s="2" t="s">
        <v>450</v>
      </c>
      <c r="S2461" s="2" t="s">
        <v>39</v>
      </c>
      <c r="T2461" s="2" t="s">
        <v>40</v>
      </c>
      <c r="U2461" s="2" t="s">
        <v>18780</v>
      </c>
      <c r="V2461" s="2"/>
      <c r="W2461" s="2" t="s">
        <v>18781</v>
      </c>
      <c r="X2461" s="2" t="s">
        <v>43</v>
      </c>
      <c r="Y2461" s="2" t="s">
        <v>37</v>
      </c>
      <c r="Z2461" s="2" t="s">
        <v>44</v>
      </c>
      <c r="AA2461" s="2"/>
      <c r="AB2461" s="2"/>
      <c r="AC2461" s="2" t="s">
        <v>18782</v>
      </c>
      <c r="AD2461" s="2" t="s">
        <v>46</v>
      </c>
    </row>
    <row r="2462" customFormat="false" ht="15.7" hidden="false" customHeight="true" outlineLevel="0" collapsed="false">
      <c r="A2462" s="2"/>
      <c r="B2462" s="3" t="n">
        <f aca="false">DATE(2014,1,22)</f>
        <v>0</v>
      </c>
      <c r="C2462" s="3" t="n">
        <v>41661</v>
      </c>
      <c r="D2462" s="2" t="s">
        <v>18783</v>
      </c>
      <c r="F2462" s="2" t="s">
        <v>18784</v>
      </c>
      <c r="G2462" s="2" t="s">
        <v>18785</v>
      </c>
      <c r="H2462" s="2" t="s">
        <v>18786</v>
      </c>
      <c r="I2462" s="2" t="s">
        <v>51</v>
      </c>
      <c r="J2462" s="2" t="s">
        <v>4370</v>
      </c>
      <c r="K2462" s="2" t="s">
        <v>18783</v>
      </c>
      <c r="L2462" s="2" t="s">
        <v>51</v>
      </c>
      <c r="M2462" s="2" t="s">
        <v>18786</v>
      </c>
      <c r="N2462" s="2" t="s">
        <v>18787</v>
      </c>
      <c r="O2462" s="2"/>
      <c r="P2462" s="2" t="s">
        <v>37</v>
      </c>
      <c r="Q2462" s="4" t="n">
        <v>8731</v>
      </c>
      <c r="R2462" s="2" t="s">
        <v>56</v>
      </c>
      <c r="S2462" s="2" t="s">
        <v>380</v>
      </c>
      <c r="T2462" s="2" t="s">
        <v>403</v>
      </c>
      <c r="U2462" s="2" t="s">
        <v>18788</v>
      </c>
      <c r="V2462" s="2"/>
      <c r="W2462" s="2" t="s">
        <v>42</v>
      </c>
      <c r="X2462" s="2" t="s">
        <v>43</v>
      </c>
      <c r="Y2462" s="2" t="s">
        <v>37</v>
      </c>
      <c r="Z2462" s="2" t="s">
        <v>44</v>
      </c>
      <c r="AA2462" s="2"/>
      <c r="AB2462" s="2"/>
      <c r="AC2462" s="2" t="s">
        <v>18789</v>
      </c>
      <c r="AD2462" s="2" t="s">
        <v>46</v>
      </c>
    </row>
    <row r="2463" customFormat="false" ht="15.7" hidden="false" customHeight="true" outlineLevel="0" collapsed="false">
      <c r="A2463" s="2"/>
      <c r="B2463" s="3" t="n">
        <f aca="false">DATE(2014,1,24)</f>
        <v>0</v>
      </c>
      <c r="C2463" s="3" t="n">
        <v>41663</v>
      </c>
      <c r="D2463" s="2" t="s">
        <v>18790</v>
      </c>
      <c r="F2463" s="2" t="s">
        <v>18791</v>
      </c>
      <c r="G2463" s="2" t="s">
        <v>18792</v>
      </c>
      <c r="H2463" s="2" t="s">
        <v>18793</v>
      </c>
      <c r="I2463" s="2" t="s">
        <v>51</v>
      </c>
      <c r="J2463" s="2" t="s">
        <v>306</v>
      </c>
      <c r="K2463" s="2" t="s">
        <v>18790</v>
      </c>
      <c r="L2463" s="2" t="s">
        <v>51</v>
      </c>
      <c r="M2463" s="2" t="s">
        <v>18793</v>
      </c>
      <c r="N2463" s="2" t="s">
        <v>18794</v>
      </c>
      <c r="O2463" s="2"/>
      <c r="P2463" s="2" t="s">
        <v>37</v>
      </c>
      <c r="Q2463" s="4" t="n">
        <v>8731</v>
      </c>
      <c r="R2463" s="2" t="s">
        <v>56</v>
      </c>
      <c r="S2463" s="2" t="s">
        <v>57</v>
      </c>
      <c r="T2463" s="2" t="s">
        <v>403</v>
      </c>
      <c r="U2463" s="2" t="s">
        <v>18795</v>
      </c>
      <c r="V2463" s="2"/>
      <c r="W2463" s="2" t="s">
        <v>42</v>
      </c>
      <c r="X2463" s="2" t="s">
        <v>43</v>
      </c>
      <c r="Y2463" s="2" t="s">
        <v>37</v>
      </c>
      <c r="Z2463" s="2" t="s">
        <v>44</v>
      </c>
      <c r="AA2463" s="2"/>
      <c r="AB2463" s="2"/>
      <c r="AC2463" s="2" t="s">
        <v>18796</v>
      </c>
      <c r="AD2463" s="2" t="s">
        <v>46</v>
      </c>
    </row>
    <row r="2464" customFormat="false" ht="15.7" hidden="false" customHeight="true" outlineLevel="0" collapsed="false">
      <c r="A2464" s="2"/>
      <c r="B2464" s="3" t="n">
        <f aca="false">DATE(2014,1,29)</f>
        <v>0</v>
      </c>
      <c r="C2464" s="3" t="n">
        <v>41668</v>
      </c>
      <c r="D2464" s="2" t="s">
        <v>18797</v>
      </c>
      <c r="F2464" s="2" t="s">
        <v>18798</v>
      </c>
      <c r="G2464" s="2" t="s">
        <v>18799</v>
      </c>
      <c r="H2464" s="2" t="s">
        <v>18800</v>
      </c>
      <c r="I2464" s="2" t="s">
        <v>4179</v>
      </c>
      <c r="J2464" s="2" t="s">
        <v>331</v>
      </c>
      <c r="K2464" s="2" t="s">
        <v>18801</v>
      </c>
      <c r="L2464" s="2" t="s">
        <v>4179</v>
      </c>
      <c r="M2464" s="2" t="s">
        <v>18802</v>
      </c>
      <c r="N2464" s="2" t="s">
        <v>18803</v>
      </c>
      <c r="O2464" s="2"/>
      <c r="P2464" s="2" t="s">
        <v>37</v>
      </c>
      <c r="Q2464" s="4" t="n">
        <v>2033</v>
      </c>
      <c r="R2464" s="2" t="s">
        <v>56</v>
      </c>
      <c r="S2464" s="2" t="s">
        <v>7553</v>
      </c>
      <c r="T2464" s="2" t="s">
        <v>40</v>
      </c>
      <c r="U2464" s="2" t="s">
        <v>18804</v>
      </c>
      <c r="V2464" s="2"/>
      <c r="W2464" s="2" t="s">
        <v>42</v>
      </c>
      <c r="X2464" s="2" t="s">
        <v>43</v>
      </c>
      <c r="Y2464" s="2" t="s">
        <v>37</v>
      </c>
      <c r="Z2464" s="2" t="s">
        <v>44</v>
      </c>
      <c r="AA2464" s="2"/>
      <c r="AB2464" s="2"/>
      <c r="AC2464" s="2" t="s">
        <v>18805</v>
      </c>
      <c r="AD2464" s="2" t="s">
        <v>46</v>
      </c>
    </row>
    <row r="2465" customFormat="false" ht="15.7" hidden="false" customHeight="true" outlineLevel="0" collapsed="false">
      <c r="A2465" s="2"/>
      <c r="B2465" s="3" t="n">
        <f aca="false">DATE(2014,1,30)</f>
        <v>0</v>
      </c>
      <c r="C2465" s="3" t="n">
        <v>41669</v>
      </c>
      <c r="D2465" s="2" t="s">
        <v>18806</v>
      </c>
      <c r="F2465" s="2" t="s">
        <v>18807</v>
      </c>
      <c r="G2465" s="2" t="s">
        <v>18808</v>
      </c>
      <c r="H2465" s="2" t="s">
        <v>18809</v>
      </c>
      <c r="I2465" s="2" t="s">
        <v>51</v>
      </c>
      <c r="J2465" s="2" t="s">
        <v>3417</v>
      </c>
      <c r="K2465" s="2" t="s">
        <v>18806</v>
      </c>
      <c r="L2465" s="2" t="s">
        <v>51</v>
      </c>
      <c r="M2465" s="2" t="s">
        <v>18809</v>
      </c>
      <c r="N2465" s="2" t="s">
        <v>18810</v>
      </c>
      <c r="O2465" s="2"/>
      <c r="P2465" s="2" t="s">
        <v>37</v>
      </c>
      <c r="Q2465" s="4" t="n">
        <v>2834</v>
      </c>
      <c r="R2465" s="2" t="s">
        <v>56</v>
      </c>
      <c r="S2465" s="2"/>
      <c r="T2465" s="2" t="s">
        <v>403</v>
      </c>
      <c r="U2465" s="2" t="s">
        <v>18811</v>
      </c>
      <c r="V2465" s="2"/>
      <c r="W2465" s="2" t="s">
        <v>18812</v>
      </c>
      <c r="X2465" s="2" t="s">
        <v>43</v>
      </c>
      <c r="Y2465" s="2" t="s">
        <v>37</v>
      </c>
      <c r="Z2465" s="2" t="s">
        <v>44</v>
      </c>
      <c r="AA2465" s="2"/>
      <c r="AB2465" s="2"/>
      <c r="AC2465" s="2" t="s">
        <v>18813</v>
      </c>
      <c r="AD2465" s="2" t="s">
        <v>46</v>
      </c>
    </row>
    <row r="2466" customFormat="false" ht="15.7" hidden="false" customHeight="true" outlineLevel="0" collapsed="false">
      <c r="A2466" s="2"/>
      <c r="B2466" s="3" t="n">
        <f aca="false">DATE(2014,1,31)</f>
        <v>0</v>
      </c>
      <c r="C2466" s="3" t="n">
        <v>41670</v>
      </c>
      <c r="D2466" s="2" t="s">
        <v>18814</v>
      </c>
      <c r="F2466" s="2" t="s">
        <v>18815</v>
      </c>
      <c r="G2466" s="2" t="s">
        <v>18816</v>
      </c>
      <c r="H2466" s="2" t="s">
        <v>63</v>
      </c>
      <c r="I2466" s="2" t="s">
        <v>219</v>
      </c>
      <c r="J2466" s="2" t="s">
        <v>65</v>
      </c>
      <c r="K2466" s="2" t="s">
        <v>18817</v>
      </c>
      <c r="L2466" s="2" t="s">
        <v>219</v>
      </c>
      <c r="M2466" s="2" t="s">
        <v>1564</v>
      </c>
      <c r="N2466" s="2" t="s">
        <v>18818</v>
      </c>
      <c r="O2466" s="2"/>
      <c r="P2466" s="2" t="s">
        <v>37</v>
      </c>
      <c r="Q2466" s="4" t="n">
        <v>8731</v>
      </c>
      <c r="R2466" s="2" t="s">
        <v>136</v>
      </c>
      <c r="S2466" s="2" t="s">
        <v>39</v>
      </c>
      <c r="T2466" s="2" t="s">
        <v>40</v>
      </c>
      <c r="U2466" s="2" t="s">
        <v>18819</v>
      </c>
      <c r="V2466" s="2"/>
      <c r="W2466" s="2" t="s">
        <v>42</v>
      </c>
      <c r="X2466" s="2" t="s">
        <v>43</v>
      </c>
      <c r="Y2466" s="2" t="s">
        <v>37</v>
      </c>
      <c r="Z2466" s="2" t="s">
        <v>44</v>
      </c>
      <c r="AA2466" s="2" t="s">
        <v>18820</v>
      </c>
      <c r="AB2466" s="2"/>
      <c r="AC2466" s="2" t="s">
        <v>18821</v>
      </c>
      <c r="AD2466" s="2" t="s">
        <v>46</v>
      </c>
    </row>
    <row r="2467" customFormat="false" ht="15.7" hidden="false" customHeight="true" outlineLevel="0" collapsed="false">
      <c r="A2467" s="2"/>
      <c r="B2467" s="3" t="n">
        <f aca="false">DATE(2014,2,5)</f>
        <v>0</v>
      </c>
      <c r="C2467" s="3" t="n">
        <v>41675</v>
      </c>
      <c r="D2467" s="2" t="s">
        <v>18822</v>
      </c>
      <c r="F2467" s="2" t="s">
        <v>7614</v>
      </c>
      <c r="G2467" s="2" t="s">
        <v>18823</v>
      </c>
      <c r="H2467" s="2" t="s">
        <v>63</v>
      </c>
      <c r="I2467" s="2" t="s">
        <v>51</v>
      </c>
      <c r="J2467" s="2" t="s">
        <v>1834</v>
      </c>
      <c r="K2467" s="2" t="s">
        <v>18824</v>
      </c>
      <c r="L2467" s="2" t="s">
        <v>51</v>
      </c>
      <c r="M2467" s="2" t="s">
        <v>63</v>
      </c>
      <c r="N2467" s="2" t="s">
        <v>18825</v>
      </c>
      <c r="O2467" s="2"/>
      <c r="P2467" s="2" t="s">
        <v>37</v>
      </c>
      <c r="Q2467" s="4" t="n">
        <v>8731</v>
      </c>
      <c r="R2467" s="2" t="s">
        <v>56</v>
      </c>
      <c r="S2467" s="2"/>
      <c r="T2467" s="2" t="s">
        <v>40</v>
      </c>
      <c r="U2467" s="2" t="s">
        <v>18826</v>
      </c>
      <c r="V2467" s="2"/>
      <c r="W2467" s="2" t="s">
        <v>4487</v>
      </c>
      <c r="X2467" s="2" t="s">
        <v>43</v>
      </c>
      <c r="Y2467" s="2" t="s">
        <v>37</v>
      </c>
      <c r="Z2467" s="2" t="s">
        <v>44</v>
      </c>
      <c r="AA2467" s="2"/>
      <c r="AB2467" s="2"/>
      <c r="AC2467" s="2" t="s">
        <v>18827</v>
      </c>
      <c r="AD2467" s="2" t="s">
        <v>46</v>
      </c>
    </row>
    <row r="2468" customFormat="false" ht="15.7" hidden="false" customHeight="true" outlineLevel="0" collapsed="false">
      <c r="A2468" s="2"/>
      <c r="B2468" s="3" t="n">
        <f aca="false">DATE(2014,2,5)</f>
        <v>0</v>
      </c>
      <c r="C2468" s="3" t="n">
        <v>41675</v>
      </c>
      <c r="D2468" s="2" t="s">
        <v>18828</v>
      </c>
      <c r="F2468" s="2" t="s">
        <v>18829</v>
      </c>
      <c r="G2468" s="2" t="s">
        <v>18830</v>
      </c>
      <c r="H2468" s="2" t="s">
        <v>7948</v>
      </c>
      <c r="I2468" s="2" t="s">
        <v>51</v>
      </c>
      <c r="J2468" s="2" t="s">
        <v>4370</v>
      </c>
      <c r="K2468" s="2" t="s">
        <v>18828</v>
      </c>
      <c r="L2468" s="2" t="s">
        <v>51</v>
      </c>
      <c r="M2468" s="2" t="s">
        <v>7948</v>
      </c>
      <c r="N2468" s="2" t="s">
        <v>18831</v>
      </c>
      <c r="O2468" s="2"/>
      <c r="P2468" s="2" t="s">
        <v>37</v>
      </c>
      <c r="Q2468" s="4" t="n">
        <v>8731</v>
      </c>
      <c r="R2468" s="2" t="s">
        <v>56</v>
      </c>
      <c r="S2468" s="2"/>
      <c r="T2468" s="2" t="s">
        <v>40</v>
      </c>
      <c r="U2468" s="2" t="s">
        <v>18832</v>
      </c>
      <c r="V2468" s="2"/>
      <c r="W2468" s="2" t="s">
        <v>18781</v>
      </c>
      <c r="X2468" s="2" t="s">
        <v>43</v>
      </c>
      <c r="Y2468" s="2" t="s">
        <v>37</v>
      </c>
      <c r="Z2468" s="2" t="s">
        <v>44</v>
      </c>
      <c r="AA2468" s="2"/>
      <c r="AB2468" s="2"/>
      <c r="AC2468" s="2" t="s">
        <v>18833</v>
      </c>
      <c r="AD2468" s="2" t="s">
        <v>46</v>
      </c>
    </row>
    <row r="2469" customFormat="false" ht="15.7" hidden="false" customHeight="true" outlineLevel="0" collapsed="false">
      <c r="A2469" s="2"/>
      <c r="B2469" s="3" t="n">
        <f aca="false">DATE(2014,2,5)</f>
        <v>0</v>
      </c>
      <c r="C2469" s="3" t="n">
        <v>41675</v>
      </c>
      <c r="D2469" s="2" t="s">
        <v>18834</v>
      </c>
      <c r="F2469" s="2" t="s">
        <v>739</v>
      </c>
      <c r="G2469" s="2" t="s">
        <v>18835</v>
      </c>
      <c r="H2469" s="2" t="s">
        <v>130</v>
      </c>
      <c r="I2469" s="2" t="s">
        <v>51</v>
      </c>
      <c r="J2469" s="2" t="s">
        <v>7568</v>
      </c>
      <c r="K2469" s="2" t="s">
        <v>18836</v>
      </c>
      <c r="L2469" s="2" t="s">
        <v>51</v>
      </c>
      <c r="M2469" s="2" t="s">
        <v>130</v>
      </c>
      <c r="N2469" s="2" t="s">
        <v>18837</v>
      </c>
      <c r="O2469" s="2"/>
      <c r="P2469" s="2" t="s">
        <v>37</v>
      </c>
      <c r="Q2469" s="4" t="n">
        <v>8731</v>
      </c>
      <c r="R2469" s="2" t="s">
        <v>56</v>
      </c>
      <c r="S2469" s="2"/>
      <c r="T2469" s="2" t="s">
        <v>40</v>
      </c>
      <c r="U2469" s="2" t="s">
        <v>18838</v>
      </c>
      <c r="V2469" s="2"/>
      <c r="W2469" s="2" t="s">
        <v>4487</v>
      </c>
      <c r="X2469" s="2" t="s">
        <v>43</v>
      </c>
      <c r="Y2469" s="2" t="s">
        <v>37</v>
      </c>
      <c r="Z2469" s="2" t="s">
        <v>44</v>
      </c>
      <c r="AA2469" s="2"/>
      <c r="AB2469" s="2"/>
      <c r="AC2469" s="2" t="s">
        <v>18839</v>
      </c>
      <c r="AD2469" s="2" t="s">
        <v>46</v>
      </c>
    </row>
    <row r="2470" customFormat="false" ht="15.7" hidden="false" customHeight="true" outlineLevel="0" collapsed="false">
      <c r="A2470" s="2"/>
      <c r="B2470" s="3" t="n">
        <f aca="false">DATE(2014,2,5)</f>
        <v>0</v>
      </c>
      <c r="C2470" s="3" t="n">
        <v>41675</v>
      </c>
      <c r="D2470" s="2" t="s">
        <v>18840</v>
      </c>
      <c r="F2470" s="2" t="s">
        <v>18841</v>
      </c>
      <c r="G2470" s="2" t="s">
        <v>18842</v>
      </c>
      <c r="H2470" s="2" t="s">
        <v>130</v>
      </c>
      <c r="I2470" s="2" t="s">
        <v>51</v>
      </c>
      <c r="J2470" s="2" t="s">
        <v>16046</v>
      </c>
      <c r="K2470" s="2" t="s">
        <v>18843</v>
      </c>
      <c r="L2470" s="2" t="s">
        <v>51</v>
      </c>
      <c r="M2470" s="2" t="s">
        <v>130</v>
      </c>
      <c r="N2470" s="2" t="s">
        <v>18844</v>
      </c>
      <c r="O2470" s="2"/>
      <c r="P2470" s="2" t="s">
        <v>37</v>
      </c>
      <c r="Q2470" s="4" t="n">
        <v>8731</v>
      </c>
      <c r="R2470" s="2" t="s">
        <v>56</v>
      </c>
      <c r="S2470" s="2"/>
      <c r="T2470" s="2" t="s">
        <v>40</v>
      </c>
      <c r="U2470" s="2" t="s">
        <v>18845</v>
      </c>
      <c r="V2470" s="2"/>
      <c r="W2470" s="2" t="s">
        <v>4487</v>
      </c>
      <c r="X2470" s="2" t="s">
        <v>43</v>
      </c>
      <c r="Y2470" s="2" t="s">
        <v>37</v>
      </c>
      <c r="Z2470" s="2" t="s">
        <v>44</v>
      </c>
      <c r="AA2470" s="2"/>
      <c r="AB2470" s="2"/>
      <c r="AC2470" s="2" t="s">
        <v>18846</v>
      </c>
      <c r="AD2470" s="2" t="s">
        <v>46</v>
      </c>
    </row>
    <row r="2471" customFormat="false" ht="15.7" hidden="false" customHeight="true" outlineLevel="0" collapsed="false">
      <c r="A2471" s="2"/>
      <c r="B2471" s="3" t="n">
        <f aca="false">DATE(2014,2,6)</f>
        <v>0</v>
      </c>
      <c r="C2471" s="3" t="n">
        <v>41676</v>
      </c>
      <c r="D2471" s="2" t="s">
        <v>18847</v>
      </c>
      <c r="F2471" s="2" t="s">
        <v>18848</v>
      </c>
      <c r="G2471" s="2" t="s">
        <v>18849</v>
      </c>
      <c r="H2471" s="2" t="s">
        <v>18850</v>
      </c>
      <c r="I2471" s="2" t="s">
        <v>51</v>
      </c>
      <c r="J2471" s="2" t="s">
        <v>4804</v>
      </c>
      <c r="K2471" s="2" t="s">
        <v>18847</v>
      </c>
      <c r="L2471" s="2" t="s">
        <v>51</v>
      </c>
      <c r="M2471" s="2" t="s">
        <v>18850</v>
      </c>
      <c r="N2471" s="2" t="s">
        <v>18851</v>
      </c>
      <c r="O2471" s="2"/>
      <c r="P2471" s="2" t="s">
        <v>37</v>
      </c>
      <c r="Q2471" s="4" t="n">
        <v>3721</v>
      </c>
      <c r="R2471" s="2" t="s">
        <v>56</v>
      </c>
      <c r="S2471" s="2" t="s">
        <v>2265</v>
      </c>
      <c r="T2471" s="2" t="s">
        <v>403</v>
      </c>
      <c r="U2471" s="2" t="s">
        <v>18852</v>
      </c>
      <c r="V2471" s="2"/>
      <c r="W2471" s="2" t="s">
        <v>18853</v>
      </c>
      <c r="X2471" s="2" t="s">
        <v>43</v>
      </c>
      <c r="Y2471" s="2" t="s">
        <v>37</v>
      </c>
      <c r="Z2471" s="2" t="s">
        <v>44</v>
      </c>
      <c r="AA2471" s="2"/>
      <c r="AB2471" s="2"/>
      <c r="AC2471" s="2" t="s">
        <v>18854</v>
      </c>
      <c r="AD2471" s="2" t="s">
        <v>46</v>
      </c>
    </row>
    <row r="2472" customFormat="false" ht="15.7" hidden="false" customHeight="true" outlineLevel="0" collapsed="false">
      <c r="A2472" s="2"/>
      <c r="B2472" s="3" t="n">
        <f aca="false">DATE(2014,2,6)</f>
        <v>0</v>
      </c>
      <c r="C2472" s="3" t="n">
        <v>41676</v>
      </c>
      <c r="D2472" s="2" t="s">
        <v>18855</v>
      </c>
      <c r="F2472" s="2" t="s">
        <v>18856</v>
      </c>
      <c r="G2472" s="2" t="s">
        <v>18857</v>
      </c>
      <c r="H2472" s="2" t="s">
        <v>18858</v>
      </c>
      <c r="I2472" s="2" t="s">
        <v>685</v>
      </c>
      <c r="J2472" s="2" t="s">
        <v>35</v>
      </c>
      <c r="K2472" s="2" t="s">
        <v>18859</v>
      </c>
      <c r="L2472" s="2" t="s">
        <v>685</v>
      </c>
      <c r="M2472" s="2" t="s">
        <v>18860</v>
      </c>
      <c r="N2472" s="2" t="s">
        <v>18861</v>
      </c>
      <c r="O2472" s="2"/>
      <c r="P2472" s="2" t="s">
        <v>37</v>
      </c>
      <c r="Q2472" s="4" t="n">
        <v>4931</v>
      </c>
      <c r="R2472" s="2" t="s">
        <v>688</v>
      </c>
      <c r="S2472" s="2" t="s">
        <v>39</v>
      </c>
      <c r="T2472" s="2" t="s">
        <v>40</v>
      </c>
      <c r="U2472" s="2" t="s">
        <v>18862</v>
      </c>
      <c r="V2472" s="2"/>
      <c r="W2472" s="2" t="s">
        <v>11763</v>
      </c>
      <c r="X2472" s="2" t="s">
        <v>43</v>
      </c>
      <c r="Y2472" s="2" t="s">
        <v>37</v>
      </c>
      <c r="Z2472" s="2" t="s">
        <v>44</v>
      </c>
      <c r="AA2472" s="2"/>
      <c r="AB2472" s="2"/>
      <c r="AC2472" s="2" t="s">
        <v>18863</v>
      </c>
      <c r="AD2472" s="2" t="s">
        <v>46</v>
      </c>
    </row>
    <row r="2473" customFormat="false" ht="15.7" hidden="false" customHeight="true" outlineLevel="0" collapsed="false">
      <c r="A2473" s="2"/>
      <c r="B2473" s="3" t="n">
        <f aca="false">DATE(2014,2,11)</f>
        <v>0</v>
      </c>
      <c r="C2473" s="3" t="n">
        <v>41681</v>
      </c>
      <c r="D2473" s="2" t="s">
        <v>18864</v>
      </c>
      <c r="F2473" s="2" t="s">
        <v>18865</v>
      </c>
      <c r="G2473" s="2" t="s">
        <v>18866</v>
      </c>
      <c r="H2473" s="2" t="s">
        <v>18867</v>
      </c>
      <c r="I2473" s="2" t="s">
        <v>11795</v>
      </c>
      <c r="J2473" s="2" t="s">
        <v>331</v>
      </c>
      <c r="K2473" s="2" t="s">
        <v>18868</v>
      </c>
      <c r="L2473" s="2" t="s">
        <v>11795</v>
      </c>
      <c r="M2473" s="2" t="s">
        <v>18867</v>
      </c>
      <c r="N2473" s="2" t="s">
        <v>18869</v>
      </c>
      <c r="O2473" s="2"/>
      <c r="P2473" s="2" t="s">
        <v>37</v>
      </c>
      <c r="Q2473" s="4" t="n">
        <v>8732</v>
      </c>
      <c r="R2473" s="2" t="s">
        <v>1208</v>
      </c>
      <c r="S2473" s="2" t="s">
        <v>39</v>
      </c>
      <c r="T2473" s="2" t="s">
        <v>403</v>
      </c>
      <c r="U2473" s="2" t="s">
        <v>18870</v>
      </c>
      <c r="V2473" s="2"/>
      <c r="W2473" s="2" t="s">
        <v>42</v>
      </c>
      <c r="X2473" s="2" t="s">
        <v>46</v>
      </c>
      <c r="Y2473" s="2" t="s">
        <v>37</v>
      </c>
      <c r="Z2473" s="2" t="s">
        <v>362</v>
      </c>
      <c r="AA2473" s="2" t="s">
        <v>18871</v>
      </c>
      <c r="AB2473" s="2"/>
      <c r="AC2473" s="2" t="s">
        <v>18872</v>
      </c>
      <c r="AD2473" s="2" t="s">
        <v>46</v>
      </c>
    </row>
    <row r="2474" customFormat="false" ht="15.7" hidden="false" customHeight="true" outlineLevel="0" collapsed="false">
      <c r="A2474" s="2"/>
      <c r="B2474" s="3" t="n">
        <f aca="false">DATE(2014,2,12)</f>
        <v>0</v>
      </c>
      <c r="C2474" s="3" t="n">
        <v>41682</v>
      </c>
      <c r="D2474" s="2" t="s">
        <v>18873</v>
      </c>
      <c r="F2474" s="2" t="s">
        <v>18874</v>
      </c>
      <c r="G2474" s="2" t="s">
        <v>18875</v>
      </c>
      <c r="H2474" s="2" t="s">
        <v>18876</v>
      </c>
      <c r="I2474" s="2" t="s">
        <v>51</v>
      </c>
      <c r="J2474" s="2" t="s">
        <v>18877</v>
      </c>
      <c r="K2474" s="2" t="s">
        <v>18873</v>
      </c>
      <c r="L2474" s="2" t="s">
        <v>51</v>
      </c>
      <c r="M2474" s="2" t="s">
        <v>18876</v>
      </c>
      <c r="N2474" s="2" t="s">
        <v>18878</v>
      </c>
      <c r="O2474" s="2"/>
      <c r="P2474" s="2" t="s">
        <v>37</v>
      </c>
      <c r="Q2474" s="4" t="n">
        <v>7389</v>
      </c>
      <c r="R2474" s="2" t="s">
        <v>136</v>
      </c>
      <c r="S2474" s="2" t="s">
        <v>39</v>
      </c>
      <c r="T2474" s="2" t="s">
        <v>40</v>
      </c>
      <c r="U2474" s="2" t="s">
        <v>18879</v>
      </c>
      <c r="V2474" s="2"/>
      <c r="W2474" s="2" t="s">
        <v>18880</v>
      </c>
      <c r="X2474" s="2" t="s">
        <v>43</v>
      </c>
      <c r="Y2474" s="2" t="s">
        <v>37</v>
      </c>
      <c r="Z2474" s="2" t="s">
        <v>44</v>
      </c>
      <c r="AA2474" s="2"/>
      <c r="AB2474" s="2"/>
      <c r="AC2474" s="2" t="s">
        <v>18881</v>
      </c>
      <c r="AD2474" s="2" t="s">
        <v>46</v>
      </c>
    </row>
    <row r="2475" customFormat="false" ht="15.7" hidden="false" customHeight="true" outlineLevel="0" collapsed="false">
      <c r="A2475" s="2"/>
      <c r="B2475" s="3" t="n">
        <f aca="false">DATE(2014,2,12)</f>
        <v>0</v>
      </c>
      <c r="C2475" s="3" t="n">
        <v>41682</v>
      </c>
      <c r="D2475" s="2" t="s">
        <v>18882</v>
      </c>
      <c r="F2475" s="2" t="s">
        <v>18883</v>
      </c>
      <c r="G2475" s="2" t="s">
        <v>18884</v>
      </c>
      <c r="H2475" s="2" t="s">
        <v>7173</v>
      </c>
      <c r="I2475" s="2" t="s">
        <v>17440</v>
      </c>
      <c r="J2475" s="2" t="s">
        <v>35</v>
      </c>
      <c r="K2475" s="2" t="s">
        <v>18882</v>
      </c>
      <c r="L2475" s="2" t="s">
        <v>17440</v>
      </c>
      <c r="M2475" s="2" t="s">
        <v>7173</v>
      </c>
      <c r="N2475" s="2" t="s">
        <v>18885</v>
      </c>
      <c r="O2475" s="2"/>
      <c r="P2475" s="2" t="s">
        <v>37</v>
      </c>
      <c r="Q2475" s="4" t="n">
        <v>8731</v>
      </c>
      <c r="R2475" s="2" t="s">
        <v>1448</v>
      </c>
      <c r="S2475" s="2" t="s">
        <v>39</v>
      </c>
      <c r="T2475" s="2" t="s">
        <v>403</v>
      </c>
      <c r="U2475" s="2" t="s">
        <v>18886</v>
      </c>
      <c r="V2475" s="2"/>
      <c r="W2475" s="2" t="s">
        <v>42</v>
      </c>
      <c r="X2475" s="2" t="s">
        <v>43</v>
      </c>
      <c r="Y2475" s="2" t="s">
        <v>37</v>
      </c>
      <c r="Z2475" s="2" t="s">
        <v>44</v>
      </c>
      <c r="AA2475" s="2"/>
      <c r="AB2475" s="2"/>
      <c r="AC2475" s="2" t="s">
        <v>18887</v>
      </c>
      <c r="AD2475" s="2" t="s">
        <v>46</v>
      </c>
    </row>
    <row r="2476" customFormat="false" ht="15.7" hidden="false" customHeight="true" outlineLevel="0" collapsed="false">
      <c r="A2476" s="2"/>
      <c r="B2476" s="3" t="n">
        <f aca="false">DATE(2014,2,14)</f>
        <v>0</v>
      </c>
      <c r="C2476" s="3" t="n">
        <v>41684</v>
      </c>
      <c r="D2476" s="2" t="s">
        <v>18888</v>
      </c>
      <c r="F2476" s="2" t="s">
        <v>18889</v>
      </c>
      <c r="G2476" s="2" t="s">
        <v>18890</v>
      </c>
      <c r="H2476" s="2" t="s">
        <v>18891</v>
      </c>
      <c r="I2476" s="2" t="s">
        <v>1415</v>
      </c>
      <c r="J2476" s="2" t="s">
        <v>203</v>
      </c>
      <c r="K2476" s="2" t="s">
        <v>18888</v>
      </c>
      <c r="L2476" s="2" t="s">
        <v>1415</v>
      </c>
      <c r="M2476" s="2" t="s">
        <v>18891</v>
      </c>
      <c r="N2476" s="2" t="s">
        <v>18892</v>
      </c>
      <c r="O2476" s="2"/>
      <c r="P2476" s="2" t="s">
        <v>37</v>
      </c>
      <c r="Q2476" s="4" t="n">
        <v>3661</v>
      </c>
      <c r="R2476" s="2" t="s">
        <v>136</v>
      </c>
      <c r="S2476" s="2" t="s">
        <v>39</v>
      </c>
      <c r="T2476" s="2" t="s">
        <v>40</v>
      </c>
      <c r="U2476" s="2" t="s">
        <v>18893</v>
      </c>
      <c r="V2476" s="2"/>
      <c r="W2476" s="2" t="s">
        <v>18894</v>
      </c>
      <c r="X2476" s="2" t="s">
        <v>43</v>
      </c>
      <c r="Y2476" s="2" t="s">
        <v>37</v>
      </c>
      <c r="Z2476" s="2" t="s">
        <v>44</v>
      </c>
      <c r="AA2476" s="2"/>
      <c r="AB2476" s="2"/>
      <c r="AC2476" s="2" t="s">
        <v>18895</v>
      </c>
      <c r="AD2476" s="2" t="s">
        <v>46</v>
      </c>
    </row>
    <row r="2477" customFormat="false" ht="15.7" hidden="false" customHeight="true" outlineLevel="0" collapsed="false">
      <c r="A2477" s="2"/>
      <c r="B2477" s="3" t="n">
        <f aca="false">DATE(2014,2,20)</f>
        <v>0</v>
      </c>
      <c r="C2477" s="3" t="n">
        <v>41690</v>
      </c>
      <c r="D2477" s="2" t="s">
        <v>18896</v>
      </c>
      <c r="F2477" s="2" t="s">
        <v>18897</v>
      </c>
      <c r="G2477" s="2" t="s">
        <v>18898</v>
      </c>
      <c r="H2477" s="2" t="s">
        <v>130</v>
      </c>
      <c r="I2477" s="2" t="s">
        <v>51</v>
      </c>
      <c r="J2477" s="2" t="s">
        <v>1155</v>
      </c>
      <c r="K2477" s="2" t="s">
        <v>18896</v>
      </c>
      <c r="L2477" s="2" t="s">
        <v>51</v>
      </c>
      <c r="M2477" s="2" t="s">
        <v>130</v>
      </c>
      <c r="N2477" s="2" t="s">
        <v>18899</v>
      </c>
      <c r="O2477" s="2"/>
      <c r="P2477" s="2" t="s">
        <v>37</v>
      </c>
      <c r="Q2477" s="4" t="n">
        <v>8731</v>
      </c>
      <c r="R2477" s="2" t="s">
        <v>56</v>
      </c>
      <c r="S2477" s="2"/>
      <c r="T2477" s="2" t="s">
        <v>40</v>
      </c>
      <c r="U2477" s="2" t="s">
        <v>18900</v>
      </c>
      <c r="V2477" s="2"/>
      <c r="W2477" s="2" t="s">
        <v>42</v>
      </c>
      <c r="X2477" s="2" t="s">
        <v>43</v>
      </c>
      <c r="Y2477" s="2" t="s">
        <v>37</v>
      </c>
      <c r="Z2477" s="2" t="s">
        <v>44</v>
      </c>
      <c r="AA2477" s="2"/>
      <c r="AB2477" s="2"/>
      <c r="AC2477" s="2" t="s">
        <v>18901</v>
      </c>
      <c r="AD2477" s="2" t="s">
        <v>46</v>
      </c>
    </row>
    <row r="2478" customFormat="false" ht="15.7" hidden="false" customHeight="true" outlineLevel="0" collapsed="false">
      <c r="A2478" s="2"/>
      <c r="B2478" s="3" t="n">
        <f aca="false">DATE(2014,2,23)</f>
        <v>0</v>
      </c>
      <c r="C2478" s="3" t="n">
        <v>41693</v>
      </c>
      <c r="D2478" s="2" t="s">
        <v>18902</v>
      </c>
      <c r="F2478" s="2" t="s">
        <v>18903</v>
      </c>
      <c r="G2478" s="2" t="s">
        <v>18904</v>
      </c>
      <c r="H2478" s="2" t="s">
        <v>11620</v>
      </c>
      <c r="I2478" s="2" t="s">
        <v>2727</v>
      </c>
      <c r="J2478" s="2" t="s">
        <v>35</v>
      </c>
      <c r="K2478" s="2" t="s">
        <v>18905</v>
      </c>
      <c r="L2478" s="2" t="s">
        <v>4325</v>
      </c>
      <c r="M2478" s="2" t="s">
        <v>18906</v>
      </c>
      <c r="N2478" s="2" t="s">
        <v>18907</v>
      </c>
      <c r="O2478" s="2"/>
      <c r="P2478" s="2" t="s">
        <v>37</v>
      </c>
      <c r="Q2478" s="4" t="n">
        <v>3999</v>
      </c>
      <c r="R2478" s="2" t="s">
        <v>402</v>
      </c>
      <c r="S2478" s="2" t="s">
        <v>39</v>
      </c>
      <c r="T2478" s="2" t="s">
        <v>403</v>
      </c>
      <c r="U2478" s="2" t="s">
        <v>18908</v>
      </c>
      <c r="V2478" s="2"/>
      <c r="W2478" s="2" t="s">
        <v>107</v>
      </c>
      <c r="X2478" s="2" t="s">
        <v>46</v>
      </c>
      <c r="Y2478" s="2" t="s">
        <v>37</v>
      </c>
      <c r="Z2478" s="2" t="s">
        <v>2565</v>
      </c>
      <c r="AA2478" s="2" t="s">
        <v>18909</v>
      </c>
      <c r="AB2478" s="2"/>
      <c r="AC2478" s="2" t="s">
        <v>18910</v>
      </c>
      <c r="AD2478" s="2" t="s">
        <v>46</v>
      </c>
    </row>
    <row r="2479" customFormat="false" ht="15.7" hidden="false" customHeight="true" outlineLevel="0" collapsed="false">
      <c r="A2479" s="2"/>
      <c r="B2479" s="3" t="n">
        <f aca="false">DATE(2014,2,24)</f>
        <v>0</v>
      </c>
      <c r="C2479" s="3" t="n">
        <v>41694</v>
      </c>
      <c r="D2479" s="2" t="s">
        <v>18911</v>
      </c>
      <c r="F2479" s="2" t="s">
        <v>18912</v>
      </c>
      <c r="G2479" s="2" t="s">
        <v>18913</v>
      </c>
      <c r="H2479" s="2" t="s">
        <v>4569</v>
      </c>
      <c r="I2479" s="2" t="s">
        <v>13417</v>
      </c>
      <c r="J2479" s="2" t="s">
        <v>35</v>
      </c>
      <c r="K2479" s="2" t="s">
        <v>18914</v>
      </c>
      <c r="L2479" s="2" t="s">
        <v>13417</v>
      </c>
      <c r="M2479" s="2" t="s">
        <v>4569</v>
      </c>
      <c r="N2479" s="2" t="s">
        <v>18915</v>
      </c>
      <c r="O2479" s="2"/>
      <c r="P2479" s="2" t="s">
        <v>37</v>
      </c>
      <c r="Q2479" s="4" t="n">
        <v>8731</v>
      </c>
      <c r="R2479" s="2" t="s">
        <v>105</v>
      </c>
      <c r="S2479" s="2" t="s">
        <v>39</v>
      </c>
      <c r="T2479" s="2" t="s">
        <v>40</v>
      </c>
      <c r="U2479" s="2" t="s">
        <v>18916</v>
      </c>
      <c r="V2479" s="2"/>
      <c r="W2479" s="2" t="s">
        <v>42</v>
      </c>
      <c r="X2479" s="2" t="s">
        <v>43</v>
      </c>
      <c r="Y2479" s="2" t="s">
        <v>37</v>
      </c>
      <c r="Z2479" s="2" t="s">
        <v>44</v>
      </c>
      <c r="AA2479" s="2"/>
      <c r="AB2479" s="2"/>
      <c r="AC2479" s="2" t="s">
        <v>18917</v>
      </c>
      <c r="AD2479" s="2" t="s">
        <v>46</v>
      </c>
    </row>
    <row r="2480" customFormat="false" ht="15.7" hidden="false" customHeight="true" outlineLevel="0" collapsed="false">
      <c r="A2480" s="2"/>
      <c r="B2480" s="3" t="n">
        <f aca="false">DATE(2014,2,26)</f>
        <v>0</v>
      </c>
      <c r="C2480" s="3" t="n">
        <v>41696</v>
      </c>
      <c r="D2480" s="2" t="s">
        <v>18918</v>
      </c>
      <c r="F2480" s="2" t="s">
        <v>18919</v>
      </c>
      <c r="G2480" s="2" t="s">
        <v>18920</v>
      </c>
      <c r="H2480" s="2" t="s">
        <v>130</v>
      </c>
      <c r="I2480" s="2" t="s">
        <v>540</v>
      </c>
      <c r="J2480" s="2" t="s">
        <v>35</v>
      </c>
      <c r="K2480" s="2" t="s">
        <v>18918</v>
      </c>
      <c r="L2480" s="2" t="s">
        <v>540</v>
      </c>
      <c r="M2480" s="2" t="s">
        <v>130</v>
      </c>
      <c r="N2480" s="2" t="s">
        <v>18921</v>
      </c>
      <c r="O2480" s="2"/>
      <c r="P2480" s="2" t="s">
        <v>37</v>
      </c>
      <c r="Q2480" s="4" t="n">
        <v>8731</v>
      </c>
      <c r="R2480" s="2" t="s">
        <v>1448</v>
      </c>
      <c r="S2480" s="2" t="s">
        <v>39</v>
      </c>
      <c r="T2480" s="2" t="s">
        <v>673</v>
      </c>
      <c r="U2480" s="2" t="s">
        <v>18922</v>
      </c>
      <c r="V2480" s="2"/>
      <c r="W2480" s="2" t="s">
        <v>18923</v>
      </c>
      <c r="X2480" s="2" t="s">
        <v>46</v>
      </c>
      <c r="Y2480" s="2" t="s">
        <v>37</v>
      </c>
      <c r="Z2480" s="2" t="s">
        <v>362</v>
      </c>
      <c r="AA2480" s="2"/>
      <c r="AB2480" s="2"/>
      <c r="AC2480" s="2" t="s">
        <v>18924</v>
      </c>
      <c r="AD2480" s="2" t="s">
        <v>46</v>
      </c>
    </row>
    <row r="2481" customFormat="false" ht="15.7" hidden="false" customHeight="true" outlineLevel="0" collapsed="false">
      <c r="A2481" s="2"/>
      <c r="B2481" s="3" t="n">
        <f aca="false">DATE(2014,2,27)</f>
        <v>0</v>
      </c>
      <c r="C2481" s="3" t="n">
        <v>41697</v>
      </c>
      <c r="D2481" s="2" t="s">
        <v>18925</v>
      </c>
      <c r="F2481" s="2" t="s">
        <v>18926</v>
      </c>
      <c r="G2481" s="2" t="s">
        <v>18927</v>
      </c>
      <c r="H2481" s="2" t="s">
        <v>18928</v>
      </c>
      <c r="I2481" s="2" t="s">
        <v>1779</v>
      </c>
      <c r="J2481" s="2" t="s">
        <v>35</v>
      </c>
      <c r="K2481" s="2" t="s">
        <v>18925</v>
      </c>
      <c r="L2481" s="2" t="s">
        <v>1779</v>
      </c>
      <c r="M2481" s="2" t="s">
        <v>18928</v>
      </c>
      <c r="N2481" s="2" t="s">
        <v>18929</v>
      </c>
      <c r="O2481" s="2"/>
      <c r="P2481" s="2" t="s">
        <v>37</v>
      </c>
      <c r="Q2481" s="4" t="n">
        <v>8731</v>
      </c>
      <c r="R2481" s="2" t="s">
        <v>56</v>
      </c>
      <c r="S2481" s="2"/>
      <c r="T2481" s="2" t="s">
        <v>403</v>
      </c>
      <c r="U2481" s="2" t="s">
        <v>18930</v>
      </c>
      <c r="V2481" s="2"/>
      <c r="W2481" s="2" t="s">
        <v>344</v>
      </c>
      <c r="X2481" s="2" t="s">
        <v>43</v>
      </c>
      <c r="Y2481" s="2" t="s">
        <v>37</v>
      </c>
      <c r="Z2481" s="2" t="s">
        <v>44</v>
      </c>
      <c r="AA2481" s="2"/>
      <c r="AB2481" s="2"/>
      <c r="AC2481" s="2" t="s">
        <v>18931</v>
      </c>
      <c r="AD2481" s="2" t="s">
        <v>46</v>
      </c>
    </row>
    <row r="2482" customFormat="false" ht="15.7" hidden="false" customHeight="true" outlineLevel="0" collapsed="false">
      <c r="A2482" s="2"/>
      <c r="B2482" s="3" t="n">
        <f aca="false">DATE(2014,2,27)</f>
        <v>0</v>
      </c>
      <c r="C2482" s="3" t="n">
        <v>41697</v>
      </c>
      <c r="D2482" s="2" t="s">
        <v>18932</v>
      </c>
      <c r="F2482" s="2" t="s">
        <v>18933</v>
      </c>
      <c r="G2482" s="2" t="s">
        <v>18934</v>
      </c>
      <c r="H2482" s="2" t="s">
        <v>18935</v>
      </c>
      <c r="I2482" s="2" t="s">
        <v>51</v>
      </c>
      <c r="J2482" s="2" t="s">
        <v>18936</v>
      </c>
      <c r="K2482" s="2" t="s">
        <v>18932</v>
      </c>
      <c r="L2482" s="2" t="s">
        <v>51</v>
      </c>
      <c r="M2482" s="2" t="s">
        <v>18935</v>
      </c>
      <c r="N2482" s="2" t="s">
        <v>18937</v>
      </c>
      <c r="O2482" s="2"/>
      <c r="P2482" s="2" t="s">
        <v>37</v>
      </c>
      <c r="Q2482" s="4" t="n">
        <v>7372</v>
      </c>
      <c r="R2482" s="2" t="s">
        <v>56</v>
      </c>
      <c r="S2482" s="2" t="s">
        <v>5846</v>
      </c>
      <c r="T2482" s="2" t="s">
        <v>40</v>
      </c>
      <c r="U2482" s="2" t="s">
        <v>18938</v>
      </c>
      <c r="V2482" s="2"/>
      <c r="W2482" s="2" t="s">
        <v>18939</v>
      </c>
      <c r="X2482" s="2" t="s">
        <v>43</v>
      </c>
      <c r="Y2482" s="2" t="s">
        <v>37</v>
      </c>
      <c r="Z2482" s="2" t="s">
        <v>44</v>
      </c>
      <c r="AA2482" s="2"/>
      <c r="AB2482" s="2"/>
      <c r="AC2482" s="2" t="s">
        <v>18940</v>
      </c>
      <c r="AD2482" s="2" t="s">
        <v>46</v>
      </c>
    </row>
    <row r="2483" customFormat="false" ht="15.7" hidden="false" customHeight="true" outlineLevel="0" collapsed="false">
      <c r="A2483" s="2"/>
      <c r="B2483" s="3" t="n">
        <f aca="false">DATE(2014,3,1)</f>
        <v>0</v>
      </c>
      <c r="C2483" s="3" t="n">
        <v>41699</v>
      </c>
      <c r="D2483" s="2" t="s">
        <v>18941</v>
      </c>
      <c r="F2483" s="2" t="s">
        <v>18942</v>
      </c>
      <c r="G2483" s="2" t="s">
        <v>18943</v>
      </c>
      <c r="H2483" s="2" t="s">
        <v>18944</v>
      </c>
      <c r="I2483" s="2" t="s">
        <v>18945</v>
      </c>
      <c r="J2483" s="2" t="s">
        <v>795</v>
      </c>
      <c r="K2483" s="2" t="s">
        <v>18941</v>
      </c>
      <c r="L2483" s="2" t="s">
        <v>18945</v>
      </c>
      <c r="M2483" s="2" t="s">
        <v>18944</v>
      </c>
      <c r="N2483" s="2" t="s">
        <v>18946</v>
      </c>
      <c r="O2483" s="2"/>
      <c r="P2483" s="2" t="s">
        <v>37</v>
      </c>
      <c r="Q2483" s="4" t="n">
        <v>8742</v>
      </c>
      <c r="R2483" s="2" t="s">
        <v>18947</v>
      </c>
      <c r="S2483" s="2" t="s">
        <v>39</v>
      </c>
      <c r="T2483" s="2" t="s">
        <v>40</v>
      </c>
      <c r="U2483" s="2" t="s">
        <v>18948</v>
      </c>
      <c r="V2483" s="2"/>
      <c r="W2483" s="2" t="s">
        <v>18949</v>
      </c>
      <c r="X2483" s="2" t="s">
        <v>46</v>
      </c>
      <c r="Y2483" s="2" t="s">
        <v>37</v>
      </c>
      <c r="Z2483" s="2" t="s">
        <v>362</v>
      </c>
      <c r="AA2483" s="2"/>
      <c r="AB2483" s="2"/>
      <c r="AC2483" s="2" t="s">
        <v>18950</v>
      </c>
      <c r="AD2483" s="2" t="s">
        <v>46</v>
      </c>
    </row>
    <row r="2484" customFormat="false" ht="15.7" hidden="false" customHeight="true" outlineLevel="0" collapsed="false">
      <c r="A2484" s="2"/>
      <c r="B2484" s="3" t="n">
        <f aca="false">DATE(2014,3,1)</f>
        <v>0</v>
      </c>
      <c r="C2484" s="3" t="n">
        <v>41699</v>
      </c>
      <c r="D2484" s="2" t="s">
        <v>18951</v>
      </c>
      <c r="F2484" s="2" t="s">
        <v>18952</v>
      </c>
      <c r="G2484" s="2" t="s">
        <v>18953</v>
      </c>
      <c r="H2484" s="2" t="s">
        <v>18954</v>
      </c>
      <c r="I2484" s="2" t="s">
        <v>18955</v>
      </c>
      <c r="J2484" s="2" t="s">
        <v>116</v>
      </c>
      <c r="K2484" s="2" t="s">
        <v>18951</v>
      </c>
      <c r="L2484" s="2" t="s">
        <v>18955</v>
      </c>
      <c r="M2484" s="2" t="s">
        <v>18954</v>
      </c>
      <c r="N2484" s="2" t="s">
        <v>18956</v>
      </c>
      <c r="O2484" s="2"/>
      <c r="P2484" s="2" t="s">
        <v>37</v>
      </c>
      <c r="Q2484" s="4" t="n">
        <v>1522</v>
      </c>
      <c r="R2484" s="2" t="s">
        <v>2201</v>
      </c>
      <c r="S2484" s="2" t="s">
        <v>39</v>
      </c>
      <c r="T2484" s="2" t="s">
        <v>40</v>
      </c>
      <c r="U2484" s="2" t="s">
        <v>18957</v>
      </c>
      <c r="V2484" s="2"/>
      <c r="W2484" s="2" t="s">
        <v>18958</v>
      </c>
      <c r="X2484" s="2" t="s">
        <v>46</v>
      </c>
      <c r="Y2484" s="2" t="s">
        <v>37</v>
      </c>
      <c r="Z2484" s="2" t="s">
        <v>18959</v>
      </c>
      <c r="AA2484" s="2"/>
      <c r="AB2484" s="2"/>
      <c r="AC2484" s="2" t="s">
        <v>18960</v>
      </c>
      <c r="AD2484" s="2" t="s">
        <v>46</v>
      </c>
    </row>
    <row r="2485" customFormat="false" ht="15.7" hidden="false" customHeight="true" outlineLevel="0" collapsed="false">
      <c r="A2485" s="2"/>
      <c r="B2485" s="3" t="n">
        <f aca="false">DATE(2014,3,3)</f>
        <v>0</v>
      </c>
      <c r="C2485" s="3" t="n">
        <v>41701</v>
      </c>
      <c r="D2485" s="2" t="s">
        <v>18961</v>
      </c>
      <c r="F2485" s="2" t="s">
        <v>4736</v>
      </c>
      <c r="G2485" s="2" t="s">
        <v>18962</v>
      </c>
      <c r="H2485" s="2" t="s">
        <v>523</v>
      </c>
      <c r="I2485" s="2" t="s">
        <v>51</v>
      </c>
      <c r="J2485" s="2" t="s">
        <v>18963</v>
      </c>
      <c r="K2485" s="2" t="s">
        <v>18961</v>
      </c>
      <c r="L2485" s="2" t="s">
        <v>51</v>
      </c>
      <c r="M2485" s="2" t="s">
        <v>523</v>
      </c>
      <c r="N2485" s="2" t="s">
        <v>18964</v>
      </c>
      <c r="O2485" s="2"/>
      <c r="P2485" s="2" t="s">
        <v>37</v>
      </c>
      <c r="Q2485" s="4" t="n">
        <v>2834</v>
      </c>
      <c r="R2485" s="2" t="s">
        <v>56</v>
      </c>
      <c r="S2485" s="2"/>
      <c r="T2485" s="2" t="s">
        <v>40</v>
      </c>
      <c r="U2485" s="2" t="s">
        <v>18965</v>
      </c>
      <c r="V2485" s="2"/>
      <c r="W2485" s="2" t="s">
        <v>18966</v>
      </c>
      <c r="X2485" s="2" t="s">
        <v>46</v>
      </c>
      <c r="Y2485" s="2" t="s">
        <v>37</v>
      </c>
      <c r="Z2485" s="2" t="s">
        <v>362</v>
      </c>
      <c r="AA2485" s="2"/>
      <c r="AB2485" s="2"/>
      <c r="AC2485" s="2" t="s">
        <v>18967</v>
      </c>
      <c r="AD2485" s="2" t="s">
        <v>46</v>
      </c>
    </row>
    <row r="2486" customFormat="false" ht="15.7" hidden="false" customHeight="true" outlineLevel="0" collapsed="false">
      <c r="A2486" s="2"/>
      <c r="B2486" s="3" t="n">
        <f aca="false">DATE(2014,3,3)</f>
        <v>0</v>
      </c>
      <c r="C2486" s="3" t="n">
        <v>41701</v>
      </c>
      <c r="D2486" s="2" t="s">
        <v>18968</v>
      </c>
      <c r="F2486" s="2" t="s">
        <v>347</v>
      </c>
      <c r="G2486" s="2" t="s">
        <v>18969</v>
      </c>
      <c r="H2486" s="2" t="s">
        <v>63</v>
      </c>
      <c r="I2486" s="2" t="s">
        <v>670</v>
      </c>
      <c r="J2486" s="2" t="s">
        <v>65</v>
      </c>
      <c r="K2486" s="2" t="s">
        <v>18968</v>
      </c>
      <c r="L2486" s="2" t="s">
        <v>670</v>
      </c>
      <c r="M2486" s="2" t="s">
        <v>63</v>
      </c>
      <c r="N2486" s="2" t="s">
        <v>18970</v>
      </c>
      <c r="O2486" s="2"/>
      <c r="P2486" s="2" t="s">
        <v>37</v>
      </c>
      <c r="Q2486" s="4" t="n">
        <v>8731</v>
      </c>
      <c r="R2486" s="2" t="s">
        <v>136</v>
      </c>
      <c r="S2486" s="2" t="s">
        <v>39</v>
      </c>
      <c r="T2486" s="2" t="s">
        <v>40</v>
      </c>
      <c r="U2486" s="2" t="s">
        <v>18971</v>
      </c>
      <c r="V2486" s="2"/>
      <c r="W2486" s="2" t="s">
        <v>18972</v>
      </c>
      <c r="X2486" s="2" t="s">
        <v>43</v>
      </c>
      <c r="Y2486" s="2" t="s">
        <v>37</v>
      </c>
      <c r="Z2486" s="2" t="s">
        <v>44</v>
      </c>
      <c r="AA2486" s="2" t="s">
        <v>18973</v>
      </c>
      <c r="AB2486" s="2"/>
      <c r="AC2486" s="2" t="s">
        <v>18974</v>
      </c>
      <c r="AD2486" s="2" t="s">
        <v>46</v>
      </c>
    </row>
    <row r="2487" customFormat="false" ht="15.7" hidden="false" customHeight="true" outlineLevel="0" collapsed="false">
      <c r="A2487" s="2"/>
      <c r="B2487" s="3" t="n">
        <f aca="false">DATE(2014,3,3)</f>
        <v>0</v>
      </c>
      <c r="C2487" s="3" t="n">
        <v>41701</v>
      </c>
      <c r="D2487" s="2" t="s">
        <v>18975</v>
      </c>
      <c r="F2487" s="2" t="s">
        <v>4786</v>
      </c>
      <c r="G2487" s="2" t="s">
        <v>18976</v>
      </c>
      <c r="H2487" s="2" t="s">
        <v>63</v>
      </c>
      <c r="I2487" s="2" t="s">
        <v>18977</v>
      </c>
      <c r="J2487" s="2" t="s">
        <v>35</v>
      </c>
      <c r="K2487" s="2" t="s">
        <v>18978</v>
      </c>
      <c r="L2487" s="2" t="s">
        <v>1904</v>
      </c>
      <c r="M2487" s="2" t="s">
        <v>130</v>
      </c>
      <c r="N2487" s="2" t="s">
        <v>18979</v>
      </c>
      <c r="O2487" s="2"/>
      <c r="P2487" s="2" t="s">
        <v>37</v>
      </c>
      <c r="Q2487" s="4" t="n">
        <v>2833</v>
      </c>
      <c r="R2487" s="2" t="s">
        <v>136</v>
      </c>
      <c r="S2487" s="2" t="s">
        <v>39</v>
      </c>
      <c r="T2487" s="2" t="s">
        <v>40</v>
      </c>
      <c r="U2487" s="2" t="s">
        <v>18980</v>
      </c>
      <c r="V2487" s="2"/>
      <c r="W2487" s="2" t="s">
        <v>344</v>
      </c>
      <c r="X2487" s="2" t="s">
        <v>43</v>
      </c>
      <c r="Y2487" s="2" t="s">
        <v>37</v>
      </c>
      <c r="Z2487" s="2" t="s">
        <v>44</v>
      </c>
      <c r="AA2487" s="2"/>
      <c r="AB2487" s="2"/>
      <c r="AC2487" s="2" t="s">
        <v>18981</v>
      </c>
      <c r="AD2487" s="2" t="s">
        <v>46</v>
      </c>
    </row>
    <row r="2488" customFormat="false" ht="15.7" hidden="false" customHeight="true" outlineLevel="0" collapsed="false">
      <c r="A2488" s="2"/>
      <c r="B2488" s="3" t="n">
        <f aca="false">DATE(2014,3,4)</f>
        <v>0</v>
      </c>
      <c r="C2488" s="3" t="n">
        <v>41702</v>
      </c>
      <c r="D2488" s="2" t="s">
        <v>18982</v>
      </c>
      <c r="F2488" s="2" t="s">
        <v>18983</v>
      </c>
      <c r="G2488" s="2" t="s">
        <v>18984</v>
      </c>
      <c r="H2488" s="2" t="s">
        <v>18985</v>
      </c>
      <c r="I2488" s="2" t="s">
        <v>18986</v>
      </c>
      <c r="J2488" s="2" t="s">
        <v>35</v>
      </c>
      <c r="K2488" s="2" t="s">
        <v>18987</v>
      </c>
      <c r="L2488" s="2" t="s">
        <v>18988</v>
      </c>
      <c r="M2488" s="2" t="s">
        <v>18985</v>
      </c>
      <c r="N2488" s="2" t="s">
        <v>18989</v>
      </c>
      <c r="O2488" s="2"/>
      <c r="P2488" s="2" t="s">
        <v>37</v>
      </c>
      <c r="Q2488" s="4" t="n">
        <v>1041</v>
      </c>
      <c r="R2488" s="2" t="s">
        <v>18990</v>
      </c>
      <c r="S2488" s="2" t="s">
        <v>39</v>
      </c>
      <c r="T2488" s="2" t="s">
        <v>403</v>
      </c>
      <c r="U2488" s="2" t="s">
        <v>18991</v>
      </c>
      <c r="V2488" s="2"/>
      <c r="W2488" s="2" t="s">
        <v>10902</v>
      </c>
      <c r="X2488" s="2" t="s">
        <v>46</v>
      </c>
      <c r="Y2488" s="2" t="s">
        <v>37</v>
      </c>
      <c r="Z2488" s="2" t="s">
        <v>18992</v>
      </c>
      <c r="AA2488" s="2"/>
      <c r="AB2488" s="2"/>
      <c r="AC2488" s="2" t="s">
        <v>18993</v>
      </c>
      <c r="AD2488" s="2" t="s">
        <v>46</v>
      </c>
    </row>
    <row r="2489" customFormat="false" ht="15.7" hidden="false" customHeight="true" outlineLevel="0" collapsed="false">
      <c r="A2489" s="2"/>
      <c r="B2489" s="3" t="n">
        <f aca="false">DATE(2014,3,5)</f>
        <v>0</v>
      </c>
      <c r="C2489" s="3" t="n">
        <v>41703</v>
      </c>
      <c r="D2489" s="2" t="s">
        <v>18994</v>
      </c>
      <c r="F2489" s="2" t="s">
        <v>11781</v>
      </c>
      <c r="G2489" s="2" t="s">
        <v>18995</v>
      </c>
      <c r="H2489" s="2" t="s">
        <v>305</v>
      </c>
      <c r="I2489" s="2" t="s">
        <v>664</v>
      </c>
      <c r="J2489" s="2" t="s">
        <v>331</v>
      </c>
      <c r="K2489" s="2" t="s">
        <v>18994</v>
      </c>
      <c r="L2489" s="2" t="s">
        <v>664</v>
      </c>
      <c r="M2489" s="2" t="s">
        <v>305</v>
      </c>
      <c r="N2489" s="2" t="s">
        <v>18996</v>
      </c>
      <c r="O2489" s="2"/>
      <c r="P2489" s="2" t="s">
        <v>37</v>
      </c>
      <c r="Q2489" s="4" t="n">
        <v>8731</v>
      </c>
      <c r="R2489" s="2" t="s">
        <v>136</v>
      </c>
      <c r="S2489" s="2" t="s">
        <v>39</v>
      </c>
      <c r="T2489" s="2" t="s">
        <v>40</v>
      </c>
      <c r="U2489" s="2" t="s">
        <v>18997</v>
      </c>
      <c r="V2489" s="2"/>
      <c r="W2489" s="2" t="s">
        <v>344</v>
      </c>
      <c r="X2489" s="2" t="s">
        <v>43</v>
      </c>
      <c r="Y2489" s="2" t="s">
        <v>37</v>
      </c>
      <c r="Z2489" s="2" t="s">
        <v>44</v>
      </c>
      <c r="AA2489" s="2"/>
      <c r="AB2489" s="2"/>
      <c r="AC2489" s="2" t="s">
        <v>18998</v>
      </c>
      <c r="AD2489" s="2" t="s">
        <v>46</v>
      </c>
    </row>
    <row r="2490" customFormat="false" ht="15.7" hidden="false" customHeight="true" outlineLevel="0" collapsed="false">
      <c r="A2490" s="2"/>
      <c r="B2490" s="3" t="n">
        <f aca="false">DATE(2014,3,6)</f>
        <v>0</v>
      </c>
      <c r="C2490" s="3" t="n">
        <v>41704</v>
      </c>
      <c r="D2490" s="2" t="s">
        <v>18999</v>
      </c>
      <c r="F2490" s="2" t="s">
        <v>2026</v>
      </c>
      <c r="G2490" s="2" t="s">
        <v>19000</v>
      </c>
      <c r="H2490" s="2" t="s">
        <v>762</v>
      </c>
      <c r="I2490" s="2" t="s">
        <v>51</v>
      </c>
      <c r="J2490" s="2" t="s">
        <v>504</v>
      </c>
      <c r="K2490" s="2" t="s">
        <v>19001</v>
      </c>
      <c r="L2490" s="2" t="s">
        <v>51</v>
      </c>
      <c r="M2490" s="2" t="s">
        <v>13292</v>
      </c>
      <c r="N2490" s="2" t="s">
        <v>19002</v>
      </c>
      <c r="O2490" s="2"/>
      <c r="P2490" s="2" t="s">
        <v>37</v>
      </c>
      <c r="Q2490" s="4" t="n">
        <v>8731</v>
      </c>
      <c r="R2490" s="2" t="s">
        <v>56</v>
      </c>
      <c r="S2490" s="2"/>
      <c r="T2490" s="2" t="s">
        <v>40</v>
      </c>
      <c r="U2490" s="2" t="s">
        <v>19003</v>
      </c>
      <c r="V2490" s="2"/>
      <c r="W2490" s="2" t="s">
        <v>344</v>
      </c>
      <c r="X2490" s="2" t="s">
        <v>43</v>
      </c>
      <c r="Y2490" s="2" t="s">
        <v>37</v>
      </c>
      <c r="Z2490" s="2" t="s">
        <v>44</v>
      </c>
      <c r="AA2490" s="2"/>
      <c r="AB2490" s="2"/>
      <c r="AC2490" s="2" t="s">
        <v>19004</v>
      </c>
      <c r="AD2490" s="2" t="s">
        <v>46</v>
      </c>
    </row>
    <row r="2491" customFormat="false" ht="15.7" hidden="false" customHeight="true" outlineLevel="0" collapsed="false">
      <c r="A2491" s="2"/>
      <c r="B2491" s="3" t="n">
        <f aca="false">DATE(2014,3,10)</f>
        <v>0</v>
      </c>
      <c r="C2491" s="3" t="n">
        <v>41708</v>
      </c>
      <c r="D2491" s="2" t="s">
        <v>19005</v>
      </c>
      <c r="F2491" s="2" t="s">
        <v>19006</v>
      </c>
      <c r="G2491" s="2" t="s">
        <v>19007</v>
      </c>
      <c r="H2491" s="2" t="s">
        <v>19008</v>
      </c>
      <c r="I2491" s="2" t="s">
        <v>19009</v>
      </c>
      <c r="J2491" s="2" t="s">
        <v>35</v>
      </c>
      <c r="K2491" s="2" t="s">
        <v>19005</v>
      </c>
      <c r="L2491" s="2" t="s">
        <v>19009</v>
      </c>
      <c r="M2491" s="2" t="s">
        <v>19008</v>
      </c>
      <c r="N2491" s="2" t="s">
        <v>19010</v>
      </c>
      <c r="O2491" s="2"/>
      <c r="P2491" s="2" t="s">
        <v>37</v>
      </c>
      <c r="Q2491" s="4" t="n">
        <v>3821</v>
      </c>
      <c r="R2491" s="2" t="s">
        <v>38</v>
      </c>
      <c r="S2491" s="2" t="s">
        <v>39</v>
      </c>
      <c r="T2491" s="2" t="s">
        <v>40</v>
      </c>
      <c r="U2491" s="2" t="s">
        <v>19011</v>
      </c>
      <c r="V2491" s="2"/>
      <c r="W2491" s="2" t="s">
        <v>344</v>
      </c>
      <c r="X2491" s="2" t="s">
        <v>46</v>
      </c>
      <c r="Y2491" s="2" t="s">
        <v>37</v>
      </c>
      <c r="Z2491" s="2" t="s">
        <v>362</v>
      </c>
      <c r="AA2491" s="2" t="s">
        <v>19012</v>
      </c>
      <c r="AB2491" s="2"/>
      <c r="AC2491" s="2" t="s">
        <v>19013</v>
      </c>
      <c r="AD2491" s="2" t="s">
        <v>46</v>
      </c>
    </row>
    <row r="2492" customFormat="false" ht="15.7" hidden="false" customHeight="true" outlineLevel="0" collapsed="false">
      <c r="A2492" s="2"/>
      <c r="B2492" s="3" t="n">
        <f aca="false">DATE(2014,3,11)</f>
        <v>0</v>
      </c>
      <c r="C2492" s="3" t="n">
        <v>41709</v>
      </c>
      <c r="D2492" s="2" t="s">
        <v>19014</v>
      </c>
      <c r="F2492" s="2" t="s">
        <v>19015</v>
      </c>
      <c r="G2492" s="2" t="s">
        <v>19016</v>
      </c>
      <c r="H2492" s="2" t="s">
        <v>19017</v>
      </c>
      <c r="I2492" s="2" t="s">
        <v>330</v>
      </c>
      <c r="J2492" s="2" t="s">
        <v>3385</v>
      </c>
      <c r="K2492" s="2" t="s">
        <v>19014</v>
      </c>
      <c r="L2492" s="2" t="s">
        <v>330</v>
      </c>
      <c r="M2492" s="2" t="s">
        <v>19017</v>
      </c>
      <c r="N2492" s="2" t="s">
        <v>19018</v>
      </c>
      <c r="O2492" s="2"/>
      <c r="P2492" s="2" t="s">
        <v>37</v>
      </c>
      <c r="Q2492" s="4" t="n">
        <v>5989</v>
      </c>
      <c r="R2492" s="2" t="s">
        <v>56</v>
      </c>
      <c r="S2492" s="2"/>
      <c r="T2492" s="2" t="s">
        <v>40</v>
      </c>
      <c r="U2492" s="2" t="s">
        <v>19019</v>
      </c>
      <c r="V2492" s="2"/>
      <c r="W2492" s="2" t="s">
        <v>42</v>
      </c>
      <c r="X2492" s="2" t="s">
        <v>43</v>
      </c>
      <c r="Y2492" s="2" t="s">
        <v>37</v>
      </c>
      <c r="Z2492" s="2" t="s">
        <v>44</v>
      </c>
      <c r="AA2492" s="2"/>
      <c r="AB2492" s="2"/>
      <c r="AC2492" s="2" t="s">
        <v>19020</v>
      </c>
      <c r="AD2492" s="2" t="s">
        <v>46</v>
      </c>
    </row>
    <row r="2493" customFormat="false" ht="15.7" hidden="false" customHeight="true" outlineLevel="0" collapsed="false">
      <c r="A2493" s="2"/>
      <c r="B2493" s="3" t="n">
        <f aca="false">DATE(2014,3,11)</f>
        <v>0</v>
      </c>
      <c r="C2493" s="3" t="n">
        <v>41709</v>
      </c>
      <c r="D2493" s="2" t="s">
        <v>19021</v>
      </c>
      <c r="F2493" s="2" t="s">
        <v>19022</v>
      </c>
      <c r="G2493" s="2" t="s">
        <v>19023</v>
      </c>
      <c r="H2493" s="2" t="s">
        <v>19024</v>
      </c>
      <c r="I2493" s="2" t="s">
        <v>3265</v>
      </c>
      <c r="J2493" s="2" t="s">
        <v>795</v>
      </c>
      <c r="K2493" s="2" t="s">
        <v>19021</v>
      </c>
      <c r="L2493" s="2" t="s">
        <v>3265</v>
      </c>
      <c r="M2493" s="2" t="s">
        <v>19024</v>
      </c>
      <c r="N2493" s="2" t="s">
        <v>19025</v>
      </c>
      <c r="O2493" s="2"/>
      <c r="P2493" s="2" t="s">
        <v>37</v>
      </c>
      <c r="Q2493" s="4" t="n">
        <v>2834</v>
      </c>
      <c r="R2493" s="2" t="s">
        <v>402</v>
      </c>
      <c r="S2493" s="2" t="s">
        <v>39</v>
      </c>
      <c r="T2493" s="2" t="s">
        <v>40</v>
      </c>
      <c r="U2493" s="2" t="s">
        <v>19026</v>
      </c>
      <c r="V2493" s="2"/>
      <c r="W2493" s="2" t="s">
        <v>4487</v>
      </c>
      <c r="X2493" s="2" t="s">
        <v>43</v>
      </c>
      <c r="Y2493" s="2" t="s">
        <v>37</v>
      </c>
      <c r="Z2493" s="2" t="s">
        <v>44</v>
      </c>
      <c r="AA2493" s="2"/>
      <c r="AB2493" s="2"/>
      <c r="AC2493" s="2" t="s">
        <v>19027</v>
      </c>
      <c r="AD2493" s="2" t="s">
        <v>46</v>
      </c>
    </row>
    <row r="2494" customFormat="false" ht="15.7" hidden="false" customHeight="true" outlineLevel="0" collapsed="false">
      <c r="A2494" s="2"/>
      <c r="B2494" s="3" t="n">
        <f aca="false">DATE(2014,3,14)</f>
        <v>0</v>
      </c>
      <c r="C2494" s="3" t="n">
        <v>41712</v>
      </c>
      <c r="D2494" s="2" t="s">
        <v>19028</v>
      </c>
      <c r="F2494" s="2" t="s">
        <v>19029</v>
      </c>
      <c r="G2494" s="2" t="s">
        <v>19030</v>
      </c>
      <c r="H2494" s="2" t="s">
        <v>130</v>
      </c>
      <c r="I2494" s="2" t="s">
        <v>51</v>
      </c>
      <c r="J2494" s="2" t="s">
        <v>2190</v>
      </c>
      <c r="K2494" s="2" t="s">
        <v>19028</v>
      </c>
      <c r="L2494" s="2" t="s">
        <v>51</v>
      </c>
      <c r="M2494" s="2" t="s">
        <v>130</v>
      </c>
      <c r="N2494" s="2" t="s">
        <v>19031</v>
      </c>
      <c r="O2494" s="2"/>
      <c r="P2494" s="2" t="s">
        <v>37</v>
      </c>
      <c r="Q2494" s="4" t="n">
        <v>2836</v>
      </c>
      <c r="R2494" s="2" t="s">
        <v>56</v>
      </c>
      <c r="S2494" s="2" t="s">
        <v>80</v>
      </c>
      <c r="T2494" s="2" t="s">
        <v>403</v>
      </c>
      <c r="U2494" s="2" t="s">
        <v>19032</v>
      </c>
      <c r="V2494" s="2"/>
      <c r="W2494" s="2" t="s">
        <v>4487</v>
      </c>
      <c r="X2494" s="2" t="s">
        <v>43</v>
      </c>
      <c r="Y2494" s="2" t="s">
        <v>37</v>
      </c>
      <c r="Z2494" s="2" t="s">
        <v>44</v>
      </c>
      <c r="AA2494" s="2" t="s">
        <v>19033</v>
      </c>
      <c r="AB2494" s="2"/>
      <c r="AC2494" s="2" t="s">
        <v>19034</v>
      </c>
      <c r="AD2494" s="2" t="s">
        <v>46</v>
      </c>
    </row>
    <row r="2495" customFormat="false" ht="15.7" hidden="false" customHeight="true" outlineLevel="0" collapsed="false">
      <c r="A2495" s="2"/>
      <c r="B2495" s="3" t="n">
        <f aca="false">DATE(2014,3,18)</f>
        <v>0</v>
      </c>
      <c r="C2495" s="3" t="n">
        <v>41716</v>
      </c>
      <c r="D2495" s="2" t="s">
        <v>19035</v>
      </c>
      <c r="F2495" s="2" t="s">
        <v>19036</v>
      </c>
      <c r="G2495" s="2" t="s">
        <v>19037</v>
      </c>
      <c r="H2495" s="2" t="s">
        <v>2283</v>
      </c>
      <c r="I2495" s="2" t="s">
        <v>670</v>
      </c>
      <c r="J2495" s="2" t="s">
        <v>65</v>
      </c>
      <c r="K2495" s="2" t="s">
        <v>19035</v>
      </c>
      <c r="L2495" s="2" t="s">
        <v>670</v>
      </c>
      <c r="M2495" s="2" t="s">
        <v>2283</v>
      </c>
      <c r="N2495" s="2" t="s">
        <v>19038</v>
      </c>
      <c r="O2495" s="2"/>
      <c r="P2495" s="2" t="s">
        <v>37</v>
      </c>
      <c r="Q2495" s="4" t="n">
        <v>8731</v>
      </c>
      <c r="R2495" s="2" t="s">
        <v>402</v>
      </c>
      <c r="S2495" s="2" t="s">
        <v>39</v>
      </c>
      <c r="T2495" s="2" t="s">
        <v>40</v>
      </c>
      <c r="U2495" s="2" t="s">
        <v>19039</v>
      </c>
      <c r="V2495" s="2"/>
      <c r="W2495" s="2" t="s">
        <v>42</v>
      </c>
      <c r="X2495" s="2" t="s">
        <v>43</v>
      </c>
      <c r="Y2495" s="2" t="s">
        <v>37</v>
      </c>
      <c r="Z2495" s="2" t="s">
        <v>44</v>
      </c>
      <c r="AA2495" s="2"/>
      <c r="AB2495" s="2"/>
      <c r="AC2495" s="2" t="s">
        <v>19040</v>
      </c>
      <c r="AD2495" s="2" t="s">
        <v>46</v>
      </c>
    </row>
    <row r="2496" customFormat="false" ht="15.7" hidden="false" customHeight="true" outlineLevel="0" collapsed="false">
      <c r="A2496" s="2"/>
      <c r="B2496" s="3" t="n">
        <f aca="false">DATE(2014,3,19)</f>
        <v>0</v>
      </c>
      <c r="C2496" s="3" t="n">
        <v>41717</v>
      </c>
      <c r="D2496" s="2" t="s">
        <v>19041</v>
      </c>
      <c r="F2496" s="2" t="s">
        <v>19042</v>
      </c>
      <c r="G2496" s="2" t="s">
        <v>19043</v>
      </c>
      <c r="H2496" s="2" t="s">
        <v>238</v>
      </c>
      <c r="I2496" s="2" t="s">
        <v>51</v>
      </c>
      <c r="J2496" s="2" t="s">
        <v>2816</v>
      </c>
      <c r="K2496" s="2" t="s">
        <v>19044</v>
      </c>
      <c r="L2496" s="2" t="s">
        <v>51</v>
      </c>
      <c r="M2496" s="2" t="s">
        <v>19045</v>
      </c>
      <c r="N2496" s="2" t="s">
        <v>19046</v>
      </c>
      <c r="O2496" s="2"/>
      <c r="P2496" s="2" t="s">
        <v>37</v>
      </c>
      <c r="Q2496" s="4" t="n">
        <v>8731</v>
      </c>
      <c r="R2496" s="2" t="s">
        <v>56</v>
      </c>
      <c r="S2496" s="2" t="s">
        <v>507</v>
      </c>
      <c r="T2496" s="2" t="s">
        <v>403</v>
      </c>
      <c r="U2496" s="2" t="s">
        <v>19047</v>
      </c>
      <c r="V2496" s="2"/>
      <c r="W2496" s="2" t="s">
        <v>42</v>
      </c>
      <c r="X2496" s="2" t="s">
        <v>43</v>
      </c>
      <c r="Y2496" s="2" t="s">
        <v>37</v>
      </c>
      <c r="Z2496" s="2" t="s">
        <v>44</v>
      </c>
      <c r="AA2496" s="2"/>
      <c r="AB2496" s="2"/>
      <c r="AC2496" s="2" t="s">
        <v>19048</v>
      </c>
      <c r="AD2496" s="2" t="s">
        <v>46</v>
      </c>
    </row>
    <row r="2497" customFormat="false" ht="15.7" hidden="false" customHeight="true" outlineLevel="0" collapsed="false">
      <c r="A2497" s="2"/>
      <c r="B2497" s="3" t="n">
        <f aca="false">DATE(2014,3,20)</f>
        <v>0</v>
      </c>
      <c r="C2497" s="3" t="n">
        <v>41718</v>
      </c>
      <c r="D2497" s="2" t="s">
        <v>19049</v>
      </c>
      <c r="F2497" s="2" t="s">
        <v>19050</v>
      </c>
      <c r="G2497" s="2" t="s">
        <v>19051</v>
      </c>
      <c r="H2497" s="2" t="s">
        <v>19052</v>
      </c>
      <c r="I2497" s="2" t="s">
        <v>15494</v>
      </c>
      <c r="J2497" s="2" t="s">
        <v>203</v>
      </c>
      <c r="K2497" s="2" t="s">
        <v>19049</v>
      </c>
      <c r="L2497" s="2" t="s">
        <v>15494</v>
      </c>
      <c r="M2497" s="2" t="s">
        <v>19052</v>
      </c>
      <c r="N2497" s="2" t="s">
        <v>19053</v>
      </c>
      <c r="O2497" s="2"/>
      <c r="P2497" s="2" t="s">
        <v>37</v>
      </c>
      <c r="Q2497" s="4" t="n">
        <v>8731</v>
      </c>
      <c r="R2497" s="2" t="s">
        <v>11963</v>
      </c>
      <c r="S2497" s="2" t="s">
        <v>39</v>
      </c>
      <c r="T2497" s="2" t="s">
        <v>403</v>
      </c>
      <c r="U2497" s="2" t="s">
        <v>19054</v>
      </c>
      <c r="V2497" s="2"/>
      <c r="W2497" s="2" t="s">
        <v>42</v>
      </c>
      <c r="X2497" s="2" t="s">
        <v>43</v>
      </c>
      <c r="Y2497" s="2" t="s">
        <v>37</v>
      </c>
      <c r="Z2497" s="2" t="s">
        <v>44</v>
      </c>
      <c r="AA2497" s="2"/>
      <c r="AB2497" s="2"/>
      <c r="AC2497" s="2" t="s">
        <v>19055</v>
      </c>
      <c r="AD2497" s="2" t="s">
        <v>46</v>
      </c>
    </row>
    <row r="2498" customFormat="false" ht="15.7" hidden="false" customHeight="true" outlineLevel="0" collapsed="false">
      <c r="A2498" s="2"/>
      <c r="B2498" s="3" t="n">
        <f aca="false">DATE(2014,3,22)</f>
        <v>0</v>
      </c>
      <c r="C2498" s="3" t="n">
        <v>41720</v>
      </c>
      <c r="D2498" s="2" t="s">
        <v>19056</v>
      </c>
      <c r="F2498" s="2" t="s">
        <v>19057</v>
      </c>
      <c r="G2498" s="2" t="s">
        <v>19058</v>
      </c>
      <c r="H2498" s="2" t="s">
        <v>19059</v>
      </c>
      <c r="I2498" s="2" t="s">
        <v>51</v>
      </c>
      <c r="J2498" s="2" t="s">
        <v>14091</v>
      </c>
      <c r="K2498" s="2" t="s">
        <v>19056</v>
      </c>
      <c r="L2498" s="2" t="s">
        <v>51</v>
      </c>
      <c r="M2498" s="2" t="s">
        <v>19059</v>
      </c>
      <c r="N2498" s="2" t="s">
        <v>19060</v>
      </c>
      <c r="O2498" s="2"/>
      <c r="P2498" s="2" t="s">
        <v>37</v>
      </c>
      <c r="Q2498" s="4" t="n">
        <v>8731</v>
      </c>
      <c r="R2498" s="2" t="s">
        <v>56</v>
      </c>
      <c r="S2498" s="2" t="s">
        <v>977</v>
      </c>
      <c r="T2498" s="2" t="s">
        <v>40</v>
      </c>
      <c r="U2498" s="2" t="s">
        <v>19061</v>
      </c>
      <c r="V2498" s="2"/>
      <c r="W2498" s="2" t="s">
        <v>42</v>
      </c>
      <c r="X2498" s="2" t="s">
        <v>43</v>
      </c>
      <c r="Y2498" s="2" t="s">
        <v>37</v>
      </c>
      <c r="Z2498" s="2" t="s">
        <v>44</v>
      </c>
      <c r="AA2498" s="2"/>
      <c r="AB2498" s="2"/>
      <c r="AC2498" s="2" t="s">
        <v>19062</v>
      </c>
      <c r="AD2498" s="2" t="s">
        <v>46</v>
      </c>
    </row>
    <row r="2499" customFormat="false" ht="15.7" hidden="false" customHeight="true" outlineLevel="0" collapsed="false">
      <c r="A2499" s="2"/>
      <c r="B2499" s="3" t="n">
        <f aca="false">DATE(2014,3,24)</f>
        <v>0</v>
      </c>
      <c r="C2499" s="3" t="n">
        <v>41722</v>
      </c>
      <c r="D2499" s="2" t="s">
        <v>19063</v>
      </c>
      <c r="F2499" s="2" t="s">
        <v>19064</v>
      </c>
      <c r="G2499" s="2" t="s">
        <v>19065</v>
      </c>
      <c r="H2499" s="2" t="s">
        <v>19066</v>
      </c>
      <c r="I2499" s="2" t="s">
        <v>51</v>
      </c>
      <c r="J2499" s="2" t="s">
        <v>5635</v>
      </c>
      <c r="K2499" s="2" t="s">
        <v>19063</v>
      </c>
      <c r="L2499" s="2" t="s">
        <v>51</v>
      </c>
      <c r="M2499" s="2" t="s">
        <v>19067</v>
      </c>
      <c r="N2499" s="2" t="s">
        <v>19068</v>
      </c>
      <c r="O2499" s="2"/>
      <c r="P2499" s="2" t="s">
        <v>37</v>
      </c>
      <c r="Q2499" s="4" t="n">
        <v>8731</v>
      </c>
      <c r="R2499" s="2" t="s">
        <v>56</v>
      </c>
      <c r="S2499" s="2" t="s">
        <v>4060</v>
      </c>
      <c r="T2499" s="2" t="s">
        <v>40</v>
      </c>
      <c r="U2499" s="2" t="s">
        <v>19069</v>
      </c>
      <c r="V2499" s="2"/>
      <c r="W2499" s="2" t="s">
        <v>42</v>
      </c>
      <c r="X2499" s="2" t="s">
        <v>43</v>
      </c>
      <c r="Y2499" s="2" t="s">
        <v>37</v>
      </c>
      <c r="Z2499" s="2" t="s">
        <v>44</v>
      </c>
      <c r="AA2499" s="2"/>
      <c r="AB2499" s="2"/>
      <c r="AC2499" s="2" t="s">
        <v>19070</v>
      </c>
      <c r="AD2499" s="2" t="s">
        <v>46</v>
      </c>
    </row>
    <row r="2500" customFormat="false" ht="15.7" hidden="false" customHeight="true" outlineLevel="0" collapsed="false">
      <c r="A2500" s="2"/>
      <c r="B2500" s="3" t="n">
        <f aca="false">DATE(2014,3,25)</f>
        <v>0</v>
      </c>
      <c r="C2500" s="3" t="n">
        <v>41723</v>
      </c>
      <c r="D2500" s="2" t="s">
        <v>19071</v>
      </c>
      <c r="F2500" s="2" t="s">
        <v>19072</v>
      </c>
      <c r="G2500" s="2" t="s">
        <v>19073</v>
      </c>
      <c r="H2500" s="2" t="s">
        <v>4228</v>
      </c>
      <c r="I2500" s="2" t="s">
        <v>51</v>
      </c>
      <c r="J2500" s="2" t="s">
        <v>2190</v>
      </c>
      <c r="K2500" s="2" t="s">
        <v>19071</v>
      </c>
      <c r="L2500" s="2" t="s">
        <v>51</v>
      </c>
      <c r="M2500" s="2" t="s">
        <v>4228</v>
      </c>
      <c r="N2500" s="2" t="s">
        <v>19074</v>
      </c>
      <c r="O2500" s="2"/>
      <c r="P2500" s="2" t="s">
        <v>37</v>
      </c>
      <c r="Q2500" s="4" t="n">
        <v>8731</v>
      </c>
      <c r="R2500" s="2" t="s">
        <v>56</v>
      </c>
      <c r="S2500" s="2" t="s">
        <v>92</v>
      </c>
      <c r="T2500" s="2" t="s">
        <v>403</v>
      </c>
      <c r="U2500" s="2" t="s">
        <v>19075</v>
      </c>
      <c r="V2500" s="2"/>
      <c r="W2500" s="2" t="s">
        <v>42</v>
      </c>
      <c r="X2500" s="2" t="s">
        <v>43</v>
      </c>
      <c r="Y2500" s="2" t="s">
        <v>37</v>
      </c>
      <c r="Z2500" s="2" t="s">
        <v>44</v>
      </c>
      <c r="AA2500" s="2"/>
      <c r="AB2500" s="2"/>
      <c r="AC2500" s="2" t="s">
        <v>19076</v>
      </c>
      <c r="AD2500" s="2" t="s">
        <v>46</v>
      </c>
    </row>
    <row r="2501" customFormat="false" ht="15.7" hidden="false" customHeight="true" outlineLevel="0" collapsed="false">
      <c r="A2501" s="2"/>
      <c r="B2501" s="3" t="n">
        <f aca="false">DATE(2014,3,25)</f>
        <v>0</v>
      </c>
      <c r="C2501" s="3" t="n">
        <v>41723</v>
      </c>
      <c r="D2501" s="2" t="s">
        <v>19077</v>
      </c>
      <c r="F2501" s="2" t="s">
        <v>10217</v>
      </c>
      <c r="G2501" s="2" t="s">
        <v>19078</v>
      </c>
      <c r="H2501" s="2" t="s">
        <v>130</v>
      </c>
      <c r="I2501" s="2" t="s">
        <v>19079</v>
      </c>
      <c r="J2501" s="2" t="s">
        <v>35</v>
      </c>
      <c r="K2501" s="2" t="s">
        <v>19080</v>
      </c>
      <c r="L2501" s="2" t="s">
        <v>17987</v>
      </c>
      <c r="M2501" s="2" t="s">
        <v>551</v>
      </c>
      <c r="N2501" s="2" t="s">
        <v>19081</v>
      </c>
      <c r="O2501" s="2"/>
      <c r="P2501" s="2" t="s">
        <v>37</v>
      </c>
      <c r="Q2501" s="4" t="n">
        <v>2836</v>
      </c>
      <c r="R2501" s="2" t="s">
        <v>105</v>
      </c>
      <c r="S2501" s="2" t="s">
        <v>39</v>
      </c>
      <c r="T2501" s="2" t="s">
        <v>40</v>
      </c>
      <c r="U2501" s="2" t="s">
        <v>19082</v>
      </c>
      <c r="V2501" s="2"/>
      <c r="W2501" s="2" t="s">
        <v>344</v>
      </c>
      <c r="X2501" s="2" t="s">
        <v>46</v>
      </c>
      <c r="Y2501" s="2" t="s">
        <v>37</v>
      </c>
      <c r="Z2501" s="2" t="s">
        <v>362</v>
      </c>
      <c r="AA2501" s="2"/>
      <c r="AB2501" s="2"/>
      <c r="AC2501" s="2" t="s">
        <v>19083</v>
      </c>
      <c r="AD2501" s="2" t="s">
        <v>46</v>
      </c>
    </row>
    <row r="2502" customFormat="false" ht="15.7" hidden="false" customHeight="true" outlineLevel="0" collapsed="false">
      <c r="A2502" s="2"/>
      <c r="B2502" s="3" t="n">
        <f aca="false">DATE(2014,3,25)</f>
        <v>0</v>
      </c>
      <c r="C2502" s="3" t="n">
        <v>41723</v>
      </c>
      <c r="D2502" s="2" t="s">
        <v>19084</v>
      </c>
      <c r="F2502" s="2" t="s">
        <v>19085</v>
      </c>
      <c r="G2502" s="2" t="s">
        <v>19086</v>
      </c>
      <c r="H2502" s="2" t="s">
        <v>130</v>
      </c>
      <c r="I2502" s="2" t="s">
        <v>1437</v>
      </c>
      <c r="J2502" s="2" t="s">
        <v>35</v>
      </c>
      <c r="K2502" s="2" t="s">
        <v>19084</v>
      </c>
      <c r="L2502" s="2" t="s">
        <v>1437</v>
      </c>
      <c r="M2502" s="2" t="s">
        <v>63</v>
      </c>
      <c r="N2502" s="2" t="s">
        <v>19087</v>
      </c>
      <c r="O2502" s="2"/>
      <c r="P2502" s="2" t="s">
        <v>37</v>
      </c>
      <c r="Q2502" s="4" t="n">
        <v>8731</v>
      </c>
      <c r="R2502" s="2" t="s">
        <v>1441</v>
      </c>
      <c r="S2502" s="2" t="s">
        <v>39</v>
      </c>
      <c r="T2502" s="2" t="s">
        <v>40</v>
      </c>
      <c r="U2502" s="2" t="s">
        <v>19088</v>
      </c>
      <c r="V2502" s="2"/>
      <c r="W2502" s="2" t="s">
        <v>42</v>
      </c>
      <c r="X2502" s="2" t="s">
        <v>43</v>
      </c>
      <c r="Y2502" s="2" t="s">
        <v>37</v>
      </c>
      <c r="Z2502" s="2" t="s">
        <v>44</v>
      </c>
      <c r="AA2502" s="2"/>
      <c r="AB2502" s="2"/>
      <c r="AC2502" s="2" t="s">
        <v>19089</v>
      </c>
      <c r="AD2502" s="2" t="s">
        <v>46</v>
      </c>
    </row>
    <row r="2503" customFormat="false" ht="15.7" hidden="false" customHeight="true" outlineLevel="0" collapsed="false">
      <c r="A2503" s="2"/>
      <c r="B2503" s="3" t="n">
        <f aca="false">DATE(2014,3,26)</f>
        <v>0</v>
      </c>
      <c r="C2503" s="3" t="n">
        <v>41724</v>
      </c>
      <c r="D2503" s="2" t="s">
        <v>19090</v>
      </c>
      <c r="F2503" s="2" t="s">
        <v>19091</v>
      </c>
      <c r="G2503" s="2" t="s">
        <v>19092</v>
      </c>
      <c r="H2503" s="2" t="s">
        <v>1193</v>
      </c>
      <c r="I2503" s="2" t="s">
        <v>3103</v>
      </c>
      <c r="J2503" s="2" t="s">
        <v>8175</v>
      </c>
      <c r="K2503" s="2" t="s">
        <v>19090</v>
      </c>
      <c r="L2503" s="2" t="s">
        <v>3103</v>
      </c>
      <c r="M2503" s="2" t="s">
        <v>1193</v>
      </c>
      <c r="N2503" s="2" t="s">
        <v>19093</v>
      </c>
      <c r="O2503" s="2"/>
      <c r="P2503" s="2" t="s">
        <v>37</v>
      </c>
      <c r="Q2503" s="4" t="n">
        <v>8731</v>
      </c>
      <c r="R2503" s="2" t="s">
        <v>1402</v>
      </c>
      <c r="S2503" s="2" t="s">
        <v>39</v>
      </c>
      <c r="T2503" s="2" t="s">
        <v>40</v>
      </c>
      <c r="U2503" s="2" t="s">
        <v>19094</v>
      </c>
      <c r="V2503" s="2"/>
      <c r="W2503" s="2" t="s">
        <v>42</v>
      </c>
      <c r="X2503" s="2" t="s">
        <v>43</v>
      </c>
      <c r="Y2503" s="2" t="s">
        <v>37</v>
      </c>
      <c r="Z2503" s="2" t="s">
        <v>44</v>
      </c>
      <c r="AA2503" s="2"/>
      <c r="AB2503" s="2"/>
      <c r="AC2503" s="2" t="s">
        <v>19095</v>
      </c>
      <c r="AD2503" s="2" t="s">
        <v>46</v>
      </c>
    </row>
    <row r="2504" customFormat="false" ht="15.7" hidden="false" customHeight="true" outlineLevel="0" collapsed="false">
      <c r="A2504" s="2"/>
      <c r="B2504" s="3" t="n">
        <f aca="false">DATE(2014,3,31)</f>
        <v>0</v>
      </c>
      <c r="C2504" s="3" t="n">
        <v>41729</v>
      </c>
      <c r="D2504" s="2" t="s">
        <v>19096</v>
      </c>
      <c r="F2504" s="2" t="s">
        <v>19097</v>
      </c>
      <c r="G2504" s="2" t="s">
        <v>19098</v>
      </c>
      <c r="H2504" s="2" t="s">
        <v>130</v>
      </c>
      <c r="I2504" s="2" t="s">
        <v>14116</v>
      </c>
      <c r="J2504" s="2" t="s">
        <v>35</v>
      </c>
      <c r="K2504" s="2" t="s">
        <v>19099</v>
      </c>
      <c r="L2504" s="2" t="s">
        <v>14116</v>
      </c>
      <c r="M2504" s="2" t="s">
        <v>305</v>
      </c>
      <c r="N2504" s="2" t="s">
        <v>19100</v>
      </c>
      <c r="O2504" s="2"/>
      <c r="P2504" s="2" t="s">
        <v>37</v>
      </c>
      <c r="Q2504" s="4" t="n">
        <v>8733</v>
      </c>
      <c r="R2504" s="2" t="s">
        <v>2201</v>
      </c>
      <c r="S2504" s="2" t="s">
        <v>39</v>
      </c>
      <c r="T2504" s="2" t="s">
        <v>40</v>
      </c>
      <c r="U2504" s="2" t="s">
        <v>19101</v>
      </c>
      <c r="V2504" s="2"/>
      <c r="W2504" s="2" t="s">
        <v>42</v>
      </c>
      <c r="X2504" s="2" t="s">
        <v>43</v>
      </c>
      <c r="Y2504" s="2" t="s">
        <v>37</v>
      </c>
      <c r="Z2504" s="2" t="s">
        <v>44</v>
      </c>
      <c r="AA2504" s="2"/>
      <c r="AB2504" s="2"/>
      <c r="AC2504" s="2" t="s">
        <v>19102</v>
      </c>
      <c r="AD2504" s="2" t="s">
        <v>46</v>
      </c>
    </row>
    <row r="2505" customFormat="false" ht="15.7" hidden="false" customHeight="true" outlineLevel="0" collapsed="false">
      <c r="A2505" s="2"/>
      <c r="B2505" s="3" t="n">
        <f aca="false">DATE(2014,3,31)</f>
        <v>0</v>
      </c>
      <c r="C2505" s="3" t="n">
        <v>41729</v>
      </c>
      <c r="D2505" s="2" t="s">
        <v>19103</v>
      </c>
      <c r="F2505" s="2" t="s">
        <v>19104</v>
      </c>
      <c r="G2505" s="2" t="s">
        <v>19105</v>
      </c>
      <c r="H2505" s="2" t="s">
        <v>19106</v>
      </c>
      <c r="I2505" s="2" t="s">
        <v>487</v>
      </c>
      <c r="J2505" s="2" t="s">
        <v>6730</v>
      </c>
      <c r="K2505" s="2" t="s">
        <v>19107</v>
      </c>
      <c r="L2505" s="2" t="s">
        <v>51</v>
      </c>
      <c r="M2505" s="2" t="s">
        <v>19106</v>
      </c>
      <c r="N2505" s="2" t="s">
        <v>19108</v>
      </c>
      <c r="O2505" s="2"/>
      <c r="P2505" s="2" t="s">
        <v>37</v>
      </c>
      <c r="Q2505" s="4" t="n">
        <v>7389</v>
      </c>
      <c r="R2505" s="2" t="s">
        <v>136</v>
      </c>
      <c r="S2505" s="2" t="s">
        <v>39</v>
      </c>
      <c r="T2505" s="2" t="s">
        <v>40</v>
      </c>
      <c r="U2505" s="2" t="s">
        <v>19109</v>
      </c>
      <c r="V2505" s="2"/>
      <c r="W2505" s="2" t="s">
        <v>42</v>
      </c>
      <c r="X2505" s="2" t="s">
        <v>43</v>
      </c>
      <c r="Y2505" s="2" t="s">
        <v>37</v>
      </c>
      <c r="Z2505" s="2" t="s">
        <v>44</v>
      </c>
      <c r="AA2505" s="2"/>
      <c r="AB2505" s="2"/>
      <c r="AC2505" s="2" t="s">
        <v>19110</v>
      </c>
      <c r="AD2505" s="2" t="s">
        <v>46</v>
      </c>
    </row>
    <row r="2506" customFormat="false" ht="15.7" hidden="false" customHeight="true" outlineLevel="0" collapsed="false">
      <c r="A2506" s="2"/>
      <c r="B2506" s="3" t="n">
        <f aca="false">DATE(2014,4,2)</f>
        <v>0</v>
      </c>
      <c r="C2506" s="3" t="n">
        <v>41731</v>
      </c>
      <c r="D2506" s="2" t="s">
        <v>19111</v>
      </c>
      <c r="F2506" s="2" t="s">
        <v>19112</v>
      </c>
      <c r="G2506" s="2" t="s">
        <v>19113</v>
      </c>
      <c r="H2506" s="2" t="s">
        <v>4569</v>
      </c>
      <c r="I2506" s="2" t="s">
        <v>2891</v>
      </c>
      <c r="J2506" s="2" t="s">
        <v>35</v>
      </c>
      <c r="K2506" s="2" t="s">
        <v>19111</v>
      </c>
      <c r="L2506" s="2" t="s">
        <v>2891</v>
      </c>
      <c r="M2506" s="2" t="s">
        <v>4569</v>
      </c>
      <c r="N2506" s="2" t="s">
        <v>19114</v>
      </c>
      <c r="O2506" s="2"/>
      <c r="P2506" s="2" t="s">
        <v>37</v>
      </c>
      <c r="Q2506" s="4" t="n">
        <v>8731</v>
      </c>
      <c r="R2506" s="2" t="s">
        <v>2105</v>
      </c>
      <c r="S2506" s="2" t="s">
        <v>39</v>
      </c>
      <c r="T2506" s="2" t="s">
        <v>40</v>
      </c>
      <c r="U2506" s="2" t="s">
        <v>19115</v>
      </c>
      <c r="V2506" s="2"/>
      <c r="W2506" s="2" t="s">
        <v>878</v>
      </c>
      <c r="X2506" s="2" t="s">
        <v>43</v>
      </c>
      <c r="Y2506" s="2" t="s">
        <v>37</v>
      </c>
      <c r="Z2506" s="2" t="s">
        <v>44</v>
      </c>
      <c r="AA2506" s="2"/>
      <c r="AB2506" s="2"/>
      <c r="AC2506" s="2" t="s">
        <v>19116</v>
      </c>
      <c r="AD2506" s="2" t="s">
        <v>46</v>
      </c>
    </row>
    <row r="2507" customFormat="false" ht="15.7" hidden="false" customHeight="true" outlineLevel="0" collapsed="false">
      <c r="A2507" s="2"/>
      <c r="B2507" s="3" t="n">
        <f aca="false">DATE(2014,4,7)</f>
        <v>0</v>
      </c>
      <c r="C2507" s="3" t="n">
        <v>41736</v>
      </c>
      <c r="D2507" s="2" t="s">
        <v>19117</v>
      </c>
      <c r="F2507" s="2" t="s">
        <v>19118</v>
      </c>
      <c r="G2507" s="2" t="s">
        <v>19119</v>
      </c>
      <c r="H2507" s="2" t="s">
        <v>523</v>
      </c>
      <c r="I2507" s="2" t="s">
        <v>19120</v>
      </c>
      <c r="J2507" s="2" t="s">
        <v>35</v>
      </c>
      <c r="K2507" s="2" t="s">
        <v>19117</v>
      </c>
      <c r="L2507" s="2" t="s">
        <v>19120</v>
      </c>
      <c r="M2507" s="2" t="s">
        <v>523</v>
      </c>
      <c r="N2507" s="2" t="s">
        <v>19121</v>
      </c>
      <c r="O2507" s="2"/>
      <c r="P2507" s="2" t="s">
        <v>37</v>
      </c>
      <c r="Q2507" s="4" t="n">
        <v>6794</v>
      </c>
      <c r="R2507" s="2" t="s">
        <v>136</v>
      </c>
      <c r="S2507" s="2" t="s">
        <v>39</v>
      </c>
      <c r="T2507" s="2" t="s">
        <v>2444</v>
      </c>
      <c r="U2507" s="2" t="s">
        <v>19122</v>
      </c>
      <c r="V2507" s="2"/>
      <c r="W2507" s="2" t="s">
        <v>15545</v>
      </c>
      <c r="X2507" s="2" t="s">
        <v>43</v>
      </c>
      <c r="Y2507" s="2" t="s">
        <v>37</v>
      </c>
      <c r="Z2507" s="2" t="s">
        <v>44</v>
      </c>
      <c r="AA2507" s="2"/>
      <c r="AB2507" s="2"/>
      <c r="AC2507" s="2" t="s">
        <v>19123</v>
      </c>
      <c r="AD2507" s="2" t="s">
        <v>46</v>
      </c>
    </row>
    <row r="2508" customFormat="false" ht="15.7" hidden="false" customHeight="true" outlineLevel="0" collapsed="false">
      <c r="A2508" s="2"/>
      <c r="B2508" s="3" t="n">
        <f aca="false">DATE(2014,4,10)</f>
        <v>0</v>
      </c>
      <c r="C2508" s="3" t="n">
        <v>41739</v>
      </c>
      <c r="D2508" s="2" t="s">
        <v>19124</v>
      </c>
      <c r="F2508" s="2" t="s">
        <v>19125</v>
      </c>
      <c r="G2508" s="2" t="s">
        <v>19126</v>
      </c>
      <c r="H2508" s="2" t="s">
        <v>19127</v>
      </c>
      <c r="I2508" s="2" t="s">
        <v>7513</v>
      </c>
      <c r="J2508" s="2" t="s">
        <v>35</v>
      </c>
      <c r="K2508" s="2" t="s">
        <v>19128</v>
      </c>
      <c r="L2508" s="2" t="s">
        <v>7513</v>
      </c>
      <c r="M2508" s="2" t="s">
        <v>19127</v>
      </c>
      <c r="N2508" s="2" t="s">
        <v>19129</v>
      </c>
      <c r="O2508" s="2"/>
      <c r="P2508" s="2" t="s">
        <v>37</v>
      </c>
      <c r="Q2508" s="4" t="n">
        <v>8731</v>
      </c>
      <c r="R2508" s="2" t="s">
        <v>450</v>
      </c>
      <c r="S2508" s="2" t="s">
        <v>39</v>
      </c>
      <c r="T2508" s="2" t="s">
        <v>403</v>
      </c>
      <c r="U2508" s="2" t="s">
        <v>19130</v>
      </c>
      <c r="V2508" s="2"/>
      <c r="W2508" s="2" t="s">
        <v>42</v>
      </c>
      <c r="X2508" s="2" t="s">
        <v>46</v>
      </c>
      <c r="Y2508" s="2" t="s">
        <v>37</v>
      </c>
      <c r="Z2508" s="2" t="s">
        <v>362</v>
      </c>
      <c r="AA2508" s="2"/>
      <c r="AB2508" s="2"/>
      <c r="AC2508" s="2" t="s">
        <v>19131</v>
      </c>
      <c r="AD2508" s="2" t="s">
        <v>46</v>
      </c>
    </row>
    <row r="2509" customFormat="false" ht="15.7" hidden="false" customHeight="true" outlineLevel="0" collapsed="false">
      <c r="A2509" s="2"/>
      <c r="B2509" s="3" t="n">
        <f aca="false">DATE(2014,4,13)</f>
        <v>0</v>
      </c>
      <c r="C2509" s="3" t="n">
        <v>41742</v>
      </c>
      <c r="D2509" s="2" t="s">
        <v>19132</v>
      </c>
      <c r="F2509" s="2" t="s">
        <v>19133</v>
      </c>
      <c r="G2509" s="2" t="s">
        <v>19134</v>
      </c>
      <c r="H2509" s="2" t="s">
        <v>19135</v>
      </c>
      <c r="I2509" s="2" t="s">
        <v>540</v>
      </c>
      <c r="J2509" s="2" t="s">
        <v>35</v>
      </c>
      <c r="K2509" s="2" t="s">
        <v>19132</v>
      </c>
      <c r="L2509" s="2" t="s">
        <v>540</v>
      </c>
      <c r="M2509" s="2" t="s">
        <v>19135</v>
      </c>
      <c r="N2509" s="2" t="s">
        <v>19136</v>
      </c>
      <c r="O2509" s="2"/>
      <c r="P2509" s="2" t="s">
        <v>37</v>
      </c>
      <c r="Q2509" s="4" t="n">
        <v>8731</v>
      </c>
      <c r="R2509" s="2" t="s">
        <v>1448</v>
      </c>
      <c r="S2509" s="2" t="s">
        <v>39</v>
      </c>
      <c r="T2509" s="2" t="s">
        <v>403</v>
      </c>
      <c r="U2509" s="2" t="s">
        <v>19137</v>
      </c>
      <c r="V2509" s="2"/>
      <c r="W2509" s="2" t="s">
        <v>42</v>
      </c>
      <c r="X2509" s="2" t="s">
        <v>46</v>
      </c>
      <c r="Y2509" s="2" t="s">
        <v>37</v>
      </c>
      <c r="Z2509" s="2" t="s">
        <v>362</v>
      </c>
      <c r="AA2509" s="2"/>
      <c r="AB2509" s="2"/>
      <c r="AC2509" s="2" t="s">
        <v>19138</v>
      </c>
      <c r="AD2509" s="2" t="s">
        <v>46</v>
      </c>
    </row>
    <row r="2510" customFormat="false" ht="15.7" hidden="false" customHeight="true" outlineLevel="0" collapsed="false">
      <c r="A2510" s="2"/>
      <c r="B2510" s="3" t="n">
        <f aca="false">DATE(2014,4,22)</f>
        <v>0</v>
      </c>
      <c r="C2510" s="3" t="n">
        <v>41751</v>
      </c>
      <c r="D2510" s="2" t="s">
        <v>19139</v>
      </c>
      <c r="F2510" s="2" t="s">
        <v>19140</v>
      </c>
      <c r="G2510" s="2" t="s">
        <v>19141</v>
      </c>
      <c r="H2510" s="2" t="s">
        <v>19142</v>
      </c>
      <c r="I2510" s="2" t="s">
        <v>2658</v>
      </c>
      <c r="J2510" s="2" t="s">
        <v>1456</v>
      </c>
      <c r="K2510" s="2" t="s">
        <v>19139</v>
      </c>
      <c r="L2510" s="2" t="s">
        <v>2658</v>
      </c>
      <c r="M2510" s="2" t="s">
        <v>19142</v>
      </c>
      <c r="N2510" s="2" t="s">
        <v>19143</v>
      </c>
      <c r="O2510" s="2"/>
      <c r="P2510" s="2" t="s">
        <v>37</v>
      </c>
      <c r="Q2510" s="4" t="n">
        <v>1389</v>
      </c>
      <c r="R2510" s="2" t="s">
        <v>56</v>
      </c>
      <c r="S2510" s="2" t="s">
        <v>2265</v>
      </c>
      <c r="T2510" s="2" t="s">
        <v>403</v>
      </c>
      <c r="U2510" s="2" t="s">
        <v>19144</v>
      </c>
      <c r="V2510" s="2"/>
      <c r="W2510" s="2" t="s">
        <v>19145</v>
      </c>
      <c r="X2510" s="2" t="s">
        <v>43</v>
      </c>
      <c r="Y2510" s="2" t="s">
        <v>37</v>
      </c>
      <c r="Z2510" s="2" t="s">
        <v>44</v>
      </c>
      <c r="AA2510" s="2"/>
      <c r="AB2510" s="2"/>
      <c r="AC2510" s="2" t="s">
        <v>19146</v>
      </c>
      <c r="AD2510" s="2" t="s">
        <v>46</v>
      </c>
    </row>
    <row r="2511" customFormat="false" ht="15.7" hidden="false" customHeight="true" outlineLevel="0" collapsed="false">
      <c r="A2511" s="2"/>
      <c r="B2511" s="3" t="n">
        <f aca="false">DATE(2014,4,22)</f>
        <v>0</v>
      </c>
      <c r="C2511" s="3" t="n">
        <v>41751</v>
      </c>
      <c r="D2511" s="2" t="s">
        <v>19147</v>
      </c>
      <c r="F2511" s="2" t="s">
        <v>19148</v>
      </c>
      <c r="G2511" s="2" t="s">
        <v>19149</v>
      </c>
      <c r="H2511" s="2" t="s">
        <v>19150</v>
      </c>
      <c r="I2511" s="2" t="s">
        <v>51</v>
      </c>
      <c r="J2511" s="2" t="s">
        <v>9359</v>
      </c>
      <c r="K2511" s="2" t="s">
        <v>19147</v>
      </c>
      <c r="L2511" s="2" t="s">
        <v>51</v>
      </c>
      <c r="M2511" s="2" t="s">
        <v>19150</v>
      </c>
      <c r="N2511" s="2" t="s">
        <v>19151</v>
      </c>
      <c r="O2511" s="2"/>
      <c r="P2511" s="2" t="s">
        <v>37</v>
      </c>
      <c r="Q2511" s="4" t="n">
        <v>8731</v>
      </c>
      <c r="R2511" s="2" t="s">
        <v>56</v>
      </c>
      <c r="S2511" s="2" t="s">
        <v>92</v>
      </c>
      <c r="T2511" s="2" t="s">
        <v>40</v>
      </c>
      <c r="U2511" s="2" t="s">
        <v>19152</v>
      </c>
      <c r="V2511" s="2"/>
      <c r="W2511" s="2" t="s">
        <v>42</v>
      </c>
      <c r="X2511" s="2" t="s">
        <v>43</v>
      </c>
      <c r="Y2511" s="2" t="s">
        <v>37</v>
      </c>
      <c r="Z2511" s="2" t="s">
        <v>44</v>
      </c>
      <c r="AA2511" s="2"/>
      <c r="AB2511" s="2"/>
      <c r="AC2511" s="2" t="s">
        <v>19153</v>
      </c>
      <c r="AD2511" s="2" t="s">
        <v>46</v>
      </c>
    </row>
    <row r="2512" customFormat="false" ht="15.7" hidden="false" customHeight="true" outlineLevel="0" collapsed="false">
      <c r="A2512" s="2"/>
      <c r="B2512" s="3" t="n">
        <f aca="false">DATE(2014,4,24)</f>
        <v>0</v>
      </c>
      <c r="C2512" s="3" t="n">
        <v>41753</v>
      </c>
      <c r="D2512" s="2" t="s">
        <v>19154</v>
      </c>
      <c r="F2512" s="2" t="s">
        <v>19155</v>
      </c>
      <c r="G2512" s="2" t="s">
        <v>19156</v>
      </c>
      <c r="H2512" s="2" t="s">
        <v>19157</v>
      </c>
      <c r="I2512" s="2" t="s">
        <v>51</v>
      </c>
      <c r="J2512" s="2" t="s">
        <v>19158</v>
      </c>
      <c r="K2512" s="2" t="s">
        <v>19154</v>
      </c>
      <c r="L2512" s="2" t="s">
        <v>51</v>
      </c>
      <c r="M2512" s="2" t="s">
        <v>19157</v>
      </c>
      <c r="N2512" s="2" t="s">
        <v>19159</v>
      </c>
      <c r="O2512" s="2"/>
      <c r="P2512" s="2" t="s">
        <v>37</v>
      </c>
      <c r="Q2512" s="4" t="n">
        <v>1522</v>
      </c>
      <c r="R2512" s="2" t="s">
        <v>56</v>
      </c>
      <c r="S2512" s="2" t="s">
        <v>7553</v>
      </c>
      <c r="T2512" s="2" t="s">
        <v>403</v>
      </c>
      <c r="U2512" s="2" t="s">
        <v>19160</v>
      </c>
      <c r="V2512" s="2"/>
      <c r="W2512" s="2" t="s">
        <v>18958</v>
      </c>
      <c r="X2512" s="2" t="s">
        <v>43</v>
      </c>
      <c r="Y2512" s="2" t="s">
        <v>37</v>
      </c>
      <c r="Z2512" s="2" t="s">
        <v>44</v>
      </c>
      <c r="AA2512" s="2"/>
      <c r="AB2512" s="2"/>
      <c r="AC2512" s="2" t="s">
        <v>19161</v>
      </c>
      <c r="AD2512" s="2" t="s">
        <v>46</v>
      </c>
    </row>
    <row r="2513" customFormat="false" ht="15.7" hidden="false" customHeight="true" outlineLevel="0" collapsed="false">
      <c r="A2513" s="2"/>
      <c r="B2513" s="3" t="n">
        <f aca="false">DATE(2014,4,28)</f>
        <v>0</v>
      </c>
      <c r="C2513" s="3" t="n">
        <v>41757</v>
      </c>
      <c r="D2513" s="2" t="s">
        <v>19162</v>
      </c>
      <c r="F2513" s="2" t="s">
        <v>19163</v>
      </c>
      <c r="G2513" s="2" t="s">
        <v>19164</v>
      </c>
      <c r="H2513" s="2" t="s">
        <v>19165</v>
      </c>
      <c r="I2513" s="2" t="s">
        <v>51</v>
      </c>
      <c r="J2513" s="2" t="s">
        <v>19166</v>
      </c>
      <c r="K2513" s="2" t="s">
        <v>19162</v>
      </c>
      <c r="L2513" s="2" t="s">
        <v>51</v>
      </c>
      <c r="M2513" s="2" t="s">
        <v>19165</v>
      </c>
      <c r="N2513" s="2" t="s">
        <v>19167</v>
      </c>
      <c r="O2513" s="2"/>
      <c r="P2513" s="2" t="s">
        <v>37</v>
      </c>
      <c r="Q2513" s="4" t="n">
        <v>8731</v>
      </c>
      <c r="R2513" s="2" t="s">
        <v>56</v>
      </c>
      <c r="S2513" s="2" t="s">
        <v>380</v>
      </c>
      <c r="T2513" s="2" t="s">
        <v>403</v>
      </c>
      <c r="U2513" s="2" t="s">
        <v>19168</v>
      </c>
      <c r="V2513" s="2"/>
      <c r="W2513" s="2" t="s">
        <v>42</v>
      </c>
      <c r="X2513" s="2" t="s">
        <v>43</v>
      </c>
      <c r="Y2513" s="2" t="s">
        <v>37</v>
      </c>
      <c r="Z2513" s="2" t="s">
        <v>44</v>
      </c>
      <c r="AA2513" s="2"/>
      <c r="AB2513" s="2"/>
      <c r="AC2513" s="2" t="s">
        <v>19169</v>
      </c>
      <c r="AD2513" s="2" t="s">
        <v>46</v>
      </c>
    </row>
    <row r="2514" customFormat="false" ht="15.7" hidden="false" customHeight="true" outlineLevel="0" collapsed="false">
      <c r="A2514" s="2"/>
      <c r="B2514" s="3" t="n">
        <f aca="false">DATE(2014,5,5)</f>
        <v>0</v>
      </c>
      <c r="C2514" s="3" t="n">
        <v>41764</v>
      </c>
      <c r="D2514" s="2" t="s">
        <v>19170</v>
      </c>
      <c r="F2514" s="2" t="s">
        <v>19171</v>
      </c>
      <c r="G2514" s="2" t="s">
        <v>19172</v>
      </c>
      <c r="H2514" s="2" t="s">
        <v>3313</v>
      </c>
      <c r="I2514" s="2" t="s">
        <v>257</v>
      </c>
      <c r="J2514" s="2" t="s">
        <v>132</v>
      </c>
      <c r="K2514" s="2" t="s">
        <v>19173</v>
      </c>
      <c r="L2514" s="2" t="s">
        <v>88</v>
      </c>
      <c r="M2514" s="2" t="s">
        <v>90</v>
      </c>
      <c r="N2514" s="2" t="s">
        <v>19174</v>
      </c>
      <c r="O2514" s="2"/>
      <c r="P2514" s="2" t="s">
        <v>37</v>
      </c>
      <c r="Q2514" s="4" t="n">
        <v>8731</v>
      </c>
      <c r="R2514" s="2" t="s">
        <v>56</v>
      </c>
      <c r="S2514" s="2"/>
      <c r="T2514" s="2" t="s">
        <v>40</v>
      </c>
      <c r="U2514" s="2" t="s">
        <v>19175</v>
      </c>
      <c r="V2514" s="2"/>
      <c r="W2514" s="2" t="s">
        <v>42</v>
      </c>
      <c r="X2514" s="2" t="s">
        <v>46</v>
      </c>
      <c r="Y2514" s="2" t="s">
        <v>37</v>
      </c>
      <c r="Z2514" s="2" t="s">
        <v>362</v>
      </c>
      <c r="AA2514" s="2"/>
      <c r="AB2514" s="2"/>
      <c r="AC2514" s="2" t="s">
        <v>19176</v>
      </c>
      <c r="AD2514" s="2" t="s">
        <v>46</v>
      </c>
    </row>
    <row r="2515" customFormat="false" ht="15.7" hidden="false" customHeight="true" outlineLevel="0" collapsed="false">
      <c r="A2515" s="2"/>
      <c r="B2515" s="3" t="n">
        <f aca="false">DATE(2014,5,5)</f>
        <v>0</v>
      </c>
      <c r="C2515" s="3" t="n">
        <v>41764</v>
      </c>
      <c r="D2515" s="2" t="s">
        <v>19177</v>
      </c>
      <c r="F2515" s="2" t="s">
        <v>17976</v>
      </c>
      <c r="G2515" s="2" t="s">
        <v>19178</v>
      </c>
      <c r="H2515" s="2" t="s">
        <v>1027</v>
      </c>
      <c r="I2515" s="2" t="s">
        <v>51</v>
      </c>
      <c r="J2515" s="2" t="s">
        <v>4804</v>
      </c>
      <c r="K2515" s="2" t="s">
        <v>19177</v>
      </c>
      <c r="L2515" s="2" t="s">
        <v>51</v>
      </c>
      <c r="M2515" s="2" t="s">
        <v>1027</v>
      </c>
      <c r="N2515" s="2" t="s">
        <v>19179</v>
      </c>
      <c r="O2515" s="2"/>
      <c r="P2515" s="2" t="s">
        <v>37</v>
      </c>
      <c r="Q2515" s="4" t="n">
        <v>8731</v>
      </c>
      <c r="R2515" s="2" t="s">
        <v>56</v>
      </c>
      <c r="S2515" s="2" t="s">
        <v>977</v>
      </c>
      <c r="T2515" s="2" t="s">
        <v>403</v>
      </c>
      <c r="U2515" s="2" t="s">
        <v>19180</v>
      </c>
      <c r="V2515" s="2"/>
      <c r="W2515" s="2" t="s">
        <v>42</v>
      </c>
      <c r="X2515" s="2" t="s">
        <v>43</v>
      </c>
      <c r="Y2515" s="2" t="s">
        <v>37</v>
      </c>
      <c r="Z2515" s="2" t="s">
        <v>44</v>
      </c>
      <c r="AA2515" s="2"/>
      <c r="AB2515" s="2"/>
      <c r="AC2515" s="2" t="s">
        <v>19181</v>
      </c>
      <c r="AD2515" s="2" t="s">
        <v>46</v>
      </c>
    </row>
    <row r="2516" customFormat="false" ht="15.7" hidden="false" customHeight="true" outlineLevel="0" collapsed="false">
      <c r="A2516" s="2"/>
      <c r="B2516" s="3" t="n">
        <f aca="false">DATE(2014,5,11)</f>
        <v>0</v>
      </c>
      <c r="C2516" s="3" t="n">
        <v>41770</v>
      </c>
      <c r="D2516" s="2" t="s">
        <v>19182</v>
      </c>
      <c r="F2516" s="2" t="s">
        <v>19183</v>
      </c>
      <c r="G2516" s="2" t="s">
        <v>19184</v>
      </c>
      <c r="H2516" s="2" t="s">
        <v>19185</v>
      </c>
      <c r="I2516" s="2" t="s">
        <v>330</v>
      </c>
      <c r="J2516" s="2" t="s">
        <v>19186</v>
      </c>
      <c r="K2516" s="2" t="s">
        <v>19187</v>
      </c>
      <c r="L2516" s="2" t="s">
        <v>51</v>
      </c>
      <c r="M2516" s="2" t="s">
        <v>19188</v>
      </c>
      <c r="N2516" s="2" t="s">
        <v>19189</v>
      </c>
      <c r="O2516" s="2"/>
      <c r="P2516" s="2" t="s">
        <v>37</v>
      </c>
      <c r="Q2516" s="4" t="n">
        <v>8731</v>
      </c>
      <c r="R2516" s="2" t="s">
        <v>56</v>
      </c>
      <c r="S2516" s="2" t="s">
        <v>753</v>
      </c>
      <c r="T2516" s="2" t="s">
        <v>403</v>
      </c>
      <c r="U2516" s="2" t="s">
        <v>19190</v>
      </c>
      <c r="V2516" s="2"/>
      <c r="W2516" s="2" t="s">
        <v>4505</v>
      </c>
      <c r="X2516" s="2" t="s">
        <v>43</v>
      </c>
      <c r="Y2516" s="2" t="s">
        <v>37</v>
      </c>
      <c r="Z2516" s="2" t="s">
        <v>44</v>
      </c>
      <c r="AA2516" s="2"/>
      <c r="AB2516" s="2"/>
      <c r="AC2516" s="2" t="s">
        <v>19191</v>
      </c>
      <c r="AD2516" s="2" t="s">
        <v>46</v>
      </c>
    </row>
    <row r="2517" customFormat="false" ht="15.7" hidden="false" customHeight="true" outlineLevel="0" collapsed="false">
      <c r="A2517" s="2"/>
      <c r="B2517" s="3" t="n">
        <f aca="false">DATE(2014,5,14)</f>
        <v>0</v>
      </c>
      <c r="C2517" s="3" t="n">
        <v>41773</v>
      </c>
      <c r="D2517" s="2" t="s">
        <v>19192</v>
      </c>
      <c r="F2517" s="2" t="s">
        <v>19193</v>
      </c>
      <c r="G2517" s="2" t="s">
        <v>19194</v>
      </c>
      <c r="H2517" s="2" t="s">
        <v>19195</v>
      </c>
      <c r="I2517" s="2" t="s">
        <v>19196</v>
      </c>
      <c r="J2517" s="2" t="s">
        <v>101</v>
      </c>
      <c r="K2517" s="2" t="s">
        <v>19192</v>
      </c>
      <c r="L2517" s="2" t="s">
        <v>19196</v>
      </c>
      <c r="M2517" s="2" t="s">
        <v>19195</v>
      </c>
      <c r="N2517" s="2" t="s">
        <v>19197</v>
      </c>
      <c r="O2517" s="2"/>
      <c r="P2517" s="2" t="s">
        <v>37</v>
      </c>
      <c r="Q2517" s="4" t="n">
        <v>8731</v>
      </c>
      <c r="R2517" s="2" t="s">
        <v>19198</v>
      </c>
      <c r="S2517" s="2" t="s">
        <v>39</v>
      </c>
      <c r="T2517" s="2" t="s">
        <v>40</v>
      </c>
      <c r="U2517" s="2" t="s">
        <v>19199</v>
      </c>
      <c r="V2517" s="2"/>
      <c r="W2517" s="2" t="s">
        <v>42</v>
      </c>
      <c r="X2517" s="2" t="s">
        <v>43</v>
      </c>
      <c r="Y2517" s="2" t="s">
        <v>37</v>
      </c>
      <c r="Z2517" s="2" t="s">
        <v>44</v>
      </c>
      <c r="AA2517" s="2"/>
      <c r="AB2517" s="2"/>
      <c r="AC2517" s="2" t="s">
        <v>19200</v>
      </c>
      <c r="AD2517" s="2" t="s">
        <v>46</v>
      </c>
    </row>
    <row r="2518" customFormat="false" ht="15.7" hidden="false" customHeight="true" outlineLevel="0" collapsed="false">
      <c r="A2518" s="2"/>
      <c r="B2518" s="3" t="n">
        <f aca="false">DATE(2014,5,20)</f>
        <v>0</v>
      </c>
      <c r="C2518" s="3" t="n">
        <v>41779</v>
      </c>
      <c r="D2518" s="2" t="s">
        <v>19201</v>
      </c>
      <c r="F2518" s="2" t="s">
        <v>19202</v>
      </c>
      <c r="G2518" s="2" t="s">
        <v>19202</v>
      </c>
      <c r="H2518" s="2" t="s">
        <v>19203</v>
      </c>
      <c r="I2518" s="2" t="s">
        <v>100</v>
      </c>
      <c r="J2518" s="2" t="s">
        <v>65</v>
      </c>
      <c r="K2518" s="2" t="s">
        <v>19204</v>
      </c>
      <c r="L2518" s="2" t="s">
        <v>51</v>
      </c>
      <c r="M2518" s="2" t="s">
        <v>3036</v>
      </c>
      <c r="N2518" s="2" t="s">
        <v>19205</v>
      </c>
      <c r="O2518" s="2"/>
      <c r="P2518" s="2" t="s">
        <v>37</v>
      </c>
      <c r="Q2518" s="4" t="n">
        <v>8733</v>
      </c>
      <c r="R2518" s="2" t="s">
        <v>136</v>
      </c>
      <c r="S2518" s="2" t="s">
        <v>39</v>
      </c>
      <c r="T2518" s="2" t="s">
        <v>40</v>
      </c>
      <c r="U2518" s="2" t="s">
        <v>19206</v>
      </c>
      <c r="V2518" s="2"/>
      <c r="W2518" s="2" t="s">
        <v>42</v>
      </c>
      <c r="X2518" s="2" t="s">
        <v>43</v>
      </c>
      <c r="Y2518" s="2" t="s">
        <v>37</v>
      </c>
      <c r="Z2518" s="2" t="s">
        <v>44</v>
      </c>
      <c r="AA2518" s="2"/>
      <c r="AB2518" s="2"/>
      <c r="AC2518" s="2" t="s">
        <v>19207</v>
      </c>
      <c r="AD2518" s="2" t="s">
        <v>46</v>
      </c>
    </row>
    <row r="2519" customFormat="false" ht="15.7" hidden="false" customHeight="true" outlineLevel="0" collapsed="false">
      <c r="A2519" s="2"/>
      <c r="B2519" s="3" t="n">
        <f aca="false">DATE(2014,5,20)</f>
        <v>0</v>
      </c>
      <c r="C2519" s="3" t="n">
        <v>41779</v>
      </c>
      <c r="D2519" s="2" t="s">
        <v>19208</v>
      </c>
      <c r="F2519" s="2" t="s">
        <v>19209</v>
      </c>
      <c r="G2519" s="2" t="s">
        <v>19210</v>
      </c>
      <c r="H2519" s="2" t="s">
        <v>19211</v>
      </c>
      <c r="I2519" s="2" t="s">
        <v>100</v>
      </c>
      <c r="J2519" s="2" t="s">
        <v>19212</v>
      </c>
      <c r="K2519" s="2" t="s">
        <v>19213</v>
      </c>
      <c r="L2519" s="2" t="s">
        <v>100</v>
      </c>
      <c r="M2519" s="2" t="s">
        <v>19214</v>
      </c>
      <c r="N2519" s="2" t="s">
        <v>19215</v>
      </c>
      <c r="O2519" s="2"/>
      <c r="P2519" s="2" t="s">
        <v>37</v>
      </c>
      <c r="Q2519" s="4" t="n">
        <v>9661</v>
      </c>
      <c r="R2519" s="2" t="s">
        <v>105</v>
      </c>
      <c r="S2519" s="2" t="s">
        <v>39</v>
      </c>
      <c r="T2519" s="2" t="s">
        <v>40</v>
      </c>
      <c r="U2519" s="2" t="s">
        <v>19216</v>
      </c>
      <c r="V2519" s="2"/>
      <c r="W2519" s="2" t="s">
        <v>42</v>
      </c>
      <c r="X2519" s="2" t="s">
        <v>43</v>
      </c>
      <c r="Y2519" s="2" t="s">
        <v>37</v>
      </c>
      <c r="Z2519" s="2" t="s">
        <v>44</v>
      </c>
      <c r="AA2519" s="2"/>
      <c r="AB2519" s="2"/>
      <c r="AC2519" s="2" t="s">
        <v>19217</v>
      </c>
      <c r="AD2519" s="2" t="s">
        <v>46</v>
      </c>
    </row>
    <row r="2520" customFormat="false" ht="15.7" hidden="false" customHeight="true" outlineLevel="0" collapsed="false">
      <c r="A2520" s="2"/>
      <c r="B2520" s="3" t="n">
        <f aca="false">DATE(2014,5,20)</f>
        <v>0</v>
      </c>
      <c r="C2520" s="3" t="n">
        <v>41779</v>
      </c>
      <c r="D2520" s="2" t="s">
        <v>19218</v>
      </c>
      <c r="F2520" s="2" t="s">
        <v>19219</v>
      </c>
      <c r="G2520" s="2" t="s">
        <v>19220</v>
      </c>
      <c r="H2520" s="2" t="s">
        <v>19221</v>
      </c>
      <c r="I2520" s="2" t="s">
        <v>540</v>
      </c>
      <c r="J2520" s="2" t="s">
        <v>35</v>
      </c>
      <c r="K2520" s="2" t="s">
        <v>19218</v>
      </c>
      <c r="L2520" s="2" t="s">
        <v>540</v>
      </c>
      <c r="M2520" s="2" t="s">
        <v>19221</v>
      </c>
      <c r="N2520" s="2" t="s">
        <v>19222</v>
      </c>
      <c r="O2520" s="2"/>
      <c r="P2520" s="2" t="s">
        <v>37</v>
      </c>
      <c r="Q2520" s="4" t="n">
        <v>3728</v>
      </c>
      <c r="R2520" s="2" t="s">
        <v>1448</v>
      </c>
      <c r="S2520" s="2" t="s">
        <v>39</v>
      </c>
      <c r="T2520" s="2" t="s">
        <v>40</v>
      </c>
      <c r="U2520" s="2" t="s">
        <v>19223</v>
      </c>
      <c r="V2520" s="2"/>
      <c r="W2520" s="2" t="s">
        <v>42</v>
      </c>
      <c r="X2520" s="2" t="s">
        <v>46</v>
      </c>
      <c r="Y2520" s="2" t="s">
        <v>37</v>
      </c>
      <c r="Z2520" s="2" t="s">
        <v>362</v>
      </c>
      <c r="AA2520" s="2" t="s">
        <v>19224</v>
      </c>
      <c r="AB2520" s="2"/>
      <c r="AC2520" s="2" t="s">
        <v>19225</v>
      </c>
      <c r="AD2520" s="2" t="s">
        <v>46</v>
      </c>
    </row>
    <row r="2521" customFormat="false" ht="15.7" hidden="false" customHeight="true" outlineLevel="0" collapsed="false">
      <c r="A2521" s="2"/>
      <c r="B2521" s="3" t="n">
        <f aca="false">DATE(2014,5,23)</f>
        <v>0</v>
      </c>
      <c r="C2521" s="3" t="n">
        <v>41782</v>
      </c>
      <c r="D2521" s="2" t="s">
        <v>19226</v>
      </c>
      <c r="F2521" s="2" t="s">
        <v>19227</v>
      </c>
      <c r="G2521" s="2" t="s">
        <v>19228</v>
      </c>
      <c r="H2521" s="2" t="s">
        <v>17074</v>
      </c>
      <c r="I2521" s="2" t="s">
        <v>11894</v>
      </c>
      <c r="J2521" s="2" t="s">
        <v>35</v>
      </c>
      <c r="K2521" s="2" t="s">
        <v>19226</v>
      </c>
      <c r="L2521" s="2" t="s">
        <v>11894</v>
      </c>
      <c r="M2521" s="2" t="s">
        <v>17074</v>
      </c>
      <c r="N2521" s="2" t="s">
        <v>19229</v>
      </c>
      <c r="O2521" s="2"/>
      <c r="P2521" s="2" t="s">
        <v>37</v>
      </c>
      <c r="Q2521" s="4" t="n">
        <v>1381</v>
      </c>
      <c r="R2521" s="2" t="s">
        <v>1208</v>
      </c>
      <c r="S2521" s="2" t="s">
        <v>39</v>
      </c>
      <c r="T2521" s="2" t="s">
        <v>122</v>
      </c>
      <c r="U2521" s="2" t="s">
        <v>19230</v>
      </c>
      <c r="V2521" s="2"/>
      <c r="W2521" s="2" t="s">
        <v>42</v>
      </c>
      <c r="X2521" s="2" t="s">
        <v>46</v>
      </c>
      <c r="Y2521" s="2" t="s">
        <v>37</v>
      </c>
      <c r="Z2521" s="2" t="s">
        <v>18992</v>
      </c>
      <c r="AA2521" s="2"/>
      <c r="AB2521" s="2"/>
      <c r="AC2521" s="2" t="s">
        <v>19231</v>
      </c>
      <c r="AD2521" s="2" t="s">
        <v>46</v>
      </c>
    </row>
    <row r="2522" customFormat="false" ht="15.7" hidden="false" customHeight="true" outlineLevel="0" collapsed="false">
      <c r="A2522" s="2"/>
      <c r="B2522" s="3" t="n">
        <f aca="false">DATE(2014,5,27)</f>
        <v>0</v>
      </c>
      <c r="C2522" s="3" t="n">
        <v>41786</v>
      </c>
      <c r="D2522" s="2" t="s">
        <v>19232</v>
      </c>
      <c r="F2522" s="2" t="s">
        <v>19233</v>
      </c>
      <c r="G2522" s="2" t="s">
        <v>19234</v>
      </c>
      <c r="H2522" s="2" t="s">
        <v>19235</v>
      </c>
      <c r="I2522" s="2" t="s">
        <v>19236</v>
      </c>
      <c r="J2522" s="2" t="s">
        <v>132</v>
      </c>
      <c r="K2522" s="2" t="s">
        <v>19237</v>
      </c>
      <c r="L2522" s="2" t="s">
        <v>19236</v>
      </c>
      <c r="M2522" s="2" t="s">
        <v>19238</v>
      </c>
      <c r="N2522" s="2" t="s">
        <v>19239</v>
      </c>
      <c r="O2522" s="2"/>
      <c r="P2522" s="2" t="s">
        <v>37</v>
      </c>
      <c r="Q2522" s="4" t="n">
        <v>8731</v>
      </c>
      <c r="R2522" s="2" t="s">
        <v>10692</v>
      </c>
      <c r="S2522" s="2" t="s">
        <v>39</v>
      </c>
      <c r="T2522" s="2" t="s">
        <v>40</v>
      </c>
      <c r="U2522" s="2" t="s">
        <v>19240</v>
      </c>
      <c r="V2522" s="2"/>
      <c r="W2522" s="2" t="s">
        <v>42</v>
      </c>
      <c r="X2522" s="2" t="s">
        <v>43</v>
      </c>
      <c r="Y2522" s="2" t="s">
        <v>37</v>
      </c>
      <c r="Z2522" s="2" t="s">
        <v>44</v>
      </c>
      <c r="AA2522" s="2"/>
      <c r="AB2522" s="2"/>
      <c r="AC2522" s="2" t="s">
        <v>19241</v>
      </c>
      <c r="AD2522" s="2" t="s">
        <v>46</v>
      </c>
    </row>
    <row r="2523" customFormat="false" ht="15.7" hidden="false" customHeight="true" outlineLevel="0" collapsed="false">
      <c r="A2523" s="2"/>
      <c r="B2523" s="3" t="n">
        <f aca="false">DATE(2014,5,28)</f>
        <v>0</v>
      </c>
      <c r="C2523" s="3" t="n">
        <v>41787</v>
      </c>
      <c r="D2523" s="2" t="s">
        <v>19242</v>
      </c>
      <c r="F2523" s="2" t="s">
        <v>19243</v>
      </c>
      <c r="G2523" s="2" t="s">
        <v>19244</v>
      </c>
      <c r="H2523" s="2" t="s">
        <v>19245</v>
      </c>
      <c r="I2523" s="2" t="s">
        <v>2103</v>
      </c>
      <c r="J2523" s="2" t="s">
        <v>35</v>
      </c>
      <c r="K2523" s="2" t="s">
        <v>19242</v>
      </c>
      <c r="L2523" s="2" t="s">
        <v>2103</v>
      </c>
      <c r="M2523" s="2" t="s">
        <v>19245</v>
      </c>
      <c r="N2523" s="2" t="s">
        <v>19246</v>
      </c>
      <c r="O2523" s="2"/>
      <c r="P2523" s="2" t="s">
        <v>37</v>
      </c>
      <c r="Q2523" s="4" t="n">
        <v>2711</v>
      </c>
      <c r="R2523" s="2" t="s">
        <v>2105</v>
      </c>
      <c r="S2523" s="2" t="s">
        <v>39</v>
      </c>
      <c r="T2523" s="2" t="s">
        <v>403</v>
      </c>
      <c r="U2523" s="2" t="s">
        <v>19247</v>
      </c>
      <c r="V2523" s="2"/>
      <c r="W2523" s="2" t="s">
        <v>42</v>
      </c>
      <c r="X2523" s="2" t="s">
        <v>46</v>
      </c>
      <c r="Y2523" s="2" t="s">
        <v>37</v>
      </c>
      <c r="Z2523" s="2" t="s">
        <v>19248</v>
      </c>
      <c r="AA2523" s="2"/>
      <c r="AB2523" s="2"/>
      <c r="AC2523" s="2" t="s">
        <v>19249</v>
      </c>
      <c r="AD2523" s="2" t="s">
        <v>46</v>
      </c>
    </row>
    <row r="2524" customFormat="false" ht="15.7" hidden="false" customHeight="true" outlineLevel="0" collapsed="false">
      <c r="A2524" s="2"/>
      <c r="B2524" s="3" t="n">
        <f aca="false">DATE(2014,5,28)</f>
        <v>0</v>
      </c>
      <c r="C2524" s="3" t="n">
        <v>41787</v>
      </c>
      <c r="D2524" s="2" t="s">
        <v>19250</v>
      </c>
      <c r="F2524" s="2" t="s">
        <v>19251</v>
      </c>
      <c r="G2524" s="2" t="s">
        <v>19252</v>
      </c>
      <c r="H2524" s="2" t="s">
        <v>130</v>
      </c>
      <c r="I2524" s="2" t="s">
        <v>51</v>
      </c>
      <c r="J2524" s="2" t="s">
        <v>2338</v>
      </c>
      <c r="K2524" s="2" t="s">
        <v>19250</v>
      </c>
      <c r="L2524" s="2" t="s">
        <v>51</v>
      </c>
      <c r="M2524" s="2" t="s">
        <v>130</v>
      </c>
      <c r="N2524" s="2" t="s">
        <v>19253</v>
      </c>
      <c r="O2524" s="2"/>
      <c r="P2524" s="2" t="s">
        <v>37</v>
      </c>
      <c r="Q2524" s="4" t="n">
        <v>2834</v>
      </c>
      <c r="R2524" s="2" t="s">
        <v>56</v>
      </c>
      <c r="S2524" s="2" t="s">
        <v>507</v>
      </c>
      <c r="T2524" s="2" t="s">
        <v>40</v>
      </c>
      <c r="U2524" s="2" t="s">
        <v>19254</v>
      </c>
      <c r="V2524" s="2"/>
      <c r="W2524" s="2" t="s">
        <v>4487</v>
      </c>
      <c r="X2524" s="2" t="s">
        <v>43</v>
      </c>
      <c r="Y2524" s="2" t="s">
        <v>37</v>
      </c>
      <c r="Z2524" s="2" t="s">
        <v>44</v>
      </c>
      <c r="AA2524" s="2" t="s">
        <v>19255</v>
      </c>
      <c r="AB2524" s="2"/>
      <c r="AC2524" s="2" t="s">
        <v>19256</v>
      </c>
      <c r="AD2524" s="2" t="s">
        <v>46</v>
      </c>
    </row>
    <row r="2525" customFormat="false" ht="15.7" hidden="false" customHeight="true" outlineLevel="0" collapsed="false">
      <c r="A2525" s="2"/>
      <c r="B2525" s="3" t="n">
        <f aca="false">DATE(2014,5,30)</f>
        <v>0</v>
      </c>
      <c r="C2525" s="3" t="n">
        <v>41789</v>
      </c>
      <c r="D2525" s="2" t="s">
        <v>19257</v>
      </c>
      <c r="F2525" s="2" t="s">
        <v>6971</v>
      </c>
      <c r="G2525" s="2" t="s">
        <v>19258</v>
      </c>
      <c r="H2525" s="2" t="s">
        <v>63</v>
      </c>
      <c r="I2525" s="2" t="s">
        <v>549</v>
      </c>
      <c r="J2525" s="2" t="s">
        <v>7101</v>
      </c>
      <c r="K2525" s="2" t="s">
        <v>19257</v>
      </c>
      <c r="L2525" s="2" t="s">
        <v>549</v>
      </c>
      <c r="M2525" s="2" t="s">
        <v>63</v>
      </c>
      <c r="N2525" s="2" t="s">
        <v>19259</v>
      </c>
      <c r="O2525" s="2"/>
      <c r="P2525" s="2" t="s">
        <v>37</v>
      </c>
      <c r="Q2525" s="4" t="n">
        <v>2834</v>
      </c>
      <c r="R2525" s="2" t="s">
        <v>56</v>
      </c>
      <c r="S2525" s="2" t="s">
        <v>8043</v>
      </c>
      <c r="T2525" s="2" t="s">
        <v>403</v>
      </c>
      <c r="U2525" s="2" t="s">
        <v>19260</v>
      </c>
      <c r="V2525" s="2"/>
      <c r="W2525" s="2" t="s">
        <v>344</v>
      </c>
      <c r="X2525" s="2" t="s">
        <v>43</v>
      </c>
      <c r="Y2525" s="2" t="s">
        <v>37</v>
      </c>
      <c r="Z2525" s="2" t="s">
        <v>44</v>
      </c>
      <c r="AA2525" s="2"/>
      <c r="AB2525" s="2"/>
      <c r="AC2525" s="2" t="s">
        <v>19261</v>
      </c>
      <c r="AD2525" s="2" t="s">
        <v>46</v>
      </c>
    </row>
    <row r="2526" customFormat="false" ht="15.7" hidden="false" customHeight="true" outlineLevel="0" collapsed="false">
      <c r="A2526" s="2"/>
      <c r="B2526" s="3" t="n">
        <f aca="false">DATE(2014,6,16)</f>
        <v>0</v>
      </c>
      <c r="C2526" s="3" t="n">
        <v>41806</v>
      </c>
      <c r="D2526" s="2" t="s">
        <v>19262</v>
      </c>
      <c r="F2526" s="2" t="s">
        <v>19263</v>
      </c>
      <c r="G2526" s="2" t="s">
        <v>19264</v>
      </c>
      <c r="H2526" s="2" t="s">
        <v>19265</v>
      </c>
      <c r="I2526" s="2" t="s">
        <v>19266</v>
      </c>
      <c r="J2526" s="2" t="s">
        <v>35</v>
      </c>
      <c r="K2526" s="2" t="s">
        <v>19267</v>
      </c>
      <c r="L2526" s="2" t="s">
        <v>19266</v>
      </c>
      <c r="M2526" s="2" t="s">
        <v>19268</v>
      </c>
      <c r="N2526" s="2" t="s">
        <v>19269</v>
      </c>
      <c r="O2526" s="2"/>
      <c r="P2526" s="2" t="s">
        <v>37</v>
      </c>
      <c r="Q2526" s="4" t="n">
        <v>8731</v>
      </c>
      <c r="R2526" s="2" t="s">
        <v>19266</v>
      </c>
      <c r="S2526" s="2" t="s">
        <v>5334</v>
      </c>
      <c r="T2526" s="2" t="s">
        <v>403</v>
      </c>
      <c r="U2526" s="2" t="s">
        <v>19270</v>
      </c>
      <c r="V2526" s="2"/>
      <c r="W2526" s="2" t="s">
        <v>42</v>
      </c>
      <c r="X2526" s="2" t="s">
        <v>43</v>
      </c>
      <c r="Y2526" s="2" t="s">
        <v>79</v>
      </c>
      <c r="Z2526" s="2" t="s">
        <v>44</v>
      </c>
      <c r="AA2526" s="2"/>
      <c r="AB2526" s="2"/>
      <c r="AC2526" s="2" t="s">
        <v>19271</v>
      </c>
      <c r="AD2526" s="2" t="s">
        <v>46</v>
      </c>
    </row>
    <row r="2527" customFormat="false" ht="15.7" hidden="false" customHeight="true" outlineLevel="0" collapsed="false">
      <c r="A2527" s="2"/>
      <c r="B2527" s="3" t="n">
        <f aca="false">DATE(2014,6,23)</f>
        <v>0</v>
      </c>
      <c r="C2527" s="3" t="n">
        <v>41813</v>
      </c>
      <c r="D2527" s="2" t="s">
        <v>19272</v>
      </c>
      <c r="F2527" s="2" t="s">
        <v>19273</v>
      </c>
      <c r="G2527" s="2" t="s">
        <v>19274</v>
      </c>
      <c r="H2527" s="2" t="s">
        <v>19275</v>
      </c>
      <c r="I2527" s="2" t="s">
        <v>540</v>
      </c>
      <c r="J2527" s="2" t="s">
        <v>35</v>
      </c>
      <c r="K2527" s="2" t="s">
        <v>19272</v>
      </c>
      <c r="L2527" s="2" t="s">
        <v>540</v>
      </c>
      <c r="M2527" s="2" t="s">
        <v>19275</v>
      </c>
      <c r="N2527" s="2" t="s">
        <v>19276</v>
      </c>
      <c r="O2527" s="2"/>
      <c r="P2527" s="2" t="s">
        <v>37</v>
      </c>
      <c r="Q2527" s="4" t="n">
        <v>2621</v>
      </c>
      <c r="R2527" s="2" t="s">
        <v>1448</v>
      </c>
      <c r="S2527" s="2" t="s">
        <v>39</v>
      </c>
      <c r="T2527" s="2" t="s">
        <v>40</v>
      </c>
      <c r="U2527" s="2" t="s">
        <v>19277</v>
      </c>
      <c r="V2527" s="2"/>
      <c r="W2527" s="2" t="s">
        <v>42</v>
      </c>
      <c r="X2527" s="2" t="s">
        <v>46</v>
      </c>
      <c r="Y2527" s="2" t="s">
        <v>37</v>
      </c>
      <c r="Z2527" s="2" t="s">
        <v>362</v>
      </c>
      <c r="AA2527" s="2" t="s">
        <v>19278</v>
      </c>
      <c r="AB2527" s="2"/>
      <c r="AC2527" s="2" t="s">
        <v>19279</v>
      </c>
      <c r="AD2527" s="2" t="s">
        <v>46</v>
      </c>
    </row>
    <row r="2528" customFormat="false" ht="15.7" hidden="false" customHeight="true" outlineLevel="0" collapsed="false">
      <c r="A2528" s="2"/>
      <c r="B2528" s="3" t="n">
        <f aca="false">DATE(2014,6,29)</f>
        <v>0</v>
      </c>
      <c r="C2528" s="3" t="n">
        <v>41819</v>
      </c>
      <c r="D2528" s="2" t="s">
        <v>19280</v>
      </c>
      <c r="F2528" s="2" t="s">
        <v>19281</v>
      </c>
      <c r="G2528" s="2" t="s">
        <v>19282</v>
      </c>
      <c r="H2528" s="2" t="s">
        <v>19283</v>
      </c>
      <c r="I2528" s="2" t="s">
        <v>2727</v>
      </c>
      <c r="J2528" s="2" t="s">
        <v>35</v>
      </c>
      <c r="K2528" s="2" t="s">
        <v>19284</v>
      </c>
      <c r="L2528" s="2" t="s">
        <v>4325</v>
      </c>
      <c r="M2528" s="2" t="s">
        <v>19283</v>
      </c>
      <c r="N2528" s="2" t="s">
        <v>19285</v>
      </c>
      <c r="O2528" s="2"/>
      <c r="P2528" s="2" t="s">
        <v>37</v>
      </c>
      <c r="Q2528" s="4" t="n">
        <v>3334</v>
      </c>
      <c r="R2528" s="2" t="s">
        <v>402</v>
      </c>
      <c r="S2528" s="2" t="s">
        <v>39</v>
      </c>
      <c r="T2528" s="2" t="s">
        <v>403</v>
      </c>
      <c r="U2528" s="2" t="s">
        <v>19286</v>
      </c>
      <c r="V2528" s="2"/>
      <c r="W2528" s="2" t="s">
        <v>42</v>
      </c>
      <c r="X2528" s="2" t="s">
        <v>46</v>
      </c>
      <c r="Y2528" s="2" t="s">
        <v>37</v>
      </c>
      <c r="Z2528" s="2" t="s">
        <v>2732</v>
      </c>
      <c r="AA2528" s="2" t="s">
        <v>19287</v>
      </c>
      <c r="AB2528" s="2"/>
      <c r="AC2528" s="2" t="s">
        <v>19288</v>
      </c>
      <c r="AD2528" s="2" t="s">
        <v>46</v>
      </c>
    </row>
    <row r="2529" customFormat="false" ht="15.7" hidden="false" customHeight="true" outlineLevel="0" collapsed="false">
      <c r="A2529" s="2"/>
      <c r="B2529" s="3" t="n">
        <f aca="false">DATE(2014,7,2)</f>
        <v>0</v>
      </c>
      <c r="C2529" s="3" t="n">
        <v>41822</v>
      </c>
      <c r="D2529" s="2" t="s">
        <v>19289</v>
      </c>
      <c r="F2529" s="2" t="s">
        <v>19290</v>
      </c>
      <c r="G2529" s="2" t="s">
        <v>19291</v>
      </c>
      <c r="H2529" s="2" t="s">
        <v>19292</v>
      </c>
      <c r="I2529" s="2" t="s">
        <v>19293</v>
      </c>
      <c r="J2529" s="2" t="s">
        <v>35</v>
      </c>
      <c r="K2529" s="2" t="s">
        <v>19294</v>
      </c>
      <c r="L2529" s="2" t="s">
        <v>19295</v>
      </c>
      <c r="M2529" s="2" t="s">
        <v>19296</v>
      </c>
      <c r="N2529" s="2" t="s">
        <v>19297</v>
      </c>
      <c r="O2529" s="2"/>
      <c r="P2529" s="2" t="s">
        <v>37</v>
      </c>
      <c r="Q2529" s="4" t="n">
        <v>3261</v>
      </c>
      <c r="R2529" s="2" t="s">
        <v>2952</v>
      </c>
      <c r="S2529" s="2" t="s">
        <v>39</v>
      </c>
      <c r="T2529" s="2" t="s">
        <v>403</v>
      </c>
      <c r="U2529" s="2" t="s">
        <v>19298</v>
      </c>
      <c r="V2529" s="2"/>
      <c r="W2529" s="2" t="s">
        <v>7958</v>
      </c>
      <c r="X2529" s="2" t="s">
        <v>46</v>
      </c>
      <c r="Y2529" s="2" t="s">
        <v>37</v>
      </c>
      <c r="Z2529" s="2" t="s">
        <v>18992</v>
      </c>
      <c r="AA2529" s="2"/>
      <c r="AB2529" s="2"/>
      <c r="AC2529" s="2" t="s">
        <v>19299</v>
      </c>
      <c r="AD2529" s="2" t="s">
        <v>46</v>
      </c>
    </row>
    <row r="2530" customFormat="false" ht="15.7" hidden="false" customHeight="true" outlineLevel="0" collapsed="false">
      <c r="A2530" s="2"/>
      <c r="B2530" s="3" t="n">
        <f aca="false">DATE(2014,7,15)</f>
        <v>0</v>
      </c>
      <c r="C2530" s="3" t="n">
        <v>41835</v>
      </c>
      <c r="D2530" s="2" t="s">
        <v>19300</v>
      </c>
      <c r="F2530" s="2" t="s">
        <v>19301</v>
      </c>
      <c r="G2530" s="2" t="s">
        <v>19302</v>
      </c>
      <c r="H2530" s="2" t="s">
        <v>1027</v>
      </c>
      <c r="I2530" s="2" t="s">
        <v>88</v>
      </c>
      <c r="J2530" s="2" t="s">
        <v>575</v>
      </c>
      <c r="K2530" s="2" t="s">
        <v>19300</v>
      </c>
      <c r="L2530" s="2" t="s">
        <v>88</v>
      </c>
      <c r="M2530" s="2" t="s">
        <v>1027</v>
      </c>
      <c r="N2530" s="2" t="s">
        <v>19303</v>
      </c>
      <c r="O2530" s="2"/>
      <c r="P2530" s="2" t="s">
        <v>37</v>
      </c>
      <c r="Q2530" s="4" t="n">
        <v>8731</v>
      </c>
      <c r="R2530" s="2" t="s">
        <v>136</v>
      </c>
      <c r="S2530" s="2" t="s">
        <v>39</v>
      </c>
      <c r="T2530" s="2" t="s">
        <v>40</v>
      </c>
      <c r="U2530" s="2" t="s">
        <v>19304</v>
      </c>
      <c r="V2530" s="2"/>
      <c r="W2530" s="2" t="s">
        <v>42</v>
      </c>
      <c r="X2530" s="2" t="s">
        <v>46</v>
      </c>
      <c r="Y2530" s="2" t="s">
        <v>37</v>
      </c>
      <c r="Z2530" s="2" t="s">
        <v>362</v>
      </c>
      <c r="AA2530" s="2"/>
      <c r="AB2530" s="2"/>
      <c r="AC2530" s="2" t="s">
        <v>19305</v>
      </c>
      <c r="AD2530" s="2" t="s">
        <v>46</v>
      </c>
    </row>
    <row r="2531" customFormat="false" ht="15.7" hidden="false" customHeight="true" outlineLevel="0" collapsed="false">
      <c r="A2531" s="2"/>
      <c r="B2531" s="3" t="n">
        <f aca="false">DATE(2014,7,16)</f>
        <v>0</v>
      </c>
      <c r="C2531" s="3" t="n">
        <v>41836</v>
      </c>
      <c r="D2531" s="2" t="s">
        <v>19306</v>
      </c>
      <c r="F2531" s="2" t="s">
        <v>19307</v>
      </c>
      <c r="G2531" s="2" t="s">
        <v>19308</v>
      </c>
      <c r="H2531" s="2" t="s">
        <v>19309</v>
      </c>
      <c r="I2531" s="2" t="s">
        <v>3267</v>
      </c>
      <c r="J2531" s="2" t="s">
        <v>132</v>
      </c>
      <c r="K2531" s="2" t="s">
        <v>19306</v>
      </c>
      <c r="L2531" s="2" t="s">
        <v>3267</v>
      </c>
      <c r="M2531" s="2" t="s">
        <v>19309</v>
      </c>
      <c r="N2531" s="2" t="s">
        <v>19310</v>
      </c>
      <c r="O2531" s="2"/>
      <c r="P2531" s="2" t="s">
        <v>37</v>
      </c>
      <c r="Q2531" s="4" t="n">
        <v>5441</v>
      </c>
      <c r="R2531" s="2" t="s">
        <v>402</v>
      </c>
      <c r="S2531" s="2" t="s">
        <v>39</v>
      </c>
      <c r="T2531" s="2" t="s">
        <v>403</v>
      </c>
      <c r="U2531" s="2" t="s">
        <v>19311</v>
      </c>
      <c r="V2531" s="2"/>
      <c r="W2531" s="2" t="s">
        <v>107</v>
      </c>
      <c r="X2531" s="2" t="s">
        <v>46</v>
      </c>
      <c r="Y2531" s="2" t="s">
        <v>37</v>
      </c>
      <c r="Z2531" s="2" t="s">
        <v>362</v>
      </c>
      <c r="AA2531" s="2"/>
      <c r="AB2531" s="2"/>
      <c r="AC2531" s="2" t="s">
        <v>19312</v>
      </c>
      <c r="AD2531" s="2" t="s">
        <v>46</v>
      </c>
    </row>
    <row r="2532" customFormat="false" ht="15.7" hidden="false" customHeight="true" outlineLevel="0" collapsed="false">
      <c r="A2532" s="2"/>
      <c r="B2532" s="3" t="n">
        <f aca="false">DATE(2014,7,28)</f>
        <v>0</v>
      </c>
      <c r="C2532" s="3" t="n">
        <v>41848</v>
      </c>
      <c r="D2532" s="2" t="s">
        <v>19313</v>
      </c>
      <c r="F2532" s="2" t="s">
        <v>19314</v>
      </c>
      <c r="G2532" s="2" t="s">
        <v>19315</v>
      </c>
      <c r="H2532" s="2" t="s">
        <v>1925</v>
      </c>
      <c r="I2532" s="2" t="s">
        <v>51</v>
      </c>
      <c r="J2532" s="2" t="s">
        <v>3854</v>
      </c>
      <c r="K2532" s="2" t="s">
        <v>19316</v>
      </c>
      <c r="L2532" s="2" t="s">
        <v>51</v>
      </c>
      <c r="M2532" s="2" t="s">
        <v>3053</v>
      </c>
      <c r="N2532" s="2" t="s">
        <v>19317</v>
      </c>
      <c r="O2532" s="2"/>
      <c r="P2532" s="2" t="s">
        <v>37</v>
      </c>
      <c r="Q2532" s="4" t="n">
        <v>5099</v>
      </c>
      <c r="R2532" s="2" t="s">
        <v>136</v>
      </c>
      <c r="S2532" s="2" t="s">
        <v>39</v>
      </c>
      <c r="T2532" s="2" t="s">
        <v>2444</v>
      </c>
      <c r="U2532" s="2" t="s">
        <v>19318</v>
      </c>
      <c r="V2532" s="2"/>
      <c r="W2532" s="2" t="s">
        <v>19319</v>
      </c>
      <c r="X2532" s="2" t="s">
        <v>43</v>
      </c>
      <c r="Y2532" s="2" t="s">
        <v>37</v>
      </c>
      <c r="Z2532" s="2" t="s">
        <v>44</v>
      </c>
      <c r="AA2532" s="2"/>
      <c r="AB2532" s="2"/>
      <c r="AC2532" s="2" t="s">
        <v>19320</v>
      </c>
      <c r="AD2532" s="2" t="s">
        <v>46</v>
      </c>
    </row>
    <row r="2533" customFormat="false" ht="15.7" hidden="false" customHeight="true" outlineLevel="0" collapsed="false">
      <c r="A2533" s="2"/>
      <c r="B2533" s="3" t="n">
        <f aca="false">DATE(2014,7,31)</f>
        <v>0</v>
      </c>
      <c r="C2533" s="3" t="n">
        <v>41851</v>
      </c>
      <c r="D2533" s="2" t="s">
        <v>19321</v>
      </c>
      <c r="F2533" s="2" t="s">
        <v>19322</v>
      </c>
      <c r="G2533" s="2" t="s">
        <v>19323</v>
      </c>
      <c r="H2533" s="2" t="s">
        <v>684</v>
      </c>
      <c r="I2533" s="2" t="s">
        <v>51</v>
      </c>
      <c r="J2533" s="2" t="s">
        <v>4097</v>
      </c>
      <c r="K2533" s="2" t="s">
        <v>19321</v>
      </c>
      <c r="L2533" s="2" t="s">
        <v>51</v>
      </c>
      <c r="M2533" s="2" t="s">
        <v>684</v>
      </c>
      <c r="N2533" s="2" t="s">
        <v>19324</v>
      </c>
      <c r="O2533" s="2"/>
      <c r="P2533" s="2" t="s">
        <v>37</v>
      </c>
      <c r="Q2533" s="4" t="n">
        <v>2899</v>
      </c>
      <c r="R2533" s="2" t="s">
        <v>56</v>
      </c>
      <c r="S2533" s="2"/>
      <c r="T2533" s="2" t="s">
        <v>40</v>
      </c>
      <c r="U2533" s="2" t="s">
        <v>19325</v>
      </c>
      <c r="V2533" s="2"/>
      <c r="W2533" s="2" t="s">
        <v>697</v>
      </c>
      <c r="X2533" s="2" t="s">
        <v>46</v>
      </c>
      <c r="Y2533" s="2" t="s">
        <v>37</v>
      </c>
      <c r="Z2533" s="2" t="s">
        <v>362</v>
      </c>
      <c r="AA2533" s="2"/>
      <c r="AB2533" s="2"/>
      <c r="AC2533" s="2" t="s">
        <v>19326</v>
      </c>
      <c r="AD2533" s="2" t="s">
        <v>46</v>
      </c>
    </row>
    <row r="2534" customFormat="false" ht="15.7" hidden="false" customHeight="true" outlineLevel="0" collapsed="false">
      <c r="A2534" s="2"/>
      <c r="B2534" s="3" t="n">
        <f aca="false">DATE(2014,8,1)</f>
        <v>0</v>
      </c>
      <c r="C2534" s="3" t="n">
        <v>41852</v>
      </c>
      <c r="D2534" s="2" t="s">
        <v>19327</v>
      </c>
      <c r="F2534" s="2" t="s">
        <v>19328</v>
      </c>
      <c r="G2534" s="2" t="s">
        <v>19329</v>
      </c>
      <c r="H2534" s="2" t="s">
        <v>19330</v>
      </c>
      <c r="I2534" s="2" t="s">
        <v>19331</v>
      </c>
      <c r="J2534" s="2" t="s">
        <v>19332</v>
      </c>
      <c r="K2534" s="2" t="s">
        <v>19333</v>
      </c>
      <c r="L2534" s="2" t="s">
        <v>19334</v>
      </c>
      <c r="M2534" s="2" t="s">
        <v>19335</v>
      </c>
      <c r="N2534" s="2" t="s">
        <v>19336</v>
      </c>
      <c r="O2534" s="2"/>
      <c r="P2534" s="2" t="s">
        <v>37</v>
      </c>
      <c r="Q2534" s="4" t="n">
        <v>8731</v>
      </c>
      <c r="R2534" s="2" t="s">
        <v>2508</v>
      </c>
      <c r="S2534" s="2" t="s">
        <v>39</v>
      </c>
      <c r="T2534" s="2" t="s">
        <v>403</v>
      </c>
      <c r="U2534" s="2" t="s">
        <v>19337</v>
      </c>
      <c r="V2534" s="2"/>
      <c r="W2534" s="2" t="s">
        <v>42</v>
      </c>
      <c r="X2534" s="2" t="s">
        <v>46</v>
      </c>
      <c r="Y2534" s="2" t="s">
        <v>37</v>
      </c>
      <c r="Z2534" s="2" t="s">
        <v>452</v>
      </c>
      <c r="AA2534" s="2"/>
      <c r="AB2534" s="2"/>
      <c r="AC2534" s="2" t="s">
        <v>19338</v>
      </c>
      <c r="AD2534" s="2" t="s">
        <v>46</v>
      </c>
    </row>
    <row r="2535" customFormat="false" ht="15.7" hidden="false" customHeight="true" outlineLevel="0" collapsed="false">
      <c r="A2535" s="2"/>
      <c r="B2535" s="3" t="n">
        <f aca="false">DATE(2014,8,4)</f>
        <v>0</v>
      </c>
      <c r="C2535" s="3" t="n">
        <v>41855</v>
      </c>
      <c r="D2535" s="2" t="s">
        <v>19339</v>
      </c>
      <c r="F2535" s="2" t="s">
        <v>19340</v>
      </c>
      <c r="G2535" s="2" t="s">
        <v>19341</v>
      </c>
      <c r="H2535" s="2" t="s">
        <v>230</v>
      </c>
      <c r="I2535" s="2" t="s">
        <v>330</v>
      </c>
      <c r="J2535" s="2" t="s">
        <v>795</v>
      </c>
      <c r="K2535" s="2" t="s">
        <v>19339</v>
      </c>
      <c r="L2535" s="2" t="s">
        <v>330</v>
      </c>
      <c r="M2535" s="2" t="s">
        <v>230</v>
      </c>
      <c r="N2535" s="2" t="s">
        <v>19342</v>
      </c>
      <c r="O2535" s="2"/>
      <c r="P2535" s="2" t="s">
        <v>37</v>
      </c>
      <c r="Q2535" s="4" t="n">
        <v>2834</v>
      </c>
      <c r="R2535" s="2" t="s">
        <v>56</v>
      </c>
      <c r="S2535" s="2" t="s">
        <v>507</v>
      </c>
      <c r="T2535" s="2" t="s">
        <v>403</v>
      </c>
      <c r="U2535" s="2" t="s">
        <v>19343</v>
      </c>
      <c r="V2535" s="2"/>
      <c r="W2535" s="2" t="s">
        <v>42</v>
      </c>
      <c r="X2535" s="2" t="s">
        <v>46</v>
      </c>
      <c r="Y2535" s="2" t="s">
        <v>37</v>
      </c>
      <c r="Z2535" s="2" t="s">
        <v>362</v>
      </c>
      <c r="AA2535" s="2"/>
      <c r="AB2535" s="2"/>
      <c r="AC2535" s="2" t="s">
        <v>19344</v>
      </c>
      <c r="AD2535" s="2" t="s">
        <v>46</v>
      </c>
    </row>
    <row r="2536" customFormat="false" ht="15.7" hidden="false" customHeight="true" outlineLevel="0" collapsed="false">
      <c r="A2536" s="2"/>
      <c r="B2536" s="3" t="n">
        <f aca="false">DATE(2014,8,7)</f>
        <v>0</v>
      </c>
      <c r="C2536" s="3" t="n">
        <v>41858</v>
      </c>
      <c r="D2536" s="2" t="s">
        <v>19345</v>
      </c>
      <c r="F2536" s="2" t="s">
        <v>19346</v>
      </c>
      <c r="G2536" s="2" t="s">
        <v>19347</v>
      </c>
      <c r="H2536" s="2" t="s">
        <v>19348</v>
      </c>
      <c r="I2536" s="2" t="s">
        <v>19349</v>
      </c>
      <c r="J2536" s="2" t="s">
        <v>35</v>
      </c>
      <c r="K2536" s="2" t="s">
        <v>19345</v>
      </c>
      <c r="L2536" s="2" t="s">
        <v>19349</v>
      </c>
      <c r="M2536" s="2" t="s">
        <v>19348</v>
      </c>
      <c r="N2536" s="2" t="s">
        <v>19350</v>
      </c>
      <c r="O2536" s="2" t="s">
        <v>19351</v>
      </c>
      <c r="P2536" s="2" t="s">
        <v>37</v>
      </c>
      <c r="Q2536" s="4" t="n">
        <v>8733</v>
      </c>
      <c r="R2536" s="2" t="s">
        <v>2952</v>
      </c>
      <c r="S2536" s="2" t="s">
        <v>39</v>
      </c>
      <c r="T2536" s="2" t="s">
        <v>40</v>
      </c>
      <c r="U2536" s="2" t="s">
        <v>19352</v>
      </c>
      <c r="V2536" s="2"/>
      <c r="W2536" s="2" t="s">
        <v>42</v>
      </c>
      <c r="X2536" s="2" t="s">
        <v>46</v>
      </c>
      <c r="Y2536" s="2" t="s">
        <v>37</v>
      </c>
      <c r="Z2536" s="2" t="s">
        <v>362</v>
      </c>
      <c r="AA2536" s="2"/>
      <c r="AB2536" s="2" t="s">
        <v>19353</v>
      </c>
      <c r="AC2536" s="2" t="s">
        <v>19354</v>
      </c>
      <c r="AD2536" s="2" t="s">
        <v>46</v>
      </c>
    </row>
    <row r="2537" customFormat="false" ht="15.7" hidden="false" customHeight="true" outlineLevel="0" collapsed="false">
      <c r="A2537" s="2"/>
      <c r="B2537" s="3" t="n">
        <f aca="false">DATE(2014,9,14)</f>
        <v>0</v>
      </c>
      <c r="C2537" s="3" t="n">
        <v>41896</v>
      </c>
      <c r="D2537" s="2" t="s">
        <v>19355</v>
      </c>
      <c r="F2537" s="2" t="s">
        <v>19356</v>
      </c>
      <c r="G2537" s="2" t="s">
        <v>19357</v>
      </c>
      <c r="H2537" s="2" t="s">
        <v>19358</v>
      </c>
      <c r="I2537" s="2" t="s">
        <v>51</v>
      </c>
      <c r="J2537" s="2" t="s">
        <v>1572</v>
      </c>
      <c r="K2537" s="2" t="s">
        <v>19355</v>
      </c>
      <c r="L2537" s="2" t="s">
        <v>51</v>
      </c>
      <c r="M2537" s="2" t="s">
        <v>19358</v>
      </c>
      <c r="N2537" s="2" t="s">
        <v>19359</v>
      </c>
      <c r="O2537" s="2"/>
      <c r="P2537" s="2" t="s">
        <v>37</v>
      </c>
      <c r="Q2537" s="4" t="n">
        <v>2851</v>
      </c>
      <c r="R2537" s="2" t="s">
        <v>56</v>
      </c>
      <c r="S2537" s="2" t="s">
        <v>1576</v>
      </c>
      <c r="T2537" s="2" t="s">
        <v>403</v>
      </c>
      <c r="U2537" s="2" t="s">
        <v>19360</v>
      </c>
      <c r="V2537" s="2"/>
      <c r="W2537" s="2" t="s">
        <v>697</v>
      </c>
      <c r="X2537" s="2" t="s">
        <v>46</v>
      </c>
      <c r="Y2537" s="2" t="s">
        <v>37</v>
      </c>
      <c r="Z2537" s="2" t="s">
        <v>362</v>
      </c>
      <c r="AA2537" s="2"/>
      <c r="AB2537" s="2"/>
      <c r="AC2537" s="2" t="s">
        <v>19361</v>
      </c>
      <c r="AD2537" s="2" t="s">
        <v>46</v>
      </c>
    </row>
    <row r="2538" customFormat="false" ht="15.7" hidden="false" customHeight="true" outlineLevel="0" collapsed="false">
      <c r="A2538" s="2"/>
      <c r="B2538" s="3" t="n">
        <f aca="false">DATE(2014,9,15)</f>
        <v>0</v>
      </c>
      <c r="C2538" s="3" t="n">
        <v>41897</v>
      </c>
      <c r="D2538" s="2" t="s">
        <v>19362</v>
      </c>
      <c r="F2538" s="2" t="s">
        <v>19363</v>
      </c>
      <c r="G2538" s="2" t="s">
        <v>19364</v>
      </c>
      <c r="H2538" s="2" t="s">
        <v>1027</v>
      </c>
      <c r="I2538" s="2" t="s">
        <v>3265</v>
      </c>
      <c r="J2538" s="2" t="s">
        <v>132</v>
      </c>
      <c r="K2538" s="2" t="s">
        <v>19362</v>
      </c>
      <c r="L2538" s="2" t="s">
        <v>3265</v>
      </c>
      <c r="M2538" s="2" t="s">
        <v>1027</v>
      </c>
      <c r="N2538" s="2" t="s">
        <v>19365</v>
      </c>
      <c r="O2538" s="2"/>
      <c r="P2538" s="2" t="s">
        <v>37</v>
      </c>
      <c r="Q2538" s="4" t="n">
        <v>2834</v>
      </c>
      <c r="R2538" s="2" t="s">
        <v>402</v>
      </c>
      <c r="S2538" s="2" t="s">
        <v>39</v>
      </c>
      <c r="T2538" s="2" t="s">
        <v>40</v>
      </c>
      <c r="U2538" s="2" t="s">
        <v>19366</v>
      </c>
      <c r="V2538" s="2"/>
      <c r="W2538" s="2" t="s">
        <v>344</v>
      </c>
      <c r="X2538" s="2" t="s">
        <v>46</v>
      </c>
      <c r="Y2538" s="2" t="s">
        <v>37</v>
      </c>
      <c r="Z2538" s="2" t="s">
        <v>362</v>
      </c>
      <c r="AA2538" s="2"/>
      <c r="AB2538" s="2"/>
      <c r="AC2538" s="2" t="s">
        <v>19367</v>
      </c>
      <c r="AD2538" s="2" t="s">
        <v>46</v>
      </c>
    </row>
    <row r="2539" customFormat="false" ht="15.7" hidden="false" customHeight="true" outlineLevel="0" collapsed="false">
      <c r="A2539" s="2"/>
      <c r="B2539" s="3" t="n">
        <f aca="false">DATE(2014,9,18)</f>
        <v>0</v>
      </c>
      <c r="C2539" s="3" t="n">
        <v>41900</v>
      </c>
      <c r="D2539" s="2" t="s">
        <v>19368</v>
      </c>
      <c r="F2539" s="2" t="s">
        <v>8961</v>
      </c>
      <c r="G2539" s="2" t="s">
        <v>19369</v>
      </c>
      <c r="H2539" s="2" t="s">
        <v>8963</v>
      </c>
      <c r="I2539" s="2" t="s">
        <v>51</v>
      </c>
      <c r="J2539" s="2" t="s">
        <v>3435</v>
      </c>
      <c r="K2539" s="2" t="s">
        <v>19368</v>
      </c>
      <c r="L2539" s="2" t="s">
        <v>51</v>
      </c>
      <c r="M2539" s="2" t="s">
        <v>8963</v>
      </c>
      <c r="N2539" s="2" t="s">
        <v>19370</v>
      </c>
      <c r="O2539" s="2"/>
      <c r="P2539" s="2" t="s">
        <v>37</v>
      </c>
      <c r="Q2539" s="4" t="n">
        <v>2899</v>
      </c>
      <c r="R2539" s="2" t="s">
        <v>56</v>
      </c>
      <c r="S2539" s="2" t="s">
        <v>931</v>
      </c>
      <c r="T2539" s="2" t="s">
        <v>40</v>
      </c>
      <c r="U2539" s="2" t="s">
        <v>19371</v>
      </c>
      <c r="V2539" s="2"/>
      <c r="W2539" s="2" t="s">
        <v>42</v>
      </c>
      <c r="X2539" s="2" t="s">
        <v>43</v>
      </c>
      <c r="Y2539" s="2" t="s">
        <v>37</v>
      </c>
      <c r="Z2539" s="2" t="s">
        <v>44</v>
      </c>
      <c r="AA2539" s="2"/>
      <c r="AB2539" s="2"/>
      <c r="AC2539" s="2" t="s">
        <v>19372</v>
      </c>
      <c r="AD2539" s="2" t="s">
        <v>46</v>
      </c>
    </row>
    <row r="2540" customFormat="false" ht="15.7" hidden="false" customHeight="true" outlineLevel="0" collapsed="false">
      <c r="A2540" s="2"/>
      <c r="B2540" s="3" t="n">
        <f aca="false">DATE(2014,9,22)</f>
        <v>0</v>
      </c>
      <c r="C2540" s="3" t="n">
        <v>41904</v>
      </c>
      <c r="D2540" s="2" t="s">
        <v>19373</v>
      </c>
      <c r="F2540" s="2" t="s">
        <v>19374</v>
      </c>
      <c r="G2540" s="2" t="s">
        <v>19375</v>
      </c>
      <c r="H2540" s="2" t="s">
        <v>2215</v>
      </c>
      <c r="I2540" s="2" t="s">
        <v>685</v>
      </c>
      <c r="J2540" s="2" t="s">
        <v>35</v>
      </c>
      <c r="K2540" s="2" t="s">
        <v>19373</v>
      </c>
      <c r="L2540" s="2" t="s">
        <v>685</v>
      </c>
      <c r="M2540" s="2" t="s">
        <v>2215</v>
      </c>
      <c r="N2540" s="2" t="s">
        <v>19376</v>
      </c>
      <c r="O2540" s="2"/>
      <c r="P2540" s="2" t="s">
        <v>37</v>
      </c>
      <c r="Q2540" s="4" t="n">
        <v>8731</v>
      </c>
      <c r="R2540" s="2" t="s">
        <v>688</v>
      </c>
      <c r="S2540" s="2" t="s">
        <v>39</v>
      </c>
      <c r="T2540" s="2" t="s">
        <v>403</v>
      </c>
      <c r="U2540" s="2" t="s">
        <v>19377</v>
      </c>
      <c r="V2540" s="2"/>
      <c r="W2540" s="2" t="s">
        <v>42</v>
      </c>
      <c r="X2540" s="2" t="s">
        <v>46</v>
      </c>
      <c r="Y2540" s="2" t="s">
        <v>37</v>
      </c>
      <c r="Z2540" s="2" t="s">
        <v>44</v>
      </c>
      <c r="AA2540" s="2"/>
      <c r="AB2540" s="2"/>
      <c r="AC2540" s="2" t="s">
        <v>19378</v>
      </c>
      <c r="AD2540" s="2" t="s">
        <v>46</v>
      </c>
    </row>
    <row r="2541" customFormat="false" ht="15.7" hidden="false" customHeight="true" outlineLevel="0" collapsed="false">
      <c r="A2541" s="2"/>
      <c r="B2541" s="3" t="n">
        <f aca="false">DATE(2014,9,23)</f>
        <v>0</v>
      </c>
      <c r="C2541" s="3" t="n">
        <v>41905</v>
      </c>
      <c r="D2541" s="2" t="s">
        <v>19379</v>
      </c>
      <c r="F2541" s="2" t="s">
        <v>19380</v>
      </c>
      <c r="G2541" s="2" t="s">
        <v>19381</v>
      </c>
      <c r="H2541" s="2" t="s">
        <v>19382</v>
      </c>
      <c r="I2541" s="2" t="s">
        <v>51</v>
      </c>
      <c r="J2541" s="2" t="s">
        <v>2816</v>
      </c>
      <c r="K2541" s="2" t="s">
        <v>19379</v>
      </c>
      <c r="L2541" s="2" t="s">
        <v>51</v>
      </c>
      <c r="M2541" s="2" t="s">
        <v>19382</v>
      </c>
      <c r="N2541" s="2" t="s">
        <v>19383</v>
      </c>
      <c r="O2541" s="2"/>
      <c r="P2541" s="2" t="s">
        <v>37</v>
      </c>
      <c r="Q2541" s="4" t="n">
        <v>8731</v>
      </c>
      <c r="R2541" s="2" t="s">
        <v>56</v>
      </c>
      <c r="S2541" s="2" t="s">
        <v>507</v>
      </c>
      <c r="T2541" s="2" t="s">
        <v>40</v>
      </c>
      <c r="U2541" s="2" t="s">
        <v>19384</v>
      </c>
      <c r="V2541" s="2"/>
      <c r="W2541" s="2" t="s">
        <v>42</v>
      </c>
      <c r="X2541" s="2" t="s">
        <v>43</v>
      </c>
      <c r="Y2541" s="2" t="s">
        <v>37</v>
      </c>
      <c r="Z2541" s="2" t="s">
        <v>44</v>
      </c>
      <c r="AA2541" s="2"/>
      <c r="AB2541" s="2"/>
      <c r="AC2541" s="2" t="s">
        <v>19385</v>
      </c>
      <c r="AD2541" s="2" t="s">
        <v>46</v>
      </c>
    </row>
    <row r="2542" customFormat="false" ht="15.7" hidden="false" customHeight="true" outlineLevel="0" collapsed="false">
      <c r="A2542" s="2"/>
      <c r="B2542" s="3" t="n">
        <f aca="false">DATE(2014,9,25)</f>
        <v>0</v>
      </c>
      <c r="C2542" s="3" t="n">
        <v>41907</v>
      </c>
      <c r="D2542" s="2" t="s">
        <v>19386</v>
      </c>
      <c r="F2542" s="2" t="s">
        <v>19387</v>
      </c>
      <c r="G2542" s="2" t="s">
        <v>19388</v>
      </c>
      <c r="H2542" s="2" t="s">
        <v>8183</v>
      </c>
      <c r="I2542" s="2" t="s">
        <v>5971</v>
      </c>
      <c r="J2542" s="2" t="s">
        <v>35</v>
      </c>
      <c r="K2542" s="2" t="s">
        <v>19386</v>
      </c>
      <c r="L2542" s="2" t="s">
        <v>5971</v>
      </c>
      <c r="M2542" s="2" t="s">
        <v>8183</v>
      </c>
      <c r="N2542" s="2" t="s">
        <v>19389</v>
      </c>
      <c r="O2542" s="2" t="s">
        <v>19390</v>
      </c>
      <c r="P2542" s="2" t="s">
        <v>37</v>
      </c>
      <c r="Q2542" s="4" t="n">
        <v>8731</v>
      </c>
      <c r="R2542" s="2" t="s">
        <v>450</v>
      </c>
      <c r="S2542" s="2" t="s">
        <v>39</v>
      </c>
      <c r="T2542" s="2" t="s">
        <v>40</v>
      </c>
      <c r="U2542" s="2" t="s">
        <v>19391</v>
      </c>
      <c r="V2542" s="2"/>
      <c r="W2542" s="2" t="s">
        <v>42</v>
      </c>
      <c r="X2542" s="2" t="s">
        <v>46</v>
      </c>
      <c r="Y2542" s="2" t="s">
        <v>37</v>
      </c>
      <c r="Z2542" s="2" t="s">
        <v>362</v>
      </c>
      <c r="AA2542" s="2"/>
      <c r="AB2542" s="2" t="s">
        <v>19392</v>
      </c>
      <c r="AC2542" s="2" t="s">
        <v>19393</v>
      </c>
      <c r="AD2542" s="2" t="s">
        <v>46</v>
      </c>
    </row>
    <row r="2543" customFormat="false" ht="15.7" hidden="false" customHeight="true" outlineLevel="0" collapsed="false">
      <c r="A2543" s="2"/>
      <c r="B2543" s="3" t="n">
        <f aca="false">DATE(2014,9,29)</f>
        <v>0</v>
      </c>
      <c r="C2543" s="3" t="n">
        <v>41911</v>
      </c>
      <c r="D2543" s="2" t="s">
        <v>19394</v>
      </c>
      <c r="F2543" s="2" t="s">
        <v>19395</v>
      </c>
      <c r="G2543" s="2" t="s">
        <v>19396</v>
      </c>
      <c r="H2543" s="2" t="s">
        <v>130</v>
      </c>
      <c r="I2543" s="2" t="s">
        <v>664</v>
      </c>
      <c r="J2543" s="2" t="s">
        <v>228</v>
      </c>
      <c r="K2543" s="2" t="s">
        <v>19394</v>
      </c>
      <c r="L2543" s="2" t="s">
        <v>664</v>
      </c>
      <c r="M2543" s="2" t="s">
        <v>130</v>
      </c>
      <c r="N2543" s="2" t="s">
        <v>19397</v>
      </c>
      <c r="O2543" s="2"/>
      <c r="P2543" s="2" t="s">
        <v>37</v>
      </c>
      <c r="Q2543" s="4" t="n">
        <v>2834</v>
      </c>
      <c r="R2543" s="2" t="s">
        <v>136</v>
      </c>
      <c r="S2543" s="2" t="s">
        <v>39</v>
      </c>
      <c r="T2543" s="2" t="s">
        <v>403</v>
      </c>
      <c r="U2543" s="2" t="s">
        <v>19398</v>
      </c>
      <c r="V2543" s="2"/>
      <c r="W2543" s="2" t="s">
        <v>42</v>
      </c>
      <c r="X2543" s="2" t="s">
        <v>43</v>
      </c>
      <c r="Y2543" s="2" t="s">
        <v>37</v>
      </c>
      <c r="Z2543" s="2" t="s">
        <v>44</v>
      </c>
      <c r="AA2543" s="2"/>
      <c r="AB2543" s="2"/>
      <c r="AC2543" s="2" t="s">
        <v>19399</v>
      </c>
      <c r="AD2543" s="2" t="s">
        <v>46</v>
      </c>
    </row>
    <row r="2544" customFormat="false" ht="15.7" hidden="false" customHeight="true" outlineLevel="0" collapsed="false">
      <c r="A2544" s="2"/>
      <c r="B2544" s="3" t="n">
        <f aca="false">DATE(2014,10,10)</f>
        <v>0</v>
      </c>
      <c r="C2544" s="3" t="n">
        <v>41922</v>
      </c>
      <c r="D2544" s="2" t="s">
        <v>19400</v>
      </c>
      <c r="F2544" s="2" t="s">
        <v>19401</v>
      </c>
      <c r="G2544" s="2" t="s">
        <v>19402</v>
      </c>
      <c r="H2544" s="2" t="s">
        <v>1020</v>
      </c>
      <c r="I2544" s="2" t="s">
        <v>1262</v>
      </c>
      <c r="J2544" s="2" t="s">
        <v>1520</v>
      </c>
      <c r="K2544" s="2" t="s">
        <v>19400</v>
      </c>
      <c r="L2544" s="2" t="s">
        <v>1262</v>
      </c>
      <c r="M2544" s="2" t="s">
        <v>1020</v>
      </c>
      <c r="N2544" s="2" t="s">
        <v>19403</v>
      </c>
      <c r="O2544" s="2"/>
      <c r="P2544" s="2" t="s">
        <v>37</v>
      </c>
      <c r="Q2544" s="4" t="n">
        <v>8731</v>
      </c>
      <c r="R2544" s="2" t="s">
        <v>136</v>
      </c>
      <c r="S2544" s="2" t="s">
        <v>39</v>
      </c>
      <c r="T2544" s="2" t="s">
        <v>40</v>
      </c>
      <c r="U2544" s="2" t="s">
        <v>19404</v>
      </c>
      <c r="V2544" s="2"/>
      <c r="W2544" s="2" t="s">
        <v>42</v>
      </c>
      <c r="X2544" s="2" t="s">
        <v>43</v>
      </c>
      <c r="Y2544" s="2" t="s">
        <v>37</v>
      </c>
      <c r="Z2544" s="2" t="s">
        <v>44</v>
      </c>
      <c r="AA2544" s="2"/>
      <c r="AB2544" s="2"/>
      <c r="AC2544" s="2" t="s">
        <v>19405</v>
      </c>
      <c r="AD2544" s="2" t="s">
        <v>46</v>
      </c>
    </row>
    <row r="2545" customFormat="false" ht="15.7" hidden="false" customHeight="true" outlineLevel="0" collapsed="false">
      <c r="A2545" s="2"/>
      <c r="B2545" s="3" t="n">
        <f aca="false">DATE(2014,10,13)</f>
        <v>0</v>
      </c>
      <c r="C2545" s="3" t="n">
        <v>41925</v>
      </c>
      <c r="D2545" s="2" t="s">
        <v>19406</v>
      </c>
      <c r="F2545" s="2" t="s">
        <v>19407</v>
      </c>
      <c r="G2545" s="2" t="s">
        <v>19408</v>
      </c>
      <c r="H2545" s="2" t="s">
        <v>19409</v>
      </c>
      <c r="I2545" s="2" t="s">
        <v>3223</v>
      </c>
      <c r="J2545" s="2" t="s">
        <v>116</v>
      </c>
      <c r="K2545" s="2" t="s">
        <v>19406</v>
      </c>
      <c r="L2545" s="2" t="s">
        <v>3223</v>
      </c>
      <c r="M2545" s="2" t="s">
        <v>19409</v>
      </c>
      <c r="N2545" s="2" t="s">
        <v>19410</v>
      </c>
      <c r="O2545" s="2"/>
      <c r="P2545" s="2" t="s">
        <v>37</v>
      </c>
      <c r="Q2545" s="4" t="n">
        <v>8731</v>
      </c>
      <c r="R2545" s="2" t="s">
        <v>402</v>
      </c>
      <c r="S2545" s="2" t="s">
        <v>39</v>
      </c>
      <c r="T2545" s="2" t="s">
        <v>40</v>
      </c>
      <c r="U2545" s="2" t="s">
        <v>19411</v>
      </c>
      <c r="V2545" s="2"/>
      <c r="W2545" s="2" t="s">
        <v>13889</v>
      </c>
      <c r="X2545" s="2" t="s">
        <v>46</v>
      </c>
      <c r="Y2545" s="2" t="s">
        <v>37</v>
      </c>
      <c r="Z2545" s="2" t="s">
        <v>1404</v>
      </c>
      <c r="AA2545" s="2" t="s">
        <v>19412</v>
      </c>
      <c r="AB2545" s="2"/>
      <c r="AC2545" s="2" t="s">
        <v>19413</v>
      </c>
      <c r="AD2545" s="2" t="s">
        <v>46</v>
      </c>
    </row>
    <row r="2546" customFormat="false" ht="15.7" hidden="false" customHeight="true" outlineLevel="0" collapsed="false">
      <c r="A2546" s="2"/>
      <c r="B2546" s="3" t="n">
        <f aca="false">DATE(2014,10,16)</f>
        <v>0</v>
      </c>
      <c r="C2546" s="3" t="n">
        <v>41928</v>
      </c>
      <c r="D2546" s="2" t="s">
        <v>19414</v>
      </c>
      <c r="F2546" s="2" t="s">
        <v>19415</v>
      </c>
      <c r="G2546" s="2" t="s">
        <v>19416</v>
      </c>
      <c r="H2546" s="2" t="s">
        <v>6522</v>
      </c>
      <c r="I2546" s="2" t="s">
        <v>3265</v>
      </c>
      <c r="J2546" s="2" t="s">
        <v>4399</v>
      </c>
      <c r="K2546" s="2" t="s">
        <v>19417</v>
      </c>
      <c r="L2546" s="2" t="s">
        <v>3265</v>
      </c>
      <c r="M2546" s="2" t="s">
        <v>3152</v>
      </c>
      <c r="N2546" s="2" t="s">
        <v>19418</v>
      </c>
      <c r="O2546" s="2"/>
      <c r="P2546" s="2" t="s">
        <v>37</v>
      </c>
      <c r="Q2546" s="4" t="n">
        <v>3674</v>
      </c>
      <c r="R2546" s="2" t="s">
        <v>402</v>
      </c>
      <c r="S2546" s="2" t="s">
        <v>39</v>
      </c>
      <c r="T2546" s="2" t="s">
        <v>403</v>
      </c>
      <c r="U2546" s="2" t="s">
        <v>19419</v>
      </c>
      <c r="V2546" s="2"/>
      <c r="W2546" s="2" t="s">
        <v>19420</v>
      </c>
      <c r="X2546" s="2" t="s">
        <v>46</v>
      </c>
      <c r="Y2546" s="2" t="s">
        <v>37</v>
      </c>
      <c r="Z2546" s="2" t="s">
        <v>44</v>
      </c>
      <c r="AA2546" s="2"/>
      <c r="AB2546" s="2"/>
      <c r="AC2546" s="2" t="s">
        <v>19421</v>
      </c>
      <c r="AD2546" s="2" t="s">
        <v>46</v>
      </c>
    </row>
    <row r="2547" customFormat="false" ht="15.7" hidden="false" customHeight="true" outlineLevel="0" collapsed="false">
      <c r="A2547" s="2"/>
      <c r="B2547" s="3" t="n">
        <f aca="false">DATE(2014,10,22)</f>
        <v>0</v>
      </c>
      <c r="C2547" s="3" t="n">
        <v>41934</v>
      </c>
      <c r="D2547" s="2" t="s">
        <v>19422</v>
      </c>
      <c r="F2547" s="2" t="s">
        <v>19423</v>
      </c>
      <c r="G2547" s="2" t="s">
        <v>19424</v>
      </c>
      <c r="H2547" s="2" t="s">
        <v>559</v>
      </c>
      <c r="I2547" s="2" t="s">
        <v>51</v>
      </c>
      <c r="J2547" s="2" t="s">
        <v>9350</v>
      </c>
      <c r="K2547" s="2" t="s">
        <v>19422</v>
      </c>
      <c r="L2547" s="2" t="s">
        <v>51</v>
      </c>
      <c r="M2547" s="2" t="s">
        <v>559</v>
      </c>
      <c r="N2547" s="2" t="s">
        <v>19425</v>
      </c>
      <c r="O2547" s="2"/>
      <c r="P2547" s="2" t="s">
        <v>37</v>
      </c>
      <c r="Q2547" s="4" t="n">
        <v>8731</v>
      </c>
      <c r="R2547" s="2" t="s">
        <v>56</v>
      </c>
      <c r="S2547" s="2" t="s">
        <v>1484</v>
      </c>
      <c r="T2547" s="2" t="s">
        <v>403</v>
      </c>
      <c r="U2547" s="2" t="s">
        <v>19426</v>
      </c>
      <c r="V2547" s="2"/>
      <c r="W2547" s="2" t="s">
        <v>42</v>
      </c>
      <c r="X2547" s="2" t="s">
        <v>46</v>
      </c>
      <c r="Y2547" s="2" t="s">
        <v>37</v>
      </c>
      <c r="Z2547" s="2" t="s">
        <v>362</v>
      </c>
      <c r="AA2547" s="2"/>
      <c r="AB2547" s="2"/>
      <c r="AC2547" s="2" t="s">
        <v>19427</v>
      </c>
      <c r="AD2547" s="2" t="s">
        <v>46</v>
      </c>
    </row>
    <row r="2548" customFormat="false" ht="15.7" hidden="false" customHeight="true" outlineLevel="0" collapsed="false">
      <c r="A2548" s="2"/>
      <c r="B2548" s="3" t="n">
        <f aca="false">DATE(2014,10,23)</f>
        <v>0</v>
      </c>
      <c r="C2548" s="3" t="n">
        <v>41935</v>
      </c>
      <c r="D2548" s="2" t="s">
        <v>19428</v>
      </c>
      <c r="F2548" s="2" t="s">
        <v>19429</v>
      </c>
      <c r="G2548" s="2" t="s">
        <v>19430</v>
      </c>
      <c r="H2548" s="2" t="s">
        <v>19431</v>
      </c>
      <c r="I2548" s="2" t="s">
        <v>4325</v>
      </c>
      <c r="J2548" s="2" t="s">
        <v>35</v>
      </c>
      <c r="K2548" s="2" t="s">
        <v>19428</v>
      </c>
      <c r="L2548" s="2" t="s">
        <v>4325</v>
      </c>
      <c r="M2548" s="2" t="s">
        <v>19431</v>
      </c>
      <c r="N2548" s="2" t="s">
        <v>19432</v>
      </c>
      <c r="O2548" s="2"/>
      <c r="P2548" s="2" t="s">
        <v>37</v>
      </c>
      <c r="Q2548" s="4" t="n">
        <v>8731</v>
      </c>
      <c r="R2548" s="2" t="s">
        <v>402</v>
      </c>
      <c r="S2548" s="2" t="s">
        <v>39</v>
      </c>
      <c r="T2548" s="2" t="s">
        <v>40</v>
      </c>
      <c r="U2548" s="2" t="s">
        <v>19433</v>
      </c>
      <c r="V2548" s="2"/>
      <c r="W2548" s="2" t="s">
        <v>42</v>
      </c>
      <c r="X2548" s="2" t="s">
        <v>46</v>
      </c>
      <c r="Y2548" s="2" t="s">
        <v>37</v>
      </c>
      <c r="Z2548" s="2" t="s">
        <v>987</v>
      </c>
      <c r="AA2548" s="2" t="s">
        <v>19434</v>
      </c>
      <c r="AB2548" s="2"/>
      <c r="AC2548" s="2" t="s">
        <v>19435</v>
      </c>
      <c r="AD2548" s="2" t="s">
        <v>46</v>
      </c>
    </row>
    <row r="2549" customFormat="false" ht="15.7" hidden="false" customHeight="true" outlineLevel="0" collapsed="false">
      <c r="A2549" s="2"/>
      <c r="B2549" s="3" t="n">
        <f aca="false">DATE(2014,10,30)</f>
        <v>0</v>
      </c>
      <c r="C2549" s="3" t="n">
        <v>41942</v>
      </c>
      <c r="D2549" s="2" t="s">
        <v>19436</v>
      </c>
      <c r="F2549" s="2" t="s">
        <v>19437</v>
      </c>
      <c r="G2549" s="2" t="s">
        <v>19438</v>
      </c>
      <c r="H2549" s="2" t="s">
        <v>19439</v>
      </c>
      <c r="I2549" s="2" t="s">
        <v>921</v>
      </c>
      <c r="J2549" s="2" t="s">
        <v>35</v>
      </c>
      <c r="K2549" s="2" t="s">
        <v>19436</v>
      </c>
      <c r="L2549" s="2" t="s">
        <v>921</v>
      </c>
      <c r="M2549" s="2" t="s">
        <v>19439</v>
      </c>
      <c r="N2549" s="2" t="s">
        <v>19440</v>
      </c>
      <c r="O2549" s="2"/>
      <c r="P2549" s="2" t="s">
        <v>37</v>
      </c>
      <c r="Q2549" s="4" t="n">
        <v>3671</v>
      </c>
      <c r="R2549" s="2" t="s">
        <v>38</v>
      </c>
      <c r="S2549" s="2" t="s">
        <v>39</v>
      </c>
      <c r="T2549" s="2" t="s">
        <v>403</v>
      </c>
      <c r="U2549" s="2" t="s">
        <v>19441</v>
      </c>
      <c r="V2549" s="2"/>
      <c r="W2549" s="2" t="s">
        <v>2460</v>
      </c>
      <c r="X2549" s="2" t="s">
        <v>46</v>
      </c>
      <c r="Y2549" s="2" t="s">
        <v>37</v>
      </c>
      <c r="Z2549" s="2" t="s">
        <v>19442</v>
      </c>
      <c r="AA2549" s="2"/>
      <c r="AB2549" s="2"/>
      <c r="AC2549" s="2" t="s">
        <v>19443</v>
      </c>
      <c r="AD2549" s="2" t="s">
        <v>46</v>
      </c>
    </row>
    <row r="2550" customFormat="false" ht="15.7" hidden="false" customHeight="true" outlineLevel="0" collapsed="false">
      <c r="A2550" s="2"/>
      <c r="B2550" s="3" t="n">
        <f aca="false">DATE(2014,10,31)</f>
        <v>0</v>
      </c>
      <c r="C2550" s="3" t="n">
        <v>41943</v>
      </c>
      <c r="D2550" s="2" t="s">
        <v>19444</v>
      </c>
      <c r="F2550" s="2" t="s">
        <v>19445</v>
      </c>
      <c r="G2550" s="2" t="s">
        <v>19446</v>
      </c>
      <c r="H2550" s="2" t="s">
        <v>9318</v>
      </c>
      <c r="I2550" s="2" t="s">
        <v>219</v>
      </c>
      <c r="J2550" s="2" t="s">
        <v>1456</v>
      </c>
      <c r="K2550" s="2" t="s">
        <v>19444</v>
      </c>
      <c r="L2550" s="2" t="s">
        <v>219</v>
      </c>
      <c r="M2550" s="2" t="s">
        <v>9318</v>
      </c>
      <c r="N2550" s="2" t="s">
        <v>19447</v>
      </c>
      <c r="O2550" s="2" t="s">
        <v>19448</v>
      </c>
      <c r="P2550" s="2" t="s">
        <v>37</v>
      </c>
      <c r="Q2550" s="4" t="n">
        <v>8071</v>
      </c>
      <c r="R2550" s="2" t="s">
        <v>56</v>
      </c>
      <c r="S2550" s="2" t="s">
        <v>788</v>
      </c>
      <c r="T2550" s="2" t="s">
        <v>40</v>
      </c>
      <c r="U2550" s="2" t="s">
        <v>19449</v>
      </c>
      <c r="V2550" s="2"/>
      <c r="W2550" s="2" t="s">
        <v>42</v>
      </c>
      <c r="X2550" s="2" t="s">
        <v>46</v>
      </c>
      <c r="Y2550" s="2" t="s">
        <v>37</v>
      </c>
      <c r="Z2550" s="2" t="s">
        <v>362</v>
      </c>
      <c r="AA2550" s="2"/>
      <c r="AB2550" s="2" t="s">
        <v>19450</v>
      </c>
      <c r="AC2550" s="2" t="s">
        <v>19451</v>
      </c>
      <c r="AD2550" s="2" t="s">
        <v>46</v>
      </c>
    </row>
    <row r="2551" customFormat="false" ht="15.7" hidden="false" customHeight="true" outlineLevel="0" collapsed="false">
      <c r="A2551" s="2"/>
      <c r="B2551" s="3" t="n">
        <f aca="false">DATE(2014,11,4)</f>
        <v>0</v>
      </c>
      <c r="C2551" s="3" t="n">
        <v>41947</v>
      </c>
      <c r="D2551" s="2" t="s">
        <v>19452</v>
      </c>
      <c r="F2551" s="2" t="s">
        <v>19453</v>
      </c>
      <c r="G2551" s="2" t="s">
        <v>19454</v>
      </c>
      <c r="H2551" s="2" t="s">
        <v>1943</v>
      </c>
      <c r="I2551" s="2" t="s">
        <v>330</v>
      </c>
      <c r="J2551" s="2" t="s">
        <v>331</v>
      </c>
      <c r="K2551" s="2" t="s">
        <v>19455</v>
      </c>
      <c r="L2551" s="2" t="s">
        <v>4089</v>
      </c>
      <c r="M2551" s="2" t="s">
        <v>19456</v>
      </c>
      <c r="N2551" s="2" t="s">
        <v>19457</v>
      </c>
      <c r="O2551" s="2"/>
      <c r="P2551" s="2" t="s">
        <v>37</v>
      </c>
      <c r="Q2551" s="4" t="n">
        <v>5122</v>
      </c>
      <c r="R2551" s="2" t="s">
        <v>56</v>
      </c>
      <c r="S2551" s="2"/>
      <c r="T2551" s="2" t="s">
        <v>403</v>
      </c>
      <c r="U2551" s="2" t="s">
        <v>19458</v>
      </c>
      <c r="V2551" s="2"/>
      <c r="W2551" s="2" t="s">
        <v>42</v>
      </c>
      <c r="X2551" s="2" t="s">
        <v>43</v>
      </c>
      <c r="Y2551" s="2" t="s">
        <v>37</v>
      </c>
      <c r="Z2551" s="2" t="s">
        <v>44</v>
      </c>
      <c r="AA2551" s="2"/>
      <c r="AB2551" s="2"/>
      <c r="AC2551" s="2" t="s">
        <v>19459</v>
      </c>
      <c r="AD2551" s="2" t="s">
        <v>46</v>
      </c>
    </row>
    <row r="2552" customFormat="false" ht="15.7" hidden="false" customHeight="true" outlineLevel="0" collapsed="false">
      <c r="A2552" s="2"/>
      <c r="B2552" s="3" t="n">
        <f aca="false">DATE(2014,11,17)</f>
        <v>0</v>
      </c>
      <c r="C2552" s="3" t="n">
        <v>41960</v>
      </c>
      <c r="D2552" s="2" t="s">
        <v>19460</v>
      </c>
      <c r="F2552" s="2" t="s">
        <v>19461</v>
      </c>
      <c r="G2552" s="2" t="s">
        <v>19462</v>
      </c>
      <c r="H2552" s="2" t="s">
        <v>130</v>
      </c>
      <c r="I2552" s="2" t="s">
        <v>131</v>
      </c>
      <c r="J2552" s="2" t="s">
        <v>795</v>
      </c>
      <c r="K2552" s="2" t="s">
        <v>19460</v>
      </c>
      <c r="L2552" s="2" t="s">
        <v>131</v>
      </c>
      <c r="M2552" s="2" t="s">
        <v>130</v>
      </c>
      <c r="N2552" s="2" t="s">
        <v>19463</v>
      </c>
      <c r="O2552" s="2"/>
      <c r="P2552" s="2" t="s">
        <v>37</v>
      </c>
      <c r="Q2552" s="4" t="n">
        <v>2834</v>
      </c>
      <c r="R2552" s="2" t="s">
        <v>136</v>
      </c>
      <c r="S2552" s="2" t="s">
        <v>39</v>
      </c>
      <c r="T2552" s="2" t="s">
        <v>40</v>
      </c>
      <c r="U2552" s="2" t="s">
        <v>19464</v>
      </c>
      <c r="V2552" s="2"/>
      <c r="W2552" s="2" t="s">
        <v>18966</v>
      </c>
      <c r="X2552" s="2" t="s">
        <v>43</v>
      </c>
      <c r="Y2552" s="2" t="s">
        <v>37</v>
      </c>
      <c r="Z2552" s="2" t="s">
        <v>44</v>
      </c>
      <c r="AA2552" s="2"/>
      <c r="AB2552" s="2"/>
      <c r="AC2552" s="2" t="s">
        <v>19465</v>
      </c>
      <c r="AD2552" s="2" t="s">
        <v>46</v>
      </c>
    </row>
    <row r="2553" customFormat="false" ht="15.7" hidden="false" customHeight="true" outlineLevel="0" collapsed="false">
      <c r="A2553" s="2"/>
      <c r="B2553" s="3" t="n">
        <f aca="false">DATE(2014,11,20)</f>
        <v>0</v>
      </c>
      <c r="C2553" s="3" t="n">
        <v>41963</v>
      </c>
      <c r="D2553" s="2" t="s">
        <v>19466</v>
      </c>
      <c r="F2553" s="2" t="s">
        <v>19467</v>
      </c>
      <c r="G2553" s="2" t="s">
        <v>19468</v>
      </c>
      <c r="H2553" s="2" t="s">
        <v>1101</v>
      </c>
      <c r="I2553" s="2" t="s">
        <v>51</v>
      </c>
      <c r="J2553" s="2" t="s">
        <v>828</v>
      </c>
      <c r="K2553" s="2" t="s">
        <v>19469</v>
      </c>
      <c r="L2553" s="2" t="s">
        <v>330</v>
      </c>
      <c r="M2553" s="2" t="s">
        <v>814</v>
      </c>
      <c r="N2553" s="2" t="s">
        <v>19470</v>
      </c>
      <c r="O2553" s="2"/>
      <c r="P2553" s="2" t="s">
        <v>37</v>
      </c>
      <c r="Q2553" s="4" t="n">
        <v>8731</v>
      </c>
      <c r="R2553" s="2" t="s">
        <v>56</v>
      </c>
      <c r="S2553" s="2" t="s">
        <v>80</v>
      </c>
      <c r="T2553" s="2" t="s">
        <v>403</v>
      </c>
      <c r="U2553" s="2" t="s">
        <v>19471</v>
      </c>
      <c r="V2553" s="2"/>
      <c r="W2553" s="2" t="s">
        <v>42</v>
      </c>
      <c r="X2553" s="2" t="s">
        <v>43</v>
      </c>
      <c r="Y2553" s="2" t="s">
        <v>37</v>
      </c>
      <c r="Z2553" s="2" t="s">
        <v>44</v>
      </c>
      <c r="AA2553" s="2"/>
      <c r="AB2553" s="2"/>
      <c r="AC2553" s="2" t="s">
        <v>19472</v>
      </c>
      <c r="AD2553" s="2" t="s">
        <v>46</v>
      </c>
    </row>
    <row r="2554" customFormat="false" ht="15.7" hidden="false" customHeight="true" outlineLevel="0" collapsed="false">
      <c r="A2554" s="2"/>
      <c r="B2554" s="3" t="n">
        <f aca="false">DATE(2014,12,12)</f>
        <v>0</v>
      </c>
      <c r="C2554" s="3" t="n">
        <v>41985</v>
      </c>
      <c r="D2554" s="2" t="s">
        <v>19473</v>
      </c>
      <c r="F2554" s="2" t="s">
        <v>17604</v>
      </c>
      <c r="G2554" s="2" t="s">
        <v>19474</v>
      </c>
      <c r="H2554" s="2" t="s">
        <v>130</v>
      </c>
      <c r="I2554" s="2" t="s">
        <v>12095</v>
      </c>
      <c r="J2554" s="2" t="s">
        <v>35</v>
      </c>
      <c r="K2554" s="2" t="s">
        <v>19473</v>
      </c>
      <c r="L2554" s="2" t="s">
        <v>12095</v>
      </c>
      <c r="M2554" s="2" t="s">
        <v>130</v>
      </c>
      <c r="N2554" s="2" t="s">
        <v>19475</v>
      </c>
      <c r="O2554" s="2"/>
      <c r="P2554" s="2" t="s">
        <v>37</v>
      </c>
      <c r="Q2554" s="4" t="n">
        <v>2836</v>
      </c>
      <c r="R2554" s="2" t="s">
        <v>136</v>
      </c>
      <c r="S2554" s="2" t="s">
        <v>39</v>
      </c>
      <c r="T2554" s="2" t="s">
        <v>403</v>
      </c>
      <c r="U2554" s="2" t="s">
        <v>19476</v>
      </c>
      <c r="V2554" s="2"/>
      <c r="W2554" s="2" t="s">
        <v>19477</v>
      </c>
      <c r="X2554" s="2" t="s">
        <v>43</v>
      </c>
      <c r="Y2554" s="2" t="s">
        <v>37</v>
      </c>
      <c r="Z2554" s="2" t="s">
        <v>44</v>
      </c>
      <c r="AA2554" s="2"/>
      <c r="AB2554" s="2"/>
      <c r="AC2554" s="2" t="s">
        <v>19478</v>
      </c>
      <c r="AD2554" s="2" t="s">
        <v>46</v>
      </c>
    </row>
    <row r="2555" customFormat="false" ht="15.7" hidden="false" customHeight="true" outlineLevel="0" collapsed="false">
      <c r="A2555" s="2"/>
      <c r="B2555" s="3" t="n">
        <f aca="false">DATE(2014,12,31)</f>
        <v>0</v>
      </c>
      <c r="C2555" s="3" t="n">
        <v>42004</v>
      </c>
      <c r="D2555" s="2" t="s">
        <v>19479</v>
      </c>
      <c r="F2555" s="2" t="s">
        <v>19480</v>
      </c>
      <c r="G2555" s="2" t="s">
        <v>19481</v>
      </c>
      <c r="H2555" s="2" t="s">
        <v>6612</v>
      </c>
      <c r="I2555" s="2" t="s">
        <v>19482</v>
      </c>
      <c r="J2555" s="2" t="s">
        <v>35</v>
      </c>
      <c r="K2555" s="2" t="s">
        <v>19479</v>
      </c>
      <c r="L2555" s="2" t="s">
        <v>19482</v>
      </c>
      <c r="M2555" s="2" t="s">
        <v>6612</v>
      </c>
      <c r="N2555" s="2" t="s">
        <v>19483</v>
      </c>
      <c r="O2555" s="2"/>
      <c r="P2555" s="2" t="s">
        <v>37</v>
      </c>
      <c r="Q2555" s="4" t="n">
        <v>8733</v>
      </c>
      <c r="R2555" s="2" t="s">
        <v>12595</v>
      </c>
      <c r="S2555" s="2" t="s">
        <v>39</v>
      </c>
      <c r="T2555" s="2" t="s">
        <v>403</v>
      </c>
      <c r="U2555" s="2" t="s">
        <v>19484</v>
      </c>
      <c r="V2555" s="2"/>
      <c r="W2555" s="2" t="s">
        <v>42</v>
      </c>
      <c r="X2555" s="2" t="s">
        <v>46</v>
      </c>
      <c r="Y2555" s="2" t="s">
        <v>37</v>
      </c>
      <c r="Z2555" s="2" t="s">
        <v>44</v>
      </c>
      <c r="AA2555" s="2"/>
      <c r="AB2555" s="2"/>
      <c r="AC2555" s="2" t="s">
        <v>19485</v>
      </c>
      <c r="AD2555" s="2" t="s">
        <v>46</v>
      </c>
    </row>
    <row r="2556" customFormat="false" ht="15.7" hidden="false" customHeight="true" outlineLevel="0" collapsed="false">
      <c r="A2556" s="2"/>
      <c r="B2556" s="3" t="n">
        <f aca="false">DATE(2015,1,9)</f>
        <v>0</v>
      </c>
      <c r="C2556" s="3" t="n">
        <v>42013</v>
      </c>
      <c r="D2556" s="2" t="s">
        <v>19486</v>
      </c>
      <c r="F2556" s="2" t="s">
        <v>7325</v>
      </c>
      <c r="G2556" s="2" t="s">
        <v>19487</v>
      </c>
      <c r="H2556" s="2" t="s">
        <v>387</v>
      </c>
      <c r="I2556" s="2" t="s">
        <v>51</v>
      </c>
      <c r="J2556" s="2" t="s">
        <v>77</v>
      </c>
      <c r="K2556" s="2" t="s">
        <v>19488</v>
      </c>
      <c r="L2556" s="2" t="s">
        <v>51</v>
      </c>
      <c r="M2556" s="2" t="s">
        <v>387</v>
      </c>
      <c r="N2556" s="2" t="s">
        <v>19489</v>
      </c>
      <c r="O2556" s="2"/>
      <c r="P2556" s="2" t="s">
        <v>37</v>
      </c>
      <c r="Q2556" s="4" t="n">
        <v>8731</v>
      </c>
      <c r="R2556" s="2" t="s">
        <v>56</v>
      </c>
      <c r="S2556" s="2" t="s">
        <v>80</v>
      </c>
      <c r="T2556" s="2" t="s">
        <v>40</v>
      </c>
      <c r="U2556" s="2" t="s">
        <v>19490</v>
      </c>
      <c r="V2556" s="2"/>
      <c r="W2556" s="2" t="s">
        <v>42</v>
      </c>
      <c r="X2556" s="2" t="s">
        <v>43</v>
      </c>
      <c r="Y2556" s="2" t="s">
        <v>37</v>
      </c>
      <c r="Z2556" s="2" t="s">
        <v>44</v>
      </c>
      <c r="AA2556" s="2" t="s">
        <v>19491</v>
      </c>
      <c r="AB2556" s="2"/>
      <c r="AC2556" s="2" t="s">
        <v>19492</v>
      </c>
      <c r="AD2556" s="2" t="s">
        <v>46</v>
      </c>
    </row>
    <row r="2557" customFormat="false" ht="15.7" hidden="false" customHeight="true" outlineLevel="0" collapsed="false">
      <c r="A2557" s="2"/>
      <c r="B2557" s="3" t="n">
        <f aca="false">DATE(2015,1,12)</f>
        <v>0</v>
      </c>
      <c r="C2557" s="3" t="n">
        <v>42016</v>
      </c>
      <c r="D2557" s="2" t="s">
        <v>19493</v>
      </c>
      <c r="F2557" s="2" t="s">
        <v>19494</v>
      </c>
      <c r="G2557" s="2" t="s">
        <v>19495</v>
      </c>
      <c r="H2557" s="2" t="s">
        <v>19496</v>
      </c>
      <c r="I2557" s="2" t="s">
        <v>51</v>
      </c>
      <c r="J2557" s="2" t="s">
        <v>187</v>
      </c>
      <c r="K2557" s="2" t="s">
        <v>19493</v>
      </c>
      <c r="L2557" s="2" t="s">
        <v>51</v>
      </c>
      <c r="M2557" s="2" t="s">
        <v>19496</v>
      </c>
      <c r="N2557" s="2" t="s">
        <v>19497</v>
      </c>
      <c r="O2557" s="2"/>
      <c r="P2557" s="2" t="s">
        <v>37</v>
      </c>
      <c r="Q2557" s="4" t="n">
        <v>3826</v>
      </c>
      <c r="R2557" s="2" t="s">
        <v>136</v>
      </c>
      <c r="S2557" s="2" t="s">
        <v>39</v>
      </c>
      <c r="T2557" s="2" t="s">
        <v>40</v>
      </c>
      <c r="U2557" s="2" t="s">
        <v>19498</v>
      </c>
      <c r="V2557" s="2"/>
      <c r="W2557" s="2" t="s">
        <v>42</v>
      </c>
      <c r="X2557" s="2" t="s">
        <v>43</v>
      </c>
      <c r="Y2557" s="2" t="s">
        <v>37</v>
      </c>
      <c r="Z2557" s="2" t="s">
        <v>44</v>
      </c>
      <c r="AA2557" s="2"/>
      <c r="AB2557" s="2"/>
      <c r="AC2557" s="2" t="s">
        <v>19499</v>
      </c>
      <c r="AD2557" s="2" t="s">
        <v>46</v>
      </c>
    </row>
    <row r="2558" customFormat="false" ht="15.7" hidden="false" customHeight="true" outlineLevel="0" collapsed="false">
      <c r="A2558" s="2"/>
      <c r="B2558" s="3" t="n">
        <f aca="false">DATE(2015,1,22)</f>
        <v>0</v>
      </c>
      <c r="C2558" s="3" t="n">
        <v>42026</v>
      </c>
      <c r="D2558" s="2" t="s">
        <v>19500</v>
      </c>
      <c r="F2558" s="2" t="s">
        <v>19501</v>
      </c>
      <c r="G2558" s="2" t="s">
        <v>19502</v>
      </c>
      <c r="H2558" s="2" t="s">
        <v>5386</v>
      </c>
      <c r="I2558" s="2" t="s">
        <v>1412</v>
      </c>
      <c r="J2558" s="2" t="s">
        <v>6170</v>
      </c>
      <c r="K2558" s="2" t="s">
        <v>19500</v>
      </c>
      <c r="L2558" s="2" t="s">
        <v>1412</v>
      </c>
      <c r="M2558" s="2" t="s">
        <v>5386</v>
      </c>
      <c r="N2558" s="2" t="s">
        <v>19503</v>
      </c>
      <c r="O2558" s="2"/>
      <c r="P2558" s="2" t="s">
        <v>37</v>
      </c>
      <c r="Q2558" s="4" t="n">
        <v>8731</v>
      </c>
      <c r="R2558" s="2" t="s">
        <v>56</v>
      </c>
      <c r="S2558" s="2" t="s">
        <v>10955</v>
      </c>
      <c r="T2558" s="2" t="s">
        <v>403</v>
      </c>
      <c r="U2558" s="2" t="s">
        <v>19504</v>
      </c>
      <c r="V2558" s="2"/>
      <c r="W2558" s="2" t="s">
        <v>42</v>
      </c>
      <c r="X2558" s="2" t="s">
        <v>46</v>
      </c>
      <c r="Y2558" s="2" t="s">
        <v>37</v>
      </c>
      <c r="Z2558" s="2" t="s">
        <v>362</v>
      </c>
      <c r="AA2558" s="2"/>
      <c r="AB2558" s="2"/>
      <c r="AC2558" s="2" t="s">
        <v>19505</v>
      </c>
      <c r="AD2558" s="2" t="s">
        <v>46</v>
      </c>
    </row>
    <row r="2559" customFormat="false" ht="15.7" hidden="false" customHeight="true" outlineLevel="0" collapsed="false">
      <c r="A2559" s="2"/>
      <c r="B2559" s="3" t="n">
        <f aca="false">DATE(2015,1,28)</f>
        <v>0</v>
      </c>
      <c r="C2559" s="3" t="n">
        <v>42032</v>
      </c>
      <c r="D2559" s="2" t="s">
        <v>19506</v>
      </c>
      <c r="F2559" s="2" t="s">
        <v>19507</v>
      </c>
      <c r="G2559" s="2" t="s">
        <v>19508</v>
      </c>
      <c r="H2559" s="2" t="s">
        <v>50</v>
      </c>
      <c r="I2559" s="2" t="s">
        <v>64</v>
      </c>
      <c r="J2559" s="2" t="s">
        <v>203</v>
      </c>
      <c r="K2559" s="2" t="s">
        <v>19506</v>
      </c>
      <c r="L2559" s="2" t="s">
        <v>64</v>
      </c>
      <c r="M2559" s="2" t="s">
        <v>50</v>
      </c>
      <c r="N2559" s="2" t="s">
        <v>19509</v>
      </c>
      <c r="O2559" s="2"/>
      <c r="P2559" s="2" t="s">
        <v>37</v>
      </c>
      <c r="Q2559" s="4" t="n">
        <v>8731</v>
      </c>
      <c r="R2559" s="2" t="s">
        <v>56</v>
      </c>
      <c r="S2559" s="2" t="s">
        <v>977</v>
      </c>
      <c r="T2559" s="2" t="s">
        <v>403</v>
      </c>
      <c r="U2559" s="2" t="s">
        <v>19510</v>
      </c>
      <c r="V2559" s="2"/>
      <c r="W2559" s="2" t="s">
        <v>3235</v>
      </c>
      <c r="X2559" s="2" t="s">
        <v>46</v>
      </c>
      <c r="Y2559" s="2" t="s">
        <v>37</v>
      </c>
      <c r="Z2559" s="2" t="s">
        <v>362</v>
      </c>
      <c r="AA2559" s="2"/>
      <c r="AB2559" s="2"/>
      <c r="AC2559" s="2" t="s">
        <v>19511</v>
      </c>
      <c r="AD2559" s="2" t="s">
        <v>46</v>
      </c>
    </row>
    <row r="2560" customFormat="false" ht="15.7" hidden="false" customHeight="true" outlineLevel="0" collapsed="false">
      <c r="A2560" s="2"/>
      <c r="B2560" s="3" t="n">
        <f aca="false">DATE(2015,2,6)</f>
        <v>0</v>
      </c>
      <c r="C2560" s="3" t="n">
        <v>42041</v>
      </c>
      <c r="D2560" s="2" t="s">
        <v>19512</v>
      </c>
      <c r="F2560" s="2" t="s">
        <v>19513</v>
      </c>
      <c r="G2560" s="2" t="s">
        <v>19514</v>
      </c>
      <c r="H2560" s="2" t="s">
        <v>1972</v>
      </c>
      <c r="I2560" s="2" t="s">
        <v>3320</v>
      </c>
      <c r="J2560" s="2" t="s">
        <v>35</v>
      </c>
      <c r="K2560" s="2" t="s">
        <v>19515</v>
      </c>
      <c r="L2560" s="2" t="s">
        <v>19516</v>
      </c>
      <c r="M2560" s="2" t="s">
        <v>19517</v>
      </c>
      <c r="N2560" s="2" t="s">
        <v>19518</v>
      </c>
      <c r="O2560" s="2"/>
      <c r="P2560" s="2" t="s">
        <v>37</v>
      </c>
      <c r="Q2560" s="4" t="n">
        <v>3711</v>
      </c>
      <c r="R2560" s="2" t="s">
        <v>105</v>
      </c>
      <c r="S2560" s="2" t="s">
        <v>39</v>
      </c>
      <c r="T2560" s="2" t="s">
        <v>403</v>
      </c>
      <c r="U2560" s="2" t="s">
        <v>19519</v>
      </c>
      <c r="V2560" s="2"/>
      <c r="W2560" s="2" t="s">
        <v>42</v>
      </c>
      <c r="X2560" s="2" t="s">
        <v>46</v>
      </c>
      <c r="Y2560" s="2" t="s">
        <v>37</v>
      </c>
      <c r="Z2560" s="2" t="s">
        <v>18992</v>
      </c>
      <c r="AA2560" s="2"/>
      <c r="AB2560" s="2"/>
      <c r="AC2560" s="2" t="s">
        <v>19520</v>
      </c>
      <c r="AD2560" s="2" t="s">
        <v>46</v>
      </c>
    </row>
    <row r="2561" customFormat="false" ht="15.7" hidden="false" customHeight="true" outlineLevel="0" collapsed="false">
      <c r="A2561" s="2"/>
      <c r="B2561" s="3" t="n">
        <f aca="false">DATE(2015,2,24)</f>
        <v>0</v>
      </c>
      <c r="C2561" s="3" t="n">
        <v>42059</v>
      </c>
      <c r="D2561" s="2" t="s">
        <v>19521</v>
      </c>
      <c r="F2561" s="2" t="s">
        <v>19522</v>
      </c>
      <c r="G2561" s="2" t="s">
        <v>19523</v>
      </c>
      <c r="H2561" s="2" t="s">
        <v>1101</v>
      </c>
      <c r="I2561" s="2" t="s">
        <v>388</v>
      </c>
      <c r="J2561" s="2" t="s">
        <v>625</v>
      </c>
      <c r="K2561" s="2" t="s">
        <v>19521</v>
      </c>
      <c r="L2561" s="2" t="s">
        <v>388</v>
      </c>
      <c r="M2561" s="2" t="s">
        <v>1101</v>
      </c>
      <c r="N2561" s="2" t="s">
        <v>19524</v>
      </c>
      <c r="O2561" s="2"/>
      <c r="P2561" s="2" t="s">
        <v>37</v>
      </c>
      <c r="Q2561" s="4" t="n">
        <v>8731</v>
      </c>
      <c r="R2561" s="2" t="s">
        <v>136</v>
      </c>
      <c r="S2561" s="2" t="s">
        <v>39</v>
      </c>
      <c r="T2561" s="2" t="s">
        <v>403</v>
      </c>
      <c r="U2561" s="2" t="s">
        <v>19525</v>
      </c>
      <c r="V2561" s="2"/>
      <c r="W2561" s="2" t="s">
        <v>42</v>
      </c>
      <c r="X2561" s="2" t="s">
        <v>43</v>
      </c>
      <c r="Y2561" s="2" t="s">
        <v>37</v>
      </c>
      <c r="Z2561" s="2" t="s">
        <v>44</v>
      </c>
      <c r="AA2561" s="2"/>
      <c r="AB2561" s="2"/>
      <c r="AC2561" s="2" t="s">
        <v>19526</v>
      </c>
      <c r="AD2561" s="2" t="s">
        <v>46</v>
      </c>
    </row>
    <row r="2562" customFormat="false" ht="15.7" hidden="false" customHeight="true" outlineLevel="0" collapsed="false">
      <c r="A2562" s="2"/>
      <c r="B2562" s="3" t="n">
        <f aca="false">DATE(2015,3,5)</f>
        <v>0</v>
      </c>
      <c r="C2562" s="3" t="n">
        <v>42068</v>
      </c>
      <c r="D2562" s="2" t="s">
        <v>19527</v>
      </c>
      <c r="F2562" s="2" t="s">
        <v>19528</v>
      </c>
      <c r="G2562" s="2" t="s">
        <v>19529</v>
      </c>
      <c r="H2562" s="2" t="s">
        <v>1943</v>
      </c>
      <c r="I2562" s="2" t="s">
        <v>154</v>
      </c>
      <c r="J2562" s="2" t="s">
        <v>1520</v>
      </c>
      <c r="K2562" s="2" t="s">
        <v>19527</v>
      </c>
      <c r="L2562" s="2" t="s">
        <v>154</v>
      </c>
      <c r="M2562" s="2" t="s">
        <v>1943</v>
      </c>
      <c r="N2562" s="2" t="s">
        <v>19530</v>
      </c>
      <c r="O2562" s="2"/>
      <c r="P2562" s="2" t="s">
        <v>37</v>
      </c>
      <c r="Q2562" s="4" t="n">
        <v>8099</v>
      </c>
      <c r="R2562" s="2" t="s">
        <v>56</v>
      </c>
      <c r="S2562" s="2"/>
      <c r="T2562" s="2" t="s">
        <v>122</v>
      </c>
      <c r="U2562" s="2" t="s">
        <v>19531</v>
      </c>
      <c r="V2562" s="2"/>
      <c r="W2562" s="2" t="s">
        <v>19532</v>
      </c>
      <c r="X2562" s="2" t="s">
        <v>43</v>
      </c>
      <c r="Y2562" s="2" t="s">
        <v>37</v>
      </c>
      <c r="Z2562" s="2" t="s">
        <v>44</v>
      </c>
      <c r="AA2562" s="2" t="s">
        <v>19533</v>
      </c>
      <c r="AB2562" s="2"/>
      <c r="AC2562" s="2" t="s">
        <v>19534</v>
      </c>
      <c r="AD2562" s="2" t="s">
        <v>46</v>
      </c>
    </row>
    <row r="2563" customFormat="false" ht="15.7" hidden="false" customHeight="true" outlineLevel="0" collapsed="false">
      <c r="A2563" s="2"/>
      <c r="B2563" s="3" t="n">
        <f aca="false">DATE(2015,3,16)</f>
        <v>0</v>
      </c>
      <c r="C2563" s="3" t="n">
        <v>42079</v>
      </c>
      <c r="D2563" s="2" t="s">
        <v>19535</v>
      </c>
      <c r="F2563" s="2" t="s">
        <v>19536</v>
      </c>
      <c r="G2563" s="2" t="s">
        <v>19537</v>
      </c>
      <c r="H2563" s="2" t="s">
        <v>19538</v>
      </c>
      <c r="I2563" s="2" t="s">
        <v>2948</v>
      </c>
      <c r="J2563" s="2" t="s">
        <v>1807</v>
      </c>
      <c r="K2563" s="2" t="s">
        <v>19535</v>
      </c>
      <c r="L2563" s="2" t="s">
        <v>2948</v>
      </c>
      <c r="M2563" s="2" t="s">
        <v>19538</v>
      </c>
      <c r="N2563" s="2" t="s">
        <v>19539</v>
      </c>
      <c r="O2563" s="2"/>
      <c r="P2563" s="2" t="s">
        <v>37</v>
      </c>
      <c r="Q2563" s="4" t="n">
        <v>2869</v>
      </c>
      <c r="R2563" s="2" t="s">
        <v>9420</v>
      </c>
      <c r="S2563" s="2" t="s">
        <v>39</v>
      </c>
      <c r="T2563" s="2" t="s">
        <v>40</v>
      </c>
      <c r="U2563" s="2" t="s">
        <v>19540</v>
      </c>
      <c r="V2563" s="2"/>
      <c r="W2563" s="2" t="s">
        <v>4505</v>
      </c>
      <c r="X2563" s="2" t="s">
        <v>46</v>
      </c>
      <c r="Y2563" s="2" t="s">
        <v>37</v>
      </c>
      <c r="Z2563" s="2" t="s">
        <v>362</v>
      </c>
      <c r="AA2563" s="2"/>
      <c r="AB2563" s="2"/>
      <c r="AC2563" s="2" t="s">
        <v>19541</v>
      </c>
      <c r="AD2563" s="2" t="s">
        <v>46</v>
      </c>
    </row>
    <row r="2564" customFormat="false" ht="15.7" hidden="false" customHeight="true" outlineLevel="0" collapsed="false">
      <c r="A2564" s="2"/>
      <c r="B2564" s="3" t="n">
        <f aca="false">DATE(2015,3,30)</f>
        <v>0</v>
      </c>
      <c r="C2564" s="3" t="n">
        <v>42093</v>
      </c>
      <c r="D2564" s="2" t="s">
        <v>19542</v>
      </c>
      <c r="F2564" s="2" t="s">
        <v>19543</v>
      </c>
      <c r="G2564" s="2" t="s">
        <v>19544</v>
      </c>
      <c r="H2564" s="2" t="s">
        <v>19545</v>
      </c>
      <c r="I2564" s="2" t="s">
        <v>19546</v>
      </c>
      <c r="J2564" s="2" t="s">
        <v>35</v>
      </c>
      <c r="K2564" s="2" t="s">
        <v>19547</v>
      </c>
      <c r="L2564" s="2" t="s">
        <v>19546</v>
      </c>
      <c r="M2564" s="2" t="s">
        <v>19548</v>
      </c>
      <c r="N2564" s="2" t="s">
        <v>19549</v>
      </c>
      <c r="O2564" s="2"/>
      <c r="P2564" s="2" t="s">
        <v>37</v>
      </c>
      <c r="Q2564" s="4" t="n">
        <v>8731</v>
      </c>
      <c r="R2564" s="2" t="s">
        <v>2118</v>
      </c>
      <c r="S2564" s="2" t="s">
        <v>39</v>
      </c>
      <c r="T2564" s="2" t="s">
        <v>40</v>
      </c>
      <c r="U2564" s="2" t="s">
        <v>19550</v>
      </c>
      <c r="V2564" s="2"/>
      <c r="W2564" s="2" t="s">
        <v>4505</v>
      </c>
      <c r="X2564" s="2" t="s">
        <v>46</v>
      </c>
      <c r="Y2564" s="2" t="s">
        <v>37</v>
      </c>
      <c r="Z2564" s="2" t="s">
        <v>44</v>
      </c>
      <c r="AA2564" s="2"/>
      <c r="AB2564" s="2"/>
      <c r="AC2564" s="2" t="s">
        <v>19551</v>
      </c>
      <c r="AD2564" s="2" t="s">
        <v>46</v>
      </c>
    </row>
    <row r="2565" customFormat="false" ht="15.7" hidden="false" customHeight="true" outlineLevel="0" collapsed="false">
      <c r="A2565" s="2"/>
      <c r="B2565" s="3" t="n">
        <f aca="false">DATE(2015,4,13)</f>
        <v>0</v>
      </c>
      <c r="C2565" s="3" t="n">
        <v>42107</v>
      </c>
      <c r="D2565" s="2" t="s">
        <v>19552</v>
      </c>
      <c r="F2565" s="2" t="s">
        <v>19553</v>
      </c>
      <c r="G2565" s="2" t="s">
        <v>19554</v>
      </c>
      <c r="H2565" s="2" t="s">
        <v>19555</v>
      </c>
      <c r="I2565" s="2" t="s">
        <v>2727</v>
      </c>
      <c r="J2565" s="2" t="s">
        <v>35</v>
      </c>
      <c r="K2565" s="2" t="s">
        <v>19556</v>
      </c>
      <c r="L2565" s="2" t="s">
        <v>2727</v>
      </c>
      <c r="M2565" s="2" t="s">
        <v>19557</v>
      </c>
      <c r="N2565" s="2" t="s">
        <v>19558</v>
      </c>
      <c r="O2565" s="2"/>
      <c r="P2565" s="2" t="s">
        <v>37</v>
      </c>
      <c r="Q2565" s="4" t="n">
        <v>8731</v>
      </c>
      <c r="R2565" s="2" t="s">
        <v>402</v>
      </c>
      <c r="S2565" s="2" t="s">
        <v>39</v>
      </c>
      <c r="T2565" s="2" t="s">
        <v>40</v>
      </c>
      <c r="U2565" s="2" t="s">
        <v>19559</v>
      </c>
      <c r="V2565" s="2"/>
      <c r="W2565" s="2" t="s">
        <v>5464</v>
      </c>
      <c r="X2565" s="2" t="s">
        <v>46</v>
      </c>
      <c r="Y2565" s="2" t="s">
        <v>37</v>
      </c>
      <c r="Z2565" s="2" t="s">
        <v>2732</v>
      </c>
      <c r="AA2565" s="2"/>
      <c r="AB2565" s="2"/>
      <c r="AC2565" s="2" t="s">
        <v>19560</v>
      </c>
      <c r="AD2565" s="2" t="s">
        <v>46</v>
      </c>
    </row>
    <row r="2566" customFormat="false" ht="15.7" hidden="false" customHeight="true" outlineLevel="0" collapsed="false">
      <c r="A2566" s="2"/>
      <c r="B2566" s="3" t="n">
        <f aca="false">DATE(2015,4,14)</f>
        <v>0</v>
      </c>
      <c r="C2566" s="3" t="n">
        <v>42108</v>
      </c>
      <c r="D2566" s="2" t="s">
        <v>19561</v>
      </c>
      <c r="F2566" s="2" t="s">
        <v>19562</v>
      </c>
      <c r="G2566" s="2" t="s">
        <v>19563</v>
      </c>
      <c r="H2566" s="2" t="s">
        <v>1020</v>
      </c>
      <c r="I2566" s="2" t="s">
        <v>1431</v>
      </c>
      <c r="J2566" s="2" t="s">
        <v>220</v>
      </c>
      <c r="K2566" s="2" t="s">
        <v>19564</v>
      </c>
      <c r="L2566" s="2" t="s">
        <v>1431</v>
      </c>
      <c r="M2566" s="2" t="s">
        <v>523</v>
      </c>
      <c r="N2566" s="2" t="s">
        <v>19565</v>
      </c>
      <c r="O2566" s="2"/>
      <c r="P2566" s="2" t="s">
        <v>37</v>
      </c>
      <c r="Q2566" s="4" t="n">
        <v>8731</v>
      </c>
      <c r="R2566" s="2" t="s">
        <v>1195</v>
      </c>
      <c r="S2566" s="2" t="s">
        <v>39</v>
      </c>
      <c r="T2566" s="2" t="s">
        <v>403</v>
      </c>
      <c r="U2566" s="2" t="s">
        <v>19566</v>
      </c>
      <c r="V2566" s="2"/>
      <c r="W2566" s="2" t="s">
        <v>344</v>
      </c>
      <c r="X2566" s="2" t="s">
        <v>43</v>
      </c>
      <c r="Y2566" s="2" t="s">
        <v>37</v>
      </c>
      <c r="Z2566" s="2" t="s">
        <v>44</v>
      </c>
      <c r="AA2566" s="2"/>
      <c r="AB2566" s="2"/>
      <c r="AC2566" s="2" t="s">
        <v>19567</v>
      </c>
      <c r="AD2566" s="2" t="s">
        <v>46</v>
      </c>
    </row>
    <row r="2567" customFormat="false" ht="15.7" hidden="false" customHeight="true" outlineLevel="0" collapsed="false">
      <c r="A2567" s="2"/>
      <c r="B2567" s="3" t="n">
        <f aca="false">DATE(2015,4,15)</f>
        <v>0</v>
      </c>
      <c r="C2567" s="3" t="n">
        <v>42109</v>
      </c>
      <c r="D2567" s="2" t="s">
        <v>19568</v>
      </c>
      <c r="F2567" s="2" t="s">
        <v>19569</v>
      </c>
      <c r="G2567" s="2" t="s">
        <v>19570</v>
      </c>
      <c r="H2567" s="2" t="s">
        <v>19571</v>
      </c>
      <c r="I2567" s="2" t="s">
        <v>568</v>
      </c>
      <c r="J2567" s="2" t="s">
        <v>101</v>
      </c>
      <c r="K2567" s="2" t="s">
        <v>19568</v>
      </c>
      <c r="L2567" s="2" t="s">
        <v>568</v>
      </c>
      <c r="M2567" s="2" t="s">
        <v>19571</v>
      </c>
      <c r="N2567" s="2" t="s">
        <v>19572</v>
      </c>
      <c r="O2567" s="2"/>
      <c r="P2567" s="2" t="s">
        <v>37</v>
      </c>
      <c r="Q2567" s="4" t="n">
        <v>2833</v>
      </c>
      <c r="R2567" s="2" t="s">
        <v>136</v>
      </c>
      <c r="S2567" s="2" t="s">
        <v>39</v>
      </c>
      <c r="T2567" s="2" t="s">
        <v>40</v>
      </c>
      <c r="U2567" s="2" t="s">
        <v>19573</v>
      </c>
      <c r="V2567" s="2"/>
      <c r="W2567" s="2" t="s">
        <v>42</v>
      </c>
      <c r="X2567" s="2" t="s">
        <v>43</v>
      </c>
      <c r="Y2567" s="2" t="s">
        <v>37</v>
      </c>
      <c r="Z2567" s="2" t="s">
        <v>44</v>
      </c>
      <c r="AA2567" s="2"/>
      <c r="AB2567" s="2"/>
      <c r="AC2567" s="2" t="s">
        <v>19574</v>
      </c>
      <c r="AD2567" s="2" t="s">
        <v>46</v>
      </c>
    </row>
    <row r="2568" customFormat="false" ht="15.7" hidden="false" customHeight="true" outlineLevel="0" collapsed="false">
      <c r="A2568" s="2"/>
      <c r="B2568" s="3" t="n">
        <f aca="false">DATE(2015,4,16)</f>
        <v>0</v>
      </c>
      <c r="C2568" s="3" t="n">
        <v>42110</v>
      </c>
      <c r="D2568" s="2" t="s">
        <v>19575</v>
      </c>
      <c r="F2568" s="2" t="s">
        <v>19576</v>
      </c>
      <c r="G2568" s="2" t="s">
        <v>19577</v>
      </c>
      <c r="H2568" s="2" t="s">
        <v>19578</v>
      </c>
      <c r="I2568" s="2" t="s">
        <v>19579</v>
      </c>
      <c r="J2568" s="2" t="s">
        <v>116</v>
      </c>
      <c r="K2568" s="2" t="s">
        <v>19580</v>
      </c>
      <c r="L2568" s="2" t="s">
        <v>19581</v>
      </c>
      <c r="M2568" s="2" t="s">
        <v>19582</v>
      </c>
      <c r="N2568" s="2" t="s">
        <v>19583</v>
      </c>
      <c r="O2568" s="2"/>
      <c r="P2568" s="2" t="s">
        <v>37</v>
      </c>
      <c r="Q2568" s="4" t="n">
        <v>8731</v>
      </c>
      <c r="R2568" s="2" t="s">
        <v>1208</v>
      </c>
      <c r="S2568" s="2" t="s">
        <v>39</v>
      </c>
      <c r="T2568" s="2" t="s">
        <v>403</v>
      </c>
      <c r="U2568" s="2" t="s">
        <v>19584</v>
      </c>
      <c r="V2568" s="2"/>
      <c r="W2568" s="2" t="s">
        <v>42</v>
      </c>
      <c r="X2568" s="2" t="s">
        <v>46</v>
      </c>
      <c r="Y2568" s="2" t="s">
        <v>37</v>
      </c>
      <c r="Z2568" s="2" t="s">
        <v>916</v>
      </c>
      <c r="AA2568" s="2"/>
      <c r="AB2568" s="2"/>
      <c r="AC2568" s="2" t="s">
        <v>19585</v>
      </c>
      <c r="AD2568" s="2" t="s">
        <v>46</v>
      </c>
    </row>
    <row r="2569" customFormat="false" ht="15.7" hidden="false" customHeight="true" outlineLevel="0" collapsed="false">
      <c r="A2569" s="2"/>
      <c r="B2569" s="3" t="n">
        <f aca="false">DATE(2015,5,3)</f>
        <v>0</v>
      </c>
      <c r="C2569" s="3" t="n">
        <v>42127</v>
      </c>
      <c r="D2569" s="2" t="s">
        <v>19586</v>
      </c>
      <c r="F2569" s="2" t="s">
        <v>19587</v>
      </c>
      <c r="G2569" s="2" t="s">
        <v>19588</v>
      </c>
      <c r="H2569" s="2" t="s">
        <v>19589</v>
      </c>
      <c r="I2569" s="2" t="s">
        <v>115</v>
      </c>
      <c r="J2569" s="2" t="s">
        <v>116</v>
      </c>
      <c r="K2569" s="2" t="s">
        <v>19590</v>
      </c>
      <c r="L2569" s="2" t="s">
        <v>115</v>
      </c>
      <c r="M2569" s="2" t="s">
        <v>19591</v>
      </c>
      <c r="N2569" s="2" t="s">
        <v>19592</v>
      </c>
      <c r="O2569" s="2"/>
      <c r="P2569" s="2" t="s">
        <v>37</v>
      </c>
      <c r="Q2569" s="4" t="n">
        <v>3999</v>
      </c>
      <c r="R2569" s="2" t="s">
        <v>402</v>
      </c>
      <c r="S2569" s="2" t="s">
        <v>39</v>
      </c>
      <c r="T2569" s="2" t="s">
        <v>403</v>
      </c>
      <c r="U2569" s="2" t="s">
        <v>19593</v>
      </c>
      <c r="V2569" s="2"/>
      <c r="W2569" s="2" t="s">
        <v>107</v>
      </c>
      <c r="X2569" s="2" t="s">
        <v>46</v>
      </c>
      <c r="Y2569" s="2" t="s">
        <v>37</v>
      </c>
      <c r="Z2569" s="2" t="s">
        <v>452</v>
      </c>
      <c r="AA2569" s="2"/>
      <c r="AB2569" s="2"/>
      <c r="AC2569" s="2" t="s">
        <v>19594</v>
      </c>
      <c r="AD2569" s="2" t="s">
        <v>46</v>
      </c>
    </row>
    <row r="2570" customFormat="false" ht="15.7" hidden="false" customHeight="true" outlineLevel="0" collapsed="false">
      <c r="A2570" s="2"/>
      <c r="B2570" s="3" t="n">
        <f aca="false">DATE(2015,5,4)</f>
        <v>0</v>
      </c>
      <c r="C2570" s="3" t="n">
        <v>42128</v>
      </c>
      <c r="D2570" s="2" t="s">
        <v>19595</v>
      </c>
      <c r="F2570" s="2" t="s">
        <v>6853</v>
      </c>
      <c r="G2570" s="2" t="s">
        <v>19596</v>
      </c>
      <c r="H2570" s="2" t="s">
        <v>130</v>
      </c>
      <c r="I2570" s="2" t="s">
        <v>5771</v>
      </c>
      <c r="J2570" s="2" t="s">
        <v>5725</v>
      </c>
      <c r="K2570" s="2" t="s">
        <v>19597</v>
      </c>
      <c r="L2570" s="2" t="s">
        <v>5771</v>
      </c>
      <c r="M2570" s="2" t="s">
        <v>130</v>
      </c>
      <c r="N2570" s="2" t="s">
        <v>19598</v>
      </c>
      <c r="O2570" s="2"/>
      <c r="P2570" s="2" t="s">
        <v>37</v>
      </c>
      <c r="Q2570" s="4" t="n">
        <v>8731</v>
      </c>
      <c r="R2570" s="2" t="s">
        <v>5774</v>
      </c>
      <c r="S2570" s="2" t="s">
        <v>39</v>
      </c>
      <c r="T2570" s="2" t="s">
        <v>40</v>
      </c>
      <c r="U2570" s="2" t="s">
        <v>19599</v>
      </c>
      <c r="V2570" s="2"/>
      <c r="W2570" s="2" t="s">
        <v>138</v>
      </c>
      <c r="X2570" s="2" t="s">
        <v>43</v>
      </c>
      <c r="Y2570" s="2" t="s">
        <v>37</v>
      </c>
      <c r="Z2570" s="2" t="s">
        <v>44</v>
      </c>
      <c r="AA2570" s="2"/>
      <c r="AB2570" s="2"/>
      <c r="AC2570" s="2" t="s">
        <v>19600</v>
      </c>
      <c r="AD2570" s="2" t="s">
        <v>46</v>
      </c>
    </row>
    <row r="2571" customFormat="false" ht="15.7" hidden="false" customHeight="true" outlineLevel="0" collapsed="false">
      <c r="A2571" s="2"/>
      <c r="B2571" s="3" t="n">
        <f aca="false">DATE(2015,5,5)</f>
        <v>0</v>
      </c>
      <c r="C2571" s="3" t="n">
        <v>42129</v>
      </c>
      <c r="D2571" s="2" t="s">
        <v>19601</v>
      </c>
      <c r="F2571" s="2" t="s">
        <v>19602</v>
      </c>
      <c r="G2571" s="2" t="s">
        <v>19603</v>
      </c>
      <c r="H2571" s="2" t="s">
        <v>19604</v>
      </c>
      <c r="I2571" s="2" t="s">
        <v>19605</v>
      </c>
      <c r="J2571" s="2" t="s">
        <v>35</v>
      </c>
      <c r="K2571" s="2" t="s">
        <v>19606</v>
      </c>
      <c r="L2571" s="2" t="s">
        <v>19605</v>
      </c>
      <c r="M2571" s="2" t="s">
        <v>19607</v>
      </c>
      <c r="N2571" s="2" t="s">
        <v>19608</v>
      </c>
      <c r="O2571" s="2"/>
      <c r="P2571" s="2" t="s">
        <v>37</v>
      </c>
      <c r="Q2571" s="4" t="n">
        <v>8731</v>
      </c>
      <c r="R2571" s="2" t="s">
        <v>12034</v>
      </c>
      <c r="S2571" s="2" t="s">
        <v>39</v>
      </c>
      <c r="T2571" s="2" t="s">
        <v>403</v>
      </c>
      <c r="U2571" s="2" t="s">
        <v>19609</v>
      </c>
      <c r="V2571" s="2"/>
      <c r="W2571" s="2" t="s">
        <v>2209</v>
      </c>
      <c r="X2571" s="2" t="s">
        <v>46</v>
      </c>
      <c r="Y2571" s="2" t="s">
        <v>37</v>
      </c>
      <c r="Z2571" s="2" t="s">
        <v>12970</v>
      </c>
      <c r="AA2571" s="2" t="s">
        <v>19610</v>
      </c>
      <c r="AB2571" s="2"/>
      <c r="AC2571" s="2" t="s">
        <v>19611</v>
      </c>
      <c r="AD2571" s="2" t="s">
        <v>46</v>
      </c>
    </row>
    <row r="2572" customFormat="false" ht="15.7" hidden="false" customHeight="true" outlineLevel="0" collapsed="false">
      <c r="A2572" s="2"/>
      <c r="B2572" s="3" t="n">
        <f aca="false">DATE(2015,5,12)</f>
        <v>0</v>
      </c>
      <c r="C2572" s="3" t="n">
        <v>42136</v>
      </c>
      <c r="D2572" s="2" t="s">
        <v>19612</v>
      </c>
      <c r="F2572" s="2" t="s">
        <v>19613</v>
      </c>
      <c r="G2572" s="2" t="s">
        <v>19614</v>
      </c>
      <c r="H2572" s="2" t="s">
        <v>19615</v>
      </c>
      <c r="I2572" s="2" t="s">
        <v>34</v>
      </c>
      <c r="J2572" s="2" t="s">
        <v>35</v>
      </c>
      <c r="K2572" s="2" t="s">
        <v>19612</v>
      </c>
      <c r="L2572" s="2" t="s">
        <v>34</v>
      </c>
      <c r="M2572" s="2" t="s">
        <v>19615</v>
      </c>
      <c r="N2572" s="2" t="s">
        <v>19616</v>
      </c>
      <c r="O2572" s="2"/>
      <c r="P2572" s="2" t="s">
        <v>37</v>
      </c>
      <c r="Q2572" s="4" t="n">
        <v>7375</v>
      </c>
      <c r="R2572" s="2" t="s">
        <v>38</v>
      </c>
      <c r="S2572" s="2" t="s">
        <v>39</v>
      </c>
      <c r="T2572" s="2" t="s">
        <v>403</v>
      </c>
      <c r="U2572" s="2" t="s">
        <v>19617</v>
      </c>
      <c r="V2572" s="2"/>
      <c r="W2572" s="2" t="s">
        <v>6066</v>
      </c>
      <c r="X2572" s="2" t="s">
        <v>46</v>
      </c>
      <c r="Y2572" s="2" t="s">
        <v>37</v>
      </c>
      <c r="Z2572" s="2" t="s">
        <v>19618</v>
      </c>
      <c r="AA2572" s="2"/>
      <c r="AB2572" s="2"/>
      <c r="AC2572" s="2" t="s">
        <v>19619</v>
      </c>
      <c r="AD2572" s="2" t="s">
        <v>46</v>
      </c>
    </row>
    <row r="2573" customFormat="false" ht="15.7" hidden="false" customHeight="true" outlineLevel="0" collapsed="false">
      <c r="A2573" s="2"/>
      <c r="B2573" s="3" t="n">
        <f aca="false">DATE(2015,5,22)</f>
        <v>0</v>
      </c>
      <c r="C2573" s="3" t="n">
        <v>42146</v>
      </c>
      <c r="D2573" s="2" t="s">
        <v>19620</v>
      </c>
      <c r="F2573" s="2" t="s">
        <v>19621</v>
      </c>
      <c r="G2573" s="2" t="s">
        <v>19622</v>
      </c>
      <c r="H2573" s="2" t="s">
        <v>19623</v>
      </c>
      <c r="I2573" s="2" t="s">
        <v>19624</v>
      </c>
      <c r="J2573" s="2" t="s">
        <v>13120</v>
      </c>
      <c r="K2573" s="2" t="s">
        <v>19625</v>
      </c>
      <c r="L2573" s="2" t="s">
        <v>19626</v>
      </c>
      <c r="M2573" s="2" t="s">
        <v>19623</v>
      </c>
      <c r="N2573" s="2" t="s">
        <v>19627</v>
      </c>
      <c r="O2573" s="2"/>
      <c r="P2573" s="2" t="s">
        <v>37</v>
      </c>
      <c r="Q2573" s="4" t="n">
        <v>8731</v>
      </c>
      <c r="R2573" s="2" t="s">
        <v>70</v>
      </c>
      <c r="S2573" s="2" t="s">
        <v>39</v>
      </c>
      <c r="T2573" s="2" t="s">
        <v>40</v>
      </c>
      <c r="U2573" s="2" t="s">
        <v>19628</v>
      </c>
      <c r="V2573" s="2"/>
      <c r="W2573" s="2" t="s">
        <v>42</v>
      </c>
      <c r="X2573" s="2" t="s">
        <v>46</v>
      </c>
      <c r="Y2573" s="2" t="s">
        <v>37</v>
      </c>
      <c r="Z2573" s="2" t="s">
        <v>12067</v>
      </c>
      <c r="AA2573" s="2"/>
      <c r="AB2573" s="2"/>
      <c r="AC2573" s="2" t="s">
        <v>19629</v>
      </c>
      <c r="AD2573" s="2" t="s">
        <v>46</v>
      </c>
    </row>
    <row r="2574" customFormat="false" ht="15.7" hidden="false" customHeight="true" outlineLevel="0" collapsed="false">
      <c r="A2574" s="2"/>
      <c r="B2574" s="3" t="n">
        <f aca="false">DATE(2015,5,22)</f>
        <v>0</v>
      </c>
      <c r="C2574" s="3" t="n">
        <v>42146</v>
      </c>
      <c r="D2574" s="2" t="s">
        <v>19630</v>
      </c>
      <c r="F2574" s="2" t="s">
        <v>19631</v>
      </c>
      <c r="G2574" s="2" t="s">
        <v>19632</v>
      </c>
      <c r="H2574" s="2" t="s">
        <v>19633</v>
      </c>
      <c r="I2574" s="2" t="s">
        <v>19634</v>
      </c>
      <c r="J2574" s="2" t="s">
        <v>35</v>
      </c>
      <c r="K2574" s="2" t="s">
        <v>19635</v>
      </c>
      <c r="L2574" s="2" t="s">
        <v>19634</v>
      </c>
      <c r="M2574" s="2" t="s">
        <v>19633</v>
      </c>
      <c r="N2574" s="2" t="s">
        <v>19636</v>
      </c>
      <c r="O2574" s="2"/>
      <c r="P2574" s="2" t="s">
        <v>37</v>
      </c>
      <c r="Q2574" s="4" t="n">
        <v>8731</v>
      </c>
      <c r="R2574" s="2" t="s">
        <v>19637</v>
      </c>
      <c r="S2574" s="2" t="s">
        <v>39</v>
      </c>
      <c r="T2574" s="2" t="s">
        <v>40</v>
      </c>
      <c r="U2574" s="2" t="s">
        <v>19638</v>
      </c>
      <c r="V2574" s="2"/>
      <c r="W2574" s="2" t="s">
        <v>697</v>
      </c>
      <c r="X2574" s="2" t="s">
        <v>46</v>
      </c>
      <c r="Y2574" s="2" t="s">
        <v>37</v>
      </c>
      <c r="Z2574" s="2" t="s">
        <v>1639</v>
      </c>
      <c r="AA2574" s="2" t="s">
        <v>19639</v>
      </c>
      <c r="AB2574" s="2"/>
      <c r="AC2574" s="2" t="s">
        <v>19640</v>
      </c>
      <c r="AD2574" s="2" t="s">
        <v>46</v>
      </c>
    </row>
    <row r="2575" customFormat="false" ht="15.7" hidden="false" customHeight="true" outlineLevel="0" collapsed="false">
      <c r="A2575" s="2"/>
      <c r="B2575" s="3" t="n">
        <f aca="false">DATE(2015,6,7)</f>
        <v>0</v>
      </c>
      <c r="C2575" s="3" t="n">
        <v>42162</v>
      </c>
      <c r="D2575" s="2" t="s">
        <v>19641</v>
      </c>
      <c r="F2575" s="2" t="s">
        <v>19642</v>
      </c>
      <c r="G2575" s="2" t="s">
        <v>19643</v>
      </c>
      <c r="H2575" s="2" t="s">
        <v>19644</v>
      </c>
      <c r="I2575" s="2" t="s">
        <v>4325</v>
      </c>
      <c r="J2575" s="2" t="s">
        <v>35</v>
      </c>
      <c r="K2575" s="2" t="s">
        <v>19641</v>
      </c>
      <c r="L2575" s="2" t="s">
        <v>4325</v>
      </c>
      <c r="M2575" s="2" t="s">
        <v>19645</v>
      </c>
      <c r="N2575" s="2" t="s">
        <v>19646</v>
      </c>
      <c r="O2575" s="2"/>
      <c r="P2575" s="2" t="s">
        <v>37</v>
      </c>
      <c r="Q2575" s="4" t="n">
        <v>3571</v>
      </c>
      <c r="R2575" s="2" t="s">
        <v>402</v>
      </c>
      <c r="S2575" s="2" t="s">
        <v>39</v>
      </c>
      <c r="T2575" s="2" t="s">
        <v>2444</v>
      </c>
      <c r="U2575" s="2" t="s">
        <v>19647</v>
      </c>
      <c r="V2575" s="2"/>
      <c r="W2575" s="2" t="s">
        <v>19648</v>
      </c>
      <c r="X2575" s="2" t="s">
        <v>43</v>
      </c>
      <c r="Y2575" s="2" t="s">
        <v>37</v>
      </c>
      <c r="Z2575" s="2" t="s">
        <v>44</v>
      </c>
      <c r="AA2575" s="2"/>
      <c r="AB2575" s="2"/>
      <c r="AC2575" s="2" t="s">
        <v>19649</v>
      </c>
      <c r="AD2575" s="2" t="s">
        <v>46</v>
      </c>
    </row>
    <row r="2576" customFormat="false" ht="15.7" hidden="false" customHeight="true" outlineLevel="0" collapsed="false">
      <c r="A2576" s="2"/>
      <c r="B2576" s="3" t="n">
        <f aca="false">DATE(2015,6,9)</f>
        <v>0</v>
      </c>
      <c r="C2576" s="3" t="n">
        <v>42164</v>
      </c>
      <c r="D2576" s="2" t="s">
        <v>19650</v>
      </c>
      <c r="F2576" s="2" t="s">
        <v>347</v>
      </c>
      <c r="G2576" s="2" t="s">
        <v>19651</v>
      </c>
      <c r="H2576" s="2" t="s">
        <v>63</v>
      </c>
      <c r="I2576" s="2" t="s">
        <v>1080</v>
      </c>
      <c r="J2576" s="2" t="s">
        <v>35</v>
      </c>
      <c r="K2576" s="2" t="s">
        <v>19650</v>
      </c>
      <c r="L2576" s="2" t="s">
        <v>1080</v>
      </c>
      <c r="M2576" s="2" t="s">
        <v>63</v>
      </c>
      <c r="N2576" s="2" t="s">
        <v>19652</v>
      </c>
      <c r="O2576" s="2"/>
      <c r="P2576" s="2" t="s">
        <v>37</v>
      </c>
      <c r="Q2576" s="4" t="n">
        <v>8099</v>
      </c>
      <c r="R2576" s="2" t="s">
        <v>136</v>
      </c>
      <c r="S2576" s="2" t="s">
        <v>39</v>
      </c>
      <c r="T2576" s="2" t="s">
        <v>673</v>
      </c>
      <c r="U2576" s="2" t="s">
        <v>19653</v>
      </c>
      <c r="V2576" s="2"/>
      <c r="W2576" s="2" t="s">
        <v>42</v>
      </c>
      <c r="X2576" s="2" t="s">
        <v>43</v>
      </c>
      <c r="Y2576" s="2" t="s">
        <v>37</v>
      </c>
      <c r="Z2576" s="2" t="s">
        <v>44</v>
      </c>
      <c r="AA2576" s="2"/>
      <c r="AB2576" s="2"/>
      <c r="AC2576" s="2" t="s">
        <v>19654</v>
      </c>
      <c r="AD2576" s="2" t="s">
        <v>46</v>
      </c>
    </row>
    <row r="2577" customFormat="false" ht="15.7" hidden="false" customHeight="true" outlineLevel="0" collapsed="false">
      <c r="A2577" s="2"/>
      <c r="B2577" s="3" t="n">
        <f aca="false">DATE(2015,6,14)</f>
        <v>0</v>
      </c>
      <c r="C2577" s="3" t="n">
        <v>42169</v>
      </c>
      <c r="D2577" s="2" t="s">
        <v>19655</v>
      </c>
      <c r="F2577" s="2" t="s">
        <v>19656</v>
      </c>
      <c r="G2577" s="2" t="s">
        <v>19657</v>
      </c>
      <c r="H2577" s="2" t="s">
        <v>19658</v>
      </c>
      <c r="I2577" s="2" t="s">
        <v>4325</v>
      </c>
      <c r="J2577" s="2" t="s">
        <v>35</v>
      </c>
      <c r="K2577" s="2" t="s">
        <v>19655</v>
      </c>
      <c r="L2577" s="2" t="s">
        <v>4325</v>
      </c>
      <c r="M2577" s="2" t="s">
        <v>19658</v>
      </c>
      <c r="N2577" s="2" t="s">
        <v>19659</v>
      </c>
      <c r="O2577" s="2"/>
      <c r="P2577" s="2" t="s">
        <v>37</v>
      </c>
      <c r="Q2577" s="4" t="n">
        <v>3999</v>
      </c>
      <c r="R2577" s="2" t="s">
        <v>402</v>
      </c>
      <c r="S2577" s="2" t="s">
        <v>39</v>
      </c>
      <c r="T2577" s="2" t="s">
        <v>122</v>
      </c>
      <c r="U2577" s="2" t="s">
        <v>19660</v>
      </c>
      <c r="V2577" s="2"/>
      <c r="W2577" s="2" t="s">
        <v>107</v>
      </c>
      <c r="X2577" s="2" t="s">
        <v>46</v>
      </c>
      <c r="Y2577" s="2" t="s">
        <v>37</v>
      </c>
      <c r="Z2577" s="2" t="s">
        <v>987</v>
      </c>
      <c r="AA2577" s="2"/>
      <c r="AB2577" s="2"/>
      <c r="AC2577" s="2" t="s">
        <v>19661</v>
      </c>
      <c r="AD2577" s="2" t="s">
        <v>46</v>
      </c>
    </row>
    <row r="2578" customFormat="false" ht="15.7" hidden="false" customHeight="true" outlineLevel="0" collapsed="false">
      <c r="A2578" s="2"/>
      <c r="B2578" s="3" t="n">
        <f aca="false">DATE(2015,6,15)</f>
        <v>0</v>
      </c>
      <c r="C2578" s="3" t="n">
        <v>42170</v>
      </c>
      <c r="D2578" s="2" t="s">
        <v>19662</v>
      </c>
      <c r="F2578" s="2" t="s">
        <v>19663</v>
      </c>
      <c r="G2578" s="2" t="s">
        <v>19664</v>
      </c>
      <c r="H2578" s="2" t="s">
        <v>19665</v>
      </c>
      <c r="I2578" s="2" t="s">
        <v>34</v>
      </c>
      <c r="J2578" s="2" t="s">
        <v>35</v>
      </c>
      <c r="K2578" s="2" t="s">
        <v>19666</v>
      </c>
      <c r="L2578" s="2" t="s">
        <v>19667</v>
      </c>
      <c r="M2578" s="2" t="s">
        <v>19668</v>
      </c>
      <c r="N2578" s="2" t="s">
        <v>19669</v>
      </c>
      <c r="O2578" s="2"/>
      <c r="P2578" s="2" t="s">
        <v>37</v>
      </c>
      <c r="Q2578" s="4" t="n">
        <v>7389</v>
      </c>
      <c r="R2578" s="2" t="s">
        <v>38</v>
      </c>
      <c r="S2578" s="2" t="s">
        <v>39</v>
      </c>
      <c r="T2578" s="2" t="s">
        <v>403</v>
      </c>
      <c r="U2578" s="2" t="s">
        <v>19670</v>
      </c>
      <c r="V2578" s="2"/>
      <c r="W2578" s="2" t="s">
        <v>15625</v>
      </c>
      <c r="X2578" s="2" t="s">
        <v>46</v>
      </c>
      <c r="Y2578" s="2" t="s">
        <v>37</v>
      </c>
      <c r="Z2578" s="2" t="s">
        <v>44</v>
      </c>
      <c r="AA2578" s="2"/>
      <c r="AB2578" s="2"/>
      <c r="AC2578" s="2" t="s">
        <v>19671</v>
      </c>
      <c r="AD2578" s="2" t="s">
        <v>46</v>
      </c>
    </row>
    <row r="2579" customFormat="false" ht="15.7" hidden="false" customHeight="true" outlineLevel="0" collapsed="false">
      <c r="A2579" s="2"/>
      <c r="B2579" s="3" t="n">
        <f aca="false">DATE(2015,6,22)</f>
        <v>0</v>
      </c>
      <c r="C2579" s="3" t="n">
        <v>42177</v>
      </c>
      <c r="D2579" s="2" t="s">
        <v>19672</v>
      </c>
      <c r="F2579" s="2" t="s">
        <v>19673</v>
      </c>
      <c r="G2579" s="2" t="s">
        <v>19674</v>
      </c>
      <c r="H2579" s="2" t="s">
        <v>19675</v>
      </c>
      <c r="I2579" s="2" t="s">
        <v>51</v>
      </c>
      <c r="J2579" s="2" t="s">
        <v>2338</v>
      </c>
      <c r="K2579" s="2" t="s">
        <v>19672</v>
      </c>
      <c r="L2579" s="2" t="s">
        <v>51</v>
      </c>
      <c r="M2579" s="2" t="s">
        <v>19675</v>
      </c>
      <c r="N2579" s="2" t="s">
        <v>19676</v>
      </c>
      <c r="O2579" s="2"/>
      <c r="P2579" s="2" t="s">
        <v>37</v>
      </c>
      <c r="Q2579" s="4" t="n">
        <v>8731</v>
      </c>
      <c r="R2579" s="2" t="s">
        <v>402</v>
      </c>
      <c r="S2579" s="2" t="s">
        <v>39</v>
      </c>
      <c r="T2579" s="2" t="s">
        <v>122</v>
      </c>
      <c r="U2579" s="2" t="s">
        <v>19677</v>
      </c>
      <c r="V2579" s="2"/>
      <c r="W2579" s="2" t="s">
        <v>42</v>
      </c>
      <c r="X2579" s="2" t="s">
        <v>46</v>
      </c>
      <c r="Y2579" s="2" t="s">
        <v>37</v>
      </c>
      <c r="Z2579" s="2" t="s">
        <v>362</v>
      </c>
      <c r="AA2579" s="2"/>
      <c r="AB2579" s="2"/>
      <c r="AC2579" s="2" t="s">
        <v>19678</v>
      </c>
      <c r="AD2579" s="2" t="s">
        <v>46</v>
      </c>
    </row>
    <row r="2580" customFormat="false" ht="15.7" hidden="false" customHeight="true" outlineLevel="0" collapsed="false">
      <c r="A2580" s="2"/>
      <c r="B2580" s="3" t="n">
        <f aca="false">DATE(2015,6,23)</f>
        <v>0</v>
      </c>
      <c r="C2580" s="3" t="n">
        <v>42178</v>
      </c>
      <c r="D2580" s="2" t="s">
        <v>19679</v>
      </c>
      <c r="F2580" s="2" t="s">
        <v>19680</v>
      </c>
      <c r="G2580" s="2" t="s">
        <v>19681</v>
      </c>
      <c r="H2580" s="2" t="s">
        <v>19682</v>
      </c>
      <c r="I2580" s="2" t="s">
        <v>19683</v>
      </c>
      <c r="J2580" s="2" t="s">
        <v>1305</v>
      </c>
      <c r="K2580" s="2" t="s">
        <v>19684</v>
      </c>
      <c r="L2580" s="2" t="s">
        <v>19685</v>
      </c>
      <c r="M2580" s="2" t="s">
        <v>19686</v>
      </c>
      <c r="N2580" s="2" t="s">
        <v>19687</v>
      </c>
      <c r="O2580" s="2"/>
      <c r="P2580" s="2" t="s">
        <v>37</v>
      </c>
      <c r="Q2580" s="4" t="n">
        <v>3674</v>
      </c>
      <c r="R2580" s="2" t="s">
        <v>402</v>
      </c>
      <c r="S2580" s="2" t="s">
        <v>39</v>
      </c>
      <c r="T2580" s="2" t="s">
        <v>403</v>
      </c>
      <c r="U2580" s="2" t="s">
        <v>19688</v>
      </c>
      <c r="V2580" s="2"/>
      <c r="W2580" s="2" t="s">
        <v>6330</v>
      </c>
      <c r="X2580" s="2" t="s">
        <v>46</v>
      </c>
      <c r="Y2580" s="2" t="s">
        <v>37</v>
      </c>
      <c r="Z2580" s="2" t="s">
        <v>11148</v>
      </c>
      <c r="AA2580" s="2"/>
      <c r="AB2580" s="2"/>
      <c r="AC2580" s="2" t="s">
        <v>19689</v>
      </c>
      <c r="AD2580" s="2" t="s">
        <v>46</v>
      </c>
    </row>
    <row r="2581" customFormat="false" ht="15.7" hidden="false" customHeight="true" outlineLevel="0" collapsed="false">
      <c r="A2581" s="2"/>
      <c r="B2581" s="3" t="n">
        <f aca="false">DATE(2015,6,26)</f>
        <v>0</v>
      </c>
      <c r="C2581" s="3" t="n">
        <v>42181</v>
      </c>
      <c r="D2581" s="2" t="s">
        <v>19690</v>
      </c>
      <c r="F2581" s="2" t="s">
        <v>19691</v>
      </c>
      <c r="G2581" s="2" t="s">
        <v>19692</v>
      </c>
      <c r="H2581" s="2" t="s">
        <v>523</v>
      </c>
      <c r="I2581" s="2" t="s">
        <v>4570</v>
      </c>
      <c r="J2581" s="2" t="s">
        <v>35</v>
      </c>
      <c r="K2581" s="2" t="s">
        <v>19690</v>
      </c>
      <c r="L2581" s="2" t="s">
        <v>4570</v>
      </c>
      <c r="M2581" s="2" t="s">
        <v>523</v>
      </c>
      <c r="N2581" s="2" t="s">
        <v>19693</v>
      </c>
      <c r="O2581" s="2"/>
      <c r="P2581" s="2" t="s">
        <v>37</v>
      </c>
      <c r="Q2581" s="4" t="n">
        <v>2834</v>
      </c>
      <c r="R2581" s="2" t="s">
        <v>105</v>
      </c>
      <c r="S2581" s="2" t="s">
        <v>39</v>
      </c>
      <c r="T2581" s="2" t="s">
        <v>403</v>
      </c>
      <c r="U2581" s="2" t="s">
        <v>19694</v>
      </c>
      <c r="V2581" s="2"/>
      <c r="W2581" s="2" t="s">
        <v>42</v>
      </c>
      <c r="X2581" s="2" t="s">
        <v>46</v>
      </c>
      <c r="Y2581" s="2" t="s">
        <v>37</v>
      </c>
      <c r="Z2581" s="2" t="s">
        <v>362</v>
      </c>
      <c r="AA2581" s="2" t="s">
        <v>19695</v>
      </c>
      <c r="AB2581" s="2"/>
      <c r="AC2581" s="2" t="s">
        <v>19696</v>
      </c>
      <c r="AD2581" s="2" t="s">
        <v>46</v>
      </c>
    </row>
    <row r="2582" customFormat="false" ht="15.7" hidden="false" customHeight="true" outlineLevel="0" collapsed="false">
      <c r="A2582" s="2"/>
      <c r="B2582" s="3" t="n">
        <f aca="false">DATE(2015,6,26)</f>
        <v>0</v>
      </c>
      <c r="C2582" s="3" t="n">
        <v>42181</v>
      </c>
      <c r="D2582" s="2" t="s">
        <v>19697</v>
      </c>
      <c r="F2582" s="2" t="s">
        <v>19698</v>
      </c>
      <c r="G2582" s="2" t="s">
        <v>19699</v>
      </c>
      <c r="H2582" s="2" t="s">
        <v>19700</v>
      </c>
      <c r="I2582" s="2" t="s">
        <v>51</v>
      </c>
      <c r="J2582" s="2" t="s">
        <v>19701</v>
      </c>
      <c r="K2582" s="2" t="s">
        <v>19697</v>
      </c>
      <c r="L2582" s="2" t="s">
        <v>51</v>
      </c>
      <c r="M2582" s="2" t="s">
        <v>19700</v>
      </c>
      <c r="N2582" s="2" t="s">
        <v>19702</v>
      </c>
      <c r="O2582" s="2"/>
      <c r="P2582" s="2" t="s">
        <v>37</v>
      </c>
      <c r="Q2582" s="4" t="n">
        <v>8733</v>
      </c>
      <c r="R2582" s="2" t="s">
        <v>56</v>
      </c>
      <c r="S2582" s="2"/>
      <c r="T2582" s="2" t="s">
        <v>40</v>
      </c>
      <c r="U2582" s="2" t="s">
        <v>19703</v>
      </c>
      <c r="V2582" s="2"/>
      <c r="W2582" s="2" t="s">
        <v>5464</v>
      </c>
      <c r="X2582" s="2" t="s">
        <v>43</v>
      </c>
      <c r="Y2582" s="2" t="s">
        <v>37</v>
      </c>
      <c r="Z2582" s="2" t="s">
        <v>44</v>
      </c>
      <c r="AA2582" s="2"/>
      <c r="AB2582" s="2"/>
      <c r="AC2582" s="2" t="s">
        <v>19704</v>
      </c>
      <c r="AD2582" s="2" t="s">
        <v>46</v>
      </c>
    </row>
    <row r="2583" customFormat="false" ht="15.7" hidden="false" customHeight="true" outlineLevel="0" collapsed="false">
      <c r="A2583" s="2"/>
      <c r="B2583" s="3" t="n">
        <f aca="false">DATE(2015,7,1)</f>
        <v>0</v>
      </c>
      <c r="C2583" s="3" t="n">
        <v>42186</v>
      </c>
      <c r="D2583" s="2" t="s">
        <v>19705</v>
      </c>
      <c r="F2583" s="2" t="s">
        <v>19706</v>
      </c>
      <c r="G2583" s="2" t="s">
        <v>19707</v>
      </c>
      <c r="H2583" s="2" t="s">
        <v>19708</v>
      </c>
      <c r="I2583" s="2" t="s">
        <v>51</v>
      </c>
      <c r="J2583" s="2" t="s">
        <v>19709</v>
      </c>
      <c r="K2583" s="2" t="s">
        <v>19705</v>
      </c>
      <c r="L2583" s="2" t="s">
        <v>51</v>
      </c>
      <c r="M2583" s="2" t="s">
        <v>19708</v>
      </c>
      <c r="N2583" s="2" t="s">
        <v>19710</v>
      </c>
      <c r="O2583" s="2"/>
      <c r="P2583" s="2" t="s">
        <v>37</v>
      </c>
      <c r="Q2583" s="4" t="n">
        <v>8731</v>
      </c>
      <c r="R2583" s="2" t="s">
        <v>2201</v>
      </c>
      <c r="S2583" s="2" t="s">
        <v>39</v>
      </c>
      <c r="T2583" s="2" t="s">
        <v>403</v>
      </c>
      <c r="U2583" s="2" t="s">
        <v>19711</v>
      </c>
      <c r="V2583" s="2"/>
      <c r="W2583" s="2" t="s">
        <v>42</v>
      </c>
      <c r="X2583" s="2" t="s">
        <v>43</v>
      </c>
      <c r="Y2583" s="2" t="s">
        <v>37</v>
      </c>
      <c r="Z2583" s="2" t="s">
        <v>44</v>
      </c>
      <c r="AA2583" s="2"/>
      <c r="AB2583" s="2"/>
      <c r="AC2583" s="2" t="s">
        <v>19712</v>
      </c>
      <c r="AD2583" s="2" t="s">
        <v>46</v>
      </c>
    </row>
    <row r="2584" customFormat="false" ht="15.7" hidden="false" customHeight="true" outlineLevel="0" collapsed="false">
      <c r="A2584" s="2"/>
      <c r="B2584" s="3" t="n">
        <f aca="false">DATE(2015,7,7)</f>
        <v>0</v>
      </c>
      <c r="C2584" s="3" t="n">
        <v>42192</v>
      </c>
      <c r="D2584" s="2" t="s">
        <v>19713</v>
      </c>
      <c r="F2584" s="2" t="s">
        <v>19714</v>
      </c>
      <c r="G2584" s="2" t="s">
        <v>19715</v>
      </c>
      <c r="H2584" s="2" t="s">
        <v>19716</v>
      </c>
      <c r="I2584" s="2" t="s">
        <v>2530</v>
      </c>
      <c r="J2584" s="2" t="s">
        <v>19717</v>
      </c>
      <c r="K2584" s="2" t="s">
        <v>19713</v>
      </c>
      <c r="L2584" s="2" t="s">
        <v>2530</v>
      </c>
      <c r="M2584" s="2" t="s">
        <v>19716</v>
      </c>
      <c r="N2584" s="2" t="s">
        <v>19718</v>
      </c>
      <c r="O2584" s="2"/>
      <c r="P2584" s="2" t="s">
        <v>37</v>
      </c>
      <c r="Q2584" s="4" t="n">
        <v>8731</v>
      </c>
      <c r="R2584" s="2" t="s">
        <v>56</v>
      </c>
      <c r="S2584" s="2" t="s">
        <v>92</v>
      </c>
      <c r="T2584" s="2" t="s">
        <v>403</v>
      </c>
      <c r="U2584" s="2" t="s">
        <v>19719</v>
      </c>
      <c r="V2584" s="2"/>
      <c r="W2584" s="2" t="s">
        <v>42</v>
      </c>
      <c r="X2584" s="2" t="s">
        <v>43</v>
      </c>
      <c r="Y2584" s="2" t="s">
        <v>37</v>
      </c>
      <c r="Z2584" s="2" t="s">
        <v>916</v>
      </c>
      <c r="AA2584" s="2"/>
      <c r="AB2584" s="2"/>
      <c r="AC2584" s="2" t="s">
        <v>19720</v>
      </c>
      <c r="AD2584" s="2" t="s">
        <v>46</v>
      </c>
    </row>
    <row r="2585" customFormat="false" ht="15.7" hidden="false" customHeight="true" outlineLevel="0" collapsed="false">
      <c r="A2585" s="2"/>
      <c r="B2585" s="3" t="n">
        <f aca="false">DATE(2015,7,20)</f>
        <v>0</v>
      </c>
      <c r="C2585" s="3" t="n">
        <v>42205</v>
      </c>
      <c r="D2585" s="2" t="s">
        <v>19721</v>
      </c>
      <c r="F2585" s="2" t="s">
        <v>5196</v>
      </c>
      <c r="G2585" s="2" t="s">
        <v>19722</v>
      </c>
      <c r="H2585" s="2" t="s">
        <v>1574</v>
      </c>
      <c r="I2585" s="2" t="s">
        <v>2727</v>
      </c>
      <c r="J2585" s="2" t="s">
        <v>35</v>
      </c>
      <c r="K2585" s="2" t="s">
        <v>19723</v>
      </c>
      <c r="L2585" s="2" t="s">
        <v>2727</v>
      </c>
      <c r="M2585" s="2" t="s">
        <v>19724</v>
      </c>
      <c r="N2585" s="2" t="s">
        <v>19725</v>
      </c>
      <c r="O2585" s="2"/>
      <c r="P2585" s="2" t="s">
        <v>37</v>
      </c>
      <c r="Q2585" s="4" t="n">
        <v>1522</v>
      </c>
      <c r="R2585" s="2" t="s">
        <v>402</v>
      </c>
      <c r="S2585" s="2" t="s">
        <v>39</v>
      </c>
      <c r="T2585" s="2" t="s">
        <v>40</v>
      </c>
      <c r="U2585" s="2" t="s">
        <v>19726</v>
      </c>
      <c r="V2585" s="2"/>
      <c r="W2585" s="2" t="s">
        <v>18958</v>
      </c>
      <c r="X2585" s="2" t="s">
        <v>46</v>
      </c>
      <c r="Y2585" s="2" t="s">
        <v>37</v>
      </c>
      <c r="Z2585" s="2" t="s">
        <v>362</v>
      </c>
      <c r="AA2585" s="2"/>
      <c r="AB2585" s="2"/>
      <c r="AC2585" s="2" t="s">
        <v>19727</v>
      </c>
      <c r="AD2585" s="2" t="s">
        <v>46</v>
      </c>
    </row>
    <row r="2586" customFormat="false" ht="15.7" hidden="false" customHeight="true" outlineLevel="0" collapsed="false">
      <c r="A2586" s="2"/>
      <c r="B2586" s="3" t="n">
        <f aca="false">DATE(2015,8,3)</f>
        <v>0</v>
      </c>
      <c r="C2586" s="3" t="n">
        <v>42219</v>
      </c>
      <c r="D2586" s="2" t="s">
        <v>19728</v>
      </c>
      <c r="F2586" s="2" t="s">
        <v>19729</v>
      </c>
      <c r="G2586" s="2" t="s">
        <v>19730</v>
      </c>
      <c r="H2586" s="2" t="s">
        <v>19731</v>
      </c>
      <c r="I2586" s="2" t="s">
        <v>487</v>
      </c>
      <c r="J2586" s="2" t="s">
        <v>966</v>
      </c>
      <c r="K2586" s="2" t="s">
        <v>19728</v>
      </c>
      <c r="L2586" s="2" t="s">
        <v>487</v>
      </c>
      <c r="M2586" s="2" t="s">
        <v>19731</v>
      </c>
      <c r="N2586" s="2" t="s">
        <v>19732</v>
      </c>
      <c r="O2586" s="2"/>
      <c r="P2586" s="2" t="s">
        <v>37</v>
      </c>
      <c r="Q2586" s="4" t="n">
        <v>2833</v>
      </c>
      <c r="R2586" s="2" t="s">
        <v>56</v>
      </c>
      <c r="S2586" s="2" t="s">
        <v>360</v>
      </c>
      <c r="T2586" s="2" t="s">
        <v>40</v>
      </c>
      <c r="U2586" s="2" t="s">
        <v>19733</v>
      </c>
      <c r="V2586" s="2"/>
      <c r="W2586" s="2" t="s">
        <v>4487</v>
      </c>
      <c r="X2586" s="2" t="s">
        <v>43</v>
      </c>
      <c r="Y2586" s="2" t="s">
        <v>37</v>
      </c>
      <c r="Z2586" s="2" t="s">
        <v>44</v>
      </c>
      <c r="AA2586" s="2"/>
      <c r="AB2586" s="2"/>
      <c r="AC2586" s="2" t="s">
        <v>19734</v>
      </c>
      <c r="AD2586" s="2" t="s">
        <v>46</v>
      </c>
    </row>
    <row r="2587" customFormat="false" ht="15.7" hidden="false" customHeight="true" outlineLevel="0" collapsed="false">
      <c r="A2587" s="2"/>
      <c r="B2587" s="3" t="n">
        <f aca="false">DATE(2015,8,14)</f>
        <v>0</v>
      </c>
      <c r="C2587" s="3" t="n">
        <v>42230</v>
      </c>
      <c r="D2587" s="2" t="s">
        <v>19735</v>
      </c>
      <c r="F2587" s="2" t="s">
        <v>19736</v>
      </c>
      <c r="G2587" s="2" t="s">
        <v>19737</v>
      </c>
      <c r="H2587" s="2" t="s">
        <v>19738</v>
      </c>
      <c r="I2587" s="2" t="s">
        <v>19739</v>
      </c>
      <c r="J2587" s="2" t="s">
        <v>116</v>
      </c>
      <c r="K2587" s="2" t="s">
        <v>19740</v>
      </c>
      <c r="L2587" s="2" t="s">
        <v>19739</v>
      </c>
      <c r="M2587" s="2" t="s">
        <v>19741</v>
      </c>
      <c r="N2587" s="2" t="s">
        <v>19742</v>
      </c>
      <c r="O2587" s="2"/>
      <c r="P2587" s="2" t="s">
        <v>37</v>
      </c>
      <c r="Q2587" s="4" t="n">
        <v>3999</v>
      </c>
      <c r="R2587" s="2" t="s">
        <v>402</v>
      </c>
      <c r="S2587" s="2" t="s">
        <v>39</v>
      </c>
      <c r="T2587" s="2" t="s">
        <v>40</v>
      </c>
      <c r="U2587" s="2" t="s">
        <v>19743</v>
      </c>
      <c r="V2587" s="2"/>
      <c r="W2587" s="2" t="s">
        <v>107</v>
      </c>
      <c r="X2587" s="2" t="s">
        <v>46</v>
      </c>
      <c r="Y2587" s="2" t="s">
        <v>37</v>
      </c>
      <c r="Z2587" s="2" t="s">
        <v>19744</v>
      </c>
      <c r="AA2587" s="2" t="s">
        <v>19745</v>
      </c>
      <c r="AB2587" s="2"/>
      <c r="AC2587" s="2" t="s">
        <v>19746</v>
      </c>
      <c r="AD2587" s="2" t="s">
        <v>46</v>
      </c>
    </row>
    <row r="2588" customFormat="false" ht="15.7" hidden="false" customHeight="true" outlineLevel="0" collapsed="false">
      <c r="A2588" s="2"/>
      <c r="B2588" s="3" t="n">
        <f aca="false">DATE(2015,8,17)</f>
        <v>0</v>
      </c>
      <c r="C2588" s="3" t="n">
        <v>42233</v>
      </c>
      <c r="D2588" s="2" t="s">
        <v>19747</v>
      </c>
      <c r="F2588" s="2" t="s">
        <v>19748</v>
      </c>
      <c r="G2588" s="2" t="s">
        <v>19749</v>
      </c>
      <c r="H2588" s="2" t="s">
        <v>19750</v>
      </c>
      <c r="I2588" s="2" t="s">
        <v>19751</v>
      </c>
      <c r="J2588" s="2" t="s">
        <v>116</v>
      </c>
      <c r="K2588" s="2" t="s">
        <v>19747</v>
      </c>
      <c r="L2588" s="2" t="s">
        <v>19751</v>
      </c>
      <c r="M2588" s="2" t="s">
        <v>19750</v>
      </c>
      <c r="N2588" s="2" t="s">
        <v>19752</v>
      </c>
      <c r="O2588" s="2"/>
      <c r="P2588" s="2" t="s">
        <v>37</v>
      </c>
      <c r="Q2588" s="4" t="n">
        <v>8731</v>
      </c>
      <c r="R2588" s="2" t="s">
        <v>2129</v>
      </c>
      <c r="S2588" s="2" t="s">
        <v>39</v>
      </c>
      <c r="T2588" s="2" t="s">
        <v>403</v>
      </c>
      <c r="U2588" s="2" t="s">
        <v>19753</v>
      </c>
      <c r="V2588" s="2"/>
      <c r="W2588" s="2" t="s">
        <v>42</v>
      </c>
      <c r="X2588" s="2" t="s">
        <v>46</v>
      </c>
      <c r="Y2588" s="2" t="s">
        <v>37</v>
      </c>
      <c r="Z2588" s="2" t="s">
        <v>916</v>
      </c>
      <c r="AA2588" s="2" t="s">
        <v>19754</v>
      </c>
      <c r="AB2588" s="2"/>
      <c r="AC2588" s="2" t="s">
        <v>19755</v>
      </c>
      <c r="AD2588" s="2" t="s">
        <v>46</v>
      </c>
    </row>
    <row r="2589" customFormat="false" ht="15.7" hidden="false" customHeight="true" outlineLevel="0" collapsed="false">
      <c r="A2589" s="2"/>
      <c r="B2589" s="3" t="n">
        <f aca="false">DATE(2015,9,4)</f>
        <v>0</v>
      </c>
      <c r="C2589" s="3" t="n">
        <v>42251</v>
      </c>
      <c r="D2589" s="2" t="s">
        <v>19756</v>
      </c>
      <c r="F2589" s="2" t="s">
        <v>19757</v>
      </c>
      <c r="G2589" s="2" t="s">
        <v>19758</v>
      </c>
      <c r="H2589" s="2" t="s">
        <v>19759</v>
      </c>
      <c r="I2589" s="2" t="s">
        <v>685</v>
      </c>
      <c r="J2589" s="2" t="s">
        <v>35</v>
      </c>
      <c r="K2589" s="2" t="s">
        <v>19760</v>
      </c>
      <c r="L2589" s="2" t="s">
        <v>685</v>
      </c>
      <c r="M2589" s="2" t="s">
        <v>19761</v>
      </c>
      <c r="N2589" s="2" t="s">
        <v>19762</v>
      </c>
      <c r="O2589" s="2"/>
      <c r="P2589" s="2" t="s">
        <v>37</v>
      </c>
      <c r="Q2589" s="4" t="n">
        <v>8731</v>
      </c>
      <c r="R2589" s="2" t="s">
        <v>688</v>
      </c>
      <c r="S2589" s="2" t="s">
        <v>39</v>
      </c>
      <c r="T2589" s="2" t="s">
        <v>403</v>
      </c>
      <c r="U2589" s="2" t="s">
        <v>19763</v>
      </c>
      <c r="V2589" s="2"/>
      <c r="W2589" s="2" t="s">
        <v>744</v>
      </c>
      <c r="X2589" s="2" t="s">
        <v>46</v>
      </c>
      <c r="Y2589" s="2" t="s">
        <v>37</v>
      </c>
      <c r="Z2589" s="2" t="s">
        <v>362</v>
      </c>
      <c r="AA2589" s="2" t="s">
        <v>19764</v>
      </c>
      <c r="AB2589" s="2"/>
      <c r="AC2589" s="2" t="s">
        <v>19765</v>
      </c>
      <c r="AD2589" s="2" t="s">
        <v>46</v>
      </c>
    </row>
    <row r="2590" customFormat="false" ht="15.7" hidden="false" customHeight="true" outlineLevel="0" collapsed="false">
      <c r="A2590" s="2"/>
      <c r="B2590" s="3" t="n">
        <f aca="false">DATE(2015,10,21)</f>
        <v>0</v>
      </c>
      <c r="C2590" s="3" t="n">
        <v>42298</v>
      </c>
      <c r="D2590" s="2" t="s">
        <v>19766</v>
      </c>
      <c r="F2590" s="2" t="s">
        <v>19767</v>
      </c>
      <c r="G2590" s="2" t="s">
        <v>19768</v>
      </c>
      <c r="H2590" s="2" t="s">
        <v>19769</v>
      </c>
      <c r="I2590" s="2" t="s">
        <v>19770</v>
      </c>
      <c r="J2590" s="2" t="s">
        <v>116</v>
      </c>
      <c r="K2590" s="2" t="s">
        <v>19771</v>
      </c>
      <c r="L2590" s="2" t="s">
        <v>19770</v>
      </c>
      <c r="M2590" s="2" t="s">
        <v>19772</v>
      </c>
      <c r="N2590" s="2" t="s">
        <v>19773</v>
      </c>
      <c r="O2590" s="2"/>
      <c r="P2590" s="2" t="s">
        <v>37</v>
      </c>
      <c r="Q2590" s="4" t="n">
        <v>2836</v>
      </c>
      <c r="R2590" s="2" t="s">
        <v>136</v>
      </c>
      <c r="S2590" s="2" t="s">
        <v>39</v>
      </c>
      <c r="T2590" s="2" t="s">
        <v>40</v>
      </c>
      <c r="U2590" s="2" t="s">
        <v>19774</v>
      </c>
      <c r="V2590" s="2"/>
      <c r="W2590" s="2" t="s">
        <v>4487</v>
      </c>
      <c r="X2590" s="2" t="s">
        <v>43</v>
      </c>
      <c r="Y2590" s="2" t="s">
        <v>37</v>
      </c>
      <c r="Z2590" s="2" t="s">
        <v>916</v>
      </c>
      <c r="AA2590" s="2"/>
      <c r="AB2590" s="2"/>
      <c r="AC2590" s="2" t="s">
        <v>19775</v>
      </c>
      <c r="AD2590" s="2" t="s">
        <v>46</v>
      </c>
    </row>
    <row r="2591" customFormat="false" ht="15.7" hidden="false" customHeight="true" outlineLevel="0" collapsed="false">
      <c r="A2591" s="2"/>
      <c r="B2591" s="3" t="n">
        <f aca="false">DATE(2015,10,22)</f>
        <v>0</v>
      </c>
      <c r="C2591" s="3" t="n">
        <v>42299</v>
      </c>
      <c r="D2591" s="2" t="s">
        <v>19776</v>
      </c>
      <c r="F2591" s="2" t="s">
        <v>19777</v>
      </c>
      <c r="G2591" s="2" t="s">
        <v>19778</v>
      </c>
      <c r="H2591" s="2" t="s">
        <v>19779</v>
      </c>
      <c r="I2591" s="2" t="s">
        <v>88</v>
      </c>
      <c r="J2591" s="2" t="s">
        <v>575</v>
      </c>
      <c r="K2591" s="2" t="s">
        <v>19780</v>
      </c>
      <c r="L2591" s="2" t="s">
        <v>88</v>
      </c>
      <c r="M2591" s="2" t="s">
        <v>19781</v>
      </c>
      <c r="N2591" s="2" t="s">
        <v>19782</v>
      </c>
      <c r="O2591" s="2"/>
      <c r="P2591" s="2" t="s">
        <v>37</v>
      </c>
      <c r="Q2591" s="4" t="n">
        <v>8731</v>
      </c>
      <c r="R2591" s="2" t="s">
        <v>56</v>
      </c>
      <c r="S2591" s="2" t="s">
        <v>507</v>
      </c>
      <c r="T2591" s="2" t="s">
        <v>403</v>
      </c>
      <c r="U2591" s="2" t="s">
        <v>19783</v>
      </c>
      <c r="V2591" s="2"/>
      <c r="W2591" s="2" t="s">
        <v>42</v>
      </c>
      <c r="X2591" s="2" t="s">
        <v>46</v>
      </c>
      <c r="Y2591" s="2" t="s">
        <v>37</v>
      </c>
      <c r="Z2591" s="2" t="s">
        <v>44</v>
      </c>
      <c r="AA2591" s="2"/>
      <c r="AB2591" s="2"/>
      <c r="AC2591" s="2" t="s">
        <v>19784</v>
      </c>
      <c r="AD2591" s="2" t="s">
        <v>46</v>
      </c>
    </row>
    <row r="2592" customFormat="false" ht="15.7" hidden="false" customHeight="true" outlineLevel="0" collapsed="false">
      <c r="A2592" s="2"/>
      <c r="B2592" s="3" t="n">
        <f aca="false">DATE(2015,10,26)</f>
        <v>0</v>
      </c>
      <c r="C2592" s="3" t="n">
        <v>42303</v>
      </c>
      <c r="D2592" s="2" t="s">
        <v>19785</v>
      </c>
      <c r="F2592" s="2" t="s">
        <v>7317</v>
      </c>
      <c r="G2592" s="2" t="s">
        <v>19786</v>
      </c>
      <c r="H2592" s="2" t="s">
        <v>63</v>
      </c>
      <c r="I2592" s="2" t="s">
        <v>180</v>
      </c>
      <c r="J2592" s="2" t="s">
        <v>331</v>
      </c>
      <c r="K2592" s="2" t="s">
        <v>19785</v>
      </c>
      <c r="L2592" s="2" t="s">
        <v>180</v>
      </c>
      <c r="M2592" s="2" t="s">
        <v>63</v>
      </c>
      <c r="N2592" s="2" t="s">
        <v>19787</v>
      </c>
      <c r="O2592" s="2"/>
      <c r="P2592" s="2" t="s">
        <v>37</v>
      </c>
      <c r="Q2592" s="4" t="n">
        <v>8099</v>
      </c>
      <c r="R2592" s="2" t="s">
        <v>56</v>
      </c>
      <c r="S2592" s="2"/>
      <c r="T2592" s="2" t="s">
        <v>40</v>
      </c>
      <c r="U2592" s="2" t="s">
        <v>19788</v>
      </c>
      <c r="V2592" s="2"/>
      <c r="W2592" s="2" t="s">
        <v>4487</v>
      </c>
      <c r="X2592" s="2" t="s">
        <v>43</v>
      </c>
      <c r="Y2592" s="2" t="s">
        <v>37</v>
      </c>
      <c r="Z2592" s="2" t="s">
        <v>44</v>
      </c>
      <c r="AA2592" s="2" t="s">
        <v>19789</v>
      </c>
      <c r="AB2592" s="2"/>
      <c r="AC2592" s="2" t="s">
        <v>19790</v>
      </c>
      <c r="AD2592" s="2" t="s">
        <v>46</v>
      </c>
    </row>
    <row r="2593" customFormat="false" ht="15.7" hidden="false" customHeight="true" outlineLevel="0" collapsed="false">
      <c r="A2593" s="2"/>
      <c r="B2593" s="3" t="n">
        <f aca="false">DATE(2015,10,27)</f>
        <v>0</v>
      </c>
      <c r="C2593" s="3" t="n">
        <v>42304</v>
      </c>
      <c r="D2593" s="2" t="s">
        <v>19791</v>
      </c>
      <c r="F2593" s="2" t="s">
        <v>10369</v>
      </c>
      <c r="G2593" s="2" t="s">
        <v>19792</v>
      </c>
      <c r="H2593" s="2" t="s">
        <v>1101</v>
      </c>
      <c r="I2593" s="2" t="s">
        <v>51</v>
      </c>
      <c r="J2593" s="2" t="s">
        <v>560</v>
      </c>
      <c r="K2593" s="2" t="s">
        <v>19791</v>
      </c>
      <c r="L2593" s="2" t="s">
        <v>51</v>
      </c>
      <c r="M2593" s="2" t="s">
        <v>1101</v>
      </c>
      <c r="N2593" s="2" t="s">
        <v>19793</v>
      </c>
      <c r="O2593" s="2"/>
      <c r="P2593" s="2" t="s">
        <v>37</v>
      </c>
      <c r="Q2593" s="4" t="n">
        <v>8731</v>
      </c>
      <c r="R2593" s="2" t="s">
        <v>56</v>
      </c>
      <c r="S2593" s="2"/>
      <c r="T2593" s="2" t="s">
        <v>2444</v>
      </c>
      <c r="U2593" s="2" t="s">
        <v>19794</v>
      </c>
      <c r="V2593" s="2"/>
      <c r="W2593" s="2" t="s">
        <v>344</v>
      </c>
      <c r="X2593" s="2" t="s">
        <v>43</v>
      </c>
      <c r="Y2593" s="2" t="s">
        <v>37</v>
      </c>
      <c r="Z2593" s="2" t="s">
        <v>44</v>
      </c>
      <c r="AA2593" s="2"/>
      <c r="AB2593" s="2"/>
      <c r="AC2593" s="2" t="s">
        <v>19795</v>
      </c>
      <c r="AD2593" s="2" t="s">
        <v>46</v>
      </c>
    </row>
    <row r="2594" customFormat="false" ht="15.7" hidden="false" customHeight="true" outlineLevel="0" collapsed="false">
      <c r="A2594" s="2"/>
      <c r="B2594" s="3" t="n">
        <f aca="false">DATE(2015,10,28)</f>
        <v>0</v>
      </c>
      <c r="C2594" s="3" t="n">
        <v>42305</v>
      </c>
      <c r="D2594" s="2" t="s">
        <v>19796</v>
      </c>
      <c r="F2594" s="2" t="s">
        <v>19797</v>
      </c>
      <c r="G2594" s="2" t="s">
        <v>19798</v>
      </c>
      <c r="H2594" s="2" t="s">
        <v>10686</v>
      </c>
      <c r="I2594" s="2" t="s">
        <v>459</v>
      </c>
      <c r="J2594" s="2" t="s">
        <v>35</v>
      </c>
      <c r="K2594" s="2" t="s">
        <v>19799</v>
      </c>
      <c r="L2594" s="2" t="s">
        <v>459</v>
      </c>
      <c r="M2594" s="2" t="s">
        <v>10686</v>
      </c>
      <c r="N2594" s="2" t="s">
        <v>19800</v>
      </c>
      <c r="O2594" s="2"/>
      <c r="P2594" s="2" t="s">
        <v>37</v>
      </c>
      <c r="Q2594" s="4" t="n">
        <v>8731</v>
      </c>
      <c r="R2594" s="2" t="s">
        <v>461</v>
      </c>
      <c r="S2594" s="2" t="s">
        <v>39</v>
      </c>
      <c r="T2594" s="2" t="s">
        <v>403</v>
      </c>
      <c r="U2594" s="2" t="s">
        <v>19801</v>
      </c>
      <c r="V2594" s="2"/>
      <c r="W2594" s="2" t="s">
        <v>42</v>
      </c>
      <c r="X2594" s="2" t="s">
        <v>46</v>
      </c>
      <c r="Y2594" s="2" t="s">
        <v>37</v>
      </c>
      <c r="Z2594" s="2" t="s">
        <v>1639</v>
      </c>
      <c r="AA2594" s="2"/>
      <c r="AB2594" s="2"/>
      <c r="AC2594" s="2" t="s">
        <v>19802</v>
      </c>
      <c r="AD2594" s="2" t="s">
        <v>46</v>
      </c>
    </row>
    <row r="2595" customFormat="false" ht="15.7" hidden="false" customHeight="true" outlineLevel="0" collapsed="false">
      <c r="A2595" s="2"/>
      <c r="B2595" s="3" t="n">
        <f aca="false">DATE(2015,11,3)</f>
        <v>0</v>
      </c>
      <c r="C2595" s="3" t="n">
        <v>42311</v>
      </c>
      <c r="D2595" s="2" t="s">
        <v>19803</v>
      </c>
      <c r="F2595" s="2" t="s">
        <v>19804</v>
      </c>
      <c r="G2595" s="2" t="s">
        <v>19805</v>
      </c>
      <c r="H2595" s="2" t="s">
        <v>2667</v>
      </c>
      <c r="I2595" s="2" t="s">
        <v>670</v>
      </c>
      <c r="J2595" s="2" t="s">
        <v>65</v>
      </c>
      <c r="K2595" s="2" t="s">
        <v>19806</v>
      </c>
      <c r="L2595" s="2" t="s">
        <v>670</v>
      </c>
      <c r="M2595" s="2" t="s">
        <v>19807</v>
      </c>
      <c r="N2595" s="2" t="s">
        <v>19808</v>
      </c>
      <c r="O2595" s="2"/>
      <c r="P2595" s="2" t="s">
        <v>37</v>
      </c>
      <c r="Q2595" s="4" t="n">
        <v>8731</v>
      </c>
      <c r="R2595" s="2" t="s">
        <v>402</v>
      </c>
      <c r="S2595" s="2" t="s">
        <v>39</v>
      </c>
      <c r="T2595" s="2" t="s">
        <v>40</v>
      </c>
      <c r="U2595" s="2" t="s">
        <v>19809</v>
      </c>
      <c r="V2595" s="2"/>
      <c r="W2595" s="2" t="s">
        <v>3235</v>
      </c>
      <c r="X2595" s="2" t="s">
        <v>46</v>
      </c>
      <c r="Y2595" s="2" t="s">
        <v>37</v>
      </c>
      <c r="Z2595" s="2" t="s">
        <v>18992</v>
      </c>
      <c r="AA2595" s="2"/>
      <c r="AB2595" s="2"/>
      <c r="AC2595" s="2" t="s">
        <v>19810</v>
      </c>
      <c r="AD2595" s="2" t="s">
        <v>46</v>
      </c>
    </row>
    <row r="2596" customFormat="false" ht="15.7" hidden="false" customHeight="true" outlineLevel="0" collapsed="false">
      <c r="A2596" s="2"/>
      <c r="B2596" s="3" t="n">
        <f aca="false">DATE(2015,11,8)</f>
        <v>0</v>
      </c>
      <c r="C2596" s="3" t="n">
        <v>42316</v>
      </c>
      <c r="D2596" s="2" t="s">
        <v>19811</v>
      </c>
      <c r="F2596" s="2" t="s">
        <v>19812</v>
      </c>
      <c r="G2596" s="2" t="s">
        <v>19813</v>
      </c>
      <c r="H2596" s="2" t="s">
        <v>19814</v>
      </c>
      <c r="I2596" s="2" t="s">
        <v>1882</v>
      </c>
      <c r="J2596" s="2" t="s">
        <v>35</v>
      </c>
      <c r="K2596" s="2" t="s">
        <v>19815</v>
      </c>
      <c r="L2596" s="2" t="s">
        <v>1882</v>
      </c>
      <c r="M2596" s="2" t="s">
        <v>4228</v>
      </c>
      <c r="N2596" s="2" t="s">
        <v>19816</v>
      </c>
      <c r="O2596" s="2"/>
      <c r="P2596" s="2" t="s">
        <v>37</v>
      </c>
      <c r="Q2596" s="4" t="n">
        <v>8731</v>
      </c>
      <c r="R2596" s="2" t="s">
        <v>450</v>
      </c>
      <c r="S2596" s="2" t="s">
        <v>39</v>
      </c>
      <c r="T2596" s="2" t="s">
        <v>40</v>
      </c>
      <c r="U2596" s="2" t="s">
        <v>19817</v>
      </c>
      <c r="V2596" s="2"/>
      <c r="W2596" s="2" t="s">
        <v>42</v>
      </c>
      <c r="X2596" s="2" t="s">
        <v>46</v>
      </c>
      <c r="Y2596" s="2" t="s">
        <v>37</v>
      </c>
      <c r="Z2596" s="2" t="s">
        <v>44</v>
      </c>
      <c r="AA2596" s="2"/>
      <c r="AB2596" s="2"/>
      <c r="AC2596" s="2" t="s">
        <v>19818</v>
      </c>
      <c r="AD2596" s="2" t="s">
        <v>46</v>
      </c>
    </row>
    <row r="2597" customFormat="false" ht="15.7" hidden="false" customHeight="true" outlineLevel="0" collapsed="false">
      <c r="A2597" s="2"/>
      <c r="B2597" s="3" t="n">
        <f aca="false">DATE(2015,11,11)</f>
        <v>0</v>
      </c>
      <c r="C2597" s="3" t="n">
        <v>42319</v>
      </c>
      <c r="D2597" s="2" t="s">
        <v>19819</v>
      </c>
      <c r="F2597" s="2" t="s">
        <v>19820</v>
      </c>
      <c r="G2597" s="2" t="s">
        <v>19821</v>
      </c>
      <c r="H2597" s="2" t="s">
        <v>19822</v>
      </c>
      <c r="I2597" s="2" t="s">
        <v>11274</v>
      </c>
      <c r="J2597" s="2" t="s">
        <v>35</v>
      </c>
      <c r="K2597" s="2" t="s">
        <v>19819</v>
      </c>
      <c r="L2597" s="2" t="s">
        <v>11274</v>
      </c>
      <c r="M2597" s="2" t="s">
        <v>19822</v>
      </c>
      <c r="N2597" s="2" t="s">
        <v>19823</v>
      </c>
      <c r="O2597" s="2"/>
      <c r="P2597" s="2" t="s">
        <v>37</v>
      </c>
      <c r="Q2597" s="4" t="n">
        <v>8099</v>
      </c>
      <c r="R2597" s="2" t="s">
        <v>7553</v>
      </c>
      <c r="S2597" s="2" t="s">
        <v>39</v>
      </c>
      <c r="T2597" s="2" t="s">
        <v>40</v>
      </c>
      <c r="U2597" s="2" t="s">
        <v>19824</v>
      </c>
      <c r="V2597" s="2"/>
      <c r="W2597" s="2" t="s">
        <v>4487</v>
      </c>
      <c r="X2597" s="2" t="s">
        <v>46</v>
      </c>
      <c r="Y2597" s="2" t="s">
        <v>37</v>
      </c>
      <c r="Z2597" s="2" t="s">
        <v>2565</v>
      </c>
      <c r="AA2597" s="2"/>
      <c r="AB2597" s="2"/>
      <c r="AC2597" s="2" t="s">
        <v>19825</v>
      </c>
      <c r="AD2597" s="2" t="s">
        <v>46</v>
      </c>
    </row>
    <row r="2598" customFormat="false" ht="15.7" hidden="false" customHeight="true" outlineLevel="0" collapsed="false">
      <c r="A2598" s="2"/>
      <c r="B2598" s="3" t="n">
        <f aca="false">DATE(2015,11,26)</f>
        <v>0</v>
      </c>
      <c r="C2598" s="3" t="n">
        <v>42334</v>
      </c>
      <c r="D2598" s="2" t="s">
        <v>19826</v>
      </c>
      <c r="F2598" s="2" t="s">
        <v>19827</v>
      </c>
      <c r="G2598" s="2" t="s">
        <v>19828</v>
      </c>
      <c r="H2598" s="2" t="s">
        <v>19829</v>
      </c>
      <c r="I2598" s="2" t="s">
        <v>11818</v>
      </c>
      <c r="J2598" s="2" t="s">
        <v>1305</v>
      </c>
      <c r="K2598" s="2" t="s">
        <v>19830</v>
      </c>
      <c r="L2598" s="2" t="s">
        <v>11818</v>
      </c>
      <c r="M2598" s="2" t="s">
        <v>19831</v>
      </c>
      <c r="N2598" s="2" t="s">
        <v>19832</v>
      </c>
      <c r="O2598" s="2"/>
      <c r="P2598" s="2" t="s">
        <v>37</v>
      </c>
      <c r="Q2598" s="4" t="n">
        <v>3999</v>
      </c>
      <c r="R2598" s="2" t="s">
        <v>402</v>
      </c>
      <c r="S2598" s="2" t="s">
        <v>39</v>
      </c>
      <c r="T2598" s="2" t="s">
        <v>403</v>
      </c>
      <c r="U2598" s="2" t="s">
        <v>19833</v>
      </c>
      <c r="V2598" s="2"/>
      <c r="W2598" s="2" t="s">
        <v>19834</v>
      </c>
      <c r="X2598" s="2" t="s">
        <v>46</v>
      </c>
      <c r="Y2598" s="2" t="s">
        <v>37</v>
      </c>
      <c r="Z2598" s="2" t="s">
        <v>19835</v>
      </c>
      <c r="AA2598" s="2"/>
      <c r="AB2598" s="2"/>
      <c r="AC2598" s="2" t="s">
        <v>19836</v>
      </c>
      <c r="AD2598" s="2" t="s">
        <v>46</v>
      </c>
    </row>
    <row r="2599" customFormat="false" ht="15.7" hidden="false" customHeight="true" outlineLevel="0" collapsed="false">
      <c r="A2599" s="2"/>
      <c r="B2599" s="3" t="n">
        <f aca="false">DATE(2015,12,3)</f>
        <v>0</v>
      </c>
      <c r="C2599" s="3" t="n">
        <v>42341</v>
      </c>
      <c r="D2599" s="2" t="s">
        <v>19837</v>
      </c>
      <c r="F2599" s="2" t="s">
        <v>19838</v>
      </c>
      <c r="G2599" s="2" t="s">
        <v>19839</v>
      </c>
      <c r="H2599" s="2" t="s">
        <v>19840</v>
      </c>
      <c r="I2599" s="2" t="s">
        <v>19841</v>
      </c>
      <c r="J2599" s="2" t="s">
        <v>1305</v>
      </c>
      <c r="K2599" s="2" t="s">
        <v>19837</v>
      </c>
      <c r="L2599" s="2" t="s">
        <v>19841</v>
      </c>
      <c r="M2599" s="2" t="s">
        <v>19840</v>
      </c>
      <c r="N2599" s="2" t="s">
        <v>19842</v>
      </c>
      <c r="O2599" s="2"/>
      <c r="P2599" s="2" t="s">
        <v>37</v>
      </c>
      <c r="Q2599" s="4" t="n">
        <v>8731</v>
      </c>
      <c r="R2599" s="2" t="s">
        <v>688</v>
      </c>
      <c r="S2599" s="2" t="s">
        <v>39</v>
      </c>
      <c r="T2599" s="2" t="s">
        <v>403</v>
      </c>
      <c r="U2599" s="2" t="s">
        <v>19843</v>
      </c>
      <c r="V2599" s="2"/>
      <c r="W2599" s="2" t="s">
        <v>42</v>
      </c>
      <c r="X2599" s="2" t="s">
        <v>46</v>
      </c>
      <c r="Y2599" s="2" t="s">
        <v>37</v>
      </c>
      <c r="Z2599" s="2" t="s">
        <v>11148</v>
      </c>
      <c r="AA2599" s="2"/>
      <c r="AB2599" s="2"/>
      <c r="AC2599" s="2" t="s">
        <v>19844</v>
      </c>
      <c r="AD2599" s="2" t="s">
        <v>46</v>
      </c>
    </row>
    <row r="2600" customFormat="false" ht="15.7" hidden="false" customHeight="true" outlineLevel="0" collapsed="false">
      <c r="A2600" s="2"/>
      <c r="B2600" s="3" t="n">
        <f aca="false">DATE(2015,12,11)</f>
        <v>0</v>
      </c>
      <c r="C2600" s="3" t="n">
        <v>42349</v>
      </c>
      <c r="D2600" s="2" t="s">
        <v>19845</v>
      </c>
      <c r="F2600" s="2" t="s">
        <v>19846</v>
      </c>
      <c r="G2600" s="2" t="s">
        <v>19847</v>
      </c>
      <c r="H2600" s="2" t="s">
        <v>19848</v>
      </c>
      <c r="I2600" s="2" t="s">
        <v>227</v>
      </c>
      <c r="J2600" s="2" t="s">
        <v>966</v>
      </c>
      <c r="K2600" s="2" t="s">
        <v>19849</v>
      </c>
      <c r="L2600" s="2" t="s">
        <v>19850</v>
      </c>
      <c r="M2600" s="2" t="s">
        <v>19851</v>
      </c>
      <c r="N2600" s="2" t="s">
        <v>19852</v>
      </c>
      <c r="O2600" s="2"/>
      <c r="P2600" s="2" t="s">
        <v>37</v>
      </c>
      <c r="Q2600" s="4" t="n">
        <v>8099</v>
      </c>
      <c r="R2600" s="2" t="s">
        <v>56</v>
      </c>
      <c r="S2600" s="2" t="s">
        <v>5846</v>
      </c>
      <c r="T2600" s="2" t="s">
        <v>40</v>
      </c>
      <c r="U2600" s="2" t="s">
        <v>19853</v>
      </c>
      <c r="V2600" s="2"/>
      <c r="W2600" s="2" t="s">
        <v>4487</v>
      </c>
      <c r="X2600" s="2" t="s">
        <v>43</v>
      </c>
      <c r="Y2600" s="2" t="s">
        <v>37</v>
      </c>
      <c r="Z2600" s="2" t="s">
        <v>44</v>
      </c>
      <c r="AA2600" s="2"/>
      <c r="AB2600" s="2"/>
      <c r="AC2600" s="2" t="s">
        <v>19854</v>
      </c>
      <c r="AD2600" s="2" t="s">
        <v>46</v>
      </c>
    </row>
    <row r="2601" customFormat="false" ht="15.7" hidden="false" customHeight="true" outlineLevel="0" collapsed="false">
      <c r="A2601" s="2"/>
      <c r="B2601" s="3" t="n">
        <f aca="false">DATE(2015,12,16)</f>
        <v>0</v>
      </c>
      <c r="C2601" s="3" t="n">
        <v>42354</v>
      </c>
      <c r="D2601" s="2" t="s">
        <v>19855</v>
      </c>
      <c r="F2601" s="2" t="s">
        <v>19856</v>
      </c>
      <c r="G2601" s="2" t="s">
        <v>19857</v>
      </c>
      <c r="H2601" s="2" t="s">
        <v>6296</v>
      </c>
      <c r="I2601" s="2" t="s">
        <v>330</v>
      </c>
      <c r="J2601" s="2" t="s">
        <v>3385</v>
      </c>
      <c r="K2601" s="2" t="s">
        <v>19858</v>
      </c>
      <c r="L2601" s="2" t="s">
        <v>13151</v>
      </c>
      <c r="M2601" s="2" t="s">
        <v>551</v>
      </c>
      <c r="N2601" s="2" t="s">
        <v>19859</v>
      </c>
      <c r="O2601" s="2"/>
      <c r="P2601" s="2" t="s">
        <v>37</v>
      </c>
      <c r="Q2601" s="4" t="n">
        <v>8099</v>
      </c>
      <c r="R2601" s="2" t="s">
        <v>402</v>
      </c>
      <c r="S2601" s="2" t="s">
        <v>39</v>
      </c>
      <c r="T2601" s="2" t="s">
        <v>40</v>
      </c>
      <c r="U2601" s="2" t="s">
        <v>19860</v>
      </c>
      <c r="V2601" s="2"/>
      <c r="W2601" s="2" t="s">
        <v>4487</v>
      </c>
      <c r="X2601" s="2" t="s">
        <v>43</v>
      </c>
      <c r="Y2601" s="2" t="s">
        <v>37</v>
      </c>
      <c r="Z2601" s="2" t="s">
        <v>44</v>
      </c>
      <c r="AA2601" s="2"/>
      <c r="AB2601" s="2"/>
      <c r="AC2601" s="2" t="s">
        <v>19861</v>
      </c>
      <c r="AD2601" s="2" t="s">
        <v>46</v>
      </c>
    </row>
    <row r="2602" customFormat="false" ht="15.7" hidden="false" customHeight="true" outlineLevel="0" collapsed="false">
      <c r="A2602" s="2"/>
      <c r="B2602" s="3" t="n">
        <f aca="false">DATE(2015,12,16)</f>
        <v>0</v>
      </c>
      <c r="C2602" s="3" t="n">
        <v>42354</v>
      </c>
      <c r="D2602" s="2" t="s">
        <v>19862</v>
      </c>
      <c r="F2602" s="2" t="s">
        <v>19863</v>
      </c>
      <c r="G2602" s="2" t="s">
        <v>19864</v>
      </c>
      <c r="H2602" s="2" t="s">
        <v>19865</v>
      </c>
      <c r="I2602" s="2" t="s">
        <v>821</v>
      </c>
      <c r="J2602" s="2" t="s">
        <v>65</v>
      </c>
      <c r="K2602" s="2" t="s">
        <v>19862</v>
      </c>
      <c r="L2602" s="2" t="s">
        <v>821</v>
      </c>
      <c r="M2602" s="2" t="s">
        <v>19865</v>
      </c>
      <c r="N2602" s="2" t="s">
        <v>19866</v>
      </c>
      <c r="O2602" s="2"/>
      <c r="P2602" s="2" t="s">
        <v>37</v>
      </c>
      <c r="Q2602" s="4" t="n">
        <v>8731</v>
      </c>
      <c r="R2602" s="2" t="s">
        <v>450</v>
      </c>
      <c r="S2602" s="2" t="s">
        <v>39</v>
      </c>
      <c r="T2602" s="2" t="s">
        <v>403</v>
      </c>
      <c r="U2602" s="2" t="s">
        <v>19867</v>
      </c>
      <c r="V2602" s="2"/>
      <c r="W2602" s="2" t="s">
        <v>42</v>
      </c>
      <c r="X2602" s="2" t="s">
        <v>46</v>
      </c>
      <c r="Y2602" s="2" t="s">
        <v>37</v>
      </c>
      <c r="Z2602" s="2" t="s">
        <v>44</v>
      </c>
      <c r="AA2602" s="2"/>
      <c r="AB2602" s="2"/>
      <c r="AC2602" s="2" t="s">
        <v>19868</v>
      </c>
      <c r="AD2602" s="2" t="s">
        <v>46</v>
      </c>
    </row>
    <row r="2603" customFormat="false" ht="15.7" hidden="false" customHeight="true" outlineLevel="0" collapsed="false">
      <c r="A2603" s="2"/>
      <c r="B2603" s="3" t="n">
        <f aca="false">DATE(2015,12,16)</f>
        <v>0</v>
      </c>
      <c r="C2603" s="3" t="n">
        <v>42354</v>
      </c>
      <c r="D2603" s="2" t="s">
        <v>19869</v>
      </c>
      <c r="F2603" s="2" t="s">
        <v>19870</v>
      </c>
      <c r="G2603" s="2" t="s">
        <v>19871</v>
      </c>
      <c r="H2603" s="2" t="s">
        <v>19633</v>
      </c>
      <c r="I2603" s="2" t="s">
        <v>2727</v>
      </c>
      <c r="J2603" s="2" t="s">
        <v>35</v>
      </c>
      <c r="K2603" s="2" t="s">
        <v>19872</v>
      </c>
      <c r="L2603" s="2" t="s">
        <v>4325</v>
      </c>
      <c r="M2603" s="2" t="s">
        <v>19873</v>
      </c>
      <c r="N2603" s="2" t="s">
        <v>19874</v>
      </c>
      <c r="O2603" s="2"/>
      <c r="P2603" s="2" t="s">
        <v>37</v>
      </c>
      <c r="Q2603" s="4" t="n">
        <v>8731</v>
      </c>
      <c r="R2603" s="2" t="s">
        <v>402</v>
      </c>
      <c r="S2603" s="2" t="s">
        <v>39</v>
      </c>
      <c r="T2603" s="2" t="s">
        <v>403</v>
      </c>
      <c r="U2603" s="2" t="s">
        <v>19875</v>
      </c>
      <c r="V2603" s="2"/>
      <c r="W2603" s="2" t="s">
        <v>42</v>
      </c>
      <c r="X2603" s="2" t="s">
        <v>46</v>
      </c>
      <c r="Y2603" s="2" t="s">
        <v>37</v>
      </c>
      <c r="Z2603" s="2" t="s">
        <v>2565</v>
      </c>
      <c r="AA2603" s="2" t="s">
        <v>19876</v>
      </c>
      <c r="AB2603" s="2"/>
      <c r="AC2603" s="2" t="s">
        <v>19877</v>
      </c>
      <c r="AD2603" s="2" t="s">
        <v>46</v>
      </c>
    </row>
    <row r="2604" customFormat="false" ht="15.7" hidden="false" customHeight="true" outlineLevel="0" collapsed="false">
      <c r="A2604" s="2"/>
      <c r="B2604" s="3" t="n">
        <f aca="false">DATE(2015,12,18)</f>
        <v>0</v>
      </c>
      <c r="C2604" s="3" t="n">
        <v>42356</v>
      </c>
      <c r="D2604" s="2" t="s">
        <v>19878</v>
      </c>
      <c r="F2604" s="2" t="s">
        <v>19879</v>
      </c>
      <c r="G2604" s="2" t="s">
        <v>19880</v>
      </c>
      <c r="H2604" s="2" t="s">
        <v>19881</v>
      </c>
      <c r="I2604" s="2" t="s">
        <v>4325</v>
      </c>
      <c r="J2604" s="2" t="s">
        <v>35</v>
      </c>
      <c r="K2604" s="2" t="s">
        <v>19882</v>
      </c>
      <c r="L2604" s="2" t="s">
        <v>4325</v>
      </c>
      <c r="M2604" s="2" t="s">
        <v>12457</v>
      </c>
      <c r="N2604" s="2" t="s">
        <v>19883</v>
      </c>
      <c r="O2604" s="2"/>
      <c r="P2604" s="2" t="s">
        <v>37</v>
      </c>
      <c r="Q2604" s="4" t="n">
        <v>1731</v>
      </c>
      <c r="R2604" s="2" t="s">
        <v>402</v>
      </c>
      <c r="S2604" s="2" t="s">
        <v>39</v>
      </c>
      <c r="T2604" s="2" t="s">
        <v>403</v>
      </c>
      <c r="U2604" s="2" t="s">
        <v>19884</v>
      </c>
      <c r="V2604" s="2"/>
      <c r="W2604" s="2" t="s">
        <v>11763</v>
      </c>
      <c r="X2604" s="2" t="s">
        <v>46</v>
      </c>
      <c r="Y2604" s="2" t="s">
        <v>37</v>
      </c>
      <c r="Z2604" s="2" t="s">
        <v>362</v>
      </c>
      <c r="AA2604" s="2"/>
      <c r="AB2604" s="2"/>
      <c r="AC2604" s="2" t="s">
        <v>19885</v>
      </c>
      <c r="AD2604" s="2" t="s">
        <v>46</v>
      </c>
    </row>
    <row r="2605" customFormat="false" ht="15.7" hidden="false" customHeight="true" outlineLevel="0" collapsed="false">
      <c r="A2605" s="2"/>
      <c r="B2605" s="3" t="n">
        <f aca="false">DATE(2015,12,18)</f>
        <v>0</v>
      </c>
      <c r="C2605" s="3" t="n">
        <v>42356</v>
      </c>
      <c r="D2605" s="2" t="s">
        <v>19886</v>
      </c>
      <c r="F2605" s="2" t="s">
        <v>19887</v>
      </c>
      <c r="G2605" s="2" t="s">
        <v>19888</v>
      </c>
      <c r="H2605" s="2" t="s">
        <v>7198</v>
      </c>
      <c r="I2605" s="2" t="s">
        <v>1544</v>
      </c>
      <c r="J2605" s="2" t="s">
        <v>14099</v>
      </c>
      <c r="K2605" s="2" t="s">
        <v>19886</v>
      </c>
      <c r="L2605" s="2" t="s">
        <v>1544</v>
      </c>
      <c r="M2605" s="2" t="s">
        <v>7198</v>
      </c>
      <c r="N2605" s="2" t="s">
        <v>19889</v>
      </c>
      <c r="O2605" s="2"/>
      <c r="P2605" s="2" t="s">
        <v>37</v>
      </c>
      <c r="Q2605" s="4" t="n">
        <v>8731</v>
      </c>
      <c r="R2605" s="2" t="s">
        <v>3825</v>
      </c>
      <c r="S2605" s="2" t="s">
        <v>39</v>
      </c>
      <c r="T2605" s="2" t="s">
        <v>403</v>
      </c>
      <c r="U2605" s="2" t="s">
        <v>19890</v>
      </c>
      <c r="V2605" s="2"/>
      <c r="W2605" s="2" t="s">
        <v>19891</v>
      </c>
      <c r="X2605" s="2" t="s">
        <v>46</v>
      </c>
      <c r="Y2605" s="2" t="s">
        <v>37</v>
      </c>
      <c r="Z2605" s="2" t="s">
        <v>44</v>
      </c>
      <c r="AA2605" s="2"/>
      <c r="AB2605" s="2"/>
      <c r="AC2605" s="2" t="s">
        <v>19892</v>
      </c>
      <c r="AD2605" s="2" t="s">
        <v>46</v>
      </c>
    </row>
    <row r="2606" customFormat="false" ht="15.7" hidden="false" customHeight="true" outlineLevel="0" collapsed="false">
      <c r="A2606" s="2"/>
      <c r="B2606" s="3" t="n">
        <f aca="false">DATE(2015,12,18)</f>
        <v>0</v>
      </c>
      <c r="C2606" s="3" t="n">
        <v>42356</v>
      </c>
      <c r="D2606" s="2" t="s">
        <v>19893</v>
      </c>
      <c r="F2606" s="2" t="s">
        <v>19894</v>
      </c>
      <c r="G2606" s="2" t="s">
        <v>19895</v>
      </c>
      <c r="H2606" s="2" t="s">
        <v>19896</v>
      </c>
      <c r="I2606" s="2" t="s">
        <v>670</v>
      </c>
      <c r="J2606" s="2" t="s">
        <v>1520</v>
      </c>
      <c r="K2606" s="2" t="s">
        <v>19893</v>
      </c>
      <c r="L2606" s="2" t="s">
        <v>670</v>
      </c>
      <c r="M2606" s="2" t="s">
        <v>19896</v>
      </c>
      <c r="N2606" s="2" t="s">
        <v>19897</v>
      </c>
      <c r="O2606" s="2"/>
      <c r="P2606" s="2" t="s">
        <v>37</v>
      </c>
      <c r="Q2606" s="4" t="n">
        <v>3999</v>
      </c>
      <c r="R2606" s="2" t="s">
        <v>402</v>
      </c>
      <c r="S2606" s="2" t="s">
        <v>39</v>
      </c>
      <c r="T2606" s="2" t="s">
        <v>40</v>
      </c>
      <c r="U2606" s="2" t="s">
        <v>19898</v>
      </c>
      <c r="V2606" s="2"/>
      <c r="W2606" s="2" t="s">
        <v>107</v>
      </c>
      <c r="X2606" s="2" t="s">
        <v>46</v>
      </c>
      <c r="Y2606" s="2" t="s">
        <v>37</v>
      </c>
      <c r="Z2606" s="2" t="s">
        <v>18992</v>
      </c>
      <c r="AA2606" s="2"/>
      <c r="AB2606" s="2"/>
      <c r="AC2606" s="2" t="s">
        <v>19899</v>
      </c>
      <c r="AD2606" s="2" t="s">
        <v>46</v>
      </c>
    </row>
    <row r="2607" customFormat="false" ht="15.7" hidden="false" customHeight="true" outlineLevel="0" collapsed="false">
      <c r="A2607" s="2"/>
      <c r="B2607" s="3" t="n">
        <f aca="false">DATE(2015,12,18)</f>
        <v>0</v>
      </c>
      <c r="C2607" s="3" t="n">
        <v>42356</v>
      </c>
      <c r="D2607" s="2" t="s">
        <v>19900</v>
      </c>
      <c r="F2607" s="2" t="s">
        <v>19901</v>
      </c>
      <c r="G2607" s="2" t="s">
        <v>19902</v>
      </c>
      <c r="H2607" s="2" t="s">
        <v>19903</v>
      </c>
      <c r="I2607" s="2" t="s">
        <v>51</v>
      </c>
      <c r="J2607" s="2" t="s">
        <v>19904</v>
      </c>
      <c r="K2607" s="2" t="s">
        <v>19900</v>
      </c>
      <c r="L2607" s="2" t="s">
        <v>51</v>
      </c>
      <c r="M2607" s="2" t="s">
        <v>19903</v>
      </c>
      <c r="N2607" s="2" t="s">
        <v>19905</v>
      </c>
      <c r="O2607" s="2"/>
      <c r="P2607" s="2" t="s">
        <v>37</v>
      </c>
      <c r="Q2607" s="4" t="n">
        <v>1382</v>
      </c>
      <c r="R2607" s="2" t="s">
        <v>56</v>
      </c>
      <c r="S2607" s="2" t="s">
        <v>7553</v>
      </c>
      <c r="T2607" s="2" t="s">
        <v>40</v>
      </c>
      <c r="U2607" s="2" t="s">
        <v>19906</v>
      </c>
      <c r="V2607" s="2"/>
      <c r="W2607" s="2" t="s">
        <v>3182</v>
      </c>
      <c r="X2607" s="2" t="s">
        <v>46</v>
      </c>
      <c r="Y2607" s="2" t="s">
        <v>37</v>
      </c>
      <c r="Z2607" s="2" t="s">
        <v>44</v>
      </c>
      <c r="AA2607" s="2" t="s">
        <v>19907</v>
      </c>
      <c r="AB2607" s="2"/>
      <c r="AC2607" s="2" t="s">
        <v>19908</v>
      </c>
      <c r="AD2607" s="2" t="s">
        <v>46</v>
      </c>
    </row>
    <row r="2608" customFormat="false" ht="15.7" hidden="false" customHeight="true" outlineLevel="0" collapsed="false">
      <c r="A2608" s="2"/>
      <c r="B2608" s="3" t="n">
        <f aca="false">DATE(2015,12,20)</f>
        <v>0</v>
      </c>
      <c r="C2608" s="3" t="n">
        <v>42358</v>
      </c>
      <c r="D2608" s="2" t="s">
        <v>19909</v>
      </c>
      <c r="F2608" s="2" t="s">
        <v>19910</v>
      </c>
      <c r="G2608" s="2" t="s">
        <v>19911</v>
      </c>
      <c r="H2608" s="2" t="s">
        <v>19912</v>
      </c>
      <c r="I2608" s="2" t="s">
        <v>12029</v>
      </c>
      <c r="J2608" s="2" t="s">
        <v>35</v>
      </c>
      <c r="K2608" s="2" t="s">
        <v>19909</v>
      </c>
      <c r="L2608" s="2" t="s">
        <v>12029</v>
      </c>
      <c r="M2608" s="2" t="s">
        <v>19912</v>
      </c>
      <c r="N2608" s="2" t="s">
        <v>19913</v>
      </c>
      <c r="O2608" s="2"/>
      <c r="P2608" s="2" t="s">
        <v>37</v>
      </c>
      <c r="Q2608" s="4" t="n">
        <v>8731</v>
      </c>
      <c r="R2608" s="2" t="s">
        <v>12034</v>
      </c>
      <c r="S2608" s="2" t="s">
        <v>39</v>
      </c>
      <c r="T2608" s="2" t="s">
        <v>403</v>
      </c>
      <c r="U2608" s="2" t="s">
        <v>19914</v>
      </c>
      <c r="V2608" s="2"/>
      <c r="W2608" s="2" t="s">
        <v>10985</v>
      </c>
      <c r="X2608" s="2" t="s">
        <v>46</v>
      </c>
      <c r="Y2608" s="2" t="s">
        <v>37</v>
      </c>
      <c r="Z2608" s="2" t="s">
        <v>18992</v>
      </c>
      <c r="AA2608" s="2"/>
      <c r="AB2608" s="2"/>
      <c r="AC2608" s="2" t="s">
        <v>19915</v>
      </c>
      <c r="AD2608" s="2" t="s">
        <v>46</v>
      </c>
    </row>
    <row r="2609" customFormat="false" ht="15.7" hidden="false" customHeight="true" outlineLevel="0" collapsed="false">
      <c r="A2609" s="2"/>
      <c r="B2609" s="3" t="n">
        <f aca="false">DATE(2015,12,21)</f>
        <v>0</v>
      </c>
      <c r="C2609" s="3" t="n">
        <v>42359</v>
      </c>
      <c r="D2609" s="2" t="s">
        <v>19916</v>
      </c>
      <c r="F2609" s="2" t="s">
        <v>19917</v>
      </c>
      <c r="G2609" s="2" t="s">
        <v>19918</v>
      </c>
      <c r="H2609" s="2" t="s">
        <v>1181</v>
      </c>
      <c r="I2609" s="2" t="s">
        <v>4570</v>
      </c>
      <c r="J2609" s="2" t="s">
        <v>35</v>
      </c>
      <c r="K2609" s="2" t="s">
        <v>19916</v>
      </c>
      <c r="L2609" s="2" t="s">
        <v>4570</v>
      </c>
      <c r="M2609" s="2" t="s">
        <v>1181</v>
      </c>
      <c r="N2609" s="2" t="s">
        <v>19919</v>
      </c>
      <c r="O2609" s="2" t="s">
        <v>19920</v>
      </c>
      <c r="P2609" s="2" t="s">
        <v>37</v>
      </c>
      <c r="Q2609" s="4" t="n">
        <v>8099</v>
      </c>
      <c r="R2609" s="2" t="s">
        <v>56</v>
      </c>
      <c r="S2609" s="2" t="s">
        <v>80</v>
      </c>
      <c r="T2609" s="2" t="s">
        <v>40</v>
      </c>
      <c r="U2609" s="2" t="s">
        <v>19921</v>
      </c>
      <c r="V2609" s="2"/>
      <c r="W2609" s="2" t="s">
        <v>4487</v>
      </c>
      <c r="X2609" s="2" t="s">
        <v>46</v>
      </c>
      <c r="Y2609" s="2" t="s">
        <v>37</v>
      </c>
      <c r="Z2609" s="2" t="s">
        <v>362</v>
      </c>
      <c r="AA2609" s="2" t="s">
        <v>19922</v>
      </c>
      <c r="AB2609" s="2" t="s">
        <v>19923</v>
      </c>
      <c r="AC2609" s="2" t="s">
        <v>19924</v>
      </c>
      <c r="AD2609" s="2" t="s">
        <v>46</v>
      </c>
    </row>
    <row r="2610" customFormat="false" ht="15.7" hidden="false" customHeight="true" outlineLevel="0" collapsed="false">
      <c r="A2610" s="2"/>
      <c r="B2610" s="3" t="n">
        <f aca="false">DATE(2015,12,21)</f>
        <v>0</v>
      </c>
      <c r="C2610" s="3" t="n">
        <v>42359</v>
      </c>
      <c r="D2610" s="2" t="s">
        <v>19925</v>
      </c>
      <c r="F2610" s="2" t="s">
        <v>19926</v>
      </c>
      <c r="G2610" s="2" t="s">
        <v>19927</v>
      </c>
      <c r="H2610" s="2" t="s">
        <v>19928</v>
      </c>
      <c r="I2610" s="2" t="s">
        <v>19929</v>
      </c>
      <c r="J2610" s="2" t="s">
        <v>35</v>
      </c>
      <c r="K2610" s="2" t="s">
        <v>19930</v>
      </c>
      <c r="L2610" s="2" t="s">
        <v>19929</v>
      </c>
      <c r="M2610" s="2" t="s">
        <v>19931</v>
      </c>
      <c r="N2610" s="2" t="s">
        <v>19932</v>
      </c>
      <c r="O2610" s="2"/>
      <c r="P2610" s="2" t="s">
        <v>37</v>
      </c>
      <c r="Q2610" s="4" t="n">
        <v>1382</v>
      </c>
      <c r="R2610" s="2" t="s">
        <v>461</v>
      </c>
      <c r="S2610" s="2" t="s">
        <v>39</v>
      </c>
      <c r="T2610" s="2" t="s">
        <v>40</v>
      </c>
      <c r="U2610" s="2" t="s">
        <v>19933</v>
      </c>
      <c r="V2610" s="2"/>
      <c r="W2610" s="2" t="s">
        <v>3182</v>
      </c>
      <c r="X2610" s="2" t="s">
        <v>46</v>
      </c>
      <c r="Y2610" s="2" t="s">
        <v>37</v>
      </c>
      <c r="Z2610" s="2" t="s">
        <v>44</v>
      </c>
      <c r="AA2610" s="2"/>
      <c r="AB2610" s="2"/>
      <c r="AC2610" s="2" t="s">
        <v>19934</v>
      </c>
      <c r="AD2610" s="2" t="s">
        <v>46</v>
      </c>
    </row>
    <row r="2611" customFormat="false" ht="15.7" hidden="false" customHeight="true" outlineLevel="0" collapsed="false">
      <c r="A2611" s="2"/>
      <c r="B2611" s="3" t="n">
        <f aca="false">DATE(2015,12,21)</f>
        <v>0</v>
      </c>
      <c r="C2611" s="3" t="n">
        <v>42359</v>
      </c>
      <c r="D2611" s="2" t="s">
        <v>19935</v>
      </c>
      <c r="F2611" s="2" t="s">
        <v>19936</v>
      </c>
      <c r="G2611" s="2" t="s">
        <v>19937</v>
      </c>
      <c r="H2611" s="2" t="s">
        <v>19938</v>
      </c>
      <c r="I2611" s="2" t="s">
        <v>34</v>
      </c>
      <c r="J2611" s="2" t="s">
        <v>35</v>
      </c>
      <c r="K2611" s="2" t="s">
        <v>19939</v>
      </c>
      <c r="L2611" s="2" t="s">
        <v>34</v>
      </c>
      <c r="M2611" s="2" t="s">
        <v>19938</v>
      </c>
      <c r="N2611" s="2" t="s">
        <v>19940</v>
      </c>
      <c r="O2611" s="2"/>
      <c r="P2611" s="2" t="s">
        <v>37</v>
      </c>
      <c r="Q2611" s="4" t="n">
        <v>8099</v>
      </c>
      <c r="R2611" s="2" t="s">
        <v>38</v>
      </c>
      <c r="S2611" s="2" t="s">
        <v>39</v>
      </c>
      <c r="T2611" s="2" t="s">
        <v>403</v>
      </c>
      <c r="U2611" s="2" t="s">
        <v>19941</v>
      </c>
      <c r="V2611" s="2"/>
      <c r="W2611" s="2" t="s">
        <v>4487</v>
      </c>
      <c r="X2611" s="2" t="s">
        <v>46</v>
      </c>
      <c r="Y2611" s="2" t="s">
        <v>37</v>
      </c>
      <c r="Z2611" s="2" t="s">
        <v>987</v>
      </c>
      <c r="AA2611" s="2"/>
      <c r="AB2611" s="2"/>
      <c r="AC2611" s="2" t="s">
        <v>19942</v>
      </c>
      <c r="AD2611" s="2" t="s">
        <v>46</v>
      </c>
    </row>
    <row r="2612" customFormat="false" ht="15.7" hidden="false" customHeight="true" outlineLevel="0" collapsed="false">
      <c r="A2612" s="2"/>
      <c r="B2612" s="3" t="n">
        <f aca="false">DATE(2015,12,22)</f>
        <v>0</v>
      </c>
      <c r="C2612" s="3" t="n">
        <v>42360</v>
      </c>
      <c r="D2612" s="2" t="s">
        <v>19943</v>
      </c>
      <c r="F2612" s="2" t="s">
        <v>19944</v>
      </c>
      <c r="G2612" s="2" t="s">
        <v>19945</v>
      </c>
      <c r="H2612" s="2" t="s">
        <v>7201</v>
      </c>
      <c r="I2612" s="2" t="s">
        <v>4325</v>
      </c>
      <c r="J2612" s="2" t="s">
        <v>35</v>
      </c>
      <c r="K2612" s="2" t="s">
        <v>19946</v>
      </c>
      <c r="L2612" s="2" t="s">
        <v>2727</v>
      </c>
      <c r="M2612" s="2" t="s">
        <v>1574</v>
      </c>
      <c r="N2612" s="2" t="s">
        <v>19947</v>
      </c>
      <c r="O2612" s="2"/>
      <c r="P2612" s="2" t="s">
        <v>37</v>
      </c>
      <c r="Q2612" s="4" t="n">
        <v>8731</v>
      </c>
      <c r="R2612" s="2" t="s">
        <v>402</v>
      </c>
      <c r="S2612" s="2" t="s">
        <v>39</v>
      </c>
      <c r="T2612" s="2" t="s">
        <v>403</v>
      </c>
      <c r="U2612" s="2" t="s">
        <v>19948</v>
      </c>
      <c r="V2612" s="2"/>
      <c r="W2612" s="2" t="s">
        <v>42</v>
      </c>
      <c r="X2612" s="2" t="s">
        <v>46</v>
      </c>
      <c r="Y2612" s="2" t="s">
        <v>37</v>
      </c>
      <c r="Z2612" s="2" t="s">
        <v>987</v>
      </c>
      <c r="AA2612" s="2" t="s">
        <v>19949</v>
      </c>
      <c r="AB2612" s="2"/>
      <c r="AC2612" s="2" t="s">
        <v>19950</v>
      </c>
      <c r="AD2612" s="2" t="s">
        <v>46</v>
      </c>
    </row>
    <row r="2613" customFormat="false" ht="15.7" hidden="false" customHeight="true" outlineLevel="0" collapsed="false">
      <c r="A2613" s="2"/>
      <c r="B2613" s="3" t="n">
        <f aca="false">DATE(2015,12,29)</f>
        <v>0</v>
      </c>
      <c r="C2613" s="3" t="n">
        <v>42367</v>
      </c>
      <c r="D2613" s="2" t="s">
        <v>19951</v>
      </c>
      <c r="F2613" s="2" t="s">
        <v>19952</v>
      </c>
      <c r="G2613" s="2" t="s">
        <v>19953</v>
      </c>
      <c r="H2613" s="2" t="s">
        <v>19954</v>
      </c>
      <c r="I2613" s="2" t="s">
        <v>4325</v>
      </c>
      <c r="J2613" s="2" t="s">
        <v>35</v>
      </c>
      <c r="K2613" s="2" t="s">
        <v>19955</v>
      </c>
      <c r="L2613" s="2" t="s">
        <v>4325</v>
      </c>
      <c r="M2613" s="2" t="s">
        <v>19956</v>
      </c>
      <c r="N2613" s="2" t="s">
        <v>19957</v>
      </c>
      <c r="O2613" s="2"/>
      <c r="P2613" s="2" t="s">
        <v>37</v>
      </c>
      <c r="Q2613" s="4" t="n">
        <v>8731</v>
      </c>
      <c r="R2613" s="2" t="s">
        <v>402</v>
      </c>
      <c r="S2613" s="2" t="s">
        <v>39</v>
      </c>
      <c r="T2613" s="2" t="s">
        <v>403</v>
      </c>
      <c r="U2613" s="2" t="s">
        <v>19958</v>
      </c>
      <c r="V2613" s="2"/>
      <c r="W2613" s="2" t="s">
        <v>19959</v>
      </c>
      <c r="X2613" s="2" t="s">
        <v>46</v>
      </c>
      <c r="Y2613" s="2" t="s">
        <v>37</v>
      </c>
      <c r="Z2613" s="2" t="s">
        <v>12970</v>
      </c>
      <c r="AA2613" s="2" t="s">
        <v>19960</v>
      </c>
      <c r="AB2613" s="2"/>
      <c r="AC2613" s="2" t="s">
        <v>19961</v>
      </c>
      <c r="AD2613" s="2" t="s">
        <v>46</v>
      </c>
    </row>
    <row r="2614" customFormat="false" ht="15.7" hidden="false" customHeight="true" outlineLevel="0" collapsed="false">
      <c r="A2614" s="2"/>
      <c r="B2614" s="3" t="n">
        <f aca="false">DATE(2015,12,30)</f>
        <v>0</v>
      </c>
      <c r="C2614" s="3" t="n">
        <v>42368</v>
      </c>
      <c r="D2614" s="2" t="s">
        <v>19962</v>
      </c>
      <c r="F2614" s="2" t="s">
        <v>19963</v>
      </c>
      <c r="G2614" s="2" t="s">
        <v>19964</v>
      </c>
      <c r="H2614" s="2" t="s">
        <v>8066</v>
      </c>
      <c r="I2614" s="2" t="s">
        <v>4325</v>
      </c>
      <c r="J2614" s="2" t="s">
        <v>35</v>
      </c>
      <c r="K2614" s="2" t="s">
        <v>19962</v>
      </c>
      <c r="L2614" s="2" t="s">
        <v>4325</v>
      </c>
      <c r="M2614" s="2" t="s">
        <v>8066</v>
      </c>
      <c r="N2614" s="2" t="s">
        <v>19965</v>
      </c>
      <c r="O2614" s="2"/>
      <c r="P2614" s="2" t="s">
        <v>37</v>
      </c>
      <c r="Q2614" s="4" t="n">
        <v>8731</v>
      </c>
      <c r="R2614" s="2" t="s">
        <v>402</v>
      </c>
      <c r="S2614" s="2" t="s">
        <v>39</v>
      </c>
      <c r="T2614" s="2" t="s">
        <v>40</v>
      </c>
      <c r="U2614" s="2" t="s">
        <v>19966</v>
      </c>
      <c r="V2614" s="2"/>
      <c r="W2614" s="2" t="s">
        <v>42</v>
      </c>
      <c r="X2614" s="2" t="s">
        <v>46</v>
      </c>
      <c r="Y2614" s="2" t="s">
        <v>37</v>
      </c>
      <c r="Z2614" s="2" t="s">
        <v>362</v>
      </c>
      <c r="AA2614" s="2" t="s">
        <v>19967</v>
      </c>
      <c r="AB2614" s="2"/>
      <c r="AC2614" s="2" t="s">
        <v>19968</v>
      </c>
      <c r="AD2614" s="2" t="s">
        <v>46</v>
      </c>
    </row>
    <row r="2615" customFormat="false" ht="15.7" hidden="false" customHeight="true" outlineLevel="0" collapsed="false">
      <c r="A2615" s="2"/>
      <c r="B2615" s="3" t="n">
        <f aca="false">DATE(2015,12,30)</f>
        <v>0</v>
      </c>
      <c r="C2615" s="3" t="n">
        <v>42368</v>
      </c>
      <c r="D2615" s="2" t="s">
        <v>19969</v>
      </c>
      <c r="F2615" s="2" t="s">
        <v>19970</v>
      </c>
      <c r="G2615" s="2" t="s">
        <v>19971</v>
      </c>
      <c r="H2615" s="2" t="s">
        <v>19972</v>
      </c>
      <c r="I2615" s="2" t="s">
        <v>19973</v>
      </c>
      <c r="J2615" s="2" t="s">
        <v>331</v>
      </c>
      <c r="K2615" s="2" t="s">
        <v>19969</v>
      </c>
      <c r="L2615" s="2" t="s">
        <v>19973</v>
      </c>
      <c r="M2615" s="2" t="s">
        <v>19972</v>
      </c>
      <c r="N2615" s="2" t="s">
        <v>19974</v>
      </c>
      <c r="O2615" s="2"/>
      <c r="P2615" s="2" t="s">
        <v>37</v>
      </c>
      <c r="Q2615" s="4" t="n">
        <v>8731</v>
      </c>
      <c r="R2615" s="2" t="s">
        <v>56</v>
      </c>
      <c r="S2615" s="2" t="s">
        <v>80</v>
      </c>
      <c r="T2615" s="2" t="s">
        <v>122</v>
      </c>
      <c r="U2615" s="2" t="s">
        <v>19975</v>
      </c>
      <c r="V2615" s="2"/>
      <c r="W2615" s="2" t="s">
        <v>42</v>
      </c>
      <c r="X2615" s="2" t="s">
        <v>46</v>
      </c>
      <c r="Y2615" s="2" t="s">
        <v>37</v>
      </c>
      <c r="Z2615" s="2" t="s">
        <v>44</v>
      </c>
      <c r="AA2615" s="2"/>
      <c r="AB2615" s="2"/>
      <c r="AC2615" s="2" t="s">
        <v>19976</v>
      </c>
      <c r="AD2615" s="2" t="s">
        <v>46</v>
      </c>
    </row>
    <row r="2616" customFormat="false" ht="15.7" hidden="false" customHeight="true" outlineLevel="0" collapsed="false">
      <c r="A2616" s="2"/>
      <c r="B2616" s="3" t="n">
        <f aca="false">DATE(2016,1,1)</f>
        <v>0</v>
      </c>
      <c r="C2616" s="3" t="n">
        <v>42370</v>
      </c>
      <c r="D2616" s="2" t="s">
        <v>19977</v>
      </c>
      <c r="F2616" s="2" t="s">
        <v>19978</v>
      </c>
      <c r="G2616" s="2" t="s">
        <v>19979</v>
      </c>
      <c r="H2616" s="2" t="s">
        <v>11730</v>
      </c>
      <c r="I2616" s="2" t="s">
        <v>7737</v>
      </c>
      <c r="J2616" s="2" t="s">
        <v>35</v>
      </c>
      <c r="K2616" s="2" t="s">
        <v>19977</v>
      </c>
      <c r="L2616" s="2" t="s">
        <v>7737</v>
      </c>
      <c r="M2616" s="2" t="s">
        <v>11730</v>
      </c>
      <c r="N2616" s="2" t="s">
        <v>19980</v>
      </c>
      <c r="O2616" s="2"/>
      <c r="P2616" s="2" t="s">
        <v>37</v>
      </c>
      <c r="Q2616" s="4" t="n">
        <v>8731</v>
      </c>
      <c r="R2616" s="2" t="s">
        <v>136</v>
      </c>
      <c r="S2616" s="2" t="s">
        <v>39</v>
      </c>
      <c r="T2616" s="2" t="s">
        <v>2444</v>
      </c>
      <c r="U2616" s="2" t="s">
        <v>19981</v>
      </c>
      <c r="V2616" s="2"/>
      <c r="W2616" s="2" t="s">
        <v>344</v>
      </c>
      <c r="X2616" s="2" t="s">
        <v>43</v>
      </c>
      <c r="Y2616" s="2" t="s">
        <v>37</v>
      </c>
      <c r="Z2616" s="2" t="s">
        <v>44</v>
      </c>
      <c r="AA2616" s="2"/>
      <c r="AB2616" s="2"/>
      <c r="AC2616" s="2" t="s">
        <v>19982</v>
      </c>
      <c r="AD2616" s="2" t="s">
        <v>46</v>
      </c>
    </row>
    <row r="2617" customFormat="false" ht="15.7" hidden="false" customHeight="true" outlineLevel="0" collapsed="false">
      <c r="A2617" s="2"/>
      <c r="B2617" s="3" t="n">
        <f aca="false">DATE(2016,1,7)</f>
        <v>0</v>
      </c>
      <c r="C2617" s="3" t="n">
        <v>42376</v>
      </c>
      <c r="D2617" s="2" t="s">
        <v>19983</v>
      </c>
      <c r="F2617" s="2" t="s">
        <v>19984</v>
      </c>
      <c r="G2617" s="2" t="s">
        <v>19985</v>
      </c>
      <c r="H2617" s="2" t="s">
        <v>19986</v>
      </c>
      <c r="I2617" s="2" t="s">
        <v>51</v>
      </c>
      <c r="J2617" s="2" t="s">
        <v>14008</v>
      </c>
      <c r="K2617" s="2" t="s">
        <v>19983</v>
      </c>
      <c r="L2617" s="2" t="s">
        <v>51</v>
      </c>
      <c r="M2617" s="2" t="s">
        <v>19986</v>
      </c>
      <c r="N2617" s="2" t="s">
        <v>19987</v>
      </c>
      <c r="O2617" s="2"/>
      <c r="P2617" s="2" t="s">
        <v>37</v>
      </c>
      <c r="Q2617" s="4" t="n">
        <v>8731</v>
      </c>
      <c r="R2617" s="2" t="s">
        <v>56</v>
      </c>
      <c r="S2617" s="2" t="s">
        <v>10955</v>
      </c>
      <c r="T2617" s="2" t="s">
        <v>403</v>
      </c>
      <c r="U2617" s="2" t="s">
        <v>19988</v>
      </c>
      <c r="V2617" s="2"/>
      <c r="W2617" s="2" t="s">
        <v>42</v>
      </c>
      <c r="X2617" s="2" t="s">
        <v>46</v>
      </c>
      <c r="Y2617" s="2" t="s">
        <v>37</v>
      </c>
      <c r="Z2617" s="2" t="s">
        <v>362</v>
      </c>
      <c r="AA2617" s="2"/>
      <c r="AB2617" s="2"/>
      <c r="AC2617" s="2" t="s">
        <v>19989</v>
      </c>
      <c r="AD2617" s="2" t="s">
        <v>46</v>
      </c>
    </row>
    <row r="2618" customFormat="false" ht="15.7" hidden="false" customHeight="true" outlineLevel="0" collapsed="false">
      <c r="A2618" s="2"/>
      <c r="B2618" s="3" t="n">
        <f aca="false">DATE(2016,1,11)</f>
        <v>0</v>
      </c>
      <c r="C2618" s="3" t="n">
        <v>42380</v>
      </c>
      <c r="D2618" s="2" t="s">
        <v>19990</v>
      </c>
      <c r="F2618" s="2" t="s">
        <v>19991</v>
      </c>
      <c r="G2618" s="2" t="s">
        <v>19992</v>
      </c>
      <c r="H2618" s="2" t="s">
        <v>18985</v>
      </c>
      <c r="I2618" s="2" t="s">
        <v>1645</v>
      </c>
      <c r="J2618" s="2" t="s">
        <v>35</v>
      </c>
      <c r="K2618" s="2" t="s">
        <v>19993</v>
      </c>
      <c r="L2618" s="2" t="s">
        <v>1953</v>
      </c>
      <c r="M2618" s="2" t="s">
        <v>19994</v>
      </c>
      <c r="N2618" s="2" t="s">
        <v>19995</v>
      </c>
      <c r="O2618" s="2"/>
      <c r="P2618" s="2" t="s">
        <v>37</v>
      </c>
      <c r="Q2618" s="4" t="n">
        <v>8731</v>
      </c>
      <c r="R2618" s="2" t="s">
        <v>1402</v>
      </c>
      <c r="S2618" s="2" t="s">
        <v>39</v>
      </c>
      <c r="T2618" s="2" t="s">
        <v>403</v>
      </c>
      <c r="U2618" s="2" t="s">
        <v>19996</v>
      </c>
      <c r="V2618" s="2"/>
      <c r="W2618" s="2" t="s">
        <v>19997</v>
      </c>
      <c r="X2618" s="2" t="s">
        <v>46</v>
      </c>
      <c r="Y2618" s="2" t="s">
        <v>37</v>
      </c>
      <c r="Z2618" s="2" t="s">
        <v>44</v>
      </c>
      <c r="AA2618" s="2"/>
      <c r="AB2618" s="2"/>
      <c r="AC2618" s="2" t="s">
        <v>19998</v>
      </c>
      <c r="AD2618" s="2" t="s">
        <v>46</v>
      </c>
    </row>
    <row r="2619" customFormat="false" ht="15.7" hidden="false" customHeight="true" outlineLevel="0" collapsed="false">
      <c r="A2619" s="2"/>
      <c r="B2619" s="3" t="n">
        <f aca="false">DATE(2016,1,15)</f>
        <v>0</v>
      </c>
      <c r="C2619" s="3" t="n">
        <v>42384</v>
      </c>
      <c r="D2619" s="2" t="s">
        <v>19999</v>
      </c>
      <c r="F2619" s="2" t="s">
        <v>20000</v>
      </c>
      <c r="G2619" s="2" t="s">
        <v>20001</v>
      </c>
      <c r="H2619" s="2" t="s">
        <v>20002</v>
      </c>
      <c r="I2619" s="2" t="s">
        <v>459</v>
      </c>
      <c r="J2619" s="2" t="s">
        <v>35</v>
      </c>
      <c r="K2619" s="2" t="s">
        <v>19999</v>
      </c>
      <c r="L2619" s="2" t="s">
        <v>459</v>
      </c>
      <c r="M2619" s="2" t="s">
        <v>20002</v>
      </c>
      <c r="N2619" s="2" t="s">
        <v>20003</v>
      </c>
      <c r="O2619" s="2"/>
      <c r="P2619" s="2" t="s">
        <v>37</v>
      </c>
      <c r="Q2619" s="4" t="n">
        <v>8731</v>
      </c>
      <c r="R2619" s="2" t="s">
        <v>461</v>
      </c>
      <c r="S2619" s="2" t="s">
        <v>39</v>
      </c>
      <c r="T2619" s="2" t="s">
        <v>403</v>
      </c>
      <c r="U2619" s="2" t="s">
        <v>20004</v>
      </c>
      <c r="V2619" s="2"/>
      <c r="W2619" s="2" t="s">
        <v>20005</v>
      </c>
      <c r="X2619" s="2" t="s">
        <v>46</v>
      </c>
      <c r="Y2619" s="2" t="s">
        <v>37</v>
      </c>
      <c r="Z2619" s="2" t="s">
        <v>44</v>
      </c>
      <c r="AA2619" s="2" t="s">
        <v>20006</v>
      </c>
      <c r="AB2619" s="2"/>
      <c r="AC2619" s="2" t="s">
        <v>20007</v>
      </c>
      <c r="AD2619" s="2" t="s">
        <v>46</v>
      </c>
    </row>
    <row r="2620" customFormat="false" ht="15.7" hidden="false" customHeight="true" outlineLevel="0" collapsed="false">
      <c r="A2620" s="2"/>
      <c r="B2620" s="3" t="n">
        <f aca="false">DATE(2016,1,17)</f>
        <v>0</v>
      </c>
      <c r="C2620" s="3" t="n">
        <v>42386</v>
      </c>
      <c r="D2620" s="2" t="s">
        <v>20008</v>
      </c>
      <c r="F2620" s="2" t="s">
        <v>20009</v>
      </c>
      <c r="G2620" s="2" t="s">
        <v>20010</v>
      </c>
      <c r="H2620" s="2" t="s">
        <v>20011</v>
      </c>
      <c r="I2620" s="2" t="s">
        <v>3265</v>
      </c>
      <c r="J2620" s="2" t="s">
        <v>132</v>
      </c>
      <c r="K2620" s="2" t="s">
        <v>20012</v>
      </c>
      <c r="L2620" s="2" t="s">
        <v>3265</v>
      </c>
      <c r="M2620" s="2" t="s">
        <v>3152</v>
      </c>
      <c r="N2620" s="2" t="s">
        <v>20013</v>
      </c>
      <c r="O2620" s="2"/>
      <c r="P2620" s="2" t="s">
        <v>37</v>
      </c>
      <c r="Q2620" s="4" t="n">
        <v>8731</v>
      </c>
      <c r="R2620" s="2" t="s">
        <v>402</v>
      </c>
      <c r="S2620" s="2" t="s">
        <v>39</v>
      </c>
      <c r="T2620" s="2" t="s">
        <v>403</v>
      </c>
      <c r="U2620" s="2" t="s">
        <v>20014</v>
      </c>
      <c r="V2620" s="2"/>
      <c r="W2620" s="2" t="s">
        <v>42</v>
      </c>
      <c r="X2620" s="2" t="s">
        <v>46</v>
      </c>
      <c r="Y2620" s="2" t="s">
        <v>37</v>
      </c>
      <c r="Z2620" s="2" t="s">
        <v>2565</v>
      </c>
      <c r="AA2620" s="2" t="s">
        <v>20015</v>
      </c>
      <c r="AB2620" s="2"/>
      <c r="AC2620" s="2" t="s">
        <v>20016</v>
      </c>
      <c r="AD2620" s="2" t="s">
        <v>46</v>
      </c>
    </row>
    <row r="2621" customFormat="false" ht="15.7" hidden="false" customHeight="true" outlineLevel="0" collapsed="false">
      <c r="A2621" s="2"/>
      <c r="B2621" s="3" t="n">
        <f aca="false">DATE(2016,1,18)</f>
        <v>0</v>
      </c>
      <c r="C2621" s="3" t="n">
        <v>42387</v>
      </c>
      <c r="D2621" s="2" t="s">
        <v>20017</v>
      </c>
      <c r="F2621" s="2" t="s">
        <v>20018</v>
      </c>
      <c r="G2621" s="2" t="s">
        <v>20019</v>
      </c>
      <c r="H2621" s="2" t="s">
        <v>130</v>
      </c>
      <c r="I2621" s="2" t="s">
        <v>20020</v>
      </c>
      <c r="J2621" s="2" t="s">
        <v>35</v>
      </c>
      <c r="K2621" s="2" t="s">
        <v>20021</v>
      </c>
      <c r="L2621" s="2" t="s">
        <v>20020</v>
      </c>
      <c r="M2621" s="2" t="s">
        <v>90</v>
      </c>
      <c r="N2621" s="2" t="s">
        <v>20022</v>
      </c>
      <c r="O2621" s="2"/>
      <c r="P2621" s="2" t="s">
        <v>37</v>
      </c>
      <c r="Q2621" s="4" t="n">
        <v>8062</v>
      </c>
      <c r="R2621" s="2" t="s">
        <v>38</v>
      </c>
      <c r="S2621" s="2" t="s">
        <v>39</v>
      </c>
      <c r="T2621" s="2" t="s">
        <v>40</v>
      </c>
      <c r="U2621" s="2" t="s">
        <v>20023</v>
      </c>
      <c r="V2621" s="2"/>
      <c r="W2621" s="2" t="s">
        <v>20024</v>
      </c>
      <c r="X2621" s="2" t="s">
        <v>43</v>
      </c>
      <c r="Y2621" s="2" t="s">
        <v>37</v>
      </c>
      <c r="Z2621" s="2" t="s">
        <v>44</v>
      </c>
      <c r="AA2621" s="2"/>
      <c r="AB2621" s="2"/>
      <c r="AC2621" s="2" t="s">
        <v>20025</v>
      </c>
      <c r="AD2621" s="2" t="s">
        <v>46</v>
      </c>
    </row>
    <row r="2622" customFormat="false" ht="15.7" hidden="false" customHeight="true" outlineLevel="0" collapsed="false">
      <c r="A2622" s="2"/>
      <c r="B2622" s="3" t="n">
        <f aca="false">DATE(2016,1,18)</f>
        <v>0</v>
      </c>
      <c r="C2622" s="3" t="n">
        <v>42387</v>
      </c>
      <c r="D2622" s="2" t="s">
        <v>20026</v>
      </c>
      <c r="F2622" s="2" t="s">
        <v>20027</v>
      </c>
      <c r="G2622" s="2" t="s">
        <v>20028</v>
      </c>
      <c r="H2622" s="2" t="s">
        <v>20029</v>
      </c>
      <c r="I2622" s="2" t="s">
        <v>1867</v>
      </c>
      <c r="J2622" s="2" t="s">
        <v>35</v>
      </c>
      <c r="K2622" s="2" t="s">
        <v>20030</v>
      </c>
      <c r="L2622" s="2" t="s">
        <v>1867</v>
      </c>
      <c r="M2622" s="2" t="s">
        <v>20031</v>
      </c>
      <c r="N2622" s="2" t="s">
        <v>20032</v>
      </c>
      <c r="O2622" s="2"/>
      <c r="P2622" s="2" t="s">
        <v>37</v>
      </c>
      <c r="Q2622" s="4" t="n">
        <v>8731</v>
      </c>
      <c r="R2622" s="2" t="s">
        <v>38</v>
      </c>
      <c r="S2622" s="2" t="s">
        <v>39</v>
      </c>
      <c r="T2622" s="2" t="s">
        <v>403</v>
      </c>
      <c r="U2622" s="2" t="s">
        <v>20033</v>
      </c>
      <c r="V2622" s="2"/>
      <c r="W2622" s="2" t="s">
        <v>4505</v>
      </c>
      <c r="X2622" s="2" t="s">
        <v>46</v>
      </c>
      <c r="Y2622" s="2" t="s">
        <v>37</v>
      </c>
      <c r="Z2622" s="2" t="s">
        <v>44</v>
      </c>
      <c r="AA2622" s="2"/>
      <c r="AB2622" s="2"/>
      <c r="AC2622" s="2" t="s">
        <v>20034</v>
      </c>
      <c r="AD2622" s="2" t="s">
        <v>46</v>
      </c>
    </row>
    <row r="2623" customFormat="false" ht="15.7" hidden="false" customHeight="true" outlineLevel="0" collapsed="false">
      <c r="A2623" s="2"/>
      <c r="B2623" s="3" t="n">
        <f aca="false">DATE(2016,1,19)</f>
        <v>0</v>
      </c>
      <c r="C2623" s="3" t="n">
        <v>42388</v>
      </c>
      <c r="D2623" s="2" t="s">
        <v>20035</v>
      </c>
      <c r="F2623" s="2" t="s">
        <v>20036</v>
      </c>
      <c r="G2623" s="2" t="s">
        <v>20037</v>
      </c>
      <c r="H2623" s="2" t="s">
        <v>20038</v>
      </c>
      <c r="I2623" s="2" t="s">
        <v>20039</v>
      </c>
      <c r="J2623" s="2" t="s">
        <v>35</v>
      </c>
      <c r="K2623" s="2" t="s">
        <v>20035</v>
      </c>
      <c r="L2623" s="2" t="s">
        <v>20039</v>
      </c>
      <c r="M2623" s="2" t="s">
        <v>20038</v>
      </c>
      <c r="N2623" s="2" t="s">
        <v>20040</v>
      </c>
      <c r="O2623" s="2" t="s">
        <v>20041</v>
      </c>
      <c r="P2623" s="2" t="s">
        <v>37</v>
      </c>
      <c r="Q2623" s="4" t="n">
        <v>4911</v>
      </c>
      <c r="R2623" s="2" t="s">
        <v>450</v>
      </c>
      <c r="S2623" s="2" t="s">
        <v>39</v>
      </c>
      <c r="T2623" s="2" t="s">
        <v>40</v>
      </c>
      <c r="U2623" s="2" t="s">
        <v>20042</v>
      </c>
      <c r="V2623" s="2"/>
      <c r="W2623" s="2" t="s">
        <v>20043</v>
      </c>
      <c r="X2623" s="2" t="s">
        <v>46</v>
      </c>
      <c r="Y2623" s="2" t="s">
        <v>37</v>
      </c>
      <c r="Z2623" s="2" t="s">
        <v>362</v>
      </c>
      <c r="AA2623" s="2"/>
      <c r="AB2623" s="2" t="s">
        <v>20044</v>
      </c>
      <c r="AC2623" s="2" t="s">
        <v>20045</v>
      </c>
      <c r="AD2623" s="2" t="s">
        <v>46</v>
      </c>
    </row>
    <row r="2624" customFormat="false" ht="15.7" hidden="false" customHeight="true" outlineLevel="0" collapsed="false">
      <c r="A2624" s="2"/>
      <c r="B2624" s="3" t="n">
        <f aca="false">DATE(2016,1,19)</f>
        <v>0</v>
      </c>
      <c r="C2624" s="3" t="n">
        <v>42388</v>
      </c>
      <c r="D2624" s="2" t="s">
        <v>20046</v>
      </c>
      <c r="F2624" s="2" t="s">
        <v>20047</v>
      </c>
      <c r="G2624" s="2" t="s">
        <v>20048</v>
      </c>
      <c r="H2624" s="2" t="s">
        <v>20049</v>
      </c>
      <c r="I2624" s="2" t="s">
        <v>965</v>
      </c>
      <c r="J2624" s="2" t="s">
        <v>795</v>
      </c>
      <c r="K2624" s="2" t="s">
        <v>20050</v>
      </c>
      <c r="L2624" s="2" t="s">
        <v>965</v>
      </c>
      <c r="M2624" s="2" t="s">
        <v>20051</v>
      </c>
      <c r="N2624" s="2" t="s">
        <v>20052</v>
      </c>
      <c r="O2624" s="2"/>
      <c r="P2624" s="2" t="s">
        <v>37</v>
      </c>
      <c r="Q2624" s="4" t="n">
        <v>3999</v>
      </c>
      <c r="R2624" s="2" t="s">
        <v>688</v>
      </c>
      <c r="S2624" s="2" t="s">
        <v>39</v>
      </c>
      <c r="T2624" s="2" t="s">
        <v>403</v>
      </c>
      <c r="U2624" s="2" t="s">
        <v>20053</v>
      </c>
      <c r="V2624" s="2"/>
      <c r="W2624" s="2" t="s">
        <v>18540</v>
      </c>
      <c r="X2624" s="2" t="s">
        <v>46</v>
      </c>
      <c r="Y2624" s="2" t="s">
        <v>37</v>
      </c>
      <c r="Z2624" s="2" t="s">
        <v>362</v>
      </c>
      <c r="AA2624" s="2"/>
      <c r="AB2624" s="2"/>
      <c r="AC2624" s="2" t="s">
        <v>20054</v>
      </c>
      <c r="AD2624" s="2" t="s">
        <v>46</v>
      </c>
    </row>
    <row r="2625" customFormat="false" ht="15.7" hidden="false" customHeight="true" outlineLevel="0" collapsed="false">
      <c r="A2625" s="2"/>
      <c r="B2625" s="3" t="n">
        <f aca="false">DATE(2016,1,19)</f>
        <v>0</v>
      </c>
      <c r="C2625" s="3" t="n">
        <v>42388</v>
      </c>
      <c r="D2625" s="2" t="s">
        <v>20055</v>
      </c>
      <c r="F2625" s="2" t="s">
        <v>20056</v>
      </c>
      <c r="G2625" s="2" t="s">
        <v>20057</v>
      </c>
      <c r="H2625" s="2" t="s">
        <v>20058</v>
      </c>
      <c r="I2625" s="2" t="s">
        <v>51</v>
      </c>
      <c r="J2625" s="2" t="s">
        <v>20059</v>
      </c>
      <c r="K2625" s="2" t="s">
        <v>20060</v>
      </c>
      <c r="L2625" s="2" t="s">
        <v>51</v>
      </c>
      <c r="M2625" s="2" t="s">
        <v>20061</v>
      </c>
      <c r="N2625" s="2" t="s">
        <v>20062</v>
      </c>
      <c r="O2625" s="2"/>
      <c r="P2625" s="2" t="s">
        <v>37</v>
      </c>
      <c r="Q2625" s="4" t="n">
        <v>8731</v>
      </c>
      <c r="R2625" s="2" t="s">
        <v>56</v>
      </c>
      <c r="S2625" s="2" t="s">
        <v>3429</v>
      </c>
      <c r="T2625" s="2" t="s">
        <v>403</v>
      </c>
      <c r="U2625" s="2" t="s">
        <v>20063</v>
      </c>
      <c r="V2625" s="2"/>
      <c r="W2625" s="2" t="s">
        <v>2536</v>
      </c>
      <c r="X2625" s="2" t="s">
        <v>46</v>
      </c>
      <c r="Y2625" s="2" t="s">
        <v>37</v>
      </c>
      <c r="Z2625" s="2" t="s">
        <v>44</v>
      </c>
      <c r="AA2625" s="2"/>
      <c r="AB2625" s="2"/>
      <c r="AC2625" s="2" t="s">
        <v>20064</v>
      </c>
      <c r="AD2625" s="2" t="s">
        <v>46</v>
      </c>
    </row>
    <row r="2626" customFormat="false" ht="15.7" hidden="false" customHeight="true" outlineLevel="0" collapsed="false">
      <c r="A2626" s="2"/>
      <c r="B2626" s="3" t="n">
        <f aca="false">DATE(2016,1,20)</f>
        <v>0</v>
      </c>
      <c r="C2626" s="3" t="n">
        <v>42389</v>
      </c>
      <c r="D2626" s="2" t="s">
        <v>20065</v>
      </c>
      <c r="F2626" s="2" t="s">
        <v>20066</v>
      </c>
      <c r="G2626" s="2" t="s">
        <v>20067</v>
      </c>
      <c r="H2626" s="2" t="s">
        <v>20068</v>
      </c>
      <c r="I2626" s="2" t="s">
        <v>330</v>
      </c>
      <c r="J2626" s="2" t="s">
        <v>132</v>
      </c>
      <c r="K2626" s="2" t="s">
        <v>20065</v>
      </c>
      <c r="L2626" s="2" t="s">
        <v>330</v>
      </c>
      <c r="M2626" s="2" t="s">
        <v>20068</v>
      </c>
      <c r="N2626" s="2" t="s">
        <v>20069</v>
      </c>
      <c r="O2626" s="2"/>
      <c r="P2626" s="2" t="s">
        <v>37</v>
      </c>
      <c r="Q2626" s="4" t="n">
        <v>8099</v>
      </c>
      <c r="R2626" s="2" t="s">
        <v>2201</v>
      </c>
      <c r="S2626" s="2" t="s">
        <v>39</v>
      </c>
      <c r="T2626" s="2" t="s">
        <v>403</v>
      </c>
      <c r="U2626" s="2" t="s">
        <v>20070</v>
      </c>
      <c r="V2626" s="2"/>
      <c r="W2626" s="2" t="s">
        <v>18781</v>
      </c>
      <c r="X2626" s="2" t="s">
        <v>46</v>
      </c>
      <c r="Y2626" s="2" t="s">
        <v>37</v>
      </c>
      <c r="Z2626" s="2" t="s">
        <v>44</v>
      </c>
      <c r="AA2626" s="2"/>
      <c r="AB2626" s="2"/>
      <c r="AC2626" s="2" t="s">
        <v>20071</v>
      </c>
      <c r="AD2626" s="2" t="s">
        <v>46</v>
      </c>
    </row>
    <row r="2627" customFormat="false" ht="15.7" hidden="false" customHeight="true" outlineLevel="0" collapsed="false">
      <c r="A2627" s="2"/>
      <c r="B2627" s="3" t="n">
        <f aca="false">DATE(2016,1,21)</f>
        <v>0</v>
      </c>
      <c r="C2627" s="3" t="n">
        <v>42390</v>
      </c>
      <c r="D2627" s="2" t="s">
        <v>20072</v>
      </c>
      <c r="F2627" s="2" t="s">
        <v>20073</v>
      </c>
      <c r="G2627" s="2" t="s">
        <v>20074</v>
      </c>
      <c r="H2627" s="2" t="s">
        <v>20075</v>
      </c>
      <c r="I2627" s="2" t="s">
        <v>296</v>
      </c>
      <c r="J2627" s="2" t="s">
        <v>1983</v>
      </c>
      <c r="K2627" s="2" t="s">
        <v>20072</v>
      </c>
      <c r="L2627" s="2" t="s">
        <v>296</v>
      </c>
      <c r="M2627" s="2" t="s">
        <v>20075</v>
      </c>
      <c r="N2627" s="2" t="s">
        <v>20076</v>
      </c>
      <c r="O2627" s="2"/>
      <c r="P2627" s="2" t="s">
        <v>37</v>
      </c>
      <c r="Q2627" s="4" t="n">
        <v>8731</v>
      </c>
      <c r="R2627" s="2" t="s">
        <v>56</v>
      </c>
      <c r="S2627" s="2"/>
      <c r="T2627" s="2" t="s">
        <v>403</v>
      </c>
      <c r="U2627" s="2" t="s">
        <v>20077</v>
      </c>
      <c r="V2627" s="2"/>
      <c r="W2627" s="2" t="s">
        <v>20005</v>
      </c>
      <c r="X2627" s="2" t="s">
        <v>43</v>
      </c>
      <c r="Y2627" s="2" t="s">
        <v>37</v>
      </c>
      <c r="Z2627" s="2" t="s">
        <v>44</v>
      </c>
      <c r="AA2627" s="2"/>
      <c r="AB2627" s="2"/>
      <c r="AC2627" s="2" t="s">
        <v>20078</v>
      </c>
      <c r="AD2627" s="2" t="s">
        <v>46</v>
      </c>
    </row>
    <row r="2628" customFormat="false" ht="15.7" hidden="false" customHeight="true" outlineLevel="0" collapsed="false">
      <c r="A2628" s="2"/>
      <c r="B2628" s="3" t="n">
        <f aca="false">DATE(2016,1,21)</f>
        <v>0</v>
      </c>
      <c r="C2628" s="3" t="n">
        <v>42390</v>
      </c>
      <c r="D2628" s="2" t="s">
        <v>20079</v>
      </c>
      <c r="F2628" s="2" t="s">
        <v>20080</v>
      </c>
      <c r="G2628" s="2" t="s">
        <v>20081</v>
      </c>
      <c r="H2628" s="2" t="s">
        <v>6952</v>
      </c>
      <c r="I2628" s="2" t="s">
        <v>51</v>
      </c>
      <c r="J2628" s="2" t="s">
        <v>15667</v>
      </c>
      <c r="K2628" s="2" t="s">
        <v>20079</v>
      </c>
      <c r="L2628" s="2" t="s">
        <v>51</v>
      </c>
      <c r="M2628" s="2" t="s">
        <v>6952</v>
      </c>
      <c r="N2628" s="2" t="s">
        <v>20082</v>
      </c>
      <c r="O2628" s="2"/>
      <c r="P2628" s="2" t="s">
        <v>37</v>
      </c>
      <c r="Q2628" s="4" t="n">
        <v>8099</v>
      </c>
      <c r="R2628" s="2" t="s">
        <v>56</v>
      </c>
      <c r="S2628" s="2" t="s">
        <v>8043</v>
      </c>
      <c r="T2628" s="2" t="s">
        <v>40</v>
      </c>
      <c r="U2628" s="2" t="s">
        <v>20083</v>
      </c>
      <c r="V2628" s="2"/>
      <c r="W2628" s="2" t="s">
        <v>4487</v>
      </c>
      <c r="X2628" s="2" t="s">
        <v>43</v>
      </c>
      <c r="Y2628" s="2" t="s">
        <v>37</v>
      </c>
      <c r="Z2628" s="2" t="s">
        <v>44</v>
      </c>
      <c r="AA2628" s="2"/>
      <c r="AB2628" s="2"/>
      <c r="AC2628" s="2" t="s">
        <v>20084</v>
      </c>
      <c r="AD2628" s="2" t="s">
        <v>46</v>
      </c>
    </row>
    <row r="2629" customFormat="false" ht="15.7" hidden="false" customHeight="true" outlineLevel="0" collapsed="false">
      <c r="A2629" s="2"/>
      <c r="B2629" s="3" t="n">
        <f aca="false">DATE(2016,1,25)</f>
        <v>0</v>
      </c>
      <c r="C2629" s="3" t="n">
        <v>42394</v>
      </c>
      <c r="D2629" s="2" t="s">
        <v>20085</v>
      </c>
      <c r="F2629" s="2" t="s">
        <v>20086</v>
      </c>
      <c r="G2629" s="2" t="s">
        <v>20087</v>
      </c>
      <c r="H2629" s="2" t="s">
        <v>20088</v>
      </c>
      <c r="I2629" s="2" t="s">
        <v>921</v>
      </c>
      <c r="J2629" s="2" t="s">
        <v>35</v>
      </c>
      <c r="K2629" s="2" t="s">
        <v>20085</v>
      </c>
      <c r="L2629" s="2" t="s">
        <v>921</v>
      </c>
      <c r="M2629" s="2" t="s">
        <v>20088</v>
      </c>
      <c r="N2629" s="2" t="s">
        <v>20089</v>
      </c>
      <c r="O2629" s="2"/>
      <c r="P2629" s="2" t="s">
        <v>37</v>
      </c>
      <c r="Q2629" s="4" t="n">
        <v>8731</v>
      </c>
      <c r="R2629" s="2" t="s">
        <v>38</v>
      </c>
      <c r="S2629" s="2" t="s">
        <v>39</v>
      </c>
      <c r="T2629" s="2" t="s">
        <v>40</v>
      </c>
      <c r="U2629" s="2" t="s">
        <v>20090</v>
      </c>
      <c r="V2629" s="2"/>
      <c r="W2629" s="2" t="s">
        <v>42</v>
      </c>
      <c r="X2629" s="2" t="s">
        <v>43</v>
      </c>
      <c r="Y2629" s="2" t="s">
        <v>37</v>
      </c>
      <c r="Z2629" s="2" t="s">
        <v>44</v>
      </c>
      <c r="AA2629" s="2"/>
      <c r="AB2629" s="2"/>
      <c r="AC2629" s="2" t="s">
        <v>20091</v>
      </c>
      <c r="AD2629" s="2" t="s">
        <v>46</v>
      </c>
    </row>
    <row r="2630" customFormat="false" ht="15.7" hidden="false" customHeight="true" outlineLevel="0" collapsed="false">
      <c r="A2630" s="2"/>
      <c r="B2630" s="3" t="n">
        <f aca="false">DATE(2016,1,25)</f>
        <v>0</v>
      </c>
      <c r="C2630" s="3" t="n">
        <v>42394</v>
      </c>
      <c r="D2630" s="2" t="s">
        <v>20092</v>
      </c>
      <c r="F2630" s="2" t="s">
        <v>20093</v>
      </c>
      <c r="G2630" s="2" t="s">
        <v>20094</v>
      </c>
      <c r="H2630" s="2" t="s">
        <v>20095</v>
      </c>
      <c r="I2630" s="2" t="s">
        <v>20096</v>
      </c>
      <c r="J2630" s="2" t="s">
        <v>4399</v>
      </c>
      <c r="K2630" s="2" t="s">
        <v>20092</v>
      </c>
      <c r="L2630" s="2" t="s">
        <v>20096</v>
      </c>
      <c r="M2630" s="2" t="s">
        <v>20095</v>
      </c>
      <c r="N2630" s="2" t="s">
        <v>20097</v>
      </c>
      <c r="O2630" s="2"/>
      <c r="P2630" s="2" t="s">
        <v>37</v>
      </c>
      <c r="Q2630" s="4" t="n">
        <v>8731</v>
      </c>
      <c r="R2630" s="2" t="s">
        <v>136</v>
      </c>
      <c r="S2630" s="2" t="s">
        <v>39</v>
      </c>
      <c r="T2630" s="2" t="s">
        <v>403</v>
      </c>
      <c r="U2630" s="2" t="s">
        <v>20098</v>
      </c>
      <c r="V2630" s="2"/>
      <c r="W2630" s="2" t="s">
        <v>42</v>
      </c>
      <c r="X2630" s="2" t="s">
        <v>46</v>
      </c>
      <c r="Y2630" s="2" t="s">
        <v>37</v>
      </c>
      <c r="Z2630" s="2" t="s">
        <v>44</v>
      </c>
      <c r="AA2630" s="2"/>
      <c r="AB2630" s="2"/>
      <c r="AC2630" s="2" t="s">
        <v>20099</v>
      </c>
      <c r="AD2630" s="2" t="s">
        <v>46</v>
      </c>
    </row>
    <row r="2631" customFormat="false" ht="15.7" hidden="false" customHeight="true" outlineLevel="0" collapsed="false">
      <c r="A2631" s="2"/>
      <c r="B2631" s="3" t="n">
        <f aca="false">DATE(2016,1,25)</f>
        <v>0</v>
      </c>
      <c r="C2631" s="3" t="n">
        <v>42394</v>
      </c>
      <c r="D2631" s="2" t="s">
        <v>20100</v>
      </c>
      <c r="F2631" s="2" t="s">
        <v>20101</v>
      </c>
      <c r="G2631" s="2" t="s">
        <v>20102</v>
      </c>
      <c r="H2631" s="2" t="s">
        <v>20103</v>
      </c>
      <c r="I2631" s="2" t="s">
        <v>459</v>
      </c>
      <c r="J2631" s="2" t="s">
        <v>35</v>
      </c>
      <c r="K2631" s="2" t="s">
        <v>20104</v>
      </c>
      <c r="L2631" s="2" t="s">
        <v>459</v>
      </c>
      <c r="M2631" s="2" t="s">
        <v>20105</v>
      </c>
      <c r="N2631" s="2" t="s">
        <v>20106</v>
      </c>
      <c r="O2631" s="2"/>
      <c r="P2631" s="2" t="s">
        <v>37</v>
      </c>
      <c r="Q2631" s="4" t="n">
        <v>8731</v>
      </c>
      <c r="R2631" s="2" t="s">
        <v>461</v>
      </c>
      <c r="S2631" s="2" t="s">
        <v>39</v>
      </c>
      <c r="T2631" s="2" t="s">
        <v>403</v>
      </c>
      <c r="U2631" s="2" t="s">
        <v>20107</v>
      </c>
      <c r="V2631" s="2"/>
      <c r="W2631" s="2" t="s">
        <v>42</v>
      </c>
      <c r="X2631" s="2" t="s">
        <v>46</v>
      </c>
      <c r="Y2631" s="2" t="s">
        <v>37</v>
      </c>
      <c r="Z2631" s="2" t="s">
        <v>44</v>
      </c>
      <c r="AA2631" s="2"/>
      <c r="AB2631" s="2"/>
      <c r="AC2631" s="2" t="s">
        <v>20108</v>
      </c>
      <c r="AD2631" s="2" t="s">
        <v>46</v>
      </c>
    </row>
    <row r="2632" customFormat="false" ht="15.7" hidden="false" customHeight="true" outlineLevel="0" collapsed="false">
      <c r="A2632" s="2"/>
      <c r="B2632" s="3" t="n">
        <f aca="false">DATE(2016,1,26)</f>
        <v>0</v>
      </c>
      <c r="C2632" s="3" t="n">
        <v>42395</v>
      </c>
      <c r="D2632" s="2" t="s">
        <v>20109</v>
      </c>
      <c r="F2632" s="2" t="s">
        <v>20110</v>
      </c>
      <c r="G2632" s="2" t="s">
        <v>20111</v>
      </c>
      <c r="H2632" s="2" t="s">
        <v>6913</v>
      </c>
      <c r="I2632" s="2" t="s">
        <v>540</v>
      </c>
      <c r="J2632" s="2" t="s">
        <v>35</v>
      </c>
      <c r="K2632" s="2" t="s">
        <v>20109</v>
      </c>
      <c r="L2632" s="2" t="s">
        <v>540</v>
      </c>
      <c r="M2632" s="2" t="s">
        <v>6913</v>
      </c>
      <c r="N2632" s="2" t="s">
        <v>20112</v>
      </c>
      <c r="O2632" s="2" t="s">
        <v>20113</v>
      </c>
      <c r="P2632" s="2" t="s">
        <v>37</v>
      </c>
      <c r="Q2632" s="4" t="n">
        <v>8099</v>
      </c>
      <c r="R2632" s="2" t="s">
        <v>1448</v>
      </c>
      <c r="S2632" s="2" t="s">
        <v>39</v>
      </c>
      <c r="T2632" s="2" t="s">
        <v>40</v>
      </c>
      <c r="U2632" s="2" t="s">
        <v>20114</v>
      </c>
      <c r="V2632" s="2"/>
      <c r="W2632" s="2" t="s">
        <v>18812</v>
      </c>
      <c r="X2632" s="2" t="s">
        <v>46</v>
      </c>
      <c r="Y2632" s="2" t="s">
        <v>37</v>
      </c>
      <c r="Z2632" s="2" t="s">
        <v>362</v>
      </c>
      <c r="AA2632" s="2"/>
      <c r="AB2632" s="2" t="s">
        <v>20115</v>
      </c>
      <c r="AC2632" s="2" t="s">
        <v>20116</v>
      </c>
      <c r="AD2632" s="2" t="s">
        <v>46</v>
      </c>
    </row>
    <row r="2633" customFormat="false" ht="15.7" hidden="false" customHeight="true" outlineLevel="0" collapsed="false">
      <c r="A2633" s="2"/>
      <c r="B2633" s="3" t="n">
        <f aca="false">DATE(2016,1,27)</f>
        <v>0</v>
      </c>
      <c r="C2633" s="3" t="n">
        <v>42396</v>
      </c>
      <c r="D2633" s="2" t="s">
        <v>20117</v>
      </c>
      <c r="F2633" s="2" t="s">
        <v>20118</v>
      </c>
      <c r="G2633" s="2" t="s">
        <v>20119</v>
      </c>
      <c r="H2633" s="2" t="s">
        <v>4779</v>
      </c>
      <c r="I2633" s="2" t="s">
        <v>540</v>
      </c>
      <c r="J2633" s="2" t="s">
        <v>35</v>
      </c>
      <c r="K2633" s="2" t="s">
        <v>20120</v>
      </c>
      <c r="L2633" s="2" t="s">
        <v>487</v>
      </c>
      <c r="M2633" s="2" t="s">
        <v>4779</v>
      </c>
      <c r="N2633" s="2" t="s">
        <v>20121</v>
      </c>
      <c r="O2633" s="2"/>
      <c r="P2633" s="2" t="s">
        <v>37</v>
      </c>
      <c r="Q2633" s="4" t="n">
        <v>1382</v>
      </c>
      <c r="R2633" s="2" t="s">
        <v>1448</v>
      </c>
      <c r="S2633" s="2" t="s">
        <v>39</v>
      </c>
      <c r="T2633" s="2" t="s">
        <v>20122</v>
      </c>
      <c r="U2633" s="2" t="s">
        <v>20123</v>
      </c>
      <c r="V2633" s="2"/>
      <c r="W2633" s="2" t="s">
        <v>3182</v>
      </c>
      <c r="X2633" s="2" t="s">
        <v>46</v>
      </c>
      <c r="Y2633" s="2" t="s">
        <v>37</v>
      </c>
      <c r="Z2633" s="2" t="s">
        <v>5823</v>
      </c>
      <c r="AA2633" s="2" t="s">
        <v>20124</v>
      </c>
      <c r="AB2633" s="2"/>
      <c r="AC2633" s="2" t="s">
        <v>20125</v>
      </c>
      <c r="AD2633" s="2" t="s">
        <v>46</v>
      </c>
    </row>
    <row r="2634" customFormat="false" ht="15.7" hidden="false" customHeight="true" outlineLevel="0" collapsed="false">
      <c r="A2634" s="2"/>
      <c r="B2634" s="3" t="n">
        <f aca="false">DATE(2016,1,29)</f>
        <v>0</v>
      </c>
      <c r="C2634" s="3" t="n">
        <v>42398</v>
      </c>
      <c r="D2634" s="2" t="s">
        <v>20126</v>
      </c>
      <c r="F2634" s="2" t="s">
        <v>20127</v>
      </c>
      <c r="G2634" s="2" t="s">
        <v>20128</v>
      </c>
      <c r="H2634" s="2" t="s">
        <v>130</v>
      </c>
      <c r="I2634" s="2" t="s">
        <v>20129</v>
      </c>
      <c r="J2634" s="2" t="s">
        <v>35</v>
      </c>
      <c r="K2634" s="2" t="s">
        <v>20130</v>
      </c>
      <c r="L2634" s="2" t="s">
        <v>13937</v>
      </c>
      <c r="M2634" s="2" t="s">
        <v>130</v>
      </c>
      <c r="N2634" s="2" t="s">
        <v>20131</v>
      </c>
      <c r="O2634" s="2"/>
      <c r="P2634" s="2" t="s">
        <v>37</v>
      </c>
      <c r="Q2634" s="4" t="n">
        <v>8731</v>
      </c>
      <c r="R2634" s="2" t="s">
        <v>2225</v>
      </c>
      <c r="S2634" s="2" t="s">
        <v>39</v>
      </c>
      <c r="T2634" s="2" t="s">
        <v>403</v>
      </c>
      <c r="U2634" s="2" t="s">
        <v>20132</v>
      </c>
      <c r="V2634" s="2"/>
      <c r="W2634" s="2" t="s">
        <v>42</v>
      </c>
      <c r="X2634" s="2" t="s">
        <v>46</v>
      </c>
      <c r="Y2634" s="2" t="s">
        <v>37</v>
      </c>
      <c r="Z2634" s="2" t="s">
        <v>362</v>
      </c>
      <c r="AA2634" s="2"/>
      <c r="AB2634" s="2"/>
      <c r="AC2634" s="2" t="s">
        <v>20133</v>
      </c>
      <c r="AD2634" s="2" t="s">
        <v>46</v>
      </c>
    </row>
    <row r="2635" customFormat="false" ht="15.7" hidden="false" customHeight="true" outlineLevel="0" collapsed="false">
      <c r="A2635" s="2"/>
      <c r="B2635" s="3" t="n">
        <f aca="false">DATE(2016,1,29)</f>
        <v>0</v>
      </c>
      <c r="C2635" s="3" t="n">
        <v>42398</v>
      </c>
      <c r="D2635" s="2" t="s">
        <v>20134</v>
      </c>
      <c r="F2635" s="2" t="s">
        <v>20135</v>
      </c>
      <c r="G2635" s="2" t="s">
        <v>20136</v>
      </c>
      <c r="H2635" s="2" t="s">
        <v>130</v>
      </c>
      <c r="I2635" s="2" t="s">
        <v>388</v>
      </c>
      <c r="J2635" s="2" t="s">
        <v>514</v>
      </c>
      <c r="K2635" s="2" t="s">
        <v>20134</v>
      </c>
      <c r="L2635" s="2" t="s">
        <v>388</v>
      </c>
      <c r="M2635" s="2" t="s">
        <v>130</v>
      </c>
      <c r="N2635" s="2" t="s">
        <v>20137</v>
      </c>
      <c r="O2635" s="2"/>
      <c r="P2635" s="2" t="s">
        <v>37</v>
      </c>
      <c r="Q2635" s="4" t="n">
        <v>8062</v>
      </c>
      <c r="R2635" s="2" t="s">
        <v>136</v>
      </c>
      <c r="S2635" s="2" t="s">
        <v>39</v>
      </c>
      <c r="T2635" s="2" t="s">
        <v>403</v>
      </c>
      <c r="U2635" s="2" t="s">
        <v>20138</v>
      </c>
      <c r="V2635" s="2"/>
      <c r="W2635" s="2" t="s">
        <v>15969</v>
      </c>
      <c r="X2635" s="2" t="s">
        <v>46</v>
      </c>
      <c r="Y2635" s="2" t="s">
        <v>37</v>
      </c>
      <c r="Z2635" s="2" t="s">
        <v>44</v>
      </c>
      <c r="AA2635" s="2"/>
      <c r="AB2635" s="2"/>
      <c r="AC2635" s="2" t="s">
        <v>20139</v>
      </c>
      <c r="AD2635" s="2" t="s">
        <v>46</v>
      </c>
    </row>
    <row r="2636" customFormat="false" ht="15.7" hidden="false" customHeight="true" outlineLevel="0" collapsed="false">
      <c r="A2636" s="2"/>
      <c r="B2636" s="3" t="n">
        <f aca="false">DATE(2016,2,1)</f>
        <v>0</v>
      </c>
      <c r="C2636" s="3" t="n">
        <v>42401</v>
      </c>
      <c r="D2636" s="2" t="s">
        <v>20140</v>
      </c>
      <c r="F2636" s="2" t="s">
        <v>20141</v>
      </c>
      <c r="G2636" s="2" t="s">
        <v>20142</v>
      </c>
      <c r="H2636" s="2" t="s">
        <v>20143</v>
      </c>
      <c r="I2636" s="2" t="s">
        <v>51</v>
      </c>
      <c r="J2636" s="2" t="s">
        <v>1609</v>
      </c>
      <c r="K2636" s="2" t="s">
        <v>20140</v>
      </c>
      <c r="L2636" s="2" t="s">
        <v>51</v>
      </c>
      <c r="M2636" s="2" t="s">
        <v>20143</v>
      </c>
      <c r="N2636" s="2" t="s">
        <v>20144</v>
      </c>
      <c r="O2636" s="2"/>
      <c r="P2636" s="2" t="s">
        <v>37</v>
      </c>
      <c r="Q2636" s="4" t="n">
        <v>8731</v>
      </c>
      <c r="R2636" s="2" t="s">
        <v>56</v>
      </c>
      <c r="S2636" s="2" t="s">
        <v>4060</v>
      </c>
      <c r="T2636" s="2" t="s">
        <v>403</v>
      </c>
      <c r="U2636" s="2" t="s">
        <v>20145</v>
      </c>
      <c r="V2636" s="2"/>
      <c r="W2636" s="2" t="s">
        <v>344</v>
      </c>
      <c r="X2636" s="2" t="s">
        <v>43</v>
      </c>
      <c r="Y2636" s="2" t="s">
        <v>37</v>
      </c>
      <c r="Z2636" s="2" t="s">
        <v>44</v>
      </c>
      <c r="AA2636" s="2"/>
      <c r="AB2636" s="2"/>
      <c r="AC2636" s="2" t="s">
        <v>20146</v>
      </c>
      <c r="AD2636" s="2" t="s">
        <v>46</v>
      </c>
    </row>
    <row r="2637" customFormat="false" ht="15.7" hidden="false" customHeight="true" outlineLevel="0" collapsed="false">
      <c r="A2637" s="2"/>
      <c r="B2637" s="3" t="n">
        <f aca="false">DATE(2016,2,2)</f>
        <v>0</v>
      </c>
      <c r="C2637" s="3" t="n">
        <v>42402</v>
      </c>
      <c r="D2637" s="2" t="s">
        <v>20147</v>
      </c>
      <c r="F2637" s="2" t="s">
        <v>20148</v>
      </c>
      <c r="G2637" s="2" t="s">
        <v>20149</v>
      </c>
      <c r="H2637" s="2" t="s">
        <v>20150</v>
      </c>
      <c r="I2637" s="2" t="s">
        <v>219</v>
      </c>
      <c r="J2637" s="2" t="s">
        <v>1807</v>
      </c>
      <c r="K2637" s="2" t="s">
        <v>20147</v>
      </c>
      <c r="L2637" s="2" t="s">
        <v>219</v>
      </c>
      <c r="M2637" s="2" t="s">
        <v>20150</v>
      </c>
      <c r="N2637" s="2" t="s">
        <v>20151</v>
      </c>
      <c r="O2637" s="2"/>
      <c r="P2637" s="2" t="s">
        <v>37</v>
      </c>
      <c r="Q2637" s="4" t="n">
        <v>3999</v>
      </c>
      <c r="R2637" s="2" t="s">
        <v>402</v>
      </c>
      <c r="S2637" s="2" t="s">
        <v>39</v>
      </c>
      <c r="T2637" s="2" t="s">
        <v>40</v>
      </c>
      <c r="U2637" s="2" t="s">
        <v>20152</v>
      </c>
      <c r="V2637" s="2"/>
      <c r="W2637" s="2" t="s">
        <v>107</v>
      </c>
      <c r="X2637" s="2" t="s">
        <v>46</v>
      </c>
      <c r="Y2637" s="2" t="s">
        <v>37</v>
      </c>
      <c r="Z2637" s="2" t="s">
        <v>987</v>
      </c>
      <c r="AA2637" s="2"/>
      <c r="AB2637" s="2"/>
      <c r="AC2637" s="2" t="s">
        <v>20153</v>
      </c>
      <c r="AD2637" s="2" t="s">
        <v>46</v>
      </c>
    </row>
    <row r="2638" customFormat="false" ht="15.7" hidden="false" customHeight="true" outlineLevel="0" collapsed="false">
      <c r="A2638" s="2"/>
      <c r="B2638" s="3" t="n">
        <f aca="false">DATE(2016,2,3)</f>
        <v>0</v>
      </c>
      <c r="C2638" s="3" t="n">
        <v>42403</v>
      </c>
      <c r="D2638" s="2" t="s">
        <v>20154</v>
      </c>
      <c r="F2638" s="2" t="s">
        <v>20155</v>
      </c>
      <c r="G2638" s="2" t="s">
        <v>20156</v>
      </c>
      <c r="H2638" s="2" t="s">
        <v>20157</v>
      </c>
      <c r="I2638" s="2" t="s">
        <v>4458</v>
      </c>
      <c r="J2638" s="2" t="s">
        <v>35</v>
      </c>
      <c r="K2638" s="2" t="s">
        <v>20158</v>
      </c>
      <c r="L2638" s="2" t="s">
        <v>4325</v>
      </c>
      <c r="M2638" s="2" t="s">
        <v>20159</v>
      </c>
      <c r="N2638" s="2" t="s">
        <v>20160</v>
      </c>
      <c r="O2638" s="2"/>
      <c r="P2638" s="2" t="s">
        <v>37</v>
      </c>
      <c r="Q2638" s="4" t="n">
        <v>1731</v>
      </c>
      <c r="R2638" s="2" t="s">
        <v>402</v>
      </c>
      <c r="S2638" s="2" t="s">
        <v>39</v>
      </c>
      <c r="T2638" s="2" t="s">
        <v>40</v>
      </c>
      <c r="U2638" s="2" t="s">
        <v>20161</v>
      </c>
      <c r="V2638" s="2"/>
      <c r="W2638" s="2" t="s">
        <v>20162</v>
      </c>
      <c r="X2638" s="2" t="s">
        <v>46</v>
      </c>
      <c r="Y2638" s="2" t="s">
        <v>37</v>
      </c>
      <c r="Z2638" s="2" t="s">
        <v>987</v>
      </c>
      <c r="AA2638" s="2"/>
      <c r="AB2638" s="2"/>
      <c r="AC2638" s="2" t="s">
        <v>20163</v>
      </c>
      <c r="AD2638" s="2" t="s">
        <v>46</v>
      </c>
    </row>
    <row r="2639" customFormat="false" ht="15.7" hidden="false" customHeight="true" outlineLevel="0" collapsed="false">
      <c r="A2639" s="2"/>
      <c r="B2639" s="3" t="n">
        <f aca="false">DATE(2016,2,5)</f>
        <v>0</v>
      </c>
      <c r="C2639" s="3" t="n">
        <v>42405</v>
      </c>
      <c r="D2639" s="2" t="s">
        <v>20164</v>
      </c>
      <c r="F2639" s="2" t="s">
        <v>20165</v>
      </c>
      <c r="G2639" s="2" t="s">
        <v>20166</v>
      </c>
      <c r="H2639" s="2" t="s">
        <v>20167</v>
      </c>
      <c r="I2639" s="2" t="s">
        <v>219</v>
      </c>
      <c r="J2639" s="2" t="s">
        <v>3054</v>
      </c>
      <c r="K2639" s="2" t="s">
        <v>20164</v>
      </c>
      <c r="L2639" s="2" t="s">
        <v>219</v>
      </c>
      <c r="M2639" s="2" t="s">
        <v>20167</v>
      </c>
      <c r="N2639" s="2" t="s">
        <v>20168</v>
      </c>
      <c r="O2639" s="2"/>
      <c r="P2639" s="2" t="s">
        <v>37</v>
      </c>
      <c r="Q2639" s="4" t="n">
        <v>8731</v>
      </c>
      <c r="R2639" s="2" t="s">
        <v>38</v>
      </c>
      <c r="S2639" s="2" t="s">
        <v>39</v>
      </c>
      <c r="T2639" s="2" t="s">
        <v>40</v>
      </c>
      <c r="U2639" s="2" t="s">
        <v>20169</v>
      </c>
      <c r="V2639" s="2"/>
      <c r="W2639" s="2" t="s">
        <v>42</v>
      </c>
      <c r="X2639" s="2" t="s">
        <v>46</v>
      </c>
      <c r="Y2639" s="2" t="s">
        <v>37</v>
      </c>
      <c r="Z2639" s="2" t="s">
        <v>362</v>
      </c>
      <c r="AA2639" s="2"/>
      <c r="AB2639" s="2"/>
      <c r="AC2639" s="2" t="s">
        <v>20170</v>
      </c>
      <c r="AD2639" s="2" t="s">
        <v>46</v>
      </c>
    </row>
    <row r="2640" customFormat="false" ht="15.7" hidden="false" customHeight="true" outlineLevel="0" collapsed="false">
      <c r="A2640" s="2"/>
      <c r="B2640" s="3" t="n">
        <f aca="false">DATE(2016,2,8)</f>
        <v>0</v>
      </c>
      <c r="C2640" s="3" t="n">
        <v>42408</v>
      </c>
      <c r="D2640" s="2" t="s">
        <v>20171</v>
      </c>
      <c r="F2640" s="2" t="s">
        <v>347</v>
      </c>
      <c r="G2640" s="2" t="s">
        <v>20172</v>
      </c>
      <c r="H2640" s="2" t="s">
        <v>63</v>
      </c>
      <c r="I2640" s="2" t="s">
        <v>5173</v>
      </c>
      <c r="J2640" s="2" t="s">
        <v>35</v>
      </c>
      <c r="K2640" s="2" t="s">
        <v>20171</v>
      </c>
      <c r="L2640" s="2" t="s">
        <v>5173</v>
      </c>
      <c r="M2640" s="2" t="s">
        <v>63</v>
      </c>
      <c r="N2640" s="2" t="s">
        <v>20173</v>
      </c>
      <c r="O2640" s="2"/>
      <c r="P2640" s="2" t="s">
        <v>37</v>
      </c>
      <c r="Q2640" s="4" t="n">
        <v>8731</v>
      </c>
      <c r="R2640" s="2" t="s">
        <v>136</v>
      </c>
      <c r="S2640" s="2" t="s">
        <v>39</v>
      </c>
      <c r="T2640" s="2" t="s">
        <v>122</v>
      </c>
      <c r="U2640" s="2" t="s">
        <v>20174</v>
      </c>
      <c r="V2640" s="2"/>
      <c r="W2640" s="2" t="s">
        <v>42</v>
      </c>
      <c r="X2640" s="2" t="s">
        <v>43</v>
      </c>
      <c r="Y2640" s="2" t="s">
        <v>37</v>
      </c>
      <c r="Z2640" s="2" t="s">
        <v>44</v>
      </c>
      <c r="AA2640" s="2"/>
      <c r="AB2640" s="2"/>
      <c r="AC2640" s="2" t="s">
        <v>20175</v>
      </c>
      <c r="AD2640" s="2" t="s">
        <v>46</v>
      </c>
    </row>
    <row r="2641" customFormat="false" ht="15.7" hidden="false" customHeight="true" outlineLevel="0" collapsed="false">
      <c r="A2641" s="2"/>
      <c r="B2641" s="3" t="n">
        <f aca="false">DATE(2016,2,9)</f>
        <v>0</v>
      </c>
      <c r="C2641" s="3" t="n">
        <v>42409</v>
      </c>
      <c r="D2641" s="2" t="s">
        <v>20176</v>
      </c>
      <c r="F2641" s="2" t="s">
        <v>20177</v>
      </c>
      <c r="G2641" s="2" t="s">
        <v>20178</v>
      </c>
      <c r="H2641" s="2" t="s">
        <v>20179</v>
      </c>
      <c r="I2641" s="2" t="s">
        <v>51</v>
      </c>
      <c r="J2641" s="2" t="s">
        <v>20180</v>
      </c>
      <c r="K2641" s="2" t="s">
        <v>20176</v>
      </c>
      <c r="L2641" s="2" t="s">
        <v>51</v>
      </c>
      <c r="M2641" s="2" t="s">
        <v>20181</v>
      </c>
      <c r="N2641" s="2" t="s">
        <v>20182</v>
      </c>
      <c r="O2641" s="2"/>
      <c r="P2641" s="2" t="s">
        <v>37</v>
      </c>
      <c r="Q2641" s="4" t="n">
        <v>8731</v>
      </c>
      <c r="R2641" s="2" t="s">
        <v>136</v>
      </c>
      <c r="S2641" s="2" t="s">
        <v>39</v>
      </c>
      <c r="T2641" s="2" t="s">
        <v>403</v>
      </c>
      <c r="U2641" s="2" t="s">
        <v>20183</v>
      </c>
      <c r="V2641" s="2"/>
      <c r="W2641" s="2" t="s">
        <v>10985</v>
      </c>
      <c r="X2641" s="2" t="s">
        <v>43</v>
      </c>
      <c r="Y2641" s="2" t="s">
        <v>37</v>
      </c>
      <c r="Z2641" s="2" t="s">
        <v>44</v>
      </c>
      <c r="AA2641" s="2"/>
      <c r="AB2641" s="2"/>
      <c r="AC2641" s="2" t="s">
        <v>20184</v>
      </c>
      <c r="AD2641" s="2" t="s">
        <v>46</v>
      </c>
    </row>
    <row r="2642" customFormat="false" ht="15.7" hidden="false" customHeight="true" outlineLevel="0" collapsed="false">
      <c r="A2642" s="2"/>
      <c r="B2642" s="3" t="n">
        <f aca="false">DATE(2016,2,11)</f>
        <v>0</v>
      </c>
      <c r="C2642" s="3" t="n">
        <v>42411</v>
      </c>
      <c r="D2642" s="2" t="s">
        <v>20185</v>
      </c>
      <c r="F2642" s="2" t="s">
        <v>20186</v>
      </c>
      <c r="G2642" s="2" t="s">
        <v>20187</v>
      </c>
      <c r="H2642" s="2" t="s">
        <v>20188</v>
      </c>
      <c r="I2642" s="2" t="s">
        <v>2294</v>
      </c>
      <c r="J2642" s="2" t="s">
        <v>35</v>
      </c>
      <c r="K2642" s="2" t="s">
        <v>2294</v>
      </c>
      <c r="L2642" s="2" t="s">
        <v>2294</v>
      </c>
      <c r="M2642" s="2" t="s">
        <v>11071</v>
      </c>
      <c r="N2642" s="2" t="s">
        <v>20189</v>
      </c>
      <c r="O2642" s="2"/>
      <c r="P2642" s="2" t="s">
        <v>37</v>
      </c>
      <c r="Q2642" s="4" t="n">
        <v>8731</v>
      </c>
      <c r="R2642" s="2" t="s">
        <v>450</v>
      </c>
      <c r="S2642" s="2" t="s">
        <v>39</v>
      </c>
      <c r="T2642" s="2" t="s">
        <v>403</v>
      </c>
      <c r="U2642" s="2" t="s">
        <v>20190</v>
      </c>
      <c r="V2642" s="2"/>
      <c r="W2642" s="2" t="s">
        <v>5464</v>
      </c>
      <c r="X2642" s="2" t="s">
        <v>46</v>
      </c>
      <c r="Y2642" s="2" t="s">
        <v>37</v>
      </c>
      <c r="Z2642" s="2" t="s">
        <v>44</v>
      </c>
      <c r="AA2642" s="2"/>
      <c r="AB2642" s="2"/>
      <c r="AC2642" s="2" t="s">
        <v>20191</v>
      </c>
      <c r="AD2642" s="2" t="s">
        <v>46</v>
      </c>
    </row>
    <row r="2643" customFormat="false" ht="15.7" hidden="false" customHeight="true" outlineLevel="0" collapsed="false">
      <c r="A2643" s="2"/>
      <c r="B2643" s="3" t="n">
        <f aca="false">DATE(2016,2,17)</f>
        <v>0</v>
      </c>
      <c r="C2643" s="3" t="n">
        <v>42417</v>
      </c>
      <c r="D2643" s="2" t="s">
        <v>20192</v>
      </c>
      <c r="F2643" s="2" t="s">
        <v>20193</v>
      </c>
      <c r="G2643" s="2" t="s">
        <v>20194</v>
      </c>
      <c r="H2643" s="2" t="s">
        <v>20195</v>
      </c>
      <c r="I2643" s="2" t="s">
        <v>20196</v>
      </c>
      <c r="J2643" s="2" t="s">
        <v>35</v>
      </c>
      <c r="K2643" s="2" t="s">
        <v>20192</v>
      </c>
      <c r="L2643" s="2" t="s">
        <v>20196</v>
      </c>
      <c r="M2643" s="2" t="s">
        <v>20195</v>
      </c>
      <c r="N2643" s="2" t="s">
        <v>20197</v>
      </c>
      <c r="O2643" s="2"/>
      <c r="P2643" s="2" t="s">
        <v>37</v>
      </c>
      <c r="Q2643" s="4" t="n">
        <v>8731</v>
      </c>
      <c r="R2643" s="2" t="s">
        <v>38</v>
      </c>
      <c r="S2643" s="2" t="s">
        <v>39</v>
      </c>
      <c r="T2643" s="2" t="s">
        <v>403</v>
      </c>
      <c r="U2643" s="2" t="s">
        <v>20198</v>
      </c>
      <c r="V2643" s="2"/>
      <c r="W2643" s="2" t="s">
        <v>13622</v>
      </c>
      <c r="X2643" s="2" t="s">
        <v>46</v>
      </c>
      <c r="Y2643" s="2" t="s">
        <v>37</v>
      </c>
      <c r="Z2643" s="2" t="s">
        <v>362</v>
      </c>
      <c r="AA2643" s="2" t="s">
        <v>20199</v>
      </c>
      <c r="AB2643" s="2"/>
      <c r="AC2643" s="2" t="s">
        <v>20200</v>
      </c>
      <c r="AD2643" s="2" t="s">
        <v>46</v>
      </c>
    </row>
    <row r="2644" customFormat="false" ht="15.7" hidden="false" customHeight="true" outlineLevel="0" collapsed="false">
      <c r="A2644" s="2"/>
      <c r="B2644" s="3" t="n">
        <f aca="false">DATE(2016,2,22)</f>
        <v>0</v>
      </c>
      <c r="C2644" s="3" t="n">
        <v>42422</v>
      </c>
      <c r="D2644" s="2" t="s">
        <v>20201</v>
      </c>
      <c r="F2644" s="2" t="s">
        <v>20202</v>
      </c>
      <c r="G2644" s="2" t="s">
        <v>20203</v>
      </c>
      <c r="H2644" s="2" t="s">
        <v>20204</v>
      </c>
      <c r="I2644" s="2" t="s">
        <v>1973</v>
      </c>
      <c r="J2644" s="2" t="s">
        <v>35</v>
      </c>
      <c r="K2644" s="2" t="s">
        <v>20205</v>
      </c>
      <c r="L2644" s="2" t="s">
        <v>20206</v>
      </c>
      <c r="M2644" s="2" t="s">
        <v>19928</v>
      </c>
      <c r="N2644" s="2" t="s">
        <v>20207</v>
      </c>
      <c r="O2644" s="2"/>
      <c r="P2644" s="2" t="s">
        <v>37</v>
      </c>
      <c r="Q2644" s="4" t="n">
        <v>8731</v>
      </c>
      <c r="R2644" s="2" t="s">
        <v>402</v>
      </c>
      <c r="S2644" s="2" t="s">
        <v>39</v>
      </c>
      <c r="T2644" s="2" t="s">
        <v>40</v>
      </c>
      <c r="U2644" s="2" t="s">
        <v>20208</v>
      </c>
      <c r="V2644" s="2"/>
      <c r="W2644" s="2" t="s">
        <v>42</v>
      </c>
      <c r="X2644" s="2" t="s">
        <v>46</v>
      </c>
      <c r="Y2644" s="2" t="s">
        <v>37</v>
      </c>
      <c r="Z2644" s="2" t="s">
        <v>18992</v>
      </c>
      <c r="AA2644" s="2"/>
      <c r="AB2644" s="2"/>
      <c r="AC2644" s="2" t="s">
        <v>20209</v>
      </c>
      <c r="AD2644" s="2" t="s">
        <v>46</v>
      </c>
    </row>
    <row r="2645" customFormat="false" ht="15.7" hidden="false" customHeight="true" outlineLevel="0" collapsed="false">
      <c r="A2645" s="2"/>
      <c r="B2645" s="3" t="n">
        <f aca="false">DATE(2016,2,22)</f>
        <v>0</v>
      </c>
      <c r="C2645" s="3" t="n">
        <v>42422</v>
      </c>
      <c r="D2645" s="2" t="s">
        <v>20210</v>
      </c>
      <c r="F2645" s="2" t="s">
        <v>20211</v>
      </c>
      <c r="G2645" s="2" t="s">
        <v>20212</v>
      </c>
      <c r="H2645" s="2" t="s">
        <v>20213</v>
      </c>
      <c r="I2645" s="2" t="s">
        <v>19929</v>
      </c>
      <c r="J2645" s="2" t="s">
        <v>35</v>
      </c>
      <c r="K2645" s="2" t="s">
        <v>20214</v>
      </c>
      <c r="L2645" s="2" t="s">
        <v>19929</v>
      </c>
      <c r="M2645" s="2" t="s">
        <v>20215</v>
      </c>
      <c r="N2645" s="2" t="s">
        <v>20216</v>
      </c>
      <c r="O2645" s="2"/>
      <c r="P2645" s="2" t="s">
        <v>37</v>
      </c>
      <c r="Q2645" s="4" t="n">
        <v>8731</v>
      </c>
      <c r="R2645" s="2" t="s">
        <v>461</v>
      </c>
      <c r="S2645" s="2" t="s">
        <v>39</v>
      </c>
      <c r="T2645" s="2" t="s">
        <v>403</v>
      </c>
      <c r="U2645" s="2" t="s">
        <v>20217</v>
      </c>
      <c r="V2645" s="2"/>
      <c r="W2645" s="2" t="s">
        <v>42</v>
      </c>
      <c r="X2645" s="2" t="s">
        <v>46</v>
      </c>
      <c r="Y2645" s="2" t="s">
        <v>37</v>
      </c>
      <c r="Z2645" s="2" t="s">
        <v>2732</v>
      </c>
      <c r="AA2645" s="2" t="s">
        <v>20218</v>
      </c>
      <c r="AB2645" s="2"/>
      <c r="AC2645" s="2" t="s">
        <v>20219</v>
      </c>
      <c r="AD2645" s="2" t="s">
        <v>46</v>
      </c>
    </row>
    <row r="2646" customFormat="false" ht="15.7" hidden="false" customHeight="true" outlineLevel="0" collapsed="false">
      <c r="A2646" s="2"/>
      <c r="B2646" s="3" t="n">
        <f aca="false">DATE(2016,2,23)</f>
        <v>0</v>
      </c>
      <c r="C2646" s="3" t="n">
        <v>42423</v>
      </c>
      <c r="D2646" s="2" t="s">
        <v>20220</v>
      </c>
      <c r="F2646" s="2" t="s">
        <v>20221</v>
      </c>
      <c r="G2646" s="2" t="s">
        <v>20222</v>
      </c>
      <c r="H2646" s="2" t="s">
        <v>20223</v>
      </c>
      <c r="I2646" s="2" t="s">
        <v>20224</v>
      </c>
      <c r="J2646" s="2" t="s">
        <v>116</v>
      </c>
      <c r="K2646" s="2" t="s">
        <v>20225</v>
      </c>
      <c r="L2646" s="2" t="s">
        <v>20226</v>
      </c>
      <c r="M2646" s="2" t="s">
        <v>20227</v>
      </c>
      <c r="N2646" s="2" t="s">
        <v>20228</v>
      </c>
      <c r="O2646" s="2"/>
      <c r="P2646" s="2" t="s">
        <v>37</v>
      </c>
      <c r="Q2646" s="4" t="n">
        <v>8731</v>
      </c>
      <c r="R2646" s="2" t="s">
        <v>2661</v>
      </c>
      <c r="S2646" s="2" t="s">
        <v>39</v>
      </c>
      <c r="T2646" s="2" t="s">
        <v>40</v>
      </c>
      <c r="U2646" s="2" t="s">
        <v>20229</v>
      </c>
      <c r="V2646" s="2"/>
      <c r="W2646" s="2" t="s">
        <v>10985</v>
      </c>
      <c r="X2646" s="2" t="s">
        <v>46</v>
      </c>
      <c r="Y2646" s="2" t="s">
        <v>37</v>
      </c>
      <c r="Z2646" s="2" t="s">
        <v>20230</v>
      </c>
      <c r="AA2646" s="2" t="s">
        <v>20231</v>
      </c>
      <c r="AB2646" s="2"/>
      <c r="AC2646" s="2" t="s">
        <v>20232</v>
      </c>
      <c r="AD2646" s="2" t="s">
        <v>46</v>
      </c>
    </row>
    <row r="2647" customFormat="false" ht="15.7" hidden="false" customHeight="true" outlineLevel="0" collapsed="false">
      <c r="A2647" s="2"/>
      <c r="B2647" s="3" t="n">
        <f aca="false">DATE(2016,2,24)</f>
        <v>0</v>
      </c>
      <c r="C2647" s="3" t="n">
        <v>42424</v>
      </c>
      <c r="D2647" s="2" t="s">
        <v>20233</v>
      </c>
      <c r="F2647" s="2" t="s">
        <v>20234</v>
      </c>
      <c r="G2647" s="2" t="s">
        <v>20235</v>
      </c>
      <c r="H2647" s="2" t="s">
        <v>20236</v>
      </c>
      <c r="I2647" s="2" t="s">
        <v>20237</v>
      </c>
      <c r="J2647" s="2" t="s">
        <v>1891</v>
      </c>
      <c r="K2647" s="2" t="s">
        <v>20233</v>
      </c>
      <c r="L2647" s="2" t="s">
        <v>20237</v>
      </c>
      <c r="M2647" s="2" t="s">
        <v>20236</v>
      </c>
      <c r="N2647" s="2" t="s">
        <v>20238</v>
      </c>
      <c r="O2647" s="2"/>
      <c r="P2647" s="2" t="s">
        <v>37</v>
      </c>
      <c r="Q2647" s="4" t="n">
        <v>6798</v>
      </c>
      <c r="R2647" s="2" t="s">
        <v>20239</v>
      </c>
      <c r="S2647" s="2" t="s">
        <v>39</v>
      </c>
      <c r="T2647" s="2" t="s">
        <v>403</v>
      </c>
      <c r="U2647" s="2" t="s">
        <v>20240</v>
      </c>
      <c r="V2647" s="2"/>
      <c r="W2647" s="2" t="s">
        <v>20241</v>
      </c>
      <c r="X2647" s="2" t="s">
        <v>46</v>
      </c>
      <c r="Y2647" s="2" t="s">
        <v>37</v>
      </c>
      <c r="Z2647" s="2" t="s">
        <v>2565</v>
      </c>
      <c r="AA2647" s="2"/>
      <c r="AB2647" s="2"/>
      <c r="AC2647" s="2" t="s">
        <v>20242</v>
      </c>
      <c r="AD2647" s="2" t="s">
        <v>46</v>
      </c>
    </row>
    <row r="2648" customFormat="false" ht="15.7" hidden="false" customHeight="true" outlineLevel="0" collapsed="false">
      <c r="A2648" s="2"/>
      <c r="B2648" s="3" t="n">
        <f aca="false">DATE(2016,2,24)</f>
        <v>0</v>
      </c>
      <c r="C2648" s="3" t="n">
        <v>42424</v>
      </c>
      <c r="D2648" s="2" t="s">
        <v>20243</v>
      </c>
      <c r="F2648" s="2" t="s">
        <v>20244</v>
      </c>
      <c r="G2648" s="2" t="s">
        <v>20245</v>
      </c>
      <c r="H2648" s="2" t="s">
        <v>4552</v>
      </c>
      <c r="I2648" s="2" t="s">
        <v>965</v>
      </c>
      <c r="J2648" s="2" t="s">
        <v>132</v>
      </c>
      <c r="K2648" s="2" t="s">
        <v>20243</v>
      </c>
      <c r="L2648" s="2" t="s">
        <v>965</v>
      </c>
      <c r="M2648" s="2" t="s">
        <v>4552</v>
      </c>
      <c r="N2648" s="2" t="s">
        <v>20246</v>
      </c>
      <c r="O2648" s="2"/>
      <c r="P2648" s="2" t="s">
        <v>37</v>
      </c>
      <c r="Q2648" s="4" t="n">
        <v>8099</v>
      </c>
      <c r="R2648" s="2" t="s">
        <v>688</v>
      </c>
      <c r="S2648" s="2" t="s">
        <v>39</v>
      </c>
      <c r="T2648" s="2" t="s">
        <v>403</v>
      </c>
      <c r="U2648" s="2" t="s">
        <v>20247</v>
      </c>
      <c r="V2648" s="2"/>
      <c r="W2648" s="2" t="s">
        <v>18812</v>
      </c>
      <c r="X2648" s="2" t="s">
        <v>46</v>
      </c>
      <c r="Y2648" s="2" t="s">
        <v>37</v>
      </c>
      <c r="Z2648" s="2" t="s">
        <v>44</v>
      </c>
      <c r="AA2648" s="2"/>
      <c r="AB2648" s="2"/>
      <c r="AC2648" s="2" t="s">
        <v>20248</v>
      </c>
      <c r="AD2648" s="2" t="s">
        <v>46</v>
      </c>
    </row>
    <row r="2649" customFormat="false" ht="15.7" hidden="false" customHeight="true" outlineLevel="0" collapsed="false">
      <c r="A2649" s="2"/>
      <c r="B2649" s="3" t="n">
        <f aca="false">DATE(2016,2,25)</f>
        <v>0</v>
      </c>
      <c r="C2649" s="3" t="n">
        <v>42425</v>
      </c>
      <c r="D2649" s="2" t="s">
        <v>20249</v>
      </c>
      <c r="F2649" s="2" t="s">
        <v>20250</v>
      </c>
      <c r="G2649" s="2" t="s">
        <v>20251</v>
      </c>
      <c r="H2649" s="2" t="s">
        <v>10686</v>
      </c>
      <c r="I2649" s="2" t="s">
        <v>20252</v>
      </c>
      <c r="J2649" s="2" t="s">
        <v>35</v>
      </c>
      <c r="K2649" s="2" t="s">
        <v>20253</v>
      </c>
      <c r="L2649" s="2" t="s">
        <v>8326</v>
      </c>
      <c r="M2649" s="2" t="s">
        <v>8632</v>
      </c>
      <c r="N2649" s="2" t="s">
        <v>20254</v>
      </c>
      <c r="O2649" s="2" t="s">
        <v>20255</v>
      </c>
      <c r="P2649" s="2" t="s">
        <v>37</v>
      </c>
      <c r="Q2649" s="4" t="n">
        <v>8731</v>
      </c>
      <c r="R2649" s="2" t="s">
        <v>20256</v>
      </c>
      <c r="S2649" s="2" t="s">
        <v>39</v>
      </c>
      <c r="T2649" s="2" t="s">
        <v>40</v>
      </c>
      <c r="U2649" s="2" t="s">
        <v>20257</v>
      </c>
      <c r="V2649" s="2"/>
      <c r="W2649" s="2" t="s">
        <v>42</v>
      </c>
      <c r="X2649" s="2" t="s">
        <v>46</v>
      </c>
      <c r="Y2649" s="2" t="s">
        <v>37</v>
      </c>
      <c r="Z2649" s="2" t="s">
        <v>20258</v>
      </c>
      <c r="AA2649" s="2"/>
      <c r="AB2649" s="2" t="s">
        <v>20259</v>
      </c>
      <c r="AC2649" s="2" t="s">
        <v>20260</v>
      </c>
      <c r="AD2649" s="2" t="s">
        <v>46</v>
      </c>
    </row>
    <row r="2650" customFormat="false" ht="15.7" hidden="false" customHeight="true" outlineLevel="0" collapsed="false">
      <c r="A2650" s="2"/>
      <c r="B2650" s="3" t="n">
        <f aca="false">DATE(2016,3,2)</f>
        <v>0</v>
      </c>
      <c r="C2650" s="3" t="n">
        <v>42431</v>
      </c>
      <c r="D2650" s="2" t="s">
        <v>20261</v>
      </c>
      <c r="F2650" s="2" t="s">
        <v>20262</v>
      </c>
      <c r="G2650" s="2" t="s">
        <v>20263</v>
      </c>
      <c r="H2650" s="2" t="s">
        <v>20264</v>
      </c>
      <c r="I2650" s="2" t="s">
        <v>51</v>
      </c>
      <c r="J2650" s="2" t="s">
        <v>2824</v>
      </c>
      <c r="K2650" s="2" t="s">
        <v>20265</v>
      </c>
      <c r="L2650" s="2" t="s">
        <v>821</v>
      </c>
      <c r="M2650" s="2" t="s">
        <v>551</v>
      </c>
      <c r="N2650" s="2" t="s">
        <v>20266</v>
      </c>
      <c r="O2650" s="2"/>
      <c r="P2650" s="2" t="s">
        <v>37</v>
      </c>
      <c r="Q2650" s="4" t="n">
        <v>8731</v>
      </c>
      <c r="R2650" s="2" t="s">
        <v>56</v>
      </c>
      <c r="S2650" s="2"/>
      <c r="T2650" s="2" t="s">
        <v>403</v>
      </c>
      <c r="U2650" s="2" t="s">
        <v>20267</v>
      </c>
      <c r="V2650" s="2"/>
      <c r="W2650" s="2" t="s">
        <v>42</v>
      </c>
      <c r="X2650" s="2" t="s">
        <v>43</v>
      </c>
      <c r="Y2650" s="2" t="s">
        <v>37</v>
      </c>
      <c r="Z2650" s="2" t="s">
        <v>44</v>
      </c>
      <c r="AA2650" s="2"/>
      <c r="AB2650" s="2"/>
      <c r="AC2650" s="2" t="s">
        <v>20268</v>
      </c>
      <c r="AD2650" s="2" t="s">
        <v>46</v>
      </c>
    </row>
    <row r="2651" customFormat="false" ht="15.7" hidden="false" customHeight="true" outlineLevel="0" collapsed="false">
      <c r="A2651" s="2"/>
      <c r="B2651" s="3" t="n">
        <f aca="false">DATE(2016,3,2)</f>
        <v>0</v>
      </c>
      <c r="C2651" s="3" t="n">
        <v>42431</v>
      </c>
      <c r="D2651" s="2" t="s">
        <v>20269</v>
      </c>
      <c r="F2651" s="2" t="s">
        <v>20270</v>
      </c>
      <c r="G2651" s="2" t="s">
        <v>20271</v>
      </c>
      <c r="H2651" s="2" t="s">
        <v>14339</v>
      </c>
      <c r="I2651" s="2" t="s">
        <v>2727</v>
      </c>
      <c r="J2651" s="2" t="s">
        <v>35</v>
      </c>
      <c r="K2651" s="2" t="s">
        <v>20272</v>
      </c>
      <c r="L2651" s="2" t="s">
        <v>4325</v>
      </c>
      <c r="M2651" s="2" t="s">
        <v>20273</v>
      </c>
      <c r="N2651" s="2" t="s">
        <v>20274</v>
      </c>
      <c r="O2651" s="2"/>
      <c r="P2651" s="2" t="s">
        <v>37</v>
      </c>
      <c r="Q2651" s="4" t="n">
        <v>4911</v>
      </c>
      <c r="R2651" s="2" t="s">
        <v>6720</v>
      </c>
      <c r="S2651" s="2" t="s">
        <v>39</v>
      </c>
      <c r="T2651" s="2" t="s">
        <v>403</v>
      </c>
      <c r="U2651" s="2" t="s">
        <v>20275</v>
      </c>
      <c r="V2651" s="2"/>
      <c r="W2651" s="2" t="s">
        <v>20276</v>
      </c>
      <c r="X2651" s="2" t="s">
        <v>46</v>
      </c>
      <c r="Y2651" s="2" t="s">
        <v>37</v>
      </c>
      <c r="Z2651" s="2" t="s">
        <v>1639</v>
      </c>
      <c r="AA2651" s="2" t="s">
        <v>20277</v>
      </c>
      <c r="AB2651" s="2"/>
      <c r="AC2651" s="2" t="s">
        <v>20278</v>
      </c>
      <c r="AD2651" s="2" t="s">
        <v>46</v>
      </c>
    </row>
    <row r="2652" customFormat="false" ht="15.7" hidden="false" customHeight="true" outlineLevel="0" collapsed="false">
      <c r="A2652" s="2"/>
      <c r="B2652" s="3" t="n">
        <f aca="false">DATE(2016,3,2)</f>
        <v>0</v>
      </c>
      <c r="C2652" s="3" t="n">
        <v>42431</v>
      </c>
      <c r="D2652" s="2" t="s">
        <v>20279</v>
      </c>
      <c r="F2652" s="2" t="s">
        <v>20280</v>
      </c>
      <c r="G2652" s="2" t="s">
        <v>20281</v>
      </c>
      <c r="H2652" s="2" t="s">
        <v>170</v>
      </c>
      <c r="I2652" s="2" t="s">
        <v>1080</v>
      </c>
      <c r="J2652" s="2" t="s">
        <v>35</v>
      </c>
      <c r="K2652" s="2" t="s">
        <v>20279</v>
      </c>
      <c r="L2652" s="2" t="s">
        <v>1080</v>
      </c>
      <c r="M2652" s="2" t="s">
        <v>170</v>
      </c>
      <c r="N2652" s="2" t="s">
        <v>20282</v>
      </c>
      <c r="O2652" s="2"/>
      <c r="P2652" s="2" t="s">
        <v>37</v>
      </c>
      <c r="Q2652" s="4" t="n">
        <v>8099</v>
      </c>
      <c r="R2652" s="2" t="s">
        <v>2201</v>
      </c>
      <c r="S2652" s="2" t="s">
        <v>39</v>
      </c>
      <c r="T2652" s="2" t="s">
        <v>40</v>
      </c>
      <c r="U2652" s="2" t="s">
        <v>20283</v>
      </c>
      <c r="V2652" s="2"/>
      <c r="W2652" s="2" t="s">
        <v>4487</v>
      </c>
      <c r="X2652" s="2" t="s">
        <v>46</v>
      </c>
      <c r="Y2652" s="2" t="s">
        <v>37</v>
      </c>
      <c r="Z2652" s="2" t="s">
        <v>44</v>
      </c>
      <c r="AA2652" s="2"/>
      <c r="AB2652" s="2"/>
      <c r="AC2652" s="2" t="s">
        <v>20284</v>
      </c>
      <c r="AD2652" s="2" t="s">
        <v>46</v>
      </c>
    </row>
    <row r="2653" customFormat="false" ht="15.7" hidden="false" customHeight="true" outlineLevel="0" collapsed="false">
      <c r="A2653" s="2"/>
      <c r="B2653" s="3" t="n">
        <f aca="false">DATE(2016,3,3)</f>
        <v>0</v>
      </c>
      <c r="C2653" s="3" t="n">
        <v>42432</v>
      </c>
      <c r="D2653" s="2" t="s">
        <v>20285</v>
      </c>
      <c r="F2653" s="2" t="s">
        <v>20286</v>
      </c>
      <c r="G2653" s="2" t="s">
        <v>20287</v>
      </c>
      <c r="H2653" s="2" t="s">
        <v>20288</v>
      </c>
      <c r="I2653" s="2" t="s">
        <v>3223</v>
      </c>
      <c r="J2653" s="2" t="s">
        <v>116</v>
      </c>
      <c r="K2653" s="2" t="s">
        <v>20289</v>
      </c>
      <c r="L2653" s="2" t="s">
        <v>3223</v>
      </c>
      <c r="M2653" s="2" t="s">
        <v>20290</v>
      </c>
      <c r="N2653" s="2" t="s">
        <v>20291</v>
      </c>
      <c r="O2653" s="2"/>
      <c r="P2653" s="2" t="s">
        <v>37</v>
      </c>
      <c r="Q2653" s="4" t="n">
        <v>8731</v>
      </c>
      <c r="R2653" s="2" t="s">
        <v>402</v>
      </c>
      <c r="S2653" s="2" t="s">
        <v>39</v>
      </c>
      <c r="T2653" s="2" t="s">
        <v>403</v>
      </c>
      <c r="U2653" s="2" t="s">
        <v>20292</v>
      </c>
      <c r="V2653" s="2"/>
      <c r="W2653" s="2" t="s">
        <v>15607</v>
      </c>
      <c r="X2653" s="2" t="s">
        <v>46</v>
      </c>
      <c r="Y2653" s="2" t="s">
        <v>37</v>
      </c>
      <c r="Z2653" s="2" t="s">
        <v>20293</v>
      </c>
      <c r="AA2653" s="2" t="s">
        <v>20294</v>
      </c>
      <c r="AB2653" s="2"/>
      <c r="AC2653" s="2" t="s">
        <v>20295</v>
      </c>
      <c r="AD2653" s="2" t="s">
        <v>46</v>
      </c>
    </row>
    <row r="2654" customFormat="false" ht="15.7" hidden="false" customHeight="true" outlineLevel="0" collapsed="false">
      <c r="A2654" s="2"/>
      <c r="B2654" s="3" t="n">
        <f aca="false">DATE(2016,3,3)</f>
        <v>0</v>
      </c>
      <c r="C2654" s="3" t="n">
        <v>42432</v>
      </c>
      <c r="D2654" s="2" t="s">
        <v>20296</v>
      </c>
      <c r="F2654" s="2" t="s">
        <v>20297</v>
      </c>
      <c r="G2654" s="2" t="s">
        <v>20298</v>
      </c>
      <c r="H2654" s="2" t="s">
        <v>20299</v>
      </c>
      <c r="I2654" s="2" t="s">
        <v>2727</v>
      </c>
      <c r="J2654" s="2" t="s">
        <v>35</v>
      </c>
      <c r="K2654" s="2" t="s">
        <v>20300</v>
      </c>
      <c r="L2654" s="2" t="s">
        <v>4325</v>
      </c>
      <c r="M2654" s="2" t="s">
        <v>8632</v>
      </c>
      <c r="N2654" s="2" t="s">
        <v>20301</v>
      </c>
      <c r="O2654" s="2"/>
      <c r="P2654" s="2" t="s">
        <v>37</v>
      </c>
      <c r="Q2654" s="4" t="n">
        <v>8731</v>
      </c>
      <c r="R2654" s="2" t="s">
        <v>402</v>
      </c>
      <c r="S2654" s="2" t="s">
        <v>39</v>
      </c>
      <c r="T2654" s="2" t="s">
        <v>403</v>
      </c>
      <c r="U2654" s="2" t="s">
        <v>20302</v>
      </c>
      <c r="V2654" s="2"/>
      <c r="W2654" s="2" t="s">
        <v>697</v>
      </c>
      <c r="X2654" s="2" t="s">
        <v>46</v>
      </c>
      <c r="Y2654" s="2" t="s">
        <v>37</v>
      </c>
      <c r="Z2654" s="2" t="s">
        <v>987</v>
      </c>
      <c r="AA2654" s="2"/>
      <c r="AB2654" s="2"/>
      <c r="AC2654" s="2" t="s">
        <v>20303</v>
      </c>
      <c r="AD2654" s="2" t="s">
        <v>46</v>
      </c>
    </row>
    <row r="2655" customFormat="false" ht="15.7" hidden="false" customHeight="true" outlineLevel="0" collapsed="false">
      <c r="A2655" s="2"/>
      <c r="B2655" s="3" t="n">
        <f aca="false">DATE(2016,3,9)</f>
        <v>0</v>
      </c>
      <c r="C2655" s="3" t="n">
        <v>42438</v>
      </c>
      <c r="D2655" s="2" t="s">
        <v>20304</v>
      </c>
      <c r="F2655" s="2" t="s">
        <v>20305</v>
      </c>
      <c r="G2655" s="2" t="s">
        <v>20306</v>
      </c>
      <c r="H2655" s="2" t="s">
        <v>20307</v>
      </c>
      <c r="I2655" s="2" t="s">
        <v>20308</v>
      </c>
      <c r="J2655" s="2" t="s">
        <v>35</v>
      </c>
      <c r="K2655" s="2" t="s">
        <v>20304</v>
      </c>
      <c r="L2655" s="2" t="s">
        <v>20308</v>
      </c>
      <c r="M2655" s="2" t="s">
        <v>20307</v>
      </c>
      <c r="N2655" s="2" t="s">
        <v>20309</v>
      </c>
      <c r="O2655" s="2"/>
      <c r="P2655" s="2" t="s">
        <v>37</v>
      </c>
      <c r="Q2655" s="4" t="n">
        <v>8731</v>
      </c>
      <c r="R2655" s="2" t="s">
        <v>402</v>
      </c>
      <c r="S2655" s="2" t="s">
        <v>39</v>
      </c>
      <c r="T2655" s="2" t="s">
        <v>403</v>
      </c>
      <c r="U2655" s="2" t="s">
        <v>20310</v>
      </c>
      <c r="V2655" s="2"/>
      <c r="W2655" s="2" t="s">
        <v>10841</v>
      </c>
      <c r="X2655" s="2" t="s">
        <v>46</v>
      </c>
      <c r="Y2655" s="2" t="s">
        <v>37</v>
      </c>
      <c r="Z2655" s="2" t="s">
        <v>362</v>
      </c>
      <c r="AA2655" s="2"/>
      <c r="AB2655" s="2"/>
      <c r="AC2655" s="2" t="s">
        <v>20311</v>
      </c>
      <c r="AD2655" s="2" t="s">
        <v>46</v>
      </c>
    </row>
    <row r="2656" customFormat="false" ht="15.7" hidden="false" customHeight="true" outlineLevel="0" collapsed="false">
      <c r="A2656" s="2"/>
      <c r="B2656" s="3" t="n">
        <f aca="false">DATE(2016,3,14)</f>
        <v>0</v>
      </c>
      <c r="C2656" s="3" t="n">
        <v>42443</v>
      </c>
      <c r="D2656" s="2" t="s">
        <v>20312</v>
      </c>
      <c r="F2656" s="2" t="s">
        <v>20313</v>
      </c>
      <c r="G2656" s="2" t="s">
        <v>20314</v>
      </c>
      <c r="H2656" s="2" t="s">
        <v>20315</v>
      </c>
      <c r="I2656" s="2" t="s">
        <v>2916</v>
      </c>
      <c r="J2656" s="2" t="s">
        <v>116</v>
      </c>
      <c r="K2656" s="2" t="s">
        <v>20312</v>
      </c>
      <c r="L2656" s="2" t="s">
        <v>2916</v>
      </c>
      <c r="M2656" s="2" t="s">
        <v>20315</v>
      </c>
      <c r="N2656" s="2" t="s">
        <v>20316</v>
      </c>
      <c r="O2656" s="2"/>
      <c r="P2656" s="2" t="s">
        <v>37</v>
      </c>
      <c r="Q2656" s="4" t="n">
        <v>8731</v>
      </c>
      <c r="R2656" s="2" t="s">
        <v>3154</v>
      </c>
      <c r="S2656" s="2" t="s">
        <v>39</v>
      </c>
      <c r="T2656" s="2" t="s">
        <v>40</v>
      </c>
      <c r="U2656" s="2" t="s">
        <v>20317</v>
      </c>
      <c r="V2656" s="2"/>
      <c r="W2656" s="2" t="s">
        <v>20318</v>
      </c>
      <c r="X2656" s="2" t="s">
        <v>46</v>
      </c>
      <c r="Y2656" s="2" t="s">
        <v>37</v>
      </c>
      <c r="Z2656" s="2" t="s">
        <v>916</v>
      </c>
      <c r="AA2656" s="2"/>
      <c r="AB2656" s="2"/>
      <c r="AC2656" s="2" t="s">
        <v>20319</v>
      </c>
      <c r="AD2656" s="2" t="s">
        <v>46</v>
      </c>
    </row>
    <row r="2657" customFormat="false" ht="15.7" hidden="false" customHeight="true" outlineLevel="0" collapsed="false">
      <c r="A2657" s="2"/>
      <c r="B2657" s="3" t="n">
        <f aca="false">DATE(2016,3,14)</f>
        <v>0</v>
      </c>
      <c r="C2657" s="3" t="n">
        <v>42443</v>
      </c>
      <c r="D2657" s="2" t="s">
        <v>20320</v>
      </c>
      <c r="F2657" s="2" t="s">
        <v>20321</v>
      </c>
      <c r="G2657" s="2" t="s">
        <v>20322</v>
      </c>
      <c r="H2657" s="2" t="s">
        <v>20323</v>
      </c>
      <c r="I2657" s="2" t="s">
        <v>7116</v>
      </c>
      <c r="J2657" s="2" t="s">
        <v>575</v>
      </c>
      <c r="K2657" s="2" t="s">
        <v>20324</v>
      </c>
      <c r="L2657" s="2" t="s">
        <v>7116</v>
      </c>
      <c r="M2657" s="2" t="s">
        <v>20325</v>
      </c>
      <c r="N2657" s="2" t="s">
        <v>20326</v>
      </c>
      <c r="O2657" s="2"/>
      <c r="P2657" s="2" t="s">
        <v>37</v>
      </c>
      <c r="Q2657" s="4" t="n">
        <v>1522</v>
      </c>
      <c r="R2657" s="2" t="s">
        <v>56</v>
      </c>
      <c r="S2657" s="2" t="s">
        <v>507</v>
      </c>
      <c r="T2657" s="2" t="s">
        <v>40</v>
      </c>
      <c r="U2657" s="2" t="s">
        <v>20327</v>
      </c>
      <c r="V2657" s="2"/>
      <c r="W2657" s="2" t="s">
        <v>18958</v>
      </c>
      <c r="X2657" s="2" t="s">
        <v>46</v>
      </c>
      <c r="Y2657" s="2" t="s">
        <v>37</v>
      </c>
      <c r="Z2657" s="2" t="s">
        <v>44</v>
      </c>
      <c r="AA2657" s="2"/>
      <c r="AB2657" s="2"/>
      <c r="AC2657" s="2" t="s">
        <v>20328</v>
      </c>
      <c r="AD2657" s="2" t="s">
        <v>46</v>
      </c>
    </row>
    <row r="2658" customFormat="false" ht="15.7" hidden="false" customHeight="true" outlineLevel="0" collapsed="false">
      <c r="A2658" s="2"/>
      <c r="B2658" s="3" t="n">
        <f aca="false">DATE(2016,3,15)</f>
        <v>0</v>
      </c>
      <c r="C2658" s="3" t="n">
        <v>42444</v>
      </c>
      <c r="D2658" s="2" t="s">
        <v>20329</v>
      </c>
      <c r="F2658" s="2" t="s">
        <v>20330</v>
      </c>
      <c r="G2658" s="2" t="s">
        <v>20331</v>
      </c>
      <c r="H2658" s="2" t="s">
        <v>20332</v>
      </c>
      <c r="I2658" s="2" t="s">
        <v>51</v>
      </c>
      <c r="J2658" s="2" t="s">
        <v>7485</v>
      </c>
      <c r="K2658" s="2" t="s">
        <v>20333</v>
      </c>
      <c r="L2658" s="2" t="s">
        <v>568</v>
      </c>
      <c r="M2658" s="2" t="s">
        <v>20334</v>
      </c>
      <c r="N2658" s="2" t="s">
        <v>20335</v>
      </c>
      <c r="O2658" s="2"/>
      <c r="P2658" s="2" t="s">
        <v>37</v>
      </c>
      <c r="Q2658" s="4" t="n">
        <v>8731</v>
      </c>
      <c r="R2658" s="2" t="s">
        <v>56</v>
      </c>
      <c r="S2658" s="2"/>
      <c r="T2658" s="2" t="s">
        <v>403</v>
      </c>
      <c r="U2658" s="2" t="s">
        <v>20336</v>
      </c>
      <c r="V2658" s="2"/>
      <c r="W2658" s="2" t="s">
        <v>42</v>
      </c>
      <c r="X2658" s="2" t="s">
        <v>46</v>
      </c>
      <c r="Y2658" s="2" t="s">
        <v>37</v>
      </c>
      <c r="Z2658" s="2" t="s">
        <v>44</v>
      </c>
      <c r="AA2658" s="2"/>
      <c r="AB2658" s="2"/>
      <c r="AC2658" s="2" t="s">
        <v>20337</v>
      </c>
      <c r="AD2658" s="2" t="s">
        <v>46</v>
      </c>
    </row>
    <row r="2659" customFormat="false" ht="15.7" hidden="false" customHeight="true" outlineLevel="0" collapsed="false">
      <c r="A2659" s="2"/>
      <c r="B2659" s="3" t="n">
        <f aca="false">DATE(2016,3,15)</f>
        <v>0</v>
      </c>
      <c r="C2659" s="3" t="n">
        <v>42444</v>
      </c>
      <c r="D2659" s="2" t="s">
        <v>20338</v>
      </c>
      <c r="F2659" s="2" t="s">
        <v>20339</v>
      </c>
      <c r="G2659" s="2" t="s">
        <v>20340</v>
      </c>
      <c r="H2659" s="2" t="s">
        <v>20341</v>
      </c>
      <c r="I2659" s="2" t="s">
        <v>4325</v>
      </c>
      <c r="J2659" s="2" t="s">
        <v>35</v>
      </c>
      <c r="K2659" s="2" t="s">
        <v>20338</v>
      </c>
      <c r="L2659" s="2" t="s">
        <v>4325</v>
      </c>
      <c r="M2659" s="2" t="s">
        <v>20341</v>
      </c>
      <c r="N2659" s="2" t="s">
        <v>20342</v>
      </c>
      <c r="O2659" s="2"/>
      <c r="P2659" s="2" t="s">
        <v>37</v>
      </c>
      <c r="Q2659" s="4" t="n">
        <v>8731</v>
      </c>
      <c r="R2659" s="2" t="s">
        <v>1402</v>
      </c>
      <c r="S2659" s="2" t="s">
        <v>39</v>
      </c>
      <c r="T2659" s="2" t="s">
        <v>403</v>
      </c>
      <c r="U2659" s="2" t="s">
        <v>20343</v>
      </c>
      <c r="V2659" s="2"/>
      <c r="W2659" s="2" t="s">
        <v>20005</v>
      </c>
      <c r="X2659" s="2" t="s">
        <v>46</v>
      </c>
      <c r="Y2659" s="2" t="s">
        <v>37</v>
      </c>
      <c r="Z2659" s="2" t="s">
        <v>44</v>
      </c>
      <c r="AA2659" s="2" t="s">
        <v>20344</v>
      </c>
      <c r="AB2659" s="2"/>
      <c r="AC2659" s="2" t="s">
        <v>20345</v>
      </c>
      <c r="AD2659" s="2" t="s">
        <v>46</v>
      </c>
    </row>
    <row r="2660" customFormat="false" ht="15.7" hidden="false" customHeight="true" outlineLevel="0" collapsed="false">
      <c r="A2660" s="2"/>
      <c r="B2660" s="3" t="n">
        <f aca="false">DATE(2016,3,16)</f>
        <v>0</v>
      </c>
      <c r="C2660" s="3" t="n">
        <v>42445</v>
      </c>
      <c r="D2660" s="2" t="s">
        <v>20346</v>
      </c>
      <c r="F2660" s="2" t="s">
        <v>20347</v>
      </c>
      <c r="G2660" s="2" t="s">
        <v>20348</v>
      </c>
      <c r="H2660" s="2" t="s">
        <v>20349</v>
      </c>
      <c r="I2660" s="2" t="s">
        <v>51</v>
      </c>
      <c r="J2660" s="2" t="s">
        <v>9350</v>
      </c>
      <c r="K2660" s="2" t="s">
        <v>20346</v>
      </c>
      <c r="L2660" s="2" t="s">
        <v>51</v>
      </c>
      <c r="M2660" s="2" t="s">
        <v>20349</v>
      </c>
      <c r="N2660" s="2" t="s">
        <v>20350</v>
      </c>
      <c r="O2660" s="2"/>
      <c r="P2660" s="2" t="s">
        <v>37</v>
      </c>
      <c r="Q2660" s="4" t="n">
        <v>8731</v>
      </c>
      <c r="R2660" s="2" t="s">
        <v>56</v>
      </c>
      <c r="S2660" s="2" t="s">
        <v>1484</v>
      </c>
      <c r="T2660" s="2" t="s">
        <v>40</v>
      </c>
      <c r="U2660" s="2" t="s">
        <v>20351</v>
      </c>
      <c r="V2660" s="2"/>
      <c r="W2660" s="2" t="s">
        <v>138</v>
      </c>
      <c r="X2660" s="2" t="s">
        <v>46</v>
      </c>
      <c r="Y2660" s="2" t="s">
        <v>37</v>
      </c>
      <c r="Z2660" s="2" t="s">
        <v>44</v>
      </c>
      <c r="AA2660" s="2"/>
      <c r="AB2660" s="2"/>
      <c r="AC2660" s="2" t="s">
        <v>20352</v>
      </c>
      <c r="AD2660" s="2" t="s">
        <v>46</v>
      </c>
    </row>
    <row r="2661" customFormat="false" ht="15.7" hidden="false" customHeight="true" outlineLevel="0" collapsed="false">
      <c r="A2661" s="2"/>
      <c r="B2661" s="3" t="n">
        <f aca="false">DATE(2016,3,17)</f>
        <v>0</v>
      </c>
      <c r="C2661" s="3" t="n">
        <v>42446</v>
      </c>
      <c r="D2661" s="2" t="s">
        <v>20353</v>
      </c>
      <c r="F2661" s="2" t="s">
        <v>20354</v>
      </c>
      <c r="G2661" s="2" t="s">
        <v>20355</v>
      </c>
      <c r="H2661" s="2" t="s">
        <v>20356</v>
      </c>
      <c r="I2661" s="2" t="s">
        <v>51</v>
      </c>
      <c r="J2661" s="2" t="s">
        <v>20357</v>
      </c>
      <c r="K2661" s="2" t="s">
        <v>20358</v>
      </c>
      <c r="L2661" s="2" t="s">
        <v>51</v>
      </c>
      <c r="M2661" s="2" t="s">
        <v>20359</v>
      </c>
      <c r="N2661" s="2" t="s">
        <v>20360</v>
      </c>
      <c r="O2661" s="2"/>
      <c r="P2661" s="2" t="s">
        <v>37</v>
      </c>
      <c r="Q2661" s="4" t="n">
        <v>7381</v>
      </c>
      <c r="R2661" s="2" t="s">
        <v>56</v>
      </c>
      <c r="S2661" s="2"/>
      <c r="T2661" s="2" t="s">
        <v>403</v>
      </c>
      <c r="U2661" s="2" t="s">
        <v>20361</v>
      </c>
      <c r="V2661" s="2"/>
      <c r="W2661" s="2" t="s">
        <v>20362</v>
      </c>
      <c r="X2661" s="2" t="s">
        <v>43</v>
      </c>
      <c r="Y2661" s="2" t="s">
        <v>37</v>
      </c>
      <c r="Z2661" s="2" t="s">
        <v>44</v>
      </c>
      <c r="AA2661" s="2"/>
      <c r="AB2661" s="2"/>
      <c r="AC2661" s="2" t="s">
        <v>20363</v>
      </c>
      <c r="AD2661" s="2" t="s">
        <v>46</v>
      </c>
    </row>
    <row r="2662" customFormat="false" ht="15.7" hidden="false" customHeight="true" outlineLevel="0" collapsed="false">
      <c r="A2662" s="2"/>
      <c r="B2662" s="3" t="n">
        <f aca="false">DATE(2016,3,17)</f>
        <v>0</v>
      </c>
      <c r="C2662" s="3" t="n">
        <v>42446</v>
      </c>
      <c r="D2662" s="2" t="s">
        <v>20364</v>
      </c>
      <c r="F2662" s="2" t="s">
        <v>20365</v>
      </c>
      <c r="G2662" s="2" t="s">
        <v>20366</v>
      </c>
      <c r="H2662" s="2" t="s">
        <v>20367</v>
      </c>
      <c r="I2662" s="2" t="s">
        <v>2052</v>
      </c>
      <c r="J2662" s="2" t="s">
        <v>575</v>
      </c>
      <c r="K2662" s="2" t="s">
        <v>20364</v>
      </c>
      <c r="L2662" s="2" t="s">
        <v>2052</v>
      </c>
      <c r="M2662" s="2" t="s">
        <v>20367</v>
      </c>
      <c r="N2662" s="2" t="s">
        <v>20368</v>
      </c>
      <c r="O2662" s="2" t="s">
        <v>20369</v>
      </c>
      <c r="P2662" s="2" t="s">
        <v>37</v>
      </c>
      <c r="Q2662" s="4" t="n">
        <v>8731</v>
      </c>
      <c r="R2662" s="2" t="s">
        <v>16962</v>
      </c>
      <c r="S2662" s="2" t="s">
        <v>39</v>
      </c>
      <c r="T2662" s="2" t="s">
        <v>40</v>
      </c>
      <c r="U2662" s="2" t="s">
        <v>20370</v>
      </c>
      <c r="V2662" s="2"/>
      <c r="W2662" s="2" t="s">
        <v>1693</v>
      </c>
      <c r="X2662" s="2" t="s">
        <v>46</v>
      </c>
      <c r="Y2662" s="2" t="s">
        <v>37</v>
      </c>
      <c r="Z2662" s="2" t="s">
        <v>44</v>
      </c>
      <c r="AA2662" s="2"/>
      <c r="AB2662" s="2" t="s">
        <v>20371</v>
      </c>
      <c r="AC2662" s="2" t="s">
        <v>20372</v>
      </c>
      <c r="AD2662" s="2" t="s">
        <v>46</v>
      </c>
    </row>
    <row r="2663" customFormat="false" ht="15.7" hidden="false" customHeight="true" outlineLevel="0" collapsed="false">
      <c r="A2663" s="2"/>
      <c r="B2663" s="3" t="n">
        <f aca="false">DATE(2016,3,22)</f>
        <v>0</v>
      </c>
      <c r="C2663" s="3" t="n">
        <v>42451</v>
      </c>
      <c r="D2663" s="2" t="s">
        <v>20373</v>
      </c>
      <c r="F2663" s="2" t="s">
        <v>20374</v>
      </c>
      <c r="G2663" s="2" t="s">
        <v>20375</v>
      </c>
      <c r="H2663" s="2" t="s">
        <v>20376</v>
      </c>
      <c r="I2663" s="2" t="s">
        <v>51</v>
      </c>
      <c r="J2663" s="2" t="s">
        <v>6303</v>
      </c>
      <c r="K2663" s="2" t="s">
        <v>20377</v>
      </c>
      <c r="L2663" s="2" t="s">
        <v>51</v>
      </c>
      <c r="M2663" s="2" t="s">
        <v>20378</v>
      </c>
      <c r="N2663" s="2" t="s">
        <v>20379</v>
      </c>
      <c r="O2663" s="2"/>
      <c r="P2663" s="2" t="s">
        <v>37</v>
      </c>
      <c r="Q2663" s="4" t="n">
        <v>8731</v>
      </c>
      <c r="R2663" s="2" t="s">
        <v>56</v>
      </c>
      <c r="S2663" s="2" t="s">
        <v>92</v>
      </c>
      <c r="T2663" s="2" t="s">
        <v>40</v>
      </c>
      <c r="U2663" s="2" t="s">
        <v>20380</v>
      </c>
      <c r="V2663" s="2"/>
      <c r="W2663" s="2" t="s">
        <v>42</v>
      </c>
      <c r="X2663" s="2" t="s">
        <v>43</v>
      </c>
      <c r="Y2663" s="2" t="s">
        <v>37</v>
      </c>
      <c r="Z2663" s="2" t="s">
        <v>44</v>
      </c>
      <c r="AA2663" s="2"/>
      <c r="AB2663" s="2"/>
      <c r="AC2663" s="2" t="s">
        <v>20381</v>
      </c>
      <c r="AD2663" s="2" t="s">
        <v>46</v>
      </c>
    </row>
    <row r="2664" customFormat="false" ht="15.7" hidden="false" customHeight="true" outlineLevel="0" collapsed="false">
      <c r="A2664" s="2"/>
      <c r="B2664" s="3" t="n">
        <f aca="false">DATE(2016,3,22)</f>
        <v>0</v>
      </c>
      <c r="C2664" s="3" t="n">
        <v>42451</v>
      </c>
      <c r="D2664" s="2" t="s">
        <v>20382</v>
      </c>
      <c r="F2664" s="2" t="s">
        <v>20383</v>
      </c>
      <c r="G2664" s="2" t="s">
        <v>20384</v>
      </c>
      <c r="H2664" s="2" t="s">
        <v>8419</v>
      </c>
      <c r="I2664" s="2" t="s">
        <v>20385</v>
      </c>
      <c r="J2664" s="2" t="s">
        <v>35</v>
      </c>
      <c r="K2664" s="2" t="s">
        <v>20386</v>
      </c>
      <c r="L2664" s="2" t="s">
        <v>7182</v>
      </c>
      <c r="M2664" s="2" t="s">
        <v>20387</v>
      </c>
      <c r="N2664" s="2" t="s">
        <v>20388</v>
      </c>
      <c r="O2664" s="2"/>
      <c r="P2664" s="2" t="s">
        <v>37</v>
      </c>
      <c r="Q2664" s="4" t="n">
        <v>8731</v>
      </c>
      <c r="R2664" s="2" t="s">
        <v>136</v>
      </c>
      <c r="S2664" s="2" t="s">
        <v>39</v>
      </c>
      <c r="T2664" s="2" t="s">
        <v>403</v>
      </c>
      <c r="U2664" s="2" t="s">
        <v>20389</v>
      </c>
      <c r="V2664" s="2"/>
      <c r="W2664" s="2" t="s">
        <v>697</v>
      </c>
      <c r="X2664" s="2" t="s">
        <v>46</v>
      </c>
      <c r="Y2664" s="2" t="s">
        <v>37</v>
      </c>
      <c r="Z2664" s="2" t="s">
        <v>2565</v>
      </c>
      <c r="AA2664" s="2"/>
      <c r="AB2664" s="2"/>
      <c r="AC2664" s="2" t="s">
        <v>20390</v>
      </c>
      <c r="AD2664" s="2" t="s">
        <v>46</v>
      </c>
    </row>
    <row r="2665" customFormat="false" ht="15.7" hidden="false" customHeight="true" outlineLevel="0" collapsed="false">
      <c r="A2665" s="2"/>
      <c r="B2665" s="3" t="n">
        <f aca="false">DATE(2016,3,23)</f>
        <v>0</v>
      </c>
      <c r="C2665" s="3" t="n">
        <v>42452</v>
      </c>
      <c r="D2665" s="2" t="s">
        <v>20391</v>
      </c>
      <c r="F2665" s="2" t="s">
        <v>20392</v>
      </c>
      <c r="G2665" s="2" t="s">
        <v>20393</v>
      </c>
      <c r="H2665" s="2" t="s">
        <v>20394</v>
      </c>
      <c r="I2665" s="2" t="s">
        <v>12781</v>
      </c>
      <c r="J2665" s="2" t="s">
        <v>35</v>
      </c>
      <c r="K2665" s="2" t="s">
        <v>20391</v>
      </c>
      <c r="L2665" s="2" t="s">
        <v>12781</v>
      </c>
      <c r="M2665" s="2" t="s">
        <v>20394</v>
      </c>
      <c r="N2665" s="2" t="s">
        <v>20395</v>
      </c>
      <c r="O2665" s="2"/>
      <c r="P2665" s="2" t="s">
        <v>37</v>
      </c>
      <c r="Q2665" s="4" t="n">
        <v>3999</v>
      </c>
      <c r="R2665" s="2" t="s">
        <v>402</v>
      </c>
      <c r="S2665" s="2" t="s">
        <v>39</v>
      </c>
      <c r="T2665" s="2" t="s">
        <v>403</v>
      </c>
      <c r="U2665" s="2" t="s">
        <v>20396</v>
      </c>
      <c r="V2665" s="2"/>
      <c r="W2665" s="2" t="s">
        <v>107</v>
      </c>
      <c r="X2665" s="2" t="s">
        <v>43</v>
      </c>
      <c r="Y2665" s="2" t="s">
        <v>37</v>
      </c>
      <c r="Z2665" s="2" t="s">
        <v>44</v>
      </c>
      <c r="AA2665" s="2"/>
      <c r="AB2665" s="2"/>
      <c r="AC2665" s="2" t="s">
        <v>20397</v>
      </c>
      <c r="AD2665" s="2" t="s">
        <v>46</v>
      </c>
    </row>
    <row r="2666" customFormat="false" ht="15.7" hidden="false" customHeight="true" outlineLevel="0" collapsed="false">
      <c r="A2666" s="2"/>
      <c r="B2666" s="3" t="n">
        <f aca="false">DATE(2016,3,28)</f>
        <v>0</v>
      </c>
      <c r="C2666" s="3" t="n">
        <v>42457</v>
      </c>
      <c r="D2666" s="2" t="s">
        <v>20398</v>
      </c>
      <c r="F2666" s="2" t="s">
        <v>20399</v>
      </c>
      <c r="G2666" s="2" t="s">
        <v>20400</v>
      </c>
      <c r="H2666" s="2" t="s">
        <v>20401</v>
      </c>
      <c r="I2666" s="2" t="s">
        <v>51</v>
      </c>
      <c r="J2666" s="2" t="s">
        <v>4919</v>
      </c>
      <c r="K2666" s="2" t="s">
        <v>20398</v>
      </c>
      <c r="L2666" s="2" t="s">
        <v>51</v>
      </c>
      <c r="M2666" s="2" t="s">
        <v>20401</v>
      </c>
      <c r="N2666" s="2" t="s">
        <v>20402</v>
      </c>
      <c r="O2666" s="2"/>
      <c r="P2666" s="2" t="s">
        <v>37</v>
      </c>
      <c r="Q2666" s="4" t="n">
        <v>8099</v>
      </c>
      <c r="R2666" s="2" t="s">
        <v>56</v>
      </c>
      <c r="S2666" s="2"/>
      <c r="T2666" s="2" t="s">
        <v>40</v>
      </c>
      <c r="U2666" s="2" t="s">
        <v>20403</v>
      </c>
      <c r="V2666" s="2"/>
      <c r="W2666" s="2" t="s">
        <v>4487</v>
      </c>
      <c r="X2666" s="2" t="s">
        <v>43</v>
      </c>
      <c r="Y2666" s="2" t="s">
        <v>37</v>
      </c>
      <c r="Z2666" s="2" t="s">
        <v>44</v>
      </c>
      <c r="AA2666" s="2"/>
      <c r="AB2666" s="2"/>
      <c r="AC2666" s="2" t="s">
        <v>20404</v>
      </c>
      <c r="AD2666" s="2" t="s">
        <v>46</v>
      </c>
    </row>
    <row r="2667" customFormat="false" ht="15.7" hidden="false" customHeight="true" outlineLevel="0" collapsed="false">
      <c r="A2667" s="2"/>
      <c r="B2667" s="3" t="n">
        <f aca="false">DATE(2016,3,29)</f>
        <v>0</v>
      </c>
      <c r="C2667" s="3" t="n">
        <v>42458</v>
      </c>
      <c r="D2667" s="2" t="s">
        <v>20405</v>
      </c>
      <c r="F2667" s="2" t="s">
        <v>20406</v>
      </c>
      <c r="G2667" s="2" t="s">
        <v>20407</v>
      </c>
      <c r="H2667" s="2" t="s">
        <v>20408</v>
      </c>
      <c r="I2667" s="2" t="s">
        <v>4753</v>
      </c>
      <c r="J2667" s="2" t="s">
        <v>35</v>
      </c>
      <c r="K2667" s="2" t="s">
        <v>20409</v>
      </c>
      <c r="L2667" s="2" t="s">
        <v>4753</v>
      </c>
      <c r="M2667" s="2" t="s">
        <v>20410</v>
      </c>
      <c r="N2667" s="2" t="s">
        <v>20411</v>
      </c>
      <c r="O2667" s="2"/>
      <c r="P2667" s="2" t="s">
        <v>37</v>
      </c>
      <c r="Q2667" s="4" t="n">
        <v>9711</v>
      </c>
      <c r="R2667" s="2" t="s">
        <v>450</v>
      </c>
      <c r="S2667" s="2" t="s">
        <v>39</v>
      </c>
      <c r="T2667" s="2" t="s">
        <v>403</v>
      </c>
      <c r="U2667" s="2" t="s">
        <v>20412</v>
      </c>
      <c r="V2667" s="2"/>
      <c r="W2667" s="2" t="s">
        <v>20413</v>
      </c>
      <c r="X2667" s="2" t="s">
        <v>46</v>
      </c>
      <c r="Y2667" s="2" t="s">
        <v>37</v>
      </c>
      <c r="Z2667" s="2" t="s">
        <v>44</v>
      </c>
      <c r="AA2667" s="2"/>
      <c r="AB2667" s="2"/>
      <c r="AC2667" s="2" t="s">
        <v>20414</v>
      </c>
      <c r="AD2667" s="2" t="s">
        <v>46</v>
      </c>
    </row>
    <row r="2668" customFormat="false" ht="15.7" hidden="false" customHeight="true" outlineLevel="0" collapsed="false">
      <c r="A2668" s="2"/>
      <c r="B2668" s="3" t="n">
        <f aca="false">DATE(2016,3,29)</f>
        <v>0</v>
      </c>
      <c r="C2668" s="3" t="n">
        <v>42458</v>
      </c>
      <c r="D2668" s="2" t="s">
        <v>20415</v>
      </c>
      <c r="F2668" s="2" t="s">
        <v>20416</v>
      </c>
      <c r="G2668" s="2" t="s">
        <v>20417</v>
      </c>
      <c r="H2668" s="2" t="s">
        <v>20418</v>
      </c>
      <c r="I2668" s="2" t="s">
        <v>662</v>
      </c>
      <c r="J2668" s="2" t="s">
        <v>5379</v>
      </c>
      <c r="K2668" s="2" t="s">
        <v>20419</v>
      </c>
      <c r="L2668" s="2" t="s">
        <v>662</v>
      </c>
      <c r="M2668" s="2" t="s">
        <v>20420</v>
      </c>
      <c r="N2668" s="2" t="s">
        <v>20421</v>
      </c>
      <c r="O2668" s="2"/>
      <c r="P2668" s="2" t="s">
        <v>37</v>
      </c>
      <c r="Q2668" s="4" t="n">
        <v>7011</v>
      </c>
      <c r="R2668" s="2" t="s">
        <v>7068</v>
      </c>
      <c r="S2668" s="2" t="s">
        <v>39</v>
      </c>
      <c r="T2668" s="2" t="s">
        <v>403</v>
      </c>
      <c r="U2668" s="2" t="s">
        <v>20422</v>
      </c>
      <c r="V2668" s="2"/>
      <c r="W2668" s="2" t="s">
        <v>20423</v>
      </c>
      <c r="X2668" s="2" t="s">
        <v>46</v>
      </c>
      <c r="Y2668" s="2" t="s">
        <v>37</v>
      </c>
      <c r="Z2668" s="2" t="s">
        <v>362</v>
      </c>
      <c r="AA2668" s="2"/>
      <c r="AB2668" s="2"/>
      <c r="AC2668" s="2" t="s">
        <v>20424</v>
      </c>
      <c r="AD2668" s="2" t="s">
        <v>46</v>
      </c>
    </row>
    <row r="2669" customFormat="false" ht="15.7" hidden="false" customHeight="true" outlineLevel="0" collapsed="false">
      <c r="A2669" s="2"/>
      <c r="B2669" s="3" t="n">
        <f aca="false">DATE(2016,4,4)</f>
        <v>0</v>
      </c>
      <c r="C2669" s="3" t="n">
        <v>42464</v>
      </c>
      <c r="D2669" s="2" t="s">
        <v>20425</v>
      </c>
      <c r="F2669" s="2" t="s">
        <v>20426</v>
      </c>
      <c r="G2669" s="2" t="s">
        <v>20427</v>
      </c>
      <c r="H2669" s="2" t="s">
        <v>13053</v>
      </c>
      <c r="I2669" s="2" t="s">
        <v>51</v>
      </c>
      <c r="J2669" s="2" t="s">
        <v>3838</v>
      </c>
      <c r="K2669" s="2" t="s">
        <v>20425</v>
      </c>
      <c r="L2669" s="2" t="s">
        <v>51</v>
      </c>
      <c r="M2669" s="2" t="s">
        <v>13053</v>
      </c>
      <c r="N2669" s="2" t="s">
        <v>20428</v>
      </c>
      <c r="O2669" s="2"/>
      <c r="P2669" s="2" t="s">
        <v>37</v>
      </c>
      <c r="Q2669" s="4" t="n">
        <v>8731</v>
      </c>
      <c r="R2669" s="2" t="s">
        <v>56</v>
      </c>
      <c r="S2669" s="2"/>
      <c r="T2669" s="2" t="s">
        <v>403</v>
      </c>
      <c r="U2669" s="2" t="s">
        <v>20429</v>
      </c>
      <c r="V2669" s="2"/>
      <c r="W2669" s="2" t="s">
        <v>18171</v>
      </c>
      <c r="X2669" s="2" t="s">
        <v>46</v>
      </c>
      <c r="Y2669" s="2" t="s">
        <v>37</v>
      </c>
      <c r="Z2669" s="2" t="s">
        <v>362</v>
      </c>
      <c r="AA2669" s="2"/>
      <c r="AB2669" s="2"/>
      <c r="AC2669" s="2" t="s">
        <v>20430</v>
      </c>
      <c r="AD2669" s="2" t="s">
        <v>46</v>
      </c>
    </row>
    <row r="2670" customFormat="false" ht="15.7" hidden="false" customHeight="true" outlineLevel="0" collapsed="false">
      <c r="A2670" s="2"/>
      <c r="B2670" s="3" t="n">
        <f aca="false">DATE(2016,4,6)</f>
        <v>0</v>
      </c>
      <c r="C2670" s="3" t="n">
        <v>42466</v>
      </c>
      <c r="D2670" s="2" t="s">
        <v>20431</v>
      </c>
      <c r="F2670" s="2" t="s">
        <v>20432</v>
      </c>
      <c r="G2670" s="2" t="s">
        <v>20433</v>
      </c>
      <c r="H2670" s="2" t="s">
        <v>20434</v>
      </c>
      <c r="I2670" s="2" t="s">
        <v>2727</v>
      </c>
      <c r="J2670" s="2" t="s">
        <v>35</v>
      </c>
      <c r="K2670" s="2" t="s">
        <v>20435</v>
      </c>
      <c r="L2670" s="2" t="s">
        <v>2727</v>
      </c>
      <c r="M2670" s="2" t="s">
        <v>20436</v>
      </c>
      <c r="N2670" s="2" t="s">
        <v>20437</v>
      </c>
      <c r="O2670" s="2"/>
      <c r="P2670" s="2" t="s">
        <v>37</v>
      </c>
      <c r="Q2670" s="4" t="n">
        <v>8731</v>
      </c>
      <c r="R2670" s="2" t="s">
        <v>402</v>
      </c>
      <c r="S2670" s="2" t="s">
        <v>39</v>
      </c>
      <c r="T2670" s="2" t="s">
        <v>403</v>
      </c>
      <c r="U2670" s="2" t="s">
        <v>20438</v>
      </c>
      <c r="V2670" s="2"/>
      <c r="W2670" s="2" t="s">
        <v>2209</v>
      </c>
      <c r="X2670" s="2" t="s">
        <v>46</v>
      </c>
      <c r="Y2670" s="2" t="s">
        <v>37</v>
      </c>
      <c r="Z2670" s="2" t="s">
        <v>2732</v>
      </c>
      <c r="AA2670" s="2" t="s">
        <v>20439</v>
      </c>
      <c r="AB2670" s="2"/>
      <c r="AC2670" s="2" t="s">
        <v>20440</v>
      </c>
      <c r="AD2670" s="2" t="s">
        <v>46</v>
      </c>
    </row>
    <row r="2671" customFormat="false" ht="15.7" hidden="false" customHeight="true" outlineLevel="0" collapsed="false">
      <c r="A2671" s="2"/>
      <c r="B2671" s="3" t="n">
        <f aca="false">DATE(2016,4,6)</f>
        <v>0</v>
      </c>
      <c r="C2671" s="3" t="n">
        <v>42466</v>
      </c>
      <c r="D2671" s="2" t="s">
        <v>20431</v>
      </c>
      <c r="F2671" s="2" t="s">
        <v>20432</v>
      </c>
      <c r="G2671" s="2" t="s">
        <v>20433</v>
      </c>
      <c r="H2671" s="2" t="s">
        <v>20434</v>
      </c>
      <c r="I2671" s="2" t="s">
        <v>2727</v>
      </c>
      <c r="J2671" s="2" t="s">
        <v>35</v>
      </c>
      <c r="K2671" s="2" t="s">
        <v>20435</v>
      </c>
      <c r="L2671" s="2" t="s">
        <v>2727</v>
      </c>
      <c r="M2671" s="2" t="s">
        <v>20436</v>
      </c>
      <c r="N2671" s="2" t="s">
        <v>20437</v>
      </c>
      <c r="O2671" s="2"/>
      <c r="P2671" s="2" t="s">
        <v>37</v>
      </c>
      <c r="Q2671" s="4" t="n">
        <v>8731</v>
      </c>
      <c r="R2671" s="2" t="s">
        <v>402</v>
      </c>
      <c r="S2671" s="2" t="s">
        <v>39</v>
      </c>
      <c r="T2671" s="2" t="s">
        <v>403</v>
      </c>
      <c r="U2671" s="2" t="s">
        <v>20441</v>
      </c>
      <c r="V2671" s="2"/>
      <c r="W2671" s="2" t="s">
        <v>42</v>
      </c>
      <c r="X2671" s="2" t="s">
        <v>46</v>
      </c>
      <c r="Y2671" s="2" t="s">
        <v>37</v>
      </c>
      <c r="Z2671" s="2" t="s">
        <v>2732</v>
      </c>
      <c r="AA2671" s="2"/>
      <c r="AB2671" s="2"/>
      <c r="AC2671" s="2" t="s">
        <v>20440</v>
      </c>
      <c r="AD2671" s="2" t="s">
        <v>46</v>
      </c>
    </row>
    <row r="2672" customFormat="false" ht="15.7" hidden="false" customHeight="true" outlineLevel="0" collapsed="false">
      <c r="A2672" s="2"/>
      <c r="B2672" s="3" t="n">
        <f aca="false">DATE(2016,4,7)</f>
        <v>0</v>
      </c>
      <c r="C2672" s="3" t="n">
        <v>42467</v>
      </c>
      <c r="D2672" s="2" t="s">
        <v>20442</v>
      </c>
      <c r="F2672" s="2" t="s">
        <v>20443</v>
      </c>
      <c r="G2672" s="2" t="s">
        <v>20444</v>
      </c>
      <c r="H2672" s="2" t="s">
        <v>20445</v>
      </c>
      <c r="I2672" s="2" t="s">
        <v>51</v>
      </c>
      <c r="J2672" s="2" t="s">
        <v>20446</v>
      </c>
      <c r="K2672" s="2" t="s">
        <v>20447</v>
      </c>
      <c r="L2672" s="2" t="s">
        <v>51</v>
      </c>
      <c r="M2672" s="2" t="s">
        <v>20448</v>
      </c>
      <c r="N2672" s="2" t="s">
        <v>20449</v>
      </c>
      <c r="O2672" s="2"/>
      <c r="P2672" s="2" t="s">
        <v>37</v>
      </c>
      <c r="Q2672" s="4" t="n">
        <v>1221</v>
      </c>
      <c r="R2672" s="2" t="s">
        <v>56</v>
      </c>
      <c r="S2672" s="2"/>
      <c r="T2672" s="2" t="s">
        <v>403</v>
      </c>
      <c r="U2672" s="2" t="s">
        <v>20450</v>
      </c>
      <c r="V2672" s="2"/>
      <c r="W2672" s="2" t="s">
        <v>5039</v>
      </c>
      <c r="X2672" s="2" t="s">
        <v>46</v>
      </c>
      <c r="Y2672" s="2" t="s">
        <v>37</v>
      </c>
      <c r="Z2672" s="2" t="s">
        <v>44</v>
      </c>
      <c r="AA2672" s="2"/>
      <c r="AB2672" s="2"/>
      <c r="AC2672" s="2" t="s">
        <v>20451</v>
      </c>
      <c r="AD2672" s="2" t="s">
        <v>46</v>
      </c>
    </row>
    <row r="2673" customFormat="false" ht="15.7" hidden="false" customHeight="true" outlineLevel="0" collapsed="false">
      <c r="A2673" s="2"/>
      <c r="B2673" s="3" t="n">
        <f aca="false">DATE(2016,4,8)</f>
        <v>0</v>
      </c>
      <c r="C2673" s="3" t="n">
        <v>42468</v>
      </c>
      <c r="D2673" s="2" t="s">
        <v>20452</v>
      </c>
      <c r="F2673" s="2" t="s">
        <v>20453</v>
      </c>
      <c r="G2673" s="2" t="s">
        <v>20454</v>
      </c>
      <c r="H2673" s="2" t="s">
        <v>20455</v>
      </c>
      <c r="I2673" s="2" t="s">
        <v>20456</v>
      </c>
      <c r="J2673" s="2" t="s">
        <v>35</v>
      </c>
      <c r="K2673" s="2" t="s">
        <v>20457</v>
      </c>
      <c r="L2673" s="2" t="s">
        <v>410</v>
      </c>
      <c r="M2673" s="2" t="s">
        <v>20458</v>
      </c>
      <c r="N2673" s="2" t="s">
        <v>20459</v>
      </c>
      <c r="O2673" s="2"/>
      <c r="P2673" s="2" t="s">
        <v>37</v>
      </c>
      <c r="Q2673" s="4" t="n">
        <v>8731</v>
      </c>
      <c r="R2673" s="2" t="s">
        <v>1441</v>
      </c>
      <c r="S2673" s="2" t="s">
        <v>39</v>
      </c>
      <c r="T2673" s="2" t="s">
        <v>403</v>
      </c>
      <c r="U2673" s="2" t="s">
        <v>20460</v>
      </c>
      <c r="V2673" s="2"/>
      <c r="W2673" s="2" t="s">
        <v>697</v>
      </c>
      <c r="X2673" s="2" t="s">
        <v>43</v>
      </c>
      <c r="Y2673" s="2" t="s">
        <v>37</v>
      </c>
      <c r="Z2673" s="2" t="s">
        <v>44</v>
      </c>
      <c r="AA2673" s="2"/>
      <c r="AB2673" s="2"/>
      <c r="AC2673" s="2" t="s">
        <v>20461</v>
      </c>
      <c r="AD2673" s="2" t="s">
        <v>46</v>
      </c>
    </row>
    <row r="2674" customFormat="false" ht="15.7" hidden="false" customHeight="true" outlineLevel="0" collapsed="false">
      <c r="A2674" s="2"/>
      <c r="B2674" s="3" t="n">
        <f aca="false">DATE(2016,4,11)</f>
        <v>0</v>
      </c>
      <c r="C2674" s="3" t="n">
        <v>42471</v>
      </c>
      <c r="D2674" s="2" t="s">
        <v>20462</v>
      </c>
      <c r="F2674" s="2" t="s">
        <v>20463</v>
      </c>
      <c r="G2674" s="2" t="s">
        <v>20464</v>
      </c>
      <c r="H2674" s="2" t="s">
        <v>20323</v>
      </c>
      <c r="I2674" s="2" t="s">
        <v>15494</v>
      </c>
      <c r="J2674" s="2" t="s">
        <v>575</v>
      </c>
      <c r="K2674" s="2" t="s">
        <v>20465</v>
      </c>
      <c r="L2674" s="2" t="s">
        <v>388</v>
      </c>
      <c r="M2674" s="2" t="s">
        <v>20323</v>
      </c>
      <c r="N2674" s="2" t="s">
        <v>20466</v>
      </c>
      <c r="O2674" s="2"/>
      <c r="P2674" s="2" t="s">
        <v>37</v>
      </c>
      <c r="Q2674" s="4" t="n">
        <v>4812</v>
      </c>
      <c r="R2674" s="2" t="s">
        <v>56</v>
      </c>
      <c r="S2674" s="2"/>
      <c r="T2674" s="2" t="s">
        <v>403</v>
      </c>
      <c r="U2674" s="2" t="s">
        <v>20467</v>
      </c>
      <c r="V2674" s="2"/>
      <c r="W2674" s="2" t="s">
        <v>14079</v>
      </c>
      <c r="X2674" s="2" t="s">
        <v>46</v>
      </c>
      <c r="Y2674" s="2" t="s">
        <v>37</v>
      </c>
      <c r="Z2674" s="2" t="s">
        <v>44</v>
      </c>
      <c r="AA2674" s="2"/>
      <c r="AB2674" s="2"/>
      <c r="AC2674" s="2" t="s">
        <v>20468</v>
      </c>
      <c r="AD2674" s="2" t="s">
        <v>46</v>
      </c>
    </row>
    <row r="2675" customFormat="false" ht="15.7" hidden="false" customHeight="true" outlineLevel="0" collapsed="false">
      <c r="A2675" s="2"/>
      <c r="B2675" s="3" t="n">
        <f aca="false">DATE(2016,4,11)</f>
        <v>0</v>
      </c>
      <c r="C2675" s="3" t="n">
        <v>42471</v>
      </c>
      <c r="D2675" s="2" t="s">
        <v>20469</v>
      </c>
      <c r="F2675" s="2" t="s">
        <v>20470</v>
      </c>
      <c r="G2675" s="2" t="s">
        <v>20471</v>
      </c>
      <c r="H2675" s="2" t="s">
        <v>20472</v>
      </c>
      <c r="I2675" s="2" t="s">
        <v>296</v>
      </c>
      <c r="J2675" s="2" t="s">
        <v>1456</v>
      </c>
      <c r="K2675" s="2" t="s">
        <v>20469</v>
      </c>
      <c r="L2675" s="2" t="s">
        <v>296</v>
      </c>
      <c r="M2675" s="2" t="s">
        <v>20472</v>
      </c>
      <c r="N2675" s="2" t="s">
        <v>20473</v>
      </c>
      <c r="O2675" s="2"/>
      <c r="P2675" s="2" t="s">
        <v>37</v>
      </c>
      <c r="Q2675" s="4" t="n">
        <v>8731</v>
      </c>
      <c r="R2675" s="2" t="s">
        <v>9420</v>
      </c>
      <c r="S2675" s="2" t="s">
        <v>39</v>
      </c>
      <c r="T2675" s="2" t="s">
        <v>403</v>
      </c>
      <c r="U2675" s="2" t="s">
        <v>20474</v>
      </c>
      <c r="V2675" s="2"/>
      <c r="W2675" s="2" t="s">
        <v>4505</v>
      </c>
      <c r="X2675" s="2" t="s">
        <v>46</v>
      </c>
      <c r="Y2675" s="2" t="s">
        <v>37</v>
      </c>
      <c r="Z2675" s="2" t="s">
        <v>12970</v>
      </c>
      <c r="AA2675" s="2" t="s">
        <v>20475</v>
      </c>
      <c r="AB2675" s="2"/>
      <c r="AC2675" s="2" t="s">
        <v>20476</v>
      </c>
      <c r="AD2675" s="2" t="s">
        <v>46</v>
      </c>
    </row>
    <row r="2676" customFormat="false" ht="15.7" hidden="false" customHeight="true" outlineLevel="0" collapsed="false">
      <c r="A2676" s="2"/>
      <c r="B2676" s="3" t="n">
        <f aca="false">DATE(2016,4,13)</f>
        <v>0</v>
      </c>
      <c r="C2676" s="3" t="n">
        <v>42473</v>
      </c>
      <c r="D2676" s="2" t="s">
        <v>20477</v>
      </c>
      <c r="F2676" s="2" t="s">
        <v>20478</v>
      </c>
      <c r="G2676" s="2" t="s">
        <v>20479</v>
      </c>
      <c r="H2676" s="2" t="s">
        <v>20480</v>
      </c>
      <c r="I2676" s="2" t="s">
        <v>51</v>
      </c>
      <c r="J2676" s="2" t="s">
        <v>2338</v>
      </c>
      <c r="K2676" s="2" t="s">
        <v>20477</v>
      </c>
      <c r="L2676" s="2" t="s">
        <v>51</v>
      </c>
      <c r="M2676" s="2" t="s">
        <v>20480</v>
      </c>
      <c r="N2676" s="2" t="s">
        <v>20481</v>
      </c>
      <c r="O2676" s="2"/>
      <c r="P2676" s="2" t="s">
        <v>37</v>
      </c>
      <c r="Q2676" s="4" t="n">
        <v>8731</v>
      </c>
      <c r="R2676" s="2" t="s">
        <v>56</v>
      </c>
      <c r="S2676" s="2"/>
      <c r="T2676" s="2" t="s">
        <v>403</v>
      </c>
      <c r="U2676" s="2" t="s">
        <v>20482</v>
      </c>
      <c r="V2676" s="2"/>
      <c r="W2676" s="2" t="s">
        <v>3235</v>
      </c>
      <c r="X2676" s="2" t="s">
        <v>43</v>
      </c>
      <c r="Y2676" s="2" t="s">
        <v>37</v>
      </c>
      <c r="Z2676" s="2" t="s">
        <v>44</v>
      </c>
      <c r="AA2676" s="2"/>
      <c r="AB2676" s="2"/>
      <c r="AC2676" s="2" t="s">
        <v>20483</v>
      </c>
      <c r="AD2676" s="2" t="s">
        <v>46</v>
      </c>
    </row>
    <row r="2677" customFormat="false" ht="15.7" hidden="false" customHeight="true" outlineLevel="0" collapsed="false">
      <c r="A2677" s="2"/>
      <c r="B2677" s="3" t="n">
        <f aca="false">DATE(2016,4,15)</f>
        <v>0</v>
      </c>
      <c r="C2677" s="3" t="n">
        <v>42475</v>
      </c>
      <c r="D2677" s="2" t="s">
        <v>20484</v>
      </c>
      <c r="F2677" s="2" t="s">
        <v>20485</v>
      </c>
      <c r="G2677" s="2" t="s">
        <v>20486</v>
      </c>
      <c r="H2677" s="2" t="s">
        <v>20487</v>
      </c>
      <c r="I2677" s="2" t="s">
        <v>20488</v>
      </c>
      <c r="J2677" s="2" t="s">
        <v>35</v>
      </c>
      <c r="K2677" s="2" t="s">
        <v>20484</v>
      </c>
      <c r="L2677" s="2" t="s">
        <v>20488</v>
      </c>
      <c r="M2677" s="2" t="s">
        <v>20487</v>
      </c>
      <c r="N2677" s="2" t="s">
        <v>20489</v>
      </c>
      <c r="O2677" s="2"/>
      <c r="P2677" s="2" t="s">
        <v>37</v>
      </c>
      <c r="Q2677" s="4" t="n">
        <v>8731</v>
      </c>
      <c r="R2677" s="2" t="s">
        <v>9420</v>
      </c>
      <c r="S2677" s="2" t="s">
        <v>39</v>
      </c>
      <c r="T2677" s="2" t="s">
        <v>403</v>
      </c>
      <c r="U2677" s="2" t="s">
        <v>20490</v>
      </c>
      <c r="V2677" s="2"/>
      <c r="W2677" s="2" t="s">
        <v>9400</v>
      </c>
      <c r="X2677" s="2" t="s">
        <v>46</v>
      </c>
      <c r="Y2677" s="2" t="s">
        <v>37</v>
      </c>
      <c r="Z2677" s="2" t="s">
        <v>362</v>
      </c>
      <c r="AA2677" s="2" t="s">
        <v>20491</v>
      </c>
      <c r="AB2677" s="2"/>
      <c r="AC2677" s="2" t="s">
        <v>20492</v>
      </c>
      <c r="AD2677" s="2" t="s">
        <v>46</v>
      </c>
    </row>
    <row r="2678" customFormat="false" ht="15.7" hidden="false" customHeight="true" outlineLevel="0" collapsed="false">
      <c r="A2678" s="2"/>
      <c r="B2678" s="3" t="n">
        <f aca="false">DATE(2016,4,21)</f>
        <v>0</v>
      </c>
      <c r="C2678" s="3" t="n">
        <v>42481</v>
      </c>
      <c r="D2678" s="2" t="s">
        <v>20493</v>
      </c>
      <c r="F2678" s="2" t="s">
        <v>20494</v>
      </c>
      <c r="G2678" s="2" t="s">
        <v>20495</v>
      </c>
      <c r="H2678" s="2" t="s">
        <v>20496</v>
      </c>
      <c r="I2678" s="2" t="s">
        <v>51</v>
      </c>
      <c r="J2678" s="2" t="s">
        <v>1652</v>
      </c>
      <c r="K2678" s="2" t="s">
        <v>20497</v>
      </c>
      <c r="L2678" s="2" t="s">
        <v>51</v>
      </c>
      <c r="M2678" s="2" t="s">
        <v>20498</v>
      </c>
      <c r="N2678" s="2" t="s">
        <v>20499</v>
      </c>
      <c r="O2678" s="2"/>
      <c r="P2678" s="2" t="s">
        <v>37</v>
      </c>
      <c r="Q2678" s="4" t="n">
        <v>4922</v>
      </c>
      <c r="R2678" s="2" t="s">
        <v>56</v>
      </c>
      <c r="S2678" s="2" t="s">
        <v>507</v>
      </c>
      <c r="T2678" s="2" t="s">
        <v>40</v>
      </c>
      <c r="U2678" s="2" t="s">
        <v>20500</v>
      </c>
      <c r="V2678" s="2"/>
      <c r="W2678" s="2" t="s">
        <v>20501</v>
      </c>
      <c r="X2678" s="2" t="s">
        <v>46</v>
      </c>
      <c r="Y2678" s="2" t="s">
        <v>37</v>
      </c>
      <c r="Z2678" s="2" t="s">
        <v>362</v>
      </c>
      <c r="AA2678" s="2" t="s">
        <v>20502</v>
      </c>
      <c r="AB2678" s="2"/>
      <c r="AC2678" s="2" t="s">
        <v>20503</v>
      </c>
      <c r="AD2678" s="2" t="s">
        <v>46</v>
      </c>
    </row>
    <row r="2679" customFormat="false" ht="15.7" hidden="false" customHeight="true" outlineLevel="0" collapsed="false">
      <c r="A2679" s="2"/>
      <c r="B2679" s="3" t="n">
        <f aca="false">DATE(2016,4,21)</f>
        <v>0</v>
      </c>
      <c r="C2679" s="3" t="n">
        <v>42481</v>
      </c>
      <c r="D2679" s="2" t="s">
        <v>20504</v>
      </c>
      <c r="F2679" s="2" t="s">
        <v>20505</v>
      </c>
      <c r="G2679" s="2" t="s">
        <v>20506</v>
      </c>
      <c r="H2679" s="2" t="s">
        <v>7311</v>
      </c>
      <c r="I2679" s="2" t="s">
        <v>670</v>
      </c>
      <c r="J2679" s="2" t="s">
        <v>65</v>
      </c>
      <c r="K2679" s="2" t="s">
        <v>20504</v>
      </c>
      <c r="L2679" s="2" t="s">
        <v>670</v>
      </c>
      <c r="M2679" s="2" t="s">
        <v>7311</v>
      </c>
      <c r="N2679" s="2" t="s">
        <v>20507</v>
      </c>
      <c r="O2679" s="2"/>
      <c r="P2679" s="2" t="s">
        <v>37</v>
      </c>
      <c r="Q2679" s="4" t="n">
        <v>8731</v>
      </c>
      <c r="R2679" s="2" t="s">
        <v>402</v>
      </c>
      <c r="S2679" s="2" t="s">
        <v>39</v>
      </c>
      <c r="T2679" s="2" t="s">
        <v>40</v>
      </c>
      <c r="U2679" s="2" t="s">
        <v>20508</v>
      </c>
      <c r="V2679" s="2"/>
      <c r="W2679" s="2" t="s">
        <v>2367</v>
      </c>
      <c r="X2679" s="2" t="s">
        <v>46</v>
      </c>
      <c r="Y2679" s="2" t="s">
        <v>37</v>
      </c>
      <c r="Z2679" s="2" t="s">
        <v>44</v>
      </c>
      <c r="AA2679" s="2" t="s">
        <v>20509</v>
      </c>
      <c r="AB2679" s="2"/>
      <c r="AC2679" s="2" t="s">
        <v>20510</v>
      </c>
      <c r="AD2679" s="2" t="s">
        <v>46</v>
      </c>
    </row>
    <row r="2680" customFormat="false" ht="15.7" hidden="false" customHeight="true" outlineLevel="0" collapsed="false">
      <c r="A2680" s="2"/>
      <c r="B2680" s="3" t="n">
        <f aca="false">DATE(2016,4,24)</f>
        <v>0</v>
      </c>
      <c r="C2680" s="3" t="n">
        <v>42484</v>
      </c>
      <c r="D2680" s="2" t="s">
        <v>20511</v>
      </c>
      <c r="F2680" s="2" t="s">
        <v>20512</v>
      </c>
      <c r="G2680" s="2" t="s">
        <v>20513</v>
      </c>
      <c r="H2680" s="2" t="s">
        <v>20514</v>
      </c>
      <c r="I2680" s="2" t="s">
        <v>2530</v>
      </c>
      <c r="J2680" s="2" t="s">
        <v>20515</v>
      </c>
      <c r="K2680" s="2" t="s">
        <v>20516</v>
      </c>
      <c r="L2680" s="2" t="s">
        <v>2530</v>
      </c>
      <c r="M2680" s="2" t="s">
        <v>20517</v>
      </c>
      <c r="N2680" s="2" t="s">
        <v>20518</v>
      </c>
      <c r="O2680" s="2"/>
      <c r="P2680" s="2" t="s">
        <v>37</v>
      </c>
      <c r="Q2680" s="4" t="n">
        <v>8731</v>
      </c>
      <c r="R2680" s="2" t="s">
        <v>56</v>
      </c>
      <c r="S2680" s="2"/>
      <c r="T2680" s="2" t="s">
        <v>403</v>
      </c>
      <c r="U2680" s="2" t="s">
        <v>20519</v>
      </c>
      <c r="V2680" s="2"/>
      <c r="W2680" s="2" t="s">
        <v>5464</v>
      </c>
      <c r="X2680" s="2" t="s">
        <v>43</v>
      </c>
      <c r="Y2680" s="2" t="s">
        <v>37</v>
      </c>
      <c r="Z2680" s="2" t="s">
        <v>916</v>
      </c>
      <c r="AA2680" s="2"/>
      <c r="AB2680" s="2"/>
      <c r="AC2680" s="2" t="s">
        <v>20520</v>
      </c>
      <c r="AD2680" s="2" t="s">
        <v>46</v>
      </c>
    </row>
    <row r="2681" customFormat="false" ht="15.7" hidden="false" customHeight="true" outlineLevel="0" collapsed="false">
      <c r="A2681" s="2"/>
      <c r="B2681" s="3" t="n">
        <f aca="false">DATE(2016,4,29)</f>
        <v>0</v>
      </c>
      <c r="C2681" s="3" t="n">
        <v>42489</v>
      </c>
      <c r="D2681" s="2" t="s">
        <v>20521</v>
      </c>
      <c r="F2681" s="2" t="s">
        <v>20522</v>
      </c>
      <c r="G2681" s="2" t="s">
        <v>20523</v>
      </c>
      <c r="H2681" s="2" t="s">
        <v>20524</v>
      </c>
      <c r="I2681" s="2" t="s">
        <v>20525</v>
      </c>
      <c r="J2681" s="2" t="s">
        <v>35</v>
      </c>
      <c r="K2681" s="2" t="s">
        <v>20526</v>
      </c>
      <c r="L2681" s="2" t="s">
        <v>20525</v>
      </c>
      <c r="M2681" s="2" t="s">
        <v>20527</v>
      </c>
      <c r="N2681" s="2" t="s">
        <v>20528</v>
      </c>
      <c r="O2681" s="2"/>
      <c r="P2681" s="2" t="s">
        <v>37</v>
      </c>
      <c r="Q2681" s="4" t="n">
        <v>8731</v>
      </c>
      <c r="R2681" s="2" t="s">
        <v>136</v>
      </c>
      <c r="S2681" s="2" t="s">
        <v>39</v>
      </c>
      <c r="T2681" s="2" t="s">
        <v>403</v>
      </c>
      <c r="U2681" s="2" t="s">
        <v>20529</v>
      </c>
      <c r="V2681" s="2"/>
      <c r="W2681" s="2" t="s">
        <v>4505</v>
      </c>
      <c r="X2681" s="2" t="s">
        <v>46</v>
      </c>
      <c r="Y2681" s="2" t="s">
        <v>37</v>
      </c>
      <c r="Z2681" s="2" t="s">
        <v>18992</v>
      </c>
      <c r="AA2681" s="2"/>
      <c r="AB2681" s="2"/>
      <c r="AC2681" s="2" t="s">
        <v>20530</v>
      </c>
      <c r="AD2681" s="2" t="s">
        <v>46</v>
      </c>
    </row>
    <row r="2682" customFormat="false" ht="15.7" hidden="false" customHeight="true" outlineLevel="0" collapsed="false">
      <c r="A2682" s="2"/>
      <c r="B2682" s="3" t="n">
        <f aca="false">DATE(2016,5,2)</f>
        <v>0</v>
      </c>
      <c r="C2682" s="3" t="n">
        <v>42492</v>
      </c>
      <c r="D2682" s="2" t="s">
        <v>20531</v>
      </c>
      <c r="F2682" s="2" t="s">
        <v>20532</v>
      </c>
      <c r="G2682" s="2" t="s">
        <v>20533</v>
      </c>
      <c r="H2682" s="2" t="s">
        <v>20534</v>
      </c>
      <c r="I2682" s="2" t="s">
        <v>51</v>
      </c>
      <c r="J2682" s="2" t="s">
        <v>2338</v>
      </c>
      <c r="K2682" s="2" t="s">
        <v>20535</v>
      </c>
      <c r="L2682" s="2" t="s">
        <v>51</v>
      </c>
      <c r="M2682" s="2" t="s">
        <v>20536</v>
      </c>
      <c r="N2682" s="2" t="s">
        <v>20537</v>
      </c>
      <c r="O2682" s="2"/>
      <c r="P2682" s="2" t="s">
        <v>37</v>
      </c>
      <c r="Q2682" s="4" t="n">
        <v>8731</v>
      </c>
      <c r="R2682" s="2" t="s">
        <v>56</v>
      </c>
      <c r="S2682" s="2"/>
      <c r="T2682" s="2" t="s">
        <v>40</v>
      </c>
      <c r="U2682" s="2" t="s">
        <v>20538</v>
      </c>
      <c r="V2682" s="2"/>
      <c r="W2682" s="2" t="s">
        <v>2636</v>
      </c>
      <c r="X2682" s="2" t="s">
        <v>43</v>
      </c>
      <c r="Y2682" s="2" t="s">
        <v>37</v>
      </c>
      <c r="Z2682" s="2" t="s">
        <v>44</v>
      </c>
      <c r="AA2682" s="2"/>
      <c r="AB2682" s="2"/>
      <c r="AC2682" s="2" t="s">
        <v>20539</v>
      </c>
      <c r="AD2682" s="2" t="s">
        <v>46</v>
      </c>
    </row>
    <row r="2683" customFormat="false" ht="15.7" hidden="false" customHeight="true" outlineLevel="0" collapsed="false">
      <c r="A2683" s="2"/>
      <c r="B2683" s="3" t="n">
        <f aca="false">DATE(2016,5,11)</f>
        <v>0</v>
      </c>
      <c r="C2683" s="3" t="n">
        <v>42501</v>
      </c>
      <c r="D2683" s="2" t="s">
        <v>20540</v>
      </c>
      <c r="F2683" s="2" t="s">
        <v>20541</v>
      </c>
      <c r="G2683" s="2" t="s">
        <v>20542</v>
      </c>
      <c r="H2683" s="2" t="s">
        <v>130</v>
      </c>
      <c r="I2683" s="2" t="s">
        <v>51</v>
      </c>
      <c r="J2683" s="2" t="s">
        <v>10154</v>
      </c>
      <c r="K2683" s="2" t="s">
        <v>20540</v>
      </c>
      <c r="L2683" s="2" t="s">
        <v>51</v>
      </c>
      <c r="M2683" s="2" t="s">
        <v>130</v>
      </c>
      <c r="N2683" s="2" t="s">
        <v>20543</v>
      </c>
      <c r="O2683" s="2"/>
      <c r="P2683" s="2" t="s">
        <v>79</v>
      </c>
      <c r="Q2683" s="4" t="n">
        <v>6794</v>
      </c>
      <c r="R2683" s="2" t="s">
        <v>56</v>
      </c>
      <c r="S2683" s="2" t="s">
        <v>7553</v>
      </c>
      <c r="T2683" s="2" t="s">
        <v>1036</v>
      </c>
      <c r="U2683" s="2" t="s">
        <v>20544</v>
      </c>
      <c r="V2683" s="2"/>
      <c r="W2683" s="2" t="s">
        <v>20545</v>
      </c>
      <c r="X2683" s="2" t="s">
        <v>43</v>
      </c>
      <c r="Y2683" s="2" t="s">
        <v>37</v>
      </c>
      <c r="Z2683" s="2" t="s">
        <v>44</v>
      </c>
      <c r="AA2683" s="2"/>
      <c r="AB2683" s="2"/>
      <c r="AC2683" s="2" t="s">
        <v>20546</v>
      </c>
      <c r="AD2683" s="2" t="s">
        <v>46</v>
      </c>
    </row>
    <row r="2684" customFormat="false" ht="15.7" hidden="false" customHeight="true" outlineLevel="0" collapsed="false">
      <c r="A2684" s="2"/>
      <c r="B2684" s="3" t="n">
        <f aca="false">DATE(2016,5,12)</f>
        <v>0</v>
      </c>
      <c r="C2684" s="3" t="n">
        <v>42502</v>
      </c>
      <c r="D2684" s="2" t="s">
        <v>20547</v>
      </c>
      <c r="F2684" s="2" t="s">
        <v>20548</v>
      </c>
      <c r="G2684" s="2" t="s">
        <v>20549</v>
      </c>
      <c r="H2684" s="2" t="s">
        <v>20550</v>
      </c>
      <c r="I2684" s="2" t="s">
        <v>1080</v>
      </c>
      <c r="J2684" s="2" t="s">
        <v>35</v>
      </c>
      <c r="K2684" s="2" t="s">
        <v>20551</v>
      </c>
      <c r="L2684" s="2" t="s">
        <v>14116</v>
      </c>
      <c r="M2684" s="2" t="s">
        <v>8207</v>
      </c>
      <c r="N2684" s="2" t="s">
        <v>20552</v>
      </c>
      <c r="O2684" s="2"/>
      <c r="P2684" s="2" t="s">
        <v>37</v>
      </c>
      <c r="Q2684" s="4" t="n">
        <v>8731</v>
      </c>
      <c r="R2684" s="2" t="s">
        <v>2201</v>
      </c>
      <c r="S2684" s="2" t="s">
        <v>39</v>
      </c>
      <c r="T2684" s="2" t="s">
        <v>40</v>
      </c>
      <c r="U2684" s="2" t="s">
        <v>20553</v>
      </c>
      <c r="V2684" s="2"/>
      <c r="W2684" s="2" t="s">
        <v>10985</v>
      </c>
      <c r="X2684" s="2" t="s">
        <v>43</v>
      </c>
      <c r="Y2684" s="2" t="s">
        <v>37</v>
      </c>
      <c r="Z2684" s="2" t="s">
        <v>44</v>
      </c>
      <c r="AA2684" s="2"/>
      <c r="AB2684" s="2"/>
      <c r="AC2684" s="2" t="s">
        <v>20554</v>
      </c>
      <c r="AD2684" s="2" t="s">
        <v>46</v>
      </c>
    </row>
    <row r="2685" customFormat="false" ht="15.7" hidden="false" customHeight="true" outlineLevel="0" collapsed="false">
      <c r="A2685" s="2"/>
      <c r="B2685" s="3" t="n">
        <f aca="false">DATE(2016,5,16)</f>
        <v>0</v>
      </c>
      <c r="C2685" s="3" t="n">
        <v>42506</v>
      </c>
      <c r="D2685" s="2" t="s">
        <v>20555</v>
      </c>
      <c r="F2685" s="2" t="s">
        <v>20556</v>
      </c>
      <c r="G2685" s="2" t="s">
        <v>20557</v>
      </c>
      <c r="H2685" s="2" t="s">
        <v>8479</v>
      </c>
      <c r="I2685" s="2" t="s">
        <v>8543</v>
      </c>
      <c r="J2685" s="2" t="s">
        <v>35</v>
      </c>
      <c r="K2685" s="2" t="s">
        <v>20555</v>
      </c>
      <c r="L2685" s="2" t="s">
        <v>8543</v>
      </c>
      <c r="M2685" s="2" t="s">
        <v>8479</v>
      </c>
      <c r="N2685" s="2" t="s">
        <v>20558</v>
      </c>
      <c r="O2685" s="2"/>
      <c r="P2685" s="2" t="s">
        <v>37</v>
      </c>
      <c r="Q2685" s="4" t="n">
        <v>3999</v>
      </c>
      <c r="R2685" s="2" t="s">
        <v>38</v>
      </c>
      <c r="S2685" s="2" t="s">
        <v>39</v>
      </c>
      <c r="T2685" s="2" t="s">
        <v>403</v>
      </c>
      <c r="U2685" s="2" t="s">
        <v>20559</v>
      </c>
      <c r="V2685" s="2"/>
      <c r="W2685" s="2" t="s">
        <v>107</v>
      </c>
      <c r="X2685" s="2" t="s">
        <v>46</v>
      </c>
      <c r="Y2685" s="2" t="s">
        <v>37</v>
      </c>
      <c r="Z2685" s="2" t="s">
        <v>44</v>
      </c>
      <c r="AA2685" s="2" t="s">
        <v>20560</v>
      </c>
      <c r="AB2685" s="2"/>
      <c r="AC2685" s="2" t="s">
        <v>20561</v>
      </c>
      <c r="AD2685" s="2" t="s">
        <v>46</v>
      </c>
    </row>
    <row r="2686" customFormat="false" ht="15.7" hidden="false" customHeight="true" outlineLevel="0" collapsed="false">
      <c r="A2686" s="2"/>
      <c r="B2686" s="3" t="n">
        <f aca="false">DATE(2016,5,18)</f>
        <v>0</v>
      </c>
      <c r="C2686" s="3" t="n">
        <v>42508</v>
      </c>
      <c r="D2686" s="2" t="s">
        <v>20562</v>
      </c>
      <c r="F2686" s="2" t="s">
        <v>20563</v>
      </c>
      <c r="G2686" s="2" t="s">
        <v>20564</v>
      </c>
      <c r="H2686" s="2" t="s">
        <v>20565</v>
      </c>
      <c r="I2686" s="2" t="s">
        <v>6078</v>
      </c>
      <c r="J2686" s="2" t="s">
        <v>35</v>
      </c>
      <c r="K2686" s="2" t="s">
        <v>20566</v>
      </c>
      <c r="L2686" s="2" t="s">
        <v>20567</v>
      </c>
      <c r="M2686" s="2" t="s">
        <v>20565</v>
      </c>
      <c r="N2686" s="2" t="s">
        <v>20568</v>
      </c>
      <c r="O2686" s="2"/>
      <c r="P2686" s="2" t="s">
        <v>37</v>
      </c>
      <c r="Q2686" s="4" t="n">
        <v>1081</v>
      </c>
      <c r="R2686" s="2" t="s">
        <v>20569</v>
      </c>
      <c r="S2686" s="2" t="s">
        <v>39</v>
      </c>
      <c r="T2686" s="2" t="s">
        <v>40</v>
      </c>
      <c r="U2686" s="2" t="s">
        <v>20570</v>
      </c>
      <c r="V2686" s="2"/>
      <c r="W2686" s="2" t="s">
        <v>20571</v>
      </c>
      <c r="X2686" s="2" t="s">
        <v>46</v>
      </c>
      <c r="Y2686" s="2" t="s">
        <v>37</v>
      </c>
      <c r="Z2686" s="2" t="s">
        <v>987</v>
      </c>
      <c r="AA2686" s="2" t="s">
        <v>20572</v>
      </c>
      <c r="AB2686" s="2"/>
      <c r="AC2686" s="2" t="s">
        <v>20573</v>
      </c>
      <c r="AD2686" s="2" t="s">
        <v>46</v>
      </c>
    </row>
    <row r="2687" customFormat="false" ht="15.7" hidden="false" customHeight="true" outlineLevel="0" collapsed="false">
      <c r="A2687" s="2"/>
      <c r="B2687" s="3" t="n">
        <f aca="false">DATE(2016,5,24)</f>
        <v>0</v>
      </c>
      <c r="C2687" s="3" t="n">
        <v>42514</v>
      </c>
      <c r="D2687" s="2" t="s">
        <v>20574</v>
      </c>
      <c r="F2687" s="2" t="s">
        <v>20575</v>
      </c>
      <c r="G2687" s="2" t="s">
        <v>20576</v>
      </c>
      <c r="H2687" s="2" t="s">
        <v>20577</v>
      </c>
      <c r="I2687" s="2" t="s">
        <v>540</v>
      </c>
      <c r="J2687" s="2" t="s">
        <v>35</v>
      </c>
      <c r="K2687" s="2" t="s">
        <v>20574</v>
      </c>
      <c r="L2687" s="2" t="s">
        <v>540</v>
      </c>
      <c r="M2687" s="2" t="s">
        <v>20577</v>
      </c>
      <c r="N2687" s="2" t="s">
        <v>20578</v>
      </c>
      <c r="O2687" s="2" t="s">
        <v>20579</v>
      </c>
      <c r="P2687" s="2" t="s">
        <v>37</v>
      </c>
      <c r="Q2687" s="4" t="n">
        <v>4581</v>
      </c>
      <c r="R2687" s="2" t="s">
        <v>1448</v>
      </c>
      <c r="S2687" s="2" t="s">
        <v>39</v>
      </c>
      <c r="T2687" s="2" t="s">
        <v>403</v>
      </c>
      <c r="U2687" s="2" t="s">
        <v>20580</v>
      </c>
      <c r="V2687" s="2"/>
      <c r="W2687" s="2" t="s">
        <v>20581</v>
      </c>
      <c r="X2687" s="2" t="s">
        <v>46</v>
      </c>
      <c r="Y2687" s="2" t="s">
        <v>37</v>
      </c>
      <c r="Z2687" s="2" t="s">
        <v>362</v>
      </c>
      <c r="AA2687" s="2"/>
      <c r="AB2687" s="2" t="s">
        <v>20582</v>
      </c>
      <c r="AC2687" s="2" t="s">
        <v>20583</v>
      </c>
      <c r="AD2687" s="2" t="s">
        <v>46</v>
      </c>
    </row>
    <row r="2688" customFormat="false" ht="15.7" hidden="false" customHeight="true" outlineLevel="0" collapsed="false">
      <c r="A2688" s="2"/>
      <c r="B2688" s="3" t="n">
        <f aca="false">DATE(2016,6,2)</f>
        <v>0</v>
      </c>
      <c r="C2688" s="3" t="n">
        <v>42523</v>
      </c>
      <c r="D2688" s="2" t="s">
        <v>20584</v>
      </c>
      <c r="F2688" s="2" t="s">
        <v>20585</v>
      </c>
      <c r="G2688" s="2" t="s">
        <v>20586</v>
      </c>
      <c r="H2688" s="2" t="s">
        <v>14443</v>
      </c>
      <c r="I2688" s="2" t="s">
        <v>1645</v>
      </c>
      <c r="J2688" s="2" t="s">
        <v>35</v>
      </c>
      <c r="K2688" s="2" t="s">
        <v>20584</v>
      </c>
      <c r="L2688" s="2" t="s">
        <v>1645</v>
      </c>
      <c r="M2688" s="2" t="s">
        <v>14443</v>
      </c>
      <c r="N2688" s="2" t="s">
        <v>20587</v>
      </c>
      <c r="O2688" s="2"/>
      <c r="P2688" s="2" t="s">
        <v>37</v>
      </c>
      <c r="Q2688" s="4" t="n">
        <v>8731</v>
      </c>
      <c r="R2688" s="2" t="s">
        <v>1402</v>
      </c>
      <c r="S2688" s="2" t="s">
        <v>39</v>
      </c>
      <c r="T2688" s="2" t="s">
        <v>40</v>
      </c>
      <c r="U2688" s="2" t="s">
        <v>20588</v>
      </c>
      <c r="V2688" s="2"/>
      <c r="W2688" s="2" t="s">
        <v>42</v>
      </c>
      <c r="X2688" s="2" t="s">
        <v>46</v>
      </c>
      <c r="Y2688" s="2" t="s">
        <v>37</v>
      </c>
      <c r="Z2688" s="2" t="s">
        <v>362</v>
      </c>
      <c r="AA2688" s="2"/>
      <c r="AB2688" s="2"/>
      <c r="AC2688" s="2" t="s">
        <v>20589</v>
      </c>
      <c r="AD2688" s="2" t="s">
        <v>46</v>
      </c>
    </row>
    <row r="2689" customFormat="false" ht="15.7" hidden="false" customHeight="true" outlineLevel="0" collapsed="false">
      <c r="A2689" s="2"/>
      <c r="B2689" s="3" t="n">
        <f aca="false">DATE(2016,6,7)</f>
        <v>0</v>
      </c>
      <c r="C2689" s="3" t="n">
        <v>42528</v>
      </c>
      <c r="D2689" s="2" t="s">
        <v>20590</v>
      </c>
      <c r="F2689" s="2" t="s">
        <v>20591</v>
      </c>
      <c r="G2689" s="2" t="s">
        <v>20592</v>
      </c>
      <c r="H2689" s="2" t="s">
        <v>305</v>
      </c>
      <c r="I2689" s="2" t="s">
        <v>3265</v>
      </c>
      <c r="J2689" s="2" t="s">
        <v>732</v>
      </c>
      <c r="K2689" s="2" t="s">
        <v>20593</v>
      </c>
      <c r="L2689" s="2" t="s">
        <v>3265</v>
      </c>
      <c r="M2689" s="2" t="s">
        <v>305</v>
      </c>
      <c r="N2689" s="2" t="s">
        <v>20594</v>
      </c>
      <c r="O2689" s="2"/>
      <c r="P2689" s="2" t="s">
        <v>37</v>
      </c>
      <c r="Q2689" s="4" t="n">
        <v>8731</v>
      </c>
      <c r="R2689" s="2" t="s">
        <v>402</v>
      </c>
      <c r="S2689" s="2" t="s">
        <v>39</v>
      </c>
      <c r="T2689" s="2" t="s">
        <v>403</v>
      </c>
      <c r="U2689" s="2" t="s">
        <v>20595</v>
      </c>
      <c r="V2689" s="2"/>
      <c r="W2689" s="2" t="s">
        <v>344</v>
      </c>
      <c r="X2689" s="2" t="s">
        <v>46</v>
      </c>
      <c r="Y2689" s="2" t="s">
        <v>37</v>
      </c>
      <c r="Z2689" s="2" t="s">
        <v>987</v>
      </c>
      <c r="AA2689" s="2" t="s">
        <v>20596</v>
      </c>
      <c r="AB2689" s="2"/>
      <c r="AC2689" s="2" t="s">
        <v>20597</v>
      </c>
      <c r="AD2689" s="2" t="s">
        <v>46</v>
      </c>
    </row>
    <row r="2690" customFormat="false" ht="15.7" hidden="false" customHeight="true" outlineLevel="0" collapsed="false">
      <c r="A2690" s="2"/>
      <c r="B2690" s="3" t="n">
        <f aca="false">DATE(2016,6,7)</f>
        <v>0</v>
      </c>
      <c r="C2690" s="3" t="n">
        <v>42528</v>
      </c>
      <c r="D2690" s="2" t="s">
        <v>11363</v>
      </c>
      <c r="F2690" s="2" t="s">
        <v>11364</v>
      </c>
      <c r="G2690" s="2" t="s">
        <v>11365</v>
      </c>
      <c r="H2690" s="2" t="s">
        <v>130</v>
      </c>
      <c r="I2690" s="2" t="s">
        <v>51</v>
      </c>
      <c r="J2690" s="2" t="s">
        <v>828</v>
      </c>
      <c r="K2690" s="2" t="s">
        <v>11363</v>
      </c>
      <c r="L2690" s="2" t="s">
        <v>51</v>
      </c>
      <c r="M2690" s="2" t="s">
        <v>130</v>
      </c>
      <c r="N2690" s="2" t="s">
        <v>11366</v>
      </c>
      <c r="O2690" s="2"/>
      <c r="P2690" s="2" t="s">
        <v>37</v>
      </c>
      <c r="Q2690" s="4" t="n">
        <v>8731</v>
      </c>
      <c r="R2690" s="2" t="s">
        <v>56</v>
      </c>
      <c r="S2690" s="2" t="s">
        <v>80</v>
      </c>
      <c r="T2690" s="2" t="s">
        <v>122</v>
      </c>
      <c r="U2690" s="2" t="s">
        <v>20598</v>
      </c>
      <c r="V2690" s="2"/>
      <c r="W2690" s="2" t="s">
        <v>11368</v>
      </c>
      <c r="X2690" s="2" t="s">
        <v>43</v>
      </c>
      <c r="Y2690" s="2" t="s">
        <v>37</v>
      </c>
      <c r="Z2690" s="2" t="s">
        <v>44</v>
      </c>
      <c r="AA2690" s="2"/>
      <c r="AB2690" s="2"/>
      <c r="AC2690" s="2" t="s">
        <v>11370</v>
      </c>
      <c r="AD2690" s="2" t="s">
        <v>46</v>
      </c>
    </row>
    <row r="2691" customFormat="false" ht="15.7" hidden="false" customHeight="true" outlineLevel="0" collapsed="false">
      <c r="A2691" s="2"/>
      <c r="B2691" s="3" t="n">
        <f aca="false">DATE(2016,6,9)</f>
        <v>0</v>
      </c>
      <c r="C2691" s="3" t="n">
        <v>42530</v>
      </c>
      <c r="D2691" s="2" t="s">
        <v>20599</v>
      </c>
      <c r="F2691" s="2" t="s">
        <v>20600</v>
      </c>
      <c r="G2691" s="2" t="s">
        <v>20601</v>
      </c>
      <c r="H2691" s="2" t="s">
        <v>20602</v>
      </c>
      <c r="I2691" s="2" t="s">
        <v>51</v>
      </c>
      <c r="J2691" s="2" t="s">
        <v>171</v>
      </c>
      <c r="K2691" s="2" t="s">
        <v>20599</v>
      </c>
      <c r="L2691" s="2" t="s">
        <v>51</v>
      </c>
      <c r="M2691" s="2" t="s">
        <v>20602</v>
      </c>
      <c r="N2691" s="2" t="s">
        <v>20603</v>
      </c>
      <c r="O2691" s="2"/>
      <c r="P2691" s="2" t="s">
        <v>37</v>
      </c>
      <c r="Q2691" s="4" t="n">
        <v>8731</v>
      </c>
      <c r="R2691" s="2" t="s">
        <v>136</v>
      </c>
      <c r="S2691" s="2" t="s">
        <v>39</v>
      </c>
      <c r="T2691" s="2" t="s">
        <v>40</v>
      </c>
      <c r="U2691" s="2" t="s">
        <v>20604</v>
      </c>
      <c r="V2691" s="2"/>
      <c r="W2691" s="2" t="s">
        <v>42</v>
      </c>
      <c r="X2691" s="2" t="s">
        <v>43</v>
      </c>
      <c r="Y2691" s="2" t="s">
        <v>37</v>
      </c>
      <c r="Z2691" s="2" t="s">
        <v>44</v>
      </c>
      <c r="AA2691" s="2"/>
      <c r="AB2691" s="2"/>
      <c r="AC2691" s="2" t="s">
        <v>20605</v>
      </c>
      <c r="AD2691" s="2" t="s">
        <v>46</v>
      </c>
    </row>
    <row r="2692" customFormat="false" ht="15.7" hidden="false" customHeight="true" outlineLevel="0" collapsed="false">
      <c r="A2692" s="2"/>
      <c r="B2692" s="3" t="n">
        <f aca="false">DATE(2016,6,9)</f>
        <v>0</v>
      </c>
      <c r="C2692" s="3" t="n">
        <v>42530</v>
      </c>
      <c r="D2692" s="2" t="s">
        <v>20606</v>
      </c>
      <c r="F2692" s="2" t="s">
        <v>20607</v>
      </c>
      <c r="G2692" s="2" t="s">
        <v>20608</v>
      </c>
      <c r="H2692" s="2" t="s">
        <v>20609</v>
      </c>
      <c r="I2692" s="2" t="s">
        <v>20610</v>
      </c>
      <c r="J2692" s="2" t="s">
        <v>35</v>
      </c>
      <c r="K2692" s="2" t="s">
        <v>20606</v>
      </c>
      <c r="L2692" s="2" t="s">
        <v>20610</v>
      </c>
      <c r="M2692" s="2" t="s">
        <v>20609</v>
      </c>
      <c r="N2692" s="2" t="s">
        <v>20611</v>
      </c>
      <c r="O2692" s="2"/>
      <c r="P2692" s="2" t="s">
        <v>37</v>
      </c>
      <c r="Q2692" s="4" t="n">
        <v>3999</v>
      </c>
      <c r="R2692" s="2" t="s">
        <v>461</v>
      </c>
      <c r="S2692" s="2" t="s">
        <v>39</v>
      </c>
      <c r="T2692" s="2" t="s">
        <v>403</v>
      </c>
      <c r="U2692" s="2" t="s">
        <v>20612</v>
      </c>
      <c r="V2692" s="2"/>
      <c r="W2692" s="2" t="s">
        <v>107</v>
      </c>
      <c r="X2692" s="2" t="s">
        <v>46</v>
      </c>
      <c r="Y2692" s="2" t="s">
        <v>37</v>
      </c>
      <c r="Z2692" s="2" t="s">
        <v>362</v>
      </c>
      <c r="AA2692" s="2"/>
      <c r="AB2692" s="2"/>
      <c r="AC2692" s="2" t="s">
        <v>20613</v>
      </c>
      <c r="AD2692" s="2" t="s">
        <v>46</v>
      </c>
    </row>
    <row r="2693" customFormat="false" ht="15.7" hidden="false" customHeight="true" outlineLevel="0" collapsed="false">
      <c r="A2693" s="2"/>
      <c r="B2693" s="3" t="n">
        <f aca="false">DATE(2016,6,13)</f>
        <v>0</v>
      </c>
      <c r="C2693" s="3" t="n">
        <v>42534</v>
      </c>
      <c r="D2693" s="2" t="s">
        <v>20614</v>
      </c>
      <c r="F2693" s="2" t="s">
        <v>20615</v>
      </c>
      <c r="G2693" s="2" t="s">
        <v>20616</v>
      </c>
      <c r="H2693" s="2" t="s">
        <v>20617</v>
      </c>
      <c r="I2693" s="2" t="s">
        <v>34</v>
      </c>
      <c r="J2693" s="2" t="s">
        <v>35</v>
      </c>
      <c r="K2693" s="2" t="s">
        <v>20618</v>
      </c>
      <c r="L2693" s="2" t="s">
        <v>664</v>
      </c>
      <c r="M2693" s="2" t="s">
        <v>20619</v>
      </c>
      <c r="N2693" s="2" t="s">
        <v>20620</v>
      </c>
      <c r="O2693" s="2"/>
      <c r="P2693" s="2" t="s">
        <v>37</v>
      </c>
      <c r="Q2693" s="4" t="n">
        <v>8731</v>
      </c>
      <c r="R2693" s="2" t="s">
        <v>38</v>
      </c>
      <c r="S2693" s="2" t="s">
        <v>39</v>
      </c>
      <c r="T2693" s="2" t="s">
        <v>403</v>
      </c>
      <c r="U2693" s="2" t="s">
        <v>20621</v>
      </c>
      <c r="V2693" s="2"/>
      <c r="W2693" s="2" t="s">
        <v>138</v>
      </c>
      <c r="X2693" s="2" t="s">
        <v>46</v>
      </c>
      <c r="Y2693" s="2" t="s">
        <v>37</v>
      </c>
      <c r="Z2693" s="2" t="s">
        <v>12784</v>
      </c>
      <c r="AA2693" s="2"/>
      <c r="AB2693" s="2"/>
      <c r="AC2693" s="2" t="s">
        <v>20622</v>
      </c>
      <c r="AD2693" s="2" t="s">
        <v>46</v>
      </c>
    </row>
    <row r="2694" customFormat="false" ht="15.7" hidden="false" customHeight="true" outlineLevel="0" collapsed="false">
      <c r="A2694" s="2"/>
      <c r="B2694" s="3" t="n">
        <f aca="false">DATE(2016,6,14)</f>
        <v>0</v>
      </c>
      <c r="C2694" s="3" t="n">
        <v>42535</v>
      </c>
      <c r="D2694" s="2" t="s">
        <v>20623</v>
      </c>
      <c r="F2694" s="2" t="s">
        <v>20624</v>
      </c>
      <c r="G2694" s="2" t="s">
        <v>20625</v>
      </c>
      <c r="H2694" s="2" t="s">
        <v>12540</v>
      </c>
      <c r="I2694" s="2" t="s">
        <v>487</v>
      </c>
      <c r="J2694" s="2" t="s">
        <v>795</v>
      </c>
      <c r="K2694" s="2" t="s">
        <v>20626</v>
      </c>
      <c r="L2694" s="2" t="s">
        <v>487</v>
      </c>
      <c r="M2694" s="2" t="s">
        <v>6698</v>
      </c>
      <c r="N2694" s="2" t="s">
        <v>20627</v>
      </c>
      <c r="O2694" s="2"/>
      <c r="P2694" s="2" t="s">
        <v>37</v>
      </c>
      <c r="Q2694" s="4" t="n">
        <v>8731</v>
      </c>
      <c r="R2694" s="2" t="s">
        <v>1448</v>
      </c>
      <c r="S2694" s="2" t="s">
        <v>39</v>
      </c>
      <c r="T2694" s="2" t="s">
        <v>40</v>
      </c>
      <c r="U2694" s="2" t="s">
        <v>20628</v>
      </c>
      <c r="V2694" s="2"/>
      <c r="W2694" s="2" t="s">
        <v>42</v>
      </c>
      <c r="X2694" s="2" t="s">
        <v>43</v>
      </c>
      <c r="Y2694" s="2" t="s">
        <v>37</v>
      </c>
      <c r="Z2694" s="2" t="s">
        <v>44</v>
      </c>
      <c r="AA2694" s="2"/>
      <c r="AB2694" s="2"/>
      <c r="AC2694" s="2" t="s">
        <v>20629</v>
      </c>
      <c r="AD2694" s="2" t="s">
        <v>46</v>
      </c>
    </row>
    <row r="2695" customFormat="false" ht="15.7" hidden="false" customHeight="true" outlineLevel="0" collapsed="false">
      <c r="A2695" s="2"/>
      <c r="B2695" s="3" t="n">
        <f aca="false">DATE(2016,6,23)</f>
        <v>0</v>
      </c>
      <c r="C2695" s="3" t="n">
        <v>42544</v>
      </c>
      <c r="D2695" s="2" t="s">
        <v>20630</v>
      </c>
      <c r="F2695" s="2" t="s">
        <v>20631</v>
      </c>
      <c r="G2695" s="2" t="s">
        <v>20632</v>
      </c>
      <c r="H2695" s="2" t="s">
        <v>551</v>
      </c>
      <c r="I2695" s="2" t="s">
        <v>6838</v>
      </c>
      <c r="J2695" s="2" t="s">
        <v>35</v>
      </c>
      <c r="K2695" s="2" t="s">
        <v>20630</v>
      </c>
      <c r="L2695" s="2" t="s">
        <v>6838</v>
      </c>
      <c r="M2695" s="2" t="s">
        <v>551</v>
      </c>
      <c r="N2695" s="2" t="s">
        <v>20633</v>
      </c>
      <c r="O2695" s="2"/>
      <c r="P2695" s="2" t="s">
        <v>37</v>
      </c>
      <c r="Q2695" s="4" t="n">
        <v>3999</v>
      </c>
      <c r="R2695" s="2" t="s">
        <v>56</v>
      </c>
      <c r="S2695" s="2" t="s">
        <v>57</v>
      </c>
      <c r="T2695" s="2" t="s">
        <v>403</v>
      </c>
      <c r="U2695" s="2" t="s">
        <v>20634</v>
      </c>
      <c r="V2695" s="2"/>
      <c r="W2695" s="2" t="s">
        <v>107</v>
      </c>
      <c r="X2695" s="2" t="s">
        <v>46</v>
      </c>
      <c r="Y2695" s="2" t="s">
        <v>37</v>
      </c>
      <c r="Z2695" s="2" t="s">
        <v>44</v>
      </c>
      <c r="AA2695" s="2"/>
      <c r="AB2695" s="2"/>
      <c r="AC2695" s="2" t="s">
        <v>20635</v>
      </c>
      <c r="AD2695" s="2" t="s">
        <v>46</v>
      </c>
    </row>
    <row r="2696" customFormat="false" ht="15.7" hidden="false" customHeight="true" outlineLevel="0" collapsed="false">
      <c r="A2696" s="2"/>
      <c r="B2696" s="3" t="n">
        <f aca="false">DATE(2016,6,30)</f>
        <v>0</v>
      </c>
      <c r="C2696" s="3" t="n">
        <v>42551</v>
      </c>
      <c r="D2696" s="2" t="s">
        <v>20636</v>
      </c>
      <c r="F2696" s="2" t="s">
        <v>20637</v>
      </c>
      <c r="G2696" s="2" t="s">
        <v>20638</v>
      </c>
      <c r="H2696" s="2" t="s">
        <v>20639</v>
      </c>
      <c r="I2696" s="2" t="s">
        <v>435</v>
      </c>
      <c r="J2696" s="2" t="s">
        <v>4616</v>
      </c>
      <c r="K2696" s="2" t="s">
        <v>20636</v>
      </c>
      <c r="L2696" s="2" t="s">
        <v>435</v>
      </c>
      <c r="M2696" s="2" t="s">
        <v>20639</v>
      </c>
      <c r="N2696" s="2" t="s">
        <v>20640</v>
      </c>
      <c r="O2696" s="2"/>
      <c r="P2696" s="2" t="s">
        <v>37</v>
      </c>
      <c r="Q2696" s="4" t="n">
        <v>8731</v>
      </c>
      <c r="R2696" s="2" t="s">
        <v>56</v>
      </c>
      <c r="S2696" s="2" t="s">
        <v>472</v>
      </c>
      <c r="T2696" s="2" t="s">
        <v>40</v>
      </c>
      <c r="U2696" s="2" t="s">
        <v>20641</v>
      </c>
      <c r="V2696" s="2"/>
      <c r="W2696" s="2" t="s">
        <v>42</v>
      </c>
      <c r="X2696" s="2" t="s">
        <v>43</v>
      </c>
      <c r="Y2696" s="2" t="s">
        <v>37</v>
      </c>
      <c r="Z2696" s="2" t="s">
        <v>44</v>
      </c>
      <c r="AA2696" s="2"/>
      <c r="AB2696" s="2"/>
      <c r="AC2696" s="2" t="s">
        <v>20642</v>
      </c>
      <c r="AD2696" s="2" t="s">
        <v>46</v>
      </c>
    </row>
    <row r="2697" customFormat="false" ht="15.7" hidden="false" customHeight="true" outlineLevel="0" collapsed="false">
      <c r="A2697" s="2"/>
      <c r="B2697" s="3" t="n">
        <f aca="false">DATE(2016,6,30)</f>
        <v>0</v>
      </c>
      <c r="C2697" s="3" t="n">
        <v>42551</v>
      </c>
      <c r="D2697" s="2" t="s">
        <v>20643</v>
      </c>
      <c r="F2697" s="2" t="s">
        <v>20644</v>
      </c>
      <c r="G2697" s="2" t="s">
        <v>20645</v>
      </c>
      <c r="H2697" s="2" t="s">
        <v>305</v>
      </c>
      <c r="I2697" s="2" t="s">
        <v>685</v>
      </c>
      <c r="J2697" s="2" t="s">
        <v>35</v>
      </c>
      <c r="K2697" s="2" t="s">
        <v>20643</v>
      </c>
      <c r="L2697" s="2" t="s">
        <v>685</v>
      </c>
      <c r="M2697" s="2" t="s">
        <v>305</v>
      </c>
      <c r="N2697" s="2" t="s">
        <v>20646</v>
      </c>
      <c r="O2697" s="2"/>
      <c r="P2697" s="2" t="s">
        <v>37</v>
      </c>
      <c r="Q2697" s="4" t="n">
        <v>8099</v>
      </c>
      <c r="R2697" s="2" t="s">
        <v>688</v>
      </c>
      <c r="S2697" s="2" t="s">
        <v>39</v>
      </c>
      <c r="T2697" s="2" t="s">
        <v>40</v>
      </c>
      <c r="U2697" s="2" t="s">
        <v>20647</v>
      </c>
      <c r="V2697" s="2"/>
      <c r="W2697" s="2" t="s">
        <v>4487</v>
      </c>
      <c r="X2697" s="2" t="s">
        <v>46</v>
      </c>
      <c r="Y2697" s="2" t="s">
        <v>37</v>
      </c>
      <c r="Z2697" s="2" t="s">
        <v>44</v>
      </c>
      <c r="AA2697" s="2"/>
      <c r="AB2697" s="2"/>
      <c r="AC2697" s="2" t="s">
        <v>20648</v>
      </c>
      <c r="AD2697" s="2" t="s">
        <v>46</v>
      </c>
    </row>
    <row r="2698" customFormat="false" ht="15.7" hidden="false" customHeight="true" outlineLevel="0" collapsed="false">
      <c r="A2698" s="2"/>
      <c r="B2698" s="3" t="n">
        <f aca="false">DATE(2016,7,5)</f>
        <v>0</v>
      </c>
      <c r="C2698" s="3" t="n">
        <v>42556</v>
      </c>
      <c r="D2698" s="2" t="s">
        <v>20649</v>
      </c>
      <c r="F2698" s="2" t="s">
        <v>20650</v>
      </c>
      <c r="G2698" s="2" t="s">
        <v>20651</v>
      </c>
      <c r="H2698" s="2" t="s">
        <v>130</v>
      </c>
      <c r="I2698" s="2" t="s">
        <v>88</v>
      </c>
      <c r="J2698" s="2" t="s">
        <v>65</v>
      </c>
      <c r="K2698" s="2" t="s">
        <v>20649</v>
      </c>
      <c r="L2698" s="2" t="s">
        <v>88</v>
      </c>
      <c r="M2698" s="2" t="s">
        <v>130</v>
      </c>
      <c r="N2698" s="2" t="s">
        <v>20652</v>
      </c>
      <c r="O2698" s="2"/>
      <c r="P2698" s="2" t="s">
        <v>37</v>
      </c>
      <c r="Q2698" s="4" t="n">
        <v>8731</v>
      </c>
      <c r="R2698" s="2" t="s">
        <v>56</v>
      </c>
      <c r="S2698" s="2" t="s">
        <v>92</v>
      </c>
      <c r="T2698" s="2" t="s">
        <v>403</v>
      </c>
      <c r="U2698" s="2" t="s">
        <v>20653</v>
      </c>
      <c r="V2698" s="2"/>
      <c r="W2698" s="2" t="s">
        <v>42</v>
      </c>
      <c r="X2698" s="2" t="s">
        <v>43</v>
      </c>
      <c r="Y2698" s="2" t="s">
        <v>37</v>
      </c>
      <c r="Z2698" s="2" t="s">
        <v>44</v>
      </c>
      <c r="AA2698" s="2"/>
      <c r="AB2698" s="2"/>
      <c r="AC2698" s="2" t="s">
        <v>20654</v>
      </c>
      <c r="AD2698" s="2" t="s">
        <v>46</v>
      </c>
    </row>
    <row r="2699" customFormat="false" ht="15.7" hidden="false" customHeight="true" outlineLevel="0" collapsed="false">
      <c r="A2699" s="2"/>
      <c r="B2699" s="3" t="n">
        <f aca="false">DATE(2016,7,6)</f>
        <v>0</v>
      </c>
      <c r="C2699" s="3" t="n">
        <v>42557</v>
      </c>
      <c r="D2699" s="2" t="s">
        <v>20655</v>
      </c>
      <c r="F2699" s="2" t="s">
        <v>20656</v>
      </c>
      <c r="G2699" s="2" t="s">
        <v>20657</v>
      </c>
      <c r="H2699" s="2" t="s">
        <v>523</v>
      </c>
      <c r="I2699" s="2" t="s">
        <v>51</v>
      </c>
      <c r="J2699" s="2" t="s">
        <v>2633</v>
      </c>
      <c r="K2699" s="2" t="s">
        <v>20655</v>
      </c>
      <c r="L2699" s="2" t="s">
        <v>51</v>
      </c>
      <c r="M2699" s="2" t="s">
        <v>523</v>
      </c>
      <c r="N2699" s="2" t="s">
        <v>20658</v>
      </c>
      <c r="O2699" s="2"/>
      <c r="P2699" s="2" t="s">
        <v>37</v>
      </c>
      <c r="Q2699" s="4" t="n">
        <v>8731</v>
      </c>
      <c r="R2699" s="2" t="s">
        <v>56</v>
      </c>
      <c r="S2699" s="2"/>
      <c r="T2699" s="2" t="s">
        <v>403</v>
      </c>
      <c r="U2699" s="2" t="s">
        <v>20659</v>
      </c>
      <c r="V2699" s="2"/>
      <c r="W2699" s="2" t="s">
        <v>42</v>
      </c>
      <c r="X2699" s="2" t="s">
        <v>43</v>
      </c>
      <c r="Y2699" s="2" t="s">
        <v>37</v>
      </c>
      <c r="Z2699" s="2" t="s">
        <v>44</v>
      </c>
      <c r="AA2699" s="2"/>
      <c r="AB2699" s="2"/>
      <c r="AC2699" s="2" t="s">
        <v>20660</v>
      </c>
      <c r="AD2699" s="2" t="s">
        <v>46</v>
      </c>
    </row>
    <row r="2700" customFormat="false" ht="15.7" hidden="false" customHeight="true" outlineLevel="0" collapsed="false">
      <c r="A2700" s="2"/>
      <c r="B2700" s="3" t="n">
        <f aca="false">DATE(2016,7,6)</f>
        <v>0</v>
      </c>
      <c r="C2700" s="3" t="n">
        <v>42557</v>
      </c>
      <c r="D2700" s="2" t="s">
        <v>20661</v>
      </c>
      <c r="F2700" s="2" t="s">
        <v>20662</v>
      </c>
      <c r="G2700" s="2" t="s">
        <v>20663</v>
      </c>
      <c r="H2700" s="2" t="s">
        <v>10052</v>
      </c>
      <c r="I2700" s="2" t="s">
        <v>51</v>
      </c>
      <c r="J2700" s="2" t="s">
        <v>20664</v>
      </c>
      <c r="K2700" s="2" t="s">
        <v>20661</v>
      </c>
      <c r="L2700" s="2" t="s">
        <v>51</v>
      </c>
      <c r="M2700" s="2" t="s">
        <v>10052</v>
      </c>
      <c r="N2700" s="2" t="s">
        <v>20665</v>
      </c>
      <c r="O2700" s="2"/>
      <c r="P2700" s="2" t="s">
        <v>37</v>
      </c>
      <c r="Q2700" s="4" t="n">
        <v>8731</v>
      </c>
      <c r="R2700" s="2" t="s">
        <v>56</v>
      </c>
      <c r="S2700" s="2" t="s">
        <v>1484</v>
      </c>
      <c r="T2700" s="2" t="s">
        <v>403</v>
      </c>
      <c r="U2700" s="2" t="s">
        <v>20666</v>
      </c>
      <c r="V2700" s="2"/>
      <c r="W2700" s="2" t="s">
        <v>20005</v>
      </c>
      <c r="X2700" s="2" t="s">
        <v>46</v>
      </c>
      <c r="Y2700" s="2" t="s">
        <v>37</v>
      </c>
      <c r="Z2700" s="2" t="s">
        <v>44</v>
      </c>
      <c r="AA2700" s="2"/>
      <c r="AB2700" s="2"/>
      <c r="AC2700" s="2" t="s">
        <v>20667</v>
      </c>
      <c r="AD2700" s="2" t="s">
        <v>46</v>
      </c>
    </row>
    <row r="2701" customFormat="false" ht="15.7" hidden="false" customHeight="true" outlineLevel="0" collapsed="false">
      <c r="A2701" s="2"/>
      <c r="B2701" s="3" t="n">
        <f aca="false">DATE(2016,7,7)</f>
        <v>0</v>
      </c>
      <c r="C2701" s="3" t="n">
        <v>42558</v>
      </c>
      <c r="D2701" s="2" t="s">
        <v>20668</v>
      </c>
      <c r="F2701" s="2" t="s">
        <v>20669</v>
      </c>
      <c r="G2701" s="2" t="s">
        <v>20670</v>
      </c>
      <c r="H2701" s="2" t="s">
        <v>20671</v>
      </c>
      <c r="I2701" s="2" t="s">
        <v>51</v>
      </c>
      <c r="J2701" s="2" t="s">
        <v>20672</v>
      </c>
      <c r="K2701" s="2" t="s">
        <v>20668</v>
      </c>
      <c r="L2701" s="2" t="s">
        <v>51</v>
      </c>
      <c r="M2701" s="2" t="s">
        <v>20671</v>
      </c>
      <c r="N2701" s="2" t="s">
        <v>20673</v>
      </c>
      <c r="O2701" s="2"/>
      <c r="P2701" s="2" t="s">
        <v>37</v>
      </c>
      <c r="Q2701" s="4" t="n">
        <v>8731</v>
      </c>
      <c r="R2701" s="2" t="s">
        <v>56</v>
      </c>
      <c r="S2701" s="2"/>
      <c r="T2701" s="2" t="s">
        <v>403</v>
      </c>
      <c r="U2701" s="2" t="s">
        <v>20674</v>
      </c>
      <c r="V2701" s="2"/>
      <c r="W2701" s="2" t="s">
        <v>42</v>
      </c>
      <c r="X2701" s="2" t="s">
        <v>43</v>
      </c>
      <c r="Y2701" s="2" t="s">
        <v>37</v>
      </c>
      <c r="Z2701" s="2" t="s">
        <v>44</v>
      </c>
      <c r="AA2701" s="2"/>
      <c r="AB2701" s="2"/>
      <c r="AC2701" s="2" t="s">
        <v>20675</v>
      </c>
      <c r="AD2701" s="2" t="s">
        <v>46</v>
      </c>
    </row>
    <row r="2702" customFormat="false" ht="15.7" hidden="false" customHeight="true" outlineLevel="0" collapsed="false">
      <c r="A2702" s="2"/>
      <c r="B2702" s="3" t="n">
        <f aca="false">DATE(2016,7,14)</f>
        <v>0</v>
      </c>
      <c r="C2702" s="3" t="n">
        <v>42565</v>
      </c>
      <c r="D2702" s="2" t="s">
        <v>20676</v>
      </c>
      <c r="F2702" s="2" t="s">
        <v>20677</v>
      </c>
      <c r="G2702" s="2" t="s">
        <v>20678</v>
      </c>
      <c r="H2702" s="2" t="s">
        <v>63</v>
      </c>
      <c r="I2702" s="2" t="s">
        <v>100</v>
      </c>
      <c r="J2702" s="2" t="s">
        <v>625</v>
      </c>
      <c r="K2702" s="2" t="s">
        <v>20679</v>
      </c>
      <c r="L2702" s="2" t="s">
        <v>100</v>
      </c>
      <c r="M2702" s="2" t="s">
        <v>9318</v>
      </c>
      <c r="N2702" s="2" t="s">
        <v>20680</v>
      </c>
      <c r="O2702" s="2"/>
      <c r="P2702" s="2" t="s">
        <v>37</v>
      </c>
      <c r="Q2702" s="4" t="n">
        <v>8731</v>
      </c>
      <c r="R2702" s="2" t="s">
        <v>136</v>
      </c>
      <c r="S2702" s="2" t="s">
        <v>39</v>
      </c>
      <c r="T2702" s="2" t="s">
        <v>403</v>
      </c>
      <c r="U2702" s="2" t="s">
        <v>20681</v>
      </c>
      <c r="V2702" s="2"/>
      <c r="W2702" s="2" t="s">
        <v>1050</v>
      </c>
      <c r="X2702" s="2" t="s">
        <v>43</v>
      </c>
      <c r="Y2702" s="2" t="s">
        <v>37</v>
      </c>
      <c r="Z2702" s="2" t="s">
        <v>44</v>
      </c>
      <c r="AA2702" s="2"/>
      <c r="AB2702" s="2"/>
      <c r="AC2702" s="2" t="s">
        <v>20682</v>
      </c>
      <c r="AD2702" s="2" t="s">
        <v>46</v>
      </c>
    </row>
    <row r="2703" customFormat="false" ht="15.7" hidden="false" customHeight="true" outlineLevel="0" collapsed="false">
      <c r="A2703" s="2"/>
      <c r="B2703" s="3" t="n">
        <f aca="false">DATE(2016,7,14)</f>
        <v>0</v>
      </c>
      <c r="C2703" s="3" t="n">
        <v>42565</v>
      </c>
      <c r="D2703" s="2" t="s">
        <v>20683</v>
      </c>
      <c r="F2703" s="2" t="s">
        <v>20684</v>
      </c>
      <c r="G2703" s="2" t="s">
        <v>20685</v>
      </c>
      <c r="H2703" s="2" t="s">
        <v>7948</v>
      </c>
      <c r="I2703" s="2" t="s">
        <v>330</v>
      </c>
      <c r="J2703" s="2" t="s">
        <v>6730</v>
      </c>
      <c r="K2703" s="2" t="s">
        <v>20683</v>
      </c>
      <c r="L2703" s="2" t="s">
        <v>330</v>
      </c>
      <c r="M2703" s="2" t="s">
        <v>7948</v>
      </c>
      <c r="N2703" s="2" t="s">
        <v>20686</v>
      </c>
      <c r="O2703" s="2"/>
      <c r="P2703" s="2" t="s">
        <v>37</v>
      </c>
      <c r="Q2703" s="4" t="n">
        <v>8099</v>
      </c>
      <c r="R2703" s="2" t="s">
        <v>2201</v>
      </c>
      <c r="S2703" s="2" t="s">
        <v>39</v>
      </c>
      <c r="T2703" s="2" t="s">
        <v>403</v>
      </c>
      <c r="U2703" s="2" t="s">
        <v>20687</v>
      </c>
      <c r="V2703" s="2"/>
      <c r="W2703" s="2" t="s">
        <v>4487</v>
      </c>
      <c r="X2703" s="2" t="s">
        <v>46</v>
      </c>
      <c r="Y2703" s="2" t="s">
        <v>37</v>
      </c>
      <c r="Z2703" s="2" t="s">
        <v>362</v>
      </c>
      <c r="AA2703" s="2"/>
      <c r="AB2703" s="2"/>
      <c r="AC2703" s="2" t="s">
        <v>20688</v>
      </c>
      <c r="AD2703" s="2" t="s">
        <v>46</v>
      </c>
    </row>
    <row r="2704" customFormat="false" ht="15.7" hidden="false" customHeight="true" outlineLevel="0" collapsed="false">
      <c r="A2704" s="2"/>
      <c r="B2704" s="3" t="n">
        <f aca="false">DATE(2016,7,15)</f>
        <v>0</v>
      </c>
      <c r="C2704" s="3" t="n">
        <v>42566</v>
      </c>
      <c r="D2704" s="2" t="s">
        <v>20689</v>
      </c>
      <c r="F2704" s="2" t="s">
        <v>20690</v>
      </c>
      <c r="G2704" s="2" t="s">
        <v>20691</v>
      </c>
      <c r="H2704" s="2" t="s">
        <v>20692</v>
      </c>
      <c r="I2704" s="2" t="s">
        <v>13096</v>
      </c>
      <c r="J2704" s="2" t="s">
        <v>35</v>
      </c>
      <c r="K2704" s="2" t="s">
        <v>20693</v>
      </c>
      <c r="L2704" s="2" t="s">
        <v>13096</v>
      </c>
      <c r="M2704" s="2" t="s">
        <v>1476</v>
      </c>
      <c r="N2704" s="2" t="s">
        <v>20694</v>
      </c>
      <c r="O2704" s="2"/>
      <c r="P2704" s="2" t="s">
        <v>37</v>
      </c>
      <c r="Q2704" s="4" t="n">
        <v>8731</v>
      </c>
      <c r="R2704" s="2" t="s">
        <v>2201</v>
      </c>
      <c r="S2704" s="2" t="s">
        <v>39</v>
      </c>
      <c r="T2704" s="2" t="s">
        <v>403</v>
      </c>
      <c r="U2704" s="2" t="s">
        <v>20695</v>
      </c>
      <c r="V2704" s="2"/>
      <c r="W2704" s="2" t="s">
        <v>42</v>
      </c>
      <c r="X2704" s="2" t="s">
        <v>43</v>
      </c>
      <c r="Y2704" s="2" t="s">
        <v>37</v>
      </c>
      <c r="Z2704" s="2" t="s">
        <v>44</v>
      </c>
      <c r="AA2704" s="2"/>
      <c r="AB2704" s="2"/>
      <c r="AC2704" s="2" t="s">
        <v>20696</v>
      </c>
      <c r="AD2704" s="2" t="s">
        <v>46</v>
      </c>
    </row>
    <row r="2705" customFormat="false" ht="15.7" hidden="false" customHeight="true" outlineLevel="0" collapsed="false">
      <c r="A2705" s="2"/>
      <c r="B2705" s="3" t="n">
        <f aca="false">DATE(2016,7,15)</f>
        <v>0</v>
      </c>
      <c r="C2705" s="3" t="n">
        <v>42566</v>
      </c>
      <c r="D2705" s="2" t="s">
        <v>20697</v>
      </c>
      <c r="F2705" s="2" t="s">
        <v>20250</v>
      </c>
      <c r="G2705" s="2" t="s">
        <v>20698</v>
      </c>
      <c r="H2705" s="2" t="s">
        <v>10686</v>
      </c>
      <c r="I2705" s="2" t="s">
        <v>20699</v>
      </c>
      <c r="J2705" s="2" t="s">
        <v>35</v>
      </c>
      <c r="K2705" s="2" t="s">
        <v>20697</v>
      </c>
      <c r="L2705" s="2" t="s">
        <v>20699</v>
      </c>
      <c r="M2705" s="2" t="s">
        <v>10686</v>
      </c>
      <c r="N2705" s="2" t="s">
        <v>20700</v>
      </c>
      <c r="O2705" s="2"/>
      <c r="P2705" s="2" t="s">
        <v>37</v>
      </c>
      <c r="Q2705" s="4" t="n">
        <v>1522</v>
      </c>
      <c r="R2705" s="2" t="s">
        <v>1402</v>
      </c>
      <c r="S2705" s="2" t="s">
        <v>39</v>
      </c>
      <c r="T2705" s="2" t="s">
        <v>40</v>
      </c>
      <c r="U2705" s="2" t="s">
        <v>20701</v>
      </c>
      <c r="V2705" s="2"/>
      <c r="W2705" s="2" t="s">
        <v>18958</v>
      </c>
      <c r="X2705" s="2" t="s">
        <v>46</v>
      </c>
      <c r="Y2705" s="2" t="s">
        <v>37</v>
      </c>
      <c r="Z2705" s="2" t="s">
        <v>362</v>
      </c>
      <c r="AA2705" s="2"/>
      <c r="AB2705" s="2"/>
      <c r="AC2705" s="2" t="s">
        <v>20702</v>
      </c>
      <c r="AD2705" s="2" t="s">
        <v>46</v>
      </c>
    </row>
    <row r="2706" customFormat="false" ht="15.7" hidden="false" customHeight="true" outlineLevel="0" collapsed="false">
      <c r="A2706" s="2"/>
      <c r="B2706" s="3" t="n">
        <f aca="false">DATE(2016,7,18)</f>
        <v>0</v>
      </c>
      <c r="C2706" s="3" t="n">
        <v>42569</v>
      </c>
      <c r="D2706" s="2" t="s">
        <v>20703</v>
      </c>
      <c r="F2706" s="2" t="s">
        <v>20704</v>
      </c>
      <c r="G2706" s="2" t="s">
        <v>20705</v>
      </c>
      <c r="H2706" s="2" t="s">
        <v>20706</v>
      </c>
      <c r="I2706" s="2" t="s">
        <v>51</v>
      </c>
      <c r="J2706" s="2" t="s">
        <v>7353</v>
      </c>
      <c r="K2706" s="2" t="s">
        <v>20703</v>
      </c>
      <c r="L2706" s="2" t="s">
        <v>51</v>
      </c>
      <c r="M2706" s="2" t="s">
        <v>20706</v>
      </c>
      <c r="N2706" s="2" t="s">
        <v>20707</v>
      </c>
      <c r="O2706" s="2"/>
      <c r="P2706" s="2" t="s">
        <v>37</v>
      </c>
      <c r="Q2706" s="4" t="n">
        <v>8731</v>
      </c>
      <c r="R2706" s="2" t="s">
        <v>56</v>
      </c>
      <c r="S2706" s="2" t="s">
        <v>92</v>
      </c>
      <c r="T2706" s="2" t="s">
        <v>403</v>
      </c>
      <c r="U2706" s="2" t="s">
        <v>20708</v>
      </c>
      <c r="V2706" s="2"/>
      <c r="W2706" s="2" t="s">
        <v>42</v>
      </c>
      <c r="X2706" s="2" t="s">
        <v>43</v>
      </c>
      <c r="Y2706" s="2" t="s">
        <v>37</v>
      </c>
      <c r="Z2706" s="2" t="s">
        <v>44</v>
      </c>
      <c r="AA2706" s="2"/>
      <c r="AB2706" s="2"/>
      <c r="AC2706" s="2" t="s">
        <v>20709</v>
      </c>
      <c r="AD2706" s="2" t="s">
        <v>46</v>
      </c>
    </row>
    <row r="2707" customFormat="false" ht="15.7" hidden="false" customHeight="true" outlineLevel="0" collapsed="false">
      <c r="A2707" s="2"/>
      <c r="B2707" s="3" t="n">
        <f aca="false">DATE(2016,7,19)</f>
        <v>0</v>
      </c>
      <c r="C2707" s="3" t="n">
        <v>42570</v>
      </c>
      <c r="D2707" s="2" t="s">
        <v>20710</v>
      </c>
      <c r="F2707" s="2" t="s">
        <v>20711</v>
      </c>
      <c r="G2707" s="2" t="s">
        <v>20712</v>
      </c>
      <c r="H2707" s="2" t="s">
        <v>2283</v>
      </c>
      <c r="I2707" s="2" t="s">
        <v>369</v>
      </c>
      <c r="J2707" s="2" t="s">
        <v>35</v>
      </c>
      <c r="K2707" s="2" t="s">
        <v>20713</v>
      </c>
      <c r="L2707" s="2" t="s">
        <v>2581</v>
      </c>
      <c r="M2707" s="2" t="s">
        <v>523</v>
      </c>
      <c r="N2707" s="2" t="s">
        <v>20714</v>
      </c>
      <c r="O2707" s="2"/>
      <c r="P2707" s="2" t="s">
        <v>37</v>
      </c>
      <c r="Q2707" s="4" t="n">
        <v>8731</v>
      </c>
      <c r="R2707" s="2" t="s">
        <v>105</v>
      </c>
      <c r="S2707" s="2" t="s">
        <v>39</v>
      </c>
      <c r="T2707" s="2" t="s">
        <v>40</v>
      </c>
      <c r="U2707" s="2" t="s">
        <v>20715</v>
      </c>
      <c r="V2707" s="2"/>
      <c r="W2707" s="2" t="s">
        <v>42</v>
      </c>
      <c r="X2707" s="2" t="s">
        <v>43</v>
      </c>
      <c r="Y2707" s="2" t="s">
        <v>37</v>
      </c>
      <c r="Z2707" s="2" t="s">
        <v>44</v>
      </c>
      <c r="AA2707" s="2"/>
      <c r="AB2707" s="2"/>
      <c r="AC2707" s="2" t="s">
        <v>20716</v>
      </c>
      <c r="AD2707" s="2" t="s">
        <v>46</v>
      </c>
    </row>
    <row r="2708" customFormat="false" ht="15.7" hidden="false" customHeight="true" outlineLevel="0" collapsed="false">
      <c r="A2708" s="2"/>
      <c r="B2708" s="3" t="n">
        <f aca="false">DATE(2016,7,19)</f>
        <v>0</v>
      </c>
      <c r="C2708" s="3" t="n">
        <v>42570</v>
      </c>
      <c r="D2708" s="2" t="s">
        <v>20717</v>
      </c>
      <c r="F2708" s="2" t="s">
        <v>20662</v>
      </c>
      <c r="G2708" s="2" t="s">
        <v>20718</v>
      </c>
      <c r="H2708" s="2" t="s">
        <v>10052</v>
      </c>
      <c r="I2708" s="2" t="s">
        <v>4325</v>
      </c>
      <c r="J2708" s="2" t="s">
        <v>35</v>
      </c>
      <c r="K2708" s="2" t="s">
        <v>20719</v>
      </c>
      <c r="L2708" s="2" t="s">
        <v>4325</v>
      </c>
      <c r="M2708" s="2" t="s">
        <v>20720</v>
      </c>
      <c r="N2708" s="2" t="s">
        <v>20721</v>
      </c>
      <c r="O2708" s="2"/>
      <c r="P2708" s="2" t="s">
        <v>37</v>
      </c>
      <c r="Q2708" s="4" t="n">
        <v>8731</v>
      </c>
      <c r="R2708" s="2" t="s">
        <v>402</v>
      </c>
      <c r="S2708" s="2" t="s">
        <v>39</v>
      </c>
      <c r="T2708" s="2" t="s">
        <v>403</v>
      </c>
      <c r="U2708" s="2" t="s">
        <v>20722</v>
      </c>
      <c r="V2708" s="2"/>
      <c r="W2708" s="2" t="s">
        <v>42</v>
      </c>
      <c r="X2708" s="2" t="s">
        <v>46</v>
      </c>
      <c r="Y2708" s="2" t="s">
        <v>37</v>
      </c>
      <c r="Z2708" s="2" t="s">
        <v>987</v>
      </c>
      <c r="AA2708" s="2" t="s">
        <v>20723</v>
      </c>
      <c r="AB2708" s="2"/>
      <c r="AC2708" s="2" t="s">
        <v>20724</v>
      </c>
      <c r="AD2708" s="2" t="s">
        <v>46</v>
      </c>
    </row>
    <row r="2709" customFormat="false" ht="15.7" hidden="false" customHeight="true" outlineLevel="0" collapsed="false">
      <c r="A2709" s="2"/>
      <c r="B2709" s="3" t="n">
        <f aca="false">DATE(2016,7,20)</f>
        <v>0</v>
      </c>
      <c r="C2709" s="3" t="n">
        <v>42571</v>
      </c>
      <c r="D2709" s="2" t="s">
        <v>20725</v>
      </c>
      <c r="F2709" s="2" t="s">
        <v>16012</v>
      </c>
      <c r="G2709" s="2" t="s">
        <v>20726</v>
      </c>
      <c r="H2709" s="2" t="s">
        <v>1770</v>
      </c>
      <c r="I2709" s="2" t="s">
        <v>11429</v>
      </c>
      <c r="J2709" s="2" t="s">
        <v>35</v>
      </c>
      <c r="K2709" s="2" t="s">
        <v>20725</v>
      </c>
      <c r="L2709" s="2" t="s">
        <v>11429</v>
      </c>
      <c r="M2709" s="2" t="s">
        <v>1770</v>
      </c>
      <c r="N2709" s="2" t="s">
        <v>20727</v>
      </c>
      <c r="O2709" s="2"/>
      <c r="P2709" s="2" t="s">
        <v>37</v>
      </c>
      <c r="Q2709" s="4" t="n">
        <v>8731</v>
      </c>
      <c r="R2709" s="2" t="s">
        <v>1402</v>
      </c>
      <c r="S2709" s="2" t="s">
        <v>39</v>
      </c>
      <c r="T2709" s="2" t="s">
        <v>40</v>
      </c>
      <c r="U2709" s="2" t="s">
        <v>20728</v>
      </c>
      <c r="V2709" s="2"/>
      <c r="W2709" s="2" t="s">
        <v>42</v>
      </c>
      <c r="X2709" s="2" t="s">
        <v>43</v>
      </c>
      <c r="Y2709" s="2" t="s">
        <v>37</v>
      </c>
      <c r="Z2709" s="2" t="s">
        <v>44</v>
      </c>
      <c r="AA2709" s="2"/>
      <c r="AB2709" s="2"/>
      <c r="AC2709" s="2" t="s">
        <v>20729</v>
      </c>
      <c r="AD2709" s="2" t="s">
        <v>46</v>
      </c>
    </row>
    <row r="2710" customFormat="false" ht="15.7" hidden="false" customHeight="true" outlineLevel="0" collapsed="false">
      <c r="A2710" s="2"/>
      <c r="B2710" s="3" t="n">
        <f aca="false">DATE(2016,7,21)</f>
        <v>0</v>
      </c>
      <c r="C2710" s="3" t="n">
        <v>42572</v>
      </c>
      <c r="D2710" s="2" t="s">
        <v>20730</v>
      </c>
      <c r="F2710" s="2" t="s">
        <v>20731</v>
      </c>
      <c r="G2710" s="2" t="s">
        <v>20732</v>
      </c>
      <c r="H2710" s="2" t="s">
        <v>9349</v>
      </c>
      <c r="I2710" s="2" t="s">
        <v>4325</v>
      </c>
      <c r="J2710" s="2" t="s">
        <v>35</v>
      </c>
      <c r="K2710" s="2" t="s">
        <v>20730</v>
      </c>
      <c r="L2710" s="2" t="s">
        <v>4325</v>
      </c>
      <c r="M2710" s="2" t="s">
        <v>9349</v>
      </c>
      <c r="N2710" s="2" t="s">
        <v>20733</v>
      </c>
      <c r="O2710" s="2"/>
      <c r="P2710" s="2" t="s">
        <v>37</v>
      </c>
      <c r="Q2710" s="4" t="n">
        <v>8731</v>
      </c>
      <c r="R2710" s="2" t="s">
        <v>402</v>
      </c>
      <c r="S2710" s="2" t="s">
        <v>39</v>
      </c>
      <c r="T2710" s="2" t="s">
        <v>40</v>
      </c>
      <c r="U2710" s="2" t="s">
        <v>20734</v>
      </c>
      <c r="V2710" s="2"/>
      <c r="W2710" s="2" t="s">
        <v>42</v>
      </c>
      <c r="X2710" s="2" t="s">
        <v>43</v>
      </c>
      <c r="Y2710" s="2" t="s">
        <v>37</v>
      </c>
      <c r="Z2710" s="2" t="s">
        <v>44</v>
      </c>
      <c r="AA2710" s="2"/>
      <c r="AB2710" s="2"/>
      <c r="AC2710" s="2" t="s">
        <v>20735</v>
      </c>
      <c r="AD2710" s="2" t="s">
        <v>46</v>
      </c>
    </row>
    <row r="2711" customFormat="false" ht="15.7" hidden="false" customHeight="true" outlineLevel="0" collapsed="false">
      <c r="A2711" s="2"/>
      <c r="B2711" s="3" t="n">
        <f aca="false">DATE(2016,7,25)</f>
        <v>0</v>
      </c>
      <c r="C2711" s="3" t="n">
        <v>42576</v>
      </c>
      <c r="D2711" s="2" t="s">
        <v>20736</v>
      </c>
      <c r="F2711" s="2" t="s">
        <v>20737</v>
      </c>
      <c r="G2711" s="2" t="s">
        <v>20738</v>
      </c>
      <c r="H2711" s="2" t="s">
        <v>20739</v>
      </c>
      <c r="I2711" s="2" t="s">
        <v>3320</v>
      </c>
      <c r="J2711" s="2" t="s">
        <v>35</v>
      </c>
      <c r="K2711" s="2" t="s">
        <v>20736</v>
      </c>
      <c r="L2711" s="2" t="s">
        <v>3320</v>
      </c>
      <c r="M2711" s="2" t="s">
        <v>20739</v>
      </c>
      <c r="N2711" s="2" t="s">
        <v>20740</v>
      </c>
      <c r="O2711" s="2"/>
      <c r="P2711" s="2" t="s">
        <v>37</v>
      </c>
      <c r="Q2711" s="4" t="n">
        <v>7389</v>
      </c>
      <c r="R2711" s="2" t="s">
        <v>402</v>
      </c>
      <c r="S2711" s="2" t="s">
        <v>39</v>
      </c>
      <c r="T2711" s="2" t="s">
        <v>40</v>
      </c>
      <c r="U2711" s="2" t="s">
        <v>20741</v>
      </c>
      <c r="V2711" s="2"/>
      <c r="W2711" s="2" t="s">
        <v>15625</v>
      </c>
      <c r="X2711" s="2" t="s">
        <v>46</v>
      </c>
      <c r="Y2711" s="2" t="s">
        <v>37</v>
      </c>
      <c r="Z2711" s="2" t="s">
        <v>44</v>
      </c>
      <c r="AA2711" s="2"/>
      <c r="AB2711" s="2"/>
      <c r="AC2711" s="2" t="s">
        <v>20742</v>
      </c>
      <c r="AD2711" s="2" t="s">
        <v>46</v>
      </c>
    </row>
    <row r="2712" customFormat="false" ht="15.7" hidden="false" customHeight="true" outlineLevel="0" collapsed="false">
      <c r="A2712" s="2"/>
      <c r="B2712" s="3" t="n">
        <f aca="false">DATE(2016,7,25)</f>
        <v>0</v>
      </c>
      <c r="C2712" s="3" t="n">
        <v>42576</v>
      </c>
      <c r="D2712" s="2" t="s">
        <v>20743</v>
      </c>
      <c r="F2712" s="2" t="s">
        <v>20744</v>
      </c>
      <c r="G2712" s="2" t="s">
        <v>20745</v>
      </c>
      <c r="H2712" s="2" t="s">
        <v>20746</v>
      </c>
      <c r="I2712" s="2" t="s">
        <v>487</v>
      </c>
      <c r="J2712" s="2" t="s">
        <v>331</v>
      </c>
      <c r="K2712" s="2" t="s">
        <v>20743</v>
      </c>
      <c r="L2712" s="2" t="s">
        <v>487</v>
      </c>
      <c r="M2712" s="2" t="s">
        <v>20746</v>
      </c>
      <c r="N2712" s="2" t="s">
        <v>20747</v>
      </c>
      <c r="O2712" s="2"/>
      <c r="P2712" s="2" t="s">
        <v>37</v>
      </c>
      <c r="Q2712" s="4" t="n">
        <v>5099</v>
      </c>
      <c r="R2712" s="2" t="s">
        <v>1448</v>
      </c>
      <c r="S2712" s="2" t="s">
        <v>39</v>
      </c>
      <c r="T2712" s="2" t="s">
        <v>40</v>
      </c>
      <c r="U2712" s="2" t="s">
        <v>20748</v>
      </c>
      <c r="V2712" s="2"/>
      <c r="W2712" s="2" t="s">
        <v>13100</v>
      </c>
      <c r="X2712" s="2" t="s">
        <v>43</v>
      </c>
      <c r="Y2712" s="2" t="s">
        <v>37</v>
      </c>
      <c r="Z2712" s="2" t="s">
        <v>44</v>
      </c>
      <c r="AA2712" s="2"/>
      <c r="AB2712" s="2"/>
      <c r="AC2712" s="2" t="s">
        <v>20749</v>
      </c>
      <c r="AD2712" s="2" t="s">
        <v>46</v>
      </c>
    </row>
    <row r="2713" customFormat="false" ht="15.7" hidden="false" customHeight="true" outlineLevel="0" collapsed="false">
      <c r="A2713" s="2"/>
      <c r="B2713" s="3" t="n">
        <f aca="false">DATE(2016,7,26)</f>
        <v>0</v>
      </c>
      <c r="C2713" s="3" t="n">
        <v>42577</v>
      </c>
      <c r="D2713" s="2" t="s">
        <v>20750</v>
      </c>
      <c r="F2713" s="2" t="s">
        <v>20751</v>
      </c>
      <c r="G2713" s="2" t="s">
        <v>20752</v>
      </c>
      <c r="H2713" s="2" t="s">
        <v>3313</v>
      </c>
      <c r="I2713" s="2" t="s">
        <v>20096</v>
      </c>
      <c r="J2713" s="2" t="s">
        <v>966</v>
      </c>
      <c r="K2713" s="2" t="s">
        <v>20753</v>
      </c>
      <c r="L2713" s="2" t="s">
        <v>20096</v>
      </c>
      <c r="M2713" s="2" t="s">
        <v>20754</v>
      </c>
      <c r="N2713" s="2" t="s">
        <v>20755</v>
      </c>
      <c r="O2713" s="2"/>
      <c r="P2713" s="2" t="s">
        <v>37</v>
      </c>
      <c r="Q2713" s="4" t="n">
        <v>8099</v>
      </c>
      <c r="R2713" s="2" t="s">
        <v>8685</v>
      </c>
      <c r="S2713" s="2" t="s">
        <v>39</v>
      </c>
      <c r="T2713" s="2" t="s">
        <v>40</v>
      </c>
      <c r="U2713" s="2" t="s">
        <v>20756</v>
      </c>
      <c r="V2713" s="2"/>
      <c r="W2713" s="2" t="s">
        <v>20757</v>
      </c>
      <c r="X2713" s="2" t="s">
        <v>43</v>
      </c>
      <c r="Y2713" s="2" t="s">
        <v>37</v>
      </c>
      <c r="Z2713" s="2" t="s">
        <v>44</v>
      </c>
      <c r="AA2713" s="2"/>
      <c r="AB2713" s="2"/>
      <c r="AC2713" s="2" t="s">
        <v>20758</v>
      </c>
      <c r="AD2713" s="2" t="s">
        <v>46</v>
      </c>
    </row>
    <row r="2714" customFormat="false" ht="15.7" hidden="false" customHeight="true" outlineLevel="0" collapsed="false">
      <c r="A2714" s="2"/>
      <c r="B2714" s="3" t="n">
        <f aca="false">DATE(2016,7,29)</f>
        <v>0</v>
      </c>
      <c r="C2714" s="3" t="n">
        <v>42580</v>
      </c>
      <c r="D2714" s="2" t="s">
        <v>20759</v>
      </c>
      <c r="F2714" s="2" t="s">
        <v>20760</v>
      </c>
      <c r="G2714" s="2" t="s">
        <v>20761</v>
      </c>
      <c r="H2714" s="2" t="s">
        <v>20762</v>
      </c>
      <c r="I2714" s="2" t="s">
        <v>1262</v>
      </c>
      <c r="J2714" s="2" t="s">
        <v>20763</v>
      </c>
      <c r="K2714" s="2" t="s">
        <v>20759</v>
      </c>
      <c r="L2714" s="2" t="s">
        <v>1262</v>
      </c>
      <c r="M2714" s="2" t="s">
        <v>20762</v>
      </c>
      <c r="N2714" s="2" t="s">
        <v>20764</v>
      </c>
      <c r="O2714" s="2"/>
      <c r="P2714" s="2" t="s">
        <v>37</v>
      </c>
      <c r="Q2714" s="4" t="n">
        <v>8731</v>
      </c>
      <c r="R2714" s="2" t="s">
        <v>56</v>
      </c>
      <c r="S2714" s="2" t="s">
        <v>92</v>
      </c>
      <c r="T2714" s="2" t="s">
        <v>40</v>
      </c>
      <c r="U2714" s="2" t="s">
        <v>20765</v>
      </c>
      <c r="V2714" s="2"/>
      <c r="W2714" s="2" t="s">
        <v>42</v>
      </c>
      <c r="X2714" s="2" t="s">
        <v>43</v>
      </c>
      <c r="Y2714" s="2" t="s">
        <v>37</v>
      </c>
      <c r="Z2714" s="2" t="s">
        <v>44</v>
      </c>
      <c r="AA2714" s="2"/>
      <c r="AB2714" s="2"/>
      <c r="AC2714" s="2" t="s">
        <v>20766</v>
      </c>
      <c r="AD2714" s="2" t="s">
        <v>46</v>
      </c>
    </row>
    <row r="2715" customFormat="false" ht="15.7" hidden="false" customHeight="true" outlineLevel="0" collapsed="false">
      <c r="A2715" s="2"/>
      <c r="B2715" s="3" t="n">
        <f aca="false">DATE(2016,8,1)</f>
        <v>0</v>
      </c>
      <c r="C2715" s="3" t="n">
        <v>42583</v>
      </c>
      <c r="D2715" s="2" t="s">
        <v>20767</v>
      </c>
      <c r="F2715" s="2" t="s">
        <v>20768</v>
      </c>
      <c r="G2715" s="2" t="s">
        <v>20769</v>
      </c>
      <c r="H2715" s="2" t="s">
        <v>20770</v>
      </c>
      <c r="I2715" s="2" t="s">
        <v>20771</v>
      </c>
      <c r="J2715" s="2" t="s">
        <v>13072</v>
      </c>
      <c r="K2715" s="2" t="s">
        <v>20772</v>
      </c>
      <c r="L2715" s="2" t="s">
        <v>20771</v>
      </c>
      <c r="M2715" s="2" t="s">
        <v>20773</v>
      </c>
      <c r="N2715" s="2" t="s">
        <v>20774</v>
      </c>
      <c r="O2715" s="2"/>
      <c r="P2715" s="2" t="s">
        <v>37</v>
      </c>
      <c r="Q2715" s="4" t="n">
        <v>8731</v>
      </c>
      <c r="R2715" s="2" t="s">
        <v>56</v>
      </c>
      <c r="S2715" s="2" t="s">
        <v>80</v>
      </c>
      <c r="T2715" s="2" t="s">
        <v>40</v>
      </c>
      <c r="U2715" s="2" t="s">
        <v>20775</v>
      </c>
      <c r="V2715" s="2"/>
      <c r="W2715" s="2" t="s">
        <v>42</v>
      </c>
      <c r="X2715" s="2" t="s">
        <v>43</v>
      </c>
      <c r="Y2715" s="2" t="s">
        <v>37</v>
      </c>
      <c r="Z2715" s="2" t="s">
        <v>916</v>
      </c>
      <c r="AA2715" s="2"/>
      <c r="AB2715" s="2"/>
      <c r="AC2715" s="2" t="s">
        <v>20776</v>
      </c>
      <c r="AD2715" s="2" t="s">
        <v>46</v>
      </c>
    </row>
    <row r="2716" customFormat="false" ht="15.7" hidden="false" customHeight="true" outlineLevel="0" collapsed="false">
      <c r="A2716" s="2"/>
      <c r="B2716" s="3" t="n">
        <f aca="false">DATE(2016,8,1)</f>
        <v>0</v>
      </c>
      <c r="C2716" s="3" t="n">
        <v>42583</v>
      </c>
      <c r="D2716" s="2" t="s">
        <v>20777</v>
      </c>
      <c r="F2716" s="2" t="s">
        <v>20778</v>
      </c>
      <c r="G2716" s="2" t="s">
        <v>20779</v>
      </c>
      <c r="H2716" s="2" t="s">
        <v>20780</v>
      </c>
      <c r="I2716" s="2" t="s">
        <v>388</v>
      </c>
      <c r="J2716" s="2" t="s">
        <v>65</v>
      </c>
      <c r="K2716" s="2" t="s">
        <v>20781</v>
      </c>
      <c r="L2716" s="2" t="s">
        <v>388</v>
      </c>
      <c r="M2716" s="2" t="s">
        <v>20782</v>
      </c>
      <c r="N2716" s="2" t="s">
        <v>20783</v>
      </c>
      <c r="O2716" s="2" t="s">
        <v>20784</v>
      </c>
      <c r="P2716" s="2" t="s">
        <v>37</v>
      </c>
      <c r="Q2716" s="4" t="n">
        <v>2835</v>
      </c>
      <c r="R2716" s="2" t="s">
        <v>2201</v>
      </c>
      <c r="S2716" s="2" t="s">
        <v>39</v>
      </c>
      <c r="T2716" s="2" t="s">
        <v>40</v>
      </c>
      <c r="U2716" s="2" t="s">
        <v>20785</v>
      </c>
      <c r="V2716" s="2"/>
      <c r="W2716" s="2" t="s">
        <v>4487</v>
      </c>
      <c r="X2716" s="2" t="s">
        <v>46</v>
      </c>
      <c r="Y2716" s="2" t="s">
        <v>37</v>
      </c>
      <c r="Z2716" s="2" t="s">
        <v>20786</v>
      </c>
      <c r="AA2716" s="2"/>
      <c r="AB2716" s="2" t="s">
        <v>20787</v>
      </c>
      <c r="AC2716" s="2" t="s">
        <v>20788</v>
      </c>
      <c r="AD2716" s="2" t="s">
        <v>46</v>
      </c>
    </row>
    <row r="2717" customFormat="false" ht="15.7" hidden="false" customHeight="true" outlineLevel="0" collapsed="false">
      <c r="A2717" s="2"/>
      <c r="B2717" s="3" t="n">
        <f aca="false">DATE(2016,8,1)</f>
        <v>0</v>
      </c>
      <c r="C2717" s="3" t="n">
        <v>42583</v>
      </c>
      <c r="D2717" s="2" t="s">
        <v>20789</v>
      </c>
      <c r="F2717" s="2" t="s">
        <v>4592</v>
      </c>
      <c r="G2717" s="2" t="s">
        <v>20790</v>
      </c>
      <c r="H2717" s="2" t="s">
        <v>20791</v>
      </c>
      <c r="I2717" s="2" t="s">
        <v>20792</v>
      </c>
      <c r="J2717" s="2" t="s">
        <v>35</v>
      </c>
      <c r="K2717" s="2" t="s">
        <v>20789</v>
      </c>
      <c r="L2717" s="2" t="s">
        <v>20792</v>
      </c>
      <c r="M2717" s="2" t="s">
        <v>20791</v>
      </c>
      <c r="N2717" s="2" t="s">
        <v>20793</v>
      </c>
      <c r="O2717" s="2"/>
      <c r="P2717" s="2" t="s">
        <v>37</v>
      </c>
      <c r="Q2717" s="4" t="n">
        <v>8731</v>
      </c>
      <c r="R2717" s="2" t="s">
        <v>2952</v>
      </c>
      <c r="S2717" s="2" t="s">
        <v>39</v>
      </c>
      <c r="T2717" s="2" t="s">
        <v>40</v>
      </c>
      <c r="U2717" s="2" t="s">
        <v>20794</v>
      </c>
      <c r="V2717" s="2"/>
      <c r="W2717" s="2" t="s">
        <v>42</v>
      </c>
      <c r="X2717" s="2" t="s">
        <v>43</v>
      </c>
      <c r="Y2717" s="2" t="s">
        <v>37</v>
      </c>
      <c r="Z2717" s="2" t="s">
        <v>44</v>
      </c>
      <c r="AA2717" s="2"/>
      <c r="AB2717" s="2"/>
      <c r="AC2717" s="2" t="s">
        <v>20795</v>
      </c>
      <c r="AD2717" s="2" t="s">
        <v>46</v>
      </c>
    </row>
    <row r="2718" customFormat="false" ht="15.7" hidden="false" customHeight="true" outlineLevel="0" collapsed="false">
      <c r="A2718" s="2"/>
      <c r="B2718" s="3" t="n">
        <f aca="false">DATE(2016,8,2)</f>
        <v>0</v>
      </c>
      <c r="C2718" s="3" t="n">
        <v>42584</v>
      </c>
      <c r="D2718" s="2" t="s">
        <v>20796</v>
      </c>
      <c r="F2718" s="2" t="s">
        <v>20797</v>
      </c>
      <c r="G2718" s="2" t="s">
        <v>20798</v>
      </c>
      <c r="H2718" s="2" t="s">
        <v>20799</v>
      </c>
      <c r="I2718" s="2" t="s">
        <v>11034</v>
      </c>
      <c r="J2718" s="2" t="s">
        <v>35</v>
      </c>
      <c r="K2718" s="2" t="s">
        <v>20800</v>
      </c>
      <c r="L2718" s="2" t="s">
        <v>670</v>
      </c>
      <c r="M2718" s="2" t="s">
        <v>20801</v>
      </c>
      <c r="N2718" s="2" t="s">
        <v>20802</v>
      </c>
      <c r="O2718" s="2"/>
      <c r="P2718" s="2" t="s">
        <v>37</v>
      </c>
      <c r="Q2718" s="4" t="n">
        <v>8731</v>
      </c>
      <c r="R2718" s="2" t="s">
        <v>121</v>
      </c>
      <c r="S2718" s="2" t="s">
        <v>39</v>
      </c>
      <c r="T2718" s="2" t="s">
        <v>403</v>
      </c>
      <c r="U2718" s="2" t="s">
        <v>20803</v>
      </c>
      <c r="V2718" s="2"/>
      <c r="W2718" s="2" t="s">
        <v>42</v>
      </c>
      <c r="X2718" s="2" t="s">
        <v>46</v>
      </c>
      <c r="Y2718" s="2" t="s">
        <v>37</v>
      </c>
      <c r="Z2718" s="2" t="s">
        <v>362</v>
      </c>
      <c r="AA2718" s="2"/>
      <c r="AB2718" s="2"/>
      <c r="AC2718" s="2" t="s">
        <v>20804</v>
      </c>
      <c r="AD2718" s="2" t="s">
        <v>46</v>
      </c>
    </row>
    <row r="2719" customFormat="false" ht="15.7" hidden="false" customHeight="true" outlineLevel="0" collapsed="false">
      <c r="A2719" s="2"/>
      <c r="B2719" s="3" t="n">
        <f aca="false">DATE(2016,8,2)</f>
        <v>0</v>
      </c>
      <c r="C2719" s="3" t="n">
        <v>42584</v>
      </c>
      <c r="D2719" s="2" t="s">
        <v>20805</v>
      </c>
      <c r="F2719" s="2" t="s">
        <v>20806</v>
      </c>
      <c r="G2719" s="2" t="s">
        <v>20807</v>
      </c>
      <c r="H2719" s="2" t="s">
        <v>523</v>
      </c>
      <c r="I2719" s="2" t="s">
        <v>51</v>
      </c>
      <c r="J2719" s="2" t="s">
        <v>2338</v>
      </c>
      <c r="K2719" s="2" t="s">
        <v>20805</v>
      </c>
      <c r="L2719" s="2" t="s">
        <v>51</v>
      </c>
      <c r="M2719" s="2" t="s">
        <v>523</v>
      </c>
      <c r="N2719" s="2" t="s">
        <v>20808</v>
      </c>
      <c r="O2719" s="2"/>
      <c r="P2719" s="2" t="s">
        <v>37</v>
      </c>
      <c r="Q2719" s="4" t="n">
        <v>8099</v>
      </c>
      <c r="R2719" s="2" t="s">
        <v>56</v>
      </c>
      <c r="S2719" s="2" t="s">
        <v>20809</v>
      </c>
      <c r="T2719" s="2" t="s">
        <v>40</v>
      </c>
      <c r="U2719" s="2" t="s">
        <v>20810</v>
      </c>
      <c r="V2719" s="2"/>
      <c r="W2719" s="2" t="s">
        <v>18401</v>
      </c>
      <c r="X2719" s="2" t="s">
        <v>43</v>
      </c>
      <c r="Y2719" s="2" t="s">
        <v>37</v>
      </c>
      <c r="Z2719" s="2" t="s">
        <v>44</v>
      </c>
      <c r="AA2719" s="2"/>
      <c r="AB2719" s="2"/>
      <c r="AC2719" s="2" t="s">
        <v>20811</v>
      </c>
      <c r="AD2719" s="2" t="s">
        <v>46</v>
      </c>
    </row>
    <row r="2720" customFormat="false" ht="15.7" hidden="false" customHeight="true" outlineLevel="0" collapsed="false">
      <c r="A2720" s="2"/>
      <c r="B2720" s="3" t="n">
        <f aca="false">DATE(2016,8,4)</f>
        <v>0</v>
      </c>
      <c r="C2720" s="3" t="n">
        <v>42586</v>
      </c>
      <c r="D2720" s="2" t="s">
        <v>20812</v>
      </c>
      <c r="F2720" s="2" t="s">
        <v>20813</v>
      </c>
      <c r="G2720" s="2" t="s">
        <v>20814</v>
      </c>
      <c r="H2720" s="2" t="s">
        <v>20815</v>
      </c>
      <c r="I2720" s="2" t="s">
        <v>3223</v>
      </c>
      <c r="J2720" s="2" t="s">
        <v>116</v>
      </c>
      <c r="K2720" s="2" t="s">
        <v>20816</v>
      </c>
      <c r="L2720" s="2" t="s">
        <v>3223</v>
      </c>
      <c r="M2720" s="2" t="s">
        <v>20817</v>
      </c>
      <c r="N2720" s="2" t="s">
        <v>20818</v>
      </c>
      <c r="O2720" s="2"/>
      <c r="P2720" s="2" t="s">
        <v>37</v>
      </c>
      <c r="Q2720" s="4" t="n">
        <v>8731</v>
      </c>
      <c r="R2720" s="2" t="s">
        <v>402</v>
      </c>
      <c r="S2720" s="2" t="s">
        <v>39</v>
      </c>
      <c r="T2720" s="2" t="s">
        <v>40</v>
      </c>
      <c r="U2720" s="2" t="s">
        <v>20819</v>
      </c>
      <c r="V2720" s="2"/>
      <c r="W2720" s="2" t="s">
        <v>42</v>
      </c>
      <c r="X2720" s="2" t="s">
        <v>43</v>
      </c>
      <c r="Y2720" s="2" t="s">
        <v>37</v>
      </c>
      <c r="Z2720" s="2" t="s">
        <v>916</v>
      </c>
      <c r="AA2720" s="2"/>
      <c r="AB2720" s="2"/>
      <c r="AC2720" s="2" t="s">
        <v>20820</v>
      </c>
      <c r="AD2720" s="2" t="s">
        <v>46</v>
      </c>
    </row>
    <row r="2721" customFormat="false" ht="15.7" hidden="false" customHeight="true" outlineLevel="0" collapsed="false">
      <c r="A2721" s="2"/>
      <c r="B2721" s="3" t="n">
        <f aca="false">DATE(2016,8,4)</f>
        <v>0</v>
      </c>
      <c r="C2721" s="3" t="n">
        <v>42586</v>
      </c>
      <c r="D2721" s="2" t="s">
        <v>20821</v>
      </c>
      <c r="F2721" s="2" t="s">
        <v>20822</v>
      </c>
      <c r="G2721" s="2" t="s">
        <v>20823</v>
      </c>
      <c r="H2721" s="2" t="s">
        <v>20824</v>
      </c>
      <c r="I2721" s="2" t="s">
        <v>2530</v>
      </c>
      <c r="J2721" s="2" t="s">
        <v>20825</v>
      </c>
      <c r="K2721" s="2" t="s">
        <v>20821</v>
      </c>
      <c r="L2721" s="2" t="s">
        <v>2530</v>
      </c>
      <c r="M2721" s="2" t="s">
        <v>20824</v>
      </c>
      <c r="N2721" s="2" t="s">
        <v>20826</v>
      </c>
      <c r="O2721" s="2"/>
      <c r="P2721" s="2" t="s">
        <v>37</v>
      </c>
      <c r="Q2721" s="4" t="n">
        <v>8731</v>
      </c>
      <c r="R2721" s="2" t="s">
        <v>56</v>
      </c>
      <c r="S2721" s="2" t="s">
        <v>1226</v>
      </c>
      <c r="T2721" s="2" t="s">
        <v>40</v>
      </c>
      <c r="U2721" s="2" t="s">
        <v>20827</v>
      </c>
      <c r="V2721" s="2"/>
      <c r="W2721" s="2" t="s">
        <v>42</v>
      </c>
      <c r="X2721" s="2" t="s">
        <v>43</v>
      </c>
      <c r="Y2721" s="2" t="s">
        <v>37</v>
      </c>
      <c r="Z2721" s="2" t="s">
        <v>916</v>
      </c>
      <c r="AA2721" s="2"/>
      <c r="AB2721" s="2"/>
      <c r="AC2721" s="2" t="s">
        <v>20828</v>
      </c>
      <c r="AD2721" s="2" t="s">
        <v>46</v>
      </c>
    </row>
    <row r="2722" customFormat="false" ht="15.7" hidden="false" customHeight="true" outlineLevel="0" collapsed="false">
      <c r="A2722" s="2"/>
      <c r="B2722" s="3" t="n">
        <f aca="false">DATE(2016,8,4)</f>
        <v>0</v>
      </c>
      <c r="C2722" s="3" t="n">
        <v>42586</v>
      </c>
      <c r="D2722" s="2" t="s">
        <v>20829</v>
      </c>
      <c r="F2722" s="2" t="s">
        <v>20830</v>
      </c>
      <c r="G2722" s="2" t="s">
        <v>20831</v>
      </c>
      <c r="H2722" s="2" t="s">
        <v>153</v>
      </c>
      <c r="I2722" s="2" t="s">
        <v>51</v>
      </c>
      <c r="J2722" s="2" t="s">
        <v>3045</v>
      </c>
      <c r="K2722" s="2" t="s">
        <v>20829</v>
      </c>
      <c r="L2722" s="2" t="s">
        <v>51</v>
      </c>
      <c r="M2722" s="2" t="s">
        <v>153</v>
      </c>
      <c r="N2722" s="2" t="s">
        <v>20832</v>
      </c>
      <c r="O2722" s="2"/>
      <c r="P2722" s="2" t="s">
        <v>37</v>
      </c>
      <c r="Q2722" s="4" t="n">
        <v>6794</v>
      </c>
      <c r="R2722" s="2" t="s">
        <v>56</v>
      </c>
      <c r="S2722" s="2" t="s">
        <v>92</v>
      </c>
      <c r="T2722" s="2" t="s">
        <v>40</v>
      </c>
      <c r="U2722" s="2" t="s">
        <v>20833</v>
      </c>
      <c r="V2722" s="2"/>
      <c r="W2722" s="2" t="s">
        <v>82</v>
      </c>
      <c r="X2722" s="2" t="s">
        <v>43</v>
      </c>
      <c r="Y2722" s="2" t="s">
        <v>37</v>
      </c>
      <c r="Z2722" s="2" t="s">
        <v>44</v>
      </c>
      <c r="AA2722" s="2"/>
      <c r="AB2722" s="2"/>
      <c r="AC2722" s="2" t="s">
        <v>20834</v>
      </c>
      <c r="AD2722" s="2" t="s">
        <v>46</v>
      </c>
    </row>
    <row r="2723" customFormat="false" ht="15.7" hidden="false" customHeight="true" outlineLevel="0" collapsed="false">
      <c r="A2723" s="2"/>
      <c r="B2723" s="3" t="n">
        <f aca="false">DATE(2016,8,7)</f>
        <v>0</v>
      </c>
      <c r="C2723" s="3" t="n">
        <v>42589</v>
      </c>
      <c r="D2723" s="2" t="s">
        <v>20835</v>
      </c>
      <c r="F2723" s="2" t="s">
        <v>20836</v>
      </c>
      <c r="G2723" s="2" t="s">
        <v>20837</v>
      </c>
      <c r="H2723" s="2" t="s">
        <v>4425</v>
      </c>
      <c r="I2723" s="2" t="s">
        <v>670</v>
      </c>
      <c r="J2723" s="2" t="s">
        <v>65</v>
      </c>
      <c r="K2723" s="2" t="s">
        <v>20838</v>
      </c>
      <c r="L2723" s="2" t="s">
        <v>670</v>
      </c>
      <c r="M2723" s="2" t="s">
        <v>15557</v>
      </c>
      <c r="N2723" s="2" t="s">
        <v>20839</v>
      </c>
      <c r="O2723" s="2"/>
      <c r="P2723" s="2" t="s">
        <v>37</v>
      </c>
      <c r="Q2723" s="4" t="n">
        <v>6794</v>
      </c>
      <c r="R2723" s="2" t="s">
        <v>402</v>
      </c>
      <c r="S2723" s="2" t="s">
        <v>39</v>
      </c>
      <c r="T2723" s="2" t="s">
        <v>403</v>
      </c>
      <c r="U2723" s="2" t="s">
        <v>20840</v>
      </c>
      <c r="V2723" s="2"/>
      <c r="W2723" s="2" t="s">
        <v>4844</v>
      </c>
      <c r="X2723" s="2" t="s">
        <v>43</v>
      </c>
      <c r="Y2723" s="2" t="s">
        <v>37</v>
      </c>
      <c r="Z2723" s="2" t="s">
        <v>44</v>
      </c>
      <c r="AA2723" s="2"/>
      <c r="AB2723" s="2"/>
      <c r="AC2723" s="2" t="s">
        <v>20841</v>
      </c>
      <c r="AD2723" s="2" t="s">
        <v>46</v>
      </c>
    </row>
    <row r="2724" customFormat="false" ht="15.7" hidden="false" customHeight="true" outlineLevel="0" collapsed="false">
      <c r="A2724" s="2"/>
      <c r="B2724" s="3" t="n">
        <f aca="false">DATE(2016,8,8)</f>
        <v>0</v>
      </c>
      <c r="C2724" s="3" t="n">
        <v>42590</v>
      </c>
      <c r="D2724" s="2" t="s">
        <v>20842</v>
      </c>
      <c r="F2724" s="2" t="s">
        <v>20843</v>
      </c>
      <c r="G2724" s="2" t="s">
        <v>20844</v>
      </c>
      <c r="H2724" s="2" t="s">
        <v>11288</v>
      </c>
      <c r="I2724" s="2" t="s">
        <v>6838</v>
      </c>
      <c r="J2724" s="2" t="s">
        <v>35</v>
      </c>
      <c r="K2724" s="2" t="s">
        <v>20842</v>
      </c>
      <c r="L2724" s="2" t="s">
        <v>6838</v>
      </c>
      <c r="M2724" s="2" t="s">
        <v>11288</v>
      </c>
      <c r="N2724" s="2" t="s">
        <v>20845</v>
      </c>
      <c r="O2724" s="2"/>
      <c r="P2724" s="2" t="s">
        <v>37</v>
      </c>
      <c r="Q2724" s="4" t="n">
        <v>8748</v>
      </c>
      <c r="R2724" s="2" t="s">
        <v>402</v>
      </c>
      <c r="S2724" s="2" t="s">
        <v>39</v>
      </c>
      <c r="T2724" s="2" t="s">
        <v>403</v>
      </c>
      <c r="U2724" s="2" t="s">
        <v>20846</v>
      </c>
      <c r="V2724" s="2"/>
      <c r="W2724" s="2" t="s">
        <v>4783</v>
      </c>
      <c r="X2724" s="2" t="s">
        <v>46</v>
      </c>
      <c r="Y2724" s="2" t="s">
        <v>37</v>
      </c>
      <c r="Z2724" s="2" t="s">
        <v>987</v>
      </c>
      <c r="AA2724" s="2" t="s">
        <v>20847</v>
      </c>
      <c r="AB2724" s="2"/>
      <c r="AC2724" s="2" t="s">
        <v>20848</v>
      </c>
      <c r="AD2724" s="2" t="s">
        <v>46</v>
      </c>
    </row>
    <row r="2725" customFormat="false" ht="15.7" hidden="false" customHeight="true" outlineLevel="0" collapsed="false">
      <c r="A2725" s="2"/>
      <c r="B2725" s="3" t="n">
        <f aca="false">DATE(2016,8,9)</f>
        <v>0</v>
      </c>
      <c r="C2725" s="3" t="n">
        <v>42591</v>
      </c>
      <c r="D2725" s="2" t="s">
        <v>20849</v>
      </c>
      <c r="F2725" s="2" t="s">
        <v>20850</v>
      </c>
      <c r="G2725" s="2" t="s">
        <v>20851</v>
      </c>
      <c r="H2725" s="2" t="s">
        <v>20852</v>
      </c>
      <c r="I2725" s="2" t="s">
        <v>10332</v>
      </c>
      <c r="J2725" s="2" t="s">
        <v>35</v>
      </c>
      <c r="K2725" s="2" t="s">
        <v>20853</v>
      </c>
      <c r="L2725" s="2" t="s">
        <v>10332</v>
      </c>
      <c r="M2725" s="2" t="s">
        <v>20854</v>
      </c>
      <c r="N2725" s="2" t="s">
        <v>20855</v>
      </c>
      <c r="O2725" s="2"/>
      <c r="P2725" s="2" t="s">
        <v>37</v>
      </c>
      <c r="Q2725" s="4" t="n">
        <v>8731</v>
      </c>
      <c r="R2725" s="2" t="s">
        <v>402</v>
      </c>
      <c r="S2725" s="2" t="s">
        <v>39</v>
      </c>
      <c r="T2725" s="2" t="s">
        <v>403</v>
      </c>
      <c r="U2725" s="2" t="s">
        <v>20856</v>
      </c>
      <c r="V2725" s="2"/>
      <c r="W2725" s="2" t="s">
        <v>2367</v>
      </c>
      <c r="X2725" s="2" t="s">
        <v>43</v>
      </c>
      <c r="Y2725" s="2" t="s">
        <v>37</v>
      </c>
      <c r="Z2725" s="2" t="s">
        <v>44</v>
      </c>
      <c r="AA2725" s="2"/>
      <c r="AB2725" s="2"/>
      <c r="AC2725" s="2" t="s">
        <v>20857</v>
      </c>
      <c r="AD2725" s="2" t="s">
        <v>46</v>
      </c>
    </row>
    <row r="2726" customFormat="false" ht="15.7" hidden="false" customHeight="true" outlineLevel="0" collapsed="false">
      <c r="A2726" s="2"/>
      <c r="B2726" s="3" t="n">
        <f aca="false">DATE(2016,8,9)</f>
        <v>0</v>
      </c>
      <c r="C2726" s="3" t="n">
        <v>42591</v>
      </c>
      <c r="D2726" s="2" t="s">
        <v>20858</v>
      </c>
      <c r="F2726" s="2" t="s">
        <v>20859</v>
      </c>
      <c r="G2726" s="2" t="s">
        <v>20860</v>
      </c>
      <c r="H2726" s="2" t="s">
        <v>20861</v>
      </c>
      <c r="I2726" s="2" t="s">
        <v>2658</v>
      </c>
      <c r="J2726" s="2" t="s">
        <v>4383</v>
      </c>
      <c r="K2726" s="2" t="s">
        <v>20858</v>
      </c>
      <c r="L2726" s="2" t="s">
        <v>2658</v>
      </c>
      <c r="M2726" s="2" t="s">
        <v>20861</v>
      </c>
      <c r="N2726" s="2" t="s">
        <v>20862</v>
      </c>
      <c r="O2726" s="2"/>
      <c r="P2726" s="2" t="s">
        <v>37</v>
      </c>
      <c r="Q2726" s="4" t="n">
        <v>8731</v>
      </c>
      <c r="R2726" s="2" t="s">
        <v>2661</v>
      </c>
      <c r="S2726" s="2" t="s">
        <v>39</v>
      </c>
      <c r="T2726" s="2" t="s">
        <v>403</v>
      </c>
      <c r="U2726" s="2" t="s">
        <v>20863</v>
      </c>
      <c r="V2726" s="2"/>
      <c r="W2726" s="2" t="s">
        <v>42</v>
      </c>
      <c r="X2726" s="2" t="s">
        <v>43</v>
      </c>
      <c r="Y2726" s="2" t="s">
        <v>37</v>
      </c>
      <c r="Z2726" s="2" t="s">
        <v>44</v>
      </c>
      <c r="AA2726" s="2"/>
      <c r="AB2726" s="2"/>
      <c r="AC2726" s="2" t="s">
        <v>20864</v>
      </c>
      <c r="AD2726" s="2" t="s">
        <v>46</v>
      </c>
    </row>
    <row r="2727" customFormat="false" ht="15.7" hidden="false" customHeight="true" outlineLevel="0" collapsed="false">
      <c r="A2727" s="2"/>
      <c r="B2727" s="3" t="n">
        <f aca="false">DATE(2016,8,9)</f>
        <v>0</v>
      </c>
      <c r="C2727" s="3" t="n">
        <v>42591</v>
      </c>
      <c r="D2727" s="2" t="s">
        <v>20865</v>
      </c>
      <c r="F2727" s="2" t="s">
        <v>20866</v>
      </c>
      <c r="G2727" s="2" t="s">
        <v>20867</v>
      </c>
      <c r="H2727" s="2" t="s">
        <v>3840</v>
      </c>
      <c r="I2727" s="2" t="s">
        <v>7014</v>
      </c>
      <c r="J2727" s="2" t="s">
        <v>35</v>
      </c>
      <c r="K2727" s="2" t="s">
        <v>20865</v>
      </c>
      <c r="L2727" s="2" t="s">
        <v>7014</v>
      </c>
      <c r="M2727" s="2" t="s">
        <v>3840</v>
      </c>
      <c r="N2727" s="2" t="s">
        <v>20868</v>
      </c>
      <c r="O2727" s="2"/>
      <c r="P2727" s="2" t="s">
        <v>37</v>
      </c>
      <c r="Q2727" s="4" t="n">
        <v>8731</v>
      </c>
      <c r="R2727" s="2" t="s">
        <v>1448</v>
      </c>
      <c r="S2727" s="2" t="s">
        <v>39</v>
      </c>
      <c r="T2727" s="2" t="s">
        <v>40</v>
      </c>
      <c r="U2727" s="2" t="s">
        <v>20869</v>
      </c>
      <c r="V2727" s="2"/>
      <c r="W2727" s="2" t="s">
        <v>42</v>
      </c>
      <c r="X2727" s="2" t="s">
        <v>43</v>
      </c>
      <c r="Y2727" s="2" t="s">
        <v>37</v>
      </c>
      <c r="Z2727" s="2" t="s">
        <v>44</v>
      </c>
      <c r="AA2727" s="2"/>
      <c r="AB2727" s="2"/>
      <c r="AC2727" s="2" t="s">
        <v>20870</v>
      </c>
      <c r="AD2727" s="2" t="s">
        <v>46</v>
      </c>
    </row>
    <row r="2728" customFormat="false" ht="15.7" hidden="false" customHeight="true" outlineLevel="0" collapsed="false">
      <c r="A2728" s="2"/>
      <c r="B2728" s="3" t="n">
        <f aca="false">DATE(2016,8,10)</f>
        <v>0</v>
      </c>
      <c r="C2728" s="3" t="n">
        <v>42592</v>
      </c>
      <c r="D2728" s="2" t="s">
        <v>20871</v>
      </c>
      <c r="F2728" s="2" t="s">
        <v>20872</v>
      </c>
      <c r="G2728" s="2" t="s">
        <v>20873</v>
      </c>
      <c r="H2728" s="2" t="s">
        <v>20874</v>
      </c>
      <c r="I2728" s="2" t="s">
        <v>20875</v>
      </c>
      <c r="J2728" s="2" t="s">
        <v>1305</v>
      </c>
      <c r="K2728" s="2" t="s">
        <v>20876</v>
      </c>
      <c r="L2728" s="2" t="s">
        <v>20877</v>
      </c>
      <c r="M2728" s="2" t="s">
        <v>20878</v>
      </c>
      <c r="N2728" s="2" t="s">
        <v>20879</v>
      </c>
      <c r="O2728" s="2"/>
      <c r="P2728" s="2" t="s">
        <v>37</v>
      </c>
      <c r="Q2728" s="4" t="n">
        <v>8731</v>
      </c>
      <c r="R2728" s="2"/>
      <c r="S2728" s="2"/>
      <c r="T2728" s="2" t="s">
        <v>403</v>
      </c>
      <c r="U2728" s="2" t="s">
        <v>20880</v>
      </c>
      <c r="V2728" s="2"/>
      <c r="W2728" s="2" t="s">
        <v>20881</v>
      </c>
      <c r="X2728" s="2" t="s">
        <v>46</v>
      </c>
      <c r="Y2728" s="2" t="s">
        <v>37</v>
      </c>
      <c r="Z2728" s="2" t="s">
        <v>11255</v>
      </c>
      <c r="AA2728" s="2"/>
      <c r="AB2728" s="2"/>
      <c r="AC2728" s="2" t="s">
        <v>20882</v>
      </c>
      <c r="AD2728" s="2" t="s">
        <v>46</v>
      </c>
    </row>
    <row r="2729" customFormat="false" ht="15.7" hidden="false" customHeight="true" outlineLevel="0" collapsed="false">
      <c r="A2729" s="2"/>
      <c r="B2729" s="3" t="n">
        <f aca="false">DATE(2016,8,10)</f>
        <v>0</v>
      </c>
      <c r="C2729" s="3" t="n">
        <v>42592</v>
      </c>
      <c r="D2729" s="2" t="s">
        <v>20883</v>
      </c>
      <c r="F2729" s="2" t="s">
        <v>256</v>
      </c>
      <c r="G2729" s="2" t="s">
        <v>20884</v>
      </c>
      <c r="H2729" s="2" t="s">
        <v>170</v>
      </c>
      <c r="I2729" s="2" t="s">
        <v>202</v>
      </c>
      <c r="J2729" s="2" t="s">
        <v>65</v>
      </c>
      <c r="K2729" s="2" t="s">
        <v>20883</v>
      </c>
      <c r="L2729" s="2" t="s">
        <v>202</v>
      </c>
      <c r="M2729" s="2" t="s">
        <v>170</v>
      </c>
      <c r="N2729" s="2" t="s">
        <v>20885</v>
      </c>
      <c r="O2729" s="2"/>
      <c r="P2729" s="2" t="s">
        <v>37</v>
      </c>
      <c r="Q2729" s="4" t="n">
        <v>8731</v>
      </c>
      <c r="R2729" s="2" t="s">
        <v>56</v>
      </c>
      <c r="S2729" s="2" t="s">
        <v>92</v>
      </c>
      <c r="T2729" s="2" t="s">
        <v>40</v>
      </c>
      <c r="U2729" s="2" t="s">
        <v>20886</v>
      </c>
      <c r="V2729" s="2"/>
      <c r="W2729" s="2" t="s">
        <v>42</v>
      </c>
      <c r="X2729" s="2" t="s">
        <v>43</v>
      </c>
      <c r="Y2729" s="2" t="s">
        <v>37</v>
      </c>
      <c r="Z2729" s="2" t="s">
        <v>44</v>
      </c>
      <c r="AA2729" s="2"/>
      <c r="AB2729" s="2"/>
      <c r="AC2729" s="2" t="s">
        <v>20887</v>
      </c>
      <c r="AD2729" s="2" t="s">
        <v>46</v>
      </c>
    </row>
    <row r="2730" customFormat="false" ht="15.7" hidden="false" customHeight="true" outlineLevel="0" collapsed="false">
      <c r="A2730" s="2"/>
      <c r="B2730" s="3" t="n">
        <f aca="false">DATE(2016,8,10)</f>
        <v>0</v>
      </c>
      <c r="C2730" s="3" t="n">
        <v>42592</v>
      </c>
      <c r="D2730" s="2" t="s">
        <v>20888</v>
      </c>
      <c r="F2730" s="2" t="s">
        <v>20889</v>
      </c>
      <c r="G2730" s="2" t="s">
        <v>20890</v>
      </c>
      <c r="H2730" s="2" t="s">
        <v>18765</v>
      </c>
      <c r="I2730" s="2" t="s">
        <v>51</v>
      </c>
      <c r="J2730" s="2" t="s">
        <v>3854</v>
      </c>
      <c r="K2730" s="2" t="s">
        <v>20888</v>
      </c>
      <c r="L2730" s="2" t="s">
        <v>51</v>
      </c>
      <c r="M2730" s="2" t="s">
        <v>18765</v>
      </c>
      <c r="N2730" s="2" t="s">
        <v>20891</v>
      </c>
      <c r="O2730" s="2"/>
      <c r="P2730" s="2" t="s">
        <v>37</v>
      </c>
      <c r="Q2730" s="4" t="n">
        <v>8731</v>
      </c>
      <c r="R2730" s="2" t="s">
        <v>56</v>
      </c>
      <c r="S2730" s="2" t="s">
        <v>92</v>
      </c>
      <c r="T2730" s="2" t="s">
        <v>403</v>
      </c>
      <c r="U2730" s="2" t="s">
        <v>20892</v>
      </c>
      <c r="V2730" s="2"/>
      <c r="W2730" s="2" t="s">
        <v>138</v>
      </c>
      <c r="X2730" s="2" t="s">
        <v>43</v>
      </c>
      <c r="Y2730" s="2" t="s">
        <v>37</v>
      </c>
      <c r="Z2730" s="2" t="s">
        <v>44</v>
      </c>
      <c r="AA2730" s="2"/>
      <c r="AB2730" s="2"/>
      <c r="AC2730" s="2" t="s">
        <v>20893</v>
      </c>
      <c r="AD2730" s="2" t="s">
        <v>46</v>
      </c>
    </row>
    <row r="2731" customFormat="false" ht="15.7" hidden="false" customHeight="true" outlineLevel="0" collapsed="false">
      <c r="A2731" s="2"/>
      <c r="B2731" s="3" t="n">
        <f aca="false">DATE(2016,8,11)</f>
        <v>0</v>
      </c>
      <c r="C2731" s="3" t="n">
        <v>42593</v>
      </c>
      <c r="D2731" s="2" t="s">
        <v>20894</v>
      </c>
      <c r="F2731" s="2" t="s">
        <v>18436</v>
      </c>
      <c r="G2731" s="2" t="s">
        <v>20895</v>
      </c>
      <c r="H2731" s="2" t="s">
        <v>762</v>
      </c>
      <c r="I2731" s="2" t="s">
        <v>540</v>
      </c>
      <c r="J2731" s="2" t="s">
        <v>35</v>
      </c>
      <c r="K2731" s="2" t="s">
        <v>20894</v>
      </c>
      <c r="L2731" s="2" t="s">
        <v>540</v>
      </c>
      <c r="M2731" s="2" t="s">
        <v>762</v>
      </c>
      <c r="N2731" s="2" t="s">
        <v>20896</v>
      </c>
      <c r="O2731" s="2"/>
      <c r="P2731" s="2" t="s">
        <v>37</v>
      </c>
      <c r="Q2731" s="4" t="n">
        <v>8731</v>
      </c>
      <c r="R2731" s="2" t="s">
        <v>1448</v>
      </c>
      <c r="S2731" s="2" t="s">
        <v>39</v>
      </c>
      <c r="T2731" s="2" t="s">
        <v>40</v>
      </c>
      <c r="U2731" s="2" t="s">
        <v>20897</v>
      </c>
      <c r="V2731" s="2"/>
      <c r="W2731" s="2" t="s">
        <v>1050</v>
      </c>
      <c r="X2731" s="2" t="s">
        <v>43</v>
      </c>
      <c r="Y2731" s="2" t="s">
        <v>37</v>
      </c>
      <c r="Z2731" s="2" t="s">
        <v>44</v>
      </c>
      <c r="AA2731" s="2"/>
      <c r="AB2731" s="2"/>
      <c r="AC2731" s="2" t="s">
        <v>20898</v>
      </c>
      <c r="AD2731" s="2" t="s">
        <v>46</v>
      </c>
    </row>
    <row r="2732" customFormat="false" ht="15.7" hidden="false" customHeight="true" outlineLevel="0" collapsed="false">
      <c r="A2732" s="2"/>
      <c r="B2732" s="3" t="n">
        <f aca="false">DATE(2016,8,18)</f>
        <v>0</v>
      </c>
      <c r="C2732" s="3" t="n">
        <v>42600</v>
      </c>
      <c r="D2732" s="2" t="s">
        <v>20899</v>
      </c>
      <c r="F2732" s="2" t="s">
        <v>20900</v>
      </c>
      <c r="G2732" s="2" t="s">
        <v>20901</v>
      </c>
      <c r="H2732" s="2" t="s">
        <v>20902</v>
      </c>
      <c r="I2732" s="2" t="s">
        <v>1645</v>
      </c>
      <c r="J2732" s="2" t="s">
        <v>35</v>
      </c>
      <c r="K2732" s="2" t="s">
        <v>20899</v>
      </c>
      <c r="L2732" s="2" t="s">
        <v>1645</v>
      </c>
      <c r="M2732" s="2" t="s">
        <v>20902</v>
      </c>
      <c r="N2732" s="2" t="s">
        <v>20903</v>
      </c>
      <c r="O2732" s="2"/>
      <c r="P2732" s="2" t="s">
        <v>37</v>
      </c>
      <c r="Q2732" s="4" t="n">
        <v>8731</v>
      </c>
      <c r="R2732" s="2" t="s">
        <v>1402</v>
      </c>
      <c r="S2732" s="2" t="s">
        <v>39</v>
      </c>
      <c r="T2732" s="2" t="s">
        <v>40</v>
      </c>
      <c r="U2732" s="2" t="s">
        <v>20904</v>
      </c>
      <c r="V2732" s="2"/>
      <c r="W2732" s="2" t="s">
        <v>11084</v>
      </c>
      <c r="X2732" s="2" t="s">
        <v>46</v>
      </c>
      <c r="Y2732" s="2" t="s">
        <v>37</v>
      </c>
      <c r="Z2732" s="2" t="s">
        <v>362</v>
      </c>
      <c r="AA2732" s="2"/>
      <c r="AB2732" s="2"/>
      <c r="AC2732" s="2" t="s">
        <v>20905</v>
      </c>
      <c r="AD2732" s="2" t="s">
        <v>46</v>
      </c>
    </row>
    <row r="2733" customFormat="false" ht="15.7" hidden="false" customHeight="true" outlineLevel="0" collapsed="false">
      <c r="A2733" s="2"/>
      <c r="B2733" s="3" t="n">
        <f aca="false">DATE(2016,8,19)</f>
        <v>0</v>
      </c>
      <c r="C2733" s="3" t="n">
        <v>42601</v>
      </c>
      <c r="D2733" s="2" t="s">
        <v>20906</v>
      </c>
      <c r="F2733" s="2" t="s">
        <v>20907</v>
      </c>
      <c r="G2733" s="2" t="s">
        <v>20908</v>
      </c>
      <c r="H2733" s="2" t="s">
        <v>20909</v>
      </c>
      <c r="I2733" s="2" t="s">
        <v>296</v>
      </c>
      <c r="J2733" s="2" t="s">
        <v>2088</v>
      </c>
      <c r="K2733" s="2" t="s">
        <v>20910</v>
      </c>
      <c r="L2733" s="2" t="s">
        <v>2658</v>
      </c>
      <c r="M2733" s="2" t="s">
        <v>20911</v>
      </c>
      <c r="N2733" s="2" t="s">
        <v>20912</v>
      </c>
      <c r="O2733" s="2"/>
      <c r="P2733" s="2" t="s">
        <v>37</v>
      </c>
      <c r="Q2733" s="4" t="n">
        <v>4911</v>
      </c>
      <c r="R2733" s="2" t="s">
        <v>1448</v>
      </c>
      <c r="S2733" s="2" t="s">
        <v>39</v>
      </c>
      <c r="T2733" s="2" t="s">
        <v>40</v>
      </c>
      <c r="U2733" s="2" t="s">
        <v>20913</v>
      </c>
      <c r="V2733" s="2"/>
      <c r="W2733" s="2" t="s">
        <v>14343</v>
      </c>
      <c r="X2733" s="2" t="s">
        <v>43</v>
      </c>
      <c r="Y2733" s="2" t="s">
        <v>37</v>
      </c>
      <c r="Z2733" s="2" t="s">
        <v>44</v>
      </c>
      <c r="AA2733" s="2"/>
      <c r="AB2733" s="2"/>
      <c r="AC2733" s="2" t="s">
        <v>20914</v>
      </c>
      <c r="AD2733" s="2" t="s">
        <v>46</v>
      </c>
    </row>
    <row r="2734" customFormat="false" ht="15.7" hidden="false" customHeight="true" outlineLevel="0" collapsed="false">
      <c r="A2734" s="2"/>
      <c r="B2734" s="3" t="n">
        <f aca="false">DATE(2016,8,22)</f>
        <v>0</v>
      </c>
      <c r="C2734" s="3" t="n">
        <v>42604</v>
      </c>
      <c r="D2734" s="2" t="s">
        <v>20915</v>
      </c>
      <c r="F2734" s="2" t="s">
        <v>20916</v>
      </c>
      <c r="G2734" s="2" t="s">
        <v>20917</v>
      </c>
      <c r="H2734" s="2" t="s">
        <v>1101</v>
      </c>
      <c r="I2734" s="2" t="s">
        <v>4325</v>
      </c>
      <c r="J2734" s="2" t="s">
        <v>35</v>
      </c>
      <c r="K2734" s="2" t="s">
        <v>20918</v>
      </c>
      <c r="L2734" s="2" t="s">
        <v>20919</v>
      </c>
      <c r="M2734" s="2" t="s">
        <v>1101</v>
      </c>
      <c r="N2734" s="2" t="s">
        <v>20920</v>
      </c>
      <c r="O2734" s="2"/>
      <c r="P2734" s="2" t="s">
        <v>37</v>
      </c>
      <c r="Q2734" s="4" t="n">
        <v>8731</v>
      </c>
      <c r="R2734" s="2" t="s">
        <v>402</v>
      </c>
      <c r="S2734" s="2" t="s">
        <v>39</v>
      </c>
      <c r="T2734" s="2" t="s">
        <v>40</v>
      </c>
      <c r="U2734" s="2" t="s">
        <v>20921</v>
      </c>
      <c r="V2734" s="2"/>
      <c r="W2734" s="2" t="s">
        <v>42</v>
      </c>
      <c r="X2734" s="2" t="s">
        <v>43</v>
      </c>
      <c r="Y2734" s="2" t="s">
        <v>37</v>
      </c>
      <c r="Z2734" s="2" t="s">
        <v>44</v>
      </c>
      <c r="AA2734" s="2"/>
      <c r="AB2734" s="2"/>
      <c r="AC2734" s="2" t="s">
        <v>20922</v>
      </c>
      <c r="AD2734" s="2" t="s">
        <v>46</v>
      </c>
    </row>
    <row r="2735" customFormat="false" ht="15.7" hidden="false" customHeight="true" outlineLevel="0" collapsed="false">
      <c r="A2735" s="2"/>
      <c r="B2735" s="3" t="n">
        <f aca="false">DATE(2016,8,22)</f>
        <v>0</v>
      </c>
      <c r="C2735" s="3" t="n">
        <v>42604</v>
      </c>
      <c r="D2735" s="2" t="s">
        <v>20923</v>
      </c>
      <c r="F2735" s="2" t="s">
        <v>20924</v>
      </c>
      <c r="G2735" s="2" t="s">
        <v>20925</v>
      </c>
      <c r="H2735" s="2" t="s">
        <v>20926</v>
      </c>
      <c r="I2735" s="2" t="s">
        <v>2127</v>
      </c>
      <c r="J2735" s="2" t="s">
        <v>35</v>
      </c>
      <c r="K2735" s="2" t="s">
        <v>20927</v>
      </c>
      <c r="L2735" s="2" t="s">
        <v>2127</v>
      </c>
      <c r="M2735" s="2" t="s">
        <v>20928</v>
      </c>
      <c r="N2735" s="2" t="s">
        <v>20929</v>
      </c>
      <c r="O2735" s="2" t="s">
        <v>20930</v>
      </c>
      <c r="P2735" s="2" t="s">
        <v>37</v>
      </c>
      <c r="Q2735" s="4" t="n">
        <v>8731</v>
      </c>
      <c r="R2735" s="2" t="s">
        <v>2129</v>
      </c>
      <c r="S2735" s="2" t="s">
        <v>39</v>
      </c>
      <c r="T2735" s="2" t="s">
        <v>122</v>
      </c>
      <c r="U2735" s="2" t="s">
        <v>20931</v>
      </c>
      <c r="V2735" s="2"/>
      <c r="W2735" s="2" t="s">
        <v>10985</v>
      </c>
      <c r="X2735" s="2" t="s">
        <v>46</v>
      </c>
      <c r="Y2735" s="2" t="s">
        <v>37</v>
      </c>
      <c r="Z2735" s="2" t="s">
        <v>44</v>
      </c>
      <c r="AA2735" s="2"/>
      <c r="AB2735" s="2" t="s">
        <v>20932</v>
      </c>
      <c r="AC2735" s="2" t="s">
        <v>20933</v>
      </c>
      <c r="AD2735" s="2" t="s">
        <v>46</v>
      </c>
    </row>
    <row r="2736" customFormat="false" ht="15.7" hidden="false" customHeight="true" outlineLevel="0" collapsed="false">
      <c r="A2736" s="2"/>
      <c r="B2736" s="3" t="n">
        <f aca="false">DATE(2016,8,23)</f>
        <v>0</v>
      </c>
      <c r="C2736" s="3" t="n">
        <v>42605</v>
      </c>
      <c r="D2736" s="2" t="s">
        <v>20934</v>
      </c>
      <c r="F2736" s="2" t="s">
        <v>20935</v>
      </c>
      <c r="G2736" s="2" t="s">
        <v>20936</v>
      </c>
      <c r="H2736" s="2" t="s">
        <v>20937</v>
      </c>
      <c r="I2736" s="2" t="s">
        <v>51</v>
      </c>
      <c r="J2736" s="2" t="s">
        <v>171</v>
      </c>
      <c r="K2736" s="2" t="s">
        <v>20934</v>
      </c>
      <c r="L2736" s="2" t="s">
        <v>51</v>
      </c>
      <c r="M2736" s="2" t="s">
        <v>20937</v>
      </c>
      <c r="N2736" s="2" t="s">
        <v>20938</v>
      </c>
      <c r="O2736" s="2"/>
      <c r="P2736" s="2" t="s">
        <v>37</v>
      </c>
      <c r="Q2736" s="4" t="n">
        <v>8731</v>
      </c>
      <c r="R2736" s="2" t="s">
        <v>56</v>
      </c>
      <c r="S2736" s="2" t="s">
        <v>92</v>
      </c>
      <c r="T2736" s="2" t="s">
        <v>40</v>
      </c>
      <c r="U2736" s="2" t="s">
        <v>20939</v>
      </c>
      <c r="V2736" s="2"/>
      <c r="W2736" s="2" t="s">
        <v>20940</v>
      </c>
      <c r="X2736" s="2" t="s">
        <v>43</v>
      </c>
      <c r="Y2736" s="2" t="s">
        <v>37</v>
      </c>
      <c r="Z2736" s="2" t="s">
        <v>44</v>
      </c>
      <c r="AA2736" s="2" t="s">
        <v>20941</v>
      </c>
      <c r="AB2736" s="2"/>
      <c r="AC2736" s="2" t="s">
        <v>20942</v>
      </c>
      <c r="AD2736" s="2" t="s">
        <v>46</v>
      </c>
    </row>
    <row r="2737" customFormat="false" ht="15.7" hidden="false" customHeight="true" outlineLevel="0" collapsed="false">
      <c r="A2737" s="2"/>
      <c r="B2737" s="3" t="n">
        <f aca="false">DATE(2016,8,23)</f>
        <v>0</v>
      </c>
      <c r="C2737" s="3" t="n">
        <v>42605</v>
      </c>
      <c r="D2737" s="2" t="s">
        <v>20943</v>
      </c>
      <c r="F2737" s="2" t="s">
        <v>20944</v>
      </c>
      <c r="G2737" s="2" t="s">
        <v>20945</v>
      </c>
      <c r="H2737" s="2" t="s">
        <v>14339</v>
      </c>
      <c r="I2737" s="2" t="s">
        <v>4325</v>
      </c>
      <c r="J2737" s="2" t="s">
        <v>35</v>
      </c>
      <c r="K2737" s="2" t="s">
        <v>20946</v>
      </c>
      <c r="L2737" s="2" t="s">
        <v>20947</v>
      </c>
      <c r="M2737" s="2" t="s">
        <v>20948</v>
      </c>
      <c r="N2737" s="2" t="s">
        <v>20949</v>
      </c>
      <c r="O2737" s="2"/>
      <c r="P2737" s="2" t="s">
        <v>37</v>
      </c>
      <c r="Q2737" s="4" t="n">
        <v>8731</v>
      </c>
      <c r="R2737" s="2" t="s">
        <v>402</v>
      </c>
      <c r="S2737" s="2" t="s">
        <v>39</v>
      </c>
      <c r="T2737" s="2" t="s">
        <v>403</v>
      </c>
      <c r="U2737" s="2" t="s">
        <v>20950</v>
      </c>
      <c r="V2737" s="2"/>
      <c r="W2737" s="2" t="s">
        <v>697</v>
      </c>
      <c r="X2737" s="2" t="s">
        <v>46</v>
      </c>
      <c r="Y2737" s="2" t="s">
        <v>37</v>
      </c>
      <c r="Z2737" s="2" t="s">
        <v>18992</v>
      </c>
      <c r="AA2737" s="2" t="s">
        <v>20951</v>
      </c>
      <c r="AB2737" s="2"/>
      <c r="AC2737" s="2" t="s">
        <v>20952</v>
      </c>
      <c r="AD2737" s="2" t="s">
        <v>46</v>
      </c>
    </row>
    <row r="2738" customFormat="false" ht="15.7" hidden="false" customHeight="true" outlineLevel="0" collapsed="false">
      <c r="A2738" s="2"/>
      <c r="B2738" s="3" t="n">
        <f aca="false">DATE(2016,8,24)</f>
        <v>0</v>
      </c>
      <c r="C2738" s="3" t="n">
        <v>42606</v>
      </c>
      <c r="D2738" s="2" t="s">
        <v>20953</v>
      </c>
      <c r="F2738" s="2" t="s">
        <v>20954</v>
      </c>
      <c r="G2738" s="2" t="s">
        <v>20955</v>
      </c>
      <c r="H2738" s="2" t="s">
        <v>20956</v>
      </c>
      <c r="I2738" s="2" t="s">
        <v>4325</v>
      </c>
      <c r="J2738" s="2" t="s">
        <v>35</v>
      </c>
      <c r="K2738" s="2" t="s">
        <v>20953</v>
      </c>
      <c r="L2738" s="2" t="s">
        <v>4325</v>
      </c>
      <c r="M2738" s="2" t="s">
        <v>20956</v>
      </c>
      <c r="N2738" s="2" t="s">
        <v>20957</v>
      </c>
      <c r="O2738" s="2"/>
      <c r="P2738" s="2" t="s">
        <v>37</v>
      </c>
      <c r="Q2738" s="4" t="n">
        <v>721</v>
      </c>
      <c r="R2738" s="2" t="s">
        <v>402</v>
      </c>
      <c r="S2738" s="2" t="s">
        <v>39</v>
      </c>
      <c r="T2738" s="2" t="s">
        <v>403</v>
      </c>
      <c r="U2738" s="2" t="s">
        <v>20958</v>
      </c>
      <c r="V2738" s="2"/>
      <c r="W2738" s="2" t="s">
        <v>8529</v>
      </c>
      <c r="X2738" s="2" t="s">
        <v>46</v>
      </c>
      <c r="Y2738" s="2" t="s">
        <v>37</v>
      </c>
      <c r="Z2738" s="2" t="s">
        <v>1639</v>
      </c>
      <c r="AA2738" s="2" t="s">
        <v>20959</v>
      </c>
      <c r="AB2738" s="2"/>
      <c r="AC2738" s="2" t="s">
        <v>20960</v>
      </c>
      <c r="AD2738" s="2" t="s">
        <v>46</v>
      </c>
    </row>
    <row r="2739" customFormat="false" ht="15.7" hidden="false" customHeight="true" outlineLevel="0" collapsed="false">
      <c r="A2739" s="2"/>
      <c r="B2739" s="3" t="n">
        <f aca="false">DATE(2016,8,25)</f>
        <v>0</v>
      </c>
      <c r="C2739" s="3" t="n">
        <v>42607</v>
      </c>
      <c r="D2739" s="2" t="s">
        <v>20961</v>
      </c>
      <c r="F2739" s="2" t="s">
        <v>20962</v>
      </c>
      <c r="G2739" s="2" t="s">
        <v>20963</v>
      </c>
      <c r="H2739" s="2" t="s">
        <v>20964</v>
      </c>
      <c r="I2739" s="2" t="s">
        <v>51</v>
      </c>
      <c r="J2739" s="2" t="s">
        <v>4097</v>
      </c>
      <c r="K2739" s="2" t="s">
        <v>20961</v>
      </c>
      <c r="L2739" s="2" t="s">
        <v>51</v>
      </c>
      <c r="M2739" s="2" t="s">
        <v>20964</v>
      </c>
      <c r="N2739" s="2" t="s">
        <v>20965</v>
      </c>
      <c r="O2739" s="2"/>
      <c r="P2739" s="2" t="s">
        <v>37</v>
      </c>
      <c r="Q2739" s="4" t="n">
        <v>8748</v>
      </c>
      <c r="R2739" s="2" t="s">
        <v>56</v>
      </c>
      <c r="S2739" s="2" t="s">
        <v>2265</v>
      </c>
      <c r="T2739" s="2" t="s">
        <v>403</v>
      </c>
      <c r="U2739" s="2" t="s">
        <v>20966</v>
      </c>
      <c r="V2739" s="2"/>
      <c r="W2739" s="2" t="s">
        <v>20967</v>
      </c>
      <c r="X2739" s="2" t="s">
        <v>43</v>
      </c>
      <c r="Y2739" s="2" t="s">
        <v>37</v>
      </c>
      <c r="Z2739" s="2" t="s">
        <v>44</v>
      </c>
      <c r="AA2739" s="2"/>
      <c r="AB2739" s="2"/>
      <c r="AC2739" s="2" t="s">
        <v>20968</v>
      </c>
      <c r="AD2739" s="2" t="s">
        <v>46</v>
      </c>
    </row>
    <row r="2740" customFormat="false" ht="15.7" hidden="false" customHeight="true" outlineLevel="0" collapsed="false">
      <c r="A2740" s="2"/>
      <c r="B2740" s="3" t="n">
        <f aca="false">DATE(2016,8,25)</f>
        <v>0</v>
      </c>
      <c r="C2740" s="3" t="n">
        <v>42607</v>
      </c>
      <c r="D2740" s="2" t="s">
        <v>20969</v>
      </c>
      <c r="F2740" s="2" t="s">
        <v>20970</v>
      </c>
      <c r="G2740" s="2" t="s">
        <v>20971</v>
      </c>
      <c r="H2740" s="2" t="s">
        <v>20972</v>
      </c>
      <c r="I2740" s="2" t="s">
        <v>388</v>
      </c>
      <c r="J2740" s="2" t="s">
        <v>575</v>
      </c>
      <c r="K2740" s="2" t="s">
        <v>20973</v>
      </c>
      <c r="L2740" s="2" t="s">
        <v>388</v>
      </c>
      <c r="M2740" s="2" t="s">
        <v>20972</v>
      </c>
      <c r="N2740" s="2" t="s">
        <v>20974</v>
      </c>
      <c r="O2740" s="2"/>
      <c r="P2740" s="2" t="s">
        <v>37</v>
      </c>
      <c r="Q2740" s="4" t="n">
        <v>8731</v>
      </c>
      <c r="R2740" s="2" t="s">
        <v>56</v>
      </c>
      <c r="S2740" s="2" t="s">
        <v>507</v>
      </c>
      <c r="T2740" s="2" t="s">
        <v>40</v>
      </c>
      <c r="U2740" s="2" t="s">
        <v>20975</v>
      </c>
      <c r="V2740" s="2"/>
      <c r="W2740" s="2" t="s">
        <v>42</v>
      </c>
      <c r="X2740" s="2" t="s">
        <v>43</v>
      </c>
      <c r="Y2740" s="2" t="s">
        <v>37</v>
      </c>
      <c r="Z2740" s="2" t="s">
        <v>44</v>
      </c>
      <c r="AA2740" s="2"/>
      <c r="AB2740" s="2"/>
      <c r="AC2740" s="2" t="s">
        <v>20976</v>
      </c>
      <c r="AD2740" s="2" t="s">
        <v>46</v>
      </c>
    </row>
    <row r="2741" customFormat="false" ht="15.7" hidden="false" customHeight="true" outlineLevel="0" collapsed="false">
      <c r="A2741" s="2"/>
      <c r="B2741" s="3" t="n">
        <f aca="false">DATE(2016,8,26)</f>
        <v>0</v>
      </c>
      <c r="C2741" s="3" t="n">
        <v>42608</v>
      </c>
      <c r="D2741" s="2" t="s">
        <v>20977</v>
      </c>
      <c r="F2741" s="2" t="s">
        <v>20978</v>
      </c>
      <c r="G2741" s="2" t="s">
        <v>20979</v>
      </c>
      <c r="H2741" s="2" t="s">
        <v>20980</v>
      </c>
      <c r="I2741" s="2" t="s">
        <v>5102</v>
      </c>
      <c r="J2741" s="2" t="s">
        <v>35</v>
      </c>
      <c r="K2741" s="2" t="s">
        <v>20977</v>
      </c>
      <c r="L2741" s="2" t="s">
        <v>5102</v>
      </c>
      <c r="M2741" s="2" t="s">
        <v>20980</v>
      </c>
      <c r="N2741" s="2" t="s">
        <v>20981</v>
      </c>
      <c r="O2741" s="2"/>
      <c r="P2741" s="2" t="s">
        <v>37</v>
      </c>
      <c r="Q2741" s="4" t="n">
        <v>8731</v>
      </c>
      <c r="R2741" s="2" t="s">
        <v>70</v>
      </c>
      <c r="S2741" s="2" t="s">
        <v>39</v>
      </c>
      <c r="T2741" s="2" t="s">
        <v>403</v>
      </c>
      <c r="U2741" s="2" t="s">
        <v>20982</v>
      </c>
      <c r="V2741" s="2"/>
      <c r="W2741" s="2" t="s">
        <v>42</v>
      </c>
      <c r="X2741" s="2" t="s">
        <v>46</v>
      </c>
      <c r="Y2741" s="2" t="s">
        <v>37</v>
      </c>
      <c r="Z2741" s="2" t="s">
        <v>362</v>
      </c>
      <c r="AA2741" s="2"/>
      <c r="AB2741" s="2"/>
      <c r="AC2741" s="2" t="s">
        <v>20983</v>
      </c>
      <c r="AD2741" s="2" t="s">
        <v>46</v>
      </c>
    </row>
    <row r="2742" customFormat="false" ht="15.7" hidden="false" customHeight="true" outlineLevel="0" collapsed="false">
      <c r="A2742" s="2"/>
      <c r="B2742" s="3" t="n">
        <f aca="false">DATE(2016,8,26)</f>
        <v>0</v>
      </c>
      <c r="C2742" s="3" t="n">
        <v>42608</v>
      </c>
      <c r="D2742" s="2" t="s">
        <v>20984</v>
      </c>
      <c r="F2742" s="2" t="s">
        <v>5969</v>
      </c>
      <c r="G2742" s="2" t="s">
        <v>20985</v>
      </c>
      <c r="H2742" s="2" t="s">
        <v>3500</v>
      </c>
      <c r="I2742" s="2" t="s">
        <v>3320</v>
      </c>
      <c r="J2742" s="2" t="s">
        <v>35</v>
      </c>
      <c r="K2742" s="2" t="s">
        <v>20986</v>
      </c>
      <c r="L2742" s="2" t="s">
        <v>3320</v>
      </c>
      <c r="M2742" s="2" t="s">
        <v>20987</v>
      </c>
      <c r="N2742" s="2" t="s">
        <v>20988</v>
      </c>
      <c r="O2742" s="2"/>
      <c r="P2742" s="2" t="s">
        <v>37</v>
      </c>
      <c r="Q2742" s="4" t="n">
        <v>8731</v>
      </c>
      <c r="R2742" s="2" t="s">
        <v>402</v>
      </c>
      <c r="S2742" s="2" t="s">
        <v>39</v>
      </c>
      <c r="T2742" s="2" t="s">
        <v>40</v>
      </c>
      <c r="U2742" s="2" t="s">
        <v>20989</v>
      </c>
      <c r="V2742" s="2"/>
      <c r="W2742" s="2" t="s">
        <v>20990</v>
      </c>
      <c r="X2742" s="2" t="s">
        <v>43</v>
      </c>
      <c r="Y2742" s="2" t="s">
        <v>37</v>
      </c>
      <c r="Z2742" s="2" t="s">
        <v>44</v>
      </c>
      <c r="AA2742" s="2"/>
      <c r="AB2742" s="2"/>
      <c r="AC2742" s="2" t="s">
        <v>20991</v>
      </c>
      <c r="AD2742" s="2" t="s">
        <v>46</v>
      </c>
    </row>
    <row r="2743" customFormat="false" ht="15.7" hidden="false" customHeight="true" outlineLevel="0" collapsed="false">
      <c r="A2743" s="2"/>
      <c r="B2743" s="3" t="n">
        <f aca="false">DATE(2016,8,28)</f>
        <v>0</v>
      </c>
      <c r="C2743" s="3" t="n">
        <v>42610</v>
      </c>
      <c r="D2743" s="2" t="s">
        <v>20992</v>
      </c>
      <c r="F2743" s="2" t="s">
        <v>20993</v>
      </c>
      <c r="G2743" s="2" t="s">
        <v>20994</v>
      </c>
      <c r="H2743" s="2" t="s">
        <v>20995</v>
      </c>
      <c r="I2743" s="2" t="s">
        <v>435</v>
      </c>
      <c r="J2743" s="2" t="s">
        <v>795</v>
      </c>
      <c r="K2743" s="2" t="s">
        <v>20996</v>
      </c>
      <c r="L2743" s="2" t="s">
        <v>20997</v>
      </c>
      <c r="M2743" s="2" t="s">
        <v>20998</v>
      </c>
      <c r="N2743" s="2" t="s">
        <v>20999</v>
      </c>
      <c r="O2743" s="2"/>
      <c r="P2743" s="2" t="s">
        <v>37</v>
      </c>
      <c r="Q2743" s="4" t="n">
        <v>8731</v>
      </c>
      <c r="R2743" s="2" t="s">
        <v>1402</v>
      </c>
      <c r="S2743" s="2" t="s">
        <v>39</v>
      </c>
      <c r="T2743" s="2" t="s">
        <v>403</v>
      </c>
      <c r="U2743" s="2" t="s">
        <v>21000</v>
      </c>
      <c r="V2743" s="2"/>
      <c r="W2743" s="2" t="s">
        <v>13889</v>
      </c>
      <c r="X2743" s="2" t="s">
        <v>43</v>
      </c>
      <c r="Y2743" s="2" t="s">
        <v>37</v>
      </c>
      <c r="Z2743" s="2" t="s">
        <v>44</v>
      </c>
      <c r="AA2743" s="2"/>
      <c r="AB2743" s="2"/>
      <c r="AC2743" s="2" t="s">
        <v>21001</v>
      </c>
      <c r="AD2743" s="2" t="s">
        <v>46</v>
      </c>
    </row>
    <row r="2744" customFormat="false" ht="15.7" hidden="false" customHeight="true" outlineLevel="0" collapsed="false">
      <c r="A2744" s="2"/>
      <c r="B2744" s="3" t="n">
        <f aca="false">DATE(2016,8,29)</f>
        <v>0</v>
      </c>
      <c r="C2744" s="3" t="n">
        <v>42611</v>
      </c>
      <c r="D2744" s="2" t="s">
        <v>21002</v>
      </c>
      <c r="F2744" s="2" t="s">
        <v>21003</v>
      </c>
      <c r="G2744" s="2" t="s">
        <v>21004</v>
      </c>
      <c r="H2744" s="2" t="s">
        <v>1770</v>
      </c>
      <c r="I2744" s="2" t="s">
        <v>7116</v>
      </c>
      <c r="J2744" s="2" t="s">
        <v>625</v>
      </c>
      <c r="K2744" s="2" t="s">
        <v>21002</v>
      </c>
      <c r="L2744" s="2" t="s">
        <v>7116</v>
      </c>
      <c r="M2744" s="2" t="s">
        <v>1770</v>
      </c>
      <c r="N2744" s="2" t="s">
        <v>21005</v>
      </c>
      <c r="O2744" s="2"/>
      <c r="P2744" s="2" t="s">
        <v>37</v>
      </c>
      <c r="Q2744" s="4" t="n">
        <v>8731</v>
      </c>
      <c r="R2744" s="2" t="s">
        <v>56</v>
      </c>
      <c r="S2744" s="2" t="s">
        <v>80</v>
      </c>
      <c r="T2744" s="2" t="s">
        <v>40</v>
      </c>
      <c r="U2744" s="2" t="s">
        <v>21006</v>
      </c>
      <c r="V2744" s="2"/>
      <c r="W2744" s="2" t="s">
        <v>42</v>
      </c>
      <c r="X2744" s="2" t="s">
        <v>43</v>
      </c>
      <c r="Y2744" s="2" t="s">
        <v>37</v>
      </c>
      <c r="Z2744" s="2" t="s">
        <v>44</v>
      </c>
      <c r="AA2744" s="2"/>
      <c r="AB2744" s="2"/>
      <c r="AC2744" s="2" t="s">
        <v>21007</v>
      </c>
      <c r="AD2744" s="2" t="s">
        <v>46</v>
      </c>
    </row>
    <row r="2745" customFormat="false" ht="15.7" hidden="false" customHeight="true" outlineLevel="0" collapsed="false">
      <c r="A2745" s="2"/>
      <c r="B2745" s="3" t="n">
        <f aca="false">DATE(2016,8,29)</f>
        <v>0</v>
      </c>
      <c r="C2745" s="3" t="n">
        <v>42611</v>
      </c>
      <c r="D2745" s="2" t="s">
        <v>21008</v>
      </c>
      <c r="F2745" s="2" t="s">
        <v>21009</v>
      </c>
      <c r="G2745" s="2" t="s">
        <v>21010</v>
      </c>
      <c r="H2745" s="2" t="s">
        <v>21011</v>
      </c>
      <c r="I2745" s="2" t="s">
        <v>21012</v>
      </c>
      <c r="J2745" s="2" t="s">
        <v>116</v>
      </c>
      <c r="K2745" s="2" t="s">
        <v>21013</v>
      </c>
      <c r="L2745" s="2" t="s">
        <v>21012</v>
      </c>
      <c r="M2745" s="2" t="s">
        <v>21011</v>
      </c>
      <c r="N2745" s="2" t="s">
        <v>21014</v>
      </c>
      <c r="O2745" s="2"/>
      <c r="P2745" s="2" t="s">
        <v>37</v>
      </c>
      <c r="Q2745" s="4" t="n">
        <v>8731</v>
      </c>
      <c r="R2745" s="2" t="s">
        <v>105</v>
      </c>
      <c r="S2745" s="2" t="s">
        <v>39</v>
      </c>
      <c r="T2745" s="2" t="s">
        <v>40</v>
      </c>
      <c r="U2745" s="2" t="s">
        <v>21015</v>
      </c>
      <c r="V2745" s="2"/>
      <c r="W2745" s="2" t="s">
        <v>42</v>
      </c>
      <c r="X2745" s="2" t="s">
        <v>43</v>
      </c>
      <c r="Y2745" s="2" t="s">
        <v>37</v>
      </c>
      <c r="Z2745" s="2" t="s">
        <v>916</v>
      </c>
      <c r="AA2745" s="2"/>
      <c r="AB2745" s="2"/>
      <c r="AC2745" s="2" t="s">
        <v>21016</v>
      </c>
      <c r="AD2745" s="2" t="s">
        <v>46</v>
      </c>
    </row>
    <row r="2746" customFormat="false" ht="15.7" hidden="false" customHeight="true" outlineLevel="0" collapsed="false">
      <c r="A2746" s="2"/>
      <c r="B2746" s="3" t="n">
        <f aca="false">DATE(2016,8,31)</f>
        <v>0</v>
      </c>
      <c r="C2746" s="3" t="n">
        <v>42613</v>
      </c>
      <c r="D2746" s="2" t="s">
        <v>21017</v>
      </c>
      <c r="F2746" s="2" t="s">
        <v>21018</v>
      </c>
      <c r="G2746" s="2" t="s">
        <v>21019</v>
      </c>
      <c r="H2746" s="2" t="s">
        <v>21020</v>
      </c>
      <c r="I2746" s="2" t="s">
        <v>3265</v>
      </c>
      <c r="J2746" s="2" t="s">
        <v>132</v>
      </c>
      <c r="K2746" s="2" t="s">
        <v>21017</v>
      </c>
      <c r="L2746" s="2" t="s">
        <v>3265</v>
      </c>
      <c r="M2746" s="2" t="s">
        <v>21020</v>
      </c>
      <c r="N2746" s="2" t="s">
        <v>21021</v>
      </c>
      <c r="O2746" s="2"/>
      <c r="P2746" s="2" t="s">
        <v>37</v>
      </c>
      <c r="Q2746" s="4" t="n">
        <v>8731</v>
      </c>
      <c r="R2746" s="2" t="s">
        <v>402</v>
      </c>
      <c r="S2746" s="2" t="s">
        <v>39</v>
      </c>
      <c r="T2746" s="2" t="s">
        <v>40</v>
      </c>
      <c r="U2746" s="2" t="s">
        <v>21022</v>
      </c>
      <c r="V2746" s="2"/>
      <c r="W2746" s="2" t="s">
        <v>2367</v>
      </c>
      <c r="X2746" s="2" t="s">
        <v>43</v>
      </c>
      <c r="Y2746" s="2" t="s">
        <v>37</v>
      </c>
      <c r="Z2746" s="2" t="s">
        <v>44</v>
      </c>
      <c r="AA2746" s="2"/>
      <c r="AB2746" s="2"/>
      <c r="AC2746" s="2" t="s">
        <v>21023</v>
      </c>
      <c r="AD2746" s="2" t="s">
        <v>46</v>
      </c>
    </row>
    <row r="2747" customFormat="false" ht="15.7" hidden="false" customHeight="true" outlineLevel="0" collapsed="false">
      <c r="A2747" s="2"/>
      <c r="B2747" s="3" t="n">
        <f aca="false">DATE(2016,9,5)</f>
        <v>0</v>
      </c>
      <c r="C2747" s="3" t="n">
        <v>42618</v>
      </c>
      <c r="D2747" s="2" t="s">
        <v>21024</v>
      </c>
      <c r="F2747" s="2" t="s">
        <v>21025</v>
      </c>
      <c r="G2747" s="2" t="s">
        <v>21026</v>
      </c>
      <c r="H2747" s="2" t="s">
        <v>21027</v>
      </c>
      <c r="I2747" s="2" t="s">
        <v>21028</v>
      </c>
      <c r="J2747" s="2" t="s">
        <v>35</v>
      </c>
      <c r="K2747" s="2" t="s">
        <v>21029</v>
      </c>
      <c r="L2747" s="2" t="s">
        <v>21028</v>
      </c>
      <c r="M2747" s="2" t="s">
        <v>21030</v>
      </c>
      <c r="N2747" s="2" t="s">
        <v>21031</v>
      </c>
      <c r="O2747" s="2"/>
      <c r="P2747" s="2" t="s">
        <v>37</v>
      </c>
      <c r="Q2747" s="4" t="n">
        <v>8731</v>
      </c>
      <c r="R2747" s="2" t="s">
        <v>402</v>
      </c>
      <c r="S2747" s="2" t="s">
        <v>39</v>
      </c>
      <c r="T2747" s="2" t="s">
        <v>403</v>
      </c>
      <c r="U2747" s="2" t="s">
        <v>21032</v>
      </c>
      <c r="V2747" s="2"/>
      <c r="W2747" s="2" t="s">
        <v>773</v>
      </c>
      <c r="X2747" s="2" t="s">
        <v>46</v>
      </c>
      <c r="Y2747" s="2" t="s">
        <v>37</v>
      </c>
      <c r="Z2747" s="2" t="s">
        <v>44</v>
      </c>
      <c r="AA2747" s="2"/>
      <c r="AB2747" s="2"/>
      <c r="AC2747" s="2" t="s">
        <v>21033</v>
      </c>
      <c r="AD2747" s="2" t="s">
        <v>46</v>
      </c>
    </row>
    <row r="2748" customFormat="false" ht="15.7" hidden="false" customHeight="true" outlineLevel="0" collapsed="false">
      <c r="A2748" s="2"/>
      <c r="B2748" s="3" t="n">
        <f aca="false">DATE(2016,9,6)</f>
        <v>0</v>
      </c>
      <c r="C2748" s="3" t="n">
        <v>42619</v>
      </c>
      <c r="D2748" s="2" t="s">
        <v>21034</v>
      </c>
      <c r="F2748" s="2" t="s">
        <v>21035</v>
      </c>
      <c r="G2748" s="2" t="s">
        <v>21036</v>
      </c>
      <c r="H2748" s="2" t="s">
        <v>21037</v>
      </c>
      <c r="I2748" s="2" t="s">
        <v>1437</v>
      </c>
      <c r="J2748" s="2" t="s">
        <v>35</v>
      </c>
      <c r="K2748" s="2" t="s">
        <v>21038</v>
      </c>
      <c r="L2748" s="2" t="s">
        <v>1437</v>
      </c>
      <c r="M2748" s="2" t="s">
        <v>7075</v>
      </c>
      <c r="N2748" s="2" t="s">
        <v>21039</v>
      </c>
      <c r="O2748" s="2" t="s">
        <v>21040</v>
      </c>
      <c r="P2748" s="2" t="s">
        <v>37</v>
      </c>
      <c r="Q2748" s="4" t="n">
        <v>7372</v>
      </c>
      <c r="R2748" s="2" t="s">
        <v>1441</v>
      </c>
      <c r="S2748" s="2" t="s">
        <v>39</v>
      </c>
      <c r="T2748" s="2" t="s">
        <v>40</v>
      </c>
      <c r="U2748" s="2" t="s">
        <v>21041</v>
      </c>
      <c r="V2748" s="2"/>
      <c r="W2748" s="2" t="s">
        <v>42</v>
      </c>
      <c r="X2748" s="2" t="s">
        <v>46</v>
      </c>
      <c r="Y2748" s="2" t="s">
        <v>37</v>
      </c>
      <c r="Z2748" s="2" t="s">
        <v>362</v>
      </c>
      <c r="AA2748" s="2"/>
      <c r="AB2748" s="2" t="s">
        <v>21042</v>
      </c>
      <c r="AC2748" s="2" t="s">
        <v>21043</v>
      </c>
      <c r="AD2748" s="2" t="s">
        <v>46</v>
      </c>
    </row>
    <row r="2749" customFormat="false" ht="15.7" hidden="false" customHeight="true" outlineLevel="0" collapsed="false">
      <c r="A2749" s="2"/>
      <c r="B2749" s="3" t="n">
        <f aca="false">DATE(2016,9,6)</f>
        <v>0</v>
      </c>
      <c r="C2749" s="3" t="n">
        <v>42619</v>
      </c>
      <c r="D2749" s="2" t="s">
        <v>21044</v>
      </c>
      <c r="F2749" s="2" t="s">
        <v>21045</v>
      </c>
      <c r="G2749" s="2" t="s">
        <v>21046</v>
      </c>
      <c r="H2749" s="2" t="s">
        <v>7311</v>
      </c>
      <c r="I2749" s="2" t="s">
        <v>6838</v>
      </c>
      <c r="J2749" s="2" t="s">
        <v>35</v>
      </c>
      <c r="K2749" s="2" t="s">
        <v>21044</v>
      </c>
      <c r="L2749" s="2" t="s">
        <v>6838</v>
      </c>
      <c r="M2749" s="2" t="s">
        <v>7311</v>
      </c>
      <c r="N2749" s="2" t="s">
        <v>21047</v>
      </c>
      <c r="O2749" s="2"/>
      <c r="P2749" s="2" t="s">
        <v>37</v>
      </c>
      <c r="Q2749" s="4" t="n">
        <v>7371</v>
      </c>
      <c r="R2749" s="2" t="s">
        <v>402</v>
      </c>
      <c r="S2749" s="2" t="s">
        <v>39</v>
      </c>
      <c r="T2749" s="2" t="s">
        <v>403</v>
      </c>
      <c r="U2749" s="2" t="s">
        <v>21048</v>
      </c>
      <c r="V2749" s="2"/>
      <c r="W2749" s="2" t="s">
        <v>21049</v>
      </c>
      <c r="X2749" s="2" t="s">
        <v>46</v>
      </c>
      <c r="Y2749" s="2" t="s">
        <v>37</v>
      </c>
      <c r="Z2749" s="2" t="s">
        <v>987</v>
      </c>
      <c r="AA2749" s="2" t="s">
        <v>21050</v>
      </c>
      <c r="AB2749" s="2"/>
      <c r="AC2749" s="2" t="s">
        <v>21051</v>
      </c>
      <c r="AD2749" s="2" t="s">
        <v>46</v>
      </c>
    </row>
    <row r="2750" customFormat="false" ht="15.7" hidden="false" customHeight="true" outlineLevel="0" collapsed="false">
      <c r="A2750" s="2"/>
      <c r="B2750" s="3" t="n">
        <f aca="false">DATE(2016,9,7)</f>
        <v>0</v>
      </c>
      <c r="C2750" s="3" t="n">
        <v>42620</v>
      </c>
      <c r="D2750" s="2" t="s">
        <v>21052</v>
      </c>
      <c r="F2750" s="2" t="s">
        <v>21053</v>
      </c>
      <c r="G2750" s="2" t="s">
        <v>21054</v>
      </c>
      <c r="H2750" s="2" t="s">
        <v>20739</v>
      </c>
      <c r="I2750" s="2" t="s">
        <v>6838</v>
      </c>
      <c r="J2750" s="2" t="s">
        <v>35</v>
      </c>
      <c r="K2750" s="2" t="s">
        <v>21052</v>
      </c>
      <c r="L2750" s="2" t="s">
        <v>6838</v>
      </c>
      <c r="M2750" s="2" t="s">
        <v>20739</v>
      </c>
      <c r="N2750" s="2" t="s">
        <v>21055</v>
      </c>
      <c r="O2750" s="2"/>
      <c r="P2750" s="2" t="s">
        <v>37</v>
      </c>
      <c r="Q2750" s="4" t="n">
        <v>8731</v>
      </c>
      <c r="R2750" s="2" t="s">
        <v>402</v>
      </c>
      <c r="S2750" s="2" t="s">
        <v>39</v>
      </c>
      <c r="T2750" s="2" t="s">
        <v>40</v>
      </c>
      <c r="U2750" s="2" t="s">
        <v>21056</v>
      </c>
      <c r="V2750" s="2"/>
      <c r="W2750" s="2" t="s">
        <v>2209</v>
      </c>
      <c r="X2750" s="2" t="s">
        <v>46</v>
      </c>
      <c r="Y2750" s="2" t="s">
        <v>37</v>
      </c>
      <c r="Z2750" s="2" t="s">
        <v>987</v>
      </c>
      <c r="AA2750" s="2" t="s">
        <v>21057</v>
      </c>
      <c r="AB2750" s="2"/>
      <c r="AC2750" s="2" t="s">
        <v>21058</v>
      </c>
      <c r="AD2750" s="2" t="s">
        <v>46</v>
      </c>
    </row>
    <row r="2751" customFormat="false" ht="15.7" hidden="false" customHeight="true" outlineLevel="0" collapsed="false">
      <c r="A2751" s="2"/>
      <c r="B2751" s="3" t="n">
        <f aca="false">DATE(2016,9,7)</f>
        <v>0</v>
      </c>
      <c r="C2751" s="3" t="n">
        <v>42620</v>
      </c>
      <c r="D2751" s="2" t="s">
        <v>21059</v>
      </c>
      <c r="F2751" s="2" t="s">
        <v>3074</v>
      </c>
      <c r="G2751" s="2" t="s">
        <v>21060</v>
      </c>
      <c r="H2751" s="2" t="s">
        <v>170</v>
      </c>
      <c r="I2751" s="2" t="s">
        <v>6889</v>
      </c>
      <c r="J2751" s="2" t="s">
        <v>35</v>
      </c>
      <c r="K2751" s="2" t="s">
        <v>21059</v>
      </c>
      <c r="L2751" s="2" t="s">
        <v>6889</v>
      </c>
      <c r="M2751" s="2" t="s">
        <v>170</v>
      </c>
      <c r="N2751" s="2" t="s">
        <v>21061</v>
      </c>
      <c r="O2751" s="2"/>
      <c r="P2751" s="2" t="s">
        <v>37</v>
      </c>
      <c r="Q2751" s="4" t="n">
        <v>8731</v>
      </c>
      <c r="R2751" s="2" t="s">
        <v>3154</v>
      </c>
      <c r="S2751" s="2" t="s">
        <v>39</v>
      </c>
      <c r="T2751" s="2" t="s">
        <v>403</v>
      </c>
      <c r="U2751" s="2" t="s">
        <v>21062</v>
      </c>
      <c r="V2751" s="2"/>
      <c r="W2751" s="2" t="s">
        <v>42</v>
      </c>
      <c r="X2751" s="2" t="s">
        <v>46</v>
      </c>
      <c r="Y2751" s="2" t="s">
        <v>37</v>
      </c>
      <c r="Z2751" s="2" t="s">
        <v>362</v>
      </c>
      <c r="AA2751" s="2"/>
      <c r="AB2751" s="2"/>
      <c r="AC2751" s="2" t="s">
        <v>21063</v>
      </c>
      <c r="AD2751" s="2" t="s">
        <v>46</v>
      </c>
    </row>
    <row r="2752" customFormat="false" ht="15.7" hidden="false" customHeight="true" outlineLevel="0" collapsed="false">
      <c r="A2752" s="2"/>
      <c r="B2752" s="3" t="n">
        <f aca="false">DATE(2016,9,7)</f>
        <v>0</v>
      </c>
      <c r="C2752" s="3" t="n">
        <v>42620</v>
      </c>
      <c r="D2752" s="2" t="s">
        <v>21064</v>
      </c>
      <c r="F2752" s="2" t="s">
        <v>21065</v>
      </c>
      <c r="G2752" s="2" t="s">
        <v>21066</v>
      </c>
      <c r="H2752" s="2" t="s">
        <v>21067</v>
      </c>
      <c r="I2752" s="2" t="s">
        <v>21068</v>
      </c>
      <c r="J2752" s="2" t="s">
        <v>398</v>
      </c>
      <c r="K2752" s="2" t="s">
        <v>21064</v>
      </c>
      <c r="L2752" s="2" t="s">
        <v>21068</v>
      </c>
      <c r="M2752" s="2" t="s">
        <v>21067</v>
      </c>
      <c r="N2752" s="2" t="s">
        <v>21069</v>
      </c>
      <c r="O2752" s="2"/>
      <c r="P2752" s="2" t="s">
        <v>37</v>
      </c>
      <c r="Q2752" s="4" t="n">
        <v>3999</v>
      </c>
      <c r="R2752" s="2" t="s">
        <v>402</v>
      </c>
      <c r="S2752" s="2" t="s">
        <v>39</v>
      </c>
      <c r="T2752" s="2" t="s">
        <v>403</v>
      </c>
      <c r="U2752" s="2" t="s">
        <v>21070</v>
      </c>
      <c r="V2752" s="2"/>
      <c r="W2752" s="2" t="s">
        <v>14244</v>
      </c>
      <c r="X2752" s="2" t="s">
        <v>46</v>
      </c>
      <c r="Y2752" s="2" t="s">
        <v>37</v>
      </c>
      <c r="Z2752" s="2" t="s">
        <v>21071</v>
      </c>
      <c r="AA2752" s="2" t="s">
        <v>21072</v>
      </c>
      <c r="AB2752" s="2"/>
      <c r="AC2752" s="2" t="s">
        <v>21073</v>
      </c>
      <c r="AD2752" s="2" t="s">
        <v>46</v>
      </c>
    </row>
    <row r="2753" customFormat="false" ht="15.7" hidden="false" customHeight="true" outlineLevel="0" collapsed="false">
      <c r="A2753" s="2"/>
      <c r="B2753" s="3" t="n">
        <f aca="false">DATE(2016,9,8)</f>
        <v>0</v>
      </c>
      <c r="C2753" s="3" t="n">
        <v>42621</v>
      </c>
      <c r="D2753" s="2" t="s">
        <v>21074</v>
      </c>
      <c r="F2753" s="2" t="s">
        <v>21075</v>
      </c>
      <c r="G2753" s="2" t="s">
        <v>21076</v>
      </c>
      <c r="H2753" s="2" t="s">
        <v>19873</v>
      </c>
      <c r="I2753" s="2" t="s">
        <v>4325</v>
      </c>
      <c r="J2753" s="2" t="s">
        <v>35</v>
      </c>
      <c r="K2753" s="2" t="s">
        <v>21074</v>
      </c>
      <c r="L2753" s="2" t="s">
        <v>4325</v>
      </c>
      <c r="M2753" s="2" t="s">
        <v>19873</v>
      </c>
      <c r="N2753" s="2" t="s">
        <v>21077</v>
      </c>
      <c r="O2753" s="2"/>
      <c r="P2753" s="2" t="s">
        <v>37</v>
      </c>
      <c r="Q2753" s="4" t="n">
        <v>8731</v>
      </c>
      <c r="R2753" s="2" t="s">
        <v>402</v>
      </c>
      <c r="S2753" s="2" t="s">
        <v>39</v>
      </c>
      <c r="T2753" s="2" t="s">
        <v>403</v>
      </c>
      <c r="U2753" s="2" t="s">
        <v>21078</v>
      </c>
      <c r="V2753" s="2"/>
      <c r="W2753" s="2" t="s">
        <v>21079</v>
      </c>
      <c r="X2753" s="2" t="s">
        <v>46</v>
      </c>
      <c r="Y2753" s="2" t="s">
        <v>37</v>
      </c>
      <c r="Z2753" s="2" t="s">
        <v>3495</v>
      </c>
      <c r="AA2753" s="2" t="s">
        <v>21080</v>
      </c>
      <c r="AB2753" s="2"/>
      <c r="AC2753" s="2" t="s">
        <v>21081</v>
      </c>
      <c r="AD2753" s="2" t="s">
        <v>46</v>
      </c>
    </row>
    <row r="2754" customFormat="false" ht="15.7" hidden="false" customHeight="true" outlineLevel="0" collapsed="false">
      <c r="A2754" s="2"/>
      <c r="B2754" s="3" t="n">
        <f aca="false">DATE(2016,9,9)</f>
        <v>0</v>
      </c>
      <c r="C2754" s="3" t="n">
        <v>42622</v>
      </c>
      <c r="D2754" s="2" t="s">
        <v>21082</v>
      </c>
      <c r="F2754" s="2" t="s">
        <v>21083</v>
      </c>
      <c r="G2754" s="2" t="s">
        <v>21084</v>
      </c>
      <c r="H2754" s="2" t="s">
        <v>21085</v>
      </c>
      <c r="I2754" s="2" t="s">
        <v>6838</v>
      </c>
      <c r="J2754" s="2" t="s">
        <v>35</v>
      </c>
      <c r="K2754" s="2" t="s">
        <v>21082</v>
      </c>
      <c r="L2754" s="2" t="s">
        <v>6838</v>
      </c>
      <c r="M2754" s="2" t="s">
        <v>21085</v>
      </c>
      <c r="N2754" s="2" t="s">
        <v>21086</v>
      </c>
      <c r="O2754" s="2"/>
      <c r="P2754" s="2" t="s">
        <v>37</v>
      </c>
      <c r="Q2754" s="4" t="n">
        <v>8731</v>
      </c>
      <c r="R2754" s="2" t="s">
        <v>402</v>
      </c>
      <c r="S2754" s="2" t="s">
        <v>39</v>
      </c>
      <c r="T2754" s="2" t="s">
        <v>40</v>
      </c>
      <c r="U2754" s="2" t="s">
        <v>21087</v>
      </c>
      <c r="V2754" s="2"/>
      <c r="W2754" s="2" t="s">
        <v>42</v>
      </c>
      <c r="X2754" s="2" t="s">
        <v>46</v>
      </c>
      <c r="Y2754" s="2" t="s">
        <v>37</v>
      </c>
      <c r="Z2754" s="2" t="s">
        <v>362</v>
      </c>
      <c r="AA2754" s="2" t="s">
        <v>21088</v>
      </c>
      <c r="AB2754" s="2"/>
      <c r="AC2754" s="2" t="s">
        <v>21089</v>
      </c>
      <c r="AD2754" s="2" t="s">
        <v>46</v>
      </c>
    </row>
    <row r="2755" customFormat="false" ht="15.7" hidden="false" customHeight="true" outlineLevel="0" collapsed="false">
      <c r="A2755" s="2"/>
      <c r="B2755" s="3" t="n">
        <f aca="false">DATE(2016,9,12)</f>
        <v>0</v>
      </c>
      <c r="C2755" s="3" t="n">
        <v>42625</v>
      </c>
      <c r="D2755" s="2" t="s">
        <v>21090</v>
      </c>
      <c r="F2755" s="2" t="s">
        <v>21091</v>
      </c>
      <c r="G2755" s="2" t="s">
        <v>21092</v>
      </c>
      <c r="H2755" s="2" t="s">
        <v>19781</v>
      </c>
      <c r="I2755" s="2" t="s">
        <v>51</v>
      </c>
      <c r="J2755" s="2" t="s">
        <v>171</v>
      </c>
      <c r="K2755" s="2" t="s">
        <v>21090</v>
      </c>
      <c r="L2755" s="2" t="s">
        <v>51</v>
      </c>
      <c r="M2755" s="2" t="s">
        <v>19781</v>
      </c>
      <c r="N2755" s="2" t="s">
        <v>21093</v>
      </c>
      <c r="O2755" s="2"/>
      <c r="P2755" s="2" t="s">
        <v>37</v>
      </c>
      <c r="Q2755" s="4" t="n">
        <v>8731</v>
      </c>
      <c r="R2755" s="2" t="s">
        <v>56</v>
      </c>
      <c r="S2755" s="2"/>
      <c r="T2755" s="2" t="s">
        <v>40</v>
      </c>
      <c r="U2755" s="2" t="s">
        <v>21094</v>
      </c>
      <c r="V2755" s="2"/>
      <c r="W2755" s="2" t="s">
        <v>3235</v>
      </c>
      <c r="X2755" s="2" t="s">
        <v>43</v>
      </c>
      <c r="Y2755" s="2" t="s">
        <v>37</v>
      </c>
      <c r="Z2755" s="2" t="s">
        <v>44</v>
      </c>
      <c r="AA2755" s="2"/>
      <c r="AB2755" s="2"/>
      <c r="AC2755" s="2" t="s">
        <v>21095</v>
      </c>
      <c r="AD2755" s="2" t="s">
        <v>46</v>
      </c>
    </row>
    <row r="2756" customFormat="false" ht="15.7" hidden="false" customHeight="true" outlineLevel="0" collapsed="false">
      <c r="A2756" s="2"/>
      <c r="B2756" s="3" t="n">
        <f aca="false">DATE(2016,9,12)</f>
        <v>0</v>
      </c>
      <c r="C2756" s="3" t="n">
        <v>42625</v>
      </c>
      <c r="D2756" s="2" t="s">
        <v>21096</v>
      </c>
      <c r="F2756" s="2" t="s">
        <v>21097</v>
      </c>
      <c r="G2756" s="2" t="s">
        <v>21098</v>
      </c>
      <c r="H2756" s="2" t="s">
        <v>130</v>
      </c>
      <c r="I2756" s="2" t="s">
        <v>219</v>
      </c>
      <c r="J2756" s="2" t="s">
        <v>65</v>
      </c>
      <c r="K2756" s="2" t="s">
        <v>21096</v>
      </c>
      <c r="L2756" s="2" t="s">
        <v>219</v>
      </c>
      <c r="M2756" s="2" t="s">
        <v>130</v>
      </c>
      <c r="N2756" s="2" t="s">
        <v>21099</v>
      </c>
      <c r="O2756" s="2"/>
      <c r="P2756" s="2" t="s">
        <v>37</v>
      </c>
      <c r="Q2756" s="4" t="n">
        <v>8731</v>
      </c>
      <c r="R2756" s="2" t="s">
        <v>38</v>
      </c>
      <c r="S2756" s="2" t="s">
        <v>39</v>
      </c>
      <c r="T2756" s="2" t="s">
        <v>40</v>
      </c>
      <c r="U2756" s="2" t="s">
        <v>21100</v>
      </c>
      <c r="V2756" s="2"/>
      <c r="W2756" s="2" t="s">
        <v>344</v>
      </c>
      <c r="X2756" s="2" t="s">
        <v>43</v>
      </c>
      <c r="Y2756" s="2" t="s">
        <v>37</v>
      </c>
      <c r="Z2756" s="2" t="s">
        <v>44</v>
      </c>
      <c r="AA2756" s="2"/>
      <c r="AB2756" s="2"/>
      <c r="AC2756" s="2" t="s">
        <v>21101</v>
      </c>
      <c r="AD2756" s="2" t="s">
        <v>46</v>
      </c>
    </row>
    <row r="2757" customFormat="false" ht="15.7" hidden="false" customHeight="true" outlineLevel="0" collapsed="false">
      <c r="A2757" s="2"/>
      <c r="B2757" s="3" t="n">
        <f aca="false">DATE(2016,9,13)</f>
        <v>0</v>
      </c>
      <c r="C2757" s="3" t="n">
        <v>42626</v>
      </c>
      <c r="D2757" s="2" t="s">
        <v>21102</v>
      </c>
      <c r="F2757" s="2" t="s">
        <v>21103</v>
      </c>
      <c r="G2757" s="2" t="s">
        <v>21104</v>
      </c>
      <c r="H2757" s="2" t="s">
        <v>21105</v>
      </c>
      <c r="I2757" s="2" t="s">
        <v>330</v>
      </c>
      <c r="J2757" s="2" t="s">
        <v>732</v>
      </c>
      <c r="K2757" s="2" t="s">
        <v>21102</v>
      </c>
      <c r="L2757" s="2" t="s">
        <v>330</v>
      </c>
      <c r="M2757" s="2" t="s">
        <v>21105</v>
      </c>
      <c r="N2757" s="2" t="s">
        <v>21106</v>
      </c>
      <c r="O2757" s="2"/>
      <c r="P2757" s="2" t="s">
        <v>37</v>
      </c>
      <c r="Q2757" s="4" t="n">
        <v>8731</v>
      </c>
      <c r="R2757" s="2" t="s">
        <v>56</v>
      </c>
      <c r="S2757" s="2" t="s">
        <v>92</v>
      </c>
      <c r="T2757" s="2" t="s">
        <v>40</v>
      </c>
      <c r="U2757" s="2" t="s">
        <v>21107</v>
      </c>
      <c r="V2757" s="2"/>
      <c r="W2757" s="2" t="s">
        <v>42</v>
      </c>
      <c r="X2757" s="2" t="s">
        <v>43</v>
      </c>
      <c r="Y2757" s="2" t="s">
        <v>37</v>
      </c>
      <c r="Z2757" s="2" t="s">
        <v>44</v>
      </c>
      <c r="AA2757" s="2"/>
      <c r="AB2757" s="2"/>
      <c r="AC2757" s="2" t="s">
        <v>21108</v>
      </c>
      <c r="AD2757" s="2" t="s">
        <v>46</v>
      </c>
    </row>
    <row r="2758" customFormat="false" ht="15.7" hidden="false" customHeight="true" outlineLevel="0" collapsed="false">
      <c r="A2758" s="2"/>
      <c r="B2758" s="3" t="n">
        <f aca="false">DATE(2016,9,13)</f>
        <v>0</v>
      </c>
      <c r="C2758" s="3" t="n">
        <v>42626</v>
      </c>
      <c r="D2758" s="2" t="s">
        <v>21109</v>
      </c>
      <c r="F2758" s="2" t="s">
        <v>21110</v>
      </c>
      <c r="G2758" s="2" t="s">
        <v>21111</v>
      </c>
      <c r="H2758" s="2" t="s">
        <v>1752</v>
      </c>
      <c r="I2758" s="2" t="s">
        <v>51</v>
      </c>
      <c r="J2758" s="2" t="s">
        <v>10586</v>
      </c>
      <c r="K2758" s="2" t="s">
        <v>21109</v>
      </c>
      <c r="L2758" s="2" t="s">
        <v>51</v>
      </c>
      <c r="M2758" s="2" t="s">
        <v>1752</v>
      </c>
      <c r="N2758" s="2" t="s">
        <v>21112</v>
      </c>
      <c r="O2758" s="2"/>
      <c r="P2758" s="2" t="s">
        <v>37</v>
      </c>
      <c r="Q2758" s="4" t="n">
        <v>8731</v>
      </c>
      <c r="R2758" s="2" t="s">
        <v>56</v>
      </c>
      <c r="S2758" s="2" t="s">
        <v>57</v>
      </c>
      <c r="T2758" s="2" t="s">
        <v>2444</v>
      </c>
      <c r="U2758" s="2" t="s">
        <v>21113</v>
      </c>
      <c r="V2758" s="2"/>
      <c r="W2758" s="2" t="s">
        <v>21114</v>
      </c>
      <c r="X2758" s="2" t="s">
        <v>43</v>
      </c>
      <c r="Y2758" s="2" t="s">
        <v>37</v>
      </c>
      <c r="Z2758" s="2" t="s">
        <v>44</v>
      </c>
      <c r="AA2758" s="2"/>
      <c r="AB2758" s="2"/>
      <c r="AC2758" s="2" t="s">
        <v>21115</v>
      </c>
      <c r="AD2758" s="2" t="s">
        <v>46</v>
      </c>
    </row>
    <row r="2759" customFormat="false" ht="15.7" hidden="false" customHeight="true" outlineLevel="0" collapsed="false">
      <c r="A2759" s="2"/>
      <c r="B2759" s="3" t="n">
        <f aca="false">DATE(2016,9,13)</f>
        <v>0</v>
      </c>
      <c r="C2759" s="3" t="n">
        <v>42626</v>
      </c>
      <c r="D2759" s="2" t="s">
        <v>21116</v>
      </c>
      <c r="F2759" s="2" t="s">
        <v>21117</v>
      </c>
      <c r="G2759" s="2" t="s">
        <v>21118</v>
      </c>
      <c r="H2759" s="2" t="s">
        <v>1020</v>
      </c>
      <c r="I2759" s="2" t="s">
        <v>670</v>
      </c>
      <c r="J2759" s="2" t="s">
        <v>4383</v>
      </c>
      <c r="K2759" s="2" t="s">
        <v>21116</v>
      </c>
      <c r="L2759" s="2" t="s">
        <v>670</v>
      </c>
      <c r="M2759" s="2" t="s">
        <v>1020</v>
      </c>
      <c r="N2759" s="2" t="s">
        <v>21119</v>
      </c>
      <c r="O2759" s="2"/>
      <c r="P2759" s="2" t="s">
        <v>37</v>
      </c>
      <c r="Q2759" s="4" t="n">
        <v>8731</v>
      </c>
      <c r="R2759" s="2" t="s">
        <v>402</v>
      </c>
      <c r="S2759" s="2" t="s">
        <v>39</v>
      </c>
      <c r="T2759" s="2" t="s">
        <v>40</v>
      </c>
      <c r="U2759" s="2" t="s">
        <v>21120</v>
      </c>
      <c r="V2759" s="2"/>
      <c r="W2759" s="2" t="s">
        <v>42</v>
      </c>
      <c r="X2759" s="2" t="s">
        <v>46</v>
      </c>
      <c r="Y2759" s="2" t="s">
        <v>37</v>
      </c>
      <c r="Z2759" s="2" t="s">
        <v>362</v>
      </c>
      <c r="AA2759" s="2"/>
      <c r="AB2759" s="2"/>
      <c r="AC2759" s="2" t="s">
        <v>21121</v>
      </c>
      <c r="AD2759" s="2" t="s">
        <v>46</v>
      </c>
    </row>
    <row r="2760" customFormat="false" ht="15.7" hidden="false" customHeight="true" outlineLevel="0" collapsed="false">
      <c r="A2760" s="2"/>
      <c r="B2760" s="3" t="n">
        <f aca="false">DATE(2016,9,15)</f>
        <v>0</v>
      </c>
      <c r="C2760" s="3" t="n">
        <v>42628</v>
      </c>
      <c r="D2760" s="2" t="s">
        <v>21122</v>
      </c>
      <c r="F2760" s="2" t="s">
        <v>21123</v>
      </c>
      <c r="G2760" s="2" t="s">
        <v>21124</v>
      </c>
      <c r="H2760" s="2" t="s">
        <v>3840</v>
      </c>
      <c r="I2760" s="2" t="s">
        <v>7737</v>
      </c>
      <c r="J2760" s="2" t="s">
        <v>35</v>
      </c>
      <c r="K2760" s="2" t="s">
        <v>21122</v>
      </c>
      <c r="L2760" s="2" t="s">
        <v>7737</v>
      </c>
      <c r="M2760" s="2" t="s">
        <v>3840</v>
      </c>
      <c r="N2760" s="2" t="s">
        <v>21125</v>
      </c>
      <c r="O2760" s="2"/>
      <c r="P2760" s="2" t="s">
        <v>37</v>
      </c>
      <c r="Q2760" s="4" t="n">
        <v>8731</v>
      </c>
      <c r="R2760" s="2" t="s">
        <v>1448</v>
      </c>
      <c r="S2760" s="2" t="s">
        <v>39</v>
      </c>
      <c r="T2760" s="2" t="s">
        <v>40</v>
      </c>
      <c r="U2760" s="2" t="s">
        <v>21126</v>
      </c>
      <c r="V2760" s="2"/>
      <c r="W2760" s="2" t="s">
        <v>42</v>
      </c>
      <c r="X2760" s="2" t="s">
        <v>43</v>
      </c>
      <c r="Y2760" s="2" t="s">
        <v>37</v>
      </c>
      <c r="Z2760" s="2" t="s">
        <v>44</v>
      </c>
      <c r="AA2760" s="2"/>
      <c r="AB2760" s="2"/>
      <c r="AC2760" s="2" t="s">
        <v>21127</v>
      </c>
      <c r="AD2760" s="2" t="s">
        <v>46</v>
      </c>
    </row>
    <row r="2761" customFormat="false" ht="15.7" hidden="false" customHeight="true" outlineLevel="0" collapsed="false">
      <c r="A2761" s="2"/>
      <c r="B2761" s="3" t="n">
        <f aca="false">DATE(2016,9,16)</f>
        <v>0</v>
      </c>
      <c r="C2761" s="3" t="n">
        <v>42629</v>
      </c>
      <c r="D2761" s="2" t="s">
        <v>21128</v>
      </c>
      <c r="F2761" s="2" t="s">
        <v>21129</v>
      </c>
      <c r="G2761" s="2" t="s">
        <v>21130</v>
      </c>
      <c r="H2761" s="2" t="s">
        <v>15621</v>
      </c>
      <c r="I2761" s="2" t="s">
        <v>540</v>
      </c>
      <c r="J2761" s="2" t="s">
        <v>35</v>
      </c>
      <c r="K2761" s="2" t="s">
        <v>21131</v>
      </c>
      <c r="L2761" s="2" t="s">
        <v>13096</v>
      </c>
      <c r="M2761" s="2" t="s">
        <v>21132</v>
      </c>
      <c r="N2761" s="2" t="s">
        <v>21133</v>
      </c>
      <c r="O2761" s="2"/>
      <c r="P2761" s="2" t="s">
        <v>37</v>
      </c>
      <c r="Q2761" s="4" t="n">
        <v>8731</v>
      </c>
      <c r="R2761" s="2" t="s">
        <v>1448</v>
      </c>
      <c r="S2761" s="2" t="s">
        <v>39</v>
      </c>
      <c r="T2761" s="2" t="s">
        <v>40</v>
      </c>
      <c r="U2761" s="2" t="s">
        <v>21134</v>
      </c>
      <c r="V2761" s="2"/>
      <c r="W2761" s="2" t="s">
        <v>42</v>
      </c>
      <c r="X2761" s="2" t="s">
        <v>43</v>
      </c>
      <c r="Y2761" s="2" t="s">
        <v>37</v>
      </c>
      <c r="Z2761" s="2" t="s">
        <v>44</v>
      </c>
      <c r="AA2761" s="2"/>
      <c r="AB2761" s="2"/>
      <c r="AC2761" s="2" t="s">
        <v>21135</v>
      </c>
      <c r="AD2761" s="2" t="s">
        <v>46</v>
      </c>
    </row>
    <row r="2762" customFormat="false" ht="15.7" hidden="false" customHeight="true" outlineLevel="0" collapsed="false">
      <c r="A2762" s="2"/>
      <c r="B2762" s="3" t="n">
        <f aca="false">DATE(2016,9,20)</f>
        <v>0</v>
      </c>
      <c r="C2762" s="3" t="n">
        <v>42633</v>
      </c>
      <c r="D2762" s="2" t="s">
        <v>21136</v>
      </c>
      <c r="F2762" s="2" t="s">
        <v>21045</v>
      </c>
      <c r="G2762" s="2" t="s">
        <v>21137</v>
      </c>
      <c r="H2762" s="2" t="s">
        <v>7311</v>
      </c>
      <c r="I2762" s="2" t="s">
        <v>6838</v>
      </c>
      <c r="J2762" s="2" t="s">
        <v>35</v>
      </c>
      <c r="K2762" s="2" t="s">
        <v>21136</v>
      </c>
      <c r="L2762" s="2" t="s">
        <v>6838</v>
      </c>
      <c r="M2762" s="2" t="s">
        <v>7311</v>
      </c>
      <c r="N2762" s="2" t="s">
        <v>21138</v>
      </c>
      <c r="O2762" s="2"/>
      <c r="P2762" s="2" t="s">
        <v>37</v>
      </c>
      <c r="Q2762" s="4" t="n">
        <v>3999</v>
      </c>
      <c r="R2762" s="2" t="s">
        <v>402</v>
      </c>
      <c r="S2762" s="2" t="s">
        <v>39</v>
      </c>
      <c r="T2762" s="2" t="s">
        <v>40</v>
      </c>
      <c r="U2762" s="2" t="s">
        <v>21139</v>
      </c>
      <c r="V2762" s="2"/>
      <c r="W2762" s="2" t="s">
        <v>107</v>
      </c>
      <c r="X2762" s="2" t="s">
        <v>46</v>
      </c>
      <c r="Y2762" s="2" t="s">
        <v>37</v>
      </c>
      <c r="Z2762" s="2" t="s">
        <v>21140</v>
      </c>
      <c r="AA2762" s="2" t="s">
        <v>21141</v>
      </c>
      <c r="AB2762" s="2"/>
      <c r="AC2762" s="2" t="s">
        <v>21142</v>
      </c>
      <c r="AD2762" s="2" t="s">
        <v>46</v>
      </c>
    </row>
    <row r="2763" customFormat="false" ht="15.7" hidden="false" customHeight="true" outlineLevel="0" collapsed="false">
      <c r="A2763" s="2"/>
      <c r="B2763" s="3" t="n">
        <f aca="false">DATE(2016,9,20)</f>
        <v>0</v>
      </c>
      <c r="C2763" s="3" t="n">
        <v>42633</v>
      </c>
      <c r="D2763" s="2" t="s">
        <v>21143</v>
      </c>
      <c r="F2763" s="2" t="s">
        <v>21144</v>
      </c>
      <c r="G2763" s="2" t="s">
        <v>21145</v>
      </c>
      <c r="H2763" s="2" t="s">
        <v>7181</v>
      </c>
      <c r="I2763" s="2" t="s">
        <v>6838</v>
      </c>
      <c r="J2763" s="2" t="s">
        <v>35</v>
      </c>
      <c r="K2763" s="2" t="s">
        <v>21143</v>
      </c>
      <c r="L2763" s="2" t="s">
        <v>6838</v>
      </c>
      <c r="M2763" s="2" t="s">
        <v>7181</v>
      </c>
      <c r="N2763" s="2" t="s">
        <v>21146</v>
      </c>
      <c r="O2763" s="2"/>
      <c r="P2763" s="2" t="s">
        <v>37</v>
      </c>
      <c r="Q2763" s="4" t="n">
        <v>8731</v>
      </c>
      <c r="R2763" s="2" t="s">
        <v>402</v>
      </c>
      <c r="S2763" s="2" t="s">
        <v>39</v>
      </c>
      <c r="T2763" s="2" t="s">
        <v>403</v>
      </c>
      <c r="U2763" s="2" t="s">
        <v>21147</v>
      </c>
      <c r="V2763" s="2"/>
      <c r="W2763" s="2" t="s">
        <v>773</v>
      </c>
      <c r="X2763" s="2" t="s">
        <v>46</v>
      </c>
      <c r="Y2763" s="2" t="s">
        <v>37</v>
      </c>
      <c r="Z2763" s="2" t="s">
        <v>1639</v>
      </c>
      <c r="AA2763" s="2" t="s">
        <v>21148</v>
      </c>
      <c r="AB2763" s="2"/>
      <c r="AC2763" s="2" t="s">
        <v>21149</v>
      </c>
      <c r="AD2763" s="2" t="s">
        <v>46</v>
      </c>
    </row>
    <row r="2764" customFormat="false" ht="15.7" hidden="false" customHeight="true" outlineLevel="0" collapsed="false">
      <c r="A2764" s="2"/>
      <c r="B2764" s="3" t="n">
        <f aca="false">DATE(2016,9,21)</f>
        <v>0</v>
      </c>
      <c r="C2764" s="3" t="n">
        <v>42634</v>
      </c>
      <c r="D2764" s="2" t="s">
        <v>21150</v>
      </c>
      <c r="F2764" s="2" t="s">
        <v>21151</v>
      </c>
      <c r="G2764" s="2" t="s">
        <v>21152</v>
      </c>
      <c r="H2764" s="2" t="s">
        <v>130</v>
      </c>
      <c r="I2764" s="2" t="s">
        <v>51</v>
      </c>
      <c r="J2764" s="2" t="s">
        <v>1834</v>
      </c>
      <c r="K2764" s="2" t="s">
        <v>21150</v>
      </c>
      <c r="L2764" s="2" t="s">
        <v>51</v>
      </c>
      <c r="M2764" s="2" t="s">
        <v>130</v>
      </c>
      <c r="N2764" s="2" t="s">
        <v>21153</v>
      </c>
      <c r="O2764" s="2"/>
      <c r="P2764" s="2" t="s">
        <v>37</v>
      </c>
      <c r="Q2764" s="4" t="n">
        <v>8731</v>
      </c>
      <c r="R2764" s="2" t="s">
        <v>56</v>
      </c>
      <c r="S2764" s="2" t="s">
        <v>92</v>
      </c>
      <c r="T2764" s="2" t="s">
        <v>40</v>
      </c>
      <c r="U2764" s="2" t="s">
        <v>21154</v>
      </c>
      <c r="V2764" s="2"/>
      <c r="W2764" s="2" t="s">
        <v>42</v>
      </c>
      <c r="X2764" s="2" t="s">
        <v>43</v>
      </c>
      <c r="Y2764" s="2" t="s">
        <v>37</v>
      </c>
      <c r="Z2764" s="2" t="s">
        <v>44</v>
      </c>
      <c r="AA2764" s="2"/>
      <c r="AB2764" s="2"/>
      <c r="AC2764" s="2" t="s">
        <v>21155</v>
      </c>
      <c r="AD2764" s="2" t="s">
        <v>46</v>
      </c>
    </row>
    <row r="2765" customFormat="false" ht="15.7" hidden="false" customHeight="true" outlineLevel="0" collapsed="false">
      <c r="A2765" s="2"/>
      <c r="B2765" s="3" t="n">
        <f aca="false">DATE(2016,9,21)</f>
        <v>0</v>
      </c>
      <c r="C2765" s="3" t="n">
        <v>42634</v>
      </c>
      <c r="D2765" s="2" t="s">
        <v>21156</v>
      </c>
      <c r="F2765" s="2" t="s">
        <v>20607</v>
      </c>
      <c r="G2765" s="2" t="s">
        <v>21157</v>
      </c>
      <c r="H2765" s="2" t="s">
        <v>20609</v>
      </c>
      <c r="I2765" s="2" t="s">
        <v>6838</v>
      </c>
      <c r="J2765" s="2" t="s">
        <v>35</v>
      </c>
      <c r="K2765" s="2" t="s">
        <v>21156</v>
      </c>
      <c r="L2765" s="2" t="s">
        <v>6838</v>
      </c>
      <c r="M2765" s="2" t="s">
        <v>20609</v>
      </c>
      <c r="N2765" s="2" t="s">
        <v>21158</v>
      </c>
      <c r="O2765" s="2"/>
      <c r="P2765" s="2" t="s">
        <v>37</v>
      </c>
      <c r="Q2765" s="4" t="n">
        <v>3999</v>
      </c>
      <c r="R2765" s="2" t="s">
        <v>402</v>
      </c>
      <c r="S2765" s="2" t="s">
        <v>39</v>
      </c>
      <c r="T2765" s="2" t="s">
        <v>403</v>
      </c>
      <c r="U2765" s="2" t="s">
        <v>21159</v>
      </c>
      <c r="V2765" s="2"/>
      <c r="W2765" s="2" t="s">
        <v>107</v>
      </c>
      <c r="X2765" s="2" t="s">
        <v>46</v>
      </c>
      <c r="Y2765" s="2" t="s">
        <v>37</v>
      </c>
      <c r="Z2765" s="2" t="s">
        <v>2732</v>
      </c>
      <c r="AA2765" s="2"/>
      <c r="AB2765" s="2"/>
      <c r="AC2765" s="2" t="s">
        <v>21160</v>
      </c>
      <c r="AD2765" s="2" t="s">
        <v>46</v>
      </c>
    </row>
    <row r="2766" customFormat="false" ht="15.7" hidden="false" customHeight="true" outlineLevel="0" collapsed="false">
      <c r="A2766" s="2"/>
      <c r="B2766" s="3" t="n">
        <f aca="false">DATE(2016,9,21)</f>
        <v>0</v>
      </c>
      <c r="C2766" s="3" t="n">
        <v>42634</v>
      </c>
      <c r="D2766" s="2" t="s">
        <v>21161</v>
      </c>
      <c r="F2766" s="2" t="s">
        <v>256</v>
      </c>
      <c r="G2766" s="2" t="s">
        <v>21162</v>
      </c>
      <c r="H2766" s="2" t="s">
        <v>170</v>
      </c>
      <c r="I2766" s="2" t="s">
        <v>20096</v>
      </c>
      <c r="J2766" s="2" t="s">
        <v>3492</v>
      </c>
      <c r="K2766" s="2" t="s">
        <v>21163</v>
      </c>
      <c r="L2766" s="2" t="s">
        <v>20096</v>
      </c>
      <c r="M2766" s="2" t="s">
        <v>814</v>
      </c>
      <c r="N2766" s="2" t="s">
        <v>21164</v>
      </c>
      <c r="O2766" s="2"/>
      <c r="P2766" s="2" t="s">
        <v>37</v>
      </c>
      <c r="Q2766" s="4" t="n">
        <v>8731</v>
      </c>
      <c r="R2766" s="2" t="s">
        <v>56</v>
      </c>
      <c r="S2766" s="2" t="s">
        <v>481</v>
      </c>
      <c r="T2766" s="2" t="s">
        <v>40</v>
      </c>
      <c r="U2766" s="2" t="s">
        <v>21165</v>
      </c>
      <c r="V2766" s="2"/>
      <c r="W2766" s="2" t="s">
        <v>42</v>
      </c>
      <c r="X2766" s="2" t="s">
        <v>43</v>
      </c>
      <c r="Y2766" s="2" t="s">
        <v>37</v>
      </c>
      <c r="Z2766" s="2" t="s">
        <v>44</v>
      </c>
      <c r="AA2766" s="2"/>
      <c r="AB2766" s="2"/>
      <c r="AC2766" s="2" t="s">
        <v>21166</v>
      </c>
      <c r="AD2766" s="2" t="s">
        <v>46</v>
      </c>
    </row>
    <row r="2767" customFormat="false" ht="15.7" hidden="false" customHeight="true" outlineLevel="0" collapsed="false">
      <c r="A2767" s="2"/>
      <c r="B2767" s="3" t="n">
        <f aca="false">DATE(2016,9,22)</f>
        <v>0</v>
      </c>
      <c r="C2767" s="3" t="n">
        <v>42635</v>
      </c>
      <c r="D2767" s="2" t="s">
        <v>21167</v>
      </c>
      <c r="F2767" s="2" t="s">
        <v>21168</v>
      </c>
      <c r="G2767" s="2" t="s">
        <v>21169</v>
      </c>
      <c r="H2767" s="2" t="s">
        <v>6157</v>
      </c>
      <c r="I2767" s="2" t="s">
        <v>51</v>
      </c>
      <c r="J2767" s="2" t="s">
        <v>171</v>
      </c>
      <c r="K2767" s="2" t="s">
        <v>21167</v>
      </c>
      <c r="L2767" s="2" t="s">
        <v>51</v>
      </c>
      <c r="M2767" s="2" t="s">
        <v>6157</v>
      </c>
      <c r="N2767" s="2" t="s">
        <v>21170</v>
      </c>
      <c r="O2767" s="2"/>
      <c r="P2767" s="2" t="s">
        <v>37</v>
      </c>
      <c r="Q2767" s="4" t="n">
        <v>8731</v>
      </c>
      <c r="R2767" s="2" t="s">
        <v>56</v>
      </c>
      <c r="S2767" s="2"/>
      <c r="T2767" s="2" t="s">
        <v>40</v>
      </c>
      <c r="U2767" s="2" t="s">
        <v>21171</v>
      </c>
      <c r="V2767" s="2"/>
      <c r="W2767" s="2" t="s">
        <v>138</v>
      </c>
      <c r="X2767" s="2" t="s">
        <v>43</v>
      </c>
      <c r="Y2767" s="2" t="s">
        <v>37</v>
      </c>
      <c r="Z2767" s="2" t="s">
        <v>44</v>
      </c>
      <c r="AA2767" s="2"/>
      <c r="AB2767" s="2"/>
      <c r="AC2767" s="2" t="s">
        <v>21172</v>
      </c>
      <c r="AD2767" s="2" t="s">
        <v>46</v>
      </c>
    </row>
    <row r="2768" customFormat="false" ht="15.7" hidden="false" customHeight="true" outlineLevel="0" collapsed="false">
      <c r="A2768" s="2"/>
      <c r="B2768" s="3" t="n">
        <f aca="false">DATE(2016,9,22)</f>
        <v>0</v>
      </c>
      <c r="C2768" s="3" t="n">
        <v>42635</v>
      </c>
      <c r="D2768" s="2" t="s">
        <v>21173</v>
      </c>
      <c r="F2768" s="2" t="s">
        <v>21174</v>
      </c>
      <c r="G2768" s="2" t="s">
        <v>21175</v>
      </c>
      <c r="H2768" s="2" t="s">
        <v>21176</v>
      </c>
      <c r="I2768" s="2" t="s">
        <v>21177</v>
      </c>
      <c r="J2768" s="2" t="s">
        <v>116</v>
      </c>
      <c r="K2768" s="2" t="s">
        <v>21178</v>
      </c>
      <c r="L2768" s="2" t="s">
        <v>21177</v>
      </c>
      <c r="M2768" s="2" t="s">
        <v>21179</v>
      </c>
      <c r="N2768" s="2" t="s">
        <v>21180</v>
      </c>
      <c r="O2768" s="2"/>
      <c r="P2768" s="2" t="s">
        <v>37</v>
      </c>
      <c r="Q2768" s="4" t="n">
        <v>8731</v>
      </c>
      <c r="R2768" s="2" t="s">
        <v>1448</v>
      </c>
      <c r="S2768" s="2" t="s">
        <v>39</v>
      </c>
      <c r="T2768" s="2" t="s">
        <v>403</v>
      </c>
      <c r="U2768" s="2" t="s">
        <v>21181</v>
      </c>
      <c r="V2768" s="2"/>
      <c r="W2768" s="2" t="s">
        <v>138</v>
      </c>
      <c r="X2768" s="2" t="s">
        <v>46</v>
      </c>
      <c r="Y2768" s="2" t="s">
        <v>37</v>
      </c>
      <c r="Z2768" s="2" t="s">
        <v>452</v>
      </c>
      <c r="AA2768" s="2"/>
      <c r="AB2768" s="2"/>
      <c r="AC2768" s="2" t="s">
        <v>21182</v>
      </c>
      <c r="AD2768" s="2" t="s">
        <v>46</v>
      </c>
    </row>
    <row r="2769" customFormat="false" ht="15.7" hidden="false" customHeight="true" outlineLevel="0" collapsed="false">
      <c r="A2769" s="2"/>
      <c r="B2769" s="3" t="n">
        <f aca="false">DATE(2016,9,25)</f>
        <v>0</v>
      </c>
      <c r="C2769" s="3" t="n">
        <v>42638</v>
      </c>
      <c r="D2769" s="2" t="s">
        <v>21183</v>
      </c>
      <c r="F2769" s="2" t="s">
        <v>21184</v>
      </c>
      <c r="G2769" s="2" t="s">
        <v>21185</v>
      </c>
      <c r="H2769" s="2" t="s">
        <v>4369</v>
      </c>
      <c r="I2769" s="2" t="s">
        <v>899</v>
      </c>
      <c r="J2769" s="2" t="s">
        <v>132</v>
      </c>
      <c r="K2769" s="2" t="s">
        <v>21186</v>
      </c>
      <c r="L2769" s="2" t="s">
        <v>899</v>
      </c>
      <c r="M2769" s="2" t="s">
        <v>4369</v>
      </c>
      <c r="N2769" s="2" t="s">
        <v>21187</v>
      </c>
      <c r="O2769" s="2"/>
      <c r="P2769" s="2" t="s">
        <v>37</v>
      </c>
      <c r="Q2769" s="4" t="n">
        <v>8731</v>
      </c>
      <c r="R2769" s="2" t="s">
        <v>56</v>
      </c>
      <c r="S2769" s="2"/>
      <c r="T2769" s="2" t="s">
        <v>40</v>
      </c>
      <c r="U2769" s="2" t="s">
        <v>21188</v>
      </c>
      <c r="V2769" s="2"/>
      <c r="W2769" s="2" t="s">
        <v>344</v>
      </c>
      <c r="X2769" s="2" t="s">
        <v>43</v>
      </c>
      <c r="Y2769" s="2" t="s">
        <v>37</v>
      </c>
      <c r="Z2769" s="2" t="s">
        <v>44</v>
      </c>
      <c r="AA2769" s="2"/>
      <c r="AB2769" s="2"/>
      <c r="AC2769" s="2" t="s">
        <v>21189</v>
      </c>
      <c r="AD2769" s="2" t="s">
        <v>46</v>
      </c>
    </row>
    <row r="2770" customFormat="false" ht="15.7" hidden="false" customHeight="true" outlineLevel="0" collapsed="false">
      <c r="A2770" s="2"/>
      <c r="B2770" s="3" t="n">
        <f aca="false">DATE(2016,9,26)</f>
        <v>0</v>
      </c>
      <c r="C2770" s="3" t="n">
        <v>42639</v>
      </c>
      <c r="D2770" s="2" t="s">
        <v>21190</v>
      </c>
      <c r="F2770" s="2" t="s">
        <v>21191</v>
      </c>
      <c r="G2770" s="2" t="s">
        <v>21192</v>
      </c>
      <c r="H2770" s="2" t="s">
        <v>9924</v>
      </c>
      <c r="I2770" s="2" t="s">
        <v>51</v>
      </c>
      <c r="J2770" s="2" t="s">
        <v>16703</v>
      </c>
      <c r="K2770" s="2" t="s">
        <v>21190</v>
      </c>
      <c r="L2770" s="2" t="s">
        <v>51</v>
      </c>
      <c r="M2770" s="2" t="s">
        <v>9924</v>
      </c>
      <c r="N2770" s="2" t="s">
        <v>21193</v>
      </c>
      <c r="O2770" s="2"/>
      <c r="P2770" s="2" t="s">
        <v>37</v>
      </c>
      <c r="Q2770" s="4" t="n">
        <v>8099</v>
      </c>
      <c r="R2770" s="2" t="s">
        <v>56</v>
      </c>
      <c r="S2770" s="2"/>
      <c r="T2770" s="2" t="s">
        <v>403</v>
      </c>
      <c r="U2770" s="2" t="s">
        <v>21194</v>
      </c>
      <c r="V2770" s="2"/>
      <c r="W2770" s="2" t="s">
        <v>4487</v>
      </c>
      <c r="X2770" s="2" t="s">
        <v>43</v>
      </c>
      <c r="Y2770" s="2" t="s">
        <v>37</v>
      </c>
      <c r="Z2770" s="2" t="s">
        <v>44</v>
      </c>
      <c r="AA2770" s="2"/>
      <c r="AB2770" s="2"/>
      <c r="AC2770" s="2" t="s">
        <v>21195</v>
      </c>
      <c r="AD2770" s="2" t="s">
        <v>46</v>
      </c>
    </row>
    <row r="2771" customFormat="false" ht="15.7" hidden="false" customHeight="true" outlineLevel="0" collapsed="false">
      <c r="A2771" s="2"/>
      <c r="B2771" s="3" t="n">
        <f aca="false">DATE(2016,9,26)</f>
        <v>0</v>
      </c>
      <c r="C2771" s="3" t="n">
        <v>42639</v>
      </c>
      <c r="D2771" s="2" t="s">
        <v>21196</v>
      </c>
      <c r="F2771" s="2" t="s">
        <v>21197</v>
      </c>
      <c r="G2771" s="2" t="s">
        <v>21198</v>
      </c>
      <c r="H2771" s="2" t="s">
        <v>2361</v>
      </c>
      <c r="I2771" s="2" t="s">
        <v>51</v>
      </c>
      <c r="J2771" s="2" t="s">
        <v>560</v>
      </c>
      <c r="K2771" s="2" t="s">
        <v>21196</v>
      </c>
      <c r="L2771" s="2" t="s">
        <v>51</v>
      </c>
      <c r="M2771" s="2" t="s">
        <v>2361</v>
      </c>
      <c r="N2771" s="2" t="s">
        <v>21199</v>
      </c>
      <c r="O2771" s="2"/>
      <c r="P2771" s="2" t="s">
        <v>37</v>
      </c>
      <c r="Q2771" s="4" t="n">
        <v>7372</v>
      </c>
      <c r="R2771" s="2" t="s">
        <v>56</v>
      </c>
      <c r="S2771" s="2"/>
      <c r="T2771" s="2" t="s">
        <v>403</v>
      </c>
      <c r="U2771" s="2" t="s">
        <v>21200</v>
      </c>
      <c r="V2771" s="2"/>
      <c r="W2771" s="2" t="s">
        <v>6066</v>
      </c>
      <c r="X2771" s="2" t="s">
        <v>43</v>
      </c>
      <c r="Y2771" s="2" t="s">
        <v>37</v>
      </c>
      <c r="Z2771" s="2" t="s">
        <v>44</v>
      </c>
      <c r="AA2771" s="2"/>
      <c r="AB2771" s="2"/>
      <c r="AC2771" s="2" t="s">
        <v>21201</v>
      </c>
      <c r="AD2771" s="2" t="s">
        <v>46</v>
      </c>
    </row>
    <row r="2772" customFormat="false" ht="15.7" hidden="false" customHeight="true" outlineLevel="0" collapsed="false">
      <c r="A2772" s="2"/>
      <c r="B2772" s="3" t="n">
        <f aca="false">DATE(2016,9,26)</f>
        <v>0</v>
      </c>
      <c r="C2772" s="3" t="n">
        <v>42639</v>
      </c>
      <c r="D2772" s="2" t="s">
        <v>21202</v>
      </c>
      <c r="F2772" s="2" t="s">
        <v>20656</v>
      </c>
      <c r="G2772" s="2" t="s">
        <v>21203</v>
      </c>
      <c r="H2772" s="2" t="s">
        <v>762</v>
      </c>
      <c r="I2772" s="2" t="s">
        <v>388</v>
      </c>
      <c r="J2772" s="2" t="s">
        <v>1456</v>
      </c>
      <c r="K2772" s="2" t="s">
        <v>21202</v>
      </c>
      <c r="L2772" s="2" t="s">
        <v>388</v>
      </c>
      <c r="M2772" s="2" t="s">
        <v>762</v>
      </c>
      <c r="N2772" s="2" t="s">
        <v>21204</v>
      </c>
      <c r="O2772" s="2"/>
      <c r="P2772" s="2" t="s">
        <v>37</v>
      </c>
      <c r="Q2772" s="4" t="n">
        <v>8731</v>
      </c>
      <c r="R2772" s="2" t="s">
        <v>56</v>
      </c>
      <c r="S2772" s="2" t="s">
        <v>788</v>
      </c>
      <c r="T2772" s="2" t="s">
        <v>40</v>
      </c>
      <c r="U2772" s="2" t="s">
        <v>21205</v>
      </c>
      <c r="V2772" s="2"/>
      <c r="W2772" s="2" t="s">
        <v>42</v>
      </c>
      <c r="X2772" s="2" t="s">
        <v>43</v>
      </c>
      <c r="Y2772" s="2" t="s">
        <v>37</v>
      </c>
      <c r="Z2772" s="2" t="s">
        <v>44</v>
      </c>
      <c r="AA2772" s="2"/>
      <c r="AB2772" s="2"/>
      <c r="AC2772" s="2" t="s">
        <v>21206</v>
      </c>
      <c r="AD2772" s="2" t="s">
        <v>46</v>
      </c>
    </row>
    <row r="2773" customFormat="false" ht="15.7" hidden="false" customHeight="true" outlineLevel="0" collapsed="false">
      <c r="A2773" s="2"/>
      <c r="B2773" s="3" t="n">
        <f aca="false">DATE(2016,9,27)</f>
        <v>0</v>
      </c>
      <c r="C2773" s="3" t="n">
        <v>42640</v>
      </c>
      <c r="D2773" s="2" t="s">
        <v>21207</v>
      </c>
      <c r="F2773" s="2" t="s">
        <v>21208</v>
      </c>
      <c r="G2773" s="2" t="s">
        <v>21209</v>
      </c>
      <c r="H2773" s="2" t="s">
        <v>21210</v>
      </c>
      <c r="I2773" s="2" t="s">
        <v>4325</v>
      </c>
      <c r="J2773" s="2" t="s">
        <v>35</v>
      </c>
      <c r="K2773" s="2" t="s">
        <v>21211</v>
      </c>
      <c r="L2773" s="2" t="s">
        <v>4325</v>
      </c>
      <c r="M2773" s="2" t="s">
        <v>21212</v>
      </c>
      <c r="N2773" s="2" t="s">
        <v>21213</v>
      </c>
      <c r="O2773" s="2"/>
      <c r="P2773" s="2" t="s">
        <v>37</v>
      </c>
      <c r="Q2773" s="4" t="n">
        <v>8731</v>
      </c>
      <c r="R2773" s="2" t="s">
        <v>402</v>
      </c>
      <c r="S2773" s="2" t="s">
        <v>39</v>
      </c>
      <c r="T2773" s="2" t="s">
        <v>40</v>
      </c>
      <c r="U2773" s="2" t="s">
        <v>21214</v>
      </c>
      <c r="V2773" s="2"/>
      <c r="W2773" s="2" t="s">
        <v>697</v>
      </c>
      <c r="X2773" s="2" t="s">
        <v>43</v>
      </c>
      <c r="Y2773" s="2" t="s">
        <v>37</v>
      </c>
      <c r="Z2773" s="2" t="s">
        <v>44</v>
      </c>
      <c r="AA2773" s="2"/>
      <c r="AB2773" s="2"/>
      <c r="AC2773" s="2" t="s">
        <v>21215</v>
      </c>
      <c r="AD2773" s="2" t="s">
        <v>46</v>
      </c>
    </row>
    <row r="2774" customFormat="false" ht="15.7" hidden="false" customHeight="true" outlineLevel="0" collapsed="false">
      <c r="A2774" s="2"/>
      <c r="B2774" s="3" t="n">
        <f aca="false">DATE(2016,9,27)</f>
        <v>0</v>
      </c>
      <c r="C2774" s="3" t="n">
        <v>42640</v>
      </c>
      <c r="D2774" s="2" t="s">
        <v>21216</v>
      </c>
      <c r="F2774" s="2" t="s">
        <v>21217</v>
      </c>
      <c r="G2774" s="2" t="s">
        <v>21218</v>
      </c>
      <c r="H2774" s="2" t="s">
        <v>18221</v>
      </c>
      <c r="I2774" s="2" t="s">
        <v>51</v>
      </c>
      <c r="J2774" s="2" t="s">
        <v>560</v>
      </c>
      <c r="K2774" s="2" t="s">
        <v>21216</v>
      </c>
      <c r="L2774" s="2" t="s">
        <v>51</v>
      </c>
      <c r="M2774" s="2" t="s">
        <v>18221</v>
      </c>
      <c r="N2774" s="2" t="s">
        <v>21219</v>
      </c>
      <c r="O2774" s="2"/>
      <c r="P2774" s="2" t="s">
        <v>37</v>
      </c>
      <c r="Q2774" s="4" t="n">
        <v>7372</v>
      </c>
      <c r="R2774" s="2" t="s">
        <v>56</v>
      </c>
      <c r="S2774" s="2"/>
      <c r="T2774" s="2" t="s">
        <v>40</v>
      </c>
      <c r="U2774" s="2" t="s">
        <v>21220</v>
      </c>
      <c r="V2774" s="2"/>
      <c r="W2774" s="2" t="s">
        <v>6066</v>
      </c>
      <c r="X2774" s="2" t="s">
        <v>43</v>
      </c>
      <c r="Y2774" s="2" t="s">
        <v>37</v>
      </c>
      <c r="Z2774" s="2" t="s">
        <v>44</v>
      </c>
      <c r="AA2774" s="2"/>
      <c r="AB2774" s="2"/>
      <c r="AC2774" s="2" t="s">
        <v>21221</v>
      </c>
      <c r="AD2774" s="2" t="s">
        <v>46</v>
      </c>
    </row>
    <row r="2775" customFormat="false" ht="15.7" hidden="false" customHeight="true" outlineLevel="0" collapsed="false">
      <c r="A2775" s="2"/>
      <c r="B2775" s="3" t="n">
        <f aca="false">DATE(2016,9,28)</f>
        <v>0</v>
      </c>
      <c r="C2775" s="3" t="n">
        <v>42641</v>
      </c>
      <c r="D2775" s="2" t="s">
        <v>21222</v>
      </c>
      <c r="F2775" s="2" t="s">
        <v>20591</v>
      </c>
      <c r="G2775" s="2" t="s">
        <v>21223</v>
      </c>
      <c r="H2775" s="2" t="s">
        <v>305</v>
      </c>
      <c r="I2775" s="2" t="s">
        <v>655</v>
      </c>
      <c r="J2775" s="2" t="s">
        <v>35</v>
      </c>
      <c r="K2775" s="2" t="s">
        <v>21224</v>
      </c>
      <c r="L2775" s="2" t="s">
        <v>655</v>
      </c>
      <c r="M2775" s="2" t="s">
        <v>305</v>
      </c>
      <c r="N2775" s="2" t="s">
        <v>21225</v>
      </c>
      <c r="O2775" s="2"/>
      <c r="P2775" s="2" t="s">
        <v>37</v>
      </c>
      <c r="Q2775" s="4" t="n">
        <v>8731</v>
      </c>
      <c r="R2775" s="2" t="s">
        <v>7068</v>
      </c>
      <c r="S2775" s="2" t="s">
        <v>39</v>
      </c>
      <c r="T2775" s="2" t="s">
        <v>40</v>
      </c>
      <c r="U2775" s="2" t="s">
        <v>21226</v>
      </c>
      <c r="V2775" s="2"/>
      <c r="W2775" s="2" t="s">
        <v>42</v>
      </c>
      <c r="X2775" s="2" t="s">
        <v>43</v>
      </c>
      <c r="Y2775" s="2" t="s">
        <v>37</v>
      </c>
      <c r="Z2775" s="2" t="s">
        <v>44</v>
      </c>
      <c r="AA2775" s="2"/>
      <c r="AB2775" s="2"/>
      <c r="AC2775" s="2" t="s">
        <v>21227</v>
      </c>
      <c r="AD2775" s="2" t="s">
        <v>46</v>
      </c>
    </row>
    <row r="2776" customFormat="false" ht="15.7" hidden="false" customHeight="true" outlineLevel="0" collapsed="false">
      <c r="A2776" s="2"/>
      <c r="B2776" s="3" t="n">
        <f aca="false">DATE(2016,9,28)</f>
        <v>0</v>
      </c>
      <c r="C2776" s="3" t="n">
        <v>42641</v>
      </c>
      <c r="D2776" s="2" t="s">
        <v>21228</v>
      </c>
      <c r="F2776" s="2" t="s">
        <v>21229</v>
      </c>
      <c r="G2776" s="2" t="s">
        <v>21230</v>
      </c>
      <c r="H2776" s="2" t="s">
        <v>21231</v>
      </c>
      <c r="I2776" s="2" t="s">
        <v>388</v>
      </c>
      <c r="J2776" s="2" t="s">
        <v>1456</v>
      </c>
      <c r="K2776" s="2" t="s">
        <v>21232</v>
      </c>
      <c r="L2776" s="2" t="s">
        <v>388</v>
      </c>
      <c r="M2776" s="2" t="s">
        <v>21233</v>
      </c>
      <c r="N2776" s="2" t="s">
        <v>21234</v>
      </c>
      <c r="O2776" s="2"/>
      <c r="P2776" s="2" t="s">
        <v>37</v>
      </c>
      <c r="Q2776" s="4" t="n">
        <v>8731</v>
      </c>
      <c r="R2776" s="2" t="s">
        <v>56</v>
      </c>
      <c r="S2776" s="2"/>
      <c r="T2776" s="2" t="s">
        <v>403</v>
      </c>
      <c r="U2776" s="2" t="s">
        <v>21235</v>
      </c>
      <c r="V2776" s="2"/>
      <c r="W2776" s="2" t="s">
        <v>42</v>
      </c>
      <c r="X2776" s="2" t="s">
        <v>43</v>
      </c>
      <c r="Y2776" s="2" t="s">
        <v>37</v>
      </c>
      <c r="Z2776" s="2" t="s">
        <v>44</v>
      </c>
      <c r="AA2776" s="2"/>
      <c r="AB2776" s="2"/>
      <c r="AC2776" s="2" t="s">
        <v>21236</v>
      </c>
      <c r="AD2776" s="2" t="s">
        <v>46</v>
      </c>
    </row>
    <row r="2777" customFormat="false" ht="15.7" hidden="false" customHeight="true" outlineLevel="0" collapsed="false">
      <c r="A2777" s="2"/>
      <c r="B2777" s="3" t="n">
        <f aca="false">DATE(2016,9,28)</f>
        <v>0</v>
      </c>
      <c r="C2777" s="3" t="n">
        <v>42641</v>
      </c>
      <c r="D2777" s="2" t="s">
        <v>21237</v>
      </c>
      <c r="F2777" s="2" t="s">
        <v>21238</v>
      </c>
      <c r="G2777" s="2" t="s">
        <v>21239</v>
      </c>
      <c r="H2777" s="2" t="s">
        <v>21240</v>
      </c>
      <c r="I2777" s="2" t="s">
        <v>4325</v>
      </c>
      <c r="J2777" s="2" t="s">
        <v>35</v>
      </c>
      <c r="K2777" s="2" t="s">
        <v>21237</v>
      </c>
      <c r="L2777" s="2" t="s">
        <v>4325</v>
      </c>
      <c r="M2777" s="2" t="s">
        <v>21240</v>
      </c>
      <c r="N2777" s="2" t="s">
        <v>21241</v>
      </c>
      <c r="O2777" s="2"/>
      <c r="P2777" s="2" t="s">
        <v>37</v>
      </c>
      <c r="Q2777" s="4" t="n">
        <v>3999</v>
      </c>
      <c r="R2777" s="2" t="s">
        <v>402</v>
      </c>
      <c r="S2777" s="2" t="s">
        <v>39</v>
      </c>
      <c r="T2777" s="2" t="s">
        <v>403</v>
      </c>
      <c r="U2777" s="2" t="s">
        <v>21242</v>
      </c>
      <c r="V2777" s="2"/>
      <c r="W2777" s="2" t="s">
        <v>107</v>
      </c>
      <c r="X2777" s="2" t="s">
        <v>46</v>
      </c>
      <c r="Y2777" s="2" t="s">
        <v>37</v>
      </c>
      <c r="Z2777" s="2" t="s">
        <v>987</v>
      </c>
      <c r="AA2777" s="2" t="s">
        <v>21243</v>
      </c>
      <c r="AB2777" s="2"/>
      <c r="AC2777" s="2" t="s">
        <v>21244</v>
      </c>
      <c r="AD2777" s="2" t="s">
        <v>46</v>
      </c>
    </row>
    <row r="2778" customFormat="false" ht="15.7" hidden="false" customHeight="true" outlineLevel="0" collapsed="false">
      <c r="A2778" s="2"/>
      <c r="B2778" s="3" t="n">
        <f aca="false">DATE(2016,9,29)</f>
        <v>0</v>
      </c>
      <c r="C2778" s="3" t="n">
        <v>42642</v>
      </c>
      <c r="D2778" s="2" t="s">
        <v>21245</v>
      </c>
      <c r="F2778" s="2" t="s">
        <v>21246</v>
      </c>
      <c r="G2778" s="2" t="s">
        <v>21247</v>
      </c>
      <c r="H2778" s="2" t="s">
        <v>5284</v>
      </c>
      <c r="I2778" s="2" t="s">
        <v>670</v>
      </c>
      <c r="J2778" s="2" t="s">
        <v>65</v>
      </c>
      <c r="K2778" s="2" t="s">
        <v>21245</v>
      </c>
      <c r="L2778" s="2" t="s">
        <v>670</v>
      </c>
      <c r="M2778" s="2" t="s">
        <v>5284</v>
      </c>
      <c r="N2778" s="2" t="s">
        <v>21248</v>
      </c>
      <c r="O2778" s="2"/>
      <c r="P2778" s="2" t="s">
        <v>37</v>
      </c>
      <c r="Q2778" s="4" t="n">
        <v>8731</v>
      </c>
      <c r="R2778" s="2" t="s">
        <v>402</v>
      </c>
      <c r="S2778" s="2" t="s">
        <v>39</v>
      </c>
      <c r="T2778" s="2" t="s">
        <v>403</v>
      </c>
      <c r="U2778" s="2" t="s">
        <v>21249</v>
      </c>
      <c r="V2778" s="2"/>
      <c r="W2778" s="2" t="s">
        <v>2209</v>
      </c>
      <c r="X2778" s="2" t="s">
        <v>46</v>
      </c>
      <c r="Y2778" s="2" t="s">
        <v>37</v>
      </c>
      <c r="Z2778" s="2" t="s">
        <v>2732</v>
      </c>
      <c r="AA2778" s="2" t="s">
        <v>21250</v>
      </c>
      <c r="AB2778" s="2"/>
      <c r="AC2778" s="2" t="s">
        <v>21251</v>
      </c>
      <c r="AD2778" s="2" t="s">
        <v>46</v>
      </c>
    </row>
    <row r="2779" customFormat="false" ht="15.7" hidden="false" customHeight="true" outlineLevel="0" collapsed="false">
      <c r="A2779" s="2"/>
      <c r="B2779" s="3" t="n">
        <f aca="false">DATE(2016,9,29)</f>
        <v>0</v>
      </c>
      <c r="C2779" s="3" t="n">
        <v>42642</v>
      </c>
      <c r="D2779" s="2" t="s">
        <v>21252</v>
      </c>
      <c r="F2779" s="2" t="s">
        <v>256</v>
      </c>
      <c r="G2779" s="2" t="s">
        <v>21253</v>
      </c>
      <c r="H2779" s="2" t="s">
        <v>170</v>
      </c>
      <c r="I2779" s="2" t="s">
        <v>131</v>
      </c>
      <c r="J2779" s="2" t="s">
        <v>331</v>
      </c>
      <c r="K2779" s="2" t="s">
        <v>21252</v>
      </c>
      <c r="L2779" s="2" t="s">
        <v>131</v>
      </c>
      <c r="M2779" s="2" t="s">
        <v>170</v>
      </c>
      <c r="N2779" s="2" t="s">
        <v>21254</v>
      </c>
      <c r="O2779" s="2"/>
      <c r="P2779" s="2" t="s">
        <v>37</v>
      </c>
      <c r="Q2779" s="4" t="n">
        <v>8731</v>
      </c>
      <c r="R2779" s="2" t="s">
        <v>56</v>
      </c>
      <c r="S2779" s="2"/>
      <c r="T2779" s="2" t="s">
        <v>40</v>
      </c>
      <c r="U2779" s="2" t="s">
        <v>21255</v>
      </c>
      <c r="V2779" s="2"/>
      <c r="W2779" s="2" t="s">
        <v>18966</v>
      </c>
      <c r="X2779" s="2" t="s">
        <v>43</v>
      </c>
      <c r="Y2779" s="2" t="s">
        <v>37</v>
      </c>
      <c r="Z2779" s="2" t="s">
        <v>44</v>
      </c>
      <c r="AA2779" s="2"/>
      <c r="AB2779" s="2"/>
      <c r="AC2779" s="2" t="s">
        <v>21256</v>
      </c>
      <c r="AD2779" s="2" t="s">
        <v>46</v>
      </c>
    </row>
    <row r="2780" customFormat="false" ht="15.7" hidden="false" customHeight="true" outlineLevel="0" collapsed="false">
      <c r="A2780" s="2"/>
      <c r="B2780" s="3" t="n">
        <f aca="false">DATE(2016,9,30)</f>
        <v>0</v>
      </c>
      <c r="C2780" s="3" t="n">
        <v>42643</v>
      </c>
      <c r="D2780" s="2" t="s">
        <v>21257</v>
      </c>
      <c r="F2780" s="2" t="s">
        <v>21258</v>
      </c>
      <c r="G2780" s="2" t="s">
        <v>21259</v>
      </c>
      <c r="H2780" s="2" t="s">
        <v>4561</v>
      </c>
      <c r="I2780" s="2" t="s">
        <v>51</v>
      </c>
      <c r="J2780" s="2" t="s">
        <v>21260</v>
      </c>
      <c r="K2780" s="2" t="s">
        <v>21257</v>
      </c>
      <c r="L2780" s="2" t="s">
        <v>51</v>
      </c>
      <c r="M2780" s="2" t="s">
        <v>4561</v>
      </c>
      <c r="N2780" s="2" t="s">
        <v>21261</v>
      </c>
      <c r="O2780" s="2"/>
      <c r="P2780" s="2" t="s">
        <v>37</v>
      </c>
      <c r="Q2780" s="4" t="n">
        <v>8731</v>
      </c>
      <c r="R2780" s="2" t="s">
        <v>56</v>
      </c>
      <c r="S2780" s="2"/>
      <c r="T2780" s="2" t="s">
        <v>40</v>
      </c>
      <c r="U2780" s="2" t="s">
        <v>21262</v>
      </c>
      <c r="V2780" s="2"/>
      <c r="W2780" s="2" t="s">
        <v>42</v>
      </c>
      <c r="X2780" s="2" t="s">
        <v>43</v>
      </c>
      <c r="Y2780" s="2" t="s">
        <v>37</v>
      </c>
      <c r="Z2780" s="2" t="s">
        <v>44</v>
      </c>
      <c r="AA2780" s="2"/>
      <c r="AB2780" s="2"/>
      <c r="AC2780" s="2" t="s">
        <v>21263</v>
      </c>
      <c r="AD2780" s="2" t="s">
        <v>46</v>
      </c>
    </row>
    <row r="2781" customFormat="false" ht="15.7" hidden="false" customHeight="true" outlineLevel="0" collapsed="false">
      <c r="A2781" s="2"/>
      <c r="B2781" s="3" t="n">
        <f aca="false">DATE(2016,10,3)</f>
        <v>0</v>
      </c>
      <c r="C2781" s="3" t="n">
        <v>42646</v>
      </c>
      <c r="D2781" s="2" t="s">
        <v>21264</v>
      </c>
      <c r="F2781" s="2" t="s">
        <v>21265</v>
      </c>
      <c r="G2781" s="2" t="s">
        <v>21266</v>
      </c>
      <c r="H2781" s="2" t="s">
        <v>21267</v>
      </c>
      <c r="I2781" s="2" t="s">
        <v>64</v>
      </c>
      <c r="J2781" s="2" t="s">
        <v>65</v>
      </c>
      <c r="K2781" s="2" t="s">
        <v>21264</v>
      </c>
      <c r="L2781" s="2" t="s">
        <v>64</v>
      </c>
      <c r="M2781" s="2" t="s">
        <v>21267</v>
      </c>
      <c r="N2781" s="2" t="s">
        <v>21268</v>
      </c>
      <c r="O2781" s="2"/>
      <c r="P2781" s="2" t="s">
        <v>37</v>
      </c>
      <c r="Q2781" s="4" t="n">
        <v>8731</v>
      </c>
      <c r="R2781" s="2"/>
      <c r="S2781" s="2"/>
      <c r="T2781" s="2" t="s">
        <v>40</v>
      </c>
      <c r="U2781" s="2" t="s">
        <v>21269</v>
      </c>
      <c r="V2781" s="2"/>
      <c r="W2781" s="2" t="s">
        <v>42</v>
      </c>
      <c r="X2781" s="2" t="s">
        <v>43</v>
      </c>
      <c r="Y2781" s="2" t="s">
        <v>37</v>
      </c>
      <c r="Z2781" s="2" t="s">
        <v>44</v>
      </c>
      <c r="AA2781" s="2"/>
      <c r="AB2781" s="2"/>
      <c r="AC2781" s="2" t="s">
        <v>21270</v>
      </c>
      <c r="AD2781" s="2" t="s">
        <v>46</v>
      </c>
    </row>
    <row r="2782" customFormat="false" ht="15.7" hidden="false" customHeight="true" outlineLevel="0" collapsed="false">
      <c r="A2782" s="2"/>
      <c r="B2782" s="3" t="n">
        <f aca="false">DATE(2016,10,3)</f>
        <v>0</v>
      </c>
      <c r="C2782" s="3" t="n">
        <v>42646</v>
      </c>
      <c r="D2782" s="2" t="s">
        <v>21271</v>
      </c>
      <c r="F2782" s="2" t="s">
        <v>21272</v>
      </c>
      <c r="G2782" s="2" t="s">
        <v>21273</v>
      </c>
      <c r="H2782" s="2" t="s">
        <v>21274</v>
      </c>
      <c r="I2782" s="2" t="s">
        <v>4325</v>
      </c>
      <c r="J2782" s="2" t="s">
        <v>35</v>
      </c>
      <c r="K2782" s="2" t="s">
        <v>21271</v>
      </c>
      <c r="L2782" s="2" t="s">
        <v>4325</v>
      </c>
      <c r="M2782" s="2" t="s">
        <v>21274</v>
      </c>
      <c r="N2782" s="2" t="s">
        <v>21275</v>
      </c>
      <c r="O2782" s="2"/>
      <c r="P2782" s="2" t="s">
        <v>37</v>
      </c>
      <c r="Q2782" s="4" t="n">
        <v>3999</v>
      </c>
      <c r="R2782" s="2" t="s">
        <v>402</v>
      </c>
      <c r="S2782" s="2" t="s">
        <v>39</v>
      </c>
      <c r="T2782" s="2" t="s">
        <v>403</v>
      </c>
      <c r="U2782" s="2" t="s">
        <v>21276</v>
      </c>
      <c r="V2782" s="2"/>
      <c r="W2782" s="2" t="s">
        <v>107</v>
      </c>
      <c r="X2782" s="2" t="s">
        <v>46</v>
      </c>
      <c r="Y2782" s="2" t="s">
        <v>37</v>
      </c>
      <c r="Z2782" s="2" t="s">
        <v>1639</v>
      </c>
      <c r="AA2782" s="2" t="s">
        <v>21277</v>
      </c>
      <c r="AB2782" s="2"/>
      <c r="AC2782" s="2" t="s">
        <v>21278</v>
      </c>
      <c r="AD2782" s="2" t="s">
        <v>46</v>
      </c>
    </row>
    <row r="2783" customFormat="false" ht="15.7" hidden="false" customHeight="true" outlineLevel="0" collapsed="false">
      <c r="A2783" s="2"/>
      <c r="B2783" s="3" t="n">
        <f aca="false">DATE(2016,10,4)</f>
        <v>0</v>
      </c>
      <c r="C2783" s="3" t="n">
        <v>42647</v>
      </c>
      <c r="D2783" s="2" t="s">
        <v>21279</v>
      </c>
      <c r="F2783" s="2" t="s">
        <v>21280</v>
      </c>
      <c r="G2783" s="2" t="s">
        <v>21281</v>
      </c>
      <c r="H2783" s="2" t="s">
        <v>170</v>
      </c>
      <c r="I2783" s="2" t="s">
        <v>202</v>
      </c>
      <c r="J2783" s="2" t="s">
        <v>65</v>
      </c>
      <c r="K2783" s="2" t="s">
        <v>21282</v>
      </c>
      <c r="L2783" s="2" t="s">
        <v>202</v>
      </c>
      <c r="M2783" s="2" t="s">
        <v>170</v>
      </c>
      <c r="N2783" s="2" t="s">
        <v>21283</v>
      </c>
      <c r="O2783" s="2"/>
      <c r="P2783" s="2" t="s">
        <v>37</v>
      </c>
      <c r="Q2783" s="4" t="n">
        <v>8731</v>
      </c>
      <c r="R2783" s="2" t="s">
        <v>869</v>
      </c>
      <c r="S2783" s="2" t="s">
        <v>39</v>
      </c>
      <c r="T2783" s="2" t="s">
        <v>40</v>
      </c>
      <c r="U2783" s="2" t="s">
        <v>21284</v>
      </c>
      <c r="V2783" s="2"/>
      <c r="W2783" s="2" t="s">
        <v>344</v>
      </c>
      <c r="X2783" s="2" t="s">
        <v>43</v>
      </c>
      <c r="Y2783" s="2" t="s">
        <v>37</v>
      </c>
      <c r="Z2783" s="2" t="s">
        <v>44</v>
      </c>
      <c r="AA2783" s="2"/>
      <c r="AB2783" s="2"/>
      <c r="AC2783" s="2" t="s">
        <v>21285</v>
      </c>
      <c r="AD2783" s="2" t="s">
        <v>46</v>
      </c>
    </row>
    <row r="2784" customFormat="false" ht="15.7" hidden="false" customHeight="true" outlineLevel="0" collapsed="false">
      <c r="A2784" s="2"/>
      <c r="B2784" s="3" t="n">
        <f aca="false">DATE(2016,10,6)</f>
        <v>0</v>
      </c>
      <c r="C2784" s="3" t="n">
        <v>42649</v>
      </c>
      <c r="D2784" s="2" t="s">
        <v>21286</v>
      </c>
      <c r="F2784" s="2" t="s">
        <v>3581</v>
      </c>
      <c r="G2784" s="2" t="s">
        <v>21287</v>
      </c>
      <c r="H2784" s="2" t="s">
        <v>130</v>
      </c>
      <c r="I2784" s="2" t="s">
        <v>51</v>
      </c>
      <c r="J2784" s="2" t="s">
        <v>6397</v>
      </c>
      <c r="K2784" s="2" t="s">
        <v>21288</v>
      </c>
      <c r="L2784" s="2" t="s">
        <v>12378</v>
      </c>
      <c r="M2784" s="2" t="s">
        <v>134</v>
      </c>
      <c r="N2784" s="2" t="s">
        <v>21289</v>
      </c>
      <c r="O2784" s="2"/>
      <c r="P2784" s="2" t="s">
        <v>37</v>
      </c>
      <c r="Q2784" s="4" t="n">
        <v>8731</v>
      </c>
      <c r="R2784" s="2" t="s">
        <v>56</v>
      </c>
      <c r="S2784" s="2"/>
      <c r="T2784" s="2" t="s">
        <v>40</v>
      </c>
      <c r="U2784" s="2" t="s">
        <v>21290</v>
      </c>
      <c r="V2784" s="2"/>
      <c r="W2784" s="2" t="s">
        <v>344</v>
      </c>
      <c r="X2784" s="2" t="s">
        <v>43</v>
      </c>
      <c r="Y2784" s="2" t="s">
        <v>37</v>
      </c>
      <c r="Z2784" s="2" t="s">
        <v>44</v>
      </c>
      <c r="AA2784" s="2"/>
      <c r="AB2784" s="2"/>
      <c r="AC2784" s="2" t="s">
        <v>21291</v>
      </c>
      <c r="AD2784" s="2" t="s">
        <v>46</v>
      </c>
    </row>
    <row r="2785" customFormat="false" ht="15.7" hidden="false" customHeight="true" outlineLevel="0" collapsed="false">
      <c r="A2785" s="2"/>
      <c r="B2785" s="3" t="n">
        <f aca="false">DATE(2016,10,7)</f>
        <v>0</v>
      </c>
      <c r="C2785" s="3" t="n">
        <v>42650</v>
      </c>
      <c r="D2785" s="2" t="s">
        <v>21292</v>
      </c>
      <c r="F2785" s="2" t="s">
        <v>21293</v>
      </c>
      <c r="G2785" s="2" t="s">
        <v>21294</v>
      </c>
      <c r="H2785" s="2" t="s">
        <v>21295</v>
      </c>
      <c r="I2785" s="2" t="s">
        <v>21028</v>
      </c>
      <c r="J2785" s="2" t="s">
        <v>35</v>
      </c>
      <c r="K2785" s="2" t="s">
        <v>21296</v>
      </c>
      <c r="L2785" s="2" t="s">
        <v>21028</v>
      </c>
      <c r="M2785" s="2" t="s">
        <v>1574</v>
      </c>
      <c r="N2785" s="2" t="s">
        <v>21297</v>
      </c>
      <c r="O2785" s="2"/>
      <c r="P2785" s="2" t="s">
        <v>37</v>
      </c>
      <c r="Q2785" s="4" t="n">
        <v>8731</v>
      </c>
      <c r="R2785" s="2" t="s">
        <v>21298</v>
      </c>
      <c r="S2785" s="2" t="s">
        <v>39</v>
      </c>
      <c r="T2785" s="2" t="s">
        <v>40</v>
      </c>
      <c r="U2785" s="2" t="s">
        <v>21299</v>
      </c>
      <c r="V2785" s="2"/>
      <c r="W2785" s="2" t="s">
        <v>7275</v>
      </c>
      <c r="X2785" s="2" t="s">
        <v>43</v>
      </c>
      <c r="Y2785" s="2" t="s">
        <v>37</v>
      </c>
      <c r="Z2785" s="2" t="s">
        <v>44</v>
      </c>
      <c r="AA2785" s="2"/>
      <c r="AB2785" s="2"/>
      <c r="AC2785" s="2" t="s">
        <v>21300</v>
      </c>
      <c r="AD2785" s="2" t="s">
        <v>46</v>
      </c>
    </row>
    <row r="2786" customFormat="false" ht="15.7" hidden="false" customHeight="true" outlineLevel="0" collapsed="false">
      <c r="A2786" s="2"/>
      <c r="B2786" s="3" t="n">
        <f aca="false">DATE(2016,10,10)</f>
        <v>0</v>
      </c>
      <c r="C2786" s="3" t="n">
        <v>42653</v>
      </c>
      <c r="D2786" s="2" t="s">
        <v>21301</v>
      </c>
      <c r="F2786" s="2" t="s">
        <v>21302</v>
      </c>
      <c r="G2786" s="2" t="s">
        <v>21303</v>
      </c>
      <c r="H2786" s="2" t="s">
        <v>21304</v>
      </c>
      <c r="I2786" s="2" t="s">
        <v>4325</v>
      </c>
      <c r="J2786" s="2" t="s">
        <v>35</v>
      </c>
      <c r="K2786" s="2" t="s">
        <v>21305</v>
      </c>
      <c r="L2786" s="2" t="s">
        <v>670</v>
      </c>
      <c r="M2786" s="2" t="s">
        <v>20602</v>
      </c>
      <c r="N2786" s="2" t="s">
        <v>21306</v>
      </c>
      <c r="O2786" s="2"/>
      <c r="P2786" s="2" t="s">
        <v>37</v>
      </c>
      <c r="Q2786" s="4" t="n">
        <v>8071</v>
      </c>
      <c r="R2786" s="2" t="s">
        <v>402</v>
      </c>
      <c r="S2786" s="2" t="s">
        <v>39</v>
      </c>
      <c r="T2786" s="2" t="s">
        <v>40</v>
      </c>
      <c r="U2786" s="2" t="s">
        <v>21307</v>
      </c>
      <c r="V2786" s="2"/>
      <c r="W2786" s="2" t="s">
        <v>82</v>
      </c>
      <c r="X2786" s="2" t="s">
        <v>43</v>
      </c>
      <c r="Y2786" s="2" t="s">
        <v>37</v>
      </c>
      <c r="Z2786" s="2" t="s">
        <v>44</v>
      </c>
      <c r="AA2786" s="2"/>
      <c r="AB2786" s="2"/>
      <c r="AC2786" s="2" t="s">
        <v>21308</v>
      </c>
      <c r="AD2786" s="2" t="s">
        <v>46</v>
      </c>
    </row>
    <row r="2787" customFormat="false" ht="15.7" hidden="false" customHeight="true" outlineLevel="0" collapsed="false">
      <c r="A2787" s="2"/>
      <c r="B2787" s="3" t="n">
        <f aca="false">DATE(2016,10,11)</f>
        <v>0</v>
      </c>
      <c r="C2787" s="3" t="n">
        <v>42654</v>
      </c>
      <c r="D2787" s="2" t="s">
        <v>21309</v>
      </c>
      <c r="F2787" s="2" t="s">
        <v>21310</v>
      </c>
      <c r="G2787" s="2" t="s">
        <v>21311</v>
      </c>
      <c r="H2787" s="2" t="s">
        <v>21312</v>
      </c>
      <c r="I2787" s="2" t="s">
        <v>670</v>
      </c>
      <c r="J2787" s="2" t="s">
        <v>65</v>
      </c>
      <c r="K2787" s="2" t="s">
        <v>21309</v>
      </c>
      <c r="L2787" s="2" t="s">
        <v>670</v>
      </c>
      <c r="M2787" s="2" t="s">
        <v>21312</v>
      </c>
      <c r="N2787" s="2" t="s">
        <v>21313</v>
      </c>
      <c r="O2787" s="2"/>
      <c r="P2787" s="2" t="s">
        <v>37</v>
      </c>
      <c r="Q2787" s="4" t="n">
        <v>8731</v>
      </c>
      <c r="R2787" s="2" t="s">
        <v>136</v>
      </c>
      <c r="S2787" s="2" t="s">
        <v>39</v>
      </c>
      <c r="T2787" s="2" t="s">
        <v>40</v>
      </c>
      <c r="U2787" s="2" t="s">
        <v>21314</v>
      </c>
      <c r="V2787" s="2"/>
      <c r="W2787" s="2" t="s">
        <v>42</v>
      </c>
      <c r="X2787" s="2" t="s">
        <v>43</v>
      </c>
      <c r="Y2787" s="2" t="s">
        <v>37</v>
      </c>
      <c r="Z2787" s="2" t="s">
        <v>44</v>
      </c>
      <c r="AA2787" s="2" t="s">
        <v>21315</v>
      </c>
      <c r="AB2787" s="2"/>
      <c r="AC2787" s="2" t="s">
        <v>21316</v>
      </c>
      <c r="AD2787" s="2" t="s">
        <v>46</v>
      </c>
    </row>
    <row r="2788" customFormat="false" ht="15.7" hidden="false" customHeight="true" outlineLevel="0" collapsed="false">
      <c r="A2788" s="2"/>
      <c r="B2788" s="3" t="n">
        <f aca="false">DATE(2016,10,11)</f>
        <v>0</v>
      </c>
      <c r="C2788" s="3" t="n">
        <v>42654</v>
      </c>
      <c r="D2788" s="2" t="s">
        <v>21317</v>
      </c>
      <c r="F2788" s="2" t="s">
        <v>21318</v>
      </c>
      <c r="G2788" s="2" t="s">
        <v>21319</v>
      </c>
      <c r="H2788" s="2" t="s">
        <v>21085</v>
      </c>
      <c r="I2788" s="2" t="s">
        <v>6838</v>
      </c>
      <c r="J2788" s="2" t="s">
        <v>35</v>
      </c>
      <c r="K2788" s="2" t="s">
        <v>21317</v>
      </c>
      <c r="L2788" s="2" t="s">
        <v>6838</v>
      </c>
      <c r="M2788" s="2" t="s">
        <v>21085</v>
      </c>
      <c r="N2788" s="2" t="s">
        <v>21320</v>
      </c>
      <c r="O2788" s="2"/>
      <c r="P2788" s="2" t="s">
        <v>37</v>
      </c>
      <c r="Q2788" s="4" t="n">
        <v>9511</v>
      </c>
      <c r="R2788" s="2" t="s">
        <v>402</v>
      </c>
      <c r="S2788" s="2" t="s">
        <v>39</v>
      </c>
      <c r="T2788" s="2" t="s">
        <v>403</v>
      </c>
      <c r="U2788" s="2" t="s">
        <v>21321</v>
      </c>
      <c r="V2788" s="2"/>
      <c r="W2788" s="2" t="s">
        <v>3465</v>
      </c>
      <c r="X2788" s="2" t="s">
        <v>46</v>
      </c>
      <c r="Y2788" s="2" t="s">
        <v>37</v>
      </c>
      <c r="Z2788" s="2" t="s">
        <v>18992</v>
      </c>
      <c r="AA2788" s="2" t="s">
        <v>21322</v>
      </c>
      <c r="AB2788" s="2"/>
      <c r="AC2788" s="2" t="s">
        <v>21323</v>
      </c>
      <c r="AD2788" s="2" t="s">
        <v>46</v>
      </c>
    </row>
    <row r="2789" customFormat="false" ht="15.7" hidden="false" customHeight="true" outlineLevel="0" collapsed="false">
      <c r="A2789" s="2"/>
      <c r="B2789" s="3" t="n">
        <f aca="false">DATE(2016,10,11)</f>
        <v>0</v>
      </c>
      <c r="C2789" s="3" t="n">
        <v>42654</v>
      </c>
      <c r="D2789" s="2" t="s">
        <v>21324</v>
      </c>
      <c r="F2789" s="2" t="s">
        <v>21325</v>
      </c>
      <c r="G2789" s="2" t="s">
        <v>21326</v>
      </c>
      <c r="H2789" s="2" t="s">
        <v>21327</v>
      </c>
      <c r="I2789" s="2" t="s">
        <v>21328</v>
      </c>
      <c r="J2789" s="2" t="s">
        <v>116</v>
      </c>
      <c r="K2789" s="2" t="s">
        <v>21324</v>
      </c>
      <c r="L2789" s="2" t="s">
        <v>21328</v>
      </c>
      <c r="M2789" s="2" t="s">
        <v>21327</v>
      </c>
      <c r="N2789" s="2" t="s">
        <v>21329</v>
      </c>
      <c r="O2789" s="2"/>
      <c r="P2789" s="2" t="s">
        <v>37</v>
      </c>
      <c r="Q2789" s="4" t="n">
        <v>8731</v>
      </c>
      <c r="R2789" s="2" t="s">
        <v>402</v>
      </c>
      <c r="S2789" s="2" t="s">
        <v>39</v>
      </c>
      <c r="T2789" s="2" t="s">
        <v>403</v>
      </c>
      <c r="U2789" s="2" t="s">
        <v>21330</v>
      </c>
      <c r="V2789" s="2"/>
      <c r="W2789" s="2" t="s">
        <v>21331</v>
      </c>
      <c r="X2789" s="2" t="s">
        <v>46</v>
      </c>
      <c r="Y2789" s="2" t="s">
        <v>37</v>
      </c>
      <c r="Z2789" s="2" t="s">
        <v>21332</v>
      </c>
      <c r="AA2789" s="2"/>
      <c r="AB2789" s="2"/>
      <c r="AC2789" s="2" t="s">
        <v>21333</v>
      </c>
      <c r="AD2789" s="2" t="s">
        <v>46</v>
      </c>
    </row>
    <row r="2790" customFormat="false" ht="15.7" hidden="false" customHeight="true" outlineLevel="0" collapsed="false">
      <c r="A2790" s="2"/>
      <c r="B2790" s="3" t="n">
        <f aca="false">DATE(2016,10,11)</f>
        <v>0</v>
      </c>
      <c r="C2790" s="3" t="n">
        <v>42654</v>
      </c>
      <c r="D2790" s="2" t="s">
        <v>21334</v>
      </c>
      <c r="F2790" s="2" t="s">
        <v>21335</v>
      </c>
      <c r="G2790" s="2" t="s">
        <v>21336</v>
      </c>
      <c r="H2790" s="2" t="s">
        <v>11288</v>
      </c>
      <c r="I2790" s="2" t="s">
        <v>51</v>
      </c>
      <c r="J2790" s="2" t="s">
        <v>21337</v>
      </c>
      <c r="K2790" s="2" t="s">
        <v>21334</v>
      </c>
      <c r="L2790" s="2" t="s">
        <v>51</v>
      </c>
      <c r="M2790" s="2" t="s">
        <v>11288</v>
      </c>
      <c r="N2790" s="2" t="s">
        <v>21338</v>
      </c>
      <c r="O2790" s="2"/>
      <c r="P2790" s="2" t="s">
        <v>37</v>
      </c>
      <c r="Q2790" s="4" t="n">
        <v>8731</v>
      </c>
      <c r="R2790" s="2" t="s">
        <v>56</v>
      </c>
      <c r="S2790" s="2" t="s">
        <v>21339</v>
      </c>
      <c r="T2790" s="2" t="s">
        <v>40</v>
      </c>
      <c r="U2790" s="2" t="s">
        <v>21340</v>
      </c>
      <c r="V2790" s="2"/>
      <c r="W2790" s="2" t="s">
        <v>42</v>
      </c>
      <c r="X2790" s="2" t="s">
        <v>43</v>
      </c>
      <c r="Y2790" s="2" t="s">
        <v>37</v>
      </c>
      <c r="Z2790" s="2" t="s">
        <v>44</v>
      </c>
      <c r="AA2790" s="2"/>
      <c r="AB2790" s="2"/>
      <c r="AC2790" s="2" t="s">
        <v>21341</v>
      </c>
      <c r="AD2790" s="2" t="s">
        <v>46</v>
      </c>
    </row>
    <row r="2791" customFormat="false" ht="15.7" hidden="false" customHeight="true" outlineLevel="0" collapsed="false">
      <c r="A2791" s="2"/>
      <c r="B2791" s="3" t="n">
        <f aca="false">DATE(2016,10,12)</f>
        <v>0</v>
      </c>
      <c r="C2791" s="3" t="n">
        <v>42655</v>
      </c>
      <c r="D2791" s="2" t="s">
        <v>21342</v>
      </c>
      <c r="F2791" s="2" t="s">
        <v>21343</v>
      </c>
      <c r="G2791" s="2" t="s">
        <v>21344</v>
      </c>
      <c r="H2791" s="2" t="s">
        <v>9068</v>
      </c>
      <c r="I2791" s="2" t="s">
        <v>540</v>
      </c>
      <c r="J2791" s="2" t="s">
        <v>35</v>
      </c>
      <c r="K2791" s="2" t="s">
        <v>21342</v>
      </c>
      <c r="L2791" s="2" t="s">
        <v>540</v>
      </c>
      <c r="M2791" s="2" t="s">
        <v>9068</v>
      </c>
      <c r="N2791" s="2" t="s">
        <v>21345</v>
      </c>
      <c r="O2791" s="2"/>
      <c r="P2791" s="2" t="s">
        <v>37</v>
      </c>
      <c r="Q2791" s="4" t="n">
        <v>8099</v>
      </c>
      <c r="R2791" s="2" t="s">
        <v>1448</v>
      </c>
      <c r="S2791" s="2" t="s">
        <v>39</v>
      </c>
      <c r="T2791" s="2" t="s">
        <v>40</v>
      </c>
      <c r="U2791" s="2" t="s">
        <v>21346</v>
      </c>
      <c r="V2791" s="2"/>
      <c r="W2791" s="2" t="s">
        <v>4487</v>
      </c>
      <c r="X2791" s="2" t="s">
        <v>43</v>
      </c>
      <c r="Y2791" s="2" t="s">
        <v>37</v>
      </c>
      <c r="Z2791" s="2" t="s">
        <v>44</v>
      </c>
      <c r="AA2791" s="2"/>
      <c r="AB2791" s="2"/>
      <c r="AC2791" s="2" t="s">
        <v>21347</v>
      </c>
      <c r="AD2791" s="2" t="s">
        <v>46</v>
      </c>
    </row>
    <row r="2792" customFormat="false" ht="15.7" hidden="false" customHeight="true" outlineLevel="0" collapsed="false">
      <c r="A2792" s="2"/>
      <c r="B2792" s="3" t="n">
        <f aca="false">DATE(2016,10,12)</f>
        <v>0</v>
      </c>
      <c r="C2792" s="3" t="n">
        <v>42655</v>
      </c>
      <c r="D2792" s="2" t="s">
        <v>21348</v>
      </c>
      <c r="F2792" s="2" t="s">
        <v>21349</v>
      </c>
      <c r="G2792" s="2" t="s">
        <v>21350</v>
      </c>
      <c r="H2792" s="2" t="s">
        <v>2998</v>
      </c>
      <c r="I2792" s="2" t="s">
        <v>4037</v>
      </c>
      <c r="J2792" s="2" t="s">
        <v>65</v>
      </c>
      <c r="K2792" s="2" t="s">
        <v>21348</v>
      </c>
      <c r="L2792" s="2" t="s">
        <v>4037</v>
      </c>
      <c r="M2792" s="2" t="s">
        <v>2998</v>
      </c>
      <c r="N2792" s="2" t="s">
        <v>21351</v>
      </c>
      <c r="O2792" s="2"/>
      <c r="P2792" s="2" t="s">
        <v>37</v>
      </c>
      <c r="Q2792" s="4" t="n">
        <v>8731</v>
      </c>
      <c r="R2792" s="2" t="s">
        <v>16182</v>
      </c>
      <c r="S2792" s="2" t="s">
        <v>5334</v>
      </c>
      <c r="T2792" s="2" t="s">
        <v>40</v>
      </c>
      <c r="U2792" s="2" t="s">
        <v>21352</v>
      </c>
      <c r="V2792" s="2"/>
      <c r="W2792" s="2" t="s">
        <v>10985</v>
      </c>
      <c r="X2792" s="2" t="s">
        <v>43</v>
      </c>
      <c r="Y2792" s="2" t="s">
        <v>79</v>
      </c>
      <c r="Z2792" s="2" t="s">
        <v>44</v>
      </c>
      <c r="AA2792" s="2"/>
      <c r="AB2792" s="2"/>
      <c r="AC2792" s="2" t="s">
        <v>21353</v>
      </c>
      <c r="AD2792" s="2" t="s">
        <v>46</v>
      </c>
    </row>
    <row r="2793" customFormat="false" ht="15.7" hidden="false" customHeight="true" outlineLevel="0" collapsed="false">
      <c r="A2793" s="2"/>
      <c r="B2793" s="3" t="n">
        <f aca="false">DATE(2016,10,12)</f>
        <v>0</v>
      </c>
      <c r="C2793" s="3" t="n">
        <v>42655</v>
      </c>
      <c r="D2793" s="2" t="s">
        <v>21354</v>
      </c>
      <c r="F2793" s="2" t="s">
        <v>21355</v>
      </c>
      <c r="G2793" s="2" t="s">
        <v>21356</v>
      </c>
      <c r="H2793" s="2" t="s">
        <v>21357</v>
      </c>
      <c r="I2793" s="2" t="s">
        <v>1904</v>
      </c>
      <c r="J2793" s="2" t="s">
        <v>132</v>
      </c>
      <c r="K2793" s="2" t="s">
        <v>21358</v>
      </c>
      <c r="L2793" s="2" t="s">
        <v>1904</v>
      </c>
      <c r="M2793" s="2" t="s">
        <v>21359</v>
      </c>
      <c r="N2793" s="2" t="s">
        <v>21360</v>
      </c>
      <c r="O2793" s="2"/>
      <c r="P2793" s="2" t="s">
        <v>37</v>
      </c>
      <c r="Q2793" s="4" t="n">
        <v>8299</v>
      </c>
      <c r="R2793" s="2" t="s">
        <v>450</v>
      </c>
      <c r="S2793" s="2" t="s">
        <v>39</v>
      </c>
      <c r="T2793" s="2" t="s">
        <v>40</v>
      </c>
      <c r="U2793" s="2" t="s">
        <v>21361</v>
      </c>
      <c r="V2793" s="2"/>
      <c r="W2793" s="2" t="s">
        <v>21362</v>
      </c>
      <c r="X2793" s="2" t="s">
        <v>43</v>
      </c>
      <c r="Y2793" s="2" t="s">
        <v>37</v>
      </c>
      <c r="Z2793" s="2" t="s">
        <v>44</v>
      </c>
      <c r="AA2793" s="2"/>
      <c r="AB2793" s="2"/>
      <c r="AC2793" s="2" t="s">
        <v>21363</v>
      </c>
      <c r="AD2793" s="2" t="s">
        <v>46</v>
      </c>
    </row>
    <row r="2794" customFormat="false" ht="15.7" hidden="false" customHeight="true" outlineLevel="0" collapsed="false">
      <c r="A2794" s="2"/>
      <c r="B2794" s="3" t="n">
        <f aca="false">DATE(2016,10,13)</f>
        <v>0</v>
      </c>
      <c r="C2794" s="3" t="n">
        <v>42656</v>
      </c>
      <c r="D2794" s="2" t="s">
        <v>21364</v>
      </c>
      <c r="F2794" s="2" t="s">
        <v>21365</v>
      </c>
      <c r="G2794" s="2" t="s">
        <v>21366</v>
      </c>
      <c r="H2794" s="2" t="s">
        <v>4324</v>
      </c>
      <c r="I2794" s="2" t="s">
        <v>3265</v>
      </c>
      <c r="J2794" s="2" t="s">
        <v>1891</v>
      </c>
      <c r="K2794" s="2" t="s">
        <v>21367</v>
      </c>
      <c r="L2794" s="2" t="s">
        <v>3265</v>
      </c>
      <c r="M2794" s="2" t="s">
        <v>21368</v>
      </c>
      <c r="N2794" s="2" t="s">
        <v>21369</v>
      </c>
      <c r="O2794" s="2"/>
      <c r="P2794" s="2" t="s">
        <v>37</v>
      </c>
      <c r="Q2794" s="4" t="n">
        <v>8099</v>
      </c>
      <c r="R2794" s="2" t="s">
        <v>402</v>
      </c>
      <c r="S2794" s="2" t="s">
        <v>39</v>
      </c>
      <c r="T2794" s="2" t="s">
        <v>40</v>
      </c>
      <c r="U2794" s="2" t="s">
        <v>21370</v>
      </c>
      <c r="V2794" s="2"/>
      <c r="W2794" s="2" t="s">
        <v>4487</v>
      </c>
      <c r="X2794" s="2" t="s">
        <v>43</v>
      </c>
      <c r="Y2794" s="2" t="s">
        <v>37</v>
      </c>
      <c r="Z2794" s="2" t="s">
        <v>44</v>
      </c>
      <c r="AA2794" s="2"/>
      <c r="AB2794" s="2"/>
      <c r="AC2794" s="2" t="s">
        <v>21371</v>
      </c>
      <c r="AD2794" s="2" t="s">
        <v>46</v>
      </c>
    </row>
    <row r="2795" customFormat="false" ht="15.7" hidden="false" customHeight="true" outlineLevel="0" collapsed="false">
      <c r="A2795" s="2"/>
      <c r="B2795" s="3" t="n">
        <f aca="false">DATE(2016,10,13)</f>
        <v>0</v>
      </c>
      <c r="C2795" s="3" t="n">
        <v>42656</v>
      </c>
      <c r="D2795" s="2" t="s">
        <v>21372</v>
      </c>
      <c r="F2795" s="2" t="s">
        <v>21373</v>
      </c>
      <c r="G2795" s="2" t="s">
        <v>21374</v>
      </c>
      <c r="H2795" s="2" t="s">
        <v>21375</v>
      </c>
      <c r="I2795" s="2" t="s">
        <v>3265</v>
      </c>
      <c r="J2795" s="2" t="s">
        <v>3231</v>
      </c>
      <c r="K2795" s="2" t="s">
        <v>21376</v>
      </c>
      <c r="L2795" s="2" t="s">
        <v>3265</v>
      </c>
      <c r="M2795" s="2" t="s">
        <v>21377</v>
      </c>
      <c r="N2795" s="2" t="s">
        <v>21378</v>
      </c>
      <c r="O2795" s="2"/>
      <c r="P2795" s="2" t="s">
        <v>37</v>
      </c>
      <c r="Q2795" s="4" t="n">
        <v>8731</v>
      </c>
      <c r="R2795" s="2" t="s">
        <v>402</v>
      </c>
      <c r="S2795" s="2" t="s">
        <v>39</v>
      </c>
      <c r="T2795" s="2" t="s">
        <v>40</v>
      </c>
      <c r="U2795" s="2" t="s">
        <v>21379</v>
      </c>
      <c r="V2795" s="2"/>
      <c r="W2795" s="2" t="s">
        <v>15225</v>
      </c>
      <c r="X2795" s="2" t="s">
        <v>43</v>
      </c>
      <c r="Y2795" s="2" t="s">
        <v>37</v>
      </c>
      <c r="Z2795" s="2" t="s">
        <v>44</v>
      </c>
      <c r="AA2795" s="2"/>
      <c r="AB2795" s="2"/>
      <c r="AC2795" s="2" t="s">
        <v>21380</v>
      </c>
      <c r="AD2795" s="2" t="s">
        <v>46</v>
      </c>
    </row>
    <row r="2796" customFormat="false" ht="15.7" hidden="false" customHeight="true" outlineLevel="0" collapsed="false">
      <c r="A2796" s="2"/>
      <c r="B2796" s="3" t="n">
        <f aca="false">DATE(2016,10,14)</f>
        <v>0</v>
      </c>
      <c r="C2796" s="3" t="n">
        <v>42657</v>
      </c>
      <c r="D2796" s="2" t="s">
        <v>21381</v>
      </c>
      <c r="F2796" s="2" t="s">
        <v>21382</v>
      </c>
      <c r="G2796" s="2" t="s">
        <v>21383</v>
      </c>
      <c r="H2796" s="2" t="s">
        <v>63</v>
      </c>
      <c r="I2796" s="2" t="s">
        <v>540</v>
      </c>
      <c r="J2796" s="2" t="s">
        <v>35</v>
      </c>
      <c r="K2796" s="2" t="s">
        <v>21381</v>
      </c>
      <c r="L2796" s="2" t="s">
        <v>540</v>
      </c>
      <c r="M2796" s="2" t="s">
        <v>63</v>
      </c>
      <c r="N2796" s="2" t="s">
        <v>21384</v>
      </c>
      <c r="O2796" s="2"/>
      <c r="P2796" s="2" t="s">
        <v>37</v>
      </c>
      <c r="Q2796" s="4" t="n">
        <v>8099</v>
      </c>
      <c r="R2796" s="2" t="s">
        <v>1448</v>
      </c>
      <c r="S2796" s="2" t="s">
        <v>39</v>
      </c>
      <c r="T2796" s="2" t="s">
        <v>40</v>
      </c>
      <c r="U2796" s="2" t="s">
        <v>21385</v>
      </c>
      <c r="V2796" s="2"/>
      <c r="W2796" s="2" t="s">
        <v>4487</v>
      </c>
      <c r="X2796" s="2" t="s">
        <v>43</v>
      </c>
      <c r="Y2796" s="2" t="s">
        <v>37</v>
      </c>
      <c r="Z2796" s="2" t="s">
        <v>44</v>
      </c>
      <c r="AA2796" s="2"/>
      <c r="AB2796" s="2"/>
      <c r="AC2796" s="2" t="s">
        <v>21386</v>
      </c>
      <c r="AD2796" s="2" t="s">
        <v>46</v>
      </c>
    </row>
    <row r="2797" customFormat="false" ht="15.7" hidden="false" customHeight="true" outlineLevel="0" collapsed="false">
      <c r="A2797" s="2"/>
      <c r="B2797" s="3" t="n">
        <f aca="false">DATE(2016,10,18)</f>
        <v>0</v>
      </c>
      <c r="C2797" s="3" t="n">
        <v>42661</v>
      </c>
      <c r="D2797" s="2" t="s">
        <v>21387</v>
      </c>
      <c r="F2797" s="2" t="s">
        <v>21388</v>
      </c>
      <c r="G2797" s="2" t="s">
        <v>21389</v>
      </c>
      <c r="H2797" s="2" t="s">
        <v>14445</v>
      </c>
      <c r="I2797" s="2" t="s">
        <v>1080</v>
      </c>
      <c r="J2797" s="2" t="s">
        <v>35</v>
      </c>
      <c r="K2797" s="2" t="s">
        <v>21387</v>
      </c>
      <c r="L2797" s="2" t="s">
        <v>1080</v>
      </c>
      <c r="M2797" s="2" t="s">
        <v>14445</v>
      </c>
      <c r="N2797" s="2" t="s">
        <v>21390</v>
      </c>
      <c r="O2797" s="2"/>
      <c r="P2797" s="2" t="s">
        <v>37</v>
      </c>
      <c r="Q2797" s="4" t="n">
        <v>8731</v>
      </c>
      <c r="R2797" s="2" t="s">
        <v>2201</v>
      </c>
      <c r="S2797" s="2" t="s">
        <v>39</v>
      </c>
      <c r="T2797" s="2" t="s">
        <v>40</v>
      </c>
      <c r="U2797" s="2" t="s">
        <v>21391</v>
      </c>
      <c r="V2797" s="2"/>
      <c r="W2797" s="2" t="s">
        <v>344</v>
      </c>
      <c r="X2797" s="2" t="s">
        <v>43</v>
      </c>
      <c r="Y2797" s="2" t="s">
        <v>37</v>
      </c>
      <c r="Z2797" s="2" t="s">
        <v>44</v>
      </c>
      <c r="AA2797" s="2"/>
      <c r="AB2797" s="2"/>
      <c r="AC2797" s="2" t="s">
        <v>21392</v>
      </c>
      <c r="AD2797" s="2" t="s">
        <v>46</v>
      </c>
    </row>
    <row r="2798" customFormat="false" ht="15.7" hidden="false" customHeight="true" outlineLevel="0" collapsed="false">
      <c r="A2798" s="2"/>
      <c r="B2798" s="3" t="n">
        <f aca="false">DATE(2016,10,18)</f>
        <v>0</v>
      </c>
      <c r="C2798" s="3" t="n">
        <v>42661</v>
      </c>
      <c r="D2798" s="2" t="s">
        <v>21393</v>
      </c>
      <c r="F2798" s="2" t="s">
        <v>21394</v>
      </c>
      <c r="G2798" s="2" t="s">
        <v>21395</v>
      </c>
      <c r="H2798" s="2" t="s">
        <v>21396</v>
      </c>
      <c r="I2798" s="2" t="s">
        <v>4325</v>
      </c>
      <c r="J2798" s="2" t="s">
        <v>35</v>
      </c>
      <c r="K2798" s="2" t="s">
        <v>21393</v>
      </c>
      <c r="L2798" s="2" t="s">
        <v>4325</v>
      </c>
      <c r="M2798" s="2" t="s">
        <v>21396</v>
      </c>
      <c r="N2798" s="2" t="s">
        <v>21397</v>
      </c>
      <c r="O2798" s="2"/>
      <c r="P2798" s="2" t="s">
        <v>37</v>
      </c>
      <c r="Q2798" s="4" t="n">
        <v>8731</v>
      </c>
      <c r="R2798" s="2" t="s">
        <v>21398</v>
      </c>
      <c r="S2798" s="2" t="s">
        <v>39</v>
      </c>
      <c r="T2798" s="2" t="s">
        <v>403</v>
      </c>
      <c r="U2798" s="2" t="s">
        <v>21399</v>
      </c>
      <c r="V2798" s="2"/>
      <c r="W2798" s="2" t="s">
        <v>697</v>
      </c>
      <c r="X2798" s="2" t="s">
        <v>46</v>
      </c>
      <c r="Y2798" s="2" t="s">
        <v>37</v>
      </c>
      <c r="Z2798" s="2" t="s">
        <v>12970</v>
      </c>
      <c r="AA2798" s="2" t="s">
        <v>21400</v>
      </c>
      <c r="AB2798" s="2"/>
      <c r="AC2798" s="2" t="s">
        <v>21401</v>
      </c>
      <c r="AD2798" s="2" t="s">
        <v>46</v>
      </c>
    </row>
    <row r="2799" customFormat="false" ht="15.7" hidden="false" customHeight="true" outlineLevel="0" collapsed="false">
      <c r="A2799" s="2"/>
      <c r="B2799" s="3" t="n">
        <f aca="false">DATE(2016,10,20)</f>
        <v>0</v>
      </c>
      <c r="C2799" s="3" t="n">
        <v>42663</v>
      </c>
      <c r="D2799" s="2" t="s">
        <v>21402</v>
      </c>
      <c r="F2799" s="2" t="s">
        <v>21403</v>
      </c>
      <c r="G2799" s="2" t="s">
        <v>21404</v>
      </c>
      <c r="H2799" s="2" t="s">
        <v>10744</v>
      </c>
      <c r="I2799" s="2" t="s">
        <v>685</v>
      </c>
      <c r="J2799" s="2" t="s">
        <v>35</v>
      </c>
      <c r="K2799" s="2" t="s">
        <v>21402</v>
      </c>
      <c r="L2799" s="2" t="s">
        <v>685</v>
      </c>
      <c r="M2799" s="2" t="s">
        <v>10744</v>
      </c>
      <c r="N2799" s="2" t="s">
        <v>21405</v>
      </c>
      <c r="O2799" s="2"/>
      <c r="P2799" s="2" t="s">
        <v>37</v>
      </c>
      <c r="Q2799" s="4" t="n">
        <v>8731</v>
      </c>
      <c r="R2799" s="2" t="s">
        <v>688</v>
      </c>
      <c r="S2799" s="2" t="s">
        <v>39</v>
      </c>
      <c r="T2799" s="2" t="s">
        <v>40</v>
      </c>
      <c r="U2799" s="2" t="s">
        <v>21406</v>
      </c>
      <c r="V2799" s="2"/>
      <c r="W2799" s="2" t="s">
        <v>42</v>
      </c>
      <c r="X2799" s="2" t="s">
        <v>43</v>
      </c>
      <c r="Y2799" s="2" t="s">
        <v>37</v>
      </c>
      <c r="Z2799" s="2" t="s">
        <v>44</v>
      </c>
      <c r="AA2799" s="2"/>
      <c r="AB2799" s="2"/>
      <c r="AC2799" s="2" t="s">
        <v>21407</v>
      </c>
      <c r="AD2799" s="2" t="s">
        <v>46</v>
      </c>
    </row>
    <row r="2800" customFormat="false" ht="15.7" hidden="false" customHeight="true" outlineLevel="0" collapsed="false">
      <c r="A2800" s="2"/>
      <c r="B2800" s="3" t="n">
        <f aca="false">DATE(2016,10,21)</f>
        <v>0</v>
      </c>
      <c r="C2800" s="3" t="n">
        <v>42664</v>
      </c>
      <c r="D2800" s="2" t="s">
        <v>21408</v>
      </c>
      <c r="F2800" s="2" t="s">
        <v>21409</v>
      </c>
      <c r="G2800" s="2" t="s">
        <v>21410</v>
      </c>
      <c r="H2800" s="2" t="s">
        <v>21411</v>
      </c>
      <c r="I2800" s="2" t="s">
        <v>21412</v>
      </c>
      <c r="J2800" s="2" t="s">
        <v>35</v>
      </c>
      <c r="K2800" s="2" t="s">
        <v>21408</v>
      </c>
      <c r="L2800" s="2" t="s">
        <v>21412</v>
      </c>
      <c r="M2800" s="2" t="s">
        <v>21411</v>
      </c>
      <c r="N2800" s="2" t="s">
        <v>21413</v>
      </c>
      <c r="O2800" s="2" t="s">
        <v>21414</v>
      </c>
      <c r="P2800" s="2" t="s">
        <v>37</v>
      </c>
      <c r="Q2800" s="4" t="n">
        <v>721</v>
      </c>
      <c r="R2800" s="2" t="s">
        <v>450</v>
      </c>
      <c r="S2800" s="2" t="s">
        <v>39</v>
      </c>
      <c r="T2800" s="2" t="s">
        <v>40</v>
      </c>
      <c r="U2800" s="2" t="s">
        <v>21415</v>
      </c>
      <c r="V2800" s="2"/>
      <c r="W2800" s="2" t="s">
        <v>8529</v>
      </c>
      <c r="X2800" s="2" t="s">
        <v>46</v>
      </c>
      <c r="Y2800" s="2" t="s">
        <v>37</v>
      </c>
      <c r="Z2800" s="2" t="s">
        <v>362</v>
      </c>
      <c r="AA2800" s="2" t="s">
        <v>21416</v>
      </c>
      <c r="AB2800" s="2" t="s">
        <v>21417</v>
      </c>
      <c r="AC2800" s="2" t="s">
        <v>21418</v>
      </c>
      <c r="AD2800" s="2" t="s">
        <v>46</v>
      </c>
    </row>
    <row r="2801" customFormat="false" ht="15.7" hidden="false" customHeight="true" outlineLevel="0" collapsed="false">
      <c r="A2801" s="2"/>
      <c r="B2801" s="3" t="n">
        <f aca="false">DATE(2016,10,25)</f>
        <v>0</v>
      </c>
      <c r="C2801" s="3" t="n">
        <v>42668</v>
      </c>
      <c r="D2801" s="2" t="s">
        <v>21419</v>
      </c>
      <c r="F2801" s="2" t="s">
        <v>21420</v>
      </c>
      <c r="G2801" s="2" t="s">
        <v>21421</v>
      </c>
      <c r="H2801" s="2" t="s">
        <v>21422</v>
      </c>
      <c r="I2801" s="2" t="s">
        <v>2530</v>
      </c>
      <c r="J2801" s="2" t="s">
        <v>21423</v>
      </c>
      <c r="K2801" s="2" t="s">
        <v>21424</v>
      </c>
      <c r="L2801" s="2" t="s">
        <v>2530</v>
      </c>
      <c r="M2801" s="2" t="s">
        <v>21425</v>
      </c>
      <c r="N2801" s="2" t="s">
        <v>21426</v>
      </c>
      <c r="O2801" s="2"/>
      <c r="P2801" s="2" t="s">
        <v>37</v>
      </c>
      <c r="Q2801" s="4" t="n">
        <v>4911</v>
      </c>
      <c r="R2801" s="2" t="s">
        <v>56</v>
      </c>
      <c r="S2801" s="2"/>
      <c r="T2801" s="2" t="s">
        <v>40</v>
      </c>
      <c r="U2801" s="2" t="s">
        <v>21427</v>
      </c>
      <c r="V2801" s="2"/>
      <c r="W2801" s="2" t="s">
        <v>21428</v>
      </c>
      <c r="X2801" s="2" t="s">
        <v>43</v>
      </c>
      <c r="Y2801" s="2" t="s">
        <v>37</v>
      </c>
      <c r="Z2801" s="2" t="s">
        <v>916</v>
      </c>
      <c r="AA2801" s="2"/>
      <c r="AB2801" s="2"/>
      <c r="AC2801" s="2" t="s">
        <v>21429</v>
      </c>
      <c r="AD2801" s="2" t="s">
        <v>46</v>
      </c>
    </row>
    <row r="2802" customFormat="false" ht="15.7" hidden="false" customHeight="true" outlineLevel="0" collapsed="false">
      <c r="A2802" s="2"/>
      <c r="B2802" s="3" t="n">
        <f aca="false">DATE(2016,10,26)</f>
        <v>0</v>
      </c>
      <c r="C2802" s="3" t="n">
        <v>42669</v>
      </c>
      <c r="D2802" s="2" t="s">
        <v>21430</v>
      </c>
      <c r="F2802" s="2" t="s">
        <v>21431</v>
      </c>
      <c r="G2802" s="2" t="s">
        <v>21432</v>
      </c>
      <c r="H2802" s="2" t="s">
        <v>523</v>
      </c>
      <c r="I2802" s="2" t="s">
        <v>21433</v>
      </c>
      <c r="J2802" s="2" t="s">
        <v>35</v>
      </c>
      <c r="K2802" s="2" t="s">
        <v>21430</v>
      </c>
      <c r="L2802" s="2" t="s">
        <v>21433</v>
      </c>
      <c r="M2802" s="2" t="s">
        <v>523</v>
      </c>
      <c r="N2802" s="2" t="s">
        <v>21434</v>
      </c>
      <c r="O2802" s="2"/>
      <c r="P2802" s="2" t="s">
        <v>37</v>
      </c>
      <c r="Q2802" s="4" t="n">
        <v>8731</v>
      </c>
      <c r="R2802" s="2" t="s">
        <v>1441</v>
      </c>
      <c r="S2802" s="2" t="s">
        <v>39</v>
      </c>
      <c r="T2802" s="2" t="s">
        <v>40</v>
      </c>
      <c r="U2802" s="2" t="s">
        <v>21435</v>
      </c>
      <c r="V2802" s="2"/>
      <c r="W2802" s="2" t="s">
        <v>344</v>
      </c>
      <c r="X2802" s="2" t="s">
        <v>43</v>
      </c>
      <c r="Y2802" s="2" t="s">
        <v>37</v>
      </c>
      <c r="Z2802" s="2" t="s">
        <v>44</v>
      </c>
      <c r="AA2802" s="2"/>
      <c r="AB2802" s="2"/>
      <c r="AC2802" s="2" t="s">
        <v>21436</v>
      </c>
      <c r="AD2802" s="2" t="s">
        <v>46</v>
      </c>
    </row>
    <row r="2803" customFormat="false" ht="15.7" hidden="false" customHeight="true" outlineLevel="0" collapsed="false">
      <c r="A2803" s="2"/>
      <c r="B2803" s="3" t="n">
        <f aca="false">DATE(2016,10,26)</f>
        <v>0</v>
      </c>
      <c r="C2803" s="3" t="n">
        <v>42669</v>
      </c>
      <c r="D2803" s="2" t="s">
        <v>21437</v>
      </c>
      <c r="F2803" s="2" t="s">
        <v>21438</v>
      </c>
      <c r="G2803" s="2" t="s">
        <v>21439</v>
      </c>
      <c r="H2803" s="2" t="s">
        <v>16202</v>
      </c>
      <c r="I2803" s="2" t="s">
        <v>1645</v>
      </c>
      <c r="J2803" s="2" t="s">
        <v>35</v>
      </c>
      <c r="K2803" s="2" t="s">
        <v>21440</v>
      </c>
      <c r="L2803" s="2" t="s">
        <v>3552</v>
      </c>
      <c r="M2803" s="2" t="s">
        <v>21441</v>
      </c>
      <c r="N2803" s="2" t="s">
        <v>21442</v>
      </c>
      <c r="O2803" s="2"/>
      <c r="P2803" s="2" t="s">
        <v>37</v>
      </c>
      <c r="Q2803" s="4" t="n">
        <v>7372</v>
      </c>
      <c r="R2803" s="2" t="s">
        <v>1402</v>
      </c>
      <c r="S2803" s="2" t="s">
        <v>39</v>
      </c>
      <c r="T2803" s="2" t="s">
        <v>40</v>
      </c>
      <c r="U2803" s="2" t="s">
        <v>21443</v>
      </c>
      <c r="V2803" s="2"/>
      <c r="W2803" s="2" t="s">
        <v>6066</v>
      </c>
      <c r="X2803" s="2" t="s">
        <v>43</v>
      </c>
      <c r="Y2803" s="2" t="s">
        <v>37</v>
      </c>
      <c r="Z2803" s="2" t="s">
        <v>44</v>
      </c>
      <c r="AA2803" s="2"/>
      <c r="AB2803" s="2"/>
      <c r="AC2803" s="2" t="s">
        <v>21444</v>
      </c>
      <c r="AD2803" s="2" t="s">
        <v>46</v>
      </c>
    </row>
    <row r="2804" customFormat="false" ht="15.7" hidden="false" customHeight="true" outlineLevel="0" collapsed="false">
      <c r="A2804" s="2"/>
      <c r="B2804" s="3" t="n">
        <f aca="false">DATE(2016,10,26)</f>
        <v>0</v>
      </c>
      <c r="C2804" s="3" t="n">
        <v>42669</v>
      </c>
      <c r="D2804" s="2" t="s">
        <v>21445</v>
      </c>
      <c r="F2804" s="2" t="s">
        <v>21446</v>
      </c>
      <c r="G2804" s="2" t="s">
        <v>21447</v>
      </c>
      <c r="H2804" s="2" t="s">
        <v>21448</v>
      </c>
      <c r="I2804" s="2" t="s">
        <v>3223</v>
      </c>
      <c r="J2804" s="2" t="s">
        <v>116</v>
      </c>
      <c r="K2804" s="2" t="s">
        <v>21449</v>
      </c>
      <c r="L2804" s="2" t="s">
        <v>3223</v>
      </c>
      <c r="M2804" s="2" t="s">
        <v>21450</v>
      </c>
      <c r="N2804" s="2" t="s">
        <v>21451</v>
      </c>
      <c r="O2804" s="2" t="s">
        <v>21452</v>
      </c>
      <c r="P2804" s="2" t="s">
        <v>37</v>
      </c>
      <c r="Q2804" s="4" t="n">
        <v>8731</v>
      </c>
      <c r="R2804" s="2" t="s">
        <v>402</v>
      </c>
      <c r="S2804" s="2" t="s">
        <v>39</v>
      </c>
      <c r="T2804" s="2" t="s">
        <v>40</v>
      </c>
      <c r="U2804" s="2" t="s">
        <v>21453</v>
      </c>
      <c r="V2804" s="2"/>
      <c r="W2804" s="2" t="s">
        <v>21454</v>
      </c>
      <c r="X2804" s="2" t="s">
        <v>46</v>
      </c>
      <c r="Y2804" s="2" t="s">
        <v>37</v>
      </c>
      <c r="Z2804" s="2" t="s">
        <v>21455</v>
      </c>
      <c r="AA2804" s="2" t="s">
        <v>21456</v>
      </c>
      <c r="AB2804" s="2" t="s">
        <v>21457</v>
      </c>
      <c r="AC2804" s="2" t="s">
        <v>21458</v>
      </c>
      <c r="AD2804" s="2" t="s">
        <v>46</v>
      </c>
    </row>
    <row r="2805" customFormat="false" ht="15.7" hidden="false" customHeight="true" outlineLevel="0" collapsed="false">
      <c r="A2805" s="2"/>
      <c r="B2805" s="3" t="n">
        <f aca="false">DATE(2016,10,26)</f>
        <v>0</v>
      </c>
      <c r="C2805" s="3" t="n">
        <v>42669</v>
      </c>
      <c r="D2805" s="2" t="s">
        <v>21459</v>
      </c>
      <c r="F2805" s="2" t="s">
        <v>21460</v>
      </c>
      <c r="G2805" s="2" t="s">
        <v>21461</v>
      </c>
      <c r="H2805" s="2" t="s">
        <v>21462</v>
      </c>
      <c r="I2805" s="2" t="s">
        <v>2294</v>
      </c>
      <c r="J2805" s="2" t="s">
        <v>35</v>
      </c>
      <c r="K2805" s="2" t="s">
        <v>21463</v>
      </c>
      <c r="L2805" s="2" t="s">
        <v>530</v>
      </c>
      <c r="M2805" s="2" t="s">
        <v>21464</v>
      </c>
      <c r="N2805" s="2" t="s">
        <v>21465</v>
      </c>
      <c r="O2805" s="2"/>
      <c r="P2805" s="2" t="s">
        <v>37</v>
      </c>
      <c r="Q2805" s="4" t="n">
        <v>8731</v>
      </c>
      <c r="R2805" s="2" t="s">
        <v>450</v>
      </c>
      <c r="S2805" s="2" t="s">
        <v>39</v>
      </c>
      <c r="T2805" s="2" t="s">
        <v>403</v>
      </c>
      <c r="U2805" s="2" t="s">
        <v>21466</v>
      </c>
      <c r="V2805" s="2"/>
      <c r="W2805" s="2" t="s">
        <v>13622</v>
      </c>
      <c r="X2805" s="2" t="s">
        <v>46</v>
      </c>
      <c r="Y2805" s="2" t="s">
        <v>37</v>
      </c>
      <c r="Z2805" s="2" t="s">
        <v>987</v>
      </c>
      <c r="AA2805" s="2"/>
      <c r="AB2805" s="2"/>
      <c r="AC2805" s="2" t="s">
        <v>21467</v>
      </c>
      <c r="AD2805" s="2" t="s">
        <v>46</v>
      </c>
    </row>
    <row r="2806" customFormat="false" ht="15.7" hidden="false" customHeight="true" outlineLevel="0" collapsed="false">
      <c r="A2806" s="2"/>
      <c r="B2806" s="3" t="n">
        <f aca="false">DATE(2016,10,27)</f>
        <v>0</v>
      </c>
      <c r="C2806" s="3" t="n">
        <v>42670</v>
      </c>
      <c r="D2806" s="2" t="s">
        <v>21468</v>
      </c>
      <c r="F2806" s="2" t="s">
        <v>21469</v>
      </c>
      <c r="G2806" s="2" t="s">
        <v>21470</v>
      </c>
      <c r="H2806" s="2" t="s">
        <v>21471</v>
      </c>
      <c r="I2806" s="2" t="s">
        <v>296</v>
      </c>
      <c r="J2806" s="2" t="s">
        <v>65</v>
      </c>
      <c r="K2806" s="2" t="s">
        <v>21468</v>
      </c>
      <c r="L2806" s="2" t="s">
        <v>296</v>
      </c>
      <c r="M2806" s="2" t="s">
        <v>21471</v>
      </c>
      <c r="N2806" s="2" t="s">
        <v>21472</v>
      </c>
      <c r="O2806" s="2"/>
      <c r="P2806" s="2" t="s">
        <v>37</v>
      </c>
      <c r="Q2806" s="4" t="n">
        <v>5099</v>
      </c>
      <c r="R2806" s="2" t="s">
        <v>56</v>
      </c>
      <c r="S2806" s="2"/>
      <c r="T2806" s="2" t="s">
        <v>403</v>
      </c>
      <c r="U2806" s="2" t="s">
        <v>21473</v>
      </c>
      <c r="V2806" s="2"/>
      <c r="W2806" s="2" t="s">
        <v>13100</v>
      </c>
      <c r="X2806" s="2" t="s">
        <v>43</v>
      </c>
      <c r="Y2806" s="2" t="s">
        <v>37</v>
      </c>
      <c r="Z2806" s="2" t="s">
        <v>44</v>
      </c>
      <c r="AA2806" s="2"/>
      <c r="AB2806" s="2"/>
      <c r="AC2806" s="2" t="s">
        <v>21474</v>
      </c>
      <c r="AD2806" s="2" t="s">
        <v>46</v>
      </c>
    </row>
    <row r="2807" customFormat="false" ht="15.7" hidden="false" customHeight="true" outlineLevel="0" collapsed="false">
      <c r="A2807" s="2"/>
      <c r="B2807" s="3" t="n">
        <f aca="false">DATE(2016,10,28)</f>
        <v>0</v>
      </c>
      <c r="C2807" s="3" t="n">
        <v>42671</v>
      </c>
      <c r="D2807" s="2" t="s">
        <v>21475</v>
      </c>
      <c r="F2807" s="2" t="s">
        <v>7622</v>
      </c>
      <c r="G2807" s="2" t="s">
        <v>21476</v>
      </c>
      <c r="H2807" s="2" t="s">
        <v>130</v>
      </c>
      <c r="I2807" s="2" t="s">
        <v>4325</v>
      </c>
      <c r="J2807" s="2" t="s">
        <v>35</v>
      </c>
      <c r="K2807" s="2" t="s">
        <v>21475</v>
      </c>
      <c r="L2807" s="2" t="s">
        <v>4325</v>
      </c>
      <c r="M2807" s="2" t="s">
        <v>130</v>
      </c>
      <c r="N2807" s="2" t="s">
        <v>21477</v>
      </c>
      <c r="O2807" s="2"/>
      <c r="P2807" s="2" t="s">
        <v>37</v>
      </c>
      <c r="Q2807" s="4" t="n">
        <v>8731</v>
      </c>
      <c r="R2807" s="2" t="s">
        <v>402</v>
      </c>
      <c r="S2807" s="2" t="s">
        <v>39</v>
      </c>
      <c r="T2807" s="2" t="s">
        <v>40</v>
      </c>
      <c r="U2807" s="2" t="s">
        <v>21478</v>
      </c>
      <c r="V2807" s="2"/>
      <c r="W2807" s="2" t="s">
        <v>7275</v>
      </c>
      <c r="X2807" s="2" t="s">
        <v>46</v>
      </c>
      <c r="Y2807" s="2" t="s">
        <v>37</v>
      </c>
      <c r="Z2807" s="2" t="s">
        <v>987</v>
      </c>
      <c r="AA2807" s="2" t="s">
        <v>21479</v>
      </c>
      <c r="AB2807" s="2"/>
      <c r="AC2807" s="2" t="s">
        <v>21480</v>
      </c>
      <c r="AD2807" s="2" t="s">
        <v>46</v>
      </c>
    </row>
    <row r="2808" customFormat="false" ht="15.7" hidden="false" customHeight="true" outlineLevel="0" collapsed="false">
      <c r="A2808" s="2"/>
      <c r="B2808" s="3" t="n">
        <f aca="false">DATE(2016,10,28)</f>
        <v>0</v>
      </c>
      <c r="C2808" s="3" t="n">
        <v>42671</v>
      </c>
      <c r="D2808" s="2" t="s">
        <v>21481</v>
      </c>
      <c r="F2808" s="2" t="s">
        <v>21482</v>
      </c>
      <c r="G2808" s="2" t="s">
        <v>21483</v>
      </c>
      <c r="H2808" s="2" t="s">
        <v>20387</v>
      </c>
      <c r="I2808" s="2" t="s">
        <v>21484</v>
      </c>
      <c r="J2808" s="2" t="s">
        <v>35</v>
      </c>
      <c r="K2808" s="2" t="s">
        <v>21485</v>
      </c>
      <c r="L2808" s="2" t="s">
        <v>21484</v>
      </c>
      <c r="M2808" s="2" t="s">
        <v>21486</v>
      </c>
      <c r="N2808" s="2" t="s">
        <v>21487</v>
      </c>
      <c r="O2808" s="2"/>
      <c r="P2808" s="2" t="s">
        <v>37</v>
      </c>
      <c r="Q2808" s="4" t="n">
        <v>8731</v>
      </c>
      <c r="R2808" s="2" t="s">
        <v>38</v>
      </c>
      <c r="S2808" s="2" t="s">
        <v>39</v>
      </c>
      <c r="T2808" s="2" t="s">
        <v>403</v>
      </c>
      <c r="U2808" s="2" t="s">
        <v>21488</v>
      </c>
      <c r="V2808" s="2"/>
      <c r="W2808" s="2" t="s">
        <v>697</v>
      </c>
      <c r="X2808" s="2" t="s">
        <v>43</v>
      </c>
      <c r="Y2808" s="2" t="s">
        <v>37</v>
      </c>
      <c r="Z2808" s="2" t="s">
        <v>44</v>
      </c>
      <c r="AA2808" s="2"/>
      <c r="AB2808" s="2"/>
      <c r="AC2808" s="2" t="s">
        <v>21489</v>
      </c>
      <c r="AD2808" s="2" t="s">
        <v>46</v>
      </c>
    </row>
    <row r="2809" customFormat="false" ht="15.7" hidden="false" customHeight="true" outlineLevel="0" collapsed="false">
      <c r="A2809" s="2"/>
      <c r="B2809" s="3" t="n">
        <f aca="false">DATE(2016,10,31)</f>
        <v>0</v>
      </c>
      <c r="C2809" s="3" t="n">
        <v>42674</v>
      </c>
      <c r="D2809" s="2" t="s">
        <v>21490</v>
      </c>
      <c r="F2809" s="2" t="s">
        <v>21491</v>
      </c>
      <c r="G2809" s="2" t="s">
        <v>21492</v>
      </c>
      <c r="H2809" s="2" t="s">
        <v>21493</v>
      </c>
      <c r="I2809" s="2" t="s">
        <v>1544</v>
      </c>
      <c r="J2809" s="2" t="s">
        <v>132</v>
      </c>
      <c r="K2809" s="2" t="s">
        <v>21490</v>
      </c>
      <c r="L2809" s="2" t="s">
        <v>1544</v>
      </c>
      <c r="M2809" s="2" t="s">
        <v>21493</v>
      </c>
      <c r="N2809" s="2" t="s">
        <v>21494</v>
      </c>
      <c r="O2809" s="2"/>
      <c r="P2809" s="2" t="s">
        <v>37</v>
      </c>
      <c r="Q2809" s="4" t="n">
        <v>8731</v>
      </c>
      <c r="R2809" s="2" t="s">
        <v>70</v>
      </c>
      <c r="S2809" s="2" t="s">
        <v>39</v>
      </c>
      <c r="T2809" s="2" t="s">
        <v>40</v>
      </c>
      <c r="U2809" s="2" t="s">
        <v>21495</v>
      </c>
      <c r="V2809" s="2"/>
      <c r="W2809" s="2" t="s">
        <v>7275</v>
      </c>
      <c r="X2809" s="2" t="s">
        <v>43</v>
      </c>
      <c r="Y2809" s="2" t="s">
        <v>37</v>
      </c>
      <c r="Z2809" s="2" t="s">
        <v>44</v>
      </c>
      <c r="AA2809" s="2"/>
      <c r="AB2809" s="2"/>
      <c r="AC2809" s="2" t="s">
        <v>21496</v>
      </c>
      <c r="AD2809" s="2" t="s">
        <v>46</v>
      </c>
    </row>
    <row r="2810" customFormat="false" ht="15.7" hidden="false" customHeight="true" outlineLevel="0" collapsed="false">
      <c r="A2810" s="2"/>
      <c r="B2810" s="3" t="n">
        <f aca="false">DATE(2016,10,31)</f>
        <v>0</v>
      </c>
      <c r="C2810" s="3" t="n">
        <v>42674</v>
      </c>
      <c r="D2810" s="2" t="s">
        <v>21497</v>
      </c>
      <c r="F2810" s="2" t="s">
        <v>21498</v>
      </c>
      <c r="G2810" s="2" t="s">
        <v>21499</v>
      </c>
      <c r="H2810" s="2" t="s">
        <v>9667</v>
      </c>
      <c r="I2810" s="2" t="s">
        <v>5990</v>
      </c>
      <c r="J2810" s="2" t="s">
        <v>35</v>
      </c>
      <c r="K2810" s="2" t="s">
        <v>21500</v>
      </c>
      <c r="L2810" s="2" t="s">
        <v>5990</v>
      </c>
      <c r="M2810" s="2" t="s">
        <v>21501</v>
      </c>
      <c r="N2810" s="2" t="s">
        <v>21502</v>
      </c>
      <c r="O2810" s="2"/>
      <c r="P2810" s="2" t="s">
        <v>37</v>
      </c>
      <c r="Q2810" s="4" t="n">
        <v>8731</v>
      </c>
      <c r="R2810" s="2" t="s">
        <v>3154</v>
      </c>
      <c r="S2810" s="2" t="s">
        <v>39</v>
      </c>
      <c r="T2810" s="2" t="s">
        <v>40</v>
      </c>
      <c r="U2810" s="2" t="s">
        <v>21503</v>
      </c>
      <c r="V2810" s="2"/>
      <c r="W2810" s="2" t="s">
        <v>42</v>
      </c>
      <c r="X2810" s="2" t="s">
        <v>46</v>
      </c>
      <c r="Y2810" s="2" t="s">
        <v>37</v>
      </c>
      <c r="Z2810" s="2" t="s">
        <v>362</v>
      </c>
      <c r="AA2810" s="2"/>
      <c r="AB2810" s="2"/>
      <c r="AC2810" s="2" t="s">
        <v>21504</v>
      </c>
      <c r="AD2810" s="2" t="s">
        <v>46</v>
      </c>
    </row>
    <row r="2811" customFormat="false" ht="15.7" hidden="false" customHeight="true" outlineLevel="0" collapsed="false">
      <c r="A2811" s="2"/>
      <c r="B2811" s="3" t="n">
        <f aca="false">DATE(2016,11,1)</f>
        <v>0</v>
      </c>
      <c r="C2811" s="3" t="n">
        <v>42675</v>
      </c>
      <c r="D2811" s="2" t="s">
        <v>21505</v>
      </c>
      <c r="F2811" s="2" t="s">
        <v>21506</v>
      </c>
      <c r="G2811" s="2" t="s">
        <v>21507</v>
      </c>
      <c r="H2811" s="2" t="s">
        <v>20602</v>
      </c>
      <c r="I2811" s="2" t="s">
        <v>51</v>
      </c>
      <c r="J2811" s="2" t="s">
        <v>21508</v>
      </c>
      <c r="K2811" s="2" t="s">
        <v>21505</v>
      </c>
      <c r="L2811" s="2" t="s">
        <v>51</v>
      </c>
      <c r="M2811" s="2" t="s">
        <v>20602</v>
      </c>
      <c r="N2811" s="2" t="s">
        <v>21509</v>
      </c>
      <c r="O2811" s="2"/>
      <c r="P2811" s="2" t="s">
        <v>37</v>
      </c>
      <c r="Q2811" s="4" t="n">
        <v>8099</v>
      </c>
      <c r="R2811" s="2" t="s">
        <v>56</v>
      </c>
      <c r="S2811" s="2"/>
      <c r="T2811" s="2" t="s">
        <v>40</v>
      </c>
      <c r="U2811" s="2" t="s">
        <v>21510</v>
      </c>
      <c r="V2811" s="2"/>
      <c r="W2811" s="2" t="s">
        <v>4487</v>
      </c>
      <c r="X2811" s="2" t="s">
        <v>43</v>
      </c>
      <c r="Y2811" s="2" t="s">
        <v>37</v>
      </c>
      <c r="Z2811" s="2" t="s">
        <v>44</v>
      </c>
      <c r="AA2811" s="2"/>
      <c r="AB2811" s="2"/>
      <c r="AC2811" s="2" t="s">
        <v>21511</v>
      </c>
      <c r="AD2811" s="2" t="s">
        <v>46</v>
      </c>
    </row>
    <row r="2812" customFormat="false" ht="15.7" hidden="false" customHeight="true" outlineLevel="0" collapsed="false">
      <c r="A2812" s="2"/>
      <c r="B2812" s="3" t="n">
        <f aca="false">DATE(2016,11,1)</f>
        <v>0</v>
      </c>
      <c r="C2812" s="3" t="n">
        <v>42675</v>
      </c>
      <c r="D2812" s="2" t="s">
        <v>21512</v>
      </c>
      <c r="F2812" s="2" t="s">
        <v>21513</v>
      </c>
      <c r="G2812" s="2" t="s">
        <v>21514</v>
      </c>
      <c r="H2812" s="2" t="s">
        <v>153</v>
      </c>
      <c r="I2812" s="2" t="s">
        <v>51</v>
      </c>
      <c r="J2812" s="2" t="s">
        <v>2190</v>
      </c>
      <c r="K2812" s="2" t="s">
        <v>21512</v>
      </c>
      <c r="L2812" s="2" t="s">
        <v>51</v>
      </c>
      <c r="M2812" s="2" t="s">
        <v>153</v>
      </c>
      <c r="N2812" s="2" t="s">
        <v>21515</v>
      </c>
      <c r="O2812" s="2"/>
      <c r="P2812" s="2" t="s">
        <v>37</v>
      </c>
      <c r="Q2812" s="4" t="n">
        <v>8731</v>
      </c>
      <c r="R2812" s="2" t="s">
        <v>56</v>
      </c>
      <c r="S2812" s="2"/>
      <c r="T2812" s="2" t="s">
        <v>40</v>
      </c>
      <c r="U2812" s="2" t="s">
        <v>21516</v>
      </c>
      <c r="V2812" s="2"/>
      <c r="W2812" s="2" t="s">
        <v>42</v>
      </c>
      <c r="X2812" s="2" t="s">
        <v>43</v>
      </c>
      <c r="Y2812" s="2" t="s">
        <v>37</v>
      </c>
      <c r="Z2812" s="2" t="s">
        <v>44</v>
      </c>
      <c r="AA2812" s="2"/>
      <c r="AB2812" s="2"/>
      <c r="AC2812" s="2" t="s">
        <v>21517</v>
      </c>
      <c r="AD2812" s="2" t="s">
        <v>46</v>
      </c>
    </row>
    <row r="2813" customFormat="false" ht="15.7" hidden="false" customHeight="true" outlineLevel="0" collapsed="false">
      <c r="A2813" s="2"/>
      <c r="B2813" s="3" t="n">
        <f aca="false">DATE(2016,11,2)</f>
        <v>0</v>
      </c>
      <c r="C2813" s="3" t="n">
        <v>42676</v>
      </c>
      <c r="D2813" s="2" t="s">
        <v>21518</v>
      </c>
      <c r="F2813" s="2" t="s">
        <v>21519</v>
      </c>
      <c r="G2813" s="2" t="s">
        <v>21520</v>
      </c>
      <c r="H2813" s="2" t="s">
        <v>130</v>
      </c>
      <c r="I2813" s="2" t="s">
        <v>16728</v>
      </c>
      <c r="J2813" s="2" t="s">
        <v>35</v>
      </c>
      <c r="K2813" s="2" t="s">
        <v>21521</v>
      </c>
      <c r="L2813" s="2" t="s">
        <v>16728</v>
      </c>
      <c r="M2813" s="2" t="s">
        <v>551</v>
      </c>
      <c r="N2813" s="2" t="s">
        <v>21522</v>
      </c>
      <c r="O2813" s="2"/>
      <c r="P2813" s="2" t="s">
        <v>37</v>
      </c>
      <c r="Q2813" s="4" t="n">
        <v>8731</v>
      </c>
      <c r="R2813" s="2" t="s">
        <v>105</v>
      </c>
      <c r="S2813" s="2" t="s">
        <v>39</v>
      </c>
      <c r="T2813" s="2" t="s">
        <v>2444</v>
      </c>
      <c r="U2813" s="2" t="s">
        <v>21523</v>
      </c>
      <c r="V2813" s="2"/>
      <c r="W2813" s="2" t="s">
        <v>344</v>
      </c>
      <c r="X2813" s="2" t="s">
        <v>43</v>
      </c>
      <c r="Y2813" s="2" t="s">
        <v>37</v>
      </c>
      <c r="Z2813" s="2" t="s">
        <v>44</v>
      </c>
      <c r="AA2813" s="2"/>
      <c r="AB2813" s="2"/>
      <c r="AC2813" s="2" t="s">
        <v>21524</v>
      </c>
      <c r="AD2813" s="2" t="s">
        <v>46</v>
      </c>
    </row>
    <row r="2814" customFormat="false" ht="15.7" hidden="false" customHeight="true" outlineLevel="0" collapsed="false">
      <c r="A2814" s="2"/>
      <c r="B2814" s="3" t="n">
        <f aca="false">DATE(2016,11,2)</f>
        <v>0</v>
      </c>
      <c r="C2814" s="3" t="n">
        <v>42676</v>
      </c>
      <c r="D2814" s="2" t="s">
        <v>21525</v>
      </c>
      <c r="F2814" s="2" t="s">
        <v>21526</v>
      </c>
      <c r="G2814" s="2" t="s">
        <v>21527</v>
      </c>
      <c r="H2814" s="2" t="s">
        <v>21528</v>
      </c>
      <c r="I2814" s="2" t="s">
        <v>13417</v>
      </c>
      <c r="J2814" s="2" t="s">
        <v>35</v>
      </c>
      <c r="K2814" s="2" t="s">
        <v>21525</v>
      </c>
      <c r="L2814" s="2" t="s">
        <v>13417</v>
      </c>
      <c r="M2814" s="2" t="s">
        <v>21528</v>
      </c>
      <c r="N2814" s="2" t="s">
        <v>21529</v>
      </c>
      <c r="O2814" s="2"/>
      <c r="P2814" s="2" t="s">
        <v>37</v>
      </c>
      <c r="Q2814" s="4" t="n">
        <v>8731</v>
      </c>
      <c r="R2814" s="2" t="s">
        <v>136</v>
      </c>
      <c r="S2814" s="2" t="s">
        <v>39</v>
      </c>
      <c r="T2814" s="2" t="s">
        <v>40</v>
      </c>
      <c r="U2814" s="2" t="s">
        <v>21530</v>
      </c>
      <c r="V2814" s="2"/>
      <c r="W2814" s="2" t="s">
        <v>42</v>
      </c>
      <c r="X2814" s="2" t="s">
        <v>43</v>
      </c>
      <c r="Y2814" s="2" t="s">
        <v>37</v>
      </c>
      <c r="Z2814" s="2" t="s">
        <v>44</v>
      </c>
      <c r="AA2814" s="2"/>
      <c r="AB2814" s="2"/>
      <c r="AC2814" s="2" t="s">
        <v>21531</v>
      </c>
      <c r="AD2814" s="2" t="s">
        <v>46</v>
      </c>
    </row>
    <row r="2815" customFormat="false" ht="15.7" hidden="false" customHeight="true" outlineLevel="0" collapsed="false">
      <c r="A2815" s="2"/>
      <c r="B2815" s="3" t="n">
        <f aca="false">DATE(2016,11,2)</f>
        <v>0</v>
      </c>
      <c r="C2815" s="3" t="n">
        <v>42676</v>
      </c>
      <c r="D2815" s="2" t="s">
        <v>21532</v>
      </c>
      <c r="F2815" s="2" t="s">
        <v>21533</v>
      </c>
      <c r="G2815" s="2" t="s">
        <v>21534</v>
      </c>
      <c r="H2815" s="2" t="s">
        <v>130</v>
      </c>
      <c r="I2815" s="2" t="s">
        <v>51</v>
      </c>
      <c r="J2815" s="2" t="s">
        <v>2190</v>
      </c>
      <c r="K2815" s="2" t="s">
        <v>21532</v>
      </c>
      <c r="L2815" s="2" t="s">
        <v>51</v>
      </c>
      <c r="M2815" s="2" t="s">
        <v>130</v>
      </c>
      <c r="N2815" s="2" t="s">
        <v>21535</v>
      </c>
      <c r="O2815" s="2"/>
      <c r="P2815" s="2" t="s">
        <v>37</v>
      </c>
      <c r="Q2815" s="4" t="n">
        <v>8099</v>
      </c>
      <c r="R2815" s="2" t="s">
        <v>56</v>
      </c>
      <c r="S2815" s="2"/>
      <c r="T2815" s="2" t="s">
        <v>40</v>
      </c>
      <c r="U2815" s="2" t="s">
        <v>21536</v>
      </c>
      <c r="V2815" s="2"/>
      <c r="W2815" s="2" t="s">
        <v>4487</v>
      </c>
      <c r="X2815" s="2" t="s">
        <v>43</v>
      </c>
      <c r="Y2815" s="2" t="s">
        <v>37</v>
      </c>
      <c r="Z2815" s="2" t="s">
        <v>44</v>
      </c>
      <c r="AA2815" s="2"/>
      <c r="AB2815" s="2"/>
      <c r="AC2815" s="2" t="s">
        <v>21537</v>
      </c>
      <c r="AD2815" s="2" t="s">
        <v>46</v>
      </c>
    </row>
    <row r="2816" customFormat="false" ht="15.7" hidden="false" customHeight="true" outlineLevel="0" collapsed="false">
      <c r="A2816" s="2"/>
      <c r="B2816" s="3" t="n">
        <f aca="false">DATE(2016,11,2)</f>
        <v>0</v>
      </c>
      <c r="C2816" s="3" t="n">
        <v>42676</v>
      </c>
      <c r="D2816" s="2" t="s">
        <v>21538</v>
      </c>
      <c r="F2816" s="2" t="s">
        <v>21539</v>
      </c>
      <c r="G2816" s="2" t="s">
        <v>21540</v>
      </c>
      <c r="H2816" s="2" t="s">
        <v>21541</v>
      </c>
      <c r="I2816" s="2" t="s">
        <v>6838</v>
      </c>
      <c r="J2816" s="2" t="s">
        <v>35</v>
      </c>
      <c r="K2816" s="2" t="s">
        <v>21538</v>
      </c>
      <c r="L2816" s="2" t="s">
        <v>6838</v>
      </c>
      <c r="M2816" s="2" t="s">
        <v>21541</v>
      </c>
      <c r="N2816" s="2" t="s">
        <v>21542</v>
      </c>
      <c r="O2816" s="2"/>
      <c r="P2816" s="2" t="s">
        <v>37</v>
      </c>
      <c r="Q2816" s="4" t="n">
        <v>8731</v>
      </c>
      <c r="R2816" s="2" t="s">
        <v>402</v>
      </c>
      <c r="S2816" s="2" t="s">
        <v>39</v>
      </c>
      <c r="T2816" s="2" t="s">
        <v>403</v>
      </c>
      <c r="U2816" s="2" t="s">
        <v>21543</v>
      </c>
      <c r="V2816" s="2"/>
      <c r="W2816" s="2" t="s">
        <v>42</v>
      </c>
      <c r="X2816" s="2" t="s">
        <v>46</v>
      </c>
      <c r="Y2816" s="2" t="s">
        <v>37</v>
      </c>
      <c r="Z2816" s="2" t="s">
        <v>11332</v>
      </c>
      <c r="AA2816" s="2" t="s">
        <v>21544</v>
      </c>
      <c r="AB2816" s="2"/>
      <c r="AC2816" s="2" t="s">
        <v>21545</v>
      </c>
      <c r="AD2816" s="2" t="s">
        <v>46</v>
      </c>
    </row>
    <row r="2817" customFormat="false" ht="15.7" hidden="false" customHeight="true" outlineLevel="0" collapsed="false">
      <c r="A2817" s="2"/>
      <c r="B2817" s="3" t="n">
        <f aca="false">DATE(2016,11,3)</f>
        <v>0</v>
      </c>
      <c r="C2817" s="3" t="n">
        <v>42677</v>
      </c>
      <c r="D2817" s="2" t="s">
        <v>21546</v>
      </c>
      <c r="F2817" s="2" t="s">
        <v>21547</v>
      </c>
      <c r="G2817" s="2" t="s">
        <v>21548</v>
      </c>
      <c r="H2817" s="2" t="s">
        <v>21549</v>
      </c>
      <c r="I2817" s="2" t="s">
        <v>51</v>
      </c>
      <c r="J2817" s="2" t="s">
        <v>21550</v>
      </c>
      <c r="K2817" s="2" t="s">
        <v>21546</v>
      </c>
      <c r="L2817" s="2" t="s">
        <v>51</v>
      </c>
      <c r="M2817" s="2" t="s">
        <v>21549</v>
      </c>
      <c r="N2817" s="2" t="s">
        <v>21551</v>
      </c>
      <c r="O2817" s="2"/>
      <c r="P2817" s="2" t="s">
        <v>37</v>
      </c>
      <c r="Q2817" s="4" t="n">
        <v>8731</v>
      </c>
      <c r="R2817" s="2" t="s">
        <v>56</v>
      </c>
      <c r="S2817" s="2"/>
      <c r="T2817" s="2" t="s">
        <v>40</v>
      </c>
      <c r="U2817" s="2" t="s">
        <v>21552</v>
      </c>
      <c r="V2817" s="2"/>
      <c r="W2817" s="2" t="s">
        <v>3949</v>
      </c>
      <c r="X2817" s="2" t="s">
        <v>43</v>
      </c>
      <c r="Y2817" s="2" t="s">
        <v>37</v>
      </c>
      <c r="Z2817" s="2" t="s">
        <v>44</v>
      </c>
      <c r="AA2817" s="2"/>
      <c r="AB2817" s="2"/>
      <c r="AC2817" s="2" t="s">
        <v>21553</v>
      </c>
      <c r="AD2817" s="2" t="s">
        <v>46</v>
      </c>
    </row>
    <row r="2818" customFormat="false" ht="15.7" hidden="false" customHeight="true" outlineLevel="0" collapsed="false">
      <c r="A2818" s="2"/>
      <c r="B2818" s="3" t="n">
        <f aca="false">DATE(2016,11,3)</f>
        <v>0</v>
      </c>
      <c r="C2818" s="3" t="n">
        <v>42677</v>
      </c>
      <c r="D2818" s="2" t="s">
        <v>21554</v>
      </c>
      <c r="F2818" s="2" t="s">
        <v>21555</v>
      </c>
      <c r="G2818" s="2" t="s">
        <v>21556</v>
      </c>
      <c r="H2818" s="2" t="s">
        <v>11288</v>
      </c>
      <c r="I2818" s="2" t="s">
        <v>670</v>
      </c>
      <c r="J2818" s="2" t="s">
        <v>671</v>
      </c>
      <c r="K2818" s="2" t="s">
        <v>21557</v>
      </c>
      <c r="L2818" s="2" t="s">
        <v>670</v>
      </c>
      <c r="M2818" s="2" t="s">
        <v>3322</v>
      </c>
      <c r="N2818" s="2" t="s">
        <v>21558</v>
      </c>
      <c r="O2818" s="2"/>
      <c r="P2818" s="2" t="s">
        <v>37</v>
      </c>
      <c r="Q2818" s="4" t="n">
        <v>8731</v>
      </c>
      <c r="R2818" s="2" t="s">
        <v>402</v>
      </c>
      <c r="S2818" s="2" t="s">
        <v>39</v>
      </c>
      <c r="T2818" s="2" t="s">
        <v>40</v>
      </c>
      <c r="U2818" s="2" t="s">
        <v>21559</v>
      </c>
      <c r="V2818" s="2"/>
      <c r="W2818" s="2" t="s">
        <v>42</v>
      </c>
      <c r="X2818" s="2" t="s">
        <v>43</v>
      </c>
      <c r="Y2818" s="2" t="s">
        <v>37</v>
      </c>
      <c r="Z2818" s="2" t="s">
        <v>44</v>
      </c>
      <c r="AA2818" s="2"/>
      <c r="AB2818" s="2"/>
      <c r="AC2818" s="2" t="s">
        <v>21560</v>
      </c>
      <c r="AD2818" s="2" t="s">
        <v>46</v>
      </c>
    </row>
    <row r="2819" customFormat="false" ht="15.7" hidden="false" customHeight="true" outlineLevel="0" collapsed="false">
      <c r="A2819" s="2"/>
      <c r="B2819" s="3" t="n">
        <f aca="false">DATE(2016,11,3)</f>
        <v>0</v>
      </c>
      <c r="C2819" s="3" t="n">
        <v>42677</v>
      </c>
      <c r="D2819" s="2" t="s">
        <v>13495</v>
      </c>
      <c r="F2819" s="2" t="s">
        <v>13496</v>
      </c>
      <c r="G2819" s="2" t="s">
        <v>13497</v>
      </c>
      <c r="H2819" s="2" t="s">
        <v>11288</v>
      </c>
      <c r="I2819" s="2" t="s">
        <v>7116</v>
      </c>
      <c r="J2819" s="2" t="s">
        <v>3054</v>
      </c>
      <c r="K2819" s="2" t="s">
        <v>13495</v>
      </c>
      <c r="L2819" s="2" t="s">
        <v>7116</v>
      </c>
      <c r="M2819" s="2" t="s">
        <v>11288</v>
      </c>
      <c r="N2819" s="2" t="s">
        <v>21561</v>
      </c>
      <c r="O2819" s="2"/>
      <c r="P2819" s="2" t="s">
        <v>37</v>
      </c>
      <c r="Q2819" s="4" t="n">
        <v>8731</v>
      </c>
      <c r="R2819" s="2" t="s">
        <v>56</v>
      </c>
      <c r="S2819" s="2"/>
      <c r="T2819" s="2" t="s">
        <v>40</v>
      </c>
      <c r="U2819" s="2" t="s">
        <v>21562</v>
      </c>
      <c r="V2819" s="2"/>
      <c r="W2819" s="2" t="s">
        <v>5464</v>
      </c>
      <c r="X2819" s="2" t="s">
        <v>46</v>
      </c>
      <c r="Y2819" s="2" t="s">
        <v>37</v>
      </c>
      <c r="Z2819" s="2" t="s">
        <v>44</v>
      </c>
      <c r="AA2819" s="2"/>
      <c r="AB2819" s="2"/>
      <c r="AC2819" s="2" t="s">
        <v>13500</v>
      </c>
      <c r="AD2819" s="2" t="s">
        <v>46</v>
      </c>
    </row>
    <row r="2820" customFormat="false" ht="15.7" hidden="false" customHeight="true" outlineLevel="0" collapsed="false">
      <c r="A2820" s="2"/>
      <c r="B2820" s="3" t="n">
        <f aca="false">DATE(2016,11,3)</f>
        <v>0</v>
      </c>
      <c r="C2820" s="3" t="n">
        <v>42677</v>
      </c>
      <c r="D2820" s="2" t="s">
        <v>21563</v>
      </c>
      <c r="F2820" s="2" t="s">
        <v>21564</v>
      </c>
      <c r="G2820" s="2" t="s">
        <v>21565</v>
      </c>
      <c r="H2820" s="2" t="s">
        <v>6837</v>
      </c>
      <c r="I2820" s="2" t="s">
        <v>4325</v>
      </c>
      <c r="J2820" s="2" t="s">
        <v>35</v>
      </c>
      <c r="K2820" s="2" t="s">
        <v>21566</v>
      </c>
      <c r="L2820" s="2" t="s">
        <v>4458</v>
      </c>
      <c r="M2820" s="2" t="s">
        <v>21567</v>
      </c>
      <c r="N2820" s="2" t="s">
        <v>21568</v>
      </c>
      <c r="O2820" s="2"/>
      <c r="P2820" s="2" t="s">
        <v>37</v>
      </c>
      <c r="Q2820" s="4" t="n">
        <v>8731</v>
      </c>
      <c r="R2820" s="2" t="s">
        <v>402</v>
      </c>
      <c r="S2820" s="2" t="s">
        <v>39</v>
      </c>
      <c r="T2820" s="2" t="s">
        <v>403</v>
      </c>
      <c r="U2820" s="2" t="s">
        <v>21569</v>
      </c>
      <c r="V2820" s="2"/>
      <c r="W2820" s="2" t="s">
        <v>697</v>
      </c>
      <c r="X2820" s="2" t="s">
        <v>46</v>
      </c>
      <c r="Y2820" s="2" t="s">
        <v>37</v>
      </c>
      <c r="Z2820" s="2" t="s">
        <v>18992</v>
      </c>
      <c r="AA2820" s="2" t="s">
        <v>21570</v>
      </c>
      <c r="AB2820" s="2"/>
      <c r="AC2820" s="2" t="s">
        <v>21571</v>
      </c>
      <c r="AD2820" s="2" t="s">
        <v>46</v>
      </c>
    </row>
    <row r="2821" customFormat="false" ht="15.7" hidden="false" customHeight="true" outlineLevel="0" collapsed="false">
      <c r="A2821" s="2"/>
      <c r="B2821" s="3" t="n">
        <f aca="false">DATE(2016,11,7)</f>
        <v>0</v>
      </c>
      <c r="C2821" s="3" t="n">
        <v>42681</v>
      </c>
      <c r="D2821" s="2" t="s">
        <v>21572</v>
      </c>
      <c r="F2821" s="2" t="s">
        <v>21573</v>
      </c>
      <c r="G2821" s="2" t="s">
        <v>21574</v>
      </c>
      <c r="H2821" s="2" t="s">
        <v>1574</v>
      </c>
      <c r="I2821" s="2" t="s">
        <v>4325</v>
      </c>
      <c r="J2821" s="2" t="s">
        <v>35</v>
      </c>
      <c r="K2821" s="2" t="s">
        <v>21575</v>
      </c>
      <c r="L2821" s="2" t="s">
        <v>2727</v>
      </c>
      <c r="M2821" s="2" t="s">
        <v>21576</v>
      </c>
      <c r="N2821" s="2" t="s">
        <v>21577</v>
      </c>
      <c r="O2821" s="2"/>
      <c r="P2821" s="2" t="s">
        <v>37</v>
      </c>
      <c r="Q2821" s="4" t="n">
        <v>7999</v>
      </c>
      <c r="R2821" s="2" t="s">
        <v>402</v>
      </c>
      <c r="S2821" s="2" t="s">
        <v>39</v>
      </c>
      <c r="T2821" s="2" t="s">
        <v>403</v>
      </c>
      <c r="U2821" s="2" t="s">
        <v>21578</v>
      </c>
      <c r="V2821" s="2"/>
      <c r="W2821" s="2" t="s">
        <v>21579</v>
      </c>
      <c r="X2821" s="2" t="s">
        <v>46</v>
      </c>
      <c r="Y2821" s="2" t="s">
        <v>37</v>
      </c>
      <c r="Z2821" s="2" t="s">
        <v>1639</v>
      </c>
      <c r="AA2821" s="2" t="s">
        <v>21580</v>
      </c>
      <c r="AB2821" s="2"/>
      <c r="AC2821" s="2" t="s">
        <v>21581</v>
      </c>
      <c r="AD2821" s="2" t="s">
        <v>46</v>
      </c>
    </row>
    <row r="2822" customFormat="false" ht="15.7" hidden="false" customHeight="true" outlineLevel="0" collapsed="false">
      <c r="A2822" s="2"/>
      <c r="B2822" s="3" t="n">
        <f aca="false">DATE(2016,11,10)</f>
        <v>0</v>
      </c>
      <c r="C2822" s="3" t="n">
        <v>42684</v>
      </c>
      <c r="D2822" s="2" t="s">
        <v>21582</v>
      </c>
      <c r="F2822" s="2" t="s">
        <v>21583</v>
      </c>
      <c r="G2822" s="2" t="s">
        <v>21584</v>
      </c>
      <c r="H2822" s="2" t="s">
        <v>9068</v>
      </c>
      <c r="I2822" s="2" t="s">
        <v>21585</v>
      </c>
      <c r="J2822" s="2" t="s">
        <v>4383</v>
      </c>
      <c r="K2822" s="2" t="s">
        <v>21582</v>
      </c>
      <c r="L2822" s="2" t="s">
        <v>21585</v>
      </c>
      <c r="M2822" s="2" t="s">
        <v>9068</v>
      </c>
      <c r="N2822" s="2" t="s">
        <v>21586</v>
      </c>
      <c r="O2822" s="2"/>
      <c r="P2822" s="2" t="s">
        <v>37</v>
      </c>
      <c r="Q2822" s="4" t="n">
        <v>8731</v>
      </c>
      <c r="R2822" s="2" t="s">
        <v>21587</v>
      </c>
      <c r="S2822" s="2" t="s">
        <v>39</v>
      </c>
      <c r="T2822" s="2" t="s">
        <v>403</v>
      </c>
      <c r="U2822" s="2" t="s">
        <v>21588</v>
      </c>
      <c r="V2822" s="2"/>
      <c r="W2822" s="2" t="s">
        <v>42</v>
      </c>
      <c r="X2822" s="2" t="s">
        <v>46</v>
      </c>
      <c r="Y2822" s="2" t="s">
        <v>37</v>
      </c>
      <c r="Z2822" s="2" t="s">
        <v>362</v>
      </c>
      <c r="AA2822" s="2"/>
      <c r="AB2822" s="2"/>
      <c r="AC2822" s="2" t="s">
        <v>21589</v>
      </c>
      <c r="AD2822" s="2" t="s">
        <v>46</v>
      </c>
    </row>
    <row r="2823" customFormat="false" ht="15.7" hidden="false" customHeight="true" outlineLevel="0" collapsed="false">
      <c r="A2823" s="2"/>
      <c r="B2823" s="3" t="n">
        <f aca="false">DATE(2016,11,10)</f>
        <v>0</v>
      </c>
      <c r="C2823" s="3" t="n">
        <v>42684</v>
      </c>
      <c r="D2823" s="2" t="s">
        <v>21590</v>
      </c>
      <c r="F2823" s="2" t="s">
        <v>21591</v>
      </c>
      <c r="G2823" s="2" t="s">
        <v>21592</v>
      </c>
      <c r="H2823" s="2" t="s">
        <v>21593</v>
      </c>
      <c r="I2823" s="2" t="s">
        <v>21594</v>
      </c>
      <c r="J2823" s="2" t="s">
        <v>1305</v>
      </c>
      <c r="K2823" s="2" t="s">
        <v>21595</v>
      </c>
      <c r="L2823" s="2" t="s">
        <v>21594</v>
      </c>
      <c r="M2823" s="2" t="s">
        <v>13574</v>
      </c>
      <c r="N2823" s="2" t="s">
        <v>21596</v>
      </c>
      <c r="O2823" s="2"/>
      <c r="P2823" s="2" t="s">
        <v>37</v>
      </c>
      <c r="Q2823" s="4" t="n">
        <v>8099</v>
      </c>
      <c r="R2823" s="2" t="s">
        <v>56</v>
      </c>
      <c r="S2823" s="2"/>
      <c r="T2823" s="2" t="s">
        <v>403</v>
      </c>
      <c r="U2823" s="2" t="s">
        <v>21597</v>
      </c>
      <c r="V2823" s="2"/>
      <c r="W2823" s="2" t="s">
        <v>4487</v>
      </c>
      <c r="X2823" s="2" t="s">
        <v>43</v>
      </c>
      <c r="Y2823" s="2" t="s">
        <v>37</v>
      </c>
      <c r="Z2823" s="2" t="s">
        <v>11148</v>
      </c>
      <c r="AA2823" s="2"/>
      <c r="AB2823" s="2"/>
      <c r="AC2823" s="2" t="s">
        <v>21598</v>
      </c>
      <c r="AD2823" s="2" t="s">
        <v>46</v>
      </c>
    </row>
    <row r="2824" customFormat="false" ht="15.7" hidden="false" customHeight="true" outlineLevel="0" collapsed="false">
      <c r="A2824" s="2"/>
      <c r="B2824" s="3" t="n">
        <f aca="false">DATE(2016,11,10)</f>
        <v>0</v>
      </c>
      <c r="C2824" s="3" t="n">
        <v>42684</v>
      </c>
      <c r="D2824" s="2" t="s">
        <v>21599</v>
      </c>
      <c r="F2824" s="2" t="s">
        <v>21600</v>
      </c>
      <c r="G2824" s="2" t="s">
        <v>21601</v>
      </c>
      <c r="H2824" s="2" t="s">
        <v>21602</v>
      </c>
      <c r="I2824" s="2" t="s">
        <v>7116</v>
      </c>
      <c r="J2824" s="2" t="s">
        <v>21603</v>
      </c>
      <c r="K2824" s="2" t="s">
        <v>21599</v>
      </c>
      <c r="L2824" s="2" t="s">
        <v>7116</v>
      </c>
      <c r="M2824" s="2" t="s">
        <v>21602</v>
      </c>
      <c r="N2824" s="2" t="s">
        <v>21604</v>
      </c>
      <c r="O2824" s="2"/>
      <c r="P2824" s="2" t="s">
        <v>37</v>
      </c>
      <c r="Q2824" s="4" t="n">
        <v>721</v>
      </c>
      <c r="R2824" s="2" t="s">
        <v>56</v>
      </c>
      <c r="S2824" s="2"/>
      <c r="T2824" s="2" t="s">
        <v>403</v>
      </c>
      <c r="U2824" s="2" t="s">
        <v>21605</v>
      </c>
      <c r="V2824" s="2"/>
      <c r="W2824" s="2" t="s">
        <v>8529</v>
      </c>
      <c r="X2824" s="2" t="s">
        <v>46</v>
      </c>
      <c r="Y2824" s="2" t="s">
        <v>37</v>
      </c>
      <c r="Z2824" s="2" t="s">
        <v>2080</v>
      </c>
      <c r="AA2824" s="2"/>
      <c r="AB2824" s="2"/>
      <c r="AC2824" s="2" t="s">
        <v>21606</v>
      </c>
      <c r="AD2824" s="2" t="s">
        <v>46</v>
      </c>
    </row>
    <row r="2825" customFormat="false" ht="15.7" hidden="false" customHeight="true" outlineLevel="0" collapsed="false">
      <c r="A2825" s="2"/>
      <c r="B2825" s="3" t="n">
        <f aca="false">DATE(2016,11,11)</f>
        <v>0</v>
      </c>
      <c r="C2825" s="3" t="n">
        <v>42685</v>
      </c>
      <c r="D2825" s="2" t="s">
        <v>21607</v>
      </c>
      <c r="F2825" s="2" t="s">
        <v>21608</v>
      </c>
      <c r="G2825" s="2" t="s">
        <v>21609</v>
      </c>
      <c r="H2825" s="2" t="s">
        <v>4779</v>
      </c>
      <c r="I2825" s="2" t="s">
        <v>21610</v>
      </c>
      <c r="J2825" s="2" t="s">
        <v>35</v>
      </c>
      <c r="K2825" s="2" t="s">
        <v>21611</v>
      </c>
      <c r="L2825" s="2" t="s">
        <v>21610</v>
      </c>
      <c r="M2825" s="2" t="s">
        <v>21612</v>
      </c>
      <c r="N2825" s="2" t="s">
        <v>21613</v>
      </c>
      <c r="O2825" s="2"/>
      <c r="P2825" s="2" t="s">
        <v>37</v>
      </c>
      <c r="Q2825" s="4" t="n">
        <v>8731</v>
      </c>
      <c r="R2825" s="2" t="s">
        <v>20239</v>
      </c>
      <c r="S2825" s="2" t="s">
        <v>39</v>
      </c>
      <c r="T2825" s="2" t="s">
        <v>40</v>
      </c>
      <c r="U2825" s="2" t="s">
        <v>21614</v>
      </c>
      <c r="V2825" s="2"/>
      <c r="W2825" s="2" t="s">
        <v>42</v>
      </c>
      <c r="X2825" s="2" t="s">
        <v>43</v>
      </c>
      <c r="Y2825" s="2" t="s">
        <v>37</v>
      </c>
      <c r="Z2825" s="2" t="s">
        <v>44</v>
      </c>
      <c r="AA2825" s="2"/>
      <c r="AB2825" s="2"/>
      <c r="AC2825" s="2" t="s">
        <v>21615</v>
      </c>
      <c r="AD2825" s="2" t="s">
        <v>46</v>
      </c>
    </row>
    <row r="2826" customFormat="false" ht="15.7" hidden="false" customHeight="true" outlineLevel="0" collapsed="false">
      <c r="A2826" s="2"/>
      <c r="B2826" s="3" t="n">
        <f aca="false">DATE(2016,11,11)</f>
        <v>0</v>
      </c>
      <c r="C2826" s="3" t="n">
        <v>42685</v>
      </c>
      <c r="D2826" s="2" t="s">
        <v>21616</v>
      </c>
      <c r="F2826" s="2" t="s">
        <v>21617</v>
      </c>
      <c r="G2826" s="2" t="s">
        <v>21618</v>
      </c>
      <c r="H2826" s="2" t="s">
        <v>21619</v>
      </c>
      <c r="I2826" s="2" t="s">
        <v>670</v>
      </c>
      <c r="J2826" s="2" t="s">
        <v>1456</v>
      </c>
      <c r="K2826" s="2" t="s">
        <v>21620</v>
      </c>
      <c r="L2826" s="2" t="s">
        <v>670</v>
      </c>
      <c r="M2826" s="2" t="s">
        <v>21621</v>
      </c>
      <c r="N2826" s="2" t="s">
        <v>21622</v>
      </c>
      <c r="O2826" s="2"/>
      <c r="P2826" s="2" t="s">
        <v>37</v>
      </c>
      <c r="Q2826" s="4" t="n">
        <v>3999</v>
      </c>
      <c r="R2826" s="2" t="s">
        <v>402</v>
      </c>
      <c r="S2826" s="2" t="s">
        <v>39</v>
      </c>
      <c r="T2826" s="2" t="s">
        <v>403</v>
      </c>
      <c r="U2826" s="2" t="s">
        <v>21623</v>
      </c>
      <c r="V2826" s="2"/>
      <c r="W2826" s="2" t="s">
        <v>21624</v>
      </c>
      <c r="X2826" s="2" t="s">
        <v>46</v>
      </c>
      <c r="Y2826" s="2" t="s">
        <v>37</v>
      </c>
      <c r="Z2826" s="2" t="s">
        <v>21625</v>
      </c>
      <c r="AA2826" s="2"/>
      <c r="AB2826" s="2"/>
      <c r="AC2826" s="2" t="s">
        <v>21626</v>
      </c>
      <c r="AD2826" s="2" t="s">
        <v>46</v>
      </c>
    </row>
    <row r="2827" customFormat="false" ht="15.7" hidden="false" customHeight="true" outlineLevel="0" collapsed="false">
      <c r="A2827" s="2"/>
      <c r="B2827" s="3" t="n">
        <f aca="false">DATE(2016,11,14)</f>
        <v>0</v>
      </c>
      <c r="C2827" s="3" t="n">
        <v>42688</v>
      </c>
      <c r="D2827" s="2" t="s">
        <v>21627</v>
      </c>
      <c r="F2827" s="2" t="s">
        <v>12333</v>
      </c>
      <c r="G2827" s="2" t="s">
        <v>21628</v>
      </c>
      <c r="H2827" s="2" t="s">
        <v>7311</v>
      </c>
      <c r="I2827" s="2" t="s">
        <v>21629</v>
      </c>
      <c r="J2827" s="2" t="s">
        <v>35</v>
      </c>
      <c r="K2827" s="2" t="s">
        <v>21627</v>
      </c>
      <c r="L2827" s="2" t="s">
        <v>21629</v>
      </c>
      <c r="M2827" s="2" t="s">
        <v>7311</v>
      </c>
      <c r="N2827" s="2" t="s">
        <v>21630</v>
      </c>
      <c r="O2827" s="2"/>
      <c r="P2827" s="2" t="s">
        <v>37</v>
      </c>
      <c r="Q2827" s="4" t="n">
        <v>3999</v>
      </c>
      <c r="R2827" s="2" t="s">
        <v>402</v>
      </c>
      <c r="S2827" s="2" t="s">
        <v>39</v>
      </c>
      <c r="T2827" s="2" t="s">
        <v>40</v>
      </c>
      <c r="U2827" s="2" t="s">
        <v>21631</v>
      </c>
      <c r="V2827" s="2"/>
      <c r="W2827" s="2" t="s">
        <v>107</v>
      </c>
      <c r="X2827" s="2" t="s">
        <v>46</v>
      </c>
      <c r="Y2827" s="2" t="s">
        <v>37</v>
      </c>
      <c r="Z2827" s="2" t="s">
        <v>362</v>
      </c>
      <c r="AA2827" s="2"/>
      <c r="AB2827" s="2"/>
      <c r="AC2827" s="2" t="s">
        <v>21632</v>
      </c>
      <c r="AD2827" s="2" t="s">
        <v>46</v>
      </c>
    </row>
    <row r="2828" customFormat="false" ht="15.7" hidden="false" customHeight="true" outlineLevel="0" collapsed="false">
      <c r="A2828" s="2"/>
      <c r="B2828" s="3" t="n">
        <f aca="false">DATE(2016,11,14)</f>
        <v>0</v>
      </c>
      <c r="C2828" s="3" t="n">
        <v>42688</v>
      </c>
      <c r="D2828" s="2" t="s">
        <v>21633</v>
      </c>
      <c r="F2828" s="2" t="s">
        <v>21634</v>
      </c>
      <c r="G2828" s="2" t="s">
        <v>21635</v>
      </c>
      <c r="H2828" s="2" t="s">
        <v>21636</v>
      </c>
      <c r="I2828" s="2" t="s">
        <v>21637</v>
      </c>
      <c r="J2828" s="2" t="s">
        <v>35</v>
      </c>
      <c r="K2828" s="2" t="s">
        <v>21638</v>
      </c>
      <c r="L2828" s="2" t="s">
        <v>21637</v>
      </c>
      <c r="M2828" s="2" t="s">
        <v>21636</v>
      </c>
      <c r="N2828" s="2" t="s">
        <v>21639</v>
      </c>
      <c r="O2828" s="2"/>
      <c r="P2828" s="2" t="s">
        <v>37</v>
      </c>
      <c r="Q2828" s="4" t="n">
        <v>8731</v>
      </c>
      <c r="R2828" s="2" t="s">
        <v>136</v>
      </c>
      <c r="S2828" s="2" t="s">
        <v>39</v>
      </c>
      <c r="T2828" s="2" t="s">
        <v>40</v>
      </c>
      <c r="U2828" s="2" t="s">
        <v>21640</v>
      </c>
      <c r="V2828" s="2"/>
      <c r="W2828" s="2" t="s">
        <v>10912</v>
      </c>
      <c r="X2828" s="2" t="s">
        <v>43</v>
      </c>
      <c r="Y2828" s="2" t="s">
        <v>37</v>
      </c>
      <c r="Z2828" s="2" t="s">
        <v>44</v>
      </c>
      <c r="AA2828" s="2"/>
      <c r="AB2828" s="2"/>
      <c r="AC2828" s="2" t="s">
        <v>21641</v>
      </c>
      <c r="AD2828" s="2" t="s">
        <v>46</v>
      </c>
    </row>
    <row r="2829" customFormat="false" ht="15.7" hidden="false" customHeight="true" outlineLevel="0" collapsed="false">
      <c r="A2829" s="2"/>
      <c r="B2829" s="3" t="n">
        <f aca="false">DATE(2016,11,14)</f>
        <v>0</v>
      </c>
      <c r="C2829" s="3" t="n">
        <v>42688</v>
      </c>
      <c r="D2829" s="2" t="s">
        <v>21642</v>
      </c>
      <c r="F2829" s="2" t="s">
        <v>21643</v>
      </c>
      <c r="G2829" s="2" t="s">
        <v>21644</v>
      </c>
      <c r="H2829" s="2" t="s">
        <v>21645</v>
      </c>
      <c r="I2829" s="2" t="s">
        <v>7014</v>
      </c>
      <c r="J2829" s="2" t="s">
        <v>35</v>
      </c>
      <c r="K2829" s="2" t="s">
        <v>21642</v>
      </c>
      <c r="L2829" s="2" t="s">
        <v>7014</v>
      </c>
      <c r="M2829" s="2" t="s">
        <v>21646</v>
      </c>
      <c r="N2829" s="2" t="s">
        <v>21647</v>
      </c>
      <c r="O2829" s="2"/>
      <c r="P2829" s="2" t="s">
        <v>37</v>
      </c>
      <c r="Q2829" s="4" t="n">
        <v>6794</v>
      </c>
      <c r="R2829" s="2" t="s">
        <v>1448</v>
      </c>
      <c r="S2829" s="2" t="s">
        <v>39</v>
      </c>
      <c r="T2829" s="2" t="s">
        <v>14101</v>
      </c>
      <c r="U2829" s="2" t="s">
        <v>21648</v>
      </c>
      <c r="V2829" s="2"/>
      <c r="W2829" s="2" t="s">
        <v>82</v>
      </c>
      <c r="X2829" s="2" t="s">
        <v>43</v>
      </c>
      <c r="Y2829" s="2" t="s">
        <v>37</v>
      </c>
      <c r="Z2829" s="2" t="s">
        <v>44</v>
      </c>
      <c r="AA2829" s="2"/>
      <c r="AB2829" s="2"/>
      <c r="AC2829" s="2" t="s">
        <v>21649</v>
      </c>
      <c r="AD2829" s="2" t="s">
        <v>46</v>
      </c>
    </row>
    <row r="2830" customFormat="false" ht="15.7" hidden="false" customHeight="true" outlineLevel="0" collapsed="false">
      <c r="A2830" s="2"/>
      <c r="B2830" s="3" t="n">
        <f aca="false">DATE(2016,11,14)</f>
        <v>0</v>
      </c>
      <c r="C2830" s="3" t="n">
        <v>42688</v>
      </c>
      <c r="D2830" s="2" t="s">
        <v>21650</v>
      </c>
      <c r="F2830" s="2" t="s">
        <v>21651</v>
      </c>
      <c r="G2830" s="2" t="s">
        <v>21652</v>
      </c>
      <c r="H2830" s="2" t="s">
        <v>8495</v>
      </c>
      <c r="I2830" s="2" t="s">
        <v>965</v>
      </c>
      <c r="J2830" s="2" t="s">
        <v>3303</v>
      </c>
      <c r="K2830" s="2" t="s">
        <v>21653</v>
      </c>
      <c r="L2830" s="2" t="s">
        <v>965</v>
      </c>
      <c r="M2830" s="2" t="s">
        <v>21654</v>
      </c>
      <c r="N2830" s="2" t="s">
        <v>21655</v>
      </c>
      <c r="O2830" s="2"/>
      <c r="P2830" s="2" t="s">
        <v>37</v>
      </c>
      <c r="Q2830" s="4" t="n">
        <v>8731</v>
      </c>
      <c r="R2830" s="2"/>
      <c r="S2830" s="2"/>
      <c r="T2830" s="2" t="s">
        <v>40</v>
      </c>
      <c r="U2830" s="2" t="s">
        <v>21656</v>
      </c>
      <c r="V2830" s="2"/>
      <c r="W2830" s="2" t="s">
        <v>697</v>
      </c>
      <c r="X2830" s="2" t="s">
        <v>43</v>
      </c>
      <c r="Y2830" s="2" t="s">
        <v>37</v>
      </c>
      <c r="Z2830" s="2" t="s">
        <v>44</v>
      </c>
      <c r="AA2830" s="2"/>
      <c r="AB2830" s="2"/>
      <c r="AC2830" s="2" t="s">
        <v>21657</v>
      </c>
      <c r="AD2830" s="2" t="s">
        <v>46</v>
      </c>
    </row>
    <row r="2831" customFormat="false" ht="15.7" hidden="false" customHeight="true" outlineLevel="0" collapsed="false">
      <c r="A2831" s="2"/>
      <c r="B2831" s="3" t="n">
        <f aca="false">DATE(2016,11,15)</f>
        <v>0</v>
      </c>
      <c r="C2831" s="3" t="n">
        <v>42689</v>
      </c>
      <c r="D2831" s="2" t="s">
        <v>21658</v>
      </c>
      <c r="F2831" s="2" t="s">
        <v>21659</v>
      </c>
      <c r="G2831" s="2" t="s">
        <v>21660</v>
      </c>
      <c r="H2831" s="2" t="s">
        <v>63</v>
      </c>
      <c r="I2831" s="2" t="s">
        <v>51</v>
      </c>
      <c r="J2831" s="2" t="s">
        <v>12561</v>
      </c>
      <c r="K2831" s="2" t="s">
        <v>21658</v>
      </c>
      <c r="L2831" s="2" t="s">
        <v>51</v>
      </c>
      <c r="M2831" s="2" t="s">
        <v>63</v>
      </c>
      <c r="N2831" s="2" t="s">
        <v>21661</v>
      </c>
      <c r="O2831" s="2"/>
      <c r="P2831" s="2" t="s">
        <v>37</v>
      </c>
      <c r="Q2831" s="4" t="n">
        <v>8099</v>
      </c>
      <c r="R2831" s="2" t="s">
        <v>56</v>
      </c>
      <c r="S2831" s="2"/>
      <c r="T2831" s="2" t="s">
        <v>40</v>
      </c>
      <c r="U2831" s="2" t="s">
        <v>21662</v>
      </c>
      <c r="V2831" s="2"/>
      <c r="W2831" s="2" t="s">
        <v>4487</v>
      </c>
      <c r="X2831" s="2" t="s">
        <v>43</v>
      </c>
      <c r="Y2831" s="2" t="s">
        <v>37</v>
      </c>
      <c r="Z2831" s="2" t="s">
        <v>44</v>
      </c>
      <c r="AA2831" s="2"/>
      <c r="AB2831" s="2"/>
      <c r="AC2831" s="2" t="s">
        <v>21663</v>
      </c>
      <c r="AD2831" s="2" t="s">
        <v>46</v>
      </c>
    </row>
    <row r="2832" customFormat="false" ht="15.7" hidden="false" customHeight="true" outlineLevel="0" collapsed="false">
      <c r="A2832" s="2"/>
      <c r="B2832" s="3" t="n">
        <f aca="false">DATE(2016,11,15)</f>
        <v>0</v>
      </c>
      <c r="C2832" s="3" t="n">
        <v>42689</v>
      </c>
      <c r="D2832" s="2" t="s">
        <v>21664</v>
      </c>
      <c r="F2832" s="2" t="s">
        <v>21665</v>
      </c>
      <c r="G2832" s="2" t="s">
        <v>21666</v>
      </c>
      <c r="H2832" s="2" t="s">
        <v>21667</v>
      </c>
      <c r="I2832" s="2" t="s">
        <v>1437</v>
      </c>
      <c r="J2832" s="2" t="s">
        <v>35</v>
      </c>
      <c r="K2832" s="2" t="s">
        <v>21664</v>
      </c>
      <c r="L2832" s="2" t="s">
        <v>1437</v>
      </c>
      <c r="M2832" s="2" t="s">
        <v>21667</v>
      </c>
      <c r="N2832" s="2" t="s">
        <v>21668</v>
      </c>
      <c r="O2832" s="2"/>
      <c r="P2832" s="2" t="s">
        <v>37</v>
      </c>
      <c r="Q2832" s="4" t="n">
        <v>8099</v>
      </c>
      <c r="R2832" s="2" t="s">
        <v>1441</v>
      </c>
      <c r="S2832" s="2" t="s">
        <v>39</v>
      </c>
      <c r="T2832" s="2" t="s">
        <v>40</v>
      </c>
      <c r="U2832" s="2" t="s">
        <v>21669</v>
      </c>
      <c r="V2832" s="2"/>
      <c r="W2832" s="2" t="s">
        <v>4487</v>
      </c>
      <c r="X2832" s="2" t="s">
        <v>43</v>
      </c>
      <c r="Y2832" s="2" t="s">
        <v>37</v>
      </c>
      <c r="Z2832" s="2" t="s">
        <v>44</v>
      </c>
      <c r="AA2832" s="2"/>
      <c r="AB2832" s="2"/>
      <c r="AC2832" s="2" t="s">
        <v>21670</v>
      </c>
      <c r="AD2832" s="2" t="s">
        <v>46</v>
      </c>
    </row>
    <row r="2833" customFormat="false" ht="15.7" hidden="false" customHeight="true" outlineLevel="0" collapsed="false">
      <c r="A2833" s="2"/>
      <c r="B2833" s="3" t="n">
        <f aca="false">DATE(2016,11,16)</f>
        <v>0</v>
      </c>
      <c r="C2833" s="3" t="n">
        <v>42690</v>
      </c>
      <c r="D2833" s="2" t="s">
        <v>21671</v>
      </c>
      <c r="F2833" s="2" t="s">
        <v>21672</v>
      </c>
      <c r="G2833" s="2" t="s">
        <v>21673</v>
      </c>
      <c r="H2833" s="2" t="s">
        <v>21674</v>
      </c>
      <c r="I2833" s="2" t="s">
        <v>4203</v>
      </c>
      <c r="J2833" s="2" t="s">
        <v>3303</v>
      </c>
      <c r="K2833" s="2" t="s">
        <v>21671</v>
      </c>
      <c r="L2833" s="2" t="s">
        <v>4203</v>
      </c>
      <c r="M2833" s="2" t="s">
        <v>21674</v>
      </c>
      <c r="N2833" s="2" t="s">
        <v>21675</v>
      </c>
      <c r="O2833" s="2"/>
      <c r="P2833" s="2" t="s">
        <v>37</v>
      </c>
      <c r="Q2833" s="4" t="n">
        <v>8299</v>
      </c>
      <c r="R2833" s="2" t="s">
        <v>461</v>
      </c>
      <c r="S2833" s="2" t="s">
        <v>39</v>
      </c>
      <c r="T2833" s="2" t="s">
        <v>403</v>
      </c>
      <c r="U2833" s="2" t="s">
        <v>21676</v>
      </c>
      <c r="V2833" s="2"/>
      <c r="W2833" s="2" t="s">
        <v>21677</v>
      </c>
      <c r="X2833" s="2" t="s">
        <v>43</v>
      </c>
      <c r="Y2833" s="2" t="s">
        <v>37</v>
      </c>
      <c r="Z2833" s="2" t="s">
        <v>44</v>
      </c>
      <c r="AA2833" s="2"/>
      <c r="AB2833" s="2"/>
      <c r="AC2833" s="2" t="s">
        <v>21678</v>
      </c>
      <c r="AD2833" s="2" t="s">
        <v>46</v>
      </c>
    </row>
    <row r="2834" customFormat="false" ht="15.7" hidden="false" customHeight="true" outlineLevel="0" collapsed="false">
      <c r="A2834" s="2"/>
      <c r="B2834" s="3" t="n">
        <f aca="false">DATE(2016,11,16)</f>
        <v>0</v>
      </c>
      <c r="C2834" s="3" t="n">
        <v>42690</v>
      </c>
      <c r="D2834" s="2" t="s">
        <v>21679</v>
      </c>
      <c r="F2834" s="2" t="s">
        <v>21680</v>
      </c>
      <c r="G2834" s="2" t="s">
        <v>21681</v>
      </c>
      <c r="H2834" s="2" t="s">
        <v>21682</v>
      </c>
      <c r="I2834" s="2" t="s">
        <v>21683</v>
      </c>
      <c r="J2834" s="2" t="s">
        <v>132</v>
      </c>
      <c r="K2834" s="2" t="s">
        <v>21684</v>
      </c>
      <c r="L2834" s="2" t="s">
        <v>21683</v>
      </c>
      <c r="M2834" s="2" t="s">
        <v>21685</v>
      </c>
      <c r="N2834" s="2" t="s">
        <v>21686</v>
      </c>
      <c r="O2834" s="2"/>
      <c r="P2834" s="2" t="s">
        <v>37</v>
      </c>
      <c r="Q2834" s="4" t="n">
        <v>8731</v>
      </c>
      <c r="R2834" s="2" t="s">
        <v>56</v>
      </c>
      <c r="S2834" s="2"/>
      <c r="T2834" s="2" t="s">
        <v>40</v>
      </c>
      <c r="U2834" s="2" t="s">
        <v>21687</v>
      </c>
      <c r="V2834" s="2"/>
      <c r="W2834" s="2" t="s">
        <v>7275</v>
      </c>
      <c r="X2834" s="2" t="s">
        <v>43</v>
      </c>
      <c r="Y2834" s="2" t="s">
        <v>37</v>
      </c>
      <c r="Z2834" s="2" t="s">
        <v>44</v>
      </c>
      <c r="AA2834" s="2"/>
      <c r="AB2834" s="2"/>
      <c r="AC2834" s="2" t="s">
        <v>21688</v>
      </c>
      <c r="AD2834" s="2" t="s">
        <v>46</v>
      </c>
    </row>
    <row r="2835" customFormat="false" ht="15.7" hidden="false" customHeight="true" outlineLevel="0" collapsed="false">
      <c r="A2835" s="2"/>
      <c r="B2835" s="3" t="n">
        <f aca="false">DATE(2016,11,17)</f>
        <v>0</v>
      </c>
      <c r="C2835" s="3" t="n">
        <v>42691</v>
      </c>
      <c r="D2835" s="2" t="s">
        <v>21689</v>
      </c>
      <c r="F2835" s="2" t="s">
        <v>21690</v>
      </c>
      <c r="G2835" s="2" t="s">
        <v>21691</v>
      </c>
      <c r="H2835" s="2" t="s">
        <v>12457</v>
      </c>
      <c r="I2835" s="2" t="s">
        <v>20610</v>
      </c>
      <c r="J2835" s="2" t="s">
        <v>35</v>
      </c>
      <c r="K2835" s="2" t="s">
        <v>21692</v>
      </c>
      <c r="L2835" s="2" t="s">
        <v>20610</v>
      </c>
      <c r="M2835" s="2" t="s">
        <v>21693</v>
      </c>
      <c r="N2835" s="2" t="s">
        <v>21694</v>
      </c>
      <c r="O2835" s="2"/>
      <c r="P2835" s="2" t="s">
        <v>37</v>
      </c>
      <c r="Q2835" s="4" t="n">
        <v>8731</v>
      </c>
      <c r="R2835" s="2" t="s">
        <v>461</v>
      </c>
      <c r="S2835" s="2" t="s">
        <v>39</v>
      </c>
      <c r="T2835" s="2" t="s">
        <v>403</v>
      </c>
      <c r="U2835" s="2" t="s">
        <v>21695</v>
      </c>
      <c r="V2835" s="2"/>
      <c r="W2835" s="2" t="s">
        <v>42</v>
      </c>
      <c r="X2835" s="2" t="s">
        <v>43</v>
      </c>
      <c r="Y2835" s="2" t="s">
        <v>37</v>
      </c>
      <c r="Z2835" s="2" t="s">
        <v>44</v>
      </c>
      <c r="AA2835" s="2"/>
      <c r="AB2835" s="2"/>
      <c r="AC2835" s="2" t="s">
        <v>21696</v>
      </c>
      <c r="AD2835" s="2" t="s">
        <v>46</v>
      </c>
    </row>
    <row r="2836" customFormat="false" ht="15.7" hidden="false" customHeight="true" outlineLevel="0" collapsed="false">
      <c r="A2836" s="2"/>
      <c r="B2836" s="3" t="n">
        <f aca="false">DATE(2016,11,17)</f>
        <v>0</v>
      </c>
      <c r="C2836" s="3" t="n">
        <v>42691</v>
      </c>
      <c r="D2836" s="2" t="s">
        <v>21697</v>
      </c>
      <c r="F2836" s="2" t="s">
        <v>21698</v>
      </c>
      <c r="G2836" s="2" t="s">
        <v>21699</v>
      </c>
      <c r="H2836" s="2" t="s">
        <v>21700</v>
      </c>
      <c r="I2836" s="2" t="s">
        <v>10332</v>
      </c>
      <c r="J2836" s="2" t="s">
        <v>35</v>
      </c>
      <c r="K2836" s="2" t="s">
        <v>21701</v>
      </c>
      <c r="L2836" s="2" t="s">
        <v>10332</v>
      </c>
      <c r="M2836" s="2" t="s">
        <v>21702</v>
      </c>
      <c r="N2836" s="2" t="s">
        <v>21703</v>
      </c>
      <c r="O2836" s="2"/>
      <c r="P2836" s="2" t="s">
        <v>37</v>
      </c>
      <c r="Q2836" s="4" t="n">
        <v>8731</v>
      </c>
      <c r="R2836" s="2" t="s">
        <v>402</v>
      </c>
      <c r="S2836" s="2" t="s">
        <v>39</v>
      </c>
      <c r="T2836" s="2" t="s">
        <v>40</v>
      </c>
      <c r="U2836" s="2" t="s">
        <v>21704</v>
      </c>
      <c r="V2836" s="2"/>
      <c r="W2836" s="2" t="s">
        <v>5464</v>
      </c>
      <c r="X2836" s="2" t="s">
        <v>43</v>
      </c>
      <c r="Y2836" s="2" t="s">
        <v>37</v>
      </c>
      <c r="Z2836" s="2" t="s">
        <v>44</v>
      </c>
      <c r="AA2836" s="2"/>
      <c r="AB2836" s="2"/>
      <c r="AC2836" s="2" t="s">
        <v>21705</v>
      </c>
      <c r="AD2836" s="2" t="s">
        <v>46</v>
      </c>
    </row>
    <row r="2837" customFormat="false" ht="15.7" hidden="false" customHeight="true" outlineLevel="0" collapsed="false">
      <c r="A2837" s="2"/>
      <c r="B2837" s="3" t="n">
        <f aca="false">DATE(2016,11,17)</f>
        <v>0</v>
      </c>
      <c r="C2837" s="3" t="n">
        <v>42691</v>
      </c>
      <c r="D2837" s="2" t="s">
        <v>21706</v>
      </c>
      <c r="F2837" s="2" t="s">
        <v>21707</v>
      </c>
      <c r="G2837" s="2" t="s">
        <v>21708</v>
      </c>
      <c r="H2837" s="2" t="s">
        <v>20376</v>
      </c>
      <c r="I2837" s="2" t="s">
        <v>821</v>
      </c>
      <c r="J2837" s="2" t="s">
        <v>65</v>
      </c>
      <c r="K2837" s="2" t="s">
        <v>21706</v>
      </c>
      <c r="L2837" s="2" t="s">
        <v>821</v>
      </c>
      <c r="M2837" s="2" t="s">
        <v>20376</v>
      </c>
      <c r="N2837" s="2" t="s">
        <v>21709</v>
      </c>
      <c r="O2837" s="2"/>
      <c r="P2837" s="2" t="s">
        <v>37</v>
      </c>
      <c r="Q2837" s="4" t="n">
        <v>8742</v>
      </c>
      <c r="R2837" s="2" t="s">
        <v>450</v>
      </c>
      <c r="S2837" s="2" t="s">
        <v>39</v>
      </c>
      <c r="T2837" s="2" t="s">
        <v>40</v>
      </c>
      <c r="U2837" s="2" t="s">
        <v>21710</v>
      </c>
      <c r="V2837" s="2"/>
      <c r="W2837" s="2" t="s">
        <v>21711</v>
      </c>
      <c r="X2837" s="2" t="s">
        <v>43</v>
      </c>
      <c r="Y2837" s="2" t="s">
        <v>37</v>
      </c>
      <c r="Z2837" s="2" t="s">
        <v>44</v>
      </c>
      <c r="AA2837" s="2"/>
      <c r="AB2837" s="2"/>
      <c r="AC2837" s="2" t="s">
        <v>21712</v>
      </c>
      <c r="AD2837" s="2" t="s">
        <v>46</v>
      </c>
    </row>
    <row r="2838" customFormat="false" ht="15.7" hidden="false" customHeight="true" outlineLevel="0" collapsed="false">
      <c r="A2838" s="2"/>
      <c r="B2838" s="3" t="n">
        <f aca="false">DATE(2016,11,18)</f>
        <v>0</v>
      </c>
      <c r="C2838" s="3" t="n">
        <v>42692</v>
      </c>
      <c r="D2838" s="2" t="s">
        <v>21713</v>
      </c>
      <c r="F2838" s="2" t="s">
        <v>21714</v>
      </c>
      <c r="G2838" s="2" t="s">
        <v>21715</v>
      </c>
      <c r="H2838" s="2" t="s">
        <v>21716</v>
      </c>
      <c r="I2838" s="2" t="s">
        <v>11818</v>
      </c>
      <c r="J2838" s="2" t="s">
        <v>1305</v>
      </c>
      <c r="K2838" s="2" t="s">
        <v>21717</v>
      </c>
      <c r="L2838" s="2" t="s">
        <v>11818</v>
      </c>
      <c r="M2838" s="2" t="s">
        <v>21718</v>
      </c>
      <c r="N2838" s="2" t="s">
        <v>21719</v>
      </c>
      <c r="O2838" s="2" t="s">
        <v>21720</v>
      </c>
      <c r="P2838" s="2" t="s">
        <v>37</v>
      </c>
      <c r="Q2838" s="4" t="n">
        <v>8731</v>
      </c>
      <c r="R2838" s="2" t="s">
        <v>402</v>
      </c>
      <c r="S2838" s="2" t="s">
        <v>39</v>
      </c>
      <c r="T2838" s="2" t="s">
        <v>40</v>
      </c>
      <c r="U2838" s="2" t="s">
        <v>21721</v>
      </c>
      <c r="V2838" s="2"/>
      <c r="W2838" s="2" t="s">
        <v>42</v>
      </c>
      <c r="X2838" s="2" t="s">
        <v>46</v>
      </c>
      <c r="Y2838" s="2" t="s">
        <v>37</v>
      </c>
      <c r="Z2838" s="2" t="s">
        <v>21722</v>
      </c>
      <c r="AA2838" s="2" t="s">
        <v>21723</v>
      </c>
      <c r="AB2838" s="2" t="s">
        <v>21724</v>
      </c>
      <c r="AC2838" s="2" t="s">
        <v>21725</v>
      </c>
      <c r="AD2838" s="2" t="s">
        <v>46</v>
      </c>
    </row>
    <row r="2839" customFormat="false" ht="15.7" hidden="false" customHeight="true" outlineLevel="0" collapsed="false">
      <c r="A2839" s="2"/>
      <c r="B2839" s="3" t="n">
        <f aca="false">DATE(2016,11,22)</f>
        <v>0</v>
      </c>
      <c r="C2839" s="3" t="n">
        <v>42696</v>
      </c>
      <c r="D2839" s="2" t="s">
        <v>21726</v>
      </c>
      <c r="F2839" s="2" t="s">
        <v>21727</v>
      </c>
      <c r="G2839" s="2" t="s">
        <v>21728</v>
      </c>
      <c r="H2839" s="2" t="s">
        <v>21729</v>
      </c>
      <c r="I2839" s="2" t="s">
        <v>21730</v>
      </c>
      <c r="J2839" s="2" t="s">
        <v>116</v>
      </c>
      <c r="K2839" s="2" t="s">
        <v>21731</v>
      </c>
      <c r="L2839" s="2" t="s">
        <v>21730</v>
      </c>
      <c r="M2839" s="2" t="s">
        <v>21732</v>
      </c>
      <c r="N2839" s="2" t="s">
        <v>21733</v>
      </c>
      <c r="O2839" s="2"/>
      <c r="P2839" s="2" t="s">
        <v>37</v>
      </c>
      <c r="Q2839" s="4" t="n">
        <v>1522</v>
      </c>
      <c r="R2839" s="2" t="s">
        <v>12034</v>
      </c>
      <c r="S2839" s="2" t="s">
        <v>39</v>
      </c>
      <c r="T2839" s="2" t="s">
        <v>403</v>
      </c>
      <c r="U2839" s="2" t="s">
        <v>21734</v>
      </c>
      <c r="V2839" s="2"/>
      <c r="W2839" s="2" t="s">
        <v>18958</v>
      </c>
      <c r="X2839" s="2" t="s">
        <v>46</v>
      </c>
      <c r="Y2839" s="2" t="s">
        <v>37</v>
      </c>
      <c r="Z2839" s="2" t="s">
        <v>21735</v>
      </c>
      <c r="AA2839" s="2" t="s">
        <v>21736</v>
      </c>
      <c r="AB2839" s="2"/>
      <c r="AC2839" s="2" t="s">
        <v>21737</v>
      </c>
      <c r="AD2839" s="2" t="s">
        <v>46</v>
      </c>
    </row>
    <row r="2840" customFormat="false" ht="15.7" hidden="false" customHeight="true" outlineLevel="0" collapsed="false">
      <c r="A2840" s="2"/>
      <c r="B2840" s="3" t="n">
        <f aca="false">DATE(2016,11,22)</f>
        <v>0</v>
      </c>
      <c r="C2840" s="3" t="n">
        <v>42696</v>
      </c>
      <c r="D2840" s="2" t="s">
        <v>21738</v>
      </c>
      <c r="F2840" s="2" t="s">
        <v>19085</v>
      </c>
      <c r="G2840" s="2" t="s">
        <v>21739</v>
      </c>
      <c r="H2840" s="2" t="s">
        <v>63</v>
      </c>
      <c r="I2840" s="2" t="s">
        <v>1080</v>
      </c>
      <c r="J2840" s="2" t="s">
        <v>35</v>
      </c>
      <c r="K2840" s="2" t="s">
        <v>21738</v>
      </c>
      <c r="L2840" s="2" t="s">
        <v>1080</v>
      </c>
      <c r="M2840" s="2" t="s">
        <v>63</v>
      </c>
      <c r="N2840" s="2" t="s">
        <v>21740</v>
      </c>
      <c r="O2840" s="2"/>
      <c r="P2840" s="2" t="s">
        <v>37</v>
      </c>
      <c r="Q2840" s="4" t="n">
        <v>8099</v>
      </c>
      <c r="R2840" s="2" t="s">
        <v>2201</v>
      </c>
      <c r="S2840" s="2" t="s">
        <v>39</v>
      </c>
      <c r="T2840" s="2" t="s">
        <v>40</v>
      </c>
      <c r="U2840" s="2" t="s">
        <v>21741</v>
      </c>
      <c r="V2840" s="2"/>
      <c r="W2840" s="2" t="s">
        <v>4487</v>
      </c>
      <c r="X2840" s="2" t="s">
        <v>43</v>
      </c>
      <c r="Y2840" s="2" t="s">
        <v>37</v>
      </c>
      <c r="Z2840" s="2" t="s">
        <v>44</v>
      </c>
      <c r="AA2840" s="2"/>
      <c r="AB2840" s="2"/>
      <c r="AC2840" s="2" t="s">
        <v>21742</v>
      </c>
      <c r="AD2840" s="2" t="s">
        <v>46</v>
      </c>
    </row>
    <row r="2841" customFormat="false" ht="15.7" hidden="false" customHeight="true" outlineLevel="0" collapsed="false">
      <c r="A2841" s="2"/>
      <c r="B2841" s="3" t="n">
        <f aca="false">DATE(2016,11,22)</f>
        <v>0</v>
      </c>
      <c r="C2841" s="3" t="n">
        <v>42696</v>
      </c>
      <c r="D2841" s="2" t="s">
        <v>21743</v>
      </c>
      <c r="F2841" s="2" t="s">
        <v>21744</v>
      </c>
      <c r="G2841" s="2" t="s">
        <v>21745</v>
      </c>
      <c r="H2841" s="2" t="s">
        <v>21746</v>
      </c>
      <c r="I2841" s="2" t="s">
        <v>540</v>
      </c>
      <c r="J2841" s="2" t="s">
        <v>35</v>
      </c>
      <c r="K2841" s="2" t="s">
        <v>21743</v>
      </c>
      <c r="L2841" s="2" t="s">
        <v>540</v>
      </c>
      <c r="M2841" s="2" t="s">
        <v>21747</v>
      </c>
      <c r="N2841" s="2" t="s">
        <v>21748</v>
      </c>
      <c r="O2841" s="2" t="s">
        <v>21749</v>
      </c>
      <c r="P2841" s="2" t="s">
        <v>37</v>
      </c>
      <c r="Q2841" s="4" t="n">
        <v>2836</v>
      </c>
      <c r="R2841" s="2" t="s">
        <v>1448</v>
      </c>
      <c r="S2841" s="2" t="s">
        <v>39</v>
      </c>
      <c r="T2841" s="2" t="s">
        <v>40</v>
      </c>
      <c r="U2841" s="2" t="s">
        <v>21750</v>
      </c>
      <c r="V2841" s="2"/>
      <c r="W2841" s="2" t="s">
        <v>697</v>
      </c>
      <c r="X2841" s="2" t="s">
        <v>46</v>
      </c>
      <c r="Y2841" s="2" t="s">
        <v>37</v>
      </c>
      <c r="Z2841" s="2" t="s">
        <v>362</v>
      </c>
      <c r="AA2841" s="2"/>
      <c r="AB2841" s="2" t="s">
        <v>21751</v>
      </c>
      <c r="AC2841" s="2" t="s">
        <v>21752</v>
      </c>
      <c r="AD2841" s="2" t="s">
        <v>46</v>
      </c>
    </row>
    <row r="2842" customFormat="false" ht="15.7" hidden="false" customHeight="true" outlineLevel="0" collapsed="false">
      <c r="A2842" s="2"/>
      <c r="B2842" s="3" t="n">
        <f aca="false">DATE(2016,11,22)</f>
        <v>0</v>
      </c>
      <c r="C2842" s="3" t="n">
        <v>42696</v>
      </c>
      <c r="D2842" s="2" t="s">
        <v>21753</v>
      </c>
      <c r="F2842" s="2" t="s">
        <v>3743</v>
      </c>
      <c r="G2842" s="2" t="s">
        <v>21754</v>
      </c>
      <c r="H2842" s="2" t="s">
        <v>130</v>
      </c>
      <c r="I2842" s="2" t="s">
        <v>330</v>
      </c>
      <c r="J2842" s="2" t="s">
        <v>12583</v>
      </c>
      <c r="K2842" s="2" t="s">
        <v>21753</v>
      </c>
      <c r="L2842" s="2" t="s">
        <v>330</v>
      </c>
      <c r="M2842" s="2" t="s">
        <v>130</v>
      </c>
      <c r="N2842" s="2" t="s">
        <v>21755</v>
      </c>
      <c r="O2842" s="2"/>
      <c r="P2842" s="2" t="s">
        <v>37</v>
      </c>
      <c r="Q2842" s="4" t="n">
        <v>8731</v>
      </c>
      <c r="R2842" s="2" t="s">
        <v>56</v>
      </c>
      <c r="S2842" s="2"/>
      <c r="T2842" s="2" t="s">
        <v>40</v>
      </c>
      <c r="U2842" s="2" t="s">
        <v>21756</v>
      </c>
      <c r="V2842" s="2"/>
      <c r="W2842" s="2" t="s">
        <v>744</v>
      </c>
      <c r="X2842" s="2" t="s">
        <v>43</v>
      </c>
      <c r="Y2842" s="2" t="s">
        <v>37</v>
      </c>
      <c r="Z2842" s="2" t="s">
        <v>44</v>
      </c>
      <c r="AA2842" s="2"/>
      <c r="AB2842" s="2"/>
      <c r="AC2842" s="2" t="s">
        <v>21757</v>
      </c>
      <c r="AD2842" s="2" t="s">
        <v>46</v>
      </c>
    </row>
    <row r="2843" customFormat="false" ht="15.7" hidden="false" customHeight="true" outlineLevel="0" collapsed="false">
      <c r="A2843" s="2"/>
      <c r="B2843" s="3" t="n">
        <f aca="false">DATE(2016,11,22)</f>
        <v>0</v>
      </c>
      <c r="C2843" s="3" t="n">
        <v>42696</v>
      </c>
      <c r="D2843" s="2" t="s">
        <v>21758</v>
      </c>
      <c r="F2843" s="2" t="s">
        <v>21759</v>
      </c>
      <c r="G2843" s="2" t="s">
        <v>21760</v>
      </c>
      <c r="H2843" s="2" t="s">
        <v>21761</v>
      </c>
      <c r="I2843" s="2" t="s">
        <v>21762</v>
      </c>
      <c r="J2843" s="2" t="s">
        <v>35</v>
      </c>
      <c r="K2843" s="2" t="s">
        <v>21763</v>
      </c>
      <c r="L2843" s="2" t="s">
        <v>21762</v>
      </c>
      <c r="M2843" s="2" t="s">
        <v>21761</v>
      </c>
      <c r="N2843" s="2" t="s">
        <v>21764</v>
      </c>
      <c r="O2843" s="2"/>
      <c r="P2843" s="2" t="s">
        <v>37</v>
      </c>
      <c r="Q2843" s="4" t="n">
        <v>8731</v>
      </c>
      <c r="R2843" s="2" t="s">
        <v>136</v>
      </c>
      <c r="S2843" s="2" t="s">
        <v>39</v>
      </c>
      <c r="T2843" s="2" t="s">
        <v>40</v>
      </c>
      <c r="U2843" s="2" t="s">
        <v>21765</v>
      </c>
      <c r="V2843" s="2"/>
      <c r="W2843" s="2" t="s">
        <v>10912</v>
      </c>
      <c r="X2843" s="2" t="s">
        <v>43</v>
      </c>
      <c r="Y2843" s="2" t="s">
        <v>37</v>
      </c>
      <c r="Z2843" s="2" t="s">
        <v>44</v>
      </c>
      <c r="AA2843" s="2"/>
      <c r="AB2843" s="2"/>
      <c r="AC2843" s="2" t="s">
        <v>21766</v>
      </c>
      <c r="AD2843" s="2" t="s">
        <v>46</v>
      </c>
    </row>
    <row r="2844" customFormat="false" ht="15.7" hidden="false" customHeight="true" outlineLevel="0" collapsed="false">
      <c r="A2844" s="2"/>
      <c r="B2844" s="3" t="n">
        <f aca="false">DATE(2016,11,23)</f>
        <v>0</v>
      </c>
      <c r="C2844" s="3" t="n">
        <v>42697</v>
      </c>
      <c r="D2844" s="2" t="s">
        <v>21767</v>
      </c>
      <c r="F2844" s="2" t="s">
        <v>8792</v>
      </c>
      <c r="G2844" s="2" t="s">
        <v>21768</v>
      </c>
      <c r="H2844" s="2" t="s">
        <v>21769</v>
      </c>
      <c r="I2844" s="2" t="s">
        <v>51</v>
      </c>
      <c r="J2844" s="2" t="s">
        <v>21770</v>
      </c>
      <c r="K2844" s="2" t="s">
        <v>21767</v>
      </c>
      <c r="L2844" s="2" t="s">
        <v>51</v>
      </c>
      <c r="M2844" s="2" t="s">
        <v>21769</v>
      </c>
      <c r="N2844" s="2" t="s">
        <v>21771</v>
      </c>
      <c r="O2844" s="2"/>
      <c r="P2844" s="2" t="s">
        <v>37</v>
      </c>
      <c r="Q2844" s="4" t="n">
        <v>8731</v>
      </c>
      <c r="R2844" s="2" t="s">
        <v>56</v>
      </c>
      <c r="S2844" s="2"/>
      <c r="T2844" s="2" t="s">
        <v>40</v>
      </c>
      <c r="U2844" s="2" t="s">
        <v>21772</v>
      </c>
      <c r="V2844" s="2"/>
      <c r="W2844" s="2" t="s">
        <v>42</v>
      </c>
      <c r="X2844" s="2" t="s">
        <v>43</v>
      </c>
      <c r="Y2844" s="2" t="s">
        <v>37</v>
      </c>
      <c r="Z2844" s="2" t="s">
        <v>44</v>
      </c>
      <c r="AA2844" s="2"/>
      <c r="AB2844" s="2"/>
      <c r="AC2844" s="2" t="s">
        <v>21773</v>
      </c>
      <c r="AD2844" s="2" t="s">
        <v>46</v>
      </c>
    </row>
    <row r="2845" customFormat="false" ht="15.7" hidden="false" customHeight="true" outlineLevel="0" collapsed="false">
      <c r="A2845" s="2"/>
      <c r="B2845" s="3" t="n">
        <f aca="false">DATE(2016,11,24)</f>
        <v>0</v>
      </c>
      <c r="C2845" s="3" t="n">
        <v>42698</v>
      </c>
      <c r="D2845" s="2" t="s">
        <v>21774</v>
      </c>
      <c r="F2845" s="2" t="s">
        <v>21775</v>
      </c>
      <c r="G2845" s="2" t="s">
        <v>21776</v>
      </c>
      <c r="H2845" s="2" t="s">
        <v>21777</v>
      </c>
      <c r="I2845" s="2" t="s">
        <v>6838</v>
      </c>
      <c r="J2845" s="2" t="s">
        <v>35</v>
      </c>
      <c r="K2845" s="2" t="s">
        <v>21778</v>
      </c>
      <c r="L2845" s="2" t="s">
        <v>6838</v>
      </c>
      <c r="M2845" s="2" t="s">
        <v>21779</v>
      </c>
      <c r="N2845" s="2" t="s">
        <v>21780</v>
      </c>
      <c r="O2845" s="2"/>
      <c r="P2845" s="2" t="s">
        <v>37</v>
      </c>
      <c r="Q2845" s="4" t="n">
        <v>8731</v>
      </c>
      <c r="R2845" s="2" t="s">
        <v>402</v>
      </c>
      <c r="S2845" s="2" t="s">
        <v>39</v>
      </c>
      <c r="T2845" s="2" t="s">
        <v>403</v>
      </c>
      <c r="U2845" s="2" t="s">
        <v>21781</v>
      </c>
      <c r="V2845" s="2"/>
      <c r="W2845" s="2" t="s">
        <v>42</v>
      </c>
      <c r="X2845" s="2" t="s">
        <v>46</v>
      </c>
      <c r="Y2845" s="2" t="s">
        <v>37</v>
      </c>
      <c r="Z2845" s="2" t="s">
        <v>21782</v>
      </c>
      <c r="AA2845" s="2" t="s">
        <v>21783</v>
      </c>
      <c r="AB2845" s="2"/>
      <c r="AC2845" s="2" t="s">
        <v>21784</v>
      </c>
      <c r="AD2845" s="2" t="s">
        <v>46</v>
      </c>
    </row>
    <row r="2846" customFormat="false" ht="15.7" hidden="false" customHeight="true" outlineLevel="0" collapsed="false">
      <c r="A2846" s="2"/>
      <c r="B2846" s="3" t="n">
        <f aca="false">DATE(2016,11,28)</f>
        <v>0</v>
      </c>
      <c r="C2846" s="3" t="n">
        <v>42702</v>
      </c>
      <c r="D2846" s="2" t="s">
        <v>21785</v>
      </c>
      <c r="F2846" s="2" t="s">
        <v>21786</v>
      </c>
      <c r="G2846" s="2" t="s">
        <v>21787</v>
      </c>
      <c r="H2846" s="2" t="s">
        <v>387</v>
      </c>
      <c r="I2846" s="2" t="s">
        <v>51</v>
      </c>
      <c r="J2846" s="2" t="s">
        <v>15068</v>
      </c>
      <c r="K2846" s="2" t="s">
        <v>21785</v>
      </c>
      <c r="L2846" s="2" t="s">
        <v>51</v>
      </c>
      <c r="M2846" s="2" t="s">
        <v>387</v>
      </c>
      <c r="N2846" s="2" t="s">
        <v>21788</v>
      </c>
      <c r="O2846" s="2"/>
      <c r="P2846" s="2" t="s">
        <v>37</v>
      </c>
      <c r="Q2846" s="4" t="n">
        <v>8731</v>
      </c>
      <c r="R2846" s="2" t="s">
        <v>56</v>
      </c>
      <c r="S2846" s="2"/>
      <c r="T2846" s="2" t="s">
        <v>40</v>
      </c>
      <c r="U2846" s="2" t="s">
        <v>21789</v>
      </c>
      <c r="V2846" s="2"/>
      <c r="W2846" s="2" t="s">
        <v>42</v>
      </c>
      <c r="X2846" s="2" t="s">
        <v>43</v>
      </c>
      <c r="Y2846" s="2" t="s">
        <v>37</v>
      </c>
      <c r="Z2846" s="2" t="s">
        <v>44</v>
      </c>
      <c r="AA2846" s="2"/>
      <c r="AB2846" s="2"/>
      <c r="AC2846" s="2" t="s">
        <v>21790</v>
      </c>
      <c r="AD2846" s="2" t="s">
        <v>46</v>
      </c>
    </row>
    <row r="2847" customFormat="false" ht="15.7" hidden="false" customHeight="true" outlineLevel="0" collapsed="false">
      <c r="A2847" s="2"/>
      <c r="B2847" s="3" t="n">
        <f aca="false">DATE(2016,11,28)</f>
        <v>0</v>
      </c>
      <c r="C2847" s="3" t="n">
        <v>42702</v>
      </c>
      <c r="D2847" s="2" t="s">
        <v>21791</v>
      </c>
      <c r="F2847" s="2" t="s">
        <v>12803</v>
      </c>
      <c r="G2847" s="2" t="s">
        <v>21792</v>
      </c>
      <c r="H2847" s="2" t="s">
        <v>9924</v>
      </c>
      <c r="I2847" s="2" t="s">
        <v>487</v>
      </c>
      <c r="J2847" s="2" t="s">
        <v>258</v>
      </c>
      <c r="K2847" s="2" t="s">
        <v>21793</v>
      </c>
      <c r="L2847" s="2" t="s">
        <v>487</v>
      </c>
      <c r="M2847" s="2" t="s">
        <v>21794</v>
      </c>
      <c r="N2847" s="2" t="s">
        <v>21795</v>
      </c>
      <c r="O2847" s="2"/>
      <c r="P2847" s="2" t="s">
        <v>37</v>
      </c>
      <c r="Q2847" s="4" t="n">
        <v>8099</v>
      </c>
      <c r="R2847" s="2" t="s">
        <v>56</v>
      </c>
      <c r="S2847" s="2" t="s">
        <v>251</v>
      </c>
      <c r="T2847" s="2" t="s">
        <v>40</v>
      </c>
      <c r="U2847" s="2" t="s">
        <v>21796</v>
      </c>
      <c r="V2847" s="2"/>
      <c r="W2847" s="2" t="s">
        <v>4487</v>
      </c>
      <c r="X2847" s="2" t="s">
        <v>43</v>
      </c>
      <c r="Y2847" s="2" t="s">
        <v>37</v>
      </c>
      <c r="Z2847" s="2" t="s">
        <v>44</v>
      </c>
      <c r="AA2847" s="2"/>
      <c r="AB2847" s="2"/>
      <c r="AC2847" s="2" t="s">
        <v>21797</v>
      </c>
      <c r="AD2847" s="2" t="s">
        <v>46</v>
      </c>
    </row>
    <row r="2848" customFormat="false" ht="15.7" hidden="false" customHeight="true" outlineLevel="0" collapsed="false">
      <c r="A2848" s="2"/>
      <c r="B2848" s="3" t="n">
        <f aca="false">DATE(2016,11,29)</f>
        <v>0</v>
      </c>
      <c r="C2848" s="3" t="n">
        <v>42703</v>
      </c>
      <c r="D2848" s="2" t="s">
        <v>21798</v>
      </c>
      <c r="F2848" s="2" t="s">
        <v>21799</v>
      </c>
      <c r="G2848" s="2" t="s">
        <v>21800</v>
      </c>
      <c r="H2848" s="2" t="s">
        <v>9318</v>
      </c>
      <c r="I2848" s="2" t="s">
        <v>51</v>
      </c>
      <c r="J2848" s="2" t="s">
        <v>19701</v>
      </c>
      <c r="K2848" s="2" t="s">
        <v>21801</v>
      </c>
      <c r="L2848" s="2" t="s">
        <v>51</v>
      </c>
      <c r="M2848" s="2" t="s">
        <v>9318</v>
      </c>
      <c r="N2848" s="2" t="s">
        <v>21802</v>
      </c>
      <c r="O2848" s="2"/>
      <c r="P2848" s="2" t="s">
        <v>37</v>
      </c>
      <c r="Q2848" s="4" t="n">
        <v>8731</v>
      </c>
      <c r="R2848" s="2" t="s">
        <v>56</v>
      </c>
      <c r="S2848" s="2"/>
      <c r="T2848" s="2" t="s">
        <v>40</v>
      </c>
      <c r="U2848" s="2" t="s">
        <v>21803</v>
      </c>
      <c r="V2848" s="2"/>
      <c r="W2848" s="2" t="s">
        <v>344</v>
      </c>
      <c r="X2848" s="2" t="s">
        <v>43</v>
      </c>
      <c r="Y2848" s="2" t="s">
        <v>37</v>
      </c>
      <c r="Z2848" s="2" t="s">
        <v>44</v>
      </c>
      <c r="AA2848" s="2"/>
      <c r="AB2848" s="2"/>
      <c r="AC2848" s="2" t="s">
        <v>21804</v>
      </c>
      <c r="AD2848" s="2" t="s">
        <v>46</v>
      </c>
    </row>
    <row r="2849" customFormat="false" ht="15.7" hidden="false" customHeight="true" outlineLevel="0" collapsed="false">
      <c r="A2849" s="2"/>
      <c r="B2849" s="3" t="n">
        <f aca="false">DATE(2016,11,29)</f>
        <v>0</v>
      </c>
      <c r="C2849" s="3" t="n">
        <v>42703</v>
      </c>
      <c r="D2849" s="2" t="s">
        <v>21805</v>
      </c>
      <c r="F2849" s="2" t="s">
        <v>21806</v>
      </c>
      <c r="G2849" s="2" t="s">
        <v>21807</v>
      </c>
      <c r="H2849" s="2" t="s">
        <v>523</v>
      </c>
      <c r="I2849" s="2" t="s">
        <v>1080</v>
      </c>
      <c r="J2849" s="2" t="s">
        <v>35</v>
      </c>
      <c r="K2849" s="2" t="s">
        <v>21805</v>
      </c>
      <c r="L2849" s="2" t="s">
        <v>1080</v>
      </c>
      <c r="M2849" s="2" t="s">
        <v>523</v>
      </c>
      <c r="N2849" s="2" t="s">
        <v>21808</v>
      </c>
      <c r="O2849" s="2"/>
      <c r="P2849" s="2" t="s">
        <v>37</v>
      </c>
      <c r="Q2849" s="4" t="n">
        <v>8731</v>
      </c>
      <c r="R2849" s="2" t="s">
        <v>2201</v>
      </c>
      <c r="S2849" s="2" t="s">
        <v>39</v>
      </c>
      <c r="T2849" s="2" t="s">
        <v>40</v>
      </c>
      <c r="U2849" s="2" t="s">
        <v>21809</v>
      </c>
      <c r="V2849" s="2"/>
      <c r="W2849" s="2" t="s">
        <v>344</v>
      </c>
      <c r="X2849" s="2" t="s">
        <v>43</v>
      </c>
      <c r="Y2849" s="2" t="s">
        <v>37</v>
      </c>
      <c r="Z2849" s="2" t="s">
        <v>44</v>
      </c>
      <c r="AA2849" s="2"/>
      <c r="AB2849" s="2"/>
      <c r="AC2849" s="2" t="s">
        <v>21810</v>
      </c>
      <c r="AD2849" s="2" t="s">
        <v>46</v>
      </c>
    </row>
    <row r="2850" customFormat="false" ht="15.7" hidden="false" customHeight="true" outlineLevel="0" collapsed="false">
      <c r="A2850" s="2"/>
      <c r="B2850" s="3" t="n">
        <f aca="false">DATE(2016,12,1)</f>
        <v>0</v>
      </c>
      <c r="C2850" s="3" t="n">
        <v>42705</v>
      </c>
      <c r="D2850" s="2" t="s">
        <v>21811</v>
      </c>
      <c r="F2850" s="2" t="s">
        <v>21812</v>
      </c>
      <c r="G2850" s="2" t="s">
        <v>21813</v>
      </c>
      <c r="H2850" s="2" t="s">
        <v>387</v>
      </c>
      <c r="I2850" s="2" t="s">
        <v>1645</v>
      </c>
      <c r="J2850" s="2" t="s">
        <v>35</v>
      </c>
      <c r="K2850" s="2" t="s">
        <v>21811</v>
      </c>
      <c r="L2850" s="2" t="s">
        <v>1645</v>
      </c>
      <c r="M2850" s="2" t="s">
        <v>387</v>
      </c>
      <c r="N2850" s="2" t="s">
        <v>21814</v>
      </c>
      <c r="O2850" s="2"/>
      <c r="P2850" s="2" t="s">
        <v>37</v>
      </c>
      <c r="Q2850" s="4" t="n">
        <v>8731</v>
      </c>
      <c r="R2850" s="2" t="s">
        <v>1402</v>
      </c>
      <c r="S2850" s="2" t="s">
        <v>39</v>
      </c>
      <c r="T2850" s="2" t="s">
        <v>40</v>
      </c>
      <c r="U2850" s="2" t="s">
        <v>21815</v>
      </c>
      <c r="V2850" s="2"/>
      <c r="W2850" s="2" t="s">
        <v>42</v>
      </c>
      <c r="X2850" s="2" t="s">
        <v>43</v>
      </c>
      <c r="Y2850" s="2" t="s">
        <v>37</v>
      </c>
      <c r="Z2850" s="2" t="s">
        <v>44</v>
      </c>
      <c r="AA2850" s="2"/>
      <c r="AB2850" s="2"/>
      <c r="AC2850" s="2" t="s">
        <v>21816</v>
      </c>
      <c r="AD2850" s="2" t="s">
        <v>46</v>
      </c>
    </row>
    <row r="2851" customFormat="false" ht="15.7" hidden="false" customHeight="true" outlineLevel="0" collapsed="false">
      <c r="A2851" s="2"/>
      <c r="B2851" s="3" t="n">
        <f aca="false">DATE(2016,12,5)</f>
        <v>0</v>
      </c>
      <c r="C2851" s="3" t="n">
        <v>42709</v>
      </c>
      <c r="D2851" s="2" t="s">
        <v>21817</v>
      </c>
      <c r="F2851" s="2" t="s">
        <v>21818</v>
      </c>
      <c r="G2851" s="2" t="s">
        <v>21819</v>
      </c>
      <c r="H2851" s="2" t="s">
        <v>4114</v>
      </c>
      <c r="I2851" s="2" t="s">
        <v>410</v>
      </c>
      <c r="J2851" s="2" t="s">
        <v>6730</v>
      </c>
      <c r="K2851" s="2" t="s">
        <v>21820</v>
      </c>
      <c r="L2851" s="2" t="s">
        <v>410</v>
      </c>
      <c r="M2851" s="2" t="s">
        <v>814</v>
      </c>
      <c r="N2851" s="2" t="s">
        <v>21821</v>
      </c>
      <c r="O2851" s="2"/>
      <c r="P2851" s="2" t="s">
        <v>37</v>
      </c>
      <c r="Q2851" s="4" t="n">
        <v>6794</v>
      </c>
      <c r="R2851" s="2" t="s">
        <v>136</v>
      </c>
      <c r="S2851" s="2" t="s">
        <v>39</v>
      </c>
      <c r="T2851" s="2" t="s">
        <v>40</v>
      </c>
      <c r="U2851" s="2" t="s">
        <v>21822</v>
      </c>
      <c r="V2851" s="2"/>
      <c r="W2851" s="2" t="s">
        <v>15545</v>
      </c>
      <c r="X2851" s="2" t="s">
        <v>43</v>
      </c>
      <c r="Y2851" s="2" t="s">
        <v>37</v>
      </c>
      <c r="Z2851" s="2" t="s">
        <v>44</v>
      </c>
      <c r="AA2851" s="2"/>
      <c r="AB2851" s="2"/>
      <c r="AC2851" s="2" t="s">
        <v>21823</v>
      </c>
      <c r="AD2851" s="2" t="s">
        <v>46</v>
      </c>
    </row>
    <row r="2852" customFormat="false" ht="15.7" hidden="false" customHeight="true" outlineLevel="0" collapsed="false">
      <c r="A2852" s="2"/>
      <c r="B2852" s="3" t="n">
        <f aca="false">DATE(2016,12,6)</f>
        <v>0</v>
      </c>
      <c r="C2852" s="3" t="n">
        <v>42710</v>
      </c>
      <c r="D2852" s="2" t="s">
        <v>21824</v>
      </c>
      <c r="F2852" s="2" t="s">
        <v>21825</v>
      </c>
      <c r="G2852" s="2" t="s">
        <v>21826</v>
      </c>
      <c r="H2852" s="2" t="s">
        <v>1851</v>
      </c>
      <c r="I2852" s="2" t="s">
        <v>51</v>
      </c>
      <c r="J2852" s="2" t="s">
        <v>2338</v>
      </c>
      <c r="K2852" s="2" t="s">
        <v>21824</v>
      </c>
      <c r="L2852" s="2" t="s">
        <v>51</v>
      </c>
      <c r="M2852" s="2" t="s">
        <v>1851</v>
      </c>
      <c r="N2852" s="2" t="s">
        <v>21827</v>
      </c>
      <c r="O2852" s="2"/>
      <c r="P2852" s="2" t="s">
        <v>37</v>
      </c>
      <c r="Q2852" s="4" t="n">
        <v>8731</v>
      </c>
      <c r="R2852" s="2" t="s">
        <v>56</v>
      </c>
      <c r="S2852" s="2"/>
      <c r="T2852" s="2" t="s">
        <v>40</v>
      </c>
      <c r="U2852" s="2" t="s">
        <v>21828</v>
      </c>
      <c r="V2852" s="2"/>
      <c r="W2852" s="2" t="s">
        <v>697</v>
      </c>
      <c r="X2852" s="2" t="s">
        <v>43</v>
      </c>
      <c r="Y2852" s="2" t="s">
        <v>37</v>
      </c>
      <c r="Z2852" s="2" t="s">
        <v>44</v>
      </c>
      <c r="AA2852" s="2"/>
      <c r="AB2852" s="2"/>
      <c r="AC2852" s="2" t="s">
        <v>21829</v>
      </c>
      <c r="AD2852" s="2" t="s">
        <v>46</v>
      </c>
    </row>
    <row r="2853" customFormat="false" ht="15.7" hidden="false" customHeight="true" outlineLevel="0" collapsed="false">
      <c r="A2853" s="2"/>
      <c r="B2853" s="3" t="n">
        <f aca="false">DATE(2016,12,7)</f>
        <v>0</v>
      </c>
      <c r="C2853" s="3" t="n">
        <v>42711</v>
      </c>
      <c r="D2853" s="2" t="s">
        <v>21830</v>
      </c>
      <c r="F2853" s="2" t="s">
        <v>21831</v>
      </c>
      <c r="G2853" s="2" t="s">
        <v>21832</v>
      </c>
      <c r="H2853" s="2" t="s">
        <v>21833</v>
      </c>
      <c r="I2853" s="2" t="s">
        <v>6838</v>
      </c>
      <c r="J2853" s="2" t="s">
        <v>35</v>
      </c>
      <c r="K2853" s="2" t="s">
        <v>21830</v>
      </c>
      <c r="L2853" s="2" t="s">
        <v>6838</v>
      </c>
      <c r="M2853" s="2" t="s">
        <v>21833</v>
      </c>
      <c r="N2853" s="2" t="s">
        <v>21834</v>
      </c>
      <c r="O2853" s="2"/>
      <c r="P2853" s="2" t="s">
        <v>37</v>
      </c>
      <c r="Q2853" s="4" t="n">
        <v>8731</v>
      </c>
      <c r="R2853" s="2" t="s">
        <v>402</v>
      </c>
      <c r="S2853" s="2" t="s">
        <v>39</v>
      </c>
      <c r="T2853" s="2" t="s">
        <v>403</v>
      </c>
      <c r="U2853" s="2" t="s">
        <v>21835</v>
      </c>
      <c r="V2853" s="2"/>
      <c r="W2853" s="2" t="s">
        <v>11368</v>
      </c>
      <c r="X2853" s="2" t="s">
        <v>46</v>
      </c>
      <c r="Y2853" s="2" t="s">
        <v>37</v>
      </c>
      <c r="Z2853" s="2" t="s">
        <v>20786</v>
      </c>
      <c r="AA2853" s="2" t="s">
        <v>21836</v>
      </c>
      <c r="AB2853" s="2"/>
      <c r="AC2853" s="2" t="s">
        <v>21837</v>
      </c>
      <c r="AD2853" s="2" t="s">
        <v>46</v>
      </c>
    </row>
    <row r="2854" customFormat="false" ht="15.7" hidden="false" customHeight="true" outlineLevel="0" collapsed="false">
      <c r="A2854" s="2"/>
      <c r="B2854" s="3" t="n">
        <f aca="false">DATE(2016,12,7)</f>
        <v>0</v>
      </c>
      <c r="C2854" s="3" t="n">
        <v>42711</v>
      </c>
      <c r="D2854" s="2" t="s">
        <v>21838</v>
      </c>
      <c r="F2854" s="2" t="s">
        <v>21839</v>
      </c>
      <c r="G2854" s="2" t="s">
        <v>21840</v>
      </c>
      <c r="H2854" s="2" t="s">
        <v>2283</v>
      </c>
      <c r="I2854" s="2" t="s">
        <v>965</v>
      </c>
      <c r="J2854" s="2" t="s">
        <v>132</v>
      </c>
      <c r="K2854" s="2" t="s">
        <v>21841</v>
      </c>
      <c r="L2854" s="2" t="s">
        <v>965</v>
      </c>
      <c r="M2854" s="2" t="s">
        <v>21842</v>
      </c>
      <c r="N2854" s="2" t="s">
        <v>21843</v>
      </c>
      <c r="O2854" s="2"/>
      <c r="P2854" s="2" t="s">
        <v>37</v>
      </c>
      <c r="Q2854" s="4" t="n">
        <v>8731</v>
      </c>
      <c r="R2854" s="2" t="s">
        <v>136</v>
      </c>
      <c r="S2854" s="2" t="s">
        <v>39</v>
      </c>
      <c r="T2854" s="2" t="s">
        <v>40</v>
      </c>
      <c r="U2854" s="2" t="s">
        <v>21844</v>
      </c>
      <c r="V2854" s="2"/>
      <c r="W2854" s="2" t="s">
        <v>42</v>
      </c>
      <c r="X2854" s="2" t="s">
        <v>43</v>
      </c>
      <c r="Y2854" s="2" t="s">
        <v>37</v>
      </c>
      <c r="Z2854" s="2" t="s">
        <v>44</v>
      </c>
      <c r="AA2854" s="2"/>
      <c r="AB2854" s="2"/>
      <c r="AC2854" s="2" t="s">
        <v>21845</v>
      </c>
      <c r="AD2854" s="2" t="s">
        <v>46</v>
      </c>
    </row>
    <row r="2855" customFormat="false" ht="15.7" hidden="false" customHeight="true" outlineLevel="0" collapsed="false">
      <c r="A2855" s="2"/>
      <c r="B2855" s="3" t="n">
        <f aca="false">DATE(2016,12,8)</f>
        <v>0</v>
      </c>
      <c r="C2855" s="3" t="n">
        <v>42712</v>
      </c>
      <c r="D2855" s="2" t="s">
        <v>21846</v>
      </c>
      <c r="F2855" s="2" t="s">
        <v>21847</v>
      </c>
      <c r="G2855" s="2" t="s">
        <v>21848</v>
      </c>
      <c r="H2855" s="2" t="s">
        <v>21849</v>
      </c>
      <c r="I2855" s="2" t="s">
        <v>487</v>
      </c>
      <c r="J2855" s="2" t="s">
        <v>6730</v>
      </c>
      <c r="K2855" s="2" t="s">
        <v>21846</v>
      </c>
      <c r="L2855" s="2" t="s">
        <v>487</v>
      </c>
      <c r="M2855" s="2" t="s">
        <v>21849</v>
      </c>
      <c r="N2855" s="2" t="s">
        <v>21850</v>
      </c>
      <c r="O2855" s="2"/>
      <c r="P2855" s="2" t="s">
        <v>37</v>
      </c>
      <c r="Q2855" s="4" t="n">
        <v>721</v>
      </c>
      <c r="R2855" s="2" t="s">
        <v>136</v>
      </c>
      <c r="S2855" s="2" t="s">
        <v>39</v>
      </c>
      <c r="T2855" s="2" t="s">
        <v>40</v>
      </c>
      <c r="U2855" s="2" t="s">
        <v>21851</v>
      </c>
      <c r="V2855" s="2"/>
      <c r="W2855" s="2" t="s">
        <v>21852</v>
      </c>
      <c r="X2855" s="2" t="s">
        <v>43</v>
      </c>
      <c r="Y2855" s="2" t="s">
        <v>37</v>
      </c>
      <c r="Z2855" s="2" t="s">
        <v>44</v>
      </c>
      <c r="AA2855" s="2"/>
      <c r="AB2855" s="2"/>
      <c r="AC2855" s="2" t="s">
        <v>21853</v>
      </c>
      <c r="AD2855" s="2" t="s">
        <v>46</v>
      </c>
    </row>
    <row r="2856" customFormat="false" ht="15.7" hidden="false" customHeight="true" outlineLevel="0" collapsed="false">
      <c r="A2856" s="2"/>
      <c r="B2856" s="3" t="n">
        <f aca="false">DATE(2016,12,13)</f>
        <v>0</v>
      </c>
      <c r="C2856" s="3" t="n">
        <v>42717</v>
      </c>
      <c r="D2856" s="2" t="s">
        <v>21854</v>
      </c>
      <c r="F2856" s="2" t="s">
        <v>21855</v>
      </c>
      <c r="G2856" s="2" t="s">
        <v>21856</v>
      </c>
      <c r="H2856" s="2" t="s">
        <v>17836</v>
      </c>
      <c r="I2856" s="2" t="s">
        <v>540</v>
      </c>
      <c r="J2856" s="2" t="s">
        <v>35</v>
      </c>
      <c r="K2856" s="2" t="s">
        <v>21854</v>
      </c>
      <c r="L2856" s="2" t="s">
        <v>540</v>
      </c>
      <c r="M2856" s="2" t="s">
        <v>17836</v>
      </c>
      <c r="N2856" s="2" t="s">
        <v>21857</v>
      </c>
      <c r="O2856" s="2"/>
      <c r="P2856" s="2" t="s">
        <v>37</v>
      </c>
      <c r="Q2856" s="4" t="n">
        <v>8731</v>
      </c>
      <c r="R2856" s="2" t="s">
        <v>1448</v>
      </c>
      <c r="S2856" s="2" t="s">
        <v>39</v>
      </c>
      <c r="T2856" s="2" t="s">
        <v>40</v>
      </c>
      <c r="U2856" s="2" t="s">
        <v>21858</v>
      </c>
      <c r="V2856" s="2"/>
      <c r="W2856" s="2" t="s">
        <v>138</v>
      </c>
      <c r="X2856" s="2" t="s">
        <v>43</v>
      </c>
      <c r="Y2856" s="2" t="s">
        <v>37</v>
      </c>
      <c r="Z2856" s="2" t="s">
        <v>44</v>
      </c>
      <c r="AA2856" s="2"/>
      <c r="AB2856" s="2"/>
      <c r="AC2856" s="2" t="s">
        <v>21859</v>
      </c>
      <c r="AD2856" s="2" t="s">
        <v>46</v>
      </c>
    </row>
    <row r="2857" customFormat="false" ht="15.7" hidden="false" customHeight="true" outlineLevel="0" collapsed="false">
      <c r="A2857" s="2"/>
      <c r="B2857" s="3" t="n">
        <f aca="false">DATE(2016,12,14)</f>
        <v>0</v>
      </c>
      <c r="C2857" s="3" t="n">
        <v>42718</v>
      </c>
      <c r="D2857" s="2" t="s">
        <v>21860</v>
      </c>
      <c r="F2857" s="2" t="s">
        <v>19085</v>
      </c>
      <c r="G2857" s="2" t="s">
        <v>21861</v>
      </c>
      <c r="H2857" s="2" t="s">
        <v>63</v>
      </c>
      <c r="I2857" s="2" t="s">
        <v>540</v>
      </c>
      <c r="J2857" s="2" t="s">
        <v>35</v>
      </c>
      <c r="K2857" s="2" t="s">
        <v>21860</v>
      </c>
      <c r="L2857" s="2" t="s">
        <v>540</v>
      </c>
      <c r="M2857" s="2" t="s">
        <v>63</v>
      </c>
      <c r="N2857" s="2" t="s">
        <v>21862</v>
      </c>
      <c r="O2857" s="2"/>
      <c r="P2857" s="2" t="s">
        <v>37</v>
      </c>
      <c r="Q2857" s="4" t="n">
        <v>3999</v>
      </c>
      <c r="R2857" s="2" t="s">
        <v>1448</v>
      </c>
      <c r="S2857" s="2" t="s">
        <v>39</v>
      </c>
      <c r="T2857" s="2" t="s">
        <v>40</v>
      </c>
      <c r="U2857" s="2" t="s">
        <v>21863</v>
      </c>
      <c r="V2857" s="2"/>
      <c r="W2857" s="2" t="s">
        <v>14244</v>
      </c>
      <c r="X2857" s="2" t="s">
        <v>46</v>
      </c>
      <c r="Y2857" s="2" t="s">
        <v>37</v>
      </c>
      <c r="Z2857" s="2" t="s">
        <v>44</v>
      </c>
      <c r="AA2857" s="2"/>
      <c r="AB2857" s="2"/>
      <c r="AC2857" s="2" t="s">
        <v>21864</v>
      </c>
      <c r="AD2857" s="2" t="s">
        <v>46</v>
      </c>
    </row>
    <row r="2858" customFormat="false" ht="15.7" hidden="false" customHeight="true" outlineLevel="0" collapsed="false">
      <c r="A2858" s="2"/>
      <c r="B2858" s="3" t="n">
        <f aca="false">DATE(2016,12,14)</f>
        <v>0</v>
      </c>
      <c r="C2858" s="3" t="n">
        <v>42718</v>
      </c>
      <c r="D2858" s="2" t="s">
        <v>21865</v>
      </c>
      <c r="F2858" s="2" t="s">
        <v>2814</v>
      </c>
      <c r="G2858" s="2" t="s">
        <v>21866</v>
      </c>
      <c r="H2858" s="2" t="s">
        <v>1770</v>
      </c>
      <c r="I2858" s="2" t="s">
        <v>4458</v>
      </c>
      <c r="J2858" s="2" t="s">
        <v>35</v>
      </c>
      <c r="K2858" s="2" t="s">
        <v>21867</v>
      </c>
      <c r="L2858" s="2" t="s">
        <v>4458</v>
      </c>
      <c r="M2858" s="2" t="s">
        <v>63</v>
      </c>
      <c r="N2858" s="2" t="s">
        <v>21868</v>
      </c>
      <c r="O2858" s="2"/>
      <c r="P2858" s="2" t="s">
        <v>37</v>
      </c>
      <c r="Q2858" s="4" t="n">
        <v>8731</v>
      </c>
      <c r="R2858" s="2" t="s">
        <v>402</v>
      </c>
      <c r="S2858" s="2" t="s">
        <v>39</v>
      </c>
      <c r="T2858" s="2" t="s">
        <v>403</v>
      </c>
      <c r="U2858" s="2" t="s">
        <v>21869</v>
      </c>
      <c r="V2858" s="2"/>
      <c r="W2858" s="2" t="s">
        <v>697</v>
      </c>
      <c r="X2858" s="2" t="s">
        <v>46</v>
      </c>
      <c r="Y2858" s="2" t="s">
        <v>37</v>
      </c>
      <c r="Z2858" s="2" t="s">
        <v>362</v>
      </c>
      <c r="AA2858" s="2" t="s">
        <v>21870</v>
      </c>
      <c r="AB2858" s="2"/>
      <c r="AC2858" s="2" t="s">
        <v>21871</v>
      </c>
      <c r="AD2858" s="2" t="s">
        <v>46</v>
      </c>
    </row>
    <row r="2859" customFormat="false" ht="15.7" hidden="false" customHeight="true" outlineLevel="0" collapsed="false">
      <c r="A2859" s="2"/>
      <c r="B2859" s="3" t="n">
        <f aca="false">DATE(2016,12,14)</f>
        <v>0</v>
      </c>
      <c r="C2859" s="3" t="n">
        <v>42718</v>
      </c>
      <c r="D2859" s="2" t="s">
        <v>21872</v>
      </c>
      <c r="F2859" s="2" t="s">
        <v>21873</v>
      </c>
      <c r="G2859" s="2" t="s">
        <v>21874</v>
      </c>
      <c r="H2859" s="2" t="s">
        <v>19211</v>
      </c>
      <c r="I2859" s="2" t="s">
        <v>685</v>
      </c>
      <c r="J2859" s="2" t="s">
        <v>35</v>
      </c>
      <c r="K2859" s="2" t="s">
        <v>21875</v>
      </c>
      <c r="L2859" s="2" t="s">
        <v>685</v>
      </c>
      <c r="M2859" s="2" t="s">
        <v>21876</v>
      </c>
      <c r="N2859" s="2" t="s">
        <v>21877</v>
      </c>
      <c r="O2859" s="2"/>
      <c r="P2859" s="2" t="s">
        <v>37</v>
      </c>
      <c r="Q2859" s="4" t="n">
        <v>8731</v>
      </c>
      <c r="R2859" s="2" t="s">
        <v>688</v>
      </c>
      <c r="S2859" s="2" t="s">
        <v>39</v>
      </c>
      <c r="T2859" s="2" t="s">
        <v>40</v>
      </c>
      <c r="U2859" s="2" t="s">
        <v>21878</v>
      </c>
      <c r="V2859" s="2"/>
      <c r="W2859" s="2" t="s">
        <v>3235</v>
      </c>
      <c r="X2859" s="2" t="s">
        <v>43</v>
      </c>
      <c r="Y2859" s="2" t="s">
        <v>37</v>
      </c>
      <c r="Z2859" s="2" t="s">
        <v>44</v>
      </c>
      <c r="AA2859" s="2"/>
      <c r="AB2859" s="2"/>
      <c r="AC2859" s="2" t="s">
        <v>21879</v>
      </c>
      <c r="AD2859" s="2" t="s">
        <v>46</v>
      </c>
    </row>
    <row r="2860" customFormat="false" ht="15.7" hidden="false" customHeight="true" outlineLevel="0" collapsed="false">
      <c r="A2860" s="2"/>
      <c r="B2860" s="3" t="n">
        <f aca="false">DATE(2016,12,16)</f>
        <v>0</v>
      </c>
      <c r="C2860" s="3" t="n">
        <v>42720</v>
      </c>
      <c r="D2860" s="2" t="s">
        <v>21880</v>
      </c>
      <c r="F2860" s="2" t="s">
        <v>21881</v>
      </c>
      <c r="G2860" s="2" t="s">
        <v>21882</v>
      </c>
      <c r="H2860" s="2" t="s">
        <v>7201</v>
      </c>
      <c r="I2860" s="2" t="s">
        <v>21883</v>
      </c>
      <c r="J2860" s="2" t="s">
        <v>35</v>
      </c>
      <c r="K2860" s="2" t="s">
        <v>21880</v>
      </c>
      <c r="L2860" s="2" t="s">
        <v>21883</v>
      </c>
      <c r="M2860" s="2" t="s">
        <v>7201</v>
      </c>
      <c r="N2860" s="2" t="s">
        <v>21884</v>
      </c>
      <c r="O2860" s="2"/>
      <c r="P2860" s="2" t="s">
        <v>37</v>
      </c>
      <c r="Q2860" s="4" t="n">
        <v>8731</v>
      </c>
      <c r="R2860" s="2" t="s">
        <v>136</v>
      </c>
      <c r="S2860" s="2" t="s">
        <v>39</v>
      </c>
      <c r="T2860" s="2" t="s">
        <v>403</v>
      </c>
      <c r="U2860" s="2" t="s">
        <v>21885</v>
      </c>
      <c r="V2860" s="2"/>
      <c r="W2860" s="2" t="s">
        <v>697</v>
      </c>
      <c r="X2860" s="2" t="s">
        <v>46</v>
      </c>
      <c r="Y2860" s="2" t="s">
        <v>37</v>
      </c>
      <c r="Z2860" s="2" t="s">
        <v>44</v>
      </c>
      <c r="AA2860" s="2" t="s">
        <v>21886</v>
      </c>
      <c r="AB2860" s="2"/>
      <c r="AC2860" s="2" t="s">
        <v>21887</v>
      </c>
      <c r="AD2860" s="2" t="s">
        <v>46</v>
      </c>
    </row>
    <row r="2861" customFormat="false" ht="15.7" hidden="false" customHeight="true" outlineLevel="0" collapsed="false">
      <c r="A2861" s="2"/>
      <c r="B2861" s="3" t="n">
        <f aca="false">DATE(2016,12,16)</f>
        <v>0</v>
      </c>
      <c r="C2861" s="3" t="n">
        <v>42720</v>
      </c>
      <c r="D2861" s="2" t="s">
        <v>21888</v>
      </c>
      <c r="F2861" s="2" t="s">
        <v>21889</v>
      </c>
      <c r="G2861" s="2" t="s">
        <v>21890</v>
      </c>
      <c r="H2861" s="2" t="s">
        <v>21891</v>
      </c>
      <c r="I2861" s="2" t="s">
        <v>21892</v>
      </c>
      <c r="J2861" s="2" t="s">
        <v>35</v>
      </c>
      <c r="K2861" s="2" t="s">
        <v>21888</v>
      </c>
      <c r="L2861" s="2" t="s">
        <v>21892</v>
      </c>
      <c r="M2861" s="2" t="s">
        <v>21891</v>
      </c>
      <c r="N2861" s="2" t="s">
        <v>21893</v>
      </c>
      <c r="O2861" s="2"/>
      <c r="P2861" s="2" t="s">
        <v>37</v>
      </c>
      <c r="Q2861" s="4" t="n">
        <v>8731</v>
      </c>
      <c r="R2861" s="2" t="s">
        <v>9420</v>
      </c>
      <c r="S2861" s="2" t="s">
        <v>39</v>
      </c>
      <c r="T2861" s="2" t="s">
        <v>40</v>
      </c>
      <c r="U2861" s="2" t="s">
        <v>21894</v>
      </c>
      <c r="V2861" s="2"/>
      <c r="W2861" s="2" t="s">
        <v>42</v>
      </c>
      <c r="X2861" s="2" t="s">
        <v>43</v>
      </c>
      <c r="Y2861" s="2" t="s">
        <v>37</v>
      </c>
      <c r="Z2861" s="2" t="s">
        <v>44</v>
      </c>
      <c r="AA2861" s="2"/>
      <c r="AB2861" s="2"/>
      <c r="AC2861" s="2" t="s">
        <v>21895</v>
      </c>
      <c r="AD2861" s="2" t="s">
        <v>46</v>
      </c>
    </row>
    <row r="2862" customFormat="false" ht="15.7" hidden="false" customHeight="true" outlineLevel="0" collapsed="false">
      <c r="A2862" s="2"/>
      <c r="B2862" s="3" t="n">
        <f aca="false">DATE(2016,12,16)</f>
        <v>0</v>
      </c>
      <c r="C2862" s="3" t="n">
        <v>42720</v>
      </c>
      <c r="D2862" s="2" t="s">
        <v>21880</v>
      </c>
      <c r="F2862" s="2" t="s">
        <v>21881</v>
      </c>
      <c r="G2862" s="2" t="s">
        <v>21882</v>
      </c>
      <c r="H2862" s="2" t="s">
        <v>7201</v>
      </c>
      <c r="I2862" s="2" t="s">
        <v>21883</v>
      </c>
      <c r="J2862" s="2" t="s">
        <v>35</v>
      </c>
      <c r="K2862" s="2" t="s">
        <v>21880</v>
      </c>
      <c r="L2862" s="2" t="s">
        <v>21883</v>
      </c>
      <c r="M2862" s="2" t="s">
        <v>7201</v>
      </c>
      <c r="N2862" s="2" t="s">
        <v>21884</v>
      </c>
      <c r="O2862" s="2"/>
      <c r="P2862" s="2" t="s">
        <v>37</v>
      </c>
      <c r="Q2862" s="4" t="n">
        <v>3999</v>
      </c>
      <c r="R2862" s="2" t="s">
        <v>1441</v>
      </c>
      <c r="S2862" s="2" t="s">
        <v>39</v>
      </c>
      <c r="T2862" s="2" t="s">
        <v>403</v>
      </c>
      <c r="U2862" s="2" t="s">
        <v>21896</v>
      </c>
      <c r="V2862" s="2"/>
      <c r="W2862" s="2" t="s">
        <v>107</v>
      </c>
      <c r="X2862" s="2" t="s">
        <v>46</v>
      </c>
      <c r="Y2862" s="2" t="s">
        <v>37</v>
      </c>
      <c r="Z2862" s="2" t="s">
        <v>44</v>
      </c>
      <c r="AA2862" s="2"/>
      <c r="AB2862" s="2"/>
      <c r="AC2862" s="2" t="s">
        <v>21887</v>
      </c>
      <c r="AD2862" s="2" t="s">
        <v>46</v>
      </c>
    </row>
    <row r="2863" customFormat="false" ht="15.7" hidden="false" customHeight="true" outlineLevel="0" collapsed="false">
      <c r="A2863" s="2"/>
      <c r="B2863" s="3" t="n">
        <f aca="false">DATE(2016,12,19)</f>
        <v>0</v>
      </c>
      <c r="C2863" s="3" t="n">
        <v>42723</v>
      </c>
      <c r="D2863" s="2" t="s">
        <v>21897</v>
      </c>
      <c r="F2863" s="2" t="s">
        <v>21382</v>
      </c>
      <c r="G2863" s="2" t="s">
        <v>21898</v>
      </c>
      <c r="H2863" s="2" t="s">
        <v>63</v>
      </c>
      <c r="I2863" s="2" t="s">
        <v>685</v>
      </c>
      <c r="J2863" s="2" t="s">
        <v>35</v>
      </c>
      <c r="K2863" s="2" t="s">
        <v>21897</v>
      </c>
      <c r="L2863" s="2" t="s">
        <v>685</v>
      </c>
      <c r="M2863" s="2" t="s">
        <v>63</v>
      </c>
      <c r="N2863" s="2" t="s">
        <v>21899</v>
      </c>
      <c r="O2863" s="2"/>
      <c r="P2863" s="2" t="s">
        <v>37</v>
      </c>
      <c r="Q2863" s="4" t="n">
        <v>6794</v>
      </c>
      <c r="R2863" s="2" t="s">
        <v>688</v>
      </c>
      <c r="S2863" s="2" t="s">
        <v>39</v>
      </c>
      <c r="T2863" s="2" t="s">
        <v>40</v>
      </c>
      <c r="U2863" s="2" t="s">
        <v>21900</v>
      </c>
      <c r="V2863" s="2"/>
      <c r="W2863" s="2" t="s">
        <v>82</v>
      </c>
      <c r="X2863" s="2" t="s">
        <v>43</v>
      </c>
      <c r="Y2863" s="2" t="s">
        <v>37</v>
      </c>
      <c r="Z2863" s="2" t="s">
        <v>44</v>
      </c>
      <c r="AA2863" s="2"/>
      <c r="AB2863" s="2"/>
      <c r="AC2863" s="2" t="s">
        <v>21901</v>
      </c>
      <c r="AD2863" s="2" t="s">
        <v>46</v>
      </c>
    </row>
    <row r="2864" customFormat="false" ht="15.7" hidden="false" customHeight="true" outlineLevel="0" collapsed="false">
      <c r="A2864" s="2"/>
      <c r="B2864" s="3" t="n">
        <f aca="false">DATE(2016,12,21)</f>
        <v>0</v>
      </c>
      <c r="C2864" s="3" t="n">
        <v>42725</v>
      </c>
      <c r="D2864" s="2" t="s">
        <v>21902</v>
      </c>
      <c r="F2864" s="2" t="s">
        <v>21903</v>
      </c>
      <c r="G2864" s="2" t="s">
        <v>21904</v>
      </c>
      <c r="H2864" s="2" t="s">
        <v>15799</v>
      </c>
      <c r="I2864" s="2" t="s">
        <v>4307</v>
      </c>
      <c r="J2864" s="2" t="s">
        <v>35</v>
      </c>
      <c r="K2864" s="2" t="s">
        <v>21902</v>
      </c>
      <c r="L2864" s="2" t="s">
        <v>4307</v>
      </c>
      <c r="M2864" s="2" t="s">
        <v>15799</v>
      </c>
      <c r="N2864" s="2" t="s">
        <v>21905</v>
      </c>
      <c r="O2864" s="2"/>
      <c r="P2864" s="2" t="s">
        <v>37</v>
      </c>
      <c r="Q2864" s="4" t="n">
        <v>8731</v>
      </c>
      <c r="R2864" s="2" t="s">
        <v>136</v>
      </c>
      <c r="S2864" s="2" t="s">
        <v>39</v>
      </c>
      <c r="T2864" s="2" t="s">
        <v>40</v>
      </c>
      <c r="U2864" s="2" t="s">
        <v>21906</v>
      </c>
      <c r="V2864" s="2"/>
      <c r="W2864" s="2" t="s">
        <v>1050</v>
      </c>
      <c r="X2864" s="2" t="s">
        <v>43</v>
      </c>
      <c r="Y2864" s="2" t="s">
        <v>37</v>
      </c>
      <c r="Z2864" s="2" t="s">
        <v>44</v>
      </c>
      <c r="AA2864" s="2"/>
      <c r="AB2864" s="2"/>
      <c r="AC2864" s="2" t="s">
        <v>21907</v>
      </c>
      <c r="AD2864" s="2" t="s">
        <v>46</v>
      </c>
    </row>
    <row r="2865" customFormat="false" ht="15.7" hidden="false" customHeight="true" outlineLevel="0" collapsed="false">
      <c r="A2865" s="2"/>
      <c r="B2865" s="3" t="n">
        <f aca="false">DATE(2016,12,21)</f>
        <v>0</v>
      </c>
      <c r="C2865" s="3" t="n">
        <v>42725</v>
      </c>
      <c r="D2865" s="2" t="s">
        <v>21908</v>
      </c>
      <c r="F2865" s="2" t="s">
        <v>21909</v>
      </c>
      <c r="G2865" s="2" t="s">
        <v>21910</v>
      </c>
      <c r="H2865" s="2" t="s">
        <v>21911</v>
      </c>
      <c r="I2865" s="2" t="s">
        <v>330</v>
      </c>
      <c r="J2865" s="2" t="s">
        <v>132</v>
      </c>
      <c r="K2865" s="2" t="s">
        <v>21912</v>
      </c>
      <c r="L2865" s="2" t="s">
        <v>330</v>
      </c>
      <c r="M2865" s="2" t="s">
        <v>21913</v>
      </c>
      <c r="N2865" s="2" t="s">
        <v>21914</v>
      </c>
      <c r="O2865" s="2"/>
      <c r="P2865" s="2" t="s">
        <v>37</v>
      </c>
      <c r="Q2865" s="4" t="n">
        <v>8731</v>
      </c>
      <c r="R2865" s="2" t="s">
        <v>136</v>
      </c>
      <c r="S2865" s="2" t="s">
        <v>39</v>
      </c>
      <c r="T2865" s="2" t="s">
        <v>40</v>
      </c>
      <c r="U2865" s="2" t="s">
        <v>21915</v>
      </c>
      <c r="V2865" s="2"/>
      <c r="W2865" s="2" t="s">
        <v>42</v>
      </c>
      <c r="X2865" s="2" t="s">
        <v>43</v>
      </c>
      <c r="Y2865" s="2" t="s">
        <v>37</v>
      </c>
      <c r="Z2865" s="2" t="s">
        <v>44</v>
      </c>
      <c r="AA2865" s="2"/>
      <c r="AB2865" s="2"/>
      <c r="AC2865" s="2" t="s">
        <v>21916</v>
      </c>
      <c r="AD2865" s="2" t="s">
        <v>46</v>
      </c>
    </row>
    <row r="2866" customFormat="false" ht="15.7" hidden="false" customHeight="true" outlineLevel="0" collapsed="false">
      <c r="A2866" s="2"/>
      <c r="B2866" s="3" t="n">
        <f aca="false">DATE(2016,12,27)</f>
        <v>0</v>
      </c>
      <c r="C2866" s="3" t="n">
        <v>42731</v>
      </c>
      <c r="D2866" s="2" t="s">
        <v>21917</v>
      </c>
      <c r="F2866" s="2" t="s">
        <v>21918</v>
      </c>
      <c r="G2866" s="2" t="s">
        <v>21919</v>
      </c>
      <c r="H2866" s="2" t="s">
        <v>21920</v>
      </c>
      <c r="I2866" s="2" t="s">
        <v>21921</v>
      </c>
      <c r="J2866" s="2" t="s">
        <v>1305</v>
      </c>
      <c r="K2866" s="2" t="s">
        <v>21922</v>
      </c>
      <c r="L2866" s="2" t="s">
        <v>11818</v>
      </c>
      <c r="M2866" s="2" t="s">
        <v>21923</v>
      </c>
      <c r="N2866" s="2" t="s">
        <v>21924</v>
      </c>
      <c r="O2866" s="2"/>
      <c r="P2866" s="2" t="s">
        <v>37</v>
      </c>
      <c r="Q2866" s="4" t="n">
        <v>1731</v>
      </c>
      <c r="R2866" s="2" t="s">
        <v>402</v>
      </c>
      <c r="S2866" s="2" t="s">
        <v>39</v>
      </c>
      <c r="T2866" s="2" t="s">
        <v>403</v>
      </c>
      <c r="U2866" s="2" t="s">
        <v>21925</v>
      </c>
      <c r="V2866" s="2"/>
      <c r="W2866" s="2" t="s">
        <v>11763</v>
      </c>
      <c r="X2866" s="2" t="s">
        <v>46</v>
      </c>
      <c r="Y2866" s="2" t="s">
        <v>37</v>
      </c>
      <c r="Z2866" s="2" t="s">
        <v>21926</v>
      </c>
      <c r="AA2866" s="2" t="s">
        <v>21927</v>
      </c>
      <c r="AB2866" s="2"/>
      <c r="AC2866" s="2" t="s">
        <v>21928</v>
      </c>
      <c r="AD2866" s="2" t="s">
        <v>46</v>
      </c>
    </row>
    <row r="2867" customFormat="false" ht="15.7" hidden="false" customHeight="true" outlineLevel="0" collapsed="false">
      <c r="A2867" s="2"/>
      <c r="B2867" s="3" t="n">
        <f aca="false">DATE(2016,12,27)</f>
        <v>0</v>
      </c>
      <c r="C2867" s="3" t="n">
        <v>42731</v>
      </c>
      <c r="D2867" s="2" t="s">
        <v>21929</v>
      </c>
      <c r="F2867" s="2" t="s">
        <v>21930</v>
      </c>
      <c r="G2867" s="2" t="s">
        <v>21931</v>
      </c>
      <c r="H2867" s="2" t="s">
        <v>21932</v>
      </c>
      <c r="I2867" s="2" t="s">
        <v>21068</v>
      </c>
      <c r="J2867" s="2" t="s">
        <v>398</v>
      </c>
      <c r="K2867" s="2" t="s">
        <v>21933</v>
      </c>
      <c r="L2867" s="2" t="s">
        <v>21068</v>
      </c>
      <c r="M2867" s="2" t="s">
        <v>21934</v>
      </c>
      <c r="N2867" s="2" t="s">
        <v>21935</v>
      </c>
      <c r="O2867" s="2"/>
      <c r="P2867" s="2" t="s">
        <v>37</v>
      </c>
      <c r="Q2867" s="4" t="n">
        <v>3999</v>
      </c>
      <c r="R2867" s="2" t="s">
        <v>402</v>
      </c>
      <c r="S2867" s="2" t="s">
        <v>39</v>
      </c>
      <c r="T2867" s="2" t="s">
        <v>403</v>
      </c>
      <c r="U2867" s="2" t="s">
        <v>21936</v>
      </c>
      <c r="V2867" s="2"/>
      <c r="W2867" s="2" t="s">
        <v>19834</v>
      </c>
      <c r="X2867" s="2" t="s">
        <v>46</v>
      </c>
      <c r="Y2867" s="2" t="s">
        <v>37</v>
      </c>
      <c r="Z2867" s="2" t="s">
        <v>21937</v>
      </c>
      <c r="AA2867" s="2" t="s">
        <v>21938</v>
      </c>
      <c r="AB2867" s="2"/>
      <c r="AC2867" s="2" t="s">
        <v>21939</v>
      </c>
      <c r="AD2867" s="2" t="s">
        <v>46</v>
      </c>
    </row>
    <row r="2868" customFormat="false" ht="15.7" hidden="false" customHeight="true" outlineLevel="0" collapsed="false">
      <c r="A2868" s="2"/>
      <c r="B2868" s="3" t="n">
        <f aca="false">DATE(2016,12,28)</f>
        <v>0</v>
      </c>
      <c r="C2868" s="3" t="n">
        <v>42732</v>
      </c>
      <c r="D2868" s="2" t="s">
        <v>21940</v>
      </c>
      <c r="F2868" s="2" t="s">
        <v>21941</v>
      </c>
      <c r="G2868" s="2" t="s">
        <v>21942</v>
      </c>
      <c r="H2868" s="2" t="s">
        <v>21943</v>
      </c>
      <c r="I2868" s="2" t="s">
        <v>8387</v>
      </c>
      <c r="J2868" s="2" t="s">
        <v>35</v>
      </c>
      <c r="K2868" s="2" t="s">
        <v>21940</v>
      </c>
      <c r="L2868" s="2" t="s">
        <v>8387</v>
      </c>
      <c r="M2868" s="2" t="s">
        <v>21943</v>
      </c>
      <c r="N2868" s="2" t="s">
        <v>21944</v>
      </c>
      <c r="O2868" s="2"/>
      <c r="P2868" s="2" t="s">
        <v>37</v>
      </c>
      <c r="Q2868" s="4" t="n">
        <v>8731</v>
      </c>
      <c r="R2868" s="2" t="s">
        <v>1402</v>
      </c>
      <c r="S2868" s="2" t="s">
        <v>39</v>
      </c>
      <c r="T2868" s="2" t="s">
        <v>403</v>
      </c>
      <c r="U2868" s="2" t="s">
        <v>21945</v>
      </c>
      <c r="V2868" s="2"/>
      <c r="W2868" s="2" t="s">
        <v>138</v>
      </c>
      <c r="X2868" s="2" t="s">
        <v>46</v>
      </c>
      <c r="Y2868" s="2" t="s">
        <v>37</v>
      </c>
      <c r="Z2868" s="2" t="s">
        <v>362</v>
      </c>
      <c r="AA2868" s="2"/>
      <c r="AB2868" s="2"/>
      <c r="AC2868" s="2" t="s">
        <v>21946</v>
      </c>
      <c r="AD2868" s="2" t="s">
        <v>46</v>
      </c>
    </row>
    <row r="2869" customFormat="false" ht="15.7" hidden="false" customHeight="true" outlineLevel="0" collapsed="false">
      <c r="A2869" s="2"/>
      <c r="B2869" s="3" t="n">
        <f aca="false">DATE(2016,12,29)</f>
        <v>0</v>
      </c>
      <c r="C2869" s="3" t="n">
        <v>42733</v>
      </c>
      <c r="D2869" s="2" t="s">
        <v>21947</v>
      </c>
      <c r="F2869" s="2" t="s">
        <v>21948</v>
      </c>
      <c r="G2869" s="2" t="s">
        <v>21949</v>
      </c>
      <c r="H2869" s="2" t="s">
        <v>21950</v>
      </c>
      <c r="I2869" s="2" t="s">
        <v>21068</v>
      </c>
      <c r="J2869" s="2" t="s">
        <v>398</v>
      </c>
      <c r="K2869" s="2" t="s">
        <v>21951</v>
      </c>
      <c r="L2869" s="2" t="s">
        <v>21068</v>
      </c>
      <c r="M2869" s="2" t="s">
        <v>21952</v>
      </c>
      <c r="N2869" s="2" t="s">
        <v>21953</v>
      </c>
      <c r="O2869" s="2" t="s">
        <v>21954</v>
      </c>
      <c r="P2869" s="2" t="s">
        <v>37</v>
      </c>
      <c r="Q2869" s="4" t="n">
        <v>8731</v>
      </c>
      <c r="R2869" s="2" t="s">
        <v>402</v>
      </c>
      <c r="S2869" s="2" t="s">
        <v>39</v>
      </c>
      <c r="T2869" s="2" t="s">
        <v>40</v>
      </c>
      <c r="U2869" s="2" t="s">
        <v>21955</v>
      </c>
      <c r="V2869" s="2"/>
      <c r="W2869" s="2" t="s">
        <v>773</v>
      </c>
      <c r="X2869" s="2" t="s">
        <v>46</v>
      </c>
      <c r="Y2869" s="2" t="s">
        <v>37</v>
      </c>
      <c r="Z2869" s="2" t="s">
        <v>21956</v>
      </c>
      <c r="AA2869" s="2" t="s">
        <v>21957</v>
      </c>
      <c r="AB2869" s="2" t="s">
        <v>21958</v>
      </c>
      <c r="AC2869" s="2" t="s">
        <v>21959</v>
      </c>
      <c r="AD2869" s="2" t="s">
        <v>46</v>
      </c>
    </row>
    <row r="2870" customFormat="false" ht="15.7" hidden="false" customHeight="true" outlineLevel="0" collapsed="false">
      <c r="A2870" s="3" t="n">
        <f aca="false">DATE(2017,1,2)</f>
        <v>0</v>
      </c>
      <c r="B2870" s="3" t="n">
        <f aca="false">DATE(2017,1,3)</f>
        <v>0</v>
      </c>
      <c r="C2870" s="3" t="n">
        <v>42738</v>
      </c>
      <c r="D2870" s="2" t="s">
        <v>21960</v>
      </c>
      <c r="F2870" s="2" t="s">
        <v>20650</v>
      </c>
      <c r="G2870" s="2" t="s">
        <v>21961</v>
      </c>
      <c r="H2870" s="2" t="s">
        <v>130</v>
      </c>
      <c r="I2870" s="2" t="s">
        <v>51</v>
      </c>
      <c r="J2870" s="2" t="s">
        <v>21962</v>
      </c>
      <c r="K2870" s="2" t="s">
        <v>21960</v>
      </c>
      <c r="L2870" s="2" t="s">
        <v>51</v>
      </c>
      <c r="M2870" s="2" t="s">
        <v>130</v>
      </c>
      <c r="N2870" s="2" t="s">
        <v>21963</v>
      </c>
      <c r="O2870" s="2"/>
      <c r="P2870" s="2" t="s">
        <v>37</v>
      </c>
      <c r="Q2870" s="4" t="n">
        <v>8742</v>
      </c>
      <c r="R2870" s="2" t="s">
        <v>56</v>
      </c>
      <c r="S2870" s="2" t="s">
        <v>17223</v>
      </c>
      <c r="T2870" s="2" t="s">
        <v>40</v>
      </c>
      <c r="U2870" s="2" t="s">
        <v>21964</v>
      </c>
      <c r="V2870" s="2"/>
      <c r="W2870" s="2" t="s">
        <v>7958</v>
      </c>
      <c r="X2870" s="2" t="s">
        <v>46</v>
      </c>
      <c r="Y2870" s="2" t="s">
        <v>37</v>
      </c>
      <c r="Z2870" s="2" t="s">
        <v>362</v>
      </c>
      <c r="AA2870" s="2"/>
      <c r="AB2870" s="2"/>
      <c r="AC2870" s="2" t="s">
        <v>21965</v>
      </c>
      <c r="AD2870" s="2" t="s">
        <v>46</v>
      </c>
    </row>
    <row r="2871" customFormat="false" ht="15.7" hidden="false" customHeight="true" outlineLevel="0" collapsed="false">
      <c r="A2871" s="2"/>
      <c r="B2871" s="3" t="n">
        <f aca="false">DATE(2017,1,5)</f>
        <v>0</v>
      </c>
      <c r="C2871" s="3" t="n">
        <v>42740</v>
      </c>
      <c r="D2871" s="2" t="s">
        <v>21966</v>
      </c>
      <c r="F2871" s="2" t="s">
        <v>21967</v>
      </c>
      <c r="G2871" s="2" t="s">
        <v>21968</v>
      </c>
      <c r="H2871" s="2" t="s">
        <v>368</v>
      </c>
      <c r="I2871" s="2" t="s">
        <v>51</v>
      </c>
      <c r="J2871" s="2" t="s">
        <v>21969</v>
      </c>
      <c r="K2871" s="2" t="s">
        <v>21966</v>
      </c>
      <c r="L2871" s="2" t="s">
        <v>51</v>
      </c>
      <c r="M2871" s="2" t="s">
        <v>368</v>
      </c>
      <c r="N2871" s="2" t="s">
        <v>21970</v>
      </c>
      <c r="O2871" s="2"/>
      <c r="P2871" s="2" t="s">
        <v>37</v>
      </c>
      <c r="Q2871" s="4" t="n">
        <v>6794</v>
      </c>
      <c r="R2871" s="2" t="s">
        <v>56</v>
      </c>
      <c r="S2871" s="2" t="s">
        <v>92</v>
      </c>
      <c r="T2871" s="2" t="s">
        <v>40</v>
      </c>
      <c r="U2871" s="2" t="s">
        <v>21971</v>
      </c>
      <c r="V2871" s="2"/>
      <c r="W2871" s="2" t="s">
        <v>15545</v>
      </c>
      <c r="X2871" s="2" t="s">
        <v>43</v>
      </c>
      <c r="Y2871" s="2" t="s">
        <v>37</v>
      </c>
      <c r="Z2871" s="2" t="s">
        <v>44</v>
      </c>
      <c r="AA2871" s="2"/>
      <c r="AB2871" s="2"/>
      <c r="AC2871" s="2" t="s">
        <v>21972</v>
      </c>
      <c r="AD2871" s="2" t="s">
        <v>46</v>
      </c>
    </row>
    <row r="2872" customFormat="false" ht="15.7" hidden="false" customHeight="true" outlineLevel="0" collapsed="false">
      <c r="A2872" s="2"/>
      <c r="B2872" s="3" t="n">
        <f aca="false">DATE(2017,1,5)</f>
        <v>0</v>
      </c>
      <c r="C2872" s="3" t="n">
        <v>42740</v>
      </c>
      <c r="D2872" s="2" t="s">
        <v>21973</v>
      </c>
      <c r="F2872" s="2" t="s">
        <v>21974</v>
      </c>
      <c r="G2872" s="2" t="s">
        <v>21975</v>
      </c>
      <c r="H2872" s="2" t="s">
        <v>21976</v>
      </c>
      <c r="I2872" s="2" t="s">
        <v>4179</v>
      </c>
      <c r="J2872" s="2" t="s">
        <v>132</v>
      </c>
      <c r="K2872" s="2" t="s">
        <v>21973</v>
      </c>
      <c r="L2872" s="2" t="s">
        <v>4179</v>
      </c>
      <c r="M2872" s="2" t="s">
        <v>21976</v>
      </c>
      <c r="N2872" s="2" t="s">
        <v>21977</v>
      </c>
      <c r="O2872" s="2"/>
      <c r="P2872" s="2" t="s">
        <v>37</v>
      </c>
      <c r="Q2872" s="4" t="n">
        <v>7538</v>
      </c>
      <c r="R2872" s="2" t="s">
        <v>56</v>
      </c>
      <c r="S2872" s="2" t="s">
        <v>92</v>
      </c>
      <c r="T2872" s="2" t="s">
        <v>403</v>
      </c>
      <c r="U2872" s="2" t="s">
        <v>21978</v>
      </c>
      <c r="V2872" s="2"/>
      <c r="W2872" s="2" t="s">
        <v>11301</v>
      </c>
      <c r="X2872" s="2" t="s">
        <v>43</v>
      </c>
      <c r="Y2872" s="2" t="s">
        <v>37</v>
      </c>
      <c r="Z2872" s="2" t="s">
        <v>44</v>
      </c>
      <c r="AA2872" s="2"/>
      <c r="AB2872" s="2"/>
      <c r="AC2872" s="2" t="s">
        <v>21979</v>
      </c>
      <c r="AD2872" s="2" t="s">
        <v>46</v>
      </c>
    </row>
    <row r="2873" customFormat="false" ht="15.7" hidden="false" customHeight="true" outlineLevel="0" collapsed="false">
      <c r="A2873" s="2"/>
      <c r="B2873" s="3" t="n">
        <f aca="false">DATE(2017,1,6)</f>
        <v>0</v>
      </c>
      <c r="C2873" s="3" t="n">
        <v>42741</v>
      </c>
      <c r="D2873" s="2" t="s">
        <v>21980</v>
      </c>
      <c r="F2873" s="2" t="s">
        <v>21981</v>
      </c>
      <c r="G2873" s="2" t="s">
        <v>21982</v>
      </c>
      <c r="H2873" s="2" t="s">
        <v>21983</v>
      </c>
      <c r="I2873" s="2" t="s">
        <v>1412</v>
      </c>
      <c r="J2873" s="2" t="s">
        <v>21984</v>
      </c>
      <c r="K2873" s="2" t="s">
        <v>21985</v>
      </c>
      <c r="L2873" s="2" t="s">
        <v>21986</v>
      </c>
      <c r="M2873" s="2" t="s">
        <v>21987</v>
      </c>
      <c r="N2873" s="2" t="s">
        <v>21988</v>
      </c>
      <c r="O2873" s="2"/>
      <c r="P2873" s="2" t="s">
        <v>37</v>
      </c>
      <c r="Q2873" s="4" t="n">
        <v>8731</v>
      </c>
      <c r="R2873" s="2" t="s">
        <v>56</v>
      </c>
      <c r="S2873" s="2" t="s">
        <v>80</v>
      </c>
      <c r="T2873" s="2" t="s">
        <v>403</v>
      </c>
      <c r="U2873" s="2" t="s">
        <v>21989</v>
      </c>
      <c r="V2873" s="2"/>
      <c r="W2873" s="2" t="s">
        <v>697</v>
      </c>
      <c r="X2873" s="2" t="s">
        <v>46</v>
      </c>
      <c r="Y2873" s="2" t="s">
        <v>37</v>
      </c>
      <c r="Z2873" s="2" t="s">
        <v>44</v>
      </c>
      <c r="AA2873" s="2"/>
      <c r="AB2873" s="2"/>
      <c r="AC2873" s="2" t="s">
        <v>21990</v>
      </c>
      <c r="AD2873" s="2" t="s">
        <v>46</v>
      </c>
    </row>
    <row r="2874" customFormat="false" ht="15.7" hidden="false" customHeight="true" outlineLevel="0" collapsed="false">
      <c r="A2874" s="2"/>
      <c r="B2874" s="3" t="n">
        <f aca="false">DATE(2017,1,8)</f>
        <v>0</v>
      </c>
      <c r="C2874" s="3" t="n">
        <v>42743</v>
      </c>
      <c r="D2874" s="2" t="s">
        <v>21991</v>
      </c>
      <c r="F2874" s="2" t="s">
        <v>20650</v>
      </c>
      <c r="G2874" s="2" t="s">
        <v>21992</v>
      </c>
      <c r="H2874" s="2" t="s">
        <v>130</v>
      </c>
      <c r="I2874" s="2" t="s">
        <v>11938</v>
      </c>
      <c r="J2874" s="2" t="s">
        <v>35</v>
      </c>
      <c r="K2874" s="2" t="s">
        <v>21993</v>
      </c>
      <c r="L2874" s="2" t="s">
        <v>12781</v>
      </c>
      <c r="M2874" s="2" t="s">
        <v>130</v>
      </c>
      <c r="N2874" s="2" t="s">
        <v>21994</v>
      </c>
      <c r="O2874" s="2"/>
      <c r="P2874" s="2" t="s">
        <v>79</v>
      </c>
      <c r="Q2874" s="4" t="n">
        <v>6794</v>
      </c>
      <c r="R2874" s="2" t="s">
        <v>402</v>
      </c>
      <c r="S2874" s="2" t="s">
        <v>39</v>
      </c>
      <c r="T2874" s="2" t="s">
        <v>40</v>
      </c>
      <c r="U2874" s="2" t="s">
        <v>21995</v>
      </c>
      <c r="V2874" s="2"/>
      <c r="W2874" s="2" t="s">
        <v>206</v>
      </c>
      <c r="X2874" s="2" t="s">
        <v>43</v>
      </c>
      <c r="Y2874" s="2" t="s">
        <v>37</v>
      </c>
      <c r="Z2874" s="2" t="s">
        <v>44</v>
      </c>
      <c r="AA2874" s="2"/>
      <c r="AB2874" s="2"/>
      <c r="AC2874" s="2" t="s">
        <v>21996</v>
      </c>
      <c r="AD2874" s="2" t="s">
        <v>46</v>
      </c>
    </row>
    <row r="2875" customFormat="false" ht="15.7" hidden="false" customHeight="true" outlineLevel="0" collapsed="false">
      <c r="A2875" s="2"/>
      <c r="B2875" s="3" t="n">
        <f aca="false">DATE(2017,1,9)</f>
        <v>0</v>
      </c>
      <c r="C2875" s="3" t="n">
        <v>42744</v>
      </c>
      <c r="D2875" s="2" t="s">
        <v>21997</v>
      </c>
      <c r="F2875" s="2" t="s">
        <v>15541</v>
      </c>
      <c r="G2875" s="2" t="s">
        <v>21998</v>
      </c>
      <c r="H2875" s="2" t="s">
        <v>170</v>
      </c>
      <c r="I2875" s="2" t="s">
        <v>21999</v>
      </c>
      <c r="J2875" s="2" t="s">
        <v>35</v>
      </c>
      <c r="K2875" s="2" t="s">
        <v>21997</v>
      </c>
      <c r="L2875" s="2" t="s">
        <v>21999</v>
      </c>
      <c r="M2875" s="2" t="s">
        <v>170</v>
      </c>
      <c r="N2875" s="2" t="s">
        <v>22000</v>
      </c>
      <c r="O2875" s="2"/>
      <c r="P2875" s="2" t="s">
        <v>79</v>
      </c>
      <c r="Q2875" s="4" t="n">
        <v>8731</v>
      </c>
      <c r="R2875" s="2" t="s">
        <v>70</v>
      </c>
      <c r="S2875" s="2" t="s">
        <v>39</v>
      </c>
      <c r="T2875" s="2" t="s">
        <v>40</v>
      </c>
      <c r="U2875" s="2" t="s">
        <v>22001</v>
      </c>
      <c r="V2875" s="2"/>
      <c r="W2875" s="2" t="s">
        <v>344</v>
      </c>
      <c r="X2875" s="2" t="s">
        <v>43</v>
      </c>
      <c r="Y2875" s="2" t="s">
        <v>37</v>
      </c>
      <c r="Z2875" s="2" t="s">
        <v>44</v>
      </c>
      <c r="AA2875" s="2"/>
      <c r="AB2875" s="2"/>
      <c r="AC2875" s="2" t="s">
        <v>22002</v>
      </c>
      <c r="AD2875" s="2" t="s">
        <v>46</v>
      </c>
    </row>
    <row r="2876" customFormat="false" ht="15.7" hidden="false" customHeight="true" outlineLevel="0" collapsed="false">
      <c r="A2876" s="2"/>
      <c r="B2876" s="3" t="n">
        <f aca="false">DATE(2017,1,9)</f>
        <v>0</v>
      </c>
      <c r="C2876" s="3" t="n">
        <v>42744</v>
      </c>
      <c r="D2876" s="2" t="s">
        <v>22003</v>
      </c>
      <c r="F2876" s="2" t="s">
        <v>22004</v>
      </c>
      <c r="G2876" s="2" t="s">
        <v>22005</v>
      </c>
      <c r="H2876" s="2" t="s">
        <v>130</v>
      </c>
      <c r="I2876" s="2" t="s">
        <v>51</v>
      </c>
      <c r="J2876" s="2" t="s">
        <v>1834</v>
      </c>
      <c r="K2876" s="2" t="s">
        <v>22003</v>
      </c>
      <c r="L2876" s="2" t="s">
        <v>51</v>
      </c>
      <c r="M2876" s="2" t="s">
        <v>130</v>
      </c>
      <c r="N2876" s="2" t="s">
        <v>22006</v>
      </c>
      <c r="O2876" s="2"/>
      <c r="P2876" s="2" t="s">
        <v>37</v>
      </c>
      <c r="Q2876" s="4" t="n">
        <v>8731</v>
      </c>
      <c r="R2876" s="2" t="s">
        <v>136</v>
      </c>
      <c r="S2876" s="2" t="s">
        <v>39</v>
      </c>
      <c r="T2876" s="2" t="s">
        <v>2444</v>
      </c>
      <c r="U2876" s="2" t="s">
        <v>22007</v>
      </c>
      <c r="V2876" s="2"/>
      <c r="W2876" s="2" t="s">
        <v>344</v>
      </c>
      <c r="X2876" s="2" t="s">
        <v>43</v>
      </c>
      <c r="Y2876" s="2" t="s">
        <v>37</v>
      </c>
      <c r="Z2876" s="2" t="s">
        <v>44</v>
      </c>
      <c r="AA2876" s="2"/>
      <c r="AB2876" s="2"/>
      <c r="AC2876" s="2" t="s">
        <v>22008</v>
      </c>
      <c r="AD2876" s="2" t="s">
        <v>46</v>
      </c>
    </row>
    <row r="2877" customFormat="false" ht="15.7" hidden="false" customHeight="true" outlineLevel="0" collapsed="false">
      <c r="A2877" s="2"/>
      <c r="B2877" s="3" t="n">
        <f aca="false">DATE(2017,1,9)</f>
        <v>0</v>
      </c>
      <c r="C2877" s="3" t="n">
        <v>42744</v>
      </c>
      <c r="D2877" s="2" t="s">
        <v>22009</v>
      </c>
      <c r="F2877" s="2" t="s">
        <v>14371</v>
      </c>
      <c r="G2877" s="2" t="s">
        <v>22010</v>
      </c>
      <c r="H2877" s="2" t="s">
        <v>63</v>
      </c>
      <c r="I2877" s="2" t="s">
        <v>219</v>
      </c>
      <c r="J2877" s="2" t="s">
        <v>65</v>
      </c>
      <c r="K2877" s="2" t="s">
        <v>22009</v>
      </c>
      <c r="L2877" s="2" t="s">
        <v>219</v>
      </c>
      <c r="M2877" s="2" t="s">
        <v>63</v>
      </c>
      <c r="N2877" s="2" t="s">
        <v>22011</v>
      </c>
      <c r="O2877" s="2"/>
      <c r="P2877" s="2" t="s">
        <v>37</v>
      </c>
      <c r="Q2877" s="4" t="n">
        <v>8731</v>
      </c>
      <c r="R2877" s="2" t="s">
        <v>38</v>
      </c>
      <c r="S2877" s="2" t="s">
        <v>39</v>
      </c>
      <c r="T2877" s="2" t="s">
        <v>403</v>
      </c>
      <c r="U2877" s="2" t="s">
        <v>22012</v>
      </c>
      <c r="V2877" s="2"/>
      <c r="W2877" s="2" t="s">
        <v>42</v>
      </c>
      <c r="X2877" s="2" t="s">
        <v>43</v>
      </c>
      <c r="Y2877" s="2" t="s">
        <v>37</v>
      </c>
      <c r="Z2877" s="2" t="s">
        <v>44</v>
      </c>
      <c r="AA2877" s="2"/>
      <c r="AB2877" s="2"/>
      <c r="AC2877" s="2" t="s">
        <v>22013</v>
      </c>
      <c r="AD2877" s="2" t="s">
        <v>46</v>
      </c>
    </row>
    <row r="2878" customFormat="false" ht="15.7" hidden="false" customHeight="true" outlineLevel="0" collapsed="false">
      <c r="A2878" s="2"/>
      <c r="B2878" s="3" t="n">
        <f aca="false">DATE(2017,1,9)</f>
        <v>0</v>
      </c>
      <c r="C2878" s="3" t="n">
        <v>42744</v>
      </c>
      <c r="D2878" s="2" t="s">
        <v>22014</v>
      </c>
      <c r="F2878" s="2" t="s">
        <v>22015</v>
      </c>
      <c r="G2878" s="2" t="s">
        <v>22016</v>
      </c>
      <c r="H2878" s="2" t="s">
        <v>22017</v>
      </c>
      <c r="I2878" s="2" t="s">
        <v>4179</v>
      </c>
      <c r="J2878" s="2" t="s">
        <v>132</v>
      </c>
      <c r="K2878" s="2" t="s">
        <v>22014</v>
      </c>
      <c r="L2878" s="2" t="s">
        <v>4179</v>
      </c>
      <c r="M2878" s="2" t="s">
        <v>22017</v>
      </c>
      <c r="N2878" s="2" t="s">
        <v>22018</v>
      </c>
      <c r="O2878" s="2"/>
      <c r="P2878" s="2" t="s">
        <v>37</v>
      </c>
      <c r="Q2878" s="4" t="n">
        <v>8731</v>
      </c>
      <c r="R2878" s="2" t="s">
        <v>136</v>
      </c>
      <c r="S2878" s="2" t="s">
        <v>39</v>
      </c>
      <c r="T2878" s="2" t="s">
        <v>40</v>
      </c>
      <c r="U2878" s="2" t="s">
        <v>22019</v>
      </c>
      <c r="V2878" s="2"/>
      <c r="W2878" s="2" t="s">
        <v>42</v>
      </c>
      <c r="X2878" s="2" t="s">
        <v>43</v>
      </c>
      <c r="Y2878" s="2" t="s">
        <v>37</v>
      </c>
      <c r="Z2878" s="2" t="s">
        <v>44</v>
      </c>
      <c r="AA2878" s="2"/>
      <c r="AB2878" s="2"/>
      <c r="AC2878" s="2" t="s">
        <v>22020</v>
      </c>
      <c r="AD2878" s="2" t="s">
        <v>46</v>
      </c>
    </row>
    <row r="2879" customFormat="false" ht="15.7" hidden="false" customHeight="true" outlineLevel="0" collapsed="false">
      <c r="A2879" s="2"/>
      <c r="B2879" s="3" t="n">
        <f aca="false">DATE(2017,1,9)</f>
        <v>0</v>
      </c>
      <c r="C2879" s="3" t="n">
        <v>42744</v>
      </c>
      <c r="D2879" s="2" t="s">
        <v>22021</v>
      </c>
      <c r="F2879" s="2" t="s">
        <v>22022</v>
      </c>
      <c r="G2879" s="2" t="s">
        <v>22023</v>
      </c>
      <c r="H2879" s="2" t="s">
        <v>22024</v>
      </c>
      <c r="I2879" s="2" t="s">
        <v>22025</v>
      </c>
      <c r="J2879" s="2" t="s">
        <v>22026</v>
      </c>
      <c r="K2879" s="2" t="s">
        <v>22027</v>
      </c>
      <c r="L2879" s="2" t="s">
        <v>22028</v>
      </c>
      <c r="M2879" s="2" t="s">
        <v>22029</v>
      </c>
      <c r="N2879" s="2" t="s">
        <v>22030</v>
      </c>
      <c r="O2879" s="2"/>
      <c r="P2879" s="2" t="s">
        <v>37</v>
      </c>
      <c r="Q2879" s="4" t="n">
        <v>8731</v>
      </c>
      <c r="R2879" s="2" t="s">
        <v>16962</v>
      </c>
      <c r="S2879" s="2" t="s">
        <v>39</v>
      </c>
      <c r="T2879" s="2" t="s">
        <v>40</v>
      </c>
      <c r="U2879" s="2" t="s">
        <v>22031</v>
      </c>
      <c r="V2879" s="2"/>
      <c r="W2879" s="2" t="s">
        <v>42</v>
      </c>
      <c r="X2879" s="2" t="s">
        <v>43</v>
      </c>
      <c r="Y2879" s="2" t="s">
        <v>37</v>
      </c>
      <c r="Z2879" s="2" t="s">
        <v>916</v>
      </c>
      <c r="AA2879" s="2"/>
      <c r="AB2879" s="2"/>
      <c r="AC2879" s="2" t="s">
        <v>22032</v>
      </c>
      <c r="AD2879" s="2" t="s">
        <v>46</v>
      </c>
    </row>
    <row r="2880" customFormat="false" ht="15.7" hidden="false" customHeight="true" outlineLevel="0" collapsed="false">
      <c r="A2880" s="2"/>
      <c r="B2880" s="3" t="n">
        <f aca="false">DATE(2017,1,9)</f>
        <v>0</v>
      </c>
      <c r="C2880" s="3" t="n">
        <v>42744</v>
      </c>
      <c r="D2880" s="2" t="s">
        <v>22033</v>
      </c>
      <c r="F2880" s="2" t="s">
        <v>20650</v>
      </c>
      <c r="G2880" s="2" t="s">
        <v>22034</v>
      </c>
      <c r="H2880" s="2" t="s">
        <v>130</v>
      </c>
      <c r="I2880" s="2" t="s">
        <v>51</v>
      </c>
      <c r="J2880" s="2" t="s">
        <v>994</v>
      </c>
      <c r="K2880" s="2" t="s">
        <v>22033</v>
      </c>
      <c r="L2880" s="2" t="s">
        <v>51</v>
      </c>
      <c r="M2880" s="2" t="s">
        <v>130</v>
      </c>
      <c r="N2880" s="2" t="s">
        <v>22035</v>
      </c>
      <c r="O2880" s="2"/>
      <c r="P2880" s="2" t="s">
        <v>37</v>
      </c>
      <c r="Q2880" s="4" t="n">
        <v>6794</v>
      </c>
      <c r="R2880" s="2" t="s">
        <v>136</v>
      </c>
      <c r="S2880" s="2" t="s">
        <v>39</v>
      </c>
      <c r="T2880" s="2" t="s">
        <v>40</v>
      </c>
      <c r="U2880" s="2" t="s">
        <v>22036</v>
      </c>
      <c r="V2880" s="2"/>
      <c r="W2880" s="2" t="s">
        <v>82</v>
      </c>
      <c r="X2880" s="2" t="s">
        <v>43</v>
      </c>
      <c r="Y2880" s="2" t="s">
        <v>37</v>
      </c>
      <c r="Z2880" s="2" t="s">
        <v>44</v>
      </c>
      <c r="AA2880" s="2"/>
      <c r="AB2880" s="2"/>
      <c r="AC2880" s="2" t="s">
        <v>22037</v>
      </c>
      <c r="AD2880" s="2" t="s">
        <v>46</v>
      </c>
    </row>
    <row r="2881" customFormat="false" ht="15.7" hidden="false" customHeight="true" outlineLevel="0" collapsed="false">
      <c r="A2881" s="3" t="n">
        <f aca="false">DATE(2017,1,9)</f>
        <v>0</v>
      </c>
      <c r="B2881" s="3" t="n">
        <f aca="false">DATE(2017,1,10)</f>
        <v>0</v>
      </c>
      <c r="C2881" s="3" t="n">
        <v>42745</v>
      </c>
      <c r="D2881" s="2" t="s">
        <v>22038</v>
      </c>
      <c r="F2881" s="2" t="s">
        <v>22039</v>
      </c>
      <c r="G2881" s="2" t="s">
        <v>22040</v>
      </c>
      <c r="H2881" s="2" t="s">
        <v>22041</v>
      </c>
      <c r="I2881" s="2" t="s">
        <v>51</v>
      </c>
      <c r="J2881" s="2" t="s">
        <v>1333</v>
      </c>
      <c r="K2881" s="2" t="s">
        <v>22042</v>
      </c>
      <c r="L2881" s="2" t="s">
        <v>3320</v>
      </c>
      <c r="M2881" s="2" t="s">
        <v>21212</v>
      </c>
      <c r="N2881" s="2" t="s">
        <v>22043</v>
      </c>
      <c r="O2881" s="2"/>
      <c r="P2881" s="2" t="s">
        <v>37</v>
      </c>
      <c r="Q2881" s="4" t="n">
        <v>8731</v>
      </c>
      <c r="R2881" s="2" t="s">
        <v>56</v>
      </c>
      <c r="S2881" s="2"/>
      <c r="T2881" s="2" t="s">
        <v>40</v>
      </c>
      <c r="U2881" s="2" t="s">
        <v>22044</v>
      </c>
      <c r="V2881" s="2"/>
      <c r="W2881" s="2" t="s">
        <v>42</v>
      </c>
      <c r="X2881" s="2" t="s">
        <v>46</v>
      </c>
      <c r="Y2881" s="2" t="s">
        <v>37</v>
      </c>
      <c r="Z2881" s="2" t="s">
        <v>362</v>
      </c>
      <c r="AA2881" s="2"/>
      <c r="AB2881" s="2"/>
      <c r="AC2881" s="2" t="s">
        <v>22045</v>
      </c>
      <c r="AD2881" s="2" t="s">
        <v>46</v>
      </c>
    </row>
    <row r="2882" customFormat="false" ht="15.7" hidden="false" customHeight="true" outlineLevel="0" collapsed="false">
      <c r="A2882" s="2"/>
      <c r="B2882" s="3" t="n">
        <f aca="false">DATE(2017,1,10)</f>
        <v>0</v>
      </c>
      <c r="C2882" s="3" t="n">
        <v>42745</v>
      </c>
      <c r="D2882" s="2" t="s">
        <v>22046</v>
      </c>
      <c r="F2882" s="2" t="s">
        <v>22047</v>
      </c>
      <c r="G2882" s="2" t="s">
        <v>22048</v>
      </c>
      <c r="H2882" s="2" t="s">
        <v>22049</v>
      </c>
      <c r="I2882" s="2" t="s">
        <v>4325</v>
      </c>
      <c r="J2882" s="2" t="s">
        <v>35</v>
      </c>
      <c r="K2882" s="2" t="s">
        <v>22046</v>
      </c>
      <c r="L2882" s="2" t="s">
        <v>4325</v>
      </c>
      <c r="M2882" s="2" t="s">
        <v>22049</v>
      </c>
      <c r="N2882" s="2" t="s">
        <v>22050</v>
      </c>
      <c r="O2882" s="2"/>
      <c r="P2882" s="2" t="s">
        <v>37</v>
      </c>
      <c r="Q2882" s="4" t="n">
        <v>8099</v>
      </c>
      <c r="R2882" s="2" t="s">
        <v>402</v>
      </c>
      <c r="S2882" s="2" t="s">
        <v>39</v>
      </c>
      <c r="T2882" s="2" t="s">
        <v>403</v>
      </c>
      <c r="U2882" s="2" t="s">
        <v>22051</v>
      </c>
      <c r="V2882" s="2"/>
      <c r="W2882" s="2" t="s">
        <v>22052</v>
      </c>
      <c r="X2882" s="2" t="s">
        <v>46</v>
      </c>
      <c r="Y2882" s="2" t="s">
        <v>37</v>
      </c>
      <c r="Z2882" s="2" t="s">
        <v>22053</v>
      </c>
      <c r="AA2882" s="2" t="s">
        <v>22054</v>
      </c>
      <c r="AB2882" s="2"/>
      <c r="AC2882" s="2" t="s">
        <v>22055</v>
      </c>
      <c r="AD2882" s="2" t="s">
        <v>46</v>
      </c>
    </row>
    <row r="2883" customFormat="false" ht="15.7" hidden="false" customHeight="true" outlineLevel="0" collapsed="false">
      <c r="A2883" s="2"/>
      <c r="B2883" s="3" t="n">
        <f aca="false">DATE(2017,1,11)</f>
        <v>0</v>
      </c>
      <c r="C2883" s="3" t="n">
        <v>42746</v>
      </c>
      <c r="D2883" s="2" t="s">
        <v>22056</v>
      </c>
      <c r="F2883" s="2" t="s">
        <v>22057</v>
      </c>
      <c r="G2883" s="2" t="s">
        <v>22058</v>
      </c>
      <c r="H2883" s="2" t="s">
        <v>130</v>
      </c>
      <c r="I2883" s="2" t="s">
        <v>131</v>
      </c>
      <c r="J2883" s="2" t="s">
        <v>331</v>
      </c>
      <c r="K2883" s="2" t="s">
        <v>22056</v>
      </c>
      <c r="L2883" s="2" t="s">
        <v>131</v>
      </c>
      <c r="M2883" s="2" t="s">
        <v>130</v>
      </c>
      <c r="N2883" s="2" t="s">
        <v>22059</v>
      </c>
      <c r="O2883" s="2"/>
      <c r="P2883" s="2" t="s">
        <v>37</v>
      </c>
      <c r="Q2883" s="4" t="n">
        <v>8322</v>
      </c>
      <c r="R2883" s="2" t="s">
        <v>105</v>
      </c>
      <c r="S2883" s="2" t="s">
        <v>39</v>
      </c>
      <c r="T2883" s="2" t="s">
        <v>40</v>
      </c>
      <c r="U2883" s="2" t="s">
        <v>22060</v>
      </c>
      <c r="V2883" s="2"/>
      <c r="W2883" s="2" t="s">
        <v>4487</v>
      </c>
      <c r="X2883" s="2" t="s">
        <v>43</v>
      </c>
      <c r="Y2883" s="2" t="s">
        <v>37</v>
      </c>
      <c r="Z2883" s="2" t="s">
        <v>44</v>
      </c>
      <c r="AA2883" s="2"/>
      <c r="AB2883" s="2"/>
      <c r="AC2883" s="2" t="s">
        <v>22061</v>
      </c>
      <c r="AD2883" s="2" t="s">
        <v>46</v>
      </c>
    </row>
    <row r="2884" customFormat="false" ht="15.7" hidden="false" customHeight="true" outlineLevel="0" collapsed="false">
      <c r="A2884" s="2"/>
      <c r="B2884" s="3" t="n">
        <f aca="false">DATE(2017,1,12)</f>
        <v>0</v>
      </c>
      <c r="C2884" s="3" t="n">
        <v>42747</v>
      </c>
      <c r="D2884" s="2" t="s">
        <v>22062</v>
      </c>
      <c r="F2884" s="2" t="s">
        <v>20280</v>
      </c>
      <c r="G2884" s="2" t="s">
        <v>22063</v>
      </c>
      <c r="H2884" s="2" t="s">
        <v>170</v>
      </c>
      <c r="I2884" s="2" t="s">
        <v>154</v>
      </c>
      <c r="J2884" s="2" t="s">
        <v>65</v>
      </c>
      <c r="K2884" s="2" t="s">
        <v>22064</v>
      </c>
      <c r="L2884" s="2" t="s">
        <v>51</v>
      </c>
      <c r="M2884" s="2" t="s">
        <v>63</v>
      </c>
      <c r="N2884" s="2" t="s">
        <v>22065</v>
      </c>
      <c r="O2884" s="2"/>
      <c r="P2884" s="2" t="s">
        <v>37</v>
      </c>
      <c r="Q2884" s="4" t="n">
        <v>6794</v>
      </c>
      <c r="R2884" s="2" t="s">
        <v>136</v>
      </c>
      <c r="S2884" s="2" t="s">
        <v>39</v>
      </c>
      <c r="T2884" s="2" t="s">
        <v>40</v>
      </c>
      <c r="U2884" s="2" t="s">
        <v>22066</v>
      </c>
      <c r="V2884" s="2"/>
      <c r="W2884" s="2" t="s">
        <v>82</v>
      </c>
      <c r="X2884" s="2" t="s">
        <v>43</v>
      </c>
      <c r="Y2884" s="2" t="s">
        <v>37</v>
      </c>
      <c r="Z2884" s="2" t="s">
        <v>44</v>
      </c>
      <c r="AA2884" s="2"/>
      <c r="AB2884" s="2"/>
      <c r="AC2884" s="2" t="s">
        <v>22067</v>
      </c>
      <c r="AD2884" s="2" t="s">
        <v>46</v>
      </c>
    </row>
    <row r="2885" customFormat="false" ht="15.7" hidden="false" customHeight="true" outlineLevel="0" collapsed="false">
      <c r="A2885" s="2"/>
      <c r="B2885" s="3" t="n">
        <f aca="false">DATE(2017,1,17)</f>
        <v>0</v>
      </c>
      <c r="C2885" s="3" t="n">
        <v>42752</v>
      </c>
      <c r="D2885" s="2" t="s">
        <v>22068</v>
      </c>
      <c r="F2885" s="2" t="s">
        <v>22069</v>
      </c>
      <c r="G2885" s="2" t="s">
        <v>22070</v>
      </c>
      <c r="H2885" s="2" t="s">
        <v>130</v>
      </c>
      <c r="I2885" s="2" t="s">
        <v>219</v>
      </c>
      <c r="J2885" s="2" t="s">
        <v>313</v>
      </c>
      <c r="K2885" s="2" t="s">
        <v>22068</v>
      </c>
      <c r="L2885" s="2" t="s">
        <v>219</v>
      </c>
      <c r="M2885" s="2" t="s">
        <v>130</v>
      </c>
      <c r="N2885" s="2" t="s">
        <v>22071</v>
      </c>
      <c r="O2885" s="2"/>
      <c r="P2885" s="2" t="s">
        <v>79</v>
      </c>
      <c r="Q2885" s="4" t="n">
        <v>6794</v>
      </c>
      <c r="R2885" s="2" t="s">
        <v>38</v>
      </c>
      <c r="S2885" s="2" t="s">
        <v>39</v>
      </c>
      <c r="T2885" s="2" t="s">
        <v>40</v>
      </c>
      <c r="U2885" s="2" t="s">
        <v>22072</v>
      </c>
      <c r="V2885" s="2"/>
      <c r="W2885" s="2" t="s">
        <v>206</v>
      </c>
      <c r="X2885" s="2" t="s">
        <v>43</v>
      </c>
      <c r="Y2885" s="2" t="s">
        <v>37</v>
      </c>
      <c r="Z2885" s="2" t="s">
        <v>44</v>
      </c>
      <c r="AA2885" s="2"/>
      <c r="AB2885" s="2"/>
      <c r="AC2885" s="2" t="s">
        <v>22073</v>
      </c>
      <c r="AD2885" s="2" t="s">
        <v>46</v>
      </c>
    </row>
    <row r="2886" customFormat="false" ht="15.7" hidden="false" customHeight="true" outlineLevel="0" collapsed="false">
      <c r="A2886" s="3" t="n">
        <f aca="false">DATE(2017,1,17)</f>
        <v>0</v>
      </c>
      <c r="B2886" s="3" t="n">
        <f aca="false">DATE(2017,1,18)</f>
        <v>0</v>
      </c>
      <c r="C2886" s="3" t="n">
        <v>42753</v>
      </c>
      <c r="D2886" s="2" t="s">
        <v>22074</v>
      </c>
      <c r="F2886" s="2" t="s">
        <v>22075</v>
      </c>
      <c r="G2886" s="2" t="s">
        <v>22076</v>
      </c>
      <c r="H2886" s="2" t="s">
        <v>19781</v>
      </c>
      <c r="I2886" s="2" t="s">
        <v>51</v>
      </c>
      <c r="J2886" s="2" t="s">
        <v>171</v>
      </c>
      <c r="K2886" s="2" t="s">
        <v>22074</v>
      </c>
      <c r="L2886" s="2" t="s">
        <v>51</v>
      </c>
      <c r="M2886" s="2" t="s">
        <v>19781</v>
      </c>
      <c r="N2886" s="2" t="s">
        <v>22077</v>
      </c>
      <c r="O2886" s="2"/>
      <c r="P2886" s="2" t="s">
        <v>37</v>
      </c>
      <c r="Q2886" s="4" t="n">
        <v>8731</v>
      </c>
      <c r="R2886" s="2" t="s">
        <v>56</v>
      </c>
      <c r="S2886" s="2" t="s">
        <v>20809</v>
      </c>
      <c r="T2886" s="2" t="s">
        <v>40</v>
      </c>
      <c r="U2886" s="2" t="s">
        <v>22078</v>
      </c>
      <c r="V2886" s="2"/>
      <c r="W2886" s="2" t="s">
        <v>42</v>
      </c>
      <c r="X2886" s="2" t="s">
        <v>43</v>
      </c>
      <c r="Y2886" s="2" t="s">
        <v>37</v>
      </c>
      <c r="Z2886" s="2" t="s">
        <v>44</v>
      </c>
      <c r="AA2886" s="2"/>
      <c r="AB2886" s="2"/>
      <c r="AC2886" s="2" t="s">
        <v>22079</v>
      </c>
      <c r="AD2886" s="2" t="s">
        <v>46</v>
      </c>
    </row>
    <row r="2887" customFormat="false" ht="15.7" hidden="false" customHeight="true" outlineLevel="0" collapsed="false">
      <c r="A2887" s="3" t="n">
        <f aca="false">DATE(2017,1,17)</f>
        <v>0</v>
      </c>
      <c r="B2887" s="3" t="n">
        <f aca="false">DATE(2017,1,18)</f>
        <v>0</v>
      </c>
      <c r="C2887" s="3" t="n">
        <v>42753</v>
      </c>
      <c r="D2887" s="2" t="s">
        <v>22080</v>
      </c>
      <c r="F2887" s="2" t="s">
        <v>22081</v>
      </c>
      <c r="G2887" s="2" t="s">
        <v>22082</v>
      </c>
      <c r="H2887" s="2" t="s">
        <v>1574</v>
      </c>
      <c r="I2887" s="2" t="s">
        <v>22083</v>
      </c>
      <c r="J2887" s="2" t="s">
        <v>14099</v>
      </c>
      <c r="K2887" s="2" t="s">
        <v>22084</v>
      </c>
      <c r="L2887" s="2" t="s">
        <v>22083</v>
      </c>
      <c r="M2887" s="2" t="s">
        <v>13515</v>
      </c>
      <c r="N2887" s="2" t="s">
        <v>22085</v>
      </c>
      <c r="O2887" s="2"/>
      <c r="P2887" s="2" t="s">
        <v>37</v>
      </c>
      <c r="Q2887" s="4" t="n">
        <v>1522</v>
      </c>
      <c r="R2887" s="2" t="s">
        <v>380</v>
      </c>
      <c r="S2887" s="2" t="s">
        <v>39</v>
      </c>
      <c r="T2887" s="2" t="s">
        <v>14101</v>
      </c>
      <c r="U2887" s="2" t="s">
        <v>22086</v>
      </c>
      <c r="V2887" s="2"/>
      <c r="W2887" s="2" t="s">
        <v>18958</v>
      </c>
      <c r="X2887" s="2" t="s">
        <v>46</v>
      </c>
      <c r="Y2887" s="2" t="s">
        <v>37</v>
      </c>
      <c r="Z2887" s="2" t="s">
        <v>44</v>
      </c>
      <c r="AA2887" s="2" t="s">
        <v>22087</v>
      </c>
      <c r="AB2887" s="2"/>
      <c r="AC2887" s="2" t="s">
        <v>22088</v>
      </c>
      <c r="AD2887" s="2" t="s">
        <v>46</v>
      </c>
    </row>
    <row r="2888" customFormat="false" ht="15.7" hidden="false" customHeight="true" outlineLevel="0" collapsed="false">
      <c r="A2888" s="2"/>
      <c r="B2888" s="3" t="n">
        <f aca="false">DATE(2017,1,19)</f>
        <v>0</v>
      </c>
      <c r="C2888" s="3" t="n">
        <v>42754</v>
      </c>
      <c r="D2888" s="2" t="s">
        <v>22089</v>
      </c>
      <c r="F2888" s="2" t="s">
        <v>22090</v>
      </c>
      <c r="G2888" s="2" t="s">
        <v>22091</v>
      </c>
      <c r="H2888" s="2" t="s">
        <v>3053</v>
      </c>
      <c r="I2888" s="2" t="s">
        <v>22092</v>
      </c>
      <c r="J2888" s="2" t="s">
        <v>35</v>
      </c>
      <c r="K2888" s="2" t="s">
        <v>22093</v>
      </c>
      <c r="L2888" s="2" t="s">
        <v>22092</v>
      </c>
      <c r="M2888" s="2" t="s">
        <v>4987</v>
      </c>
      <c r="N2888" s="2" t="s">
        <v>22094</v>
      </c>
      <c r="O2888" s="2"/>
      <c r="P2888" s="2" t="s">
        <v>37</v>
      </c>
      <c r="Q2888" s="4" t="n">
        <v>8099</v>
      </c>
      <c r="R2888" s="2"/>
      <c r="S2888" s="2"/>
      <c r="T2888" s="2" t="s">
        <v>403</v>
      </c>
      <c r="U2888" s="2" t="s">
        <v>22095</v>
      </c>
      <c r="V2888" s="2"/>
      <c r="W2888" s="2" t="s">
        <v>22096</v>
      </c>
      <c r="X2888" s="2" t="s">
        <v>46</v>
      </c>
      <c r="Y2888" s="2" t="s">
        <v>37</v>
      </c>
      <c r="Z2888" s="2" t="s">
        <v>2080</v>
      </c>
      <c r="AA2888" s="2"/>
      <c r="AB2888" s="2"/>
      <c r="AC2888" s="2" t="s">
        <v>22097</v>
      </c>
      <c r="AD2888" s="2" t="s">
        <v>46</v>
      </c>
    </row>
    <row r="2889" customFormat="false" ht="15.7" hidden="false" customHeight="true" outlineLevel="0" collapsed="false">
      <c r="A2889" s="3" t="n">
        <f aca="false">DATE(2017,1,18)</f>
        <v>0</v>
      </c>
      <c r="B2889" s="3" t="n">
        <f aca="false">DATE(2017,1,19)</f>
        <v>0</v>
      </c>
      <c r="C2889" s="3" t="n">
        <v>42754</v>
      </c>
      <c r="D2889" s="2" t="s">
        <v>21960</v>
      </c>
      <c r="F2889" s="2" t="s">
        <v>20650</v>
      </c>
      <c r="G2889" s="2" t="s">
        <v>21961</v>
      </c>
      <c r="H2889" s="2" t="s">
        <v>130</v>
      </c>
      <c r="I2889" s="2" t="s">
        <v>51</v>
      </c>
      <c r="J2889" s="2" t="s">
        <v>21962</v>
      </c>
      <c r="K2889" s="2" t="s">
        <v>21960</v>
      </c>
      <c r="L2889" s="2" t="s">
        <v>51</v>
      </c>
      <c r="M2889" s="2" t="s">
        <v>130</v>
      </c>
      <c r="N2889" s="2" t="s">
        <v>21963</v>
      </c>
      <c r="O2889" s="2"/>
      <c r="P2889" s="2" t="s">
        <v>37</v>
      </c>
      <c r="Q2889" s="4" t="n">
        <v>8731</v>
      </c>
      <c r="R2889" s="2" t="s">
        <v>56</v>
      </c>
      <c r="S2889" s="2" t="s">
        <v>5846</v>
      </c>
      <c r="T2889" s="2" t="s">
        <v>40</v>
      </c>
      <c r="U2889" s="2" t="s">
        <v>22098</v>
      </c>
      <c r="V2889" s="2"/>
      <c r="W2889" s="2" t="s">
        <v>42</v>
      </c>
      <c r="X2889" s="2" t="s">
        <v>46</v>
      </c>
      <c r="Y2889" s="2" t="s">
        <v>37</v>
      </c>
      <c r="Z2889" s="2" t="s">
        <v>44</v>
      </c>
      <c r="AA2889" s="2"/>
      <c r="AB2889" s="2"/>
      <c r="AC2889" s="2" t="s">
        <v>21965</v>
      </c>
      <c r="AD2889" s="2" t="s">
        <v>46</v>
      </c>
    </row>
    <row r="2890" customFormat="false" ht="15.7" hidden="false" customHeight="true" outlineLevel="0" collapsed="false">
      <c r="A2890" s="2"/>
      <c r="B2890" s="3" t="n">
        <f aca="false">DATE(2017,1,19)</f>
        <v>0</v>
      </c>
      <c r="C2890" s="3" t="n">
        <v>42754</v>
      </c>
      <c r="D2890" s="2" t="s">
        <v>22099</v>
      </c>
      <c r="F2890" s="2" t="s">
        <v>22100</v>
      </c>
      <c r="G2890" s="2" t="s">
        <v>22101</v>
      </c>
      <c r="H2890" s="2" t="s">
        <v>22102</v>
      </c>
      <c r="I2890" s="2" t="s">
        <v>8387</v>
      </c>
      <c r="J2890" s="2" t="s">
        <v>35</v>
      </c>
      <c r="K2890" s="2" t="s">
        <v>22103</v>
      </c>
      <c r="L2890" s="2" t="s">
        <v>8387</v>
      </c>
      <c r="M2890" s="2" t="s">
        <v>22102</v>
      </c>
      <c r="N2890" s="2" t="s">
        <v>22104</v>
      </c>
      <c r="O2890" s="2"/>
      <c r="P2890" s="2" t="s">
        <v>37</v>
      </c>
      <c r="Q2890" s="4" t="n">
        <v>8731</v>
      </c>
      <c r="R2890" s="2" t="s">
        <v>1402</v>
      </c>
      <c r="S2890" s="2" t="s">
        <v>39</v>
      </c>
      <c r="T2890" s="2" t="s">
        <v>40</v>
      </c>
      <c r="U2890" s="2" t="s">
        <v>22105</v>
      </c>
      <c r="V2890" s="2"/>
      <c r="W2890" s="2" t="s">
        <v>42</v>
      </c>
      <c r="X2890" s="2" t="s">
        <v>43</v>
      </c>
      <c r="Y2890" s="2" t="s">
        <v>37</v>
      </c>
      <c r="Z2890" s="2" t="s">
        <v>44</v>
      </c>
      <c r="AA2890" s="2"/>
      <c r="AB2890" s="2"/>
      <c r="AC2890" s="2" t="s">
        <v>22106</v>
      </c>
      <c r="AD2890" s="2" t="s">
        <v>46</v>
      </c>
    </row>
    <row r="2891" customFormat="false" ht="15.7" hidden="false" customHeight="true" outlineLevel="0" collapsed="false">
      <c r="A2891" s="3" t="n">
        <f aca="false">DATE(2017,1,18)</f>
        <v>0</v>
      </c>
      <c r="B2891" s="3" t="n">
        <f aca="false">DATE(2017,1,19)</f>
        <v>0</v>
      </c>
      <c r="C2891" s="3" t="n">
        <v>42754</v>
      </c>
      <c r="D2891" s="2" t="s">
        <v>22107</v>
      </c>
      <c r="F2891" s="2" t="s">
        <v>22108</v>
      </c>
      <c r="G2891" s="2" t="s">
        <v>22109</v>
      </c>
      <c r="H2891" s="2" t="s">
        <v>22110</v>
      </c>
      <c r="I2891" s="2" t="s">
        <v>51</v>
      </c>
      <c r="J2891" s="2" t="s">
        <v>1474</v>
      </c>
      <c r="K2891" s="2" t="s">
        <v>22107</v>
      </c>
      <c r="L2891" s="2" t="s">
        <v>51</v>
      </c>
      <c r="M2891" s="2" t="s">
        <v>22110</v>
      </c>
      <c r="N2891" s="2" t="s">
        <v>22111</v>
      </c>
      <c r="O2891" s="2"/>
      <c r="P2891" s="2" t="s">
        <v>37</v>
      </c>
      <c r="Q2891" s="4" t="n">
        <v>8731</v>
      </c>
      <c r="R2891" s="2" t="s">
        <v>56</v>
      </c>
      <c r="S2891" s="2" t="s">
        <v>1484</v>
      </c>
      <c r="T2891" s="2" t="s">
        <v>122</v>
      </c>
      <c r="U2891" s="2" t="s">
        <v>22112</v>
      </c>
      <c r="V2891" s="2"/>
      <c r="W2891" s="2" t="s">
        <v>42</v>
      </c>
      <c r="X2891" s="2" t="s">
        <v>43</v>
      </c>
      <c r="Y2891" s="2" t="s">
        <v>37</v>
      </c>
      <c r="Z2891" s="2" t="s">
        <v>44</v>
      </c>
      <c r="AA2891" s="2"/>
      <c r="AB2891" s="2"/>
      <c r="AC2891" s="2" t="s">
        <v>22113</v>
      </c>
      <c r="AD2891" s="2" t="s">
        <v>46</v>
      </c>
    </row>
    <row r="2892" customFormat="false" ht="15.7" hidden="false" customHeight="true" outlineLevel="0" collapsed="false">
      <c r="A2892" s="3" t="n">
        <f aca="false">DATE(2017,1,18)</f>
        <v>0</v>
      </c>
      <c r="B2892" s="3" t="n">
        <f aca="false">DATE(2017,1,19)</f>
        <v>0</v>
      </c>
      <c r="C2892" s="3" t="n">
        <v>42754</v>
      </c>
      <c r="D2892" s="2" t="s">
        <v>22114</v>
      </c>
      <c r="F2892" s="2" t="s">
        <v>22115</v>
      </c>
      <c r="G2892" s="2" t="s">
        <v>22116</v>
      </c>
      <c r="H2892" s="2" t="s">
        <v>22117</v>
      </c>
      <c r="I2892" s="2" t="s">
        <v>51</v>
      </c>
      <c r="J2892" s="2" t="s">
        <v>22118</v>
      </c>
      <c r="K2892" s="2" t="s">
        <v>22114</v>
      </c>
      <c r="L2892" s="2" t="s">
        <v>51</v>
      </c>
      <c r="M2892" s="2" t="s">
        <v>22117</v>
      </c>
      <c r="N2892" s="2" t="s">
        <v>22119</v>
      </c>
      <c r="O2892" s="2"/>
      <c r="P2892" s="2" t="s">
        <v>37</v>
      </c>
      <c r="Q2892" s="4" t="n">
        <v>8731</v>
      </c>
      <c r="R2892" s="2" t="s">
        <v>56</v>
      </c>
      <c r="S2892" s="2"/>
      <c r="T2892" s="2" t="s">
        <v>40</v>
      </c>
      <c r="U2892" s="2" t="s">
        <v>22120</v>
      </c>
      <c r="V2892" s="2"/>
      <c r="W2892" s="2" t="s">
        <v>42</v>
      </c>
      <c r="X2892" s="2" t="s">
        <v>43</v>
      </c>
      <c r="Y2892" s="2" t="s">
        <v>37</v>
      </c>
      <c r="Z2892" s="2" t="s">
        <v>44</v>
      </c>
      <c r="AA2892" s="2"/>
      <c r="AB2892" s="2"/>
      <c r="AC2892" s="2" t="s">
        <v>22121</v>
      </c>
      <c r="AD2892" s="2" t="s">
        <v>46</v>
      </c>
    </row>
    <row r="2893" customFormat="false" ht="15.7" hidden="false" customHeight="true" outlineLevel="0" collapsed="false">
      <c r="A2893" s="2"/>
      <c r="B2893" s="3" t="n">
        <f aca="false">DATE(2017,1,23)</f>
        <v>0</v>
      </c>
      <c r="C2893" s="3" t="n">
        <v>42758</v>
      </c>
      <c r="D2893" s="2" t="s">
        <v>22122</v>
      </c>
      <c r="F2893" s="2" t="s">
        <v>22123</v>
      </c>
      <c r="G2893" s="2" t="s">
        <v>22124</v>
      </c>
      <c r="H2893" s="2" t="s">
        <v>22125</v>
      </c>
      <c r="I2893" s="2" t="s">
        <v>154</v>
      </c>
      <c r="J2893" s="2" t="s">
        <v>3452</v>
      </c>
      <c r="K2893" s="2" t="s">
        <v>22122</v>
      </c>
      <c r="L2893" s="2" t="s">
        <v>154</v>
      </c>
      <c r="M2893" s="2" t="s">
        <v>22125</v>
      </c>
      <c r="N2893" s="2" t="s">
        <v>22126</v>
      </c>
      <c r="O2893" s="2"/>
      <c r="P2893" s="2" t="s">
        <v>37</v>
      </c>
      <c r="Q2893" s="4" t="n">
        <v>8099</v>
      </c>
      <c r="R2893" s="2" t="s">
        <v>136</v>
      </c>
      <c r="S2893" s="2" t="s">
        <v>39</v>
      </c>
      <c r="T2893" s="2" t="s">
        <v>40</v>
      </c>
      <c r="U2893" s="2" t="s">
        <v>22127</v>
      </c>
      <c r="V2893" s="2"/>
      <c r="W2893" s="2" t="s">
        <v>4487</v>
      </c>
      <c r="X2893" s="2" t="s">
        <v>43</v>
      </c>
      <c r="Y2893" s="2" t="s">
        <v>37</v>
      </c>
      <c r="Z2893" s="2" t="s">
        <v>44</v>
      </c>
      <c r="AA2893" s="2"/>
      <c r="AB2893" s="2"/>
      <c r="AC2893" s="2" t="s">
        <v>22128</v>
      </c>
      <c r="AD2893" s="2" t="s">
        <v>46</v>
      </c>
    </row>
    <row r="2894" customFormat="false" ht="15.7" hidden="false" customHeight="true" outlineLevel="0" collapsed="false">
      <c r="A2894" s="2"/>
      <c r="B2894" s="3" t="n">
        <f aca="false">DATE(2017,1,24)</f>
        <v>0</v>
      </c>
      <c r="C2894" s="3" t="n">
        <v>42759</v>
      </c>
      <c r="D2894" s="2" t="s">
        <v>22129</v>
      </c>
      <c r="F2894" s="2" t="s">
        <v>22130</v>
      </c>
      <c r="G2894" s="2" t="s">
        <v>22131</v>
      </c>
      <c r="H2894" s="2" t="s">
        <v>22132</v>
      </c>
      <c r="I2894" s="2" t="s">
        <v>487</v>
      </c>
      <c r="J2894" s="2" t="s">
        <v>132</v>
      </c>
      <c r="K2894" s="2" t="s">
        <v>22129</v>
      </c>
      <c r="L2894" s="2" t="s">
        <v>487</v>
      </c>
      <c r="M2894" s="2" t="s">
        <v>22132</v>
      </c>
      <c r="N2894" s="2" t="s">
        <v>22133</v>
      </c>
      <c r="O2894" s="2"/>
      <c r="P2894" s="2" t="s">
        <v>37</v>
      </c>
      <c r="Q2894" s="4" t="n">
        <v>7359</v>
      </c>
      <c r="R2894" s="2" t="s">
        <v>56</v>
      </c>
      <c r="S2894" s="2" t="s">
        <v>92</v>
      </c>
      <c r="T2894" s="2" t="s">
        <v>403</v>
      </c>
      <c r="U2894" s="2" t="s">
        <v>22134</v>
      </c>
      <c r="V2894" s="2"/>
      <c r="W2894" s="2" t="s">
        <v>22135</v>
      </c>
      <c r="X2894" s="2" t="s">
        <v>46</v>
      </c>
      <c r="Y2894" s="2" t="s">
        <v>37</v>
      </c>
      <c r="Z2894" s="2" t="s">
        <v>20786</v>
      </c>
      <c r="AA2894" s="2"/>
      <c r="AB2894" s="2"/>
      <c r="AC2894" s="2" t="s">
        <v>22136</v>
      </c>
      <c r="AD2894" s="2" t="s">
        <v>46</v>
      </c>
    </row>
    <row r="2895" customFormat="false" ht="15.7" hidden="false" customHeight="true" outlineLevel="0" collapsed="false">
      <c r="A2895" s="2"/>
      <c r="B2895" s="3" t="n">
        <f aca="false">DATE(2017,1,24)</f>
        <v>0</v>
      </c>
      <c r="C2895" s="3" t="n">
        <v>42759</v>
      </c>
      <c r="D2895" s="2" t="s">
        <v>22137</v>
      </c>
      <c r="F2895" s="2" t="s">
        <v>22138</v>
      </c>
      <c r="G2895" s="2" t="s">
        <v>22139</v>
      </c>
      <c r="H2895" s="2" t="s">
        <v>19986</v>
      </c>
      <c r="I2895" s="2" t="s">
        <v>2294</v>
      </c>
      <c r="J2895" s="2" t="s">
        <v>35</v>
      </c>
      <c r="K2895" s="2" t="s">
        <v>22140</v>
      </c>
      <c r="L2895" s="2" t="s">
        <v>51</v>
      </c>
      <c r="M2895" s="2" t="s">
        <v>22141</v>
      </c>
      <c r="N2895" s="2" t="s">
        <v>22142</v>
      </c>
      <c r="O2895" s="2"/>
      <c r="P2895" s="2" t="s">
        <v>37</v>
      </c>
      <c r="Q2895" s="4" t="n">
        <v>8731</v>
      </c>
      <c r="R2895" s="2" t="s">
        <v>450</v>
      </c>
      <c r="S2895" s="2" t="s">
        <v>39</v>
      </c>
      <c r="T2895" s="2" t="s">
        <v>40</v>
      </c>
      <c r="U2895" s="2" t="s">
        <v>22143</v>
      </c>
      <c r="V2895" s="2"/>
      <c r="W2895" s="2" t="s">
        <v>5464</v>
      </c>
      <c r="X2895" s="2" t="s">
        <v>43</v>
      </c>
      <c r="Y2895" s="2" t="s">
        <v>37</v>
      </c>
      <c r="Z2895" s="2" t="s">
        <v>44</v>
      </c>
      <c r="AA2895" s="2"/>
      <c r="AB2895" s="2"/>
      <c r="AC2895" s="2" t="s">
        <v>22144</v>
      </c>
      <c r="AD2895" s="2" t="s">
        <v>46</v>
      </c>
    </row>
    <row r="2896" customFormat="false" ht="15.7" hidden="false" customHeight="true" outlineLevel="0" collapsed="false">
      <c r="A2896" s="2"/>
      <c r="B2896" s="3" t="n">
        <f aca="false">DATE(2017,1,26)</f>
        <v>0</v>
      </c>
      <c r="C2896" s="3" t="n">
        <v>42761</v>
      </c>
      <c r="D2896" s="2" t="s">
        <v>22145</v>
      </c>
      <c r="F2896" s="2" t="s">
        <v>22146</v>
      </c>
      <c r="G2896" s="2" t="s">
        <v>22147</v>
      </c>
      <c r="H2896" s="2" t="s">
        <v>22148</v>
      </c>
      <c r="I2896" s="2" t="s">
        <v>664</v>
      </c>
      <c r="J2896" s="2" t="s">
        <v>795</v>
      </c>
      <c r="K2896" s="2" t="s">
        <v>22149</v>
      </c>
      <c r="L2896" s="2" t="s">
        <v>664</v>
      </c>
      <c r="M2896" s="2" t="s">
        <v>22150</v>
      </c>
      <c r="N2896" s="2" t="s">
        <v>22151</v>
      </c>
      <c r="O2896" s="2"/>
      <c r="P2896" s="2" t="s">
        <v>37</v>
      </c>
      <c r="Q2896" s="4" t="n">
        <v>7999</v>
      </c>
      <c r="R2896" s="2" t="s">
        <v>136</v>
      </c>
      <c r="S2896" s="2" t="s">
        <v>39</v>
      </c>
      <c r="T2896" s="2" t="s">
        <v>40</v>
      </c>
      <c r="U2896" s="2" t="s">
        <v>22152</v>
      </c>
      <c r="V2896" s="2"/>
      <c r="W2896" s="2" t="s">
        <v>22153</v>
      </c>
      <c r="X2896" s="2" t="s">
        <v>43</v>
      </c>
      <c r="Y2896" s="2" t="s">
        <v>37</v>
      </c>
      <c r="Z2896" s="2" t="s">
        <v>44</v>
      </c>
      <c r="AA2896" s="2"/>
      <c r="AB2896" s="2"/>
      <c r="AC2896" s="2" t="s">
        <v>22154</v>
      </c>
      <c r="AD2896" s="2" t="s">
        <v>46</v>
      </c>
    </row>
    <row r="2897" customFormat="false" ht="15.7" hidden="false" customHeight="true" outlineLevel="0" collapsed="false">
      <c r="A2897" s="2"/>
      <c r="B2897" s="3" t="n">
        <f aca="false">DATE(2017,1,27)</f>
        <v>0</v>
      </c>
      <c r="C2897" s="3" t="n">
        <v>42762</v>
      </c>
      <c r="D2897" s="2" t="s">
        <v>22155</v>
      </c>
      <c r="F2897" s="2" t="s">
        <v>22156</v>
      </c>
      <c r="G2897" s="2" t="s">
        <v>22157</v>
      </c>
      <c r="H2897" s="2" t="s">
        <v>22158</v>
      </c>
      <c r="I2897" s="2" t="s">
        <v>549</v>
      </c>
      <c r="J2897" s="2" t="s">
        <v>5355</v>
      </c>
      <c r="K2897" s="2" t="s">
        <v>22155</v>
      </c>
      <c r="L2897" s="2" t="s">
        <v>549</v>
      </c>
      <c r="M2897" s="2" t="s">
        <v>22158</v>
      </c>
      <c r="N2897" s="2" t="s">
        <v>22159</v>
      </c>
      <c r="O2897" s="2"/>
      <c r="P2897" s="2" t="s">
        <v>37</v>
      </c>
      <c r="Q2897" s="4" t="n">
        <v>8731</v>
      </c>
      <c r="R2897" s="2" t="s">
        <v>549</v>
      </c>
      <c r="S2897" s="2" t="s">
        <v>39</v>
      </c>
      <c r="T2897" s="2" t="s">
        <v>1036</v>
      </c>
      <c r="U2897" s="2" t="s">
        <v>22160</v>
      </c>
      <c r="V2897" s="2"/>
      <c r="W2897" s="2" t="s">
        <v>42</v>
      </c>
      <c r="X2897" s="2" t="s">
        <v>43</v>
      </c>
      <c r="Y2897" s="2" t="s">
        <v>79</v>
      </c>
      <c r="Z2897" s="2" t="s">
        <v>44</v>
      </c>
      <c r="AA2897" s="2"/>
      <c r="AB2897" s="2"/>
      <c r="AC2897" s="2" t="s">
        <v>22161</v>
      </c>
      <c r="AD2897" s="2" t="s">
        <v>46</v>
      </c>
    </row>
    <row r="2898" customFormat="false" ht="15.7" hidden="false" customHeight="true" outlineLevel="0" collapsed="false">
      <c r="A2898" s="2"/>
      <c r="B2898" s="3" t="n">
        <f aca="false">DATE(2017,1,30)</f>
        <v>0</v>
      </c>
      <c r="C2898" s="3" t="n">
        <v>42765</v>
      </c>
      <c r="D2898" s="2" t="s">
        <v>22162</v>
      </c>
      <c r="F2898" s="2" t="s">
        <v>20650</v>
      </c>
      <c r="G2898" s="2" t="s">
        <v>22163</v>
      </c>
      <c r="H2898" s="2" t="s">
        <v>130</v>
      </c>
      <c r="I2898" s="2" t="s">
        <v>51</v>
      </c>
      <c r="J2898" s="2" t="s">
        <v>4097</v>
      </c>
      <c r="K2898" s="2" t="s">
        <v>22162</v>
      </c>
      <c r="L2898" s="2" t="s">
        <v>51</v>
      </c>
      <c r="M2898" s="2" t="s">
        <v>130</v>
      </c>
      <c r="N2898" s="2" t="s">
        <v>22164</v>
      </c>
      <c r="O2898" s="2"/>
      <c r="P2898" s="2" t="s">
        <v>37</v>
      </c>
      <c r="Q2898" s="4" t="n">
        <v>8731</v>
      </c>
      <c r="R2898" s="2" t="s">
        <v>136</v>
      </c>
      <c r="S2898" s="2" t="s">
        <v>39</v>
      </c>
      <c r="T2898" s="2" t="s">
        <v>403</v>
      </c>
      <c r="U2898" s="2" t="s">
        <v>22165</v>
      </c>
      <c r="V2898" s="2"/>
      <c r="W2898" s="2" t="s">
        <v>1050</v>
      </c>
      <c r="X2898" s="2" t="s">
        <v>43</v>
      </c>
      <c r="Y2898" s="2" t="s">
        <v>37</v>
      </c>
      <c r="Z2898" s="2" t="s">
        <v>44</v>
      </c>
      <c r="AA2898" s="2"/>
      <c r="AB2898" s="2"/>
      <c r="AC2898" s="2" t="s">
        <v>22166</v>
      </c>
      <c r="AD2898" s="2" t="s">
        <v>46</v>
      </c>
    </row>
    <row r="2899" customFormat="false" ht="15.7" hidden="false" customHeight="true" outlineLevel="0" collapsed="false">
      <c r="A2899" s="2"/>
      <c r="B2899" s="3" t="n">
        <f aca="false">DATE(2017,1,31)</f>
        <v>0</v>
      </c>
      <c r="C2899" s="3" t="n">
        <v>42766</v>
      </c>
      <c r="D2899" s="2" t="s">
        <v>22167</v>
      </c>
      <c r="F2899" s="2" t="s">
        <v>22168</v>
      </c>
      <c r="G2899" s="2" t="s">
        <v>22169</v>
      </c>
      <c r="H2899" s="2" t="s">
        <v>22170</v>
      </c>
      <c r="I2899" s="2" t="s">
        <v>34</v>
      </c>
      <c r="J2899" s="2" t="s">
        <v>35</v>
      </c>
      <c r="K2899" s="2" t="s">
        <v>22167</v>
      </c>
      <c r="L2899" s="2" t="s">
        <v>34</v>
      </c>
      <c r="M2899" s="2" t="s">
        <v>22170</v>
      </c>
      <c r="N2899" s="2" t="s">
        <v>22171</v>
      </c>
      <c r="O2899" s="2"/>
      <c r="P2899" s="2" t="s">
        <v>79</v>
      </c>
      <c r="Q2899" s="4" t="n">
        <v>8731</v>
      </c>
      <c r="R2899" s="2" t="s">
        <v>38</v>
      </c>
      <c r="S2899" s="2" t="s">
        <v>39</v>
      </c>
      <c r="T2899" s="2" t="s">
        <v>403</v>
      </c>
      <c r="U2899" s="2" t="s">
        <v>22172</v>
      </c>
      <c r="V2899" s="2"/>
      <c r="W2899" s="2" t="s">
        <v>773</v>
      </c>
      <c r="X2899" s="2" t="s">
        <v>46</v>
      </c>
      <c r="Y2899" s="2" t="s">
        <v>37</v>
      </c>
      <c r="Z2899" s="2" t="s">
        <v>362</v>
      </c>
      <c r="AA2899" s="2"/>
      <c r="AB2899" s="2"/>
      <c r="AC2899" s="2" t="s">
        <v>22173</v>
      </c>
      <c r="AD2899" s="2" t="s">
        <v>46</v>
      </c>
    </row>
    <row r="2900" customFormat="false" ht="15.7" hidden="false" customHeight="true" outlineLevel="0" collapsed="false">
      <c r="A2900" s="2"/>
      <c r="B2900" s="3" t="n">
        <f aca="false">DATE(2017,2,2)</f>
        <v>0</v>
      </c>
      <c r="C2900" s="3" t="n">
        <v>42768</v>
      </c>
      <c r="D2900" s="2" t="s">
        <v>22174</v>
      </c>
      <c r="F2900" s="2" t="s">
        <v>22175</v>
      </c>
      <c r="G2900" s="2" t="s">
        <v>22176</v>
      </c>
      <c r="H2900" s="2" t="s">
        <v>22177</v>
      </c>
      <c r="I2900" s="2" t="s">
        <v>2127</v>
      </c>
      <c r="J2900" s="2" t="s">
        <v>35</v>
      </c>
      <c r="K2900" s="2" t="s">
        <v>22174</v>
      </c>
      <c r="L2900" s="2" t="s">
        <v>2127</v>
      </c>
      <c r="M2900" s="2" t="s">
        <v>22177</v>
      </c>
      <c r="N2900" s="2" t="s">
        <v>22178</v>
      </c>
      <c r="O2900" s="2" t="s">
        <v>22179</v>
      </c>
      <c r="P2900" s="2" t="s">
        <v>37</v>
      </c>
      <c r="Q2900" s="4" t="n">
        <v>8731</v>
      </c>
      <c r="R2900" s="2" t="s">
        <v>2129</v>
      </c>
      <c r="S2900" s="2" t="s">
        <v>39</v>
      </c>
      <c r="T2900" s="2" t="s">
        <v>40</v>
      </c>
      <c r="U2900" s="2" t="s">
        <v>22180</v>
      </c>
      <c r="V2900" s="2"/>
      <c r="W2900" s="2" t="s">
        <v>20005</v>
      </c>
      <c r="X2900" s="2" t="s">
        <v>46</v>
      </c>
      <c r="Y2900" s="2" t="s">
        <v>37</v>
      </c>
      <c r="Z2900" s="2" t="s">
        <v>3495</v>
      </c>
      <c r="AA2900" s="2"/>
      <c r="AB2900" s="2" t="s">
        <v>22181</v>
      </c>
      <c r="AC2900" s="2" t="s">
        <v>22182</v>
      </c>
      <c r="AD2900" s="2" t="s">
        <v>46</v>
      </c>
    </row>
    <row r="2901" customFormat="false" ht="15.7" hidden="false" customHeight="true" outlineLevel="0" collapsed="false">
      <c r="A2901" s="2"/>
      <c r="B2901" s="3" t="n">
        <f aca="false">DATE(2017,2,7)</f>
        <v>0</v>
      </c>
      <c r="C2901" s="3" t="n">
        <v>42773</v>
      </c>
      <c r="D2901" s="2" t="s">
        <v>22183</v>
      </c>
      <c r="F2901" s="2" t="s">
        <v>22184</v>
      </c>
      <c r="G2901" s="2" t="s">
        <v>22185</v>
      </c>
      <c r="H2901" s="2" t="s">
        <v>22186</v>
      </c>
      <c r="I2901" s="2" t="s">
        <v>2530</v>
      </c>
      <c r="J2901" s="2" t="s">
        <v>22187</v>
      </c>
      <c r="K2901" s="2" t="s">
        <v>22183</v>
      </c>
      <c r="L2901" s="2" t="s">
        <v>2530</v>
      </c>
      <c r="M2901" s="2" t="s">
        <v>22186</v>
      </c>
      <c r="N2901" s="2" t="s">
        <v>22188</v>
      </c>
      <c r="O2901" s="2"/>
      <c r="P2901" s="2" t="s">
        <v>79</v>
      </c>
      <c r="Q2901" s="4" t="n">
        <v>8731</v>
      </c>
      <c r="R2901" s="2" t="s">
        <v>56</v>
      </c>
      <c r="S2901" s="2"/>
      <c r="T2901" s="2" t="s">
        <v>40</v>
      </c>
      <c r="U2901" s="2" t="s">
        <v>22189</v>
      </c>
      <c r="V2901" s="2"/>
      <c r="W2901" s="2" t="s">
        <v>344</v>
      </c>
      <c r="X2901" s="2" t="s">
        <v>43</v>
      </c>
      <c r="Y2901" s="2" t="s">
        <v>37</v>
      </c>
      <c r="Z2901" s="2" t="s">
        <v>916</v>
      </c>
      <c r="AA2901" s="2"/>
      <c r="AB2901" s="2"/>
      <c r="AC2901" s="2" t="s">
        <v>22190</v>
      </c>
      <c r="AD2901" s="2" t="s">
        <v>46</v>
      </c>
    </row>
    <row r="2902" customFormat="false" ht="15.7" hidden="false" customHeight="true" outlineLevel="0" collapsed="false">
      <c r="A2902" s="2"/>
      <c r="B2902" s="3" t="n">
        <f aca="false">DATE(2017,2,8)</f>
        <v>0</v>
      </c>
      <c r="C2902" s="3" t="n">
        <v>42774</v>
      </c>
      <c r="D2902" s="2" t="s">
        <v>22191</v>
      </c>
      <c r="F2902" s="2" t="s">
        <v>22192</v>
      </c>
      <c r="G2902" s="2" t="s">
        <v>22193</v>
      </c>
      <c r="H2902" s="2" t="s">
        <v>22194</v>
      </c>
      <c r="I2902" s="2" t="s">
        <v>17785</v>
      </c>
      <c r="J2902" s="2" t="s">
        <v>35</v>
      </c>
      <c r="K2902" s="2" t="s">
        <v>22195</v>
      </c>
      <c r="L2902" s="2" t="s">
        <v>17785</v>
      </c>
      <c r="M2902" s="2" t="s">
        <v>22196</v>
      </c>
      <c r="N2902" s="2" t="s">
        <v>22197</v>
      </c>
      <c r="O2902" s="2"/>
      <c r="P2902" s="2" t="s">
        <v>37</v>
      </c>
      <c r="Q2902" s="4" t="n">
        <v>7371</v>
      </c>
      <c r="R2902" s="2" t="s">
        <v>1208</v>
      </c>
      <c r="S2902" s="2" t="s">
        <v>39</v>
      </c>
      <c r="T2902" s="2" t="s">
        <v>40</v>
      </c>
      <c r="U2902" s="2" t="s">
        <v>22198</v>
      </c>
      <c r="V2902" s="2"/>
      <c r="W2902" s="2" t="s">
        <v>22199</v>
      </c>
      <c r="X2902" s="2" t="s">
        <v>43</v>
      </c>
      <c r="Y2902" s="2" t="s">
        <v>37</v>
      </c>
      <c r="Z2902" s="2" t="s">
        <v>44</v>
      </c>
      <c r="AA2902" s="2"/>
      <c r="AB2902" s="2"/>
      <c r="AC2902" s="2" t="s">
        <v>22200</v>
      </c>
      <c r="AD2902" s="2" t="s">
        <v>46</v>
      </c>
    </row>
    <row r="2903" customFormat="false" ht="15.7" hidden="false" customHeight="true" outlineLevel="0" collapsed="false">
      <c r="A2903" s="2"/>
      <c r="B2903" s="3" t="n">
        <f aca="false">DATE(2017,2,9)</f>
        <v>0</v>
      </c>
      <c r="C2903" s="3" t="n">
        <v>42775</v>
      </c>
      <c r="D2903" s="2" t="s">
        <v>22201</v>
      </c>
      <c r="F2903" s="2" t="s">
        <v>22202</v>
      </c>
      <c r="G2903" s="2" t="s">
        <v>22203</v>
      </c>
      <c r="H2903" s="2" t="s">
        <v>22204</v>
      </c>
      <c r="I2903" s="2" t="s">
        <v>51</v>
      </c>
      <c r="J2903" s="2" t="s">
        <v>22205</v>
      </c>
      <c r="K2903" s="2" t="s">
        <v>22206</v>
      </c>
      <c r="L2903" s="2" t="s">
        <v>487</v>
      </c>
      <c r="M2903" s="2" t="s">
        <v>22207</v>
      </c>
      <c r="N2903" s="2" t="s">
        <v>22208</v>
      </c>
      <c r="O2903" s="2"/>
      <c r="P2903" s="2" t="s">
        <v>37</v>
      </c>
      <c r="Q2903" s="4" t="n">
        <v>3812</v>
      </c>
      <c r="R2903" s="2" t="s">
        <v>56</v>
      </c>
      <c r="S2903" s="2" t="s">
        <v>92</v>
      </c>
      <c r="T2903" s="2" t="s">
        <v>40</v>
      </c>
      <c r="U2903" s="2" t="s">
        <v>22209</v>
      </c>
      <c r="V2903" s="2"/>
      <c r="W2903" s="2" t="s">
        <v>42</v>
      </c>
      <c r="X2903" s="2" t="s">
        <v>43</v>
      </c>
      <c r="Y2903" s="2" t="s">
        <v>37</v>
      </c>
      <c r="Z2903" s="2" t="s">
        <v>44</v>
      </c>
      <c r="AA2903" s="2"/>
      <c r="AB2903" s="2"/>
      <c r="AC2903" s="2" t="s">
        <v>22210</v>
      </c>
      <c r="AD2903" s="2" t="s">
        <v>46</v>
      </c>
    </row>
    <row r="2904" customFormat="false" ht="15.7" hidden="false" customHeight="true" outlineLevel="0" collapsed="false">
      <c r="A2904" s="2"/>
      <c r="B2904" s="3" t="n">
        <f aca="false">DATE(2017,2,10)</f>
        <v>0</v>
      </c>
      <c r="C2904" s="3" t="n">
        <v>42776</v>
      </c>
      <c r="D2904" s="2" t="s">
        <v>22211</v>
      </c>
      <c r="F2904" s="2" t="s">
        <v>22212</v>
      </c>
      <c r="G2904" s="2" t="s">
        <v>22213</v>
      </c>
      <c r="H2904" s="2" t="s">
        <v>305</v>
      </c>
      <c r="I2904" s="2" t="s">
        <v>51</v>
      </c>
      <c r="J2904" s="2" t="s">
        <v>15197</v>
      </c>
      <c r="K2904" s="2" t="s">
        <v>22211</v>
      </c>
      <c r="L2904" s="2" t="s">
        <v>51</v>
      </c>
      <c r="M2904" s="2" t="s">
        <v>305</v>
      </c>
      <c r="N2904" s="2" t="s">
        <v>22214</v>
      </c>
      <c r="O2904" s="2"/>
      <c r="P2904" s="2" t="s">
        <v>79</v>
      </c>
      <c r="Q2904" s="4" t="n">
        <v>3999</v>
      </c>
      <c r="R2904" s="2" t="s">
        <v>56</v>
      </c>
      <c r="S2904" s="2"/>
      <c r="T2904" s="2" t="s">
        <v>40</v>
      </c>
      <c r="U2904" s="2" t="s">
        <v>22215</v>
      </c>
      <c r="V2904" s="2"/>
      <c r="W2904" s="2" t="s">
        <v>22216</v>
      </c>
      <c r="X2904" s="2" t="s">
        <v>43</v>
      </c>
      <c r="Y2904" s="2" t="s">
        <v>37</v>
      </c>
      <c r="Z2904" s="2" t="s">
        <v>44</v>
      </c>
      <c r="AA2904" s="2"/>
      <c r="AB2904" s="2"/>
      <c r="AC2904" s="2" t="s">
        <v>22217</v>
      </c>
      <c r="AD2904" s="2" t="s">
        <v>46</v>
      </c>
    </row>
    <row r="2905" customFormat="false" ht="15.7" hidden="false" customHeight="true" outlineLevel="0" collapsed="false">
      <c r="A2905" s="2"/>
      <c r="B2905" s="3" t="n">
        <f aca="false">DATE(2017,2,14)</f>
        <v>0</v>
      </c>
      <c r="C2905" s="3" t="n">
        <v>42780</v>
      </c>
      <c r="D2905" s="2" t="s">
        <v>22218</v>
      </c>
      <c r="F2905" s="2" t="s">
        <v>22219</v>
      </c>
      <c r="G2905" s="2" t="s">
        <v>22220</v>
      </c>
      <c r="H2905" s="2" t="s">
        <v>1101</v>
      </c>
      <c r="I2905" s="2" t="s">
        <v>51</v>
      </c>
      <c r="J2905" s="2" t="s">
        <v>22221</v>
      </c>
      <c r="K2905" s="2" t="s">
        <v>22222</v>
      </c>
      <c r="L2905" s="2" t="s">
        <v>51</v>
      </c>
      <c r="M2905" s="2" t="s">
        <v>1027</v>
      </c>
      <c r="N2905" s="2" t="s">
        <v>22223</v>
      </c>
      <c r="O2905" s="2"/>
      <c r="P2905" s="2" t="s">
        <v>79</v>
      </c>
      <c r="Q2905" s="4" t="n">
        <v>6794</v>
      </c>
      <c r="R2905" s="2" t="s">
        <v>56</v>
      </c>
      <c r="S2905" s="2"/>
      <c r="T2905" s="2" t="s">
        <v>403</v>
      </c>
      <c r="U2905" s="2" t="s">
        <v>22224</v>
      </c>
      <c r="V2905" s="2"/>
      <c r="W2905" s="2" t="s">
        <v>82</v>
      </c>
      <c r="X2905" s="2" t="s">
        <v>43</v>
      </c>
      <c r="Y2905" s="2" t="s">
        <v>37</v>
      </c>
      <c r="Z2905" s="2" t="s">
        <v>44</v>
      </c>
      <c r="AA2905" s="2"/>
      <c r="AB2905" s="2"/>
      <c r="AC2905" s="2" t="s">
        <v>22225</v>
      </c>
      <c r="AD2905" s="2" t="s">
        <v>46</v>
      </c>
    </row>
    <row r="2906" customFormat="false" ht="15.7" hidden="false" customHeight="true" outlineLevel="0" collapsed="false">
      <c r="A2906" s="2"/>
      <c r="B2906" s="3" t="n">
        <f aca="false">DATE(2017,2,15)</f>
        <v>0</v>
      </c>
      <c r="C2906" s="3" t="n">
        <v>42781</v>
      </c>
      <c r="D2906" s="2" t="s">
        <v>22226</v>
      </c>
      <c r="F2906" s="2" t="s">
        <v>22227</v>
      </c>
      <c r="G2906" s="2" t="s">
        <v>22228</v>
      </c>
      <c r="H2906" s="2" t="s">
        <v>1101</v>
      </c>
      <c r="I2906" s="2" t="s">
        <v>51</v>
      </c>
      <c r="J2906" s="2" t="s">
        <v>6303</v>
      </c>
      <c r="K2906" s="2" t="s">
        <v>22229</v>
      </c>
      <c r="L2906" s="2" t="s">
        <v>51</v>
      </c>
      <c r="M2906" s="2" t="s">
        <v>1027</v>
      </c>
      <c r="N2906" s="2" t="s">
        <v>22230</v>
      </c>
      <c r="O2906" s="2"/>
      <c r="P2906" s="2" t="s">
        <v>79</v>
      </c>
      <c r="Q2906" s="4" t="n">
        <v>6794</v>
      </c>
      <c r="R2906" s="2" t="s">
        <v>56</v>
      </c>
      <c r="S2906" s="2"/>
      <c r="T2906" s="2" t="s">
        <v>40</v>
      </c>
      <c r="U2906" s="2" t="s">
        <v>22231</v>
      </c>
      <c r="V2906" s="2"/>
      <c r="W2906" s="2" t="s">
        <v>82</v>
      </c>
      <c r="X2906" s="2" t="s">
        <v>43</v>
      </c>
      <c r="Y2906" s="2" t="s">
        <v>37</v>
      </c>
      <c r="Z2906" s="2" t="s">
        <v>44</v>
      </c>
      <c r="AA2906" s="2"/>
      <c r="AB2906" s="2"/>
      <c r="AC2906" s="2" t="s">
        <v>22232</v>
      </c>
      <c r="AD2906" s="2" t="s">
        <v>46</v>
      </c>
    </row>
    <row r="2907" customFormat="false" ht="15.7" hidden="false" customHeight="true" outlineLevel="0" collapsed="false">
      <c r="A2907" s="2"/>
      <c r="B2907" s="3" t="n">
        <f aca="false">DATE(2017,2,15)</f>
        <v>0</v>
      </c>
      <c r="C2907" s="3" t="n">
        <v>42781</v>
      </c>
      <c r="D2907" s="2" t="s">
        <v>22233</v>
      </c>
      <c r="F2907" s="2" t="s">
        <v>22234</v>
      </c>
      <c r="G2907" s="2" t="s">
        <v>22235</v>
      </c>
      <c r="H2907" s="2" t="s">
        <v>8787</v>
      </c>
      <c r="I2907" s="2" t="s">
        <v>51</v>
      </c>
      <c r="J2907" s="2" t="s">
        <v>171</v>
      </c>
      <c r="K2907" s="2" t="s">
        <v>22233</v>
      </c>
      <c r="L2907" s="2" t="s">
        <v>51</v>
      </c>
      <c r="M2907" s="2" t="s">
        <v>8787</v>
      </c>
      <c r="N2907" s="2" t="s">
        <v>22236</v>
      </c>
      <c r="O2907" s="2"/>
      <c r="P2907" s="2" t="s">
        <v>79</v>
      </c>
      <c r="Q2907" s="4" t="n">
        <v>6794</v>
      </c>
      <c r="R2907" s="2" t="s">
        <v>56</v>
      </c>
      <c r="S2907" s="2"/>
      <c r="T2907" s="2" t="s">
        <v>403</v>
      </c>
      <c r="U2907" s="2" t="s">
        <v>22237</v>
      </c>
      <c r="V2907" s="2"/>
      <c r="W2907" s="2" t="s">
        <v>15545</v>
      </c>
      <c r="X2907" s="2" t="s">
        <v>43</v>
      </c>
      <c r="Y2907" s="2" t="s">
        <v>37</v>
      </c>
      <c r="Z2907" s="2" t="s">
        <v>44</v>
      </c>
      <c r="AA2907" s="2"/>
      <c r="AB2907" s="2"/>
      <c r="AC2907" s="2" t="s">
        <v>22238</v>
      </c>
      <c r="AD2907" s="2" t="s">
        <v>46</v>
      </c>
    </row>
    <row r="2908" customFormat="false" ht="15.7" hidden="false" customHeight="true" outlineLevel="0" collapsed="false">
      <c r="A2908" s="3" t="n">
        <f aca="false">DATE(2017,2,15)</f>
        <v>0</v>
      </c>
      <c r="B2908" s="3" t="n">
        <f aca="false">DATE(2017,2,16)</f>
        <v>0</v>
      </c>
      <c r="C2908" s="3" t="n">
        <v>42782</v>
      </c>
      <c r="D2908" s="2" t="s">
        <v>22239</v>
      </c>
      <c r="F2908" s="2" t="s">
        <v>22240</v>
      </c>
      <c r="G2908" s="2" t="s">
        <v>22241</v>
      </c>
      <c r="H2908" s="2" t="s">
        <v>4561</v>
      </c>
      <c r="I2908" s="2" t="s">
        <v>51</v>
      </c>
      <c r="J2908" s="2" t="s">
        <v>171</v>
      </c>
      <c r="K2908" s="2" t="s">
        <v>22239</v>
      </c>
      <c r="L2908" s="2" t="s">
        <v>51</v>
      </c>
      <c r="M2908" s="2" t="s">
        <v>4561</v>
      </c>
      <c r="N2908" s="2" t="s">
        <v>22242</v>
      </c>
      <c r="O2908" s="2"/>
      <c r="P2908" s="2" t="s">
        <v>37</v>
      </c>
      <c r="Q2908" s="4" t="n">
        <v>8731</v>
      </c>
      <c r="R2908" s="2" t="s">
        <v>56</v>
      </c>
      <c r="S2908" s="2"/>
      <c r="T2908" s="2" t="s">
        <v>40</v>
      </c>
      <c r="U2908" s="2" t="s">
        <v>22243</v>
      </c>
      <c r="V2908" s="2"/>
      <c r="W2908" s="2" t="s">
        <v>42</v>
      </c>
      <c r="X2908" s="2" t="s">
        <v>43</v>
      </c>
      <c r="Y2908" s="2" t="s">
        <v>37</v>
      </c>
      <c r="Z2908" s="2" t="s">
        <v>44</v>
      </c>
      <c r="AA2908" s="2"/>
      <c r="AB2908" s="2"/>
      <c r="AC2908" s="2" t="s">
        <v>22244</v>
      </c>
      <c r="AD2908" s="2" t="s">
        <v>46</v>
      </c>
    </row>
    <row r="2909" customFormat="false" ht="15.7" hidden="false" customHeight="true" outlineLevel="0" collapsed="false">
      <c r="A2909" s="3" t="n">
        <f aca="false">DATE(2017,2,15)</f>
        <v>0</v>
      </c>
      <c r="B2909" s="3" t="n">
        <f aca="false">DATE(2017,2,16)</f>
        <v>0</v>
      </c>
      <c r="C2909" s="3" t="n">
        <v>42782</v>
      </c>
      <c r="D2909" s="2" t="s">
        <v>22245</v>
      </c>
      <c r="F2909" s="2" t="s">
        <v>17484</v>
      </c>
      <c r="G2909" s="2" t="s">
        <v>22246</v>
      </c>
      <c r="H2909" s="2" t="s">
        <v>170</v>
      </c>
      <c r="I2909" s="2" t="s">
        <v>180</v>
      </c>
      <c r="J2909" s="2" t="s">
        <v>331</v>
      </c>
      <c r="K2909" s="2" t="s">
        <v>22247</v>
      </c>
      <c r="L2909" s="2" t="s">
        <v>22248</v>
      </c>
      <c r="M2909" s="2" t="s">
        <v>13053</v>
      </c>
      <c r="N2909" s="2" t="s">
        <v>22249</v>
      </c>
      <c r="O2909" s="2"/>
      <c r="P2909" s="2" t="s">
        <v>37</v>
      </c>
      <c r="Q2909" s="4" t="n">
        <v>8731</v>
      </c>
      <c r="R2909" s="2" t="s">
        <v>2105</v>
      </c>
      <c r="S2909" s="2" t="s">
        <v>39</v>
      </c>
      <c r="T2909" s="2" t="s">
        <v>40</v>
      </c>
      <c r="U2909" s="2" t="s">
        <v>22250</v>
      </c>
      <c r="V2909" s="2"/>
      <c r="W2909" s="2" t="s">
        <v>42</v>
      </c>
      <c r="X2909" s="2" t="s">
        <v>43</v>
      </c>
      <c r="Y2909" s="2" t="s">
        <v>37</v>
      </c>
      <c r="Z2909" s="2" t="s">
        <v>44</v>
      </c>
      <c r="AA2909" s="2"/>
      <c r="AB2909" s="2"/>
      <c r="AC2909" s="2" t="s">
        <v>22251</v>
      </c>
      <c r="AD2909" s="2" t="s">
        <v>46</v>
      </c>
    </row>
    <row r="2910" customFormat="false" ht="15.7" hidden="false" customHeight="true" outlineLevel="0" collapsed="false">
      <c r="A2910" s="3" t="n">
        <f aca="false">DATE(2017,2,19)</f>
        <v>0</v>
      </c>
      <c r="B2910" s="3" t="n">
        <f aca="false">DATE(2017,2,20)</f>
        <v>0</v>
      </c>
      <c r="C2910" s="3" t="n">
        <v>42786</v>
      </c>
      <c r="D2910" s="2" t="s">
        <v>22252</v>
      </c>
      <c r="F2910" s="2" t="s">
        <v>22253</v>
      </c>
      <c r="G2910" s="2" t="s">
        <v>22254</v>
      </c>
      <c r="H2910" s="2" t="s">
        <v>22255</v>
      </c>
      <c r="I2910" s="2" t="s">
        <v>1544</v>
      </c>
      <c r="J2910" s="2" t="s">
        <v>331</v>
      </c>
      <c r="K2910" s="2" t="s">
        <v>22256</v>
      </c>
      <c r="L2910" s="2" t="s">
        <v>1544</v>
      </c>
      <c r="M2910" s="2" t="s">
        <v>22257</v>
      </c>
      <c r="N2910" s="2" t="s">
        <v>22258</v>
      </c>
      <c r="O2910" s="2"/>
      <c r="P2910" s="2" t="s">
        <v>37</v>
      </c>
      <c r="Q2910" s="4" t="n">
        <v>8731</v>
      </c>
      <c r="R2910" s="2"/>
      <c r="S2910" s="2"/>
      <c r="T2910" s="2" t="s">
        <v>40</v>
      </c>
      <c r="U2910" s="2" t="s">
        <v>22259</v>
      </c>
      <c r="V2910" s="2"/>
      <c r="W2910" s="2" t="s">
        <v>22260</v>
      </c>
      <c r="X2910" s="2" t="s">
        <v>43</v>
      </c>
      <c r="Y2910" s="2" t="s">
        <v>37</v>
      </c>
      <c r="Z2910" s="2" t="s">
        <v>44</v>
      </c>
      <c r="AA2910" s="2"/>
      <c r="AB2910" s="2"/>
      <c r="AC2910" s="2" t="s">
        <v>22261</v>
      </c>
      <c r="AD2910" s="2" t="s">
        <v>46</v>
      </c>
    </row>
    <row r="2911" customFormat="false" ht="15.7" hidden="false" customHeight="true" outlineLevel="0" collapsed="false">
      <c r="A2911" s="2"/>
      <c r="B2911" s="3" t="n">
        <f aca="false">DATE(2017,2,21)</f>
        <v>0</v>
      </c>
      <c r="C2911" s="3" t="n">
        <v>42787</v>
      </c>
      <c r="D2911" s="2" t="s">
        <v>22262</v>
      </c>
      <c r="F2911" s="2" t="s">
        <v>22263</v>
      </c>
      <c r="G2911" s="2" t="s">
        <v>22264</v>
      </c>
      <c r="H2911" s="2" t="s">
        <v>5724</v>
      </c>
      <c r="I2911" s="2" t="s">
        <v>4179</v>
      </c>
      <c r="J2911" s="2" t="s">
        <v>331</v>
      </c>
      <c r="K2911" s="2" t="s">
        <v>22265</v>
      </c>
      <c r="L2911" s="2" t="s">
        <v>4179</v>
      </c>
      <c r="M2911" s="2" t="s">
        <v>5724</v>
      </c>
      <c r="N2911" s="2" t="s">
        <v>22266</v>
      </c>
      <c r="O2911" s="2"/>
      <c r="P2911" s="2" t="s">
        <v>37</v>
      </c>
      <c r="Q2911" s="4" t="n">
        <v>8099</v>
      </c>
      <c r="R2911" s="2" t="s">
        <v>5774</v>
      </c>
      <c r="S2911" s="2" t="s">
        <v>39</v>
      </c>
      <c r="T2911" s="2" t="s">
        <v>2444</v>
      </c>
      <c r="U2911" s="2" t="s">
        <v>22267</v>
      </c>
      <c r="V2911" s="2"/>
      <c r="W2911" s="2" t="s">
        <v>4487</v>
      </c>
      <c r="X2911" s="2" t="s">
        <v>43</v>
      </c>
      <c r="Y2911" s="2" t="s">
        <v>37</v>
      </c>
      <c r="Z2911" s="2" t="s">
        <v>44</v>
      </c>
      <c r="AA2911" s="2"/>
      <c r="AB2911" s="2"/>
      <c r="AC2911" s="2" t="s">
        <v>22268</v>
      </c>
      <c r="AD2911" s="2" t="s">
        <v>46</v>
      </c>
    </row>
    <row r="2912" customFormat="false" ht="15.7" hidden="false" customHeight="true" outlineLevel="0" collapsed="false">
      <c r="A2912" s="2"/>
      <c r="B2912" s="3" t="n">
        <f aca="false">DATE(2017,2,22)</f>
        <v>0</v>
      </c>
      <c r="C2912" s="3" t="n">
        <v>42788</v>
      </c>
      <c r="D2912" s="2" t="s">
        <v>22269</v>
      </c>
      <c r="F2912" s="2" t="s">
        <v>22270</v>
      </c>
      <c r="G2912" s="2" t="s">
        <v>22271</v>
      </c>
      <c r="H2912" s="2" t="s">
        <v>22272</v>
      </c>
      <c r="I2912" s="2" t="s">
        <v>51</v>
      </c>
      <c r="J2912" s="2" t="s">
        <v>22273</v>
      </c>
      <c r="K2912" s="2" t="s">
        <v>22269</v>
      </c>
      <c r="L2912" s="2" t="s">
        <v>51</v>
      </c>
      <c r="M2912" s="2" t="s">
        <v>22272</v>
      </c>
      <c r="N2912" s="2" t="s">
        <v>22274</v>
      </c>
      <c r="O2912" s="2"/>
      <c r="P2912" s="2" t="s">
        <v>37</v>
      </c>
      <c r="Q2912" s="4" t="n">
        <v>3999</v>
      </c>
      <c r="R2912" s="2" t="s">
        <v>56</v>
      </c>
      <c r="S2912" s="2" t="s">
        <v>7553</v>
      </c>
      <c r="T2912" s="2" t="s">
        <v>40</v>
      </c>
      <c r="U2912" s="2" t="s">
        <v>22275</v>
      </c>
      <c r="V2912" s="2"/>
      <c r="W2912" s="2" t="s">
        <v>107</v>
      </c>
      <c r="X2912" s="2" t="s">
        <v>43</v>
      </c>
      <c r="Y2912" s="2" t="s">
        <v>37</v>
      </c>
      <c r="Z2912" s="2" t="s">
        <v>44</v>
      </c>
      <c r="AA2912" s="2"/>
      <c r="AB2912" s="2"/>
      <c r="AC2912" s="2" t="s">
        <v>22276</v>
      </c>
      <c r="AD2912" s="2" t="s">
        <v>46</v>
      </c>
    </row>
    <row r="2913" customFormat="false" ht="15.7" hidden="false" customHeight="true" outlineLevel="0" collapsed="false">
      <c r="A2913" s="3" t="n">
        <f aca="false">DATE(2017,2,21)</f>
        <v>0</v>
      </c>
      <c r="B2913" s="3" t="n">
        <f aca="false">DATE(2017,2,22)</f>
        <v>0</v>
      </c>
      <c r="C2913" s="3" t="n">
        <v>42788</v>
      </c>
      <c r="D2913" s="2" t="s">
        <v>22277</v>
      </c>
      <c r="F2913" s="2" t="s">
        <v>22278</v>
      </c>
      <c r="G2913" s="2" t="s">
        <v>22279</v>
      </c>
      <c r="H2913" s="2" t="s">
        <v>22280</v>
      </c>
      <c r="I2913" s="2" t="s">
        <v>51</v>
      </c>
      <c r="J2913" s="2" t="s">
        <v>4723</v>
      </c>
      <c r="K2913" s="2" t="s">
        <v>22281</v>
      </c>
      <c r="L2913" s="2" t="s">
        <v>51</v>
      </c>
      <c r="M2913" s="2" t="s">
        <v>19781</v>
      </c>
      <c r="N2913" s="2" t="s">
        <v>22282</v>
      </c>
      <c r="O2913" s="2"/>
      <c r="P2913" s="2" t="s">
        <v>37</v>
      </c>
      <c r="Q2913" s="4" t="n">
        <v>7373</v>
      </c>
      <c r="R2913" s="2" t="s">
        <v>56</v>
      </c>
      <c r="S2913" s="2" t="s">
        <v>92</v>
      </c>
      <c r="T2913" s="2" t="s">
        <v>40</v>
      </c>
      <c r="U2913" s="2" t="s">
        <v>22283</v>
      </c>
      <c r="V2913" s="2"/>
      <c r="W2913" s="2" t="s">
        <v>6330</v>
      </c>
      <c r="X2913" s="2" t="s">
        <v>43</v>
      </c>
      <c r="Y2913" s="2" t="s">
        <v>37</v>
      </c>
      <c r="Z2913" s="2" t="s">
        <v>44</v>
      </c>
      <c r="AA2913" s="2"/>
      <c r="AB2913" s="2"/>
      <c r="AC2913" s="2" t="s">
        <v>22284</v>
      </c>
      <c r="AD2913" s="2" t="s">
        <v>46</v>
      </c>
    </row>
    <row r="2914" customFormat="false" ht="15.7" hidden="false" customHeight="true" outlineLevel="0" collapsed="false">
      <c r="A2914" s="3" t="n">
        <f aca="false">DATE(2017,2,21)</f>
        <v>0</v>
      </c>
      <c r="B2914" s="3" t="n">
        <f aca="false">DATE(2017,2,22)</f>
        <v>0</v>
      </c>
      <c r="C2914" s="3" t="n">
        <v>42788</v>
      </c>
      <c r="D2914" s="2" t="s">
        <v>22285</v>
      </c>
      <c r="F2914" s="2" t="s">
        <v>22286</v>
      </c>
      <c r="G2914" s="2" t="s">
        <v>22287</v>
      </c>
      <c r="H2914" s="2" t="s">
        <v>18273</v>
      </c>
      <c r="I2914" s="2" t="s">
        <v>51</v>
      </c>
      <c r="J2914" s="2" t="s">
        <v>2338</v>
      </c>
      <c r="K2914" s="2" t="s">
        <v>22288</v>
      </c>
      <c r="L2914" s="2" t="s">
        <v>51</v>
      </c>
      <c r="M2914" s="2" t="s">
        <v>22289</v>
      </c>
      <c r="N2914" s="2" t="s">
        <v>22290</v>
      </c>
      <c r="O2914" s="2"/>
      <c r="P2914" s="2" t="s">
        <v>37</v>
      </c>
      <c r="Q2914" s="4" t="n">
        <v>8731</v>
      </c>
      <c r="R2914" s="2" t="s">
        <v>56</v>
      </c>
      <c r="S2914" s="2" t="s">
        <v>507</v>
      </c>
      <c r="T2914" s="2" t="s">
        <v>40</v>
      </c>
      <c r="U2914" s="2" t="s">
        <v>22291</v>
      </c>
      <c r="V2914" s="2"/>
      <c r="W2914" s="2" t="s">
        <v>42</v>
      </c>
      <c r="X2914" s="2" t="s">
        <v>43</v>
      </c>
      <c r="Y2914" s="2" t="s">
        <v>37</v>
      </c>
      <c r="Z2914" s="2" t="s">
        <v>44</v>
      </c>
      <c r="AA2914" s="2"/>
      <c r="AB2914" s="2"/>
      <c r="AC2914" s="2" t="s">
        <v>22292</v>
      </c>
      <c r="AD2914" s="2" t="s">
        <v>46</v>
      </c>
    </row>
    <row r="2915" customFormat="false" ht="15.7" hidden="false" customHeight="true" outlineLevel="0" collapsed="false">
      <c r="A2915" s="2"/>
      <c r="B2915" s="3" t="n">
        <f aca="false">DATE(2017,2,23)</f>
        <v>0</v>
      </c>
      <c r="C2915" s="3" t="n">
        <v>42789</v>
      </c>
      <c r="D2915" s="2" t="s">
        <v>22293</v>
      </c>
      <c r="F2915" s="2" t="s">
        <v>22294</v>
      </c>
      <c r="G2915" s="2" t="s">
        <v>22295</v>
      </c>
      <c r="H2915" s="2" t="s">
        <v>22296</v>
      </c>
      <c r="I2915" s="2" t="s">
        <v>5990</v>
      </c>
      <c r="J2915" s="2" t="s">
        <v>35</v>
      </c>
      <c r="K2915" s="2" t="s">
        <v>22297</v>
      </c>
      <c r="L2915" s="2" t="s">
        <v>5990</v>
      </c>
      <c r="M2915" s="2" t="s">
        <v>22298</v>
      </c>
      <c r="N2915" s="2" t="s">
        <v>22299</v>
      </c>
      <c r="O2915" s="2"/>
      <c r="P2915" s="2" t="s">
        <v>37</v>
      </c>
      <c r="Q2915" s="4" t="n">
        <v>4899</v>
      </c>
      <c r="R2915" s="2" t="s">
        <v>3154</v>
      </c>
      <c r="S2915" s="2" t="s">
        <v>39</v>
      </c>
      <c r="T2915" s="2" t="s">
        <v>40</v>
      </c>
      <c r="U2915" s="2" t="s">
        <v>22300</v>
      </c>
      <c r="V2915" s="2"/>
      <c r="W2915" s="2" t="s">
        <v>22301</v>
      </c>
      <c r="X2915" s="2" t="s">
        <v>43</v>
      </c>
      <c r="Y2915" s="2" t="s">
        <v>37</v>
      </c>
      <c r="Z2915" s="2" t="s">
        <v>44</v>
      </c>
      <c r="AA2915" s="2"/>
      <c r="AB2915" s="2"/>
      <c r="AC2915" s="2" t="s">
        <v>22302</v>
      </c>
      <c r="AD2915" s="2" t="s">
        <v>46</v>
      </c>
    </row>
    <row r="2916" customFormat="false" ht="15.7" hidden="false" customHeight="true" outlineLevel="0" collapsed="false">
      <c r="A2916" s="2"/>
      <c r="B2916" s="3" t="n">
        <f aca="false">DATE(2017,2,25)</f>
        <v>0</v>
      </c>
      <c r="C2916" s="3" t="n">
        <v>42791</v>
      </c>
      <c r="D2916" s="2" t="s">
        <v>22303</v>
      </c>
      <c r="F2916" s="2" t="s">
        <v>22304</v>
      </c>
      <c r="G2916" s="2" t="s">
        <v>22305</v>
      </c>
      <c r="H2916" s="2" t="s">
        <v>22306</v>
      </c>
      <c r="I2916" s="2" t="s">
        <v>51</v>
      </c>
      <c r="J2916" s="2" t="s">
        <v>13986</v>
      </c>
      <c r="K2916" s="2" t="s">
        <v>22303</v>
      </c>
      <c r="L2916" s="2" t="s">
        <v>51</v>
      </c>
      <c r="M2916" s="2" t="s">
        <v>22306</v>
      </c>
      <c r="N2916" s="2" t="s">
        <v>22307</v>
      </c>
      <c r="O2916" s="2"/>
      <c r="P2916" s="2" t="s">
        <v>37</v>
      </c>
      <c r="Q2916" s="4" t="n">
        <v>8731</v>
      </c>
      <c r="R2916" s="2" t="s">
        <v>56</v>
      </c>
      <c r="S2916" s="2" t="s">
        <v>507</v>
      </c>
      <c r="T2916" s="2" t="s">
        <v>40</v>
      </c>
      <c r="U2916" s="2" t="s">
        <v>22308</v>
      </c>
      <c r="V2916" s="2"/>
      <c r="W2916" s="2" t="s">
        <v>697</v>
      </c>
      <c r="X2916" s="2" t="s">
        <v>43</v>
      </c>
      <c r="Y2916" s="2" t="s">
        <v>37</v>
      </c>
      <c r="Z2916" s="2" t="s">
        <v>44</v>
      </c>
      <c r="AA2916" s="2"/>
      <c r="AB2916" s="2"/>
      <c r="AC2916" s="2" t="s">
        <v>22309</v>
      </c>
      <c r="AD2916" s="2" t="s">
        <v>46</v>
      </c>
    </row>
    <row r="2917" customFormat="false" ht="15.7" hidden="false" customHeight="true" outlineLevel="0" collapsed="false">
      <c r="A2917" s="2"/>
      <c r="B2917" s="3" t="n">
        <f aca="false">DATE(2017,2,28)</f>
        <v>0</v>
      </c>
      <c r="C2917" s="3" t="n">
        <v>42794</v>
      </c>
      <c r="D2917" s="2" t="s">
        <v>22310</v>
      </c>
      <c r="F2917" s="2" t="s">
        <v>21097</v>
      </c>
      <c r="G2917" s="2" t="s">
        <v>22311</v>
      </c>
      <c r="H2917" s="2" t="s">
        <v>130</v>
      </c>
      <c r="I2917" s="2" t="s">
        <v>34</v>
      </c>
      <c r="J2917" s="2" t="s">
        <v>35</v>
      </c>
      <c r="K2917" s="2" t="s">
        <v>22312</v>
      </c>
      <c r="L2917" s="2" t="s">
        <v>4089</v>
      </c>
      <c r="M2917" s="2" t="s">
        <v>230</v>
      </c>
      <c r="N2917" s="2" t="s">
        <v>22313</v>
      </c>
      <c r="O2917" s="2"/>
      <c r="P2917" s="2" t="s">
        <v>37</v>
      </c>
      <c r="Q2917" s="4" t="n">
        <v>8099</v>
      </c>
      <c r="R2917" s="2" t="s">
        <v>38</v>
      </c>
      <c r="S2917" s="2" t="s">
        <v>39</v>
      </c>
      <c r="T2917" s="2" t="s">
        <v>40</v>
      </c>
      <c r="U2917" s="2" t="s">
        <v>22314</v>
      </c>
      <c r="V2917" s="2"/>
      <c r="W2917" s="2" t="s">
        <v>4487</v>
      </c>
      <c r="X2917" s="2" t="s">
        <v>43</v>
      </c>
      <c r="Y2917" s="2" t="s">
        <v>37</v>
      </c>
      <c r="Z2917" s="2" t="s">
        <v>44</v>
      </c>
      <c r="AA2917" s="2"/>
      <c r="AB2917" s="2"/>
      <c r="AC2917" s="2" t="s">
        <v>22315</v>
      </c>
      <c r="AD2917" s="2" t="s">
        <v>46</v>
      </c>
    </row>
    <row r="2918" customFormat="false" ht="15.7" hidden="false" customHeight="true" outlineLevel="0" collapsed="false">
      <c r="A2918" s="2"/>
      <c r="B2918" s="3" t="n">
        <f aca="false">DATE(2017,2,28)</f>
        <v>0</v>
      </c>
      <c r="C2918" s="3" t="n">
        <v>42794</v>
      </c>
      <c r="D2918" s="2" t="s">
        <v>22316</v>
      </c>
      <c r="F2918" s="2" t="s">
        <v>22317</v>
      </c>
      <c r="G2918" s="2" t="s">
        <v>22318</v>
      </c>
      <c r="H2918" s="2" t="s">
        <v>22319</v>
      </c>
      <c r="I2918" s="2" t="s">
        <v>18724</v>
      </c>
      <c r="J2918" s="2" t="s">
        <v>35</v>
      </c>
      <c r="K2918" s="2" t="s">
        <v>22320</v>
      </c>
      <c r="L2918" s="2" t="s">
        <v>22321</v>
      </c>
      <c r="M2918" s="2" t="s">
        <v>22322</v>
      </c>
      <c r="N2918" s="2" t="s">
        <v>22323</v>
      </c>
      <c r="O2918" s="2"/>
      <c r="P2918" s="2" t="s">
        <v>37</v>
      </c>
      <c r="Q2918" s="4" t="n">
        <v>8731</v>
      </c>
      <c r="R2918" s="2" t="s">
        <v>2201</v>
      </c>
      <c r="S2918" s="2" t="s">
        <v>39</v>
      </c>
      <c r="T2918" s="2" t="s">
        <v>403</v>
      </c>
      <c r="U2918" s="2" t="s">
        <v>22324</v>
      </c>
      <c r="V2918" s="2"/>
      <c r="W2918" s="2" t="s">
        <v>42</v>
      </c>
      <c r="X2918" s="2" t="s">
        <v>46</v>
      </c>
      <c r="Y2918" s="2" t="s">
        <v>37</v>
      </c>
      <c r="Z2918" s="2" t="s">
        <v>44</v>
      </c>
      <c r="AA2918" s="2"/>
      <c r="AB2918" s="2"/>
      <c r="AC2918" s="2" t="s">
        <v>22325</v>
      </c>
      <c r="AD2918" s="2" t="s">
        <v>46</v>
      </c>
    </row>
    <row r="2919" customFormat="false" ht="15.7" hidden="false" customHeight="true" outlineLevel="0" collapsed="false">
      <c r="A2919" s="2"/>
      <c r="B2919" s="3" t="n">
        <f aca="false">DATE(2017,2,28)</f>
        <v>0</v>
      </c>
      <c r="C2919" s="3" t="n">
        <v>42794</v>
      </c>
      <c r="D2919" s="2" t="s">
        <v>22326</v>
      </c>
      <c r="F2919" s="2" t="s">
        <v>22327</v>
      </c>
      <c r="G2919" s="2" t="s">
        <v>22328</v>
      </c>
      <c r="H2919" s="2" t="s">
        <v>1020</v>
      </c>
      <c r="I2919" s="2" t="s">
        <v>51</v>
      </c>
      <c r="J2919" s="2" t="s">
        <v>171</v>
      </c>
      <c r="K2919" s="2" t="s">
        <v>22326</v>
      </c>
      <c r="L2919" s="2" t="s">
        <v>51</v>
      </c>
      <c r="M2919" s="2" t="s">
        <v>1020</v>
      </c>
      <c r="N2919" s="2" t="s">
        <v>22329</v>
      </c>
      <c r="O2919" s="2"/>
      <c r="P2919" s="2" t="s">
        <v>79</v>
      </c>
      <c r="Q2919" s="4" t="n">
        <v>6794</v>
      </c>
      <c r="R2919" s="2" t="s">
        <v>56</v>
      </c>
      <c r="S2919" s="2"/>
      <c r="T2919" s="2" t="s">
        <v>403</v>
      </c>
      <c r="U2919" s="2" t="s">
        <v>22330</v>
      </c>
      <c r="V2919" s="2"/>
      <c r="W2919" s="2" t="s">
        <v>82</v>
      </c>
      <c r="X2919" s="2" t="s">
        <v>43</v>
      </c>
      <c r="Y2919" s="2" t="s">
        <v>37</v>
      </c>
      <c r="Z2919" s="2" t="s">
        <v>44</v>
      </c>
      <c r="AA2919" s="2"/>
      <c r="AB2919" s="2"/>
      <c r="AC2919" s="2" t="s">
        <v>22331</v>
      </c>
      <c r="AD2919" s="2" t="s">
        <v>46</v>
      </c>
    </row>
    <row r="2920" customFormat="false" ht="15.7" hidden="false" customHeight="true" outlineLevel="0" collapsed="false">
      <c r="A2920" s="2"/>
      <c r="B2920" s="3" t="n">
        <f aca="false">DATE(2017,2,28)</f>
        <v>0</v>
      </c>
      <c r="C2920" s="3" t="n">
        <v>42794</v>
      </c>
      <c r="D2920" s="2" t="s">
        <v>22332</v>
      </c>
      <c r="F2920" s="2" t="s">
        <v>22333</v>
      </c>
      <c r="G2920" s="2" t="s">
        <v>22334</v>
      </c>
      <c r="H2920" s="2" t="s">
        <v>7280</v>
      </c>
      <c r="I2920" s="2" t="s">
        <v>330</v>
      </c>
      <c r="J2920" s="2" t="s">
        <v>258</v>
      </c>
      <c r="K2920" s="2" t="s">
        <v>22332</v>
      </c>
      <c r="L2920" s="2" t="s">
        <v>330</v>
      </c>
      <c r="M2920" s="2" t="s">
        <v>7280</v>
      </c>
      <c r="N2920" s="2" t="s">
        <v>22335</v>
      </c>
      <c r="O2920" s="2"/>
      <c r="P2920" s="2" t="s">
        <v>37</v>
      </c>
      <c r="Q2920" s="4" t="n">
        <v>6794</v>
      </c>
      <c r="R2920" s="2" t="s">
        <v>56</v>
      </c>
      <c r="S2920" s="2"/>
      <c r="T2920" s="2" t="s">
        <v>40</v>
      </c>
      <c r="U2920" s="2" t="s">
        <v>22336</v>
      </c>
      <c r="V2920" s="2"/>
      <c r="W2920" s="2" t="s">
        <v>82</v>
      </c>
      <c r="X2920" s="2" t="s">
        <v>43</v>
      </c>
      <c r="Y2920" s="2" t="s">
        <v>37</v>
      </c>
      <c r="Z2920" s="2" t="s">
        <v>44</v>
      </c>
      <c r="AA2920" s="2"/>
      <c r="AB2920" s="2"/>
      <c r="AC2920" s="2" t="s">
        <v>22337</v>
      </c>
      <c r="AD2920" s="2" t="s">
        <v>46</v>
      </c>
    </row>
    <row r="2921" customFormat="false" ht="15.7" hidden="false" customHeight="true" outlineLevel="0" collapsed="false">
      <c r="A2921" s="2"/>
      <c r="B2921" s="3" t="n">
        <f aca="false">DATE(2017,2,28)</f>
        <v>0</v>
      </c>
      <c r="C2921" s="3" t="n">
        <v>42794</v>
      </c>
      <c r="D2921" s="2" t="s">
        <v>22338</v>
      </c>
      <c r="F2921" s="2" t="s">
        <v>22339</v>
      </c>
      <c r="G2921" s="2" t="s">
        <v>22340</v>
      </c>
      <c r="H2921" s="2" t="s">
        <v>22341</v>
      </c>
      <c r="I2921" s="2" t="s">
        <v>5990</v>
      </c>
      <c r="J2921" s="2" t="s">
        <v>35</v>
      </c>
      <c r="K2921" s="2" t="s">
        <v>22342</v>
      </c>
      <c r="L2921" s="2" t="s">
        <v>22343</v>
      </c>
      <c r="M2921" s="2" t="s">
        <v>22344</v>
      </c>
      <c r="N2921" s="2" t="s">
        <v>22345</v>
      </c>
      <c r="O2921" s="2"/>
      <c r="P2921" s="2" t="s">
        <v>37</v>
      </c>
      <c r="Q2921" s="4" t="n">
        <v>6512</v>
      </c>
      <c r="R2921" s="2" t="s">
        <v>3154</v>
      </c>
      <c r="S2921" s="2" t="s">
        <v>39</v>
      </c>
      <c r="T2921" s="2" t="s">
        <v>40</v>
      </c>
      <c r="U2921" s="2" t="s">
        <v>22346</v>
      </c>
      <c r="V2921" s="2"/>
      <c r="W2921" s="2" t="s">
        <v>15625</v>
      </c>
      <c r="X2921" s="2" t="s">
        <v>43</v>
      </c>
      <c r="Y2921" s="2" t="s">
        <v>37</v>
      </c>
      <c r="Z2921" s="2" t="s">
        <v>44</v>
      </c>
      <c r="AA2921" s="2"/>
      <c r="AB2921" s="2"/>
      <c r="AC2921" s="2" t="s">
        <v>22347</v>
      </c>
      <c r="AD2921" s="2" t="s">
        <v>46</v>
      </c>
    </row>
    <row r="2922" customFormat="false" ht="15.7" hidden="false" customHeight="true" outlineLevel="0" collapsed="false">
      <c r="A2922" s="3" t="n">
        <f aca="false">DATE(2017,2,28)</f>
        <v>0</v>
      </c>
      <c r="B2922" s="3" t="n">
        <f aca="false">DATE(2017,3,1)</f>
        <v>0</v>
      </c>
      <c r="C2922" s="3" t="n">
        <v>42795</v>
      </c>
      <c r="D2922" s="2" t="s">
        <v>22348</v>
      </c>
      <c r="F2922" s="2" t="s">
        <v>22349</v>
      </c>
      <c r="G2922" s="2" t="s">
        <v>22350</v>
      </c>
      <c r="H2922" s="2" t="s">
        <v>22351</v>
      </c>
      <c r="I2922" s="2" t="s">
        <v>51</v>
      </c>
      <c r="J2922" s="2" t="s">
        <v>16046</v>
      </c>
      <c r="K2922" s="2" t="s">
        <v>22352</v>
      </c>
      <c r="L2922" s="2" t="s">
        <v>388</v>
      </c>
      <c r="M2922" s="2" t="s">
        <v>22353</v>
      </c>
      <c r="N2922" s="2" t="s">
        <v>22354</v>
      </c>
      <c r="O2922" s="2"/>
      <c r="P2922" s="2" t="s">
        <v>37</v>
      </c>
      <c r="Q2922" s="4" t="n">
        <v>8731</v>
      </c>
      <c r="R2922" s="2" t="s">
        <v>56</v>
      </c>
      <c r="S2922" s="2"/>
      <c r="T2922" s="2" t="s">
        <v>40</v>
      </c>
      <c r="U2922" s="2" t="s">
        <v>22355</v>
      </c>
      <c r="V2922" s="2"/>
      <c r="W2922" s="2" t="s">
        <v>42</v>
      </c>
      <c r="X2922" s="2" t="s">
        <v>43</v>
      </c>
      <c r="Y2922" s="2" t="s">
        <v>37</v>
      </c>
      <c r="Z2922" s="2" t="s">
        <v>44</v>
      </c>
      <c r="AA2922" s="2"/>
      <c r="AB2922" s="2"/>
      <c r="AC2922" s="2" t="s">
        <v>22356</v>
      </c>
      <c r="AD2922" s="2" t="s">
        <v>46</v>
      </c>
    </row>
    <row r="2923" customFormat="false" ht="15.7" hidden="false" customHeight="true" outlineLevel="0" collapsed="false">
      <c r="A2923" s="2"/>
      <c r="B2923" s="3" t="n">
        <f aca="false">DATE(2017,3,1)</f>
        <v>0</v>
      </c>
      <c r="C2923" s="3" t="n">
        <v>42795</v>
      </c>
      <c r="D2923" s="2" t="s">
        <v>22357</v>
      </c>
      <c r="F2923" s="2" t="s">
        <v>22358</v>
      </c>
      <c r="G2923" s="2" t="s">
        <v>22359</v>
      </c>
      <c r="H2923" s="2" t="s">
        <v>523</v>
      </c>
      <c r="I2923" s="2" t="s">
        <v>1904</v>
      </c>
      <c r="J2923" s="2" t="s">
        <v>6730</v>
      </c>
      <c r="K2923" s="2" t="s">
        <v>22357</v>
      </c>
      <c r="L2923" s="2" t="s">
        <v>1904</v>
      </c>
      <c r="M2923" s="2" t="s">
        <v>523</v>
      </c>
      <c r="N2923" s="2" t="s">
        <v>22360</v>
      </c>
      <c r="O2923" s="2"/>
      <c r="P2923" s="2" t="s">
        <v>37</v>
      </c>
      <c r="Q2923" s="4" t="n">
        <v>8731</v>
      </c>
      <c r="R2923" s="2" t="s">
        <v>56</v>
      </c>
      <c r="S2923" s="2"/>
      <c r="T2923" s="2" t="s">
        <v>40</v>
      </c>
      <c r="U2923" s="2" t="s">
        <v>22361</v>
      </c>
      <c r="V2923" s="2"/>
      <c r="W2923" s="2" t="s">
        <v>138</v>
      </c>
      <c r="X2923" s="2" t="s">
        <v>43</v>
      </c>
      <c r="Y2923" s="2" t="s">
        <v>37</v>
      </c>
      <c r="Z2923" s="2" t="s">
        <v>44</v>
      </c>
      <c r="AA2923" s="2"/>
      <c r="AB2923" s="2"/>
      <c r="AC2923" s="2" t="s">
        <v>22362</v>
      </c>
      <c r="AD2923" s="2" t="s">
        <v>46</v>
      </c>
    </row>
    <row r="2924" customFormat="false" ht="15.7" hidden="false" customHeight="true" outlineLevel="0" collapsed="false">
      <c r="A2924" s="2"/>
      <c r="B2924" s="3" t="n">
        <f aca="false">DATE(2017,3,2)</f>
        <v>0</v>
      </c>
      <c r="C2924" s="3" t="n">
        <v>42796</v>
      </c>
      <c r="D2924" s="2" t="s">
        <v>22363</v>
      </c>
      <c r="F2924" s="2" t="s">
        <v>22364</v>
      </c>
      <c r="G2924" s="2" t="s">
        <v>22365</v>
      </c>
      <c r="H2924" s="2" t="s">
        <v>22366</v>
      </c>
      <c r="I2924" s="2" t="s">
        <v>821</v>
      </c>
      <c r="J2924" s="2" t="s">
        <v>65</v>
      </c>
      <c r="K2924" s="2" t="s">
        <v>22367</v>
      </c>
      <c r="L2924" s="2" t="s">
        <v>821</v>
      </c>
      <c r="M2924" s="2" t="s">
        <v>22366</v>
      </c>
      <c r="N2924" s="2" t="s">
        <v>22368</v>
      </c>
      <c r="O2924" s="2"/>
      <c r="P2924" s="2" t="s">
        <v>37</v>
      </c>
      <c r="Q2924" s="4" t="n">
        <v>8731</v>
      </c>
      <c r="R2924" s="2" t="s">
        <v>450</v>
      </c>
      <c r="S2924" s="2" t="s">
        <v>39</v>
      </c>
      <c r="T2924" s="2" t="s">
        <v>40</v>
      </c>
      <c r="U2924" s="2" t="s">
        <v>22369</v>
      </c>
      <c r="V2924" s="2"/>
      <c r="W2924" s="2" t="s">
        <v>4487</v>
      </c>
      <c r="X2924" s="2" t="s">
        <v>43</v>
      </c>
      <c r="Y2924" s="2" t="s">
        <v>37</v>
      </c>
      <c r="Z2924" s="2" t="s">
        <v>44</v>
      </c>
      <c r="AA2924" s="2"/>
      <c r="AB2924" s="2"/>
      <c r="AC2924" s="2" t="s">
        <v>22370</v>
      </c>
      <c r="AD2924" s="2" t="s">
        <v>46</v>
      </c>
    </row>
    <row r="2925" customFormat="false" ht="15.7" hidden="false" customHeight="true" outlineLevel="0" collapsed="false">
      <c r="A2925" s="2"/>
      <c r="B2925" s="3" t="n">
        <f aca="false">DATE(2017,3,2)</f>
        <v>0</v>
      </c>
      <c r="C2925" s="3" t="n">
        <v>42796</v>
      </c>
      <c r="D2925" s="2" t="s">
        <v>22371</v>
      </c>
      <c r="F2925" s="2" t="s">
        <v>22372</v>
      </c>
      <c r="G2925" s="2" t="s">
        <v>22373</v>
      </c>
      <c r="H2925" s="2" t="s">
        <v>523</v>
      </c>
      <c r="I2925" s="2" t="s">
        <v>487</v>
      </c>
      <c r="J2925" s="2" t="s">
        <v>795</v>
      </c>
      <c r="K2925" s="2" t="s">
        <v>22371</v>
      </c>
      <c r="L2925" s="2" t="s">
        <v>487</v>
      </c>
      <c r="M2925" s="2" t="s">
        <v>523</v>
      </c>
      <c r="N2925" s="2" t="s">
        <v>22374</v>
      </c>
      <c r="O2925" s="2"/>
      <c r="P2925" s="2" t="s">
        <v>79</v>
      </c>
      <c r="Q2925" s="4" t="n">
        <v>6794</v>
      </c>
      <c r="R2925" s="2" t="s">
        <v>56</v>
      </c>
      <c r="S2925" s="2"/>
      <c r="T2925" s="2" t="s">
        <v>403</v>
      </c>
      <c r="U2925" s="2" t="s">
        <v>22375</v>
      </c>
      <c r="V2925" s="2"/>
      <c r="W2925" s="2" t="s">
        <v>82</v>
      </c>
      <c r="X2925" s="2" t="s">
        <v>43</v>
      </c>
      <c r="Y2925" s="2" t="s">
        <v>37</v>
      </c>
      <c r="Z2925" s="2" t="s">
        <v>44</v>
      </c>
      <c r="AA2925" s="2"/>
      <c r="AB2925" s="2"/>
      <c r="AC2925" s="2" t="s">
        <v>22376</v>
      </c>
      <c r="AD2925" s="2" t="s">
        <v>46</v>
      </c>
    </row>
    <row r="2926" customFormat="false" ht="15.7" hidden="false" customHeight="true" outlineLevel="0" collapsed="false">
      <c r="A2926" s="2"/>
      <c r="B2926" s="3" t="n">
        <f aca="false">DATE(2017,3,3)</f>
        <v>0</v>
      </c>
      <c r="C2926" s="3" t="n">
        <v>42797</v>
      </c>
      <c r="D2926" s="2" t="s">
        <v>22377</v>
      </c>
      <c r="F2926" s="2" t="s">
        <v>22378</v>
      </c>
      <c r="G2926" s="2" t="s">
        <v>22379</v>
      </c>
      <c r="H2926" s="2" t="s">
        <v>22380</v>
      </c>
      <c r="I2926" s="2" t="s">
        <v>21328</v>
      </c>
      <c r="J2926" s="2" t="s">
        <v>116</v>
      </c>
      <c r="K2926" s="2" t="s">
        <v>22377</v>
      </c>
      <c r="L2926" s="2" t="s">
        <v>21328</v>
      </c>
      <c r="M2926" s="2" t="s">
        <v>22380</v>
      </c>
      <c r="N2926" s="2" t="s">
        <v>22381</v>
      </c>
      <c r="O2926" s="2" t="s">
        <v>22382</v>
      </c>
      <c r="P2926" s="2" t="s">
        <v>37</v>
      </c>
      <c r="Q2926" s="4" t="n">
        <v>9511</v>
      </c>
      <c r="R2926" s="2" t="s">
        <v>402</v>
      </c>
      <c r="S2926" s="2" t="s">
        <v>39</v>
      </c>
      <c r="T2926" s="2" t="s">
        <v>40</v>
      </c>
      <c r="U2926" s="2" t="s">
        <v>22383</v>
      </c>
      <c r="V2926" s="2"/>
      <c r="W2926" s="2" t="s">
        <v>3465</v>
      </c>
      <c r="X2926" s="2" t="s">
        <v>46</v>
      </c>
      <c r="Y2926" s="2" t="s">
        <v>37</v>
      </c>
      <c r="Z2926" s="2" t="s">
        <v>22384</v>
      </c>
      <c r="AA2926" s="2" t="s">
        <v>22385</v>
      </c>
      <c r="AB2926" s="2" t="s">
        <v>22386</v>
      </c>
      <c r="AC2926" s="2" t="s">
        <v>22387</v>
      </c>
      <c r="AD2926" s="2" t="s">
        <v>46</v>
      </c>
    </row>
    <row r="2927" customFormat="false" ht="15.7" hidden="false" customHeight="true" outlineLevel="0" collapsed="false">
      <c r="A2927" s="2"/>
      <c r="B2927" s="3" t="n">
        <f aca="false">DATE(2017,3,6)</f>
        <v>0</v>
      </c>
      <c r="C2927" s="3" t="n">
        <v>42800</v>
      </c>
      <c r="D2927" s="2" t="s">
        <v>22388</v>
      </c>
      <c r="F2927" s="2" t="s">
        <v>22389</v>
      </c>
      <c r="G2927" s="2" t="s">
        <v>22390</v>
      </c>
      <c r="H2927" s="2" t="s">
        <v>9667</v>
      </c>
      <c r="I2927" s="2" t="s">
        <v>1080</v>
      </c>
      <c r="J2927" s="2" t="s">
        <v>35</v>
      </c>
      <c r="K2927" s="2" t="s">
        <v>22391</v>
      </c>
      <c r="L2927" s="2" t="s">
        <v>1080</v>
      </c>
      <c r="M2927" s="2" t="s">
        <v>21501</v>
      </c>
      <c r="N2927" s="2" t="s">
        <v>22392</v>
      </c>
      <c r="O2927" s="2"/>
      <c r="P2927" s="2" t="s">
        <v>37</v>
      </c>
      <c r="Q2927" s="4" t="n">
        <v>8731</v>
      </c>
      <c r="R2927" s="2" t="s">
        <v>2201</v>
      </c>
      <c r="S2927" s="2" t="s">
        <v>39</v>
      </c>
      <c r="T2927" s="2" t="s">
        <v>40</v>
      </c>
      <c r="U2927" s="2" t="s">
        <v>22393</v>
      </c>
      <c r="V2927" s="2"/>
      <c r="W2927" s="2" t="s">
        <v>42</v>
      </c>
      <c r="X2927" s="2" t="s">
        <v>43</v>
      </c>
      <c r="Y2927" s="2" t="s">
        <v>37</v>
      </c>
      <c r="Z2927" s="2" t="s">
        <v>44</v>
      </c>
      <c r="AA2927" s="2"/>
      <c r="AB2927" s="2"/>
      <c r="AC2927" s="2" t="s">
        <v>22394</v>
      </c>
      <c r="AD2927" s="2" t="s">
        <v>46</v>
      </c>
    </row>
    <row r="2928" customFormat="false" ht="15.7" hidden="false" customHeight="true" outlineLevel="0" collapsed="false">
      <c r="A2928" s="2"/>
      <c r="B2928" s="3" t="n">
        <f aca="false">DATE(2017,3,6)</f>
        <v>0</v>
      </c>
      <c r="C2928" s="3" t="n">
        <v>42800</v>
      </c>
      <c r="D2928" s="2" t="s">
        <v>22395</v>
      </c>
      <c r="F2928" s="2" t="s">
        <v>22396</v>
      </c>
      <c r="G2928" s="2" t="s">
        <v>22397</v>
      </c>
      <c r="H2928" s="2" t="s">
        <v>762</v>
      </c>
      <c r="I2928" s="2" t="s">
        <v>4179</v>
      </c>
      <c r="J2928" s="2" t="s">
        <v>3385</v>
      </c>
      <c r="K2928" s="2" t="s">
        <v>22395</v>
      </c>
      <c r="L2928" s="2" t="s">
        <v>4179</v>
      </c>
      <c r="M2928" s="2" t="s">
        <v>762</v>
      </c>
      <c r="N2928" s="2" t="s">
        <v>22398</v>
      </c>
      <c r="O2928" s="2"/>
      <c r="P2928" s="2" t="s">
        <v>37</v>
      </c>
      <c r="Q2928" s="4" t="n">
        <v>8731</v>
      </c>
      <c r="R2928" s="2" t="s">
        <v>56</v>
      </c>
      <c r="S2928" s="2"/>
      <c r="T2928" s="2" t="s">
        <v>403</v>
      </c>
      <c r="U2928" s="2" t="s">
        <v>22399</v>
      </c>
      <c r="V2928" s="2"/>
      <c r="W2928" s="2" t="s">
        <v>344</v>
      </c>
      <c r="X2928" s="2" t="s">
        <v>43</v>
      </c>
      <c r="Y2928" s="2" t="s">
        <v>37</v>
      </c>
      <c r="Z2928" s="2" t="s">
        <v>44</v>
      </c>
      <c r="AA2928" s="2"/>
      <c r="AB2928" s="2"/>
      <c r="AC2928" s="2" t="s">
        <v>22400</v>
      </c>
      <c r="AD2928" s="2" t="s">
        <v>46</v>
      </c>
    </row>
    <row r="2929" customFormat="false" ht="15.7" hidden="false" customHeight="true" outlineLevel="0" collapsed="false">
      <c r="A2929" s="2"/>
      <c r="B2929" s="3" t="n">
        <f aca="false">DATE(2017,3,6)</f>
        <v>0</v>
      </c>
      <c r="C2929" s="3" t="n">
        <v>42800</v>
      </c>
      <c r="D2929" s="2" t="s">
        <v>22401</v>
      </c>
      <c r="F2929" s="2" t="s">
        <v>21967</v>
      </c>
      <c r="G2929" s="2" t="s">
        <v>22402</v>
      </c>
      <c r="H2929" s="2" t="s">
        <v>368</v>
      </c>
      <c r="I2929" s="2" t="s">
        <v>3265</v>
      </c>
      <c r="J2929" s="2" t="s">
        <v>258</v>
      </c>
      <c r="K2929" s="2" t="s">
        <v>22401</v>
      </c>
      <c r="L2929" s="2" t="s">
        <v>3265</v>
      </c>
      <c r="M2929" s="2" t="s">
        <v>368</v>
      </c>
      <c r="N2929" s="2" t="s">
        <v>22403</v>
      </c>
      <c r="O2929" s="2"/>
      <c r="P2929" s="2" t="s">
        <v>79</v>
      </c>
      <c r="Q2929" s="4" t="n">
        <v>6794</v>
      </c>
      <c r="R2929" s="2" t="s">
        <v>136</v>
      </c>
      <c r="S2929" s="2" t="s">
        <v>39</v>
      </c>
      <c r="T2929" s="2" t="s">
        <v>40</v>
      </c>
      <c r="U2929" s="2" t="s">
        <v>22404</v>
      </c>
      <c r="V2929" s="2"/>
      <c r="W2929" s="2" t="s">
        <v>72</v>
      </c>
      <c r="X2929" s="2" t="s">
        <v>43</v>
      </c>
      <c r="Y2929" s="2" t="s">
        <v>37</v>
      </c>
      <c r="Z2929" s="2" t="s">
        <v>44</v>
      </c>
      <c r="AA2929" s="2"/>
      <c r="AB2929" s="2"/>
      <c r="AC2929" s="2" t="s">
        <v>22405</v>
      </c>
      <c r="AD2929" s="2" t="s">
        <v>46</v>
      </c>
    </row>
    <row r="2930" customFormat="false" ht="15.7" hidden="false" customHeight="true" outlineLevel="0" collapsed="false">
      <c r="A2930" s="2"/>
      <c r="B2930" s="3" t="n">
        <f aca="false">DATE(2017,3,7)</f>
        <v>0</v>
      </c>
      <c r="C2930" s="3" t="n">
        <v>42801</v>
      </c>
      <c r="D2930" s="2" t="s">
        <v>22406</v>
      </c>
      <c r="F2930" s="2" t="s">
        <v>22407</v>
      </c>
      <c r="G2930" s="2" t="s">
        <v>22408</v>
      </c>
      <c r="H2930" s="2" t="s">
        <v>762</v>
      </c>
      <c r="I2930" s="2" t="s">
        <v>4744</v>
      </c>
      <c r="J2930" s="2" t="s">
        <v>35</v>
      </c>
      <c r="K2930" s="2" t="s">
        <v>22406</v>
      </c>
      <c r="L2930" s="2" t="s">
        <v>4744</v>
      </c>
      <c r="M2930" s="2" t="s">
        <v>762</v>
      </c>
      <c r="N2930" s="2" t="s">
        <v>22409</v>
      </c>
      <c r="O2930" s="2"/>
      <c r="P2930" s="2" t="s">
        <v>37</v>
      </c>
      <c r="Q2930" s="4" t="n">
        <v>6794</v>
      </c>
      <c r="R2930" s="2" t="s">
        <v>2508</v>
      </c>
      <c r="S2930" s="2" t="s">
        <v>39</v>
      </c>
      <c r="T2930" s="2" t="s">
        <v>403</v>
      </c>
      <c r="U2930" s="2" t="s">
        <v>22410</v>
      </c>
      <c r="V2930" s="2"/>
      <c r="W2930" s="2" t="s">
        <v>15545</v>
      </c>
      <c r="X2930" s="2" t="s">
        <v>43</v>
      </c>
      <c r="Y2930" s="2" t="s">
        <v>37</v>
      </c>
      <c r="Z2930" s="2" t="s">
        <v>44</v>
      </c>
      <c r="AA2930" s="2"/>
      <c r="AB2930" s="2"/>
      <c r="AC2930" s="2" t="s">
        <v>22411</v>
      </c>
      <c r="AD2930" s="2" t="s">
        <v>46</v>
      </c>
    </row>
    <row r="2931" customFormat="false" ht="15.7" hidden="false" customHeight="true" outlineLevel="0" collapsed="false">
      <c r="A2931" s="2"/>
      <c r="B2931" s="3" t="n">
        <f aca="false">DATE(2017,3,7)</f>
        <v>0</v>
      </c>
      <c r="C2931" s="3" t="n">
        <v>42801</v>
      </c>
      <c r="D2931" s="2" t="s">
        <v>22412</v>
      </c>
      <c r="F2931" s="2" t="s">
        <v>22413</v>
      </c>
      <c r="G2931" s="2" t="s">
        <v>22414</v>
      </c>
      <c r="H2931" s="2" t="s">
        <v>22415</v>
      </c>
      <c r="I2931" s="2" t="s">
        <v>837</v>
      </c>
      <c r="J2931" s="2" t="s">
        <v>116</v>
      </c>
      <c r="K2931" s="2" t="s">
        <v>22416</v>
      </c>
      <c r="L2931" s="2" t="s">
        <v>3223</v>
      </c>
      <c r="M2931" s="2" t="s">
        <v>22417</v>
      </c>
      <c r="N2931" s="2" t="s">
        <v>22418</v>
      </c>
      <c r="O2931" s="2"/>
      <c r="P2931" s="2" t="s">
        <v>37</v>
      </c>
      <c r="Q2931" s="4" t="n">
        <v>8731</v>
      </c>
      <c r="R2931" s="2" t="s">
        <v>402</v>
      </c>
      <c r="S2931" s="2" t="s">
        <v>39</v>
      </c>
      <c r="T2931" s="2" t="s">
        <v>403</v>
      </c>
      <c r="U2931" s="2" t="s">
        <v>22419</v>
      </c>
      <c r="V2931" s="2"/>
      <c r="W2931" s="2" t="s">
        <v>344</v>
      </c>
      <c r="X2931" s="2" t="s">
        <v>46</v>
      </c>
      <c r="Y2931" s="2" t="s">
        <v>37</v>
      </c>
      <c r="Z2931" s="2" t="s">
        <v>22420</v>
      </c>
      <c r="AA2931" s="2" t="s">
        <v>22421</v>
      </c>
      <c r="AB2931" s="2"/>
      <c r="AC2931" s="2" t="s">
        <v>22422</v>
      </c>
      <c r="AD2931" s="2" t="s">
        <v>46</v>
      </c>
    </row>
    <row r="2932" customFormat="false" ht="15.7" hidden="false" customHeight="true" outlineLevel="0" collapsed="false">
      <c r="A2932" s="2"/>
      <c r="B2932" s="3" t="n">
        <f aca="false">DATE(2017,3,8)</f>
        <v>0</v>
      </c>
      <c r="C2932" s="3" t="n">
        <v>42802</v>
      </c>
      <c r="D2932" s="2" t="s">
        <v>22423</v>
      </c>
      <c r="F2932" s="2" t="s">
        <v>22424</v>
      </c>
      <c r="G2932" s="2" t="s">
        <v>22425</v>
      </c>
      <c r="H2932" s="2" t="s">
        <v>22426</v>
      </c>
      <c r="I2932" s="2" t="s">
        <v>4325</v>
      </c>
      <c r="J2932" s="2" t="s">
        <v>35</v>
      </c>
      <c r="K2932" s="2" t="s">
        <v>22427</v>
      </c>
      <c r="L2932" s="2" t="s">
        <v>4325</v>
      </c>
      <c r="M2932" s="2" t="s">
        <v>22428</v>
      </c>
      <c r="N2932" s="2" t="s">
        <v>22429</v>
      </c>
      <c r="O2932" s="2"/>
      <c r="P2932" s="2" t="s">
        <v>37</v>
      </c>
      <c r="Q2932" s="4" t="n">
        <v>8731</v>
      </c>
      <c r="R2932" s="2" t="s">
        <v>402</v>
      </c>
      <c r="S2932" s="2" t="s">
        <v>39</v>
      </c>
      <c r="T2932" s="2" t="s">
        <v>40</v>
      </c>
      <c r="U2932" s="2" t="s">
        <v>22430</v>
      </c>
      <c r="V2932" s="2"/>
      <c r="W2932" s="2" t="s">
        <v>1311</v>
      </c>
      <c r="X2932" s="2" t="s">
        <v>43</v>
      </c>
      <c r="Y2932" s="2" t="s">
        <v>37</v>
      </c>
      <c r="Z2932" s="2" t="s">
        <v>44</v>
      </c>
      <c r="AA2932" s="2"/>
      <c r="AB2932" s="2"/>
      <c r="AC2932" s="2" t="s">
        <v>22431</v>
      </c>
      <c r="AD2932" s="2" t="s">
        <v>46</v>
      </c>
    </row>
    <row r="2933" customFormat="false" ht="15.7" hidden="false" customHeight="true" outlineLevel="0" collapsed="false">
      <c r="A2933" s="3" t="n">
        <f aca="false">DATE(2017,3,7)</f>
        <v>0</v>
      </c>
      <c r="B2933" s="3" t="n">
        <f aca="false">DATE(2017,3,8)</f>
        <v>0</v>
      </c>
      <c r="C2933" s="3" t="n">
        <v>42802</v>
      </c>
      <c r="D2933" s="2" t="s">
        <v>22432</v>
      </c>
      <c r="F2933" s="2" t="s">
        <v>21967</v>
      </c>
      <c r="G2933" s="2" t="s">
        <v>22433</v>
      </c>
      <c r="H2933" s="2" t="s">
        <v>368</v>
      </c>
      <c r="I2933" s="2" t="s">
        <v>7814</v>
      </c>
      <c r="J2933" s="2" t="s">
        <v>795</v>
      </c>
      <c r="K2933" s="2" t="s">
        <v>22432</v>
      </c>
      <c r="L2933" s="2" t="s">
        <v>7814</v>
      </c>
      <c r="M2933" s="2" t="s">
        <v>368</v>
      </c>
      <c r="N2933" s="2" t="s">
        <v>22434</v>
      </c>
      <c r="O2933" s="2"/>
      <c r="P2933" s="2" t="s">
        <v>37</v>
      </c>
      <c r="Q2933" s="4" t="n">
        <v>8731</v>
      </c>
      <c r="R2933" s="2" t="s">
        <v>56</v>
      </c>
      <c r="S2933" s="2"/>
      <c r="T2933" s="2" t="s">
        <v>40</v>
      </c>
      <c r="U2933" s="2" t="s">
        <v>22435</v>
      </c>
      <c r="V2933" s="2"/>
      <c r="W2933" s="2" t="s">
        <v>1050</v>
      </c>
      <c r="X2933" s="2" t="s">
        <v>43</v>
      </c>
      <c r="Y2933" s="2" t="s">
        <v>37</v>
      </c>
      <c r="Z2933" s="2" t="s">
        <v>44</v>
      </c>
      <c r="AA2933" s="2"/>
      <c r="AB2933" s="2"/>
      <c r="AC2933" s="2" t="s">
        <v>22436</v>
      </c>
      <c r="AD2933" s="2" t="s">
        <v>46</v>
      </c>
    </row>
    <row r="2934" customFormat="false" ht="15.7" hidden="false" customHeight="true" outlineLevel="0" collapsed="false">
      <c r="A2934" s="2"/>
      <c r="B2934" s="3" t="n">
        <f aca="false">DATE(2017,3,8)</f>
        <v>0</v>
      </c>
      <c r="C2934" s="3" t="n">
        <v>42802</v>
      </c>
      <c r="D2934" s="2" t="s">
        <v>22437</v>
      </c>
      <c r="F2934" s="2" t="s">
        <v>22438</v>
      </c>
      <c r="G2934" s="2" t="s">
        <v>22439</v>
      </c>
      <c r="H2934" s="2" t="s">
        <v>22440</v>
      </c>
      <c r="I2934" s="2" t="s">
        <v>18290</v>
      </c>
      <c r="J2934" s="2" t="s">
        <v>22441</v>
      </c>
      <c r="K2934" s="2" t="s">
        <v>22437</v>
      </c>
      <c r="L2934" s="2" t="s">
        <v>18290</v>
      </c>
      <c r="M2934" s="2" t="s">
        <v>22440</v>
      </c>
      <c r="N2934" s="2" t="s">
        <v>22442</v>
      </c>
      <c r="O2934" s="2"/>
      <c r="P2934" s="2" t="s">
        <v>37</v>
      </c>
      <c r="Q2934" s="4" t="n">
        <v>8099</v>
      </c>
      <c r="R2934" s="2" t="s">
        <v>38</v>
      </c>
      <c r="S2934" s="2" t="s">
        <v>39</v>
      </c>
      <c r="T2934" s="2" t="s">
        <v>40</v>
      </c>
      <c r="U2934" s="2" t="s">
        <v>22443</v>
      </c>
      <c r="V2934" s="2"/>
      <c r="W2934" s="2" t="s">
        <v>4487</v>
      </c>
      <c r="X2934" s="2" t="s">
        <v>43</v>
      </c>
      <c r="Y2934" s="2" t="s">
        <v>37</v>
      </c>
      <c r="Z2934" s="2" t="s">
        <v>916</v>
      </c>
      <c r="AA2934" s="2"/>
      <c r="AB2934" s="2"/>
      <c r="AC2934" s="2" t="s">
        <v>22444</v>
      </c>
      <c r="AD2934" s="2" t="s">
        <v>46</v>
      </c>
    </row>
    <row r="2935" customFormat="false" ht="15.7" hidden="false" customHeight="true" outlineLevel="0" collapsed="false">
      <c r="A2935" s="2"/>
      <c r="B2935" s="3" t="n">
        <f aca="false">DATE(2017,3,8)</f>
        <v>0</v>
      </c>
      <c r="C2935" s="3" t="n">
        <v>42802</v>
      </c>
      <c r="D2935" s="2" t="s">
        <v>22445</v>
      </c>
      <c r="F2935" s="2" t="s">
        <v>15541</v>
      </c>
      <c r="G2935" s="2" t="s">
        <v>22446</v>
      </c>
      <c r="H2935" s="2" t="s">
        <v>170</v>
      </c>
      <c r="I2935" s="2" t="s">
        <v>1673</v>
      </c>
      <c r="J2935" s="2" t="s">
        <v>35</v>
      </c>
      <c r="K2935" s="2" t="s">
        <v>22445</v>
      </c>
      <c r="L2935" s="2" t="s">
        <v>1673</v>
      </c>
      <c r="M2935" s="2" t="s">
        <v>170</v>
      </c>
      <c r="N2935" s="2" t="s">
        <v>22447</v>
      </c>
      <c r="O2935" s="2"/>
      <c r="P2935" s="2" t="s">
        <v>37</v>
      </c>
      <c r="Q2935" s="4" t="n">
        <v>6794</v>
      </c>
      <c r="R2935" s="2" t="s">
        <v>5704</v>
      </c>
      <c r="S2935" s="2" t="s">
        <v>39</v>
      </c>
      <c r="T2935" s="2" t="s">
        <v>40</v>
      </c>
      <c r="U2935" s="2" t="s">
        <v>22448</v>
      </c>
      <c r="V2935" s="2"/>
      <c r="W2935" s="2" t="s">
        <v>82</v>
      </c>
      <c r="X2935" s="2" t="s">
        <v>43</v>
      </c>
      <c r="Y2935" s="2" t="s">
        <v>37</v>
      </c>
      <c r="Z2935" s="2" t="s">
        <v>44</v>
      </c>
      <c r="AA2935" s="2"/>
      <c r="AB2935" s="2"/>
      <c r="AC2935" s="2" t="s">
        <v>22449</v>
      </c>
      <c r="AD2935" s="2" t="s">
        <v>46</v>
      </c>
    </row>
    <row r="2936" customFormat="false" ht="15.7" hidden="false" customHeight="true" outlineLevel="0" collapsed="false">
      <c r="A2936" s="2"/>
      <c r="B2936" s="3" t="n">
        <f aca="false">DATE(2017,3,8)</f>
        <v>0</v>
      </c>
      <c r="C2936" s="3" t="n">
        <v>42802</v>
      </c>
      <c r="D2936" s="2" t="s">
        <v>22450</v>
      </c>
      <c r="F2936" s="2" t="s">
        <v>22451</v>
      </c>
      <c r="G2936" s="2" t="s">
        <v>22452</v>
      </c>
      <c r="H2936" s="2" t="s">
        <v>1027</v>
      </c>
      <c r="I2936" s="2" t="s">
        <v>51</v>
      </c>
      <c r="J2936" s="2" t="s">
        <v>22453</v>
      </c>
      <c r="K2936" s="2" t="s">
        <v>22450</v>
      </c>
      <c r="L2936" s="2" t="s">
        <v>51</v>
      </c>
      <c r="M2936" s="2" t="s">
        <v>1027</v>
      </c>
      <c r="N2936" s="2" t="s">
        <v>22454</v>
      </c>
      <c r="O2936" s="2"/>
      <c r="P2936" s="2" t="s">
        <v>37</v>
      </c>
      <c r="Q2936" s="4" t="n">
        <v>2834</v>
      </c>
      <c r="R2936" s="2" t="s">
        <v>56</v>
      </c>
      <c r="S2936" s="2" t="s">
        <v>5690</v>
      </c>
      <c r="T2936" s="2" t="s">
        <v>40</v>
      </c>
      <c r="U2936" s="2" t="s">
        <v>22455</v>
      </c>
      <c r="V2936" s="2"/>
      <c r="W2936" s="2" t="s">
        <v>22456</v>
      </c>
      <c r="X2936" s="2" t="s">
        <v>43</v>
      </c>
      <c r="Y2936" s="2" t="s">
        <v>37</v>
      </c>
      <c r="Z2936" s="2" t="s">
        <v>44</v>
      </c>
      <c r="AA2936" s="2"/>
      <c r="AB2936" s="2"/>
      <c r="AC2936" s="2" t="s">
        <v>22457</v>
      </c>
      <c r="AD2936" s="2" t="s">
        <v>46</v>
      </c>
    </row>
    <row r="2937" customFormat="false" ht="15.7" hidden="false" customHeight="true" outlineLevel="0" collapsed="false">
      <c r="A2937" s="2"/>
      <c r="B2937" s="3" t="n">
        <f aca="false">DATE(2017,3,8)</f>
        <v>0</v>
      </c>
      <c r="C2937" s="3" t="n">
        <v>42802</v>
      </c>
      <c r="D2937" s="2" t="s">
        <v>22458</v>
      </c>
      <c r="F2937" s="2" t="s">
        <v>22459</v>
      </c>
      <c r="G2937" s="2" t="s">
        <v>22460</v>
      </c>
      <c r="H2937" s="2" t="s">
        <v>387</v>
      </c>
      <c r="I2937" s="2" t="s">
        <v>296</v>
      </c>
      <c r="J2937" s="2" t="s">
        <v>625</v>
      </c>
      <c r="K2937" s="2" t="s">
        <v>22458</v>
      </c>
      <c r="L2937" s="2" t="s">
        <v>296</v>
      </c>
      <c r="M2937" s="2" t="s">
        <v>387</v>
      </c>
      <c r="N2937" s="2" t="s">
        <v>22461</v>
      </c>
      <c r="O2937" s="2"/>
      <c r="P2937" s="2" t="s">
        <v>37</v>
      </c>
      <c r="Q2937" s="4" t="n">
        <v>2836</v>
      </c>
      <c r="R2937" s="2" t="s">
        <v>1448</v>
      </c>
      <c r="S2937" s="2" t="s">
        <v>39</v>
      </c>
      <c r="T2937" s="2" t="s">
        <v>40</v>
      </c>
      <c r="U2937" s="2" t="s">
        <v>22462</v>
      </c>
      <c r="V2937" s="2"/>
      <c r="W2937" s="2" t="s">
        <v>42</v>
      </c>
      <c r="X2937" s="2" t="s">
        <v>43</v>
      </c>
      <c r="Y2937" s="2" t="s">
        <v>37</v>
      </c>
      <c r="Z2937" s="2" t="s">
        <v>44</v>
      </c>
      <c r="AA2937" s="2"/>
      <c r="AB2937" s="2"/>
      <c r="AC2937" s="2" t="s">
        <v>22463</v>
      </c>
      <c r="AD2937" s="2" t="s">
        <v>46</v>
      </c>
    </row>
    <row r="2938" customFormat="false" ht="15.7" hidden="false" customHeight="true" outlineLevel="0" collapsed="false">
      <c r="A2938" s="2"/>
      <c r="B2938" s="3" t="n">
        <f aca="false">DATE(2017,3,8)</f>
        <v>0</v>
      </c>
      <c r="C2938" s="3" t="n">
        <v>42802</v>
      </c>
      <c r="D2938" s="2" t="s">
        <v>22464</v>
      </c>
      <c r="F2938" s="2" t="s">
        <v>22465</v>
      </c>
      <c r="G2938" s="2" t="s">
        <v>22466</v>
      </c>
      <c r="H2938" s="2" t="s">
        <v>1020</v>
      </c>
      <c r="I2938" s="2" t="s">
        <v>51</v>
      </c>
      <c r="J2938" s="2" t="s">
        <v>171</v>
      </c>
      <c r="K2938" s="2" t="s">
        <v>22464</v>
      </c>
      <c r="L2938" s="2" t="s">
        <v>51</v>
      </c>
      <c r="M2938" s="2" t="s">
        <v>1020</v>
      </c>
      <c r="N2938" s="2" t="s">
        <v>22467</v>
      </c>
      <c r="O2938" s="2"/>
      <c r="P2938" s="2" t="s">
        <v>37</v>
      </c>
      <c r="Q2938" s="4" t="n">
        <v>8731</v>
      </c>
      <c r="R2938" s="2" t="s">
        <v>56</v>
      </c>
      <c r="S2938" s="2" t="s">
        <v>92</v>
      </c>
      <c r="T2938" s="2" t="s">
        <v>40</v>
      </c>
      <c r="U2938" s="2" t="s">
        <v>22468</v>
      </c>
      <c r="V2938" s="2"/>
      <c r="W2938" s="2" t="s">
        <v>82</v>
      </c>
      <c r="X2938" s="2" t="s">
        <v>43</v>
      </c>
      <c r="Y2938" s="2" t="s">
        <v>37</v>
      </c>
      <c r="Z2938" s="2" t="s">
        <v>44</v>
      </c>
      <c r="AA2938" s="2"/>
      <c r="AB2938" s="2"/>
      <c r="AC2938" s="2" t="s">
        <v>22469</v>
      </c>
      <c r="AD2938" s="2" t="s">
        <v>46</v>
      </c>
    </row>
    <row r="2939" customFormat="false" ht="15.7" hidden="false" customHeight="true" outlineLevel="0" collapsed="false">
      <c r="A2939" s="2"/>
      <c r="B2939" s="3" t="n">
        <f aca="false">DATE(2017,3,8)</f>
        <v>0</v>
      </c>
      <c r="C2939" s="3" t="n">
        <v>42802</v>
      </c>
      <c r="D2939" s="2" t="s">
        <v>22470</v>
      </c>
      <c r="F2939" s="2" t="s">
        <v>22471</v>
      </c>
      <c r="G2939" s="2" t="s">
        <v>22472</v>
      </c>
      <c r="H2939" s="2" t="s">
        <v>22473</v>
      </c>
      <c r="I2939" s="2" t="s">
        <v>51</v>
      </c>
      <c r="J2939" s="2" t="s">
        <v>22474</v>
      </c>
      <c r="K2939" s="2" t="s">
        <v>22475</v>
      </c>
      <c r="L2939" s="2" t="s">
        <v>51</v>
      </c>
      <c r="M2939" s="2" t="s">
        <v>9318</v>
      </c>
      <c r="N2939" s="2" t="s">
        <v>22476</v>
      </c>
      <c r="O2939" s="2"/>
      <c r="P2939" s="2" t="s">
        <v>37</v>
      </c>
      <c r="Q2939" s="4" t="n">
        <v>8071</v>
      </c>
      <c r="R2939" s="2" t="s">
        <v>56</v>
      </c>
      <c r="S2939" s="2" t="s">
        <v>7553</v>
      </c>
      <c r="T2939" s="2" t="s">
        <v>40</v>
      </c>
      <c r="U2939" s="2" t="s">
        <v>22477</v>
      </c>
      <c r="V2939" s="2"/>
      <c r="W2939" s="2" t="s">
        <v>19532</v>
      </c>
      <c r="X2939" s="2" t="s">
        <v>43</v>
      </c>
      <c r="Y2939" s="2" t="s">
        <v>37</v>
      </c>
      <c r="Z2939" s="2" t="s">
        <v>44</v>
      </c>
      <c r="AA2939" s="2"/>
      <c r="AB2939" s="2"/>
      <c r="AC2939" s="2" t="s">
        <v>22478</v>
      </c>
      <c r="AD2939" s="2" t="s">
        <v>46</v>
      </c>
    </row>
    <row r="2940" customFormat="false" ht="15.7" hidden="false" customHeight="true" outlineLevel="0" collapsed="false">
      <c r="A2940" s="2"/>
      <c r="B2940" s="3" t="n">
        <f aca="false">DATE(2017,3,8)</f>
        <v>0</v>
      </c>
      <c r="C2940" s="3" t="n">
        <v>42802</v>
      </c>
      <c r="D2940" s="2" t="s">
        <v>22479</v>
      </c>
      <c r="F2940" s="2" t="s">
        <v>22480</v>
      </c>
      <c r="G2940" s="2" t="s">
        <v>22481</v>
      </c>
      <c r="H2940" s="2" t="s">
        <v>22482</v>
      </c>
      <c r="I2940" s="2" t="s">
        <v>34</v>
      </c>
      <c r="J2940" s="2" t="s">
        <v>35</v>
      </c>
      <c r="K2940" s="2" t="s">
        <v>22479</v>
      </c>
      <c r="L2940" s="2" t="s">
        <v>34</v>
      </c>
      <c r="M2940" s="2" t="s">
        <v>22482</v>
      </c>
      <c r="N2940" s="2" t="s">
        <v>22483</v>
      </c>
      <c r="O2940" s="2"/>
      <c r="P2940" s="2" t="s">
        <v>37</v>
      </c>
      <c r="Q2940" s="4" t="n">
        <v>4911</v>
      </c>
      <c r="R2940" s="2" t="s">
        <v>38</v>
      </c>
      <c r="S2940" s="2" t="s">
        <v>39</v>
      </c>
      <c r="T2940" s="2" t="s">
        <v>403</v>
      </c>
      <c r="U2940" s="2" t="s">
        <v>22484</v>
      </c>
      <c r="V2940" s="2"/>
      <c r="W2940" s="2" t="s">
        <v>14343</v>
      </c>
      <c r="X2940" s="2" t="s">
        <v>46</v>
      </c>
      <c r="Y2940" s="2" t="s">
        <v>37</v>
      </c>
      <c r="Z2940" s="2" t="s">
        <v>362</v>
      </c>
      <c r="AA2940" s="2"/>
      <c r="AB2940" s="2"/>
      <c r="AC2940" s="2" t="s">
        <v>22485</v>
      </c>
      <c r="AD2940" s="2" t="s">
        <v>46</v>
      </c>
    </row>
    <row r="2941" customFormat="false" ht="15.7" hidden="false" customHeight="true" outlineLevel="0" collapsed="false">
      <c r="A2941" s="2"/>
      <c r="B2941" s="3" t="n">
        <f aca="false">DATE(2017,3,8)</f>
        <v>0</v>
      </c>
      <c r="C2941" s="3" t="n">
        <v>42802</v>
      </c>
      <c r="D2941" s="2" t="s">
        <v>22486</v>
      </c>
      <c r="F2941" s="2" t="s">
        <v>22487</v>
      </c>
      <c r="G2941" s="2" t="s">
        <v>22488</v>
      </c>
      <c r="H2941" s="2" t="s">
        <v>6563</v>
      </c>
      <c r="I2941" s="2" t="s">
        <v>131</v>
      </c>
      <c r="J2941" s="2" t="s">
        <v>132</v>
      </c>
      <c r="K2941" s="2" t="s">
        <v>22489</v>
      </c>
      <c r="L2941" s="2" t="s">
        <v>180</v>
      </c>
      <c r="M2941" s="2" t="s">
        <v>22490</v>
      </c>
      <c r="N2941" s="2" t="s">
        <v>22491</v>
      </c>
      <c r="O2941" s="2"/>
      <c r="P2941" s="2" t="s">
        <v>37</v>
      </c>
      <c r="Q2941" s="4" t="n">
        <v>3826</v>
      </c>
      <c r="R2941" s="2" t="s">
        <v>56</v>
      </c>
      <c r="S2941" s="2" t="s">
        <v>92</v>
      </c>
      <c r="T2941" s="2" t="s">
        <v>40</v>
      </c>
      <c r="U2941" s="2" t="s">
        <v>22492</v>
      </c>
      <c r="V2941" s="2"/>
      <c r="W2941" s="2" t="s">
        <v>7958</v>
      </c>
      <c r="X2941" s="2" t="s">
        <v>43</v>
      </c>
      <c r="Y2941" s="2" t="s">
        <v>37</v>
      </c>
      <c r="Z2941" s="2" t="s">
        <v>44</v>
      </c>
      <c r="AA2941" s="2"/>
      <c r="AB2941" s="2"/>
      <c r="AC2941" s="2" t="s">
        <v>22493</v>
      </c>
      <c r="AD2941" s="2" t="s">
        <v>46</v>
      </c>
    </row>
    <row r="2942" customFormat="false" ht="15.7" hidden="false" customHeight="true" outlineLevel="0" collapsed="false">
      <c r="A2942" s="2"/>
      <c r="B2942" s="3" t="n">
        <f aca="false">DATE(2017,3,9)</f>
        <v>0</v>
      </c>
      <c r="C2942" s="3" t="n">
        <v>42803</v>
      </c>
      <c r="D2942" s="2" t="s">
        <v>22494</v>
      </c>
      <c r="F2942" s="2" t="s">
        <v>10369</v>
      </c>
      <c r="G2942" s="2" t="s">
        <v>22495</v>
      </c>
      <c r="H2942" s="2" t="s">
        <v>3036</v>
      </c>
      <c r="I2942" s="2" t="s">
        <v>51</v>
      </c>
      <c r="J2942" s="2" t="s">
        <v>4537</v>
      </c>
      <c r="K2942" s="2" t="s">
        <v>22496</v>
      </c>
      <c r="L2942" s="2" t="s">
        <v>51</v>
      </c>
      <c r="M2942" s="2" t="s">
        <v>8986</v>
      </c>
      <c r="N2942" s="2" t="s">
        <v>22497</v>
      </c>
      <c r="O2942" s="2"/>
      <c r="P2942" s="2" t="s">
        <v>37</v>
      </c>
      <c r="Q2942" s="4" t="n">
        <v>8731</v>
      </c>
      <c r="R2942" s="2" t="s">
        <v>56</v>
      </c>
      <c r="S2942" s="2" t="s">
        <v>507</v>
      </c>
      <c r="T2942" s="2" t="s">
        <v>40</v>
      </c>
      <c r="U2942" s="2" t="s">
        <v>22498</v>
      </c>
      <c r="V2942" s="2"/>
      <c r="W2942" s="2" t="s">
        <v>344</v>
      </c>
      <c r="X2942" s="2" t="s">
        <v>43</v>
      </c>
      <c r="Y2942" s="2" t="s">
        <v>37</v>
      </c>
      <c r="Z2942" s="2" t="s">
        <v>44</v>
      </c>
      <c r="AA2942" s="2"/>
      <c r="AB2942" s="2"/>
      <c r="AC2942" s="2" t="s">
        <v>22499</v>
      </c>
      <c r="AD2942" s="2" t="s">
        <v>46</v>
      </c>
    </row>
    <row r="2943" customFormat="false" ht="15.7" hidden="false" customHeight="true" outlineLevel="0" collapsed="false">
      <c r="A2943" s="2"/>
      <c r="B2943" s="3" t="n">
        <f aca="false">DATE(2017,3,9)</f>
        <v>0</v>
      </c>
      <c r="C2943" s="3" t="n">
        <v>42803</v>
      </c>
      <c r="D2943" s="2" t="s">
        <v>22500</v>
      </c>
      <c r="F2943" s="2" t="s">
        <v>22501</v>
      </c>
      <c r="G2943" s="2" t="s">
        <v>22502</v>
      </c>
      <c r="H2943" s="2" t="s">
        <v>22503</v>
      </c>
      <c r="I2943" s="2" t="s">
        <v>388</v>
      </c>
      <c r="J2943" s="2" t="s">
        <v>2088</v>
      </c>
      <c r="K2943" s="2" t="s">
        <v>22504</v>
      </c>
      <c r="L2943" s="2" t="s">
        <v>5173</v>
      </c>
      <c r="M2943" s="2" t="s">
        <v>22503</v>
      </c>
      <c r="N2943" s="2" t="s">
        <v>22505</v>
      </c>
      <c r="O2943" s="2"/>
      <c r="P2943" s="2" t="s">
        <v>37</v>
      </c>
      <c r="Q2943" s="4" t="n">
        <v>6794</v>
      </c>
      <c r="R2943" s="2" t="s">
        <v>2201</v>
      </c>
      <c r="S2943" s="2" t="s">
        <v>39</v>
      </c>
      <c r="T2943" s="2" t="s">
        <v>40</v>
      </c>
      <c r="U2943" s="2" t="s">
        <v>22506</v>
      </c>
      <c r="V2943" s="2"/>
      <c r="W2943" s="2" t="s">
        <v>22507</v>
      </c>
      <c r="X2943" s="2" t="s">
        <v>43</v>
      </c>
      <c r="Y2943" s="2" t="s">
        <v>37</v>
      </c>
      <c r="Z2943" s="2" t="s">
        <v>44</v>
      </c>
      <c r="AA2943" s="2"/>
      <c r="AB2943" s="2"/>
      <c r="AC2943" s="2" t="s">
        <v>22508</v>
      </c>
      <c r="AD2943" s="2" t="s">
        <v>46</v>
      </c>
    </row>
    <row r="2944" customFormat="false" ht="15.7" hidden="false" customHeight="true" outlineLevel="0" collapsed="false">
      <c r="A2944" s="2"/>
      <c r="B2944" s="3" t="n">
        <f aca="false">DATE(2017,3,9)</f>
        <v>0</v>
      </c>
      <c r="C2944" s="3" t="n">
        <v>42803</v>
      </c>
      <c r="D2944" s="2" t="s">
        <v>22509</v>
      </c>
      <c r="F2944" s="2" t="s">
        <v>22510</v>
      </c>
      <c r="G2944" s="2" t="s">
        <v>22511</v>
      </c>
      <c r="H2944" s="2" t="s">
        <v>22512</v>
      </c>
      <c r="I2944" s="2" t="s">
        <v>330</v>
      </c>
      <c r="J2944" s="2" t="s">
        <v>14811</v>
      </c>
      <c r="K2944" s="2" t="s">
        <v>22509</v>
      </c>
      <c r="L2944" s="2" t="s">
        <v>330</v>
      </c>
      <c r="M2944" s="2" t="s">
        <v>22512</v>
      </c>
      <c r="N2944" s="2" t="s">
        <v>22513</v>
      </c>
      <c r="O2944" s="2"/>
      <c r="P2944" s="2" t="s">
        <v>37</v>
      </c>
      <c r="Q2944" s="4" t="n">
        <v>8731</v>
      </c>
      <c r="R2944" s="2" t="s">
        <v>136</v>
      </c>
      <c r="S2944" s="2" t="s">
        <v>39</v>
      </c>
      <c r="T2944" s="2" t="s">
        <v>40</v>
      </c>
      <c r="U2944" s="2" t="s">
        <v>22514</v>
      </c>
      <c r="V2944" s="2"/>
      <c r="W2944" s="2" t="s">
        <v>6901</v>
      </c>
      <c r="X2944" s="2" t="s">
        <v>43</v>
      </c>
      <c r="Y2944" s="2" t="s">
        <v>37</v>
      </c>
      <c r="Z2944" s="2" t="s">
        <v>44</v>
      </c>
      <c r="AA2944" s="2"/>
      <c r="AB2944" s="2"/>
      <c r="AC2944" s="2" t="s">
        <v>22515</v>
      </c>
      <c r="AD2944" s="2" t="s">
        <v>46</v>
      </c>
    </row>
    <row r="2945" customFormat="false" ht="15.7" hidden="false" customHeight="true" outlineLevel="0" collapsed="false">
      <c r="A2945" s="2"/>
      <c r="B2945" s="3" t="n">
        <f aca="false">DATE(2017,3,13)</f>
        <v>0</v>
      </c>
      <c r="C2945" s="3" t="n">
        <v>42807</v>
      </c>
      <c r="D2945" s="2" t="s">
        <v>22516</v>
      </c>
      <c r="F2945" s="2" t="s">
        <v>14319</v>
      </c>
      <c r="G2945" s="2" t="s">
        <v>22517</v>
      </c>
      <c r="H2945" s="2" t="s">
        <v>130</v>
      </c>
      <c r="I2945" s="2" t="s">
        <v>4089</v>
      </c>
      <c r="J2945" s="2" t="s">
        <v>35</v>
      </c>
      <c r="K2945" s="2" t="s">
        <v>22518</v>
      </c>
      <c r="L2945" s="2" t="s">
        <v>34</v>
      </c>
      <c r="M2945" s="2" t="s">
        <v>63</v>
      </c>
      <c r="N2945" s="2" t="s">
        <v>22519</v>
      </c>
      <c r="O2945" s="2"/>
      <c r="P2945" s="2" t="s">
        <v>37</v>
      </c>
      <c r="Q2945" s="4" t="n">
        <v>8099</v>
      </c>
      <c r="R2945" s="2" t="s">
        <v>38</v>
      </c>
      <c r="S2945" s="2" t="s">
        <v>39</v>
      </c>
      <c r="T2945" s="2" t="s">
        <v>40</v>
      </c>
      <c r="U2945" s="2" t="s">
        <v>22520</v>
      </c>
      <c r="V2945" s="2"/>
      <c r="W2945" s="2" t="s">
        <v>18495</v>
      </c>
      <c r="X2945" s="2" t="s">
        <v>43</v>
      </c>
      <c r="Y2945" s="2" t="s">
        <v>37</v>
      </c>
      <c r="Z2945" s="2" t="s">
        <v>44</v>
      </c>
      <c r="AA2945" s="2"/>
      <c r="AB2945" s="2"/>
      <c r="AC2945" s="2" t="s">
        <v>22521</v>
      </c>
      <c r="AD2945" s="2" t="s">
        <v>46</v>
      </c>
    </row>
    <row r="2946" customFormat="false" ht="15.7" hidden="false" customHeight="true" outlineLevel="0" collapsed="false">
      <c r="A2946" s="2"/>
      <c r="B2946" s="3" t="n">
        <f aca="false">DATE(2017,3,14)</f>
        <v>0</v>
      </c>
      <c r="C2946" s="3" t="n">
        <v>42808</v>
      </c>
      <c r="D2946" s="2" t="s">
        <v>22522</v>
      </c>
      <c r="F2946" s="2" t="s">
        <v>22523</v>
      </c>
      <c r="G2946" s="2" t="s">
        <v>22524</v>
      </c>
      <c r="H2946" s="2" t="s">
        <v>22525</v>
      </c>
      <c r="I2946" s="2" t="s">
        <v>22526</v>
      </c>
      <c r="J2946" s="2" t="s">
        <v>35</v>
      </c>
      <c r="K2946" s="2" t="s">
        <v>22522</v>
      </c>
      <c r="L2946" s="2" t="s">
        <v>22526</v>
      </c>
      <c r="M2946" s="2" t="s">
        <v>22525</v>
      </c>
      <c r="N2946" s="2" t="s">
        <v>22527</v>
      </c>
      <c r="O2946" s="2"/>
      <c r="P2946" s="2" t="s">
        <v>37</v>
      </c>
      <c r="Q2946" s="4" t="n">
        <v>8731</v>
      </c>
      <c r="R2946" s="2" t="s">
        <v>14482</v>
      </c>
      <c r="S2946" s="2" t="s">
        <v>39</v>
      </c>
      <c r="T2946" s="2" t="s">
        <v>40</v>
      </c>
      <c r="U2946" s="2" t="s">
        <v>22528</v>
      </c>
      <c r="V2946" s="2"/>
      <c r="W2946" s="2" t="s">
        <v>7275</v>
      </c>
      <c r="X2946" s="2" t="s">
        <v>43</v>
      </c>
      <c r="Y2946" s="2" t="s">
        <v>37</v>
      </c>
      <c r="Z2946" s="2" t="s">
        <v>44</v>
      </c>
      <c r="AA2946" s="2"/>
      <c r="AB2946" s="2"/>
      <c r="AC2946" s="2" t="s">
        <v>22529</v>
      </c>
      <c r="AD2946" s="2" t="s">
        <v>46</v>
      </c>
    </row>
    <row r="2947" customFormat="false" ht="15.7" hidden="false" customHeight="true" outlineLevel="0" collapsed="false">
      <c r="A2947" s="2"/>
      <c r="B2947" s="3" t="n">
        <f aca="false">DATE(2017,3,14)</f>
        <v>0</v>
      </c>
      <c r="C2947" s="3" t="n">
        <v>42808</v>
      </c>
      <c r="D2947" s="2" t="s">
        <v>22530</v>
      </c>
      <c r="F2947" s="2" t="s">
        <v>17277</v>
      </c>
      <c r="G2947" s="2" t="s">
        <v>22531</v>
      </c>
      <c r="H2947" s="2" t="s">
        <v>523</v>
      </c>
      <c r="I2947" s="2" t="s">
        <v>51</v>
      </c>
      <c r="J2947" s="2" t="s">
        <v>2190</v>
      </c>
      <c r="K2947" s="2" t="s">
        <v>22532</v>
      </c>
      <c r="L2947" s="2" t="s">
        <v>51</v>
      </c>
      <c r="M2947" s="2" t="s">
        <v>523</v>
      </c>
      <c r="N2947" s="2" t="s">
        <v>22533</v>
      </c>
      <c r="O2947" s="2"/>
      <c r="P2947" s="2" t="s">
        <v>37</v>
      </c>
      <c r="Q2947" s="4" t="n">
        <v>8731</v>
      </c>
      <c r="R2947" s="2" t="s">
        <v>56</v>
      </c>
      <c r="S2947" s="2" t="s">
        <v>57</v>
      </c>
      <c r="T2947" s="2" t="s">
        <v>40</v>
      </c>
      <c r="U2947" s="2" t="s">
        <v>22534</v>
      </c>
      <c r="V2947" s="2"/>
      <c r="W2947" s="2" t="s">
        <v>42</v>
      </c>
      <c r="X2947" s="2" t="s">
        <v>43</v>
      </c>
      <c r="Y2947" s="2" t="s">
        <v>37</v>
      </c>
      <c r="Z2947" s="2" t="s">
        <v>44</v>
      </c>
      <c r="AA2947" s="2"/>
      <c r="AB2947" s="2"/>
      <c r="AC2947" s="2" t="s">
        <v>22535</v>
      </c>
      <c r="AD2947" s="2" t="s">
        <v>46</v>
      </c>
    </row>
    <row r="2948" customFormat="false" ht="15.7" hidden="false" customHeight="true" outlineLevel="0" collapsed="false">
      <c r="A2948" s="2"/>
      <c r="B2948" s="3" t="n">
        <f aca="false">DATE(2017,3,14)</f>
        <v>0</v>
      </c>
      <c r="C2948" s="3" t="n">
        <v>42808</v>
      </c>
      <c r="D2948" s="2" t="s">
        <v>22536</v>
      </c>
      <c r="F2948" s="2" t="s">
        <v>22537</v>
      </c>
      <c r="G2948" s="2" t="s">
        <v>22538</v>
      </c>
      <c r="H2948" s="2" t="s">
        <v>13398</v>
      </c>
      <c r="I2948" s="2" t="s">
        <v>13862</v>
      </c>
      <c r="J2948" s="2" t="s">
        <v>22539</v>
      </c>
      <c r="K2948" s="2" t="s">
        <v>22540</v>
      </c>
      <c r="L2948" s="2" t="s">
        <v>22541</v>
      </c>
      <c r="M2948" s="2" t="s">
        <v>13398</v>
      </c>
      <c r="N2948" s="2" t="s">
        <v>22542</v>
      </c>
      <c r="O2948" s="2"/>
      <c r="P2948" s="2" t="s">
        <v>37</v>
      </c>
      <c r="Q2948" s="4" t="n">
        <v>8049</v>
      </c>
      <c r="R2948" s="2" t="s">
        <v>56</v>
      </c>
      <c r="S2948" s="2" t="s">
        <v>7553</v>
      </c>
      <c r="T2948" s="2" t="s">
        <v>40</v>
      </c>
      <c r="U2948" s="2" t="s">
        <v>22543</v>
      </c>
      <c r="V2948" s="2"/>
      <c r="W2948" s="2" t="s">
        <v>20757</v>
      </c>
      <c r="X2948" s="2" t="s">
        <v>43</v>
      </c>
      <c r="Y2948" s="2" t="s">
        <v>37</v>
      </c>
      <c r="Z2948" s="2" t="s">
        <v>916</v>
      </c>
      <c r="AA2948" s="2"/>
      <c r="AB2948" s="2"/>
      <c r="AC2948" s="2" t="s">
        <v>22544</v>
      </c>
      <c r="AD2948" s="2" t="s">
        <v>46</v>
      </c>
    </row>
    <row r="2949" customFormat="false" ht="15.7" hidden="false" customHeight="true" outlineLevel="0" collapsed="false">
      <c r="A2949" s="2"/>
      <c r="B2949" s="3" t="n">
        <f aca="false">DATE(2017,3,14)</f>
        <v>0</v>
      </c>
      <c r="C2949" s="3" t="n">
        <v>42808</v>
      </c>
      <c r="D2949" s="2" t="s">
        <v>22545</v>
      </c>
      <c r="F2949" s="2" t="s">
        <v>22546</v>
      </c>
      <c r="G2949" s="2" t="s">
        <v>22547</v>
      </c>
      <c r="H2949" s="2" t="s">
        <v>22548</v>
      </c>
      <c r="I2949" s="2" t="s">
        <v>34</v>
      </c>
      <c r="J2949" s="2" t="s">
        <v>35</v>
      </c>
      <c r="K2949" s="2" t="s">
        <v>22545</v>
      </c>
      <c r="L2949" s="2" t="s">
        <v>34</v>
      </c>
      <c r="M2949" s="2" t="s">
        <v>22548</v>
      </c>
      <c r="N2949" s="2" t="s">
        <v>22549</v>
      </c>
      <c r="O2949" s="2"/>
      <c r="P2949" s="2" t="s">
        <v>37</v>
      </c>
      <c r="Q2949" s="4" t="n">
        <v>3999</v>
      </c>
      <c r="R2949" s="2" t="s">
        <v>136</v>
      </c>
      <c r="S2949" s="2" t="s">
        <v>39</v>
      </c>
      <c r="T2949" s="2" t="s">
        <v>40</v>
      </c>
      <c r="U2949" s="2" t="s">
        <v>22550</v>
      </c>
      <c r="V2949" s="2"/>
      <c r="W2949" s="2" t="s">
        <v>14244</v>
      </c>
      <c r="X2949" s="2" t="s">
        <v>43</v>
      </c>
      <c r="Y2949" s="2" t="s">
        <v>37</v>
      </c>
      <c r="Z2949" s="2" t="s">
        <v>44</v>
      </c>
      <c r="AA2949" s="2"/>
      <c r="AB2949" s="2"/>
      <c r="AC2949" s="2" t="s">
        <v>22551</v>
      </c>
      <c r="AD2949" s="2" t="s">
        <v>46</v>
      </c>
    </row>
    <row r="2950" customFormat="false" ht="15.7" hidden="false" customHeight="true" outlineLevel="0" collapsed="false">
      <c r="A2950" s="2"/>
      <c r="B2950" s="3" t="n">
        <f aca="false">DATE(2017,3,14)</f>
        <v>0</v>
      </c>
      <c r="C2950" s="3" t="n">
        <v>42808</v>
      </c>
      <c r="D2950" s="2" t="s">
        <v>22552</v>
      </c>
      <c r="F2950" s="2" t="s">
        <v>20650</v>
      </c>
      <c r="G2950" s="2" t="s">
        <v>22553</v>
      </c>
      <c r="H2950" s="2" t="s">
        <v>130</v>
      </c>
      <c r="I2950" s="2" t="s">
        <v>22554</v>
      </c>
      <c r="J2950" s="2" t="s">
        <v>13676</v>
      </c>
      <c r="K2950" s="2" t="s">
        <v>22552</v>
      </c>
      <c r="L2950" s="2" t="s">
        <v>22554</v>
      </c>
      <c r="M2950" s="2" t="s">
        <v>130</v>
      </c>
      <c r="N2950" s="2" t="s">
        <v>22555</v>
      </c>
      <c r="O2950" s="2"/>
      <c r="P2950" s="2" t="s">
        <v>37</v>
      </c>
      <c r="Q2950" s="4" t="n">
        <v>2834</v>
      </c>
      <c r="R2950" s="2" t="s">
        <v>136</v>
      </c>
      <c r="S2950" s="2" t="s">
        <v>39</v>
      </c>
      <c r="T2950" s="2" t="s">
        <v>403</v>
      </c>
      <c r="U2950" s="2" t="s">
        <v>22556</v>
      </c>
      <c r="V2950" s="2"/>
      <c r="W2950" s="2" t="s">
        <v>138</v>
      </c>
      <c r="X2950" s="2" t="s">
        <v>46</v>
      </c>
      <c r="Y2950" s="2" t="s">
        <v>37</v>
      </c>
      <c r="Z2950" s="2" t="s">
        <v>362</v>
      </c>
      <c r="AA2950" s="2"/>
      <c r="AB2950" s="2"/>
      <c r="AC2950" s="2" t="s">
        <v>22557</v>
      </c>
      <c r="AD2950" s="2" t="s">
        <v>46</v>
      </c>
    </row>
    <row r="2951" customFormat="false" ht="15.7" hidden="false" customHeight="true" outlineLevel="0" collapsed="false">
      <c r="A2951" s="2"/>
      <c r="B2951" s="3" t="n">
        <f aca="false">DATE(2017,3,14)</f>
        <v>0</v>
      </c>
      <c r="C2951" s="3" t="n">
        <v>42808</v>
      </c>
      <c r="D2951" s="2" t="s">
        <v>22558</v>
      </c>
      <c r="F2951" s="2" t="s">
        <v>22559</v>
      </c>
      <c r="G2951" s="2" t="s">
        <v>22560</v>
      </c>
      <c r="H2951" s="2" t="s">
        <v>1101</v>
      </c>
      <c r="I2951" s="2" t="s">
        <v>330</v>
      </c>
      <c r="J2951" s="2" t="s">
        <v>258</v>
      </c>
      <c r="K2951" s="2" t="s">
        <v>22558</v>
      </c>
      <c r="L2951" s="2" t="s">
        <v>330</v>
      </c>
      <c r="M2951" s="2" t="s">
        <v>1101</v>
      </c>
      <c r="N2951" s="2" t="s">
        <v>22561</v>
      </c>
      <c r="O2951" s="2"/>
      <c r="P2951" s="2" t="s">
        <v>37</v>
      </c>
      <c r="Q2951" s="4" t="n">
        <v>8731</v>
      </c>
      <c r="R2951" s="2" t="s">
        <v>136</v>
      </c>
      <c r="S2951" s="2" t="s">
        <v>39</v>
      </c>
      <c r="T2951" s="2" t="s">
        <v>40</v>
      </c>
      <c r="U2951" s="2" t="s">
        <v>22562</v>
      </c>
      <c r="V2951" s="2"/>
      <c r="W2951" s="2" t="s">
        <v>22456</v>
      </c>
      <c r="X2951" s="2" t="s">
        <v>43</v>
      </c>
      <c r="Y2951" s="2" t="s">
        <v>37</v>
      </c>
      <c r="Z2951" s="2" t="s">
        <v>44</v>
      </c>
      <c r="AA2951" s="2"/>
      <c r="AB2951" s="2"/>
      <c r="AC2951" s="2" t="s">
        <v>22563</v>
      </c>
      <c r="AD2951" s="2" t="s">
        <v>46</v>
      </c>
    </row>
    <row r="2952" customFormat="false" ht="15.7" hidden="false" customHeight="true" outlineLevel="0" collapsed="false">
      <c r="A2952" s="2"/>
      <c r="B2952" s="3" t="n">
        <f aca="false">DATE(2017,3,16)</f>
        <v>0</v>
      </c>
      <c r="C2952" s="3" t="n">
        <v>42810</v>
      </c>
      <c r="D2952" s="2" t="s">
        <v>22564</v>
      </c>
      <c r="F2952" s="2" t="s">
        <v>8872</v>
      </c>
      <c r="G2952" s="2" t="s">
        <v>22565</v>
      </c>
      <c r="H2952" s="2" t="s">
        <v>130</v>
      </c>
      <c r="I2952" s="2" t="s">
        <v>22566</v>
      </c>
      <c r="J2952" s="2" t="s">
        <v>35</v>
      </c>
      <c r="K2952" s="2" t="s">
        <v>22567</v>
      </c>
      <c r="L2952" s="2" t="s">
        <v>22566</v>
      </c>
      <c r="M2952" s="2" t="s">
        <v>22568</v>
      </c>
      <c r="N2952" s="2" t="s">
        <v>22569</v>
      </c>
      <c r="O2952" s="2"/>
      <c r="P2952" s="2" t="s">
        <v>37</v>
      </c>
      <c r="Q2952" s="4" t="n">
        <v>8731</v>
      </c>
      <c r="R2952" s="2" t="s">
        <v>136</v>
      </c>
      <c r="S2952" s="2" t="s">
        <v>39</v>
      </c>
      <c r="T2952" s="2" t="s">
        <v>40</v>
      </c>
      <c r="U2952" s="2" t="s">
        <v>22570</v>
      </c>
      <c r="V2952" s="2"/>
      <c r="W2952" s="2" t="s">
        <v>344</v>
      </c>
      <c r="X2952" s="2" t="s">
        <v>43</v>
      </c>
      <c r="Y2952" s="2" t="s">
        <v>37</v>
      </c>
      <c r="Z2952" s="2" t="s">
        <v>44</v>
      </c>
      <c r="AA2952" s="2"/>
      <c r="AB2952" s="2"/>
      <c r="AC2952" s="2" t="s">
        <v>22571</v>
      </c>
      <c r="AD2952" s="2" t="s">
        <v>46</v>
      </c>
    </row>
    <row r="2953" customFormat="false" ht="15.7" hidden="false" customHeight="true" outlineLevel="0" collapsed="false">
      <c r="A2953" s="2"/>
      <c r="B2953" s="3" t="n">
        <f aca="false">DATE(2017,3,20)</f>
        <v>0</v>
      </c>
      <c r="C2953" s="3" t="n">
        <v>42814</v>
      </c>
      <c r="D2953" s="2" t="s">
        <v>22572</v>
      </c>
      <c r="F2953" s="2" t="s">
        <v>22573</v>
      </c>
      <c r="G2953" s="2" t="s">
        <v>22574</v>
      </c>
      <c r="H2953" s="2" t="s">
        <v>130</v>
      </c>
      <c r="I2953" s="2" t="s">
        <v>2972</v>
      </c>
      <c r="J2953" s="2" t="s">
        <v>35</v>
      </c>
      <c r="K2953" s="2" t="s">
        <v>22575</v>
      </c>
      <c r="L2953" s="2" t="s">
        <v>22576</v>
      </c>
      <c r="M2953" s="2" t="s">
        <v>130</v>
      </c>
      <c r="N2953" s="2" t="s">
        <v>22577</v>
      </c>
      <c r="O2953" s="2"/>
      <c r="P2953" s="2" t="s">
        <v>37</v>
      </c>
      <c r="Q2953" s="4" t="n">
        <v>8731</v>
      </c>
      <c r="R2953" s="2" t="s">
        <v>136</v>
      </c>
      <c r="S2953" s="2" t="s">
        <v>39</v>
      </c>
      <c r="T2953" s="2" t="s">
        <v>2444</v>
      </c>
      <c r="U2953" s="2" t="s">
        <v>22578</v>
      </c>
      <c r="V2953" s="2"/>
      <c r="W2953" s="2" t="s">
        <v>22579</v>
      </c>
      <c r="X2953" s="2" t="s">
        <v>43</v>
      </c>
      <c r="Y2953" s="2" t="s">
        <v>37</v>
      </c>
      <c r="Z2953" s="2" t="s">
        <v>44</v>
      </c>
      <c r="AA2953" s="2"/>
      <c r="AB2953" s="2"/>
      <c r="AC2953" s="2" t="s">
        <v>22580</v>
      </c>
      <c r="AD2953" s="2" t="s">
        <v>46</v>
      </c>
    </row>
    <row r="2954" customFormat="false" ht="15.7" hidden="false" customHeight="true" outlineLevel="0" collapsed="false">
      <c r="A2954" s="2"/>
      <c r="B2954" s="3" t="n">
        <f aca="false">DATE(2017,3,21)</f>
        <v>0</v>
      </c>
      <c r="C2954" s="3" t="n">
        <v>42815</v>
      </c>
      <c r="D2954" s="2" t="s">
        <v>22581</v>
      </c>
      <c r="F2954" s="2" t="s">
        <v>22582</v>
      </c>
      <c r="G2954" s="2" t="s">
        <v>22583</v>
      </c>
      <c r="H2954" s="2" t="s">
        <v>22584</v>
      </c>
      <c r="I2954" s="2" t="s">
        <v>14858</v>
      </c>
      <c r="J2954" s="2" t="s">
        <v>116</v>
      </c>
      <c r="K2954" s="2" t="s">
        <v>22585</v>
      </c>
      <c r="L2954" s="2" t="s">
        <v>14858</v>
      </c>
      <c r="M2954" s="2" t="s">
        <v>22586</v>
      </c>
      <c r="N2954" s="2" t="s">
        <v>22587</v>
      </c>
      <c r="O2954" s="2"/>
      <c r="P2954" s="2" t="s">
        <v>37</v>
      </c>
      <c r="Q2954" s="4" t="n">
        <v>2834</v>
      </c>
      <c r="R2954" s="2" t="s">
        <v>1448</v>
      </c>
      <c r="S2954" s="2" t="s">
        <v>39</v>
      </c>
      <c r="T2954" s="2" t="s">
        <v>40</v>
      </c>
      <c r="U2954" s="2" t="s">
        <v>22588</v>
      </c>
      <c r="V2954" s="2"/>
      <c r="W2954" s="2" t="s">
        <v>19532</v>
      </c>
      <c r="X2954" s="2" t="s">
        <v>43</v>
      </c>
      <c r="Y2954" s="2" t="s">
        <v>37</v>
      </c>
      <c r="Z2954" s="2" t="s">
        <v>916</v>
      </c>
      <c r="AA2954" s="2"/>
      <c r="AB2954" s="2"/>
      <c r="AC2954" s="2" t="s">
        <v>22589</v>
      </c>
      <c r="AD2954" s="2" t="s">
        <v>46</v>
      </c>
    </row>
    <row r="2955" customFormat="false" ht="15.7" hidden="false" customHeight="true" outlineLevel="0" collapsed="false">
      <c r="A2955" s="2"/>
      <c r="B2955" s="3" t="n">
        <f aca="false">DATE(2017,3,21)</f>
        <v>0</v>
      </c>
      <c r="C2955" s="3" t="n">
        <v>42815</v>
      </c>
      <c r="D2955" s="2" t="s">
        <v>22590</v>
      </c>
      <c r="F2955" s="2" t="s">
        <v>14809</v>
      </c>
      <c r="G2955" s="2" t="s">
        <v>22591</v>
      </c>
      <c r="H2955" s="2" t="s">
        <v>368</v>
      </c>
      <c r="I2955" s="2" t="s">
        <v>22592</v>
      </c>
      <c r="J2955" s="2" t="s">
        <v>35</v>
      </c>
      <c r="K2955" s="2" t="s">
        <v>22590</v>
      </c>
      <c r="L2955" s="2" t="s">
        <v>22592</v>
      </c>
      <c r="M2955" s="2" t="s">
        <v>368</v>
      </c>
      <c r="N2955" s="2" t="s">
        <v>22593</v>
      </c>
      <c r="O2955" s="2"/>
      <c r="P2955" s="2" t="s">
        <v>37</v>
      </c>
      <c r="Q2955" s="4" t="n">
        <v>6794</v>
      </c>
      <c r="R2955" s="2"/>
      <c r="S2955" s="2"/>
      <c r="T2955" s="2" t="s">
        <v>40</v>
      </c>
      <c r="U2955" s="2" t="s">
        <v>22594</v>
      </c>
      <c r="V2955" s="2"/>
      <c r="W2955" s="2" t="s">
        <v>20757</v>
      </c>
      <c r="X2955" s="2" t="s">
        <v>43</v>
      </c>
      <c r="Y2955" s="2" t="s">
        <v>37</v>
      </c>
      <c r="Z2955" s="2" t="s">
        <v>44</v>
      </c>
      <c r="AA2955" s="2"/>
      <c r="AB2955" s="2"/>
      <c r="AC2955" s="2" t="s">
        <v>22595</v>
      </c>
      <c r="AD2955" s="2" t="s">
        <v>46</v>
      </c>
    </row>
    <row r="2956" customFormat="false" ht="15.7" hidden="false" customHeight="true" outlineLevel="0" collapsed="false">
      <c r="A2956" s="2"/>
      <c r="B2956" s="3" t="n">
        <f aca="false">DATE(2017,3,21)</f>
        <v>0</v>
      </c>
      <c r="C2956" s="3" t="n">
        <v>42815</v>
      </c>
      <c r="D2956" s="2" t="s">
        <v>22596</v>
      </c>
      <c r="F2956" s="2" t="s">
        <v>22597</v>
      </c>
      <c r="G2956" s="2" t="s">
        <v>22598</v>
      </c>
      <c r="H2956" s="2" t="s">
        <v>22599</v>
      </c>
      <c r="I2956" s="2" t="s">
        <v>7014</v>
      </c>
      <c r="J2956" s="2" t="s">
        <v>35</v>
      </c>
      <c r="K2956" s="2" t="s">
        <v>22596</v>
      </c>
      <c r="L2956" s="2" t="s">
        <v>7014</v>
      </c>
      <c r="M2956" s="2" t="s">
        <v>22599</v>
      </c>
      <c r="N2956" s="2" t="s">
        <v>22600</v>
      </c>
      <c r="O2956" s="2"/>
      <c r="P2956" s="2" t="s">
        <v>37</v>
      </c>
      <c r="Q2956" s="4" t="n">
        <v>6794</v>
      </c>
      <c r="R2956" s="2" t="s">
        <v>1448</v>
      </c>
      <c r="S2956" s="2" t="s">
        <v>39</v>
      </c>
      <c r="T2956" s="2" t="s">
        <v>40</v>
      </c>
      <c r="U2956" s="2" t="s">
        <v>22601</v>
      </c>
      <c r="V2956" s="2"/>
      <c r="W2956" s="2" t="s">
        <v>15545</v>
      </c>
      <c r="X2956" s="2" t="s">
        <v>43</v>
      </c>
      <c r="Y2956" s="2" t="s">
        <v>37</v>
      </c>
      <c r="Z2956" s="2" t="s">
        <v>44</v>
      </c>
      <c r="AA2956" s="2"/>
      <c r="AB2956" s="2"/>
      <c r="AC2956" s="2" t="s">
        <v>22602</v>
      </c>
      <c r="AD2956" s="2" t="s">
        <v>46</v>
      </c>
    </row>
    <row r="2957" customFormat="false" ht="15.7" hidden="false" customHeight="true" outlineLevel="0" collapsed="false">
      <c r="A2957" s="2"/>
      <c r="B2957" s="3" t="n">
        <f aca="false">DATE(2017,3,21)</f>
        <v>0</v>
      </c>
      <c r="C2957" s="3" t="n">
        <v>42815</v>
      </c>
      <c r="D2957" s="2" t="s">
        <v>22603</v>
      </c>
      <c r="F2957" s="2" t="s">
        <v>22604</v>
      </c>
      <c r="G2957" s="2" t="s">
        <v>22605</v>
      </c>
      <c r="H2957" s="2" t="s">
        <v>22606</v>
      </c>
      <c r="I2957" s="2" t="s">
        <v>12760</v>
      </c>
      <c r="J2957" s="2" t="s">
        <v>35</v>
      </c>
      <c r="K2957" s="2" t="s">
        <v>22607</v>
      </c>
      <c r="L2957" s="2" t="s">
        <v>2972</v>
      </c>
      <c r="M2957" s="2" t="s">
        <v>22608</v>
      </c>
      <c r="N2957" s="2" t="s">
        <v>22609</v>
      </c>
      <c r="O2957" s="2"/>
      <c r="P2957" s="2" t="s">
        <v>37</v>
      </c>
      <c r="Q2957" s="4" t="n">
        <v>8731</v>
      </c>
      <c r="R2957" s="2" t="s">
        <v>136</v>
      </c>
      <c r="S2957" s="2" t="s">
        <v>39</v>
      </c>
      <c r="T2957" s="2" t="s">
        <v>40</v>
      </c>
      <c r="U2957" s="2" t="s">
        <v>22610</v>
      </c>
      <c r="V2957" s="2"/>
      <c r="W2957" s="2" t="s">
        <v>17558</v>
      </c>
      <c r="X2957" s="2" t="s">
        <v>43</v>
      </c>
      <c r="Y2957" s="2" t="s">
        <v>37</v>
      </c>
      <c r="Z2957" s="2" t="s">
        <v>44</v>
      </c>
      <c r="AA2957" s="2"/>
      <c r="AB2957" s="2"/>
      <c r="AC2957" s="2" t="s">
        <v>22611</v>
      </c>
      <c r="AD2957" s="2" t="s">
        <v>46</v>
      </c>
    </row>
    <row r="2958" customFormat="false" ht="15.7" hidden="false" customHeight="true" outlineLevel="0" collapsed="false">
      <c r="A2958" s="2"/>
      <c r="B2958" s="3" t="n">
        <f aca="false">DATE(2017,3,21)</f>
        <v>0</v>
      </c>
      <c r="C2958" s="3" t="n">
        <v>42815</v>
      </c>
      <c r="D2958" s="2" t="s">
        <v>22612</v>
      </c>
      <c r="F2958" s="2" t="s">
        <v>22613</v>
      </c>
      <c r="G2958" s="2" t="s">
        <v>22614</v>
      </c>
      <c r="H2958" s="2" t="s">
        <v>22615</v>
      </c>
      <c r="I2958" s="2" t="s">
        <v>22616</v>
      </c>
      <c r="J2958" s="2" t="s">
        <v>116</v>
      </c>
      <c r="K2958" s="2" t="s">
        <v>22612</v>
      </c>
      <c r="L2958" s="2" t="s">
        <v>22616</v>
      </c>
      <c r="M2958" s="2" t="s">
        <v>22615</v>
      </c>
      <c r="N2958" s="2" t="s">
        <v>22617</v>
      </c>
      <c r="O2958" s="2"/>
      <c r="P2958" s="2" t="s">
        <v>37</v>
      </c>
      <c r="Q2958" s="4" t="n">
        <v>8731</v>
      </c>
      <c r="R2958" s="2"/>
      <c r="S2958" s="2"/>
      <c r="T2958" s="2" t="s">
        <v>403</v>
      </c>
      <c r="U2958" s="2" t="s">
        <v>22618</v>
      </c>
      <c r="V2958" s="2"/>
      <c r="W2958" s="2" t="s">
        <v>22619</v>
      </c>
      <c r="X2958" s="2" t="s">
        <v>43</v>
      </c>
      <c r="Y2958" s="2" t="s">
        <v>37</v>
      </c>
      <c r="Z2958" s="2" t="s">
        <v>916</v>
      </c>
      <c r="AA2958" s="2"/>
      <c r="AB2958" s="2"/>
      <c r="AC2958" s="2" t="s">
        <v>22620</v>
      </c>
      <c r="AD2958" s="2" t="s">
        <v>46</v>
      </c>
    </row>
    <row r="2959" customFormat="false" ht="15.7" hidden="false" customHeight="true" outlineLevel="0" collapsed="false">
      <c r="A2959" s="2"/>
      <c r="B2959" s="3" t="n">
        <f aca="false">DATE(2017,3,21)</f>
        <v>0</v>
      </c>
      <c r="C2959" s="3" t="n">
        <v>42815</v>
      </c>
      <c r="D2959" s="2" t="s">
        <v>22621</v>
      </c>
      <c r="F2959" s="2" t="s">
        <v>22622</v>
      </c>
      <c r="G2959" s="2" t="s">
        <v>22623</v>
      </c>
      <c r="H2959" s="2" t="s">
        <v>22624</v>
      </c>
      <c r="I2959" s="2" t="s">
        <v>16182</v>
      </c>
      <c r="J2959" s="2" t="s">
        <v>35</v>
      </c>
      <c r="K2959" s="2" t="s">
        <v>22621</v>
      </c>
      <c r="L2959" s="2" t="s">
        <v>16182</v>
      </c>
      <c r="M2959" s="2" t="s">
        <v>22624</v>
      </c>
      <c r="N2959" s="2" t="s">
        <v>22625</v>
      </c>
      <c r="O2959" s="2"/>
      <c r="P2959" s="2" t="s">
        <v>37</v>
      </c>
      <c r="Q2959" s="4" t="n">
        <v>1731</v>
      </c>
      <c r="R2959" s="2" t="s">
        <v>402</v>
      </c>
      <c r="S2959" s="2" t="s">
        <v>39</v>
      </c>
      <c r="T2959" s="2" t="s">
        <v>403</v>
      </c>
      <c r="U2959" s="2" t="s">
        <v>22626</v>
      </c>
      <c r="V2959" s="2"/>
      <c r="W2959" s="2" t="s">
        <v>22627</v>
      </c>
      <c r="X2959" s="2" t="s">
        <v>46</v>
      </c>
      <c r="Y2959" s="2" t="s">
        <v>37</v>
      </c>
      <c r="Z2959" s="2" t="s">
        <v>987</v>
      </c>
      <c r="AA2959" s="2"/>
      <c r="AB2959" s="2"/>
      <c r="AC2959" s="2" t="s">
        <v>22628</v>
      </c>
      <c r="AD2959" s="2" t="s">
        <v>46</v>
      </c>
    </row>
    <row r="2960" customFormat="false" ht="15.7" hidden="false" customHeight="true" outlineLevel="0" collapsed="false">
      <c r="A2960" s="2"/>
      <c r="B2960" s="3" t="n">
        <f aca="false">DATE(2017,3,27)</f>
        <v>0</v>
      </c>
      <c r="C2960" s="3" t="n">
        <v>42821</v>
      </c>
      <c r="D2960" s="2" t="s">
        <v>22629</v>
      </c>
      <c r="F2960" s="2" t="s">
        <v>22630</v>
      </c>
      <c r="G2960" s="2" t="s">
        <v>22631</v>
      </c>
      <c r="H2960" s="2" t="s">
        <v>22632</v>
      </c>
      <c r="I2960" s="2" t="s">
        <v>21637</v>
      </c>
      <c r="J2960" s="2" t="s">
        <v>35</v>
      </c>
      <c r="K2960" s="2" t="s">
        <v>22629</v>
      </c>
      <c r="L2960" s="2" t="s">
        <v>21637</v>
      </c>
      <c r="M2960" s="2" t="s">
        <v>22632</v>
      </c>
      <c r="N2960" s="2" t="s">
        <v>22633</v>
      </c>
      <c r="O2960" s="2"/>
      <c r="P2960" s="2" t="s">
        <v>37</v>
      </c>
      <c r="Q2960" s="4" t="n">
        <v>8731</v>
      </c>
      <c r="R2960" s="2" t="s">
        <v>2201</v>
      </c>
      <c r="S2960" s="2" t="s">
        <v>39</v>
      </c>
      <c r="T2960" s="2" t="s">
        <v>40</v>
      </c>
      <c r="U2960" s="2" t="s">
        <v>22634</v>
      </c>
      <c r="V2960" s="2"/>
      <c r="W2960" s="2" t="s">
        <v>22635</v>
      </c>
      <c r="X2960" s="2" t="s">
        <v>43</v>
      </c>
      <c r="Y2960" s="2" t="s">
        <v>37</v>
      </c>
      <c r="Z2960" s="2" t="s">
        <v>44</v>
      </c>
      <c r="AA2960" s="2"/>
      <c r="AB2960" s="2"/>
      <c r="AC2960" s="2" t="s">
        <v>22636</v>
      </c>
      <c r="AD2960" s="2" t="s">
        <v>46</v>
      </c>
    </row>
    <row r="2961" customFormat="false" ht="15.7" hidden="false" customHeight="true" outlineLevel="0" collapsed="false">
      <c r="A2961" s="2"/>
      <c r="B2961" s="3" t="n">
        <f aca="false">DATE(2017,3,27)</f>
        <v>0</v>
      </c>
      <c r="C2961" s="3" t="n">
        <v>42821</v>
      </c>
      <c r="D2961" s="2" t="s">
        <v>22637</v>
      </c>
      <c r="F2961" s="2" t="s">
        <v>22638</v>
      </c>
      <c r="G2961" s="2" t="s">
        <v>22639</v>
      </c>
      <c r="H2961" s="2" t="s">
        <v>8712</v>
      </c>
      <c r="I2961" s="2" t="s">
        <v>51</v>
      </c>
      <c r="J2961" s="2" t="s">
        <v>15570</v>
      </c>
      <c r="K2961" s="2" t="s">
        <v>22640</v>
      </c>
      <c r="L2961" s="2" t="s">
        <v>670</v>
      </c>
      <c r="M2961" s="2" t="s">
        <v>22641</v>
      </c>
      <c r="N2961" s="2" t="s">
        <v>22642</v>
      </c>
      <c r="O2961" s="2"/>
      <c r="P2961" s="2" t="s">
        <v>37</v>
      </c>
      <c r="Q2961" s="4" t="n">
        <v>3511</v>
      </c>
      <c r="R2961" s="2" t="s">
        <v>56</v>
      </c>
      <c r="S2961" s="2" t="s">
        <v>360</v>
      </c>
      <c r="T2961" s="2" t="s">
        <v>40</v>
      </c>
      <c r="U2961" s="2" t="s">
        <v>22643</v>
      </c>
      <c r="V2961" s="2"/>
      <c r="W2961" s="2" t="s">
        <v>697</v>
      </c>
      <c r="X2961" s="2" t="s">
        <v>43</v>
      </c>
      <c r="Y2961" s="2" t="s">
        <v>37</v>
      </c>
      <c r="Z2961" s="2" t="s">
        <v>44</v>
      </c>
      <c r="AA2961" s="2"/>
      <c r="AB2961" s="2"/>
      <c r="AC2961" s="2" t="s">
        <v>22644</v>
      </c>
      <c r="AD2961" s="2" t="s">
        <v>46</v>
      </c>
    </row>
    <row r="2962" customFormat="false" ht="15.7" hidden="false" customHeight="true" outlineLevel="0" collapsed="false">
      <c r="A2962" s="2"/>
      <c r="B2962" s="3" t="n">
        <f aca="false">DATE(2017,3,27)</f>
        <v>0</v>
      </c>
      <c r="C2962" s="3" t="n">
        <v>42821</v>
      </c>
      <c r="D2962" s="2" t="s">
        <v>22645</v>
      </c>
      <c r="F2962" s="2" t="s">
        <v>22646</v>
      </c>
      <c r="G2962" s="2" t="s">
        <v>22647</v>
      </c>
      <c r="H2962" s="2" t="s">
        <v>22648</v>
      </c>
      <c r="I2962" s="2" t="s">
        <v>21328</v>
      </c>
      <c r="J2962" s="2" t="s">
        <v>116</v>
      </c>
      <c r="K2962" s="2" t="s">
        <v>22645</v>
      </c>
      <c r="L2962" s="2" t="s">
        <v>21328</v>
      </c>
      <c r="M2962" s="2" t="s">
        <v>22648</v>
      </c>
      <c r="N2962" s="2" t="s">
        <v>22649</v>
      </c>
      <c r="O2962" s="2"/>
      <c r="P2962" s="2" t="s">
        <v>37</v>
      </c>
      <c r="Q2962" s="4" t="n">
        <v>8731</v>
      </c>
      <c r="R2962" s="2" t="s">
        <v>402</v>
      </c>
      <c r="S2962" s="2" t="s">
        <v>39</v>
      </c>
      <c r="T2962" s="2" t="s">
        <v>403</v>
      </c>
      <c r="U2962" s="2" t="s">
        <v>22650</v>
      </c>
      <c r="V2962" s="2"/>
      <c r="W2962" s="2" t="s">
        <v>3235</v>
      </c>
      <c r="X2962" s="2" t="s">
        <v>46</v>
      </c>
      <c r="Y2962" s="2" t="s">
        <v>37</v>
      </c>
      <c r="Z2962" s="2" t="s">
        <v>22651</v>
      </c>
      <c r="AA2962" s="2" t="s">
        <v>22652</v>
      </c>
      <c r="AB2962" s="2"/>
      <c r="AC2962" s="2" t="s">
        <v>22653</v>
      </c>
      <c r="AD2962" s="2" t="s">
        <v>46</v>
      </c>
    </row>
    <row r="2963" customFormat="false" ht="15.7" hidden="false" customHeight="true" outlineLevel="0" collapsed="false">
      <c r="A2963" s="3" t="n">
        <f aca="false">DATE(2017,3,27)</f>
        <v>0</v>
      </c>
      <c r="B2963" s="3" t="n">
        <f aca="false">DATE(2017,3,28)</f>
        <v>0</v>
      </c>
      <c r="C2963" s="3" t="n">
        <v>42822</v>
      </c>
      <c r="D2963" s="2" t="s">
        <v>22654</v>
      </c>
      <c r="F2963" s="2" t="s">
        <v>22655</v>
      </c>
      <c r="G2963" s="2" t="s">
        <v>22656</v>
      </c>
      <c r="H2963" s="2" t="s">
        <v>15354</v>
      </c>
      <c r="I2963" s="2" t="s">
        <v>51</v>
      </c>
      <c r="J2963" s="2" t="s">
        <v>22657</v>
      </c>
      <c r="K2963" s="2" t="s">
        <v>22658</v>
      </c>
      <c r="L2963" s="2" t="s">
        <v>51</v>
      </c>
      <c r="M2963" s="2" t="s">
        <v>15354</v>
      </c>
      <c r="N2963" s="2" t="s">
        <v>22659</v>
      </c>
      <c r="O2963" s="2"/>
      <c r="P2963" s="2" t="s">
        <v>37</v>
      </c>
      <c r="Q2963" s="4" t="n">
        <v>8731</v>
      </c>
      <c r="R2963" s="2" t="s">
        <v>56</v>
      </c>
      <c r="S2963" s="2" t="s">
        <v>3253</v>
      </c>
      <c r="T2963" s="2" t="s">
        <v>40</v>
      </c>
      <c r="U2963" s="2" t="s">
        <v>22660</v>
      </c>
      <c r="V2963" s="2"/>
      <c r="W2963" s="2" t="s">
        <v>42</v>
      </c>
      <c r="X2963" s="2" t="s">
        <v>43</v>
      </c>
      <c r="Y2963" s="2" t="s">
        <v>37</v>
      </c>
      <c r="Z2963" s="2" t="s">
        <v>44</v>
      </c>
      <c r="AA2963" s="2"/>
      <c r="AB2963" s="2"/>
      <c r="AC2963" s="2" t="s">
        <v>22661</v>
      </c>
      <c r="AD2963" s="2" t="s">
        <v>46</v>
      </c>
    </row>
    <row r="2964" customFormat="false" ht="15.7" hidden="false" customHeight="true" outlineLevel="0" collapsed="false">
      <c r="A2964" s="2"/>
      <c r="B2964" s="3" t="n">
        <f aca="false">DATE(2017,3,28)</f>
        <v>0</v>
      </c>
      <c r="C2964" s="3" t="n">
        <v>42822</v>
      </c>
      <c r="D2964" s="2" t="s">
        <v>22662</v>
      </c>
      <c r="F2964" s="2" t="s">
        <v>22663</v>
      </c>
      <c r="G2964" s="2" t="s">
        <v>22664</v>
      </c>
      <c r="H2964" s="2" t="s">
        <v>22665</v>
      </c>
      <c r="I2964" s="2" t="s">
        <v>22666</v>
      </c>
      <c r="J2964" s="2" t="s">
        <v>35</v>
      </c>
      <c r="K2964" s="2" t="s">
        <v>22667</v>
      </c>
      <c r="L2964" s="2" t="s">
        <v>3103</v>
      </c>
      <c r="M2964" s="2" t="s">
        <v>22668</v>
      </c>
      <c r="N2964" s="2" t="s">
        <v>22669</v>
      </c>
      <c r="O2964" s="2"/>
      <c r="P2964" s="2" t="s">
        <v>37</v>
      </c>
      <c r="Q2964" s="4" t="n">
        <v>3479</v>
      </c>
      <c r="R2964" s="2" t="s">
        <v>1402</v>
      </c>
      <c r="S2964" s="2" t="s">
        <v>39</v>
      </c>
      <c r="T2964" s="2" t="s">
        <v>40</v>
      </c>
      <c r="U2964" s="2" t="s">
        <v>22670</v>
      </c>
      <c r="V2964" s="2"/>
      <c r="W2964" s="2" t="s">
        <v>42</v>
      </c>
      <c r="X2964" s="2" t="s">
        <v>43</v>
      </c>
      <c r="Y2964" s="2" t="s">
        <v>37</v>
      </c>
      <c r="Z2964" s="2" t="s">
        <v>44</v>
      </c>
      <c r="AA2964" s="2"/>
      <c r="AB2964" s="2"/>
      <c r="AC2964" s="2" t="s">
        <v>22671</v>
      </c>
      <c r="AD2964" s="2" t="s">
        <v>46</v>
      </c>
    </row>
    <row r="2965" customFormat="false" ht="15.7" hidden="false" customHeight="true" outlineLevel="0" collapsed="false">
      <c r="A2965" s="2"/>
      <c r="B2965" s="3" t="n">
        <f aca="false">DATE(2017,3,29)</f>
        <v>0</v>
      </c>
      <c r="C2965" s="3" t="n">
        <v>42823</v>
      </c>
      <c r="D2965" s="2" t="s">
        <v>22672</v>
      </c>
      <c r="F2965" s="2" t="s">
        <v>22673</v>
      </c>
      <c r="G2965" s="2" t="s">
        <v>22674</v>
      </c>
      <c r="H2965" s="2" t="s">
        <v>22675</v>
      </c>
      <c r="I2965" s="2" t="s">
        <v>540</v>
      </c>
      <c r="J2965" s="2" t="s">
        <v>35</v>
      </c>
      <c r="K2965" s="2" t="s">
        <v>22672</v>
      </c>
      <c r="L2965" s="2" t="s">
        <v>540</v>
      </c>
      <c r="M2965" s="2" t="s">
        <v>22675</v>
      </c>
      <c r="N2965" s="2" t="s">
        <v>22676</v>
      </c>
      <c r="O2965" s="2"/>
      <c r="P2965" s="2" t="s">
        <v>37</v>
      </c>
      <c r="Q2965" s="4" t="n">
        <v>9511</v>
      </c>
      <c r="R2965" s="2" t="s">
        <v>1448</v>
      </c>
      <c r="S2965" s="2" t="s">
        <v>39</v>
      </c>
      <c r="T2965" s="2" t="s">
        <v>403</v>
      </c>
      <c r="U2965" s="2" t="s">
        <v>22677</v>
      </c>
      <c r="V2965" s="2"/>
      <c r="W2965" s="2" t="s">
        <v>22678</v>
      </c>
      <c r="X2965" s="2" t="s">
        <v>46</v>
      </c>
      <c r="Y2965" s="2" t="s">
        <v>37</v>
      </c>
      <c r="Z2965" s="2" t="s">
        <v>44</v>
      </c>
      <c r="AA2965" s="2"/>
      <c r="AB2965" s="2"/>
      <c r="AC2965" s="2" t="s">
        <v>22679</v>
      </c>
      <c r="AD2965" s="2" t="s">
        <v>46</v>
      </c>
    </row>
    <row r="2966" customFormat="false" ht="15.7" hidden="false" customHeight="true" outlineLevel="0" collapsed="false">
      <c r="A2966" s="2"/>
      <c r="B2966" s="3" t="n">
        <f aca="false">DATE(2017,3,29)</f>
        <v>0</v>
      </c>
      <c r="C2966" s="3" t="n">
        <v>42823</v>
      </c>
      <c r="D2966" s="2" t="s">
        <v>22680</v>
      </c>
      <c r="F2966" s="2" t="s">
        <v>22681</v>
      </c>
      <c r="G2966" s="2" t="s">
        <v>22682</v>
      </c>
      <c r="H2966" s="2" t="s">
        <v>22683</v>
      </c>
      <c r="I2966" s="2" t="s">
        <v>100</v>
      </c>
      <c r="J2966" s="2" t="s">
        <v>65</v>
      </c>
      <c r="K2966" s="2" t="s">
        <v>22680</v>
      </c>
      <c r="L2966" s="2" t="s">
        <v>100</v>
      </c>
      <c r="M2966" s="2" t="s">
        <v>22683</v>
      </c>
      <c r="N2966" s="2" t="s">
        <v>22684</v>
      </c>
      <c r="O2966" s="2"/>
      <c r="P2966" s="2" t="s">
        <v>37</v>
      </c>
      <c r="Q2966" s="4" t="n">
        <v>8731</v>
      </c>
      <c r="R2966" s="2" t="s">
        <v>136</v>
      </c>
      <c r="S2966" s="2" t="s">
        <v>39</v>
      </c>
      <c r="T2966" s="2" t="s">
        <v>40</v>
      </c>
      <c r="U2966" s="2" t="s">
        <v>22685</v>
      </c>
      <c r="V2966" s="2"/>
      <c r="W2966" s="2" t="s">
        <v>773</v>
      </c>
      <c r="X2966" s="2" t="s">
        <v>43</v>
      </c>
      <c r="Y2966" s="2" t="s">
        <v>37</v>
      </c>
      <c r="Z2966" s="2" t="s">
        <v>44</v>
      </c>
      <c r="AA2966" s="2"/>
      <c r="AB2966" s="2"/>
      <c r="AC2966" s="2" t="s">
        <v>22686</v>
      </c>
      <c r="AD2966" s="2" t="s">
        <v>46</v>
      </c>
    </row>
    <row r="2967" customFormat="false" ht="15.7" hidden="false" customHeight="true" outlineLevel="0" collapsed="false">
      <c r="A2967" s="2"/>
      <c r="B2967" s="3" t="n">
        <f aca="false">DATE(2017,3,29)</f>
        <v>0</v>
      </c>
      <c r="C2967" s="3" t="n">
        <v>42823</v>
      </c>
      <c r="D2967" s="2" t="s">
        <v>22687</v>
      </c>
      <c r="F2967" s="2" t="s">
        <v>22688</v>
      </c>
      <c r="G2967" s="2" t="s">
        <v>22689</v>
      </c>
      <c r="H2967" s="2" t="s">
        <v>22690</v>
      </c>
      <c r="I2967" s="2" t="s">
        <v>3267</v>
      </c>
      <c r="J2967" s="2" t="s">
        <v>4616</v>
      </c>
      <c r="K2967" s="2" t="s">
        <v>22691</v>
      </c>
      <c r="L2967" s="2" t="s">
        <v>3267</v>
      </c>
      <c r="M2967" s="2" t="s">
        <v>22690</v>
      </c>
      <c r="N2967" s="2" t="s">
        <v>22692</v>
      </c>
      <c r="O2967" s="2"/>
      <c r="P2967" s="2" t="s">
        <v>37</v>
      </c>
      <c r="Q2967" s="4" t="n">
        <v>7011</v>
      </c>
      <c r="R2967" s="2" t="s">
        <v>402</v>
      </c>
      <c r="S2967" s="2" t="s">
        <v>39</v>
      </c>
      <c r="T2967" s="2" t="s">
        <v>403</v>
      </c>
      <c r="U2967" s="2" t="s">
        <v>22693</v>
      </c>
      <c r="V2967" s="2"/>
      <c r="W2967" s="2" t="s">
        <v>22694</v>
      </c>
      <c r="X2967" s="2" t="s">
        <v>46</v>
      </c>
      <c r="Y2967" s="2" t="s">
        <v>37</v>
      </c>
      <c r="Z2967" s="2" t="s">
        <v>987</v>
      </c>
      <c r="AA2967" s="2"/>
      <c r="AB2967" s="2"/>
      <c r="AC2967" s="2" t="s">
        <v>22695</v>
      </c>
      <c r="AD2967" s="2" t="s">
        <v>46</v>
      </c>
    </row>
    <row r="2968" customFormat="false" ht="15.7" hidden="false" customHeight="true" outlineLevel="0" collapsed="false">
      <c r="A2968" s="2"/>
      <c r="B2968" s="3" t="n">
        <f aca="false">DATE(2017,3,30)</f>
        <v>0</v>
      </c>
      <c r="C2968" s="3" t="n">
        <v>42824</v>
      </c>
      <c r="D2968" s="2" t="s">
        <v>22696</v>
      </c>
      <c r="F2968" s="2" t="s">
        <v>22697</v>
      </c>
      <c r="G2968" s="2" t="s">
        <v>22698</v>
      </c>
      <c r="H2968" s="2" t="s">
        <v>130</v>
      </c>
      <c r="I2968" s="2" t="s">
        <v>219</v>
      </c>
      <c r="J2968" s="2" t="s">
        <v>65</v>
      </c>
      <c r="K2968" s="2" t="s">
        <v>22696</v>
      </c>
      <c r="L2968" s="2" t="s">
        <v>219</v>
      </c>
      <c r="M2968" s="2" t="s">
        <v>130</v>
      </c>
      <c r="N2968" s="2" t="s">
        <v>22699</v>
      </c>
      <c r="O2968" s="2"/>
      <c r="P2968" s="2" t="s">
        <v>37</v>
      </c>
      <c r="Q2968" s="4" t="n">
        <v>2834</v>
      </c>
      <c r="R2968" s="2" t="s">
        <v>38</v>
      </c>
      <c r="S2968" s="2" t="s">
        <v>39</v>
      </c>
      <c r="T2968" s="2" t="s">
        <v>40</v>
      </c>
      <c r="U2968" s="2" t="s">
        <v>22700</v>
      </c>
      <c r="V2968" s="2"/>
      <c r="W2968" s="2" t="s">
        <v>22701</v>
      </c>
      <c r="X2968" s="2" t="s">
        <v>43</v>
      </c>
      <c r="Y2968" s="2" t="s">
        <v>37</v>
      </c>
      <c r="Z2968" s="2" t="s">
        <v>44</v>
      </c>
      <c r="AA2968" s="2"/>
      <c r="AB2968" s="2"/>
      <c r="AC2968" s="2" t="s">
        <v>22702</v>
      </c>
      <c r="AD2968" s="2" t="s">
        <v>46</v>
      </c>
    </row>
    <row r="2969" customFormat="false" ht="15.7" hidden="false" customHeight="true" outlineLevel="0" collapsed="false">
      <c r="A2969" s="2"/>
      <c r="B2969" s="3" t="n">
        <f aca="false">DATE(2017,3,30)</f>
        <v>0</v>
      </c>
      <c r="C2969" s="3" t="n">
        <v>42824</v>
      </c>
      <c r="D2969" s="2" t="s">
        <v>22703</v>
      </c>
      <c r="F2969" s="2" t="s">
        <v>22704</v>
      </c>
      <c r="G2969" s="2" t="s">
        <v>22705</v>
      </c>
      <c r="H2969" s="2" t="s">
        <v>305</v>
      </c>
      <c r="I2969" s="2" t="s">
        <v>12227</v>
      </c>
      <c r="J2969" s="2" t="s">
        <v>35</v>
      </c>
      <c r="K2969" s="2" t="s">
        <v>22703</v>
      </c>
      <c r="L2969" s="2" t="s">
        <v>12227</v>
      </c>
      <c r="M2969" s="2" t="s">
        <v>305</v>
      </c>
      <c r="N2969" s="2" t="s">
        <v>22706</v>
      </c>
      <c r="O2969" s="2"/>
      <c r="P2969" s="2" t="s">
        <v>37</v>
      </c>
      <c r="Q2969" s="4" t="n">
        <v>2834</v>
      </c>
      <c r="R2969" s="2" t="s">
        <v>136</v>
      </c>
      <c r="S2969" s="2" t="s">
        <v>39</v>
      </c>
      <c r="T2969" s="2" t="s">
        <v>40</v>
      </c>
      <c r="U2969" s="2" t="s">
        <v>22707</v>
      </c>
      <c r="V2969" s="2"/>
      <c r="W2969" s="2" t="s">
        <v>344</v>
      </c>
      <c r="X2969" s="2" t="s">
        <v>43</v>
      </c>
      <c r="Y2969" s="2" t="s">
        <v>37</v>
      </c>
      <c r="Z2969" s="2" t="s">
        <v>44</v>
      </c>
      <c r="AA2969" s="2"/>
      <c r="AB2969" s="2"/>
      <c r="AC2969" s="2" t="s">
        <v>22708</v>
      </c>
      <c r="AD2969" s="2" t="s">
        <v>46</v>
      </c>
    </row>
    <row r="2970" customFormat="false" ht="15.7" hidden="false" customHeight="true" outlineLevel="0" collapsed="false">
      <c r="A2970" s="3" t="n">
        <f aca="false">DATE(2017,3,29)</f>
        <v>0</v>
      </c>
      <c r="B2970" s="3" t="n">
        <f aca="false">DATE(2017,3,30)</f>
        <v>0</v>
      </c>
      <c r="C2970" s="3" t="n">
        <v>42824</v>
      </c>
      <c r="D2970" s="2" t="s">
        <v>22709</v>
      </c>
      <c r="F2970" s="2" t="s">
        <v>385</v>
      </c>
      <c r="G2970" s="2" t="s">
        <v>22710</v>
      </c>
      <c r="H2970" s="2" t="s">
        <v>387</v>
      </c>
      <c r="I2970" s="2" t="s">
        <v>51</v>
      </c>
      <c r="J2970" s="2" t="s">
        <v>22711</v>
      </c>
      <c r="K2970" s="2" t="s">
        <v>22709</v>
      </c>
      <c r="L2970" s="2" t="s">
        <v>51</v>
      </c>
      <c r="M2970" s="2" t="s">
        <v>387</v>
      </c>
      <c r="N2970" s="2" t="s">
        <v>22712</v>
      </c>
      <c r="O2970" s="2"/>
      <c r="P2970" s="2" t="s">
        <v>37</v>
      </c>
      <c r="Q2970" s="4" t="n">
        <v>6794</v>
      </c>
      <c r="R2970" s="2" t="s">
        <v>56</v>
      </c>
      <c r="S2970" s="2" t="s">
        <v>92</v>
      </c>
      <c r="T2970" s="2" t="s">
        <v>40</v>
      </c>
      <c r="U2970" s="2" t="s">
        <v>22713</v>
      </c>
      <c r="V2970" s="2"/>
      <c r="W2970" s="2" t="s">
        <v>22714</v>
      </c>
      <c r="X2970" s="2" t="s">
        <v>43</v>
      </c>
      <c r="Y2970" s="2" t="s">
        <v>37</v>
      </c>
      <c r="Z2970" s="2" t="s">
        <v>44</v>
      </c>
      <c r="AA2970" s="2"/>
      <c r="AB2970" s="2"/>
      <c r="AC2970" s="2" t="s">
        <v>22715</v>
      </c>
      <c r="AD2970" s="2" t="s">
        <v>46</v>
      </c>
    </row>
    <row r="2971" customFormat="false" ht="15.7" hidden="false" customHeight="true" outlineLevel="0" collapsed="false">
      <c r="A2971" s="2"/>
      <c r="B2971" s="3" t="n">
        <f aca="false">DATE(2017,3,30)</f>
        <v>0</v>
      </c>
      <c r="C2971" s="3" t="n">
        <v>42824</v>
      </c>
      <c r="D2971" s="2" t="s">
        <v>22716</v>
      </c>
      <c r="F2971" s="2" t="s">
        <v>22717</v>
      </c>
      <c r="G2971" s="2" t="s">
        <v>22718</v>
      </c>
      <c r="H2971" s="2" t="s">
        <v>22719</v>
      </c>
      <c r="I2971" s="2" t="s">
        <v>6838</v>
      </c>
      <c r="J2971" s="2" t="s">
        <v>35</v>
      </c>
      <c r="K2971" s="2" t="s">
        <v>22716</v>
      </c>
      <c r="L2971" s="2" t="s">
        <v>6838</v>
      </c>
      <c r="M2971" s="2" t="s">
        <v>22719</v>
      </c>
      <c r="N2971" s="2" t="s">
        <v>22720</v>
      </c>
      <c r="O2971" s="2"/>
      <c r="P2971" s="2" t="s">
        <v>37</v>
      </c>
      <c r="Q2971" s="4" t="n">
        <v>8731</v>
      </c>
      <c r="R2971" s="2" t="s">
        <v>402</v>
      </c>
      <c r="S2971" s="2" t="s">
        <v>39</v>
      </c>
      <c r="T2971" s="2" t="s">
        <v>403</v>
      </c>
      <c r="U2971" s="2" t="s">
        <v>22721</v>
      </c>
      <c r="V2971" s="2"/>
      <c r="W2971" s="2" t="s">
        <v>42</v>
      </c>
      <c r="X2971" s="2" t="s">
        <v>46</v>
      </c>
      <c r="Y2971" s="2" t="s">
        <v>37</v>
      </c>
      <c r="Z2971" s="2" t="s">
        <v>362</v>
      </c>
      <c r="AA2971" s="2"/>
      <c r="AB2971" s="2"/>
      <c r="AC2971" s="2" t="s">
        <v>22722</v>
      </c>
      <c r="AD2971" s="2" t="s">
        <v>46</v>
      </c>
    </row>
    <row r="2972" customFormat="false" ht="15.7" hidden="false" customHeight="true" outlineLevel="0" collapsed="false">
      <c r="A2972" s="2"/>
      <c r="B2972" s="3" t="n">
        <f aca="false">DATE(2017,4,3)</f>
        <v>0</v>
      </c>
      <c r="C2972" s="3" t="n">
        <v>42828</v>
      </c>
      <c r="D2972" s="2" t="s">
        <v>22723</v>
      </c>
      <c r="F2972" s="2" t="s">
        <v>22724</v>
      </c>
      <c r="G2972" s="2" t="s">
        <v>22725</v>
      </c>
      <c r="H2972" s="2" t="s">
        <v>211</v>
      </c>
      <c r="I2972" s="2" t="s">
        <v>163</v>
      </c>
      <c r="J2972" s="2" t="s">
        <v>35</v>
      </c>
      <c r="K2972" s="2" t="s">
        <v>22726</v>
      </c>
      <c r="L2972" s="2" t="s">
        <v>163</v>
      </c>
      <c r="M2972" s="2" t="s">
        <v>211</v>
      </c>
      <c r="N2972" s="2" t="s">
        <v>22727</v>
      </c>
      <c r="O2972" s="2"/>
      <c r="P2972" s="2" t="s">
        <v>37</v>
      </c>
      <c r="Q2972" s="4" t="n">
        <v>8062</v>
      </c>
      <c r="R2972" s="2" t="s">
        <v>105</v>
      </c>
      <c r="S2972" s="2" t="s">
        <v>39</v>
      </c>
      <c r="T2972" s="2" t="s">
        <v>40</v>
      </c>
      <c r="U2972" s="2" t="s">
        <v>22728</v>
      </c>
      <c r="V2972" s="2"/>
      <c r="W2972" s="2" t="s">
        <v>15969</v>
      </c>
      <c r="X2972" s="2" t="s">
        <v>43</v>
      </c>
      <c r="Y2972" s="2" t="s">
        <v>37</v>
      </c>
      <c r="Z2972" s="2" t="s">
        <v>44</v>
      </c>
      <c r="AA2972" s="2"/>
      <c r="AB2972" s="2"/>
      <c r="AC2972" s="2" t="s">
        <v>22729</v>
      </c>
      <c r="AD2972" s="2" t="s">
        <v>46</v>
      </c>
    </row>
    <row r="2973" customFormat="false" ht="15.7" hidden="false" customHeight="true" outlineLevel="0" collapsed="false">
      <c r="A2973" s="2"/>
      <c r="B2973" s="3" t="n">
        <f aca="false">DATE(2017,4,3)</f>
        <v>0</v>
      </c>
      <c r="C2973" s="3" t="n">
        <v>42828</v>
      </c>
      <c r="D2973" s="2" t="s">
        <v>22730</v>
      </c>
      <c r="F2973" s="2" t="s">
        <v>22731</v>
      </c>
      <c r="G2973" s="2" t="s">
        <v>22732</v>
      </c>
      <c r="H2973" s="2" t="s">
        <v>3469</v>
      </c>
      <c r="I2973" s="2" t="s">
        <v>1080</v>
      </c>
      <c r="J2973" s="2" t="s">
        <v>35</v>
      </c>
      <c r="K2973" s="2" t="s">
        <v>22733</v>
      </c>
      <c r="L2973" s="2" t="s">
        <v>1080</v>
      </c>
      <c r="M2973" s="2" t="s">
        <v>170</v>
      </c>
      <c r="N2973" s="2" t="s">
        <v>22734</v>
      </c>
      <c r="O2973" s="2"/>
      <c r="P2973" s="2" t="s">
        <v>37</v>
      </c>
      <c r="Q2973" s="4" t="n">
        <v>8099</v>
      </c>
      <c r="R2973" s="2" t="s">
        <v>2201</v>
      </c>
      <c r="S2973" s="2" t="s">
        <v>39</v>
      </c>
      <c r="T2973" s="2" t="s">
        <v>403</v>
      </c>
      <c r="U2973" s="2" t="s">
        <v>22735</v>
      </c>
      <c r="V2973" s="2"/>
      <c r="W2973" s="2" t="s">
        <v>344</v>
      </c>
      <c r="X2973" s="2" t="s">
        <v>43</v>
      </c>
      <c r="Y2973" s="2" t="s">
        <v>37</v>
      </c>
      <c r="Z2973" s="2" t="s">
        <v>44</v>
      </c>
      <c r="AA2973" s="2"/>
      <c r="AB2973" s="2"/>
      <c r="AC2973" s="2" t="s">
        <v>22736</v>
      </c>
      <c r="AD2973" s="2" t="s">
        <v>46</v>
      </c>
    </row>
    <row r="2974" customFormat="false" ht="15.7" hidden="false" customHeight="true" outlineLevel="0" collapsed="false">
      <c r="A2974" s="2"/>
      <c r="B2974" s="3" t="n">
        <f aca="false">DATE(2017,4,4)</f>
        <v>0</v>
      </c>
      <c r="C2974" s="3" t="n">
        <v>42829</v>
      </c>
      <c r="D2974" s="2" t="s">
        <v>22737</v>
      </c>
      <c r="F2974" s="2" t="s">
        <v>22738</v>
      </c>
      <c r="G2974" s="2" t="s">
        <v>22739</v>
      </c>
      <c r="H2974" s="2" t="s">
        <v>1473</v>
      </c>
      <c r="I2974" s="2" t="s">
        <v>858</v>
      </c>
      <c r="J2974" s="2" t="s">
        <v>35</v>
      </c>
      <c r="K2974" s="2" t="s">
        <v>22737</v>
      </c>
      <c r="L2974" s="2" t="s">
        <v>858</v>
      </c>
      <c r="M2974" s="2" t="s">
        <v>1473</v>
      </c>
      <c r="N2974" s="2" t="s">
        <v>22740</v>
      </c>
      <c r="O2974" s="2"/>
      <c r="P2974" s="2" t="s">
        <v>37</v>
      </c>
      <c r="Q2974" s="4" t="n">
        <v>8099</v>
      </c>
      <c r="R2974" s="2" t="s">
        <v>5704</v>
      </c>
      <c r="S2974" s="2" t="s">
        <v>39</v>
      </c>
      <c r="T2974" s="2" t="s">
        <v>40</v>
      </c>
      <c r="U2974" s="2" t="s">
        <v>22741</v>
      </c>
      <c r="V2974" s="2"/>
      <c r="W2974" s="2" t="s">
        <v>15545</v>
      </c>
      <c r="X2974" s="2" t="s">
        <v>43</v>
      </c>
      <c r="Y2974" s="2" t="s">
        <v>37</v>
      </c>
      <c r="Z2974" s="2" t="s">
        <v>44</v>
      </c>
      <c r="AA2974" s="2"/>
      <c r="AB2974" s="2"/>
      <c r="AC2974" s="2" t="s">
        <v>22742</v>
      </c>
      <c r="AD2974" s="2" t="s">
        <v>46</v>
      </c>
    </row>
    <row r="2975" customFormat="false" ht="15.7" hidden="false" customHeight="true" outlineLevel="0" collapsed="false">
      <c r="A2975" s="2"/>
      <c r="B2975" s="3" t="n">
        <f aca="false">DATE(2017,4,4)</f>
        <v>0</v>
      </c>
      <c r="C2975" s="3" t="n">
        <v>42829</v>
      </c>
      <c r="D2975" s="2" t="s">
        <v>22743</v>
      </c>
      <c r="F2975" s="2" t="s">
        <v>22744</v>
      </c>
      <c r="G2975" s="2" t="s">
        <v>22745</v>
      </c>
      <c r="H2975" s="2" t="s">
        <v>22746</v>
      </c>
      <c r="I2975" s="2" t="s">
        <v>1431</v>
      </c>
      <c r="J2975" s="2" t="s">
        <v>514</v>
      </c>
      <c r="K2975" s="2" t="s">
        <v>22743</v>
      </c>
      <c r="L2975" s="2" t="s">
        <v>1431</v>
      </c>
      <c r="M2975" s="2" t="s">
        <v>22746</v>
      </c>
      <c r="N2975" s="2" t="s">
        <v>22747</v>
      </c>
      <c r="O2975" s="2"/>
      <c r="P2975" s="2" t="s">
        <v>37</v>
      </c>
      <c r="Q2975" s="4" t="n">
        <v>3674</v>
      </c>
      <c r="R2975" s="2" t="s">
        <v>136</v>
      </c>
      <c r="S2975" s="2" t="s">
        <v>39</v>
      </c>
      <c r="T2975" s="2" t="s">
        <v>40</v>
      </c>
      <c r="U2975" s="2" t="s">
        <v>22748</v>
      </c>
      <c r="V2975" s="2"/>
      <c r="W2975" s="2" t="s">
        <v>42</v>
      </c>
      <c r="X2975" s="2" t="s">
        <v>43</v>
      </c>
      <c r="Y2975" s="2" t="s">
        <v>37</v>
      </c>
      <c r="Z2975" s="2" t="s">
        <v>44</v>
      </c>
      <c r="AA2975" s="2"/>
      <c r="AB2975" s="2"/>
      <c r="AC2975" s="2" t="s">
        <v>22749</v>
      </c>
      <c r="AD2975" s="2" t="s">
        <v>46</v>
      </c>
    </row>
    <row r="2976" customFormat="false" ht="15.7" hidden="false" customHeight="true" outlineLevel="0" collapsed="false">
      <c r="A2976" s="2"/>
      <c r="B2976" s="3" t="n">
        <f aca="false">DATE(2017,4,4)</f>
        <v>0</v>
      </c>
      <c r="C2976" s="3" t="n">
        <v>42829</v>
      </c>
      <c r="D2976" s="2" t="s">
        <v>22750</v>
      </c>
      <c r="F2976" s="2" t="s">
        <v>22751</v>
      </c>
      <c r="G2976" s="2" t="s">
        <v>22752</v>
      </c>
      <c r="H2976" s="2" t="s">
        <v>22753</v>
      </c>
      <c r="I2976" s="2" t="s">
        <v>22754</v>
      </c>
      <c r="J2976" s="2" t="s">
        <v>116</v>
      </c>
      <c r="K2976" s="2" t="s">
        <v>22755</v>
      </c>
      <c r="L2976" s="2" t="s">
        <v>22756</v>
      </c>
      <c r="M2976" s="2" t="s">
        <v>22757</v>
      </c>
      <c r="N2976" s="2" t="s">
        <v>22758</v>
      </c>
      <c r="O2976" s="2"/>
      <c r="P2976" s="2" t="s">
        <v>37</v>
      </c>
      <c r="Q2976" s="4" t="n">
        <v>6794</v>
      </c>
      <c r="R2976" s="2" t="s">
        <v>5774</v>
      </c>
      <c r="S2976" s="2" t="s">
        <v>39</v>
      </c>
      <c r="T2976" s="2" t="s">
        <v>40</v>
      </c>
      <c r="U2976" s="2" t="s">
        <v>22759</v>
      </c>
      <c r="V2976" s="2"/>
      <c r="W2976" s="2" t="s">
        <v>20757</v>
      </c>
      <c r="X2976" s="2" t="s">
        <v>43</v>
      </c>
      <c r="Y2976" s="2" t="s">
        <v>37</v>
      </c>
      <c r="Z2976" s="2" t="s">
        <v>916</v>
      </c>
      <c r="AA2976" s="2"/>
      <c r="AB2976" s="2"/>
      <c r="AC2976" s="2" t="s">
        <v>22760</v>
      </c>
      <c r="AD2976" s="2" t="s">
        <v>46</v>
      </c>
    </row>
    <row r="2977" customFormat="false" ht="15.7" hidden="false" customHeight="true" outlineLevel="0" collapsed="false">
      <c r="A2977" s="2"/>
      <c r="B2977" s="3" t="n">
        <f aca="false">DATE(2017,4,4)</f>
        <v>0</v>
      </c>
      <c r="C2977" s="3" t="n">
        <v>42829</v>
      </c>
      <c r="D2977" s="2" t="s">
        <v>22761</v>
      </c>
      <c r="F2977" s="2" t="s">
        <v>20650</v>
      </c>
      <c r="G2977" s="2" t="s">
        <v>22762</v>
      </c>
      <c r="H2977" s="2" t="s">
        <v>130</v>
      </c>
      <c r="I2977" s="2" t="s">
        <v>540</v>
      </c>
      <c r="J2977" s="2" t="s">
        <v>35</v>
      </c>
      <c r="K2977" s="2" t="s">
        <v>22761</v>
      </c>
      <c r="L2977" s="2" t="s">
        <v>540</v>
      </c>
      <c r="M2977" s="2" t="s">
        <v>130</v>
      </c>
      <c r="N2977" s="2" t="s">
        <v>22763</v>
      </c>
      <c r="O2977" s="2"/>
      <c r="P2977" s="2" t="s">
        <v>37</v>
      </c>
      <c r="Q2977" s="4" t="n">
        <v>8099</v>
      </c>
      <c r="R2977" s="2" t="s">
        <v>1448</v>
      </c>
      <c r="S2977" s="2" t="s">
        <v>39</v>
      </c>
      <c r="T2977" s="2" t="s">
        <v>403</v>
      </c>
      <c r="U2977" s="2" t="s">
        <v>22764</v>
      </c>
      <c r="V2977" s="2"/>
      <c r="W2977" s="2" t="s">
        <v>344</v>
      </c>
      <c r="X2977" s="2" t="s">
        <v>46</v>
      </c>
      <c r="Y2977" s="2" t="s">
        <v>37</v>
      </c>
      <c r="Z2977" s="2" t="s">
        <v>44</v>
      </c>
      <c r="AA2977" s="2"/>
      <c r="AB2977" s="2"/>
      <c r="AC2977" s="2" t="s">
        <v>22765</v>
      </c>
      <c r="AD2977" s="2" t="s">
        <v>46</v>
      </c>
    </row>
    <row r="2978" customFormat="false" ht="15.7" hidden="false" customHeight="true" outlineLevel="0" collapsed="false">
      <c r="A2978" s="2"/>
      <c r="B2978" s="3" t="n">
        <f aca="false">DATE(2017,4,5)</f>
        <v>0</v>
      </c>
      <c r="C2978" s="3" t="n">
        <v>42830</v>
      </c>
      <c r="D2978" s="2" t="s">
        <v>22766</v>
      </c>
      <c r="F2978" s="2" t="s">
        <v>20644</v>
      </c>
      <c r="G2978" s="2" t="s">
        <v>22767</v>
      </c>
      <c r="H2978" s="2" t="s">
        <v>305</v>
      </c>
      <c r="I2978" s="2" t="s">
        <v>664</v>
      </c>
      <c r="J2978" s="2" t="s">
        <v>331</v>
      </c>
      <c r="K2978" s="2" t="s">
        <v>22766</v>
      </c>
      <c r="L2978" s="2" t="s">
        <v>664</v>
      </c>
      <c r="M2978" s="2" t="s">
        <v>305</v>
      </c>
      <c r="N2978" s="2" t="s">
        <v>22768</v>
      </c>
      <c r="O2978" s="2"/>
      <c r="P2978" s="2" t="s">
        <v>37</v>
      </c>
      <c r="Q2978" s="4" t="n">
        <v>6794</v>
      </c>
      <c r="R2978" s="2" t="s">
        <v>136</v>
      </c>
      <c r="S2978" s="2" t="s">
        <v>39</v>
      </c>
      <c r="T2978" s="2" t="s">
        <v>2444</v>
      </c>
      <c r="U2978" s="2" t="s">
        <v>22769</v>
      </c>
      <c r="V2978" s="2"/>
      <c r="W2978" s="2" t="s">
        <v>20757</v>
      </c>
      <c r="X2978" s="2" t="s">
        <v>43</v>
      </c>
      <c r="Y2978" s="2" t="s">
        <v>37</v>
      </c>
      <c r="Z2978" s="2" t="s">
        <v>44</v>
      </c>
      <c r="AA2978" s="2"/>
      <c r="AB2978" s="2"/>
      <c r="AC2978" s="2" t="s">
        <v>22770</v>
      </c>
      <c r="AD2978" s="2" t="s">
        <v>46</v>
      </c>
    </row>
    <row r="2979" customFormat="false" ht="15.7" hidden="false" customHeight="true" outlineLevel="0" collapsed="false">
      <c r="A2979" s="2"/>
      <c r="B2979" s="3" t="n">
        <f aca="false">DATE(2017,4,5)</f>
        <v>0</v>
      </c>
      <c r="C2979" s="3" t="n">
        <v>42830</v>
      </c>
      <c r="D2979" s="2" t="s">
        <v>22771</v>
      </c>
      <c r="F2979" s="2" t="s">
        <v>22772</v>
      </c>
      <c r="G2979" s="2" t="s">
        <v>22773</v>
      </c>
      <c r="H2979" s="2" t="s">
        <v>22774</v>
      </c>
      <c r="I2979" s="2" t="s">
        <v>51</v>
      </c>
      <c r="J2979" s="2" t="s">
        <v>22775</v>
      </c>
      <c r="K2979" s="2" t="s">
        <v>22771</v>
      </c>
      <c r="L2979" s="2" t="s">
        <v>51</v>
      </c>
      <c r="M2979" s="2" t="s">
        <v>22774</v>
      </c>
      <c r="N2979" s="2" t="s">
        <v>22776</v>
      </c>
      <c r="O2979" s="2"/>
      <c r="P2979" s="2" t="s">
        <v>37</v>
      </c>
      <c r="Q2979" s="4" t="n">
        <v>8099</v>
      </c>
      <c r="R2979" s="2" t="s">
        <v>56</v>
      </c>
      <c r="S2979" s="2"/>
      <c r="T2979" s="2" t="s">
        <v>40</v>
      </c>
      <c r="U2979" s="2" t="s">
        <v>22777</v>
      </c>
      <c r="V2979" s="2"/>
      <c r="W2979" s="2" t="s">
        <v>22778</v>
      </c>
      <c r="X2979" s="2" t="s">
        <v>43</v>
      </c>
      <c r="Y2979" s="2" t="s">
        <v>37</v>
      </c>
      <c r="Z2979" s="2" t="s">
        <v>44</v>
      </c>
      <c r="AA2979" s="2"/>
      <c r="AB2979" s="2"/>
      <c r="AC2979" s="2" t="s">
        <v>22779</v>
      </c>
      <c r="AD2979" s="2" t="s">
        <v>46</v>
      </c>
    </row>
    <row r="2980" customFormat="false" ht="15.7" hidden="false" customHeight="true" outlineLevel="0" collapsed="false">
      <c r="A2980" s="2"/>
      <c r="B2980" s="3" t="n">
        <f aca="false">DATE(2017,4,6)</f>
        <v>0</v>
      </c>
      <c r="C2980" s="3" t="n">
        <v>42831</v>
      </c>
      <c r="D2980" s="2" t="s">
        <v>22780</v>
      </c>
      <c r="F2980" s="2" t="s">
        <v>22781</v>
      </c>
      <c r="G2980" s="2" t="s">
        <v>22782</v>
      </c>
      <c r="H2980" s="2" t="s">
        <v>22783</v>
      </c>
      <c r="I2980" s="2" t="s">
        <v>2530</v>
      </c>
      <c r="J2980" s="2" t="s">
        <v>8887</v>
      </c>
      <c r="K2980" s="2" t="s">
        <v>22784</v>
      </c>
      <c r="L2980" s="2" t="s">
        <v>2530</v>
      </c>
      <c r="M2980" s="2" t="s">
        <v>22783</v>
      </c>
      <c r="N2980" s="2" t="s">
        <v>22785</v>
      </c>
      <c r="O2980" s="2"/>
      <c r="P2980" s="2" t="s">
        <v>37</v>
      </c>
      <c r="Q2980" s="4" t="n">
        <v>6794</v>
      </c>
      <c r="R2980" s="2" t="s">
        <v>136</v>
      </c>
      <c r="S2980" s="2" t="s">
        <v>39</v>
      </c>
      <c r="T2980" s="2" t="s">
        <v>40</v>
      </c>
      <c r="U2980" s="2" t="s">
        <v>22786</v>
      </c>
      <c r="V2980" s="2"/>
      <c r="W2980" s="2" t="s">
        <v>15545</v>
      </c>
      <c r="X2980" s="2" t="s">
        <v>43</v>
      </c>
      <c r="Y2980" s="2" t="s">
        <v>37</v>
      </c>
      <c r="Z2980" s="2" t="s">
        <v>916</v>
      </c>
      <c r="AA2980" s="2"/>
      <c r="AB2980" s="2"/>
      <c r="AC2980" s="2" t="s">
        <v>22787</v>
      </c>
      <c r="AD2980" s="2" t="s">
        <v>46</v>
      </c>
    </row>
    <row r="2981" customFormat="false" ht="15.7" hidden="false" customHeight="true" outlineLevel="0" collapsed="false">
      <c r="A2981" s="2"/>
      <c r="B2981" s="3" t="n">
        <f aca="false">DATE(2017,4,6)</f>
        <v>0</v>
      </c>
      <c r="C2981" s="3" t="n">
        <v>42831</v>
      </c>
      <c r="D2981" s="2" t="s">
        <v>22788</v>
      </c>
      <c r="F2981" s="2" t="s">
        <v>22789</v>
      </c>
      <c r="G2981" s="2" t="s">
        <v>22790</v>
      </c>
      <c r="H2981" s="2" t="s">
        <v>1027</v>
      </c>
      <c r="I2981" s="2" t="s">
        <v>11840</v>
      </c>
      <c r="J2981" s="2" t="s">
        <v>1456</v>
      </c>
      <c r="K2981" s="2" t="s">
        <v>22788</v>
      </c>
      <c r="L2981" s="2" t="s">
        <v>11840</v>
      </c>
      <c r="M2981" s="2" t="s">
        <v>1027</v>
      </c>
      <c r="N2981" s="2" t="s">
        <v>22791</v>
      </c>
      <c r="O2981" s="2"/>
      <c r="P2981" s="2" t="s">
        <v>37</v>
      </c>
      <c r="Q2981" s="4" t="n">
        <v>8731</v>
      </c>
      <c r="R2981" s="2" t="s">
        <v>136</v>
      </c>
      <c r="S2981" s="2" t="s">
        <v>39</v>
      </c>
      <c r="T2981" s="2" t="s">
        <v>40</v>
      </c>
      <c r="U2981" s="2" t="s">
        <v>22792</v>
      </c>
      <c r="V2981" s="2"/>
      <c r="W2981" s="2" t="s">
        <v>42</v>
      </c>
      <c r="X2981" s="2" t="s">
        <v>43</v>
      </c>
      <c r="Y2981" s="2" t="s">
        <v>37</v>
      </c>
      <c r="Z2981" s="2" t="s">
        <v>44</v>
      </c>
      <c r="AA2981" s="2"/>
      <c r="AB2981" s="2"/>
      <c r="AC2981" s="2" t="s">
        <v>22793</v>
      </c>
      <c r="AD2981" s="2" t="s">
        <v>46</v>
      </c>
    </row>
    <row r="2982" customFormat="false" ht="15.7" hidden="false" customHeight="true" outlineLevel="0" collapsed="false">
      <c r="A2982" s="2"/>
      <c r="B2982" s="3" t="n">
        <f aca="false">DATE(2017,4,6)</f>
        <v>0</v>
      </c>
      <c r="C2982" s="3" t="n">
        <v>42831</v>
      </c>
      <c r="D2982" s="2" t="s">
        <v>22794</v>
      </c>
      <c r="F2982" s="2" t="s">
        <v>22795</v>
      </c>
      <c r="G2982" s="2" t="s">
        <v>22796</v>
      </c>
      <c r="H2982" s="2" t="s">
        <v>22797</v>
      </c>
      <c r="I2982" s="2" t="s">
        <v>568</v>
      </c>
      <c r="J2982" s="2" t="s">
        <v>625</v>
      </c>
      <c r="K2982" s="2" t="s">
        <v>22798</v>
      </c>
      <c r="L2982" s="2" t="s">
        <v>568</v>
      </c>
      <c r="M2982" s="2" t="s">
        <v>19781</v>
      </c>
      <c r="N2982" s="2" t="s">
        <v>22799</v>
      </c>
      <c r="O2982" s="2"/>
      <c r="P2982" s="2" t="s">
        <v>37</v>
      </c>
      <c r="Q2982" s="4" t="n">
        <v>7372</v>
      </c>
      <c r="R2982" s="2" t="s">
        <v>136</v>
      </c>
      <c r="S2982" s="2" t="s">
        <v>39</v>
      </c>
      <c r="T2982" s="2" t="s">
        <v>40</v>
      </c>
      <c r="U2982" s="2" t="s">
        <v>22800</v>
      </c>
      <c r="V2982" s="2"/>
      <c r="W2982" s="2" t="s">
        <v>22801</v>
      </c>
      <c r="X2982" s="2" t="s">
        <v>43</v>
      </c>
      <c r="Y2982" s="2" t="s">
        <v>37</v>
      </c>
      <c r="Z2982" s="2" t="s">
        <v>44</v>
      </c>
      <c r="AA2982" s="2"/>
      <c r="AB2982" s="2"/>
      <c r="AC2982" s="2" t="s">
        <v>22802</v>
      </c>
      <c r="AD2982" s="2" t="s">
        <v>46</v>
      </c>
    </row>
    <row r="2983" customFormat="false" ht="15.7" hidden="false" customHeight="true" outlineLevel="0" collapsed="false">
      <c r="A2983" s="2"/>
      <c r="B2983" s="3" t="n">
        <f aca="false">DATE(2017,4,10)</f>
        <v>0</v>
      </c>
      <c r="C2983" s="3" t="n">
        <v>42835</v>
      </c>
      <c r="D2983" s="2" t="s">
        <v>22803</v>
      </c>
      <c r="F2983" s="2" t="s">
        <v>22804</v>
      </c>
      <c r="G2983" s="2" t="s">
        <v>22805</v>
      </c>
      <c r="H2983" s="2" t="s">
        <v>814</v>
      </c>
      <c r="I2983" s="2" t="s">
        <v>1645</v>
      </c>
      <c r="J2983" s="2" t="s">
        <v>35</v>
      </c>
      <c r="K2983" s="2" t="s">
        <v>22803</v>
      </c>
      <c r="L2983" s="2" t="s">
        <v>1645</v>
      </c>
      <c r="M2983" s="2" t="s">
        <v>814</v>
      </c>
      <c r="N2983" s="2" t="s">
        <v>22806</v>
      </c>
      <c r="O2983" s="2"/>
      <c r="P2983" s="2" t="s">
        <v>37</v>
      </c>
      <c r="Q2983" s="4" t="n">
        <v>2835</v>
      </c>
      <c r="R2983" s="2" t="s">
        <v>1402</v>
      </c>
      <c r="S2983" s="2" t="s">
        <v>39</v>
      </c>
      <c r="T2983" s="2" t="s">
        <v>403</v>
      </c>
      <c r="U2983" s="2" t="s">
        <v>22807</v>
      </c>
      <c r="V2983" s="2"/>
      <c r="W2983" s="2" t="s">
        <v>15969</v>
      </c>
      <c r="X2983" s="2" t="s">
        <v>46</v>
      </c>
      <c r="Y2983" s="2" t="s">
        <v>37</v>
      </c>
      <c r="Z2983" s="2" t="s">
        <v>362</v>
      </c>
      <c r="AA2983" s="2"/>
      <c r="AB2983" s="2"/>
      <c r="AC2983" s="2" t="s">
        <v>22808</v>
      </c>
      <c r="AD2983" s="2" t="s">
        <v>46</v>
      </c>
    </row>
    <row r="2984" customFormat="false" ht="15.7" hidden="false" customHeight="true" outlineLevel="0" collapsed="false">
      <c r="A2984" s="2"/>
      <c r="B2984" s="3" t="n">
        <f aca="false">DATE(2017,4,10)</f>
        <v>0</v>
      </c>
      <c r="C2984" s="3" t="n">
        <v>42835</v>
      </c>
      <c r="D2984" s="2" t="s">
        <v>22809</v>
      </c>
      <c r="F2984" s="2" t="s">
        <v>22810</v>
      </c>
      <c r="G2984" s="2" t="s">
        <v>22811</v>
      </c>
      <c r="H2984" s="2" t="s">
        <v>22812</v>
      </c>
      <c r="I2984" s="2" t="s">
        <v>22813</v>
      </c>
      <c r="J2984" s="2" t="s">
        <v>35</v>
      </c>
      <c r="K2984" s="2" t="s">
        <v>22809</v>
      </c>
      <c r="L2984" s="2" t="s">
        <v>22813</v>
      </c>
      <c r="M2984" s="2" t="s">
        <v>22812</v>
      </c>
      <c r="N2984" s="2" t="s">
        <v>22814</v>
      </c>
      <c r="O2984" s="2"/>
      <c r="P2984" s="2" t="s">
        <v>37</v>
      </c>
      <c r="Q2984" s="4" t="n">
        <v>8731</v>
      </c>
      <c r="R2984" s="2" t="s">
        <v>1402</v>
      </c>
      <c r="S2984" s="2" t="s">
        <v>39</v>
      </c>
      <c r="T2984" s="2" t="s">
        <v>40</v>
      </c>
      <c r="U2984" s="2" t="s">
        <v>22815</v>
      </c>
      <c r="V2984" s="2"/>
      <c r="W2984" s="2" t="s">
        <v>2636</v>
      </c>
      <c r="X2984" s="2" t="s">
        <v>43</v>
      </c>
      <c r="Y2984" s="2" t="s">
        <v>37</v>
      </c>
      <c r="Z2984" s="2" t="s">
        <v>44</v>
      </c>
      <c r="AA2984" s="2"/>
      <c r="AB2984" s="2"/>
      <c r="AC2984" s="2" t="s">
        <v>22816</v>
      </c>
      <c r="AD2984" s="2" t="s">
        <v>46</v>
      </c>
    </row>
    <row r="2985" customFormat="false" ht="15.7" hidden="false" customHeight="true" outlineLevel="0" collapsed="false">
      <c r="A2985" s="2"/>
      <c r="B2985" s="3" t="n">
        <f aca="false">DATE(2017,4,10)</f>
        <v>0</v>
      </c>
      <c r="C2985" s="3" t="n">
        <v>42835</v>
      </c>
      <c r="D2985" s="2" t="s">
        <v>22817</v>
      </c>
      <c r="F2985" s="2" t="s">
        <v>20280</v>
      </c>
      <c r="G2985" s="2" t="s">
        <v>22818</v>
      </c>
      <c r="H2985" s="2" t="s">
        <v>170</v>
      </c>
      <c r="I2985" s="2" t="s">
        <v>2727</v>
      </c>
      <c r="J2985" s="2" t="s">
        <v>35</v>
      </c>
      <c r="K2985" s="2" t="s">
        <v>22817</v>
      </c>
      <c r="L2985" s="2" t="s">
        <v>2727</v>
      </c>
      <c r="M2985" s="2" t="s">
        <v>170</v>
      </c>
      <c r="N2985" s="2" t="s">
        <v>22819</v>
      </c>
      <c r="O2985" s="2"/>
      <c r="P2985" s="2" t="s">
        <v>37</v>
      </c>
      <c r="Q2985" s="4" t="n">
        <v>8731</v>
      </c>
      <c r="R2985" s="2" t="s">
        <v>402</v>
      </c>
      <c r="S2985" s="2" t="s">
        <v>39</v>
      </c>
      <c r="T2985" s="2" t="s">
        <v>40</v>
      </c>
      <c r="U2985" s="2" t="s">
        <v>22820</v>
      </c>
      <c r="V2985" s="2"/>
      <c r="W2985" s="2" t="s">
        <v>42</v>
      </c>
      <c r="X2985" s="2" t="s">
        <v>43</v>
      </c>
      <c r="Y2985" s="2" t="s">
        <v>37</v>
      </c>
      <c r="Z2985" s="2" t="s">
        <v>44</v>
      </c>
      <c r="AA2985" s="2"/>
      <c r="AB2985" s="2"/>
      <c r="AC2985" s="2" t="s">
        <v>22821</v>
      </c>
      <c r="AD2985" s="2" t="s">
        <v>46</v>
      </c>
    </row>
    <row r="2986" customFormat="false" ht="15.7" hidden="false" customHeight="true" outlineLevel="0" collapsed="false">
      <c r="A2986" s="2"/>
      <c r="B2986" s="3" t="n">
        <f aca="false">DATE(2017,4,11)</f>
        <v>0</v>
      </c>
      <c r="C2986" s="3" t="n">
        <v>42836</v>
      </c>
      <c r="D2986" s="2" t="s">
        <v>22822</v>
      </c>
      <c r="F2986" s="2" t="s">
        <v>22823</v>
      </c>
      <c r="G2986" s="2" t="s">
        <v>22824</v>
      </c>
      <c r="H2986" s="2" t="s">
        <v>3703</v>
      </c>
      <c r="I2986" s="2" t="s">
        <v>51</v>
      </c>
      <c r="J2986" s="2" t="s">
        <v>5565</v>
      </c>
      <c r="K2986" s="2" t="s">
        <v>22822</v>
      </c>
      <c r="L2986" s="2" t="s">
        <v>51</v>
      </c>
      <c r="M2986" s="2" t="s">
        <v>3703</v>
      </c>
      <c r="N2986" s="2" t="s">
        <v>22825</v>
      </c>
      <c r="O2986" s="2"/>
      <c r="P2986" s="2" t="s">
        <v>37</v>
      </c>
      <c r="Q2986" s="4" t="n">
        <v>8731</v>
      </c>
      <c r="R2986" s="2" t="s">
        <v>56</v>
      </c>
      <c r="S2986" s="2" t="s">
        <v>92</v>
      </c>
      <c r="T2986" s="2" t="s">
        <v>40</v>
      </c>
      <c r="U2986" s="2" t="s">
        <v>22826</v>
      </c>
      <c r="V2986" s="2"/>
      <c r="W2986" s="2" t="s">
        <v>42</v>
      </c>
      <c r="X2986" s="2" t="s">
        <v>43</v>
      </c>
      <c r="Y2986" s="2" t="s">
        <v>37</v>
      </c>
      <c r="Z2986" s="2" t="s">
        <v>44</v>
      </c>
      <c r="AA2986" s="2"/>
      <c r="AB2986" s="2"/>
      <c r="AC2986" s="2" t="s">
        <v>22827</v>
      </c>
      <c r="AD2986" s="2" t="s">
        <v>46</v>
      </c>
    </row>
    <row r="2987" customFormat="false" ht="15.7" hidden="false" customHeight="true" outlineLevel="0" collapsed="false">
      <c r="A2987" s="2"/>
      <c r="B2987" s="3" t="n">
        <f aca="false">DATE(2017,4,11)</f>
        <v>0</v>
      </c>
      <c r="C2987" s="3" t="n">
        <v>42836</v>
      </c>
      <c r="D2987" s="2" t="s">
        <v>22828</v>
      </c>
      <c r="F2987" s="2" t="s">
        <v>17957</v>
      </c>
      <c r="G2987" s="2" t="s">
        <v>22829</v>
      </c>
      <c r="H2987" s="2" t="s">
        <v>1020</v>
      </c>
      <c r="I2987" s="2" t="s">
        <v>22830</v>
      </c>
      <c r="J2987" s="2" t="s">
        <v>35</v>
      </c>
      <c r="K2987" s="2" t="s">
        <v>22831</v>
      </c>
      <c r="L2987" s="2" t="s">
        <v>163</v>
      </c>
      <c r="M2987" s="2" t="s">
        <v>1715</v>
      </c>
      <c r="N2987" s="2" t="s">
        <v>22832</v>
      </c>
      <c r="O2987" s="2"/>
      <c r="P2987" s="2" t="s">
        <v>37</v>
      </c>
      <c r="Q2987" s="4" t="n">
        <v>6794</v>
      </c>
      <c r="R2987" s="2" t="s">
        <v>136</v>
      </c>
      <c r="S2987" s="2" t="s">
        <v>39</v>
      </c>
      <c r="T2987" s="2" t="s">
        <v>40</v>
      </c>
      <c r="U2987" s="2" t="s">
        <v>22833</v>
      </c>
      <c r="V2987" s="2"/>
      <c r="W2987" s="2" t="s">
        <v>82</v>
      </c>
      <c r="X2987" s="2" t="s">
        <v>43</v>
      </c>
      <c r="Y2987" s="2" t="s">
        <v>37</v>
      </c>
      <c r="Z2987" s="2" t="s">
        <v>44</v>
      </c>
      <c r="AA2987" s="2"/>
      <c r="AB2987" s="2"/>
      <c r="AC2987" s="2" t="s">
        <v>22834</v>
      </c>
      <c r="AD2987" s="2" t="s">
        <v>46</v>
      </c>
    </row>
    <row r="2988" customFormat="false" ht="15.7" hidden="false" customHeight="true" outlineLevel="0" collapsed="false">
      <c r="A2988" s="2"/>
      <c r="B2988" s="3" t="n">
        <f aca="false">DATE(2017,4,11)</f>
        <v>0</v>
      </c>
      <c r="C2988" s="3" t="n">
        <v>42836</v>
      </c>
      <c r="D2988" s="2" t="s">
        <v>22835</v>
      </c>
      <c r="F2988" s="2" t="s">
        <v>22836</v>
      </c>
      <c r="G2988" s="2" t="s">
        <v>22837</v>
      </c>
      <c r="H2988" s="2" t="s">
        <v>3840</v>
      </c>
      <c r="I2988" s="2" t="s">
        <v>4325</v>
      </c>
      <c r="J2988" s="2" t="s">
        <v>35</v>
      </c>
      <c r="K2988" s="2" t="s">
        <v>22838</v>
      </c>
      <c r="L2988" s="2" t="s">
        <v>4325</v>
      </c>
      <c r="M2988" s="2" t="s">
        <v>21833</v>
      </c>
      <c r="N2988" s="2" t="s">
        <v>22839</v>
      </c>
      <c r="O2988" s="2" t="s">
        <v>22840</v>
      </c>
      <c r="P2988" s="2" t="s">
        <v>37</v>
      </c>
      <c r="Q2988" s="4" t="n">
        <v>8099</v>
      </c>
      <c r="R2988" s="2" t="s">
        <v>402</v>
      </c>
      <c r="S2988" s="2" t="s">
        <v>39</v>
      </c>
      <c r="T2988" s="2" t="s">
        <v>40</v>
      </c>
      <c r="U2988" s="2" t="s">
        <v>22841</v>
      </c>
      <c r="V2988" s="2"/>
      <c r="W2988" s="2" t="s">
        <v>4487</v>
      </c>
      <c r="X2988" s="2" t="s">
        <v>46</v>
      </c>
      <c r="Y2988" s="2" t="s">
        <v>37</v>
      </c>
      <c r="Z2988" s="2" t="s">
        <v>987</v>
      </c>
      <c r="AA2988" s="2" t="s">
        <v>22842</v>
      </c>
      <c r="AB2988" s="2" t="s">
        <v>22843</v>
      </c>
      <c r="AC2988" s="2" t="s">
        <v>22844</v>
      </c>
      <c r="AD2988" s="2" t="s">
        <v>46</v>
      </c>
    </row>
    <row r="2989" customFormat="false" ht="15.7" hidden="false" customHeight="true" outlineLevel="0" collapsed="false">
      <c r="A2989" s="2"/>
      <c r="B2989" s="3" t="n">
        <f aca="false">DATE(2017,4,11)</f>
        <v>0</v>
      </c>
      <c r="C2989" s="3" t="n">
        <v>42836</v>
      </c>
      <c r="D2989" s="2" t="s">
        <v>22845</v>
      </c>
      <c r="F2989" s="2" t="s">
        <v>22846</v>
      </c>
      <c r="G2989" s="2" t="s">
        <v>22847</v>
      </c>
      <c r="H2989" s="2" t="s">
        <v>22848</v>
      </c>
      <c r="I2989" s="2" t="s">
        <v>4325</v>
      </c>
      <c r="J2989" s="2" t="s">
        <v>35</v>
      </c>
      <c r="K2989" s="2" t="s">
        <v>22849</v>
      </c>
      <c r="L2989" s="2" t="s">
        <v>4325</v>
      </c>
      <c r="M2989" s="2" t="s">
        <v>1574</v>
      </c>
      <c r="N2989" s="2" t="s">
        <v>22850</v>
      </c>
      <c r="O2989" s="2"/>
      <c r="P2989" s="2" t="s">
        <v>37</v>
      </c>
      <c r="Q2989" s="4" t="n">
        <v>5099</v>
      </c>
      <c r="R2989" s="2" t="s">
        <v>402</v>
      </c>
      <c r="S2989" s="2" t="s">
        <v>39</v>
      </c>
      <c r="T2989" s="2" t="s">
        <v>403</v>
      </c>
      <c r="U2989" s="2" t="s">
        <v>22851</v>
      </c>
      <c r="V2989" s="2"/>
      <c r="W2989" s="2" t="s">
        <v>22852</v>
      </c>
      <c r="X2989" s="2" t="s">
        <v>46</v>
      </c>
      <c r="Y2989" s="2" t="s">
        <v>37</v>
      </c>
      <c r="Z2989" s="2" t="s">
        <v>3495</v>
      </c>
      <c r="AA2989" s="2" t="s">
        <v>22853</v>
      </c>
      <c r="AB2989" s="2"/>
      <c r="AC2989" s="2" t="s">
        <v>22854</v>
      </c>
      <c r="AD2989" s="2" t="s">
        <v>46</v>
      </c>
    </row>
    <row r="2990" customFormat="false" ht="15.7" hidden="false" customHeight="true" outlineLevel="0" collapsed="false">
      <c r="A2990" s="2"/>
      <c r="B2990" s="3" t="n">
        <f aca="false">DATE(2017,4,11)</f>
        <v>0</v>
      </c>
      <c r="C2990" s="3" t="n">
        <v>42836</v>
      </c>
      <c r="D2990" s="2" t="s">
        <v>22855</v>
      </c>
      <c r="F2990" s="2" t="s">
        <v>22856</v>
      </c>
      <c r="G2990" s="2" t="s">
        <v>22857</v>
      </c>
      <c r="H2990" s="2" t="s">
        <v>6913</v>
      </c>
      <c r="I2990" s="2" t="s">
        <v>51</v>
      </c>
      <c r="J2990" s="2" t="s">
        <v>2633</v>
      </c>
      <c r="K2990" s="2" t="s">
        <v>22855</v>
      </c>
      <c r="L2990" s="2" t="s">
        <v>51</v>
      </c>
      <c r="M2990" s="2" t="s">
        <v>6913</v>
      </c>
      <c r="N2990" s="2" t="s">
        <v>22858</v>
      </c>
      <c r="O2990" s="2"/>
      <c r="P2990" s="2" t="s">
        <v>37</v>
      </c>
      <c r="Q2990" s="4" t="n">
        <v>6794</v>
      </c>
      <c r="R2990" s="2" t="s">
        <v>136</v>
      </c>
      <c r="S2990" s="2" t="s">
        <v>39</v>
      </c>
      <c r="T2990" s="2" t="s">
        <v>40</v>
      </c>
      <c r="U2990" s="2" t="s">
        <v>22859</v>
      </c>
      <c r="V2990" s="2"/>
      <c r="W2990" s="2" t="s">
        <v>15545</v>
      </c>
      <c r="X2990" s="2" t="s">
        <v>43</v>
      </c>
      <c r="Y2990" s="2" t="s">
        <v>37</v>
      </c>
      <c r="Z2990" s="2" t="s">
        <v>44</v>
      </c>
      <c r="AA2990" s="2"/>
      <c r="AB2990" s="2"/>
      <c r="AC2990" s="2" t="s">
        <v>22860</v>
      </c>
      <c r="AD2990" s="2" t="s">
        <v>46</v>
      </c>
    </row>
    <row r="2991" customFormat="false" ht="15.7" hidden="false" customHeight="true" outlineLevel="0" collapsed="false">
      <c r="A2991" s="2"/>
      <c r="B2991" s="3" t="n">
        <f aca="false">DATE(2017,4,13)</f>
        <v>0</v>
      </c>
      <c r="C2991" s="3" t="n">
        <v>42838</v>
      </c>
      <c r="D2991" s="2" t="s">
        <v>22861</v>
      </c>
      <c r="F2991" s="2" t="s">
        <v>22862</v>
      </c>
      <c r="G2991" s="2" t="s">
        <v>22863</v>
      </c>
      <c r="H2991" s="2" t="s">
        <v>1020</v>
      </c>
      <c r="I2991" s="2" t="s">
        <v>568</v>
      </c>
      <c r="J2991" s="2" t="s">
        <v>22864</v>
      </c>
      <c r="K2991" s="2" t="s">
        <v>22861</v>
      </c>
      <c r="L2991" s="2" t="s">
        <v>568</v>
      </c>
      <c r="M2991" s="2" t="s">
        <v>1020</v>
      </c>
      <c r="N2991" s="2" t="s">
        <v>22865</v>
      </c>
      <c r="O2991" s="2"/>
      <c r="P2991" s="2" t="s">
        <v>37</v>
      </c>
      <c r="Q2991" s="4" t="n">
        <v>8731</v>
      </c>
      <c r="R2991" s="2" t="s">
        <v>136</v>
      </c>
      <c r="S2991" s="2" t="s">
        <v>39</v>
      </c>
      <c r="T2991" s="2" t="s">
        <v>40</v>
      </c>
      <c r="U2991" s="2" t="s">
        <v>22866</v>
      </c>
      <c r="V2991" s="2"/>
      <c r="W2991" s="2" t="s">
        <v>42</v>
      </c>
      <c r="X2991" s="2" t="s">
        <v>43</v>
      </c>
      <c r="Y2991" s="2" t="s">
        <v>37</v>
      </c>
      <c r="Z2991" s="2" t="s">
        <v>44</v>
      </c>
      <c r="AA2991" s="2"/>
      <c r="AB2991" s="2"/>
      <c r="AC2991" s="2" t="s">
        <v>22867</v>
      </c>
      <c r="AD2991" s="2" t="s">
        <v>46</v>
      </c>
    </row>
    <row r="2992" customFormat="false" ht="15.7" hidden="false" customHeight="true" outlineLevel="0" collapsed="false">
      <c r="A2992" s="2"/>
      <c r="B2992" s="3" t="n">
        <f aca="false">DATE(2017,4,17)</f>
        <v>0</v>
      </c>
      <c r="C2992" s="3" t="n">
        <v>42842</v>
      </c>
      <c r="D2992" s="2" t="s">
        <v>22868</v>
      </c>
      <c r="F2992" s="2" t="s">
        <v>22869</v>
      </c>
      <c r="G2992" s="2" t="s">
        <v>22870</v>
      </c>
      <c r="H2992" s="2" t="s">
        <v>16129</v>
      </c>
      <c r="I2992" s="2" t="s">
        <v>51</v>
      </c>
      <c r="J2992" s="2" t="s">
        <v>3176</v>
      </c>
      <c r="K2992" s="2" t="s">
        <v>22868</v>
      </c>
      <c r="L2992" s="2" t="s">
        <v>51</v>
      </c>
      <c r="M2992" s="2" t="s">
        <v>16129</v>
      </c>
      <c r="N2992" s="2" t="s">
        <v>22871</v>
      </c>
      <c r="O2992" s="2"/>
      <c r="P2992" s="2" t="s">
        <v>37</v>
      </c>
      <c r="Q2992" s="4" t="n">
        <v>8731</v>
      </c>
      <c r="R2992" s="2" t="s">
        <v>56</v>
      </c>
      <c r="S2992" s="2"/>
      <c r="T2992" s="2" t="s">
        <v>40</v>
      </c>
      <c r="U2992" s="2" t="s">
        <v>22872</v>
      </c>
      <c r="V2992" s="2"/>
      <c r="W2992" s="2" t="s">
        <v>42</v>
      </c>
      <c r="X2992" s="2" t="s">
        <v>43</v>
      </c>
      <c r="Y2992" s="2" t="s">
        <v>37</v>
      </c>
      <c r="Z2992" s="2" t="s">
        <v>44</v>
      </c>
      <c r="AA2992" s="2"/>
      <c r="AB2992" s="2"/>
      <c r="AC2992" s="2" t="s">
        <v>22873</v>
      </c>
      <c r="AD2992" s="2" t="s">
        <v>46</v>
      </c>
    </row>
    <row r="2993" customFormat="false" ht="15.7" hidden="false" customHeight="true" outlineLevel="0" collapsed="false">
      <c r="A2993" s="2"/>
      <c r="B2993" s="3" t="n">
        <f aca="false">DATE(2017,4,17)</f>
        <v>0</v>
      </c>
      <c r="C2993" s="3" t="n">
        <v>42842</v>
      </c>
      <c r="D2993" s="2" t="s">
        <v>22874</v>
      </c>
      <c r="F2993" s="2" t="s">
        <v>10714</v>
      </c>
      <c r="G2993" s="2" t="s">
        <v>22875</v>
      </c>
      <c r="H2993" s="2" t="s">
        <v>305</v>
      </c>
      <c r="I2993" s="2" t="s">
        <v>670</v>
      </c>
      <c r="J2993" s="2" t="s">
        <v>575</v>
      </c>
      <c r="K2993" s="2" t="s">
        <v>22874</v>
      </c>
      <c r="L2993" s="2" t="s">
        <v>670</v>
      </c>
      <c r="M2993" s="2" t="s">
        <v>305</v>
      </c>
      <c r="N2993" s="2" t="s">
        <v>22876</v>
      </c>
      <c r="O2993" s="2"/>
      <c r="P2993" s="2" t="s">
        <v>37</v>
      </c>
      <c r="Q2993" s="4" t="n">
        <v>8071</v>
      </c>
      <c r="R2993" s="2" t="s">
        <v>56</v>
      </c>
      <c r="S2993" s="2" t="s">
        <v>2265</v>
      </c>
      <c r="T2993" s="2" t="s">
        <v>40</v>
      </c>
      <c r="U2993" s="2" t="s">
        <v>22877</v>
      </c>
      <c r="V2993" s="2"/>
      <c r="W2993" s="2" t="s">
        <v>82</v>
      </c>
      <c r="X2993" s="2" t="s">
        <v>43</v>
      </c>
      <c r="Y2993" s="2" t="s">
        <v>37</v>
      </c>
      <c r="Z2993" s="2" t="s">
        <v>44</v>
      </c>
      <c r="AA2993" s="2"/>
      <c r="AB2993" s="2"/>
      <c r="AC2993" s="2" t="s">
        <v>22878</v>
      </c>
      <c r="AD2993" s="2" t="s">
        <v>46</v>
      </c>
    </row>
    <row r="2994" customFormat="false" ht="15.7" hidden="false" customHeight="true" outlineLevel="0" collapsed="false">
      <c r="A2994" s="2"/>
      <c r="B2994" s="3" t="n">
        <f aca="false">DATE(2017,4,18)</f>
        <v>0</v>
      </c>
      <c r="C2994" s="3" t="n">
        <v>42843</v>
      </c>
      <c r="D2994" s="2" t="s">
        <v>22879</v>
      </c>
      <c r="F2994" s="2" t="s">
        <v>22880</v>
      </c>
      <c r="G2994" s="2" t="s">
        <v>22881</v>
      </c>
      <c r="H2994" s="2" t="s">
        <v>170</v>
      </c>
      <c r="I2994" s="2" t="s">
        <v>7705</v>
      </c>
      <c r="J2994" s="2" t="s">
        <v>35</v>
      </c>
      <c r="K2994" s="2" t="s">
        <v>22879</v>
      </c>
      <c r="L2994" s="2" t="s">
        <v>7705</v>
      </c>
      <c r="M2994" s="2" t="s">
        <v>170</v>
      </c>
      <c r="N2994" s="2" t="s">
        <v>22882</v>
      </c>
      <c r="O2994" s="2"/>
      <c r="P2994" s="2" t="s">
        <v>37</v>
      </c>
      <c r="Q2994" s="4" t="n">
        <v>6794</v>
      </c>
      <c r="R2994" s="2" t="s">
        <v>136</v>
      </c>
      <c r="S2994" s="2" t="s">
        <v>39</v>
      </c>
      <c r="T2994" s="2" t="s">
        <v>40</v>
      </c>
      <c r="U2994" s="2" t="s">
        <v>22883</v>
      </c>
      <c r="V2994" s="2"/>
      <c r="W2994" s="2" t="s">
        <v>82</v>
      </c>
      <c r="X2994" s="2" t="s">
        <v>43</v>
      </c>
      <c r="Y2994" s="2" t="s">
        <v>37</v>
      </c>
      <c r="Z2994" s="2" t="s">
        <v>44</v>
      </c>
      <c r="AA2994" s="2"/>
      <c r="AB2994" s="2"/>
      <c r="AC2994" s="2" t="s">
        <v>22884</v>
      </c>
      <c r="AD2994" s="2" t="s">
        <v>46</v>
      </c>
    </row>
    <row r="2995" customFormat="false" ht="15.7" hidden="false" customHeight="true" outlineLevel="0" collapsed="false">
      <c r="A2995" s="2"/>
      <c r="B2995" s="3" t="n">
        <f aca="false">DATE(2017,4,18)</f>
        <v>0</v>
      </c>
      <c r="C2995" s="3" t="n">
        <v>42843</v>
      </c>
      <c r="D2995" s="2" t="s">
        <v>22885</v>
      </c>
      <c r="F2995" s="2" t="s">
        <v>22886</v>
      </c>
      <c r="G2995" s="2" t="s">
        <v>22887</v>
      </c>
      <c r="H2995" s="2" t="s">
        <v>22888</v>
      </c>
      <c r="I2995" s="2" t="s">
        <v>51</v>
      </c>
      <c r="J2995" s="2" t="s">
        <v>16046</v>
      </c>
      <c r="K2995" s="2" t="s">
        <v>22889</v>
      </c>
      <c r="L2995" s="2" t="s">
        <v>51</v>
      </c>
      <c r="M2995" s="2" t="s">
        <v>22890</v>
      </c>
      <c r="N2995" s="2" t="s">
        <v>22891</v>
      </c>
      <c r="O2995" s="2"/>
      <c r="P2995" s="2" t="s">
        <v>37</v>
      </c>
      <c r="Q2995" s="4" t="n">
        <v>8731</v>
      </c>
      <c r="R2995" s="2" t="s">
        <v>136</v>
      </c>
      <c r="S2995" s="2" t="s">
        <v>39</v>
      </c>
      <c r="T2995" s="2" t="s">
        <v>40</v>
      </c>
      <c r="U2995" s="2" t="s">
        <v>22892</v>
      </c>
      <c r="V2995" s="2"/>
      <c r="W2995" s="2" t="s">
        <v>22893</v>
      </c>
      <c r="X2995" s="2" t="s">
        <v>43</v>
      </c>
      <c r="Y2995" s="2" t="s">
        <v>37</v>
      </c>
      <c r="Z2995" s="2" t="s">
        <v>44</v>
      </c>
      <c r="AA2995" s="2"/>
      <c r="AB2995" s="2"/>
      <c r="AC2995" s="2" t="s">
        <v>22894</v>
      </c>
      <c r="AD2995" s="2" t="s">
        <v>46</v>
      </c>
    </row>
    <row r="2996" customFormat="false" ht="15.7" hidden="false" customHeight="true" outlineLevel="0" collapsed="false">
      <c r="A2996" s="2"/>
      <c r="B2996" s="3" t="n">
        <f aca="false">DATE(2017,4,18)</f>
        <v>0</v>
      </c>
      <c r="C2996" s="3" t="n">
        <v>42843</v>
      </c>
      <c r="D2996" s="2" t="s">
        <v>22895</v>
      </c>
      <c r="F2996" s="2" t="s">
        <v>22896</v>
      </c>
      <c r="G2996" s="2" t="s">
        <v>22897</v>
      </c>
      <c r="H2996" s="2" t="s">
        <v>22898</v>
      </c>
      <c r="I2996" s="2" t="s">
        <v>34</v>
      </c>
      <c r="J2996" s="2" t="s">
        <v>35</v>
      </c>
      <c r="K2996" s="2" t="s">
        <v>22895</v>
      </c>
      <c r="L2996" s="2" t="s">
        <v>34</v>
      </c>
      <c r="M2996" s="2" t="s">
        <v>22898</v>
      </c>
      <c r="N2996" s="2" t="s">
        <v>22899</v>
      </c>
      <c r="O2996" s="2"/>
      <c r="P2996" s="2" t="s">
        <v>37</v>
      </c>
      <c r="Q2996" s="4" t="n">
        <v>8731</v>
      </c>
      <c r="R2996" s="2" t="s">
        <v>38</v>
      </c>
      <c r="S2996" s="2" t="s">
        <v>39</v>
      </c>
      <c r="T2996" s="2" t="s">
        <v>40</v>
      </c>
      <c r="U2996" s="2" t="s">
        <v>22900</v>
      </c>
      <c r="V2996" s="2"/>
      <c r="W2996" s="2" t="s">
        <v>42</v>
      </c>
      <c r="X2996" s="2" t="s">
        <v>43</v>
      </c>
      <c r="Y2996" s="2" t="s">
        <v>37</v>
      </c>
      <c r="Z2996" s="2" t="s">
        <v>44</v>
      </c>
      <c r="AA2996" s="2"/>
      <c r="AB2996" s="2"/>
      <c r="AC2996" s="2" t="s">
        <v>22901</v>
      </c>
      <c r="AD2996" s="2" t="s">
        <v>46</v>
      </c>
    </row>
    <row r="2997" customFormat="false" ht="15.7" hidden="false" customHeight="true" outlineLevel="0" collapsed="false">
      <c r="A2997" s="2"/>
      <c r="B2997" s="3" t="n">
        <f aca="false">DATE(2017,4,19)</f>
        <v>0</v>
      </c>
      <c r="C2997" s="3" t="n">
        <v>42844</v>
      </c>
      <c r="D2997" s="2" t="s">
        <v>22902</v>
      </c>
      <c r="F2997" s="2" t="s">
        <v>22903</v>
      </c>
      <c r="G2997" s="2" t="s">
        <v>22904</v>
      </c>
      <c r="H2997" s="2" t="s">
        <v>20307</v>
      </c>
      <c r="I2997" s="2" t="s">
        <v>51</v>
      </c>
      <c r="J2997" s="2" t="s">
        <v>22905</v>
      </c>
      <c r="K2997" s="2" t="s">
        <v>22902</v>
      </c>
      <c r="L2997" s="2" t="s">
        <v>51</v>
      </c>
      <c r="M2997" s="2" t="s">
        <v>20307</v>
      </c>
      <c r="N2997" s="2" t="s">
        <v>22906</v>
      </c>
      <c r="O2997" s="2"/>
      <c r="P2997" s="2" t="s">
        <v>37</v>
      </c>
      <c r="Q2997" s="4" t="n">
        <v>3679</v>
      </c>
      <c r="R2997" s="2" t="s">
        <v>136</v>
      </c>
      <c r="S2997" s="2" t="s">
        <v>39</v>
      </c>
      <c r="T2997" s="2" t="s">
        <v>40</v>
      </c>
      <c r="U2997" s="2" t="s">
        <v>22907</v>
      </c>
      <c r="V2997" s="2"/>
      <c r="W2997" s="2" t="s">
        <v>82</v>
      </c>
      <c r="X2997" s="2" t="s">
        <v>43</v>
      </c>
      <c r="Y2997" s="2" t="s">
        <v>37</v>
      </c>
      <c r="Z2997" s="2" t="s">
        <v>44</v>
      </c>
      <c r="AA2997" s="2"/>
      <c r="AB2997" s="2"/>
      <c r="AC2997" s="2" t="s">
        <v>22908</v>
      </c>
      <c r="AD2997" s="2" t="s">
        <v>46</v>
      </c>
    </row>
    <row r="2998" customFormat="false" ht="15.7" hidden="false" customHeight="true" outlineLevel="0" collapsed="false">
      <c r="A2998" s="2"/>
      <c r="B2998" s="3" t="n">
        <f aca="false">DATE(2017,4,20)</f>
        <v>0</v>
      </c>
      <c r="C2998" s="3" t="n">
        <v>42845</v>
      </c>
      <c r="D2998" s="2" t="s">
        <v>22909</v>
      </c>
      <c r="F2998" s="2" t="s">
        <v>22910</v>
      </c>
      <c r="G2998" s="2" t="s">
        <v>22911</v>
      </c>
      <c r="H2998" s="2" t="s">
        <v>22912</v>
      </c>
      <c r="I2998" s="2" t="s">
        <v>410</v>
      </c>
      <c r="J2998" s="2" t="s">
        <v>132</v>
      </c>
      <c r="K2998" s="2" t="s">
        <v>22913</v>
      </c>
      <c r="L2998" s="2" t="s">
        <v>410</v>
      </c>
      <c r="M2998" s="2" t="s">
        <v>22914</v>
      </c>
      <c r="N2998" s="2" t="s">
        <v>22915</v>
      </c>
      <c r="O2998" s="2"/>
      <c r="P2998" s="2" t="s">
        <v>37</v>
      </c>
      <c r="Q2998" s="4" t="n">
        <v>3999</v>
      </c>
      <c r="R2998" s="2" t="s">
        <v>56</v>
      </c>
      <c r="S2998" s="2"/>
      <c r="T2998" s="2" t="s">
        <v>40</v>
      </c>
      <c r="U2998" s="2" t="s">
        <v>22916</v>
      </c>
      <c r="V2998" s="2"/>
      <c r="W2998" s="2" t="s">
        <v>107</v>
      </c>
      <c r="X2998" s="2" t="s">
        <v>43</v>
      </c>
      <c r="Y2998" s="2" t="s">
        <v>37</v>
      </c>
      <c r="Z2998" s="2" t="s">
        <v>44</v>
      </c>
      <c r="AA2998" s="2"/>
      <c r="AB2998" s="2"/>
      <c r="AC2998" s="2" t="s">
        <v>22917</v>
      </c>
      <c r="AD2998" s="2" t="s">
        <v>46</v>
      </c>
    </row>
    <row r="2999" customFormat="false" ht="15.7" hidden="false" customHeight="true" outlineLevel="0" collapsed="false">
      <c r="A2999" s="2"/>
      <c r="B2999" s="3" t="n">
        <f aca="false">DATE(2017,4,20)</f>
        <v>0</v>
      </c>
      <c r="C2999" s="3" t="n">
        <v>42845</v>
      </c>
      <c r="D2999" s="2" t="s">
        <v>22918</v>
      </c>
      <c r="F2999" s="2" t="s">
        <v>22919</v>
      </c>
      <c r="G2999" s="2" t="s">
        <v>22920</v>
      </c>
      <c r="H2999" s="2" t="s">
        <v>1027</v>
      </c>
      <c r="I2999" s="2" t="s">
        <v>20997</v>
      </c>
      <c r="J2999" s="2" t="s">
        <v>35</v>
      </c>
      <c r="K2999" s="2" t="s">
        <v>22921</v>
      </c>
      <c r="L2999" s="2" t="s">
        <v>20997</v>
      </c>
      <c r="M2999" s="2" t="s">
        <v>9318</v>
      </c>
      <c r="N2999" s="2" t="s">
        <v>22922</v>
      </c>
      <c r="O2999" s="2"/>
      <c r="P2999" s="2" t="s">
        <v>37</v>
      </c>
      <c r="Q2999" s="4" t="n">
        <v>2836</v>
      </c>
      <c r="R2999" s="2" t="s">
        <v>1402</v>
      </c>
      <c r="S2999" s="2" t="s">
        <v>39</v>
      </c>
      <c r="T2999" s="2" t="s">
        <v>40</v>
      </c>
      <c r="U2999" s="2" t="s">
        <v>22923</v>
      </c>
      <c r="V2999" s="2"/>
      <c r="W2999" s="2" t="s">
        <v>344</v>
      </c>
      <c r="X2999" s="2" t="s">
        <v>43</v>
      </c>
      <c r="Y2999" s="2" t="s">
        <v>37</v>
      </c>
      <c r="Z2999" s="2" t="s">
        <v>44</v>
      </c>
      <c r="AA2999" s="2"/>
      <c r="AB2999" s="2"/>
      <c r="AC2999" s="2" t="s">
        <v>22924</v>
      </c>
      <c r="AD2999" s="2" t="s">
        <v>46</v>
      </c>
    </row>
    <row r="3000" customFormat="false" ht="15.7" hidden="false" customHeight="true" outlineLevel="0" collapsed="false">
      <c r="A3000" s="2"/>
      <c r="B3000" s="3" t="n">
        <f aca="false">DATE(2017,4,20)</f>
        <v>0</v>
      </c>
      <c r="C3000" s="3" t="n">
        <v>42845</v>
      </c>
      <c r="D3000" s="2" t="s">
        <v>22925</v>
      </c>
      <c r="F3000" s="2" t="s">
        <v>22926</v>
      </c>
      <c r="G3000" s="2" t="s">
        <v>22927</v>
      </c>
      <c r="H3000" s="2" t="s">
        <v>22928</v>
      </c>
      <c r="I3000" s="2" t="s">
        <v>296</v>
      </c>
      <c r="J3000" s="2" t="s">
        <v>1456</v>
      </c>
      <c r="K3000" s="2" t="s">
        <v>22925</v>
      </c>
      <c r="L3000" s="2" t="s">
        <v>296</v>
      </c>
      <c r="M3000" s="2" t="s">
        <v>22928</v>
      </c>
      <c r="N3000" s="2" t="s">
        <v>22929</v>
      </c>
      <c r="O3000" s="2"/>
      <c r="P3000" s="2" t="s">
        <v>37</v>
      </c>
      <c r="Q3000" s="4" t="n">
        <v>8731</v>
      </c>
      <c r="R3000" s="2" t="s">
        <v>1448</v>
      </c>
      <c r="S3000" s="2" t="s">
        <v>39</v>
      </c>
      <c r="T3000" s="2" t="s">
        <v>403</v>
      </c>
      <c r="U3000" s="2" t="s">
        <v>22930</v>
      </c>
      <c r="V3000" s="2"/>
      <c r="W3000" s="2" t="s">
        <v>42</v>
      </c>
      <c r="X3000" s="2" t="s">
        <v>46</v>
      </c>
      <c r="Y3000" s="2" t="s">
        <v>37</v>
      </c>
      <c r="Z3000" s="2" t="s">
        <v>1211</v>
      </c>
      <c r="AA3000" s="2"/>
      <c r="AB3000" s="2"/>
      <c r="AC3000" s="2" t="s">
        <v>22931</v>
      </c>
      <c r="AD3000" s="2" t="s">
        <v>46</v>
      </c>
    </row>
    <row r="3001" customFormat="false" ht="15.7" hidden="false" customHeight="true" outlineLevel="0" collapsed="false">
      <c r="A3001" s="2"/>
      <c r="B3001" s="3" t="n">
        <f aca="false">DATE(2017,4,21)</f>
        <v>0</v>
      </c>
      <c r="C3001" s="3" t="n">
        <v>42846</v>
      </c>
      <c r="D3001" s="2" t="s">
        <v>22932</v>
      </c>
      <c r="F3001" s="2" t="s">
        <v>22933</v>
      </c>
      <c r="G3001" s="2" t="s">
        <v>22934</v>
      </c>
      <c r="H3001" s="2" t="s">
        <v>22935</v>
      </c>
      <c r="I3001" s="2" t="s">
        <v>1080</v>
      </c>
      <c r="J3001" s="2" t="s">
        <v>35</v>
      </c>
      <c r="K3001" s="2" t="s">
        <v>22936</v>
      </c>
      <c r="L3001" s="2" t="s">
        <v>5173</v>
      </c>
      <c r="M3001" s="2" t="s">
        <v>22935</v>
      </c>
      <c r="N3001" s="2" t="s">
        <v>22937</v>
      </c>
      <c r="O3001" s="2"/>
      <c r="P3001" s="2" t="s">
        <v>37</v>
      </c>
      <c r="Q3001" s="4" t="n">
        <v>8731</v>
      </c>
      <c r="R3001" s="2" t="s">
        <v>136</v>
      </c>
      <c r="S3001" s="2" t="s">
        <v>39</v>
      </c>
      <c r="T3001" s="2" t="s">
        <v>40</v>
      </c>
      <c r="U3001" s="2" t="s">
        <v>22938</v>
      </c>
      <c r="V3001" s="2"/>
      <c r="W3001" s="2" t="s">
        <v>382</v>
      </c>
      <c r="X3001" s="2" t="s">
        <v>43</v>
      </c>
      <c r="Y3001" s="2" t="s">
        <v>37</v>
      </c>
      <c r="Z3001" s="2" t="s">
        <v>44</v>
      </c>
      <c r="AA3001" s="2"/>
      <c r="AB3001" s="2"/>
      <c r="AC3001" s="2" t="s">
        <v>22939</v>
      </c>
      <c r="AD3001" s="2" t="s">
        <v>46</v>
      </c>
    </row>
    <row r="3002" customFormat="false" ht="15.7" hidden="false" customHeight="true" outlineLevel="0" collapsed="false">
      <c r="A3002" s="2"/>
      <c r="B3002" s="3" t="n">
        <f aca="false">DATE(2017,4,22)</f>
        <v>0</v>
      </c>
      <c r="C3002" s="3" t="n">
        <v>42847</v>
      </c>
      <c r="D3002" s="2" t="s">
        <v>22940</v>
      </c>
      <c r="F3002" s="2" t="s">
        <v>22941</v>
      </c>
      <c r="G3002" s="2" t="s">
        <v>22942</v>
      </c>
      <c r="H3002" s="2" t="s">
        <v>22943</v>
      </c>
      <c r="I3002" s="2" t="s">
        <v>22944</v>
      </c>
      <c r="J3002" s="2" t="s">
        <v>35</v>
      </c>
      <c r="K3002" s="2" t="s">
        <v>22940</v>
      </c>
      <c r="L3002" s="2" t="s">
        <v>22944</v>
      </c>
      <c r="M3002" s="2" t="s">
        <v>22943</v>
      </c>
      <c r="N3002" s="2" t="s">
        <v>22945</v>
      </c>
      <c r="O3002" s="2"/>
      <c r="P3002" s="2" t="s">
        <v>37</v>
      </c>
      <c r="Q3002" s="4" t="n">
        <v>8299</v>
      </c>
      <c r="R3002" s="2" t="s">
        <v>450</v>
      </c>
      <c r="S3002" s="2" t="s">
        <v>39</v>
      </c>
      <c r="T3002" s="2" t="s">
        <v>40</v>
      </c>
      <c r="U3002" s="2" t="s">
        <v>22946</v>
      </c>
      <c r="V3002" s="2"/>
      <c r="W3002" s="2" t="s">
        <v>21677</v>
      </c>
      <c r="X3002" s="2" t="s">
        <v>43</v>
      </c>
      <c r="Y3002" s="2" t="s">
        <v>37</v>
      </c>
      <c r="Z3002" s="2" t="s">
        <v>44</v>
      </c>
      <c r="AA3002" s="2"/>
      <c r="AB3002" s="2"/>
      <c r="AC3002" s="2" t="s">
        <v>22947</v>
      </c>
      <c r="AD3002" s="2" t="s">
        <v>46</v>
      </c>
    </row>
    <row r="3003" customFormat="false" ht="15.7" hidden="false" customHeight="true" outlineLevel="0" collapsed="false">
      <c r="A3003" s="2"/>
      <c r="B3003" s="3" t="n">
        <f aca="false">DATE(2017,4,25)</f>
        <v>0</v>
      </c>
      <c r="C3003" s="3" t="n">
        <v>42850</v>
      </c>
      <c r="D3003" s="2" t="s">
        <v>22948</v>
      </c>
      <c r="F3003" s="2" t="s">
        <v>22949</v>
      </c>
      <c r="G3003" s="2" t="s">
        <v>22950</v>
      </c>
      <c r="H3003" s="2" t="s">
        <v>22951</v>
      </c>
      <c r="I3003" s="2" t="s">
        <v>51</v>
      </c>
      <c r="J3003" s="2" t="s">
        <v>22952</v>
      </c>
      <c r="K3003" s="2" t="s">
        <v>22948</v>
      </c>
      <c r="L3003" s="2" t="s">
        <v>51</v>
      </c>
      <c r="M3003" s="2" t="s">
        <v>22951</v>
      </c>
      <c r="N3003" s="2" t="s">
        <v>22953</v>
      </c>
      <c r="O3003" s="2"/>
      <c r="P3003" s="2" t="s">
        <v>37</v>
      </c>
      <c r="Q3003" s="4" t="n">
        <v>5099</v>
      </c>
      <c r="R3003" s="2" t="s">
        <v>56</v>
      </c>
      <c r="S3003" s="2"/>
      <c r="T3003" s="2" t="s">
        <v>40</v>
      </c>
      <c r="U3003" s="2" t="s">
        <v>22954</v>
      </c>
      <c r="V3003" s="2"/>
      <c r="W3003" s="2" t="s">
        <v>3244</v>
      </c>
      <c r="X3003" s="2" t="s">
        <v>43</v>
      </c>
      <c r="Y3003" s="2" t="s">
        <v>37</v>
      </c>
      <c r="Z3003" s="2" t="s">
        <v>44</v>
      </c>
      <c r="AA3003" s="2"/>
      <c r="AB3003" s="2"/>
      <c r="AC3003" s="2" t="s">
        <v>22955</v>
      </c>
      <c r="AD3003" s="2" t="s">
        <v>46</v>
      </c>
    </row>
    <row r="3004" customFormat="false" ht="15.7" hidden="false" customHeight="true" outlineLevel="0" collapsed="false">
      <c r="A3004" s="2"/>
      <c r="B3004" s="3" t="n">
        <f aca="false">DATE(2017,4,25)</f>
        <v>0</v>
      </c>
      <c r="C3004" s="3" t="n">
        <v>42850</v>
      </c>
      <c r="D3004" s="2" t="s">
        <v>22956</v>
      </c>
      <c r="F3004" s="2" t="s">
        <v>22957</v>
      </c>
      <c r="G3004" s="2" t="s">
        <v>22958</v>
      </c>
      <c r="H3004" s="2" t="s">
        <v>22959</v>
      </c>
      <c r="I3004" s="2" t="s">
        <v>13937</v>
      </c>
      <c r="J3004" s="2" t="s">
        <v>132</v>
      </c>
      <c r="K3004" s="2" t="s">
        <v>22956</v>
      </c>
      <c r="L3004" s="2" t="s">
        <v>13937</v>
      </c>
      <c r="M3004" s="2" t="s">
        <v>22959</v>
      </c>
      <c r="N3004" s="2" t="s">
        <v>22960</v>
      </c>
      <c r="O3004" s="2"/>
      <c r="P3004" s="2" t="s">
        <v>37</v>
      </c>
      <c r="Q3004" s="4" t="n">
        <v>3721</v>
      </c>
      <c r="R3004" s="2" t="s">
        <v>136</v>
      </c>
      <c r="S3004" s="2" t="s">
        <v>39</v>
      </c>
      <c r="T3004" s="2" t="s">
        <v>40</v>
      </c>
      <c r="U3004" s="2" t="s">
        <v>22961</v>
      </c>
      <c r="V3004" s="2"/>
      <c r="W3004" s="2" t="s">
        <v>22962</v>
      </c>
      <c r="X3004" s="2" t="s">
        <v>43</v>
      </c>
      <c r="Y3004" s="2" t="s">
        <v>37</v>
      </c>
      <c r="Z3004" s="2" t="s">
        <v>44</v>
      </c>
      <c r="AA3004" s="2"/>
      <c r="AB3004" s="2"/>
      <c r="AC3004" s="2" t="s">
        <v>22963</v>
      </c>
      <c r="AD3004" s="2" t="s">
        <v>46</v>
      </c>
    </row>
    <row r="3005" customFormat="false" ht="15.7" hidden="false" customHeight="true" outlineLevel="0" collapsed="false">
      <c r="A3005" s="3" t="n">
        <f aca="false">DATE(2017,4,24)</f>
        <v>0</v>
      </c>
      <c r="B3005" s="3" t="n">
        <f aca="false">DATE(2017,4,25)</f>
        <v>0</v>
      </c>
      <c r="C3005" s="3" t="n">
        <v>42850</v>
      </c>
      <c r="D3005" s="2" t="s">
        <v>22964</v>
      </c>
      <c r="F3005" s="2" t="s">
        <v>22965</v>
      </c>
      <c r="G3005" s="2" t="s">
        <v>22966</v>
      </c>
      <c r="H3005" s="2" t="s">
        <v>5818</v>
      </c>
      <c r="I3005" s="2" t="s">
        <v>487</v>
      </c>
      <c r="J3005" s="2" t="s">
        <v>795</v>
      </c>
      <c r="K3005" s="2" t="s">
        <v>22967</v>
      </c>
      <c r="L3005" s="2" t="s">
        <v>22968</v>
      </c>
      <c r="M3005" s="2" t="s">
        <v>5818</v>
      </c>
      <c r="N3005" s="2" t="s">
        <v>22969</v>
      </c>
      <c r="O3005" s="2"/>
      <c r="P3005" s="2" t="s">
        <v>37</v>
      </c>
      <c r="Q3005" s="4" t="n">
        <v>6794</v>
      </c>
      <c r="R3005" s="2"/>
      <c r="S3005" s="2"/>
      <c r="T3005" s="2" t="s">
        <v>40</v>
      </c>
      <c r="U3005" s="2" t="s">
        <v>22970</v>
      </c>
      <c r="V3005" s="2"/>
      <c r="W3005" s="2" t="s">
        <v>22971</v>
      </c>
      <c r="X3005" s="2" t="s">
        <v>43</v>
      </c>
      <c r="Y3005" s="2" t="s">
        <v>37</v>
      </c>
      <c r="Z3005" s="2" t="s">
        <v>44</v>
      </c>
      <c r="AA3005" s="2"/>
      <c r="AB3005" s="2"/>
      <c r="AC3005" s="2" t="s">
        <v>22972</v>
      </c>
      <c r="AD3005" s="2" t="s">
        <v>46</v>
      </c>
    </row>
    <row r="3006" customFormat="false" ht="15.7" hidden="false" customHeight="true" outlineLevel="0" collapsed="false">
      <c r="A3006" s="2"/>
      <c r="B3006" s="3" t="n">
        <f aca="false">DATE(2017,4,26)</f>
        <v>0</v>
      </c>
      <c r="C3006" s="3" t="n">
        <v>42851</v>
      </c>
      <c r="D3006" s="2" t="s">
        <v>22973</v>
      </c>
      <c r="F3006" s="2" t="s">
        <v>22974</v>
      </c>
      <c r="G3006" s="2" t="s">
        <v>22975</v>
      </c>
      <c r="H3006" s="2" t="s">
        <v>22976</v>
      </c>
      <c r="I3006" s="2" t="s">
        <v>685</v>
      </c>
      <c r="J3006" s="2" t="s">
        <v>35</v>
      </c>
      <c r="K3006" s="2" t="s">
        <v>22977</v>
      </c>
      <c r="L3006" s="2" t="s">
        <v>685</v>
      </c>
      <c r="M3006" s="2" t="s">
        <v>22978</v>
      </c>
      <c r="N3006" s="2" t="s">
        <v>22979</v>
      </c>
      <c r="O3006" s="2"/>
      <c r="P3006" s="2" t="s">
        <v>37</v>
      </c>
      <c r="Q3006" s="4" t="n">
        <v>2721</v>
      </c>
      <c r="R3006" s="2" t="s">
        <v>688</v>
      </c>
      <c r="S3006" s="2" t="s">
        <v>39</v>
      </c>
      <c r="T3006" s="2" t="s">
        <v>40</v>
      </c>
      <c r="U3006" s="2" t="s">
        <v>22980</v>
      </c>
      <c r="V3006" s="2"/>
      <c r="W3006" s="2" t="s">
        <v>9948</v>
      </c>
      <c r="X3006" s="2" t="s">
        <v>43</v>
      </c>
      <c r="Y3006" s="2" t="s">
        <v>37</v>
      </c>
      <c r="Z3006" s="2" t="s">
        <v>44</v>
      </c>
      <c r="AA3006" s="2"/>
      <c r="AB3006" s="2"/>
      <c r="AC3006" s="2" t="s">
        <v>22981</v>
      </c>
      <c r="AD3006" s="2" t="s">
        <v>46</v>
      </c>
    </row>
    <row r="3007" customFormat="false" ht="15.7" hidden="false" customHeight="true" outlineLevel="0" collapsed="false">
      <c r="A3007" s="2"/>
      <c r="B3007" s="3" t="n">
        <f aca="false">DATE(2017,5,1)</f>
        <v>0</v>
      </c>
      <c r="C3007" s="3" t="n">
        <v>42856</v>
      </c>
      <c r="D3007" s="2" t="s">
        <v>22982</v>
      </c>
      <c r="F3007" s="2" t="s">
        <v>19085</v>
      </c>
      <c r="G3007" s="2" t="s">
        <v>22983</v>
      </c>
      <c r="H3007" s="2" t="s">
        <v>63</v>
      </c>
      <c r="I3007" s="2" t="s">
        <v>1904</v>
      </c>
      <c r="J3007" s="2" t="s">
        <v>132</v>
      </c>
      <c r="K3007" s="2" t="s">
        <v>22982</v>
      </c>
      <c r="L3007" s="2" t="s">
        <v>1904</v>
      </c>
      <c r="M3007" s="2" t="s">
        <v>63</v>
      </c>
      <c r="N3007" s="2" t="s">
        <v>22984</v>
      </c>
      <c r="O3007" s="2"/>
      <c r="P3007" s="2" t="s">
        <v>37</v>
      </c>
      <c r="Q3007" s="4" t="n">
        <v>8742</v>
      </c>
      <c r="R3007" s="2" t="s">
        <v>136</v>
      </c>
      <c r="S3007" s="2" t="s">
        <v>39</v>
      </c>
      <c r="T3007" s="2" t="s">
        <v>2444</v>
      </c>
      <c r="U3007" s="2" t="s">
        <v>22985</v>
      </c>
      <c r="V3007" s="2"/>
      <c r="W3007" s="2" t="s">
        <v>22986</v>
      </c>
      <c r="X3007" s="2" t="s">
        <v>43</v>
      </c>
      <c r="Y3007" s="2" t="s">
        <v>37</v>
      </c>
      <c r="Z3007" s="2" t="s">
        <v>44</v>
      </c>
      <c r="AA3007" s="2"/>
      <c r="AB3007" s="2"/>
      <c r="AC3007" s="2" t="s">
        <v>22987</v>
      </c>
      <c r="AD3007" s="2" t="s">
        <v>46</v>
      </c>
    </row>
    <row r="3008" customFormat="false" ht="15.7" hidden="false" customHeight="true" outlineLevel="0" collapsed="false">
      <c r="A3008" s="2"/>
      <c r="B3008" s="3" t="n">
        <f aca="false">DATE(2017,5,2)</f>
        <v>0</v>
      </c>
      <c r="C3008" s="3" t="n">
        <v>42857</v>
      </c>
      <c r="D3008" s="2" t="s">
        <v>22988</v>
      </c>
      <c r="F3008" s="2" t="s">
        <v>4786</v>
      </c>
      <c r="G3008" s="2" t="s">
        <v>22989</v>
      </c>
      <c r="H3008" s="2" t="s">
        <v>63</v>
      </c>
      <c r="I3008" s="2" t="s">
        <v>88</v>
      </c>
      <c r="J3008" s="2" t="s">
        <v>625</v>
      </c>
      <c r="K3008" s="2" t="s">
        <v>22990</v>
      </c>
      <c r="L3008" s="2" t="s">
        <v>88</v>
      </c>
      <c r="M3008" s="2" t="s">
        <v>63</v>
      </c>
      <c r="N3008" s="2" t="s">
        <v>22991</v>
      </c>
      <c r="O3008" s="2"/>
      <c r="P3008" s="2" t="s">
        <v>37</v>
      </c>
      <c r="Q3008" s="4" t="n">
        <v>6794</v>
      </c>
      <c r="R3008" s="2" t="s">
        <v>136</v>
      </c>
      <c r="S3008" s="2" t="s">
        <v>39</v>
      </c>
      <c r="T3008" s="2" t="s">
        <v>40</v>
      </c>
      <c r="U3008" s="2" t="s">
        <v>22992</v>
      </c>
      <c r="V3008" s="2"/>
      <c r="W3008" s="2" t="s">
        <v>15545</v>
      </c>
      <c r="X3008" s="2" t="s">
        <v>43</v>
      </c>
      <c r="Y3008" s="2" t="s">
        <v>37</v>
      </c>
      <c r="Z3008" s="2" t="s">
        <v>44</v>
      </c>
      <c r="AA3008" s="2"/>
      <c r="AB3008" s="2"/>
      <c r="AC3008" s="2" t="s">
        <v>22993</v>
      </c>
      <c r="AD3008" s="2" t="s">
        <v>46</v>
      </c>
    </row>
    <row r="3009" customFormat="false" ht="15.7" hidden="false" customHeight="true" outlineLevel="0" collapsed="false">
      <c r="A3009" s="2"/>
      <c r="B3009" s="3" t="n">
        <f aca="false">DATE(2017,5,2)</f>
        <v>0</v>
      </c>
      <c r="C3009" s="3" t="n">
        <v>42857</v>
      </c>
      <c r="D3009" s="2" t="s">
        <v>22994</v>
      </c>
      <c r="F3009" s="2" t="s">
        <v>17957</v>
      </c>
      <c r="G3009" s="2" t="s">
        <v>22995</v>
      </c>
      <c r="H3009" s="2" t="s">
        <v>1020</v>
      </c>
      <c r="I3009" s="2" t="s">
        <v>51</v>
      </c>
      <c r="J3009" s="2" t="s">
        <v>22996</v>
      </c>
      <c r="K3009" s="2" t="s">
        <v>22997</v>
      </c>
      <c r="L3009" s="2" t="s">
        <v>51</v>
      </c>
      <c r="M3009" s="2" t="s">
        <v>22998</v>
      </c>
      <c r="N3009" s="2" t="s">
        <v>22999</v>
      </c>
      <c r="O3009" s="2"/>
      <c r="P3009" s="2" t="s">
        <v>37</v>
      </c>
      <c r="Q3009" s="4" t="n">
        <v>8731</v>
      </c>
      <c r="R3009" s="2" t="s">
        <v>56</v>
      </c>
      <c r="S3009" s="2"/>
      <c r="T3009" s="2" t="s">
        <v>40</v>
      </c>
      <c r="U3009" s="2" t="s">
        <v>23000</v>
      </c>
      <c r="V3009" s="2"/>
      <c r="W3009" s="2" t="s">
        <v>344</v>
      </c>
      <c r="X3009" s="2" t="s">
        <v>43</v>
      </c>
      <c r="Y3009" s="2" t="s">
        <v>37</v>
      </c>
      <c r="Z3009" s="2" t="s">
        <v>44</v>
      </c>
      <c r="AA3009" s="2"/>
      <c r="AB3009" s="2"/>
      <c r="AC3009" s="2" t="s">
        <v>23001</v>
      </c>
      <c r="AD3009" s="2" t="s">
        <v>46</v>
      </c>
    </row>
    <row r="3010" customFormat="false" ht="15.7" hidden="false" customHeight="true" outlineLevel="0" collapsed="false">
      <c r="A3010" s="2"/>
      <c r="B3010" s="3" t="n">
        <f aca="false">DATE(2017,5,2)</f>
        <v>0</v>
      </c>
      <c r="C3010" s="3" t="n">
        <v>42857</v>
      </c>
      <c r="D3010" s="2" t="s">
        <v>23002</v>
      </c>
      <c r="F3010" s="2" t="s">
        <v>23003</v>
      </c>
      <c r="G3010" s="2" t="s">
        <v>23004</v>
      </c>
      <c r="H3010" s="2" t="s">
        <v>23005</v>
      </c>
      <c r="I3010" s="2" t="s">
        <v>3265</v>
      </c>
      <c r="J3010" s="2" t="s">
        <v>132</v>
      </c>
      <c r="K3010" s="2" t="s">
        <v>23002</v>
      </c>
      <c r="L3010" s="2" t="s">
        <v>3265</v>
      </c>
      <c r="M3010" s="2" t="s">
        <v>23005</v>
      </c>
      <c r="N3010" s="2" t="s">
        <v>23006</v>
      </c>
      <c r="O3010" s="2"/>
      <c r="P3010" s="2" t="s">
        <v>37</v>
      </c>
      <c r="Q3010" s="4" t="n">
        <v>3069</v>
      </c>
      <c r="R3010" s="2" t="s">
        <v>402</v>
      </c>
      <c r="S3010" s="2" t="s">
        <v>39</v>
      </c>
      <c r="T3010" s="2" t="s">
        <v>403</v>
      </c>
      <c r="U3010" s="2" t="s">
        <v>23007</v>
      </c>
      <c r="V3010" s="2"/>
      <c r="W3010" s="2" t="s">
        <v>697</v>
      </c>
      <c r="X3010" s="2" t="s">
        <v>46</v>
      </c>
      <c r="Y3010" s="2" t="s">
        <v>37</v>
      </c>
      <c r="Z3010" s="2" t="s">
        <v>362</v>
      </c>
      <c r="AA3010" s="2"/>
      <c r="AB3010" s="2"/>
      <c r="AC3010" s="2" t="s">
        <v>23008</v>
      </c>
      <c r="AD3010" s="2" t="s">
        <v>46</v>
      </c>
    </row>
    <row r="3011" customFormat="false" ht="15.7" hidden="false" customHeight="true" outlineLevel="0" collapsed="false">
      <c r="A3011" s="2"/>
      <c r="B3011" s="3" t="n">
        <f aca="false">DATE(2017,5,4)</f>
        <v>0</v>
      </c>
      <c r="C3011" s="3" t="n">
        <v>42859</v>
      </c>
      <c r="D3011" s="2" t="s">
        <v>23009</v>
      </c>
      <c r="F3011" s="2" t="s">
        <v>23010</v>
      </c>
      <c r="G3011" s="2" t="s">
        <v>23011</v>
      </c>
      <c r="H3011" s="2" t="s">
        <v>14718</v>
      </c>
      <c r="I3011" s="2" t="s">
        <v>369</v>
      </c>
      <c r="J3011" s="2" t="s">
        <v>35</v>
      </c>
      <c r="K3011" s="2" t="s">
        <v>23012</v>
      </c>
      <c r="L3011" s="2" t="s">
        <v>369</v>
      </c>
      <c r="M3011" s="2" t="s">
        <v>23013</v>
      </c>
      <c r="N3011" s="2" t="s">
        <v>23014</v>
      </c>
      <c r="O3011" s="2"/>
      <c r="P3011" s="2" t="s">
        <v>37</v>
      </c>
      <c r="Q3011" s="4" t="n">
        <v>7538</v>
      </c>
      <c r="R3011" s="2" t="s">
        <v>105</v>
      </c>
      <c r="S3011" s="2" t="s">
        <v>39</v>
      </c>
      <c r="T3011" s="2" t="s">
        <v>40</v>
      </c>
      <c r="U3011" s="2" t="s">
        <v>23015</v>
      </c>
      <c r="V3011" s="2"/>
      <c r="W3011" s="2" t="s">
        <v>11301</v>
      </c>
      <c r="X3011" s="2" t="s">
        <v>43</v>
      </c>
      <c r="Y3011" s="2" t="s">
        <v>37</v>
      </c>
      <c r="Z3011" s="2" t="s">
        <v>44</v>
      </c>
      <c r="AA3011" s="2"/>
      <c r="AB3011" s="2"/>
      <c r="AC3011" s="2" t="s">
        <v>23016</v>
      </c>
      <c r="AD3011" s="2" t="s">
        <v>46</v>
      </c>
    </row>
    <row r="3012" customFormat="false" ht="15.7" hidden="false" customHeight="true" outlineLevel="0" collapsed="false">
      <c r="A3012" s="2"/>
      <c r="B3012" s="3" t="n">
        <f aca="false">DATE(2017,5,5)</f>
        <v>0</v>
      </c>
      <c r="C3012" s="3" t="n">
        <v>42860</v>
      </c>
      <c r="D3012" s="2" t="s">
        <v>23017</v>
      </c>
      <c r="F3012" s="2" t="s">
        <v>23018</v>
      </c>
      <c r="G3012" s="2" t="s">
        <v>23019</v>
      </c>
      <c r="H3012" s="2" t="s">
        <v>23020</v>
      </c>
      <c r="I3012" s="2" t="s">
        <v>6772</v>
      </c>
      <c r="J3012" s="2" t="s">
        <v>313</v>
      </c>
      <c r="K3012" s="2" t="s">
        <v>23017</v>
      </c>
      <c r="L3012" s="2" t="s">
        <v>6772</v>
      </c>
      <c r="M3012" s="2" t="s">
        <v>23020</v>
      </c>
      <c r="N3012" s="2" t="s">
        <v>23021</v>
      </c>
      <c r="O3012" s="2"/>
      <c r="P3012" s="2" t="s">
        <v>37</v>
      </c>
      <c r="Q3012" s="4" t="n">
        <v>8731</v>
      </c>
      <c r="R3012" s="2" t="s">
        <v>2118</v>
      </c>
      <c r="S3012" s="2" t="s">
        <v>39</v>
      </c>
      <c r="T3012" s="2" t="s">
        <v>403</v>
      </c>
      <c r="U3012" s="2" t="s">
        <v>23022</v>
      </c>
      <c r="V3012" s="2"/>
      <c r="W3012" s="2" t="s">
        <v>878</v>
      </c>
      <c r="X3012" s="2" t="s">
        <v>46</v>
      </c>
      <c r="Y3012" s="2" t="s">
        <v>37</v>
      </c>
      <c r="Z3012" s="2" t="s">
        <v>362</v>
      </c>
      <c r="AA3012" s="2"/>
      <c r="AB3012" s="2"/>
      <c r="AC3012" s="2" t="s">
        <v>23023</v>
      </c>
      <c r="AD3012" s="2" t="s">
        <v>46</v>
      </c>
    </row>
    <row r="3013" customFormat="false" ht="15.7" hidden="false" customHeight="true" outlineLevel="0" collapsed="false">
      <c r="A3013" s="2"/>
      <c r="B3013" s="3" t="n">
        <f aca="false">DATE(2017,5,8)</f>
        <v>0</v>
      </c>
      <c r="C3013" s="3" t="n">
        <v>42863</v>
      </c>
      <c r="D3013" s="2" t="s">
        <v>23024</v>
      </c>
      <c r="F3013" s="2" t="s">
        <v>23025</v>
      </c>
      <c r="G3013" s="2" t="s">
        <v>23026</v>
      </c>
      <c r="H3013" s="2" t="s">
        <v>23027</v>
      </c>
      <c r="I3013" s="2" t="s">
        <v>3275</v>
      </c>
      <c r="J3013" s="2" t="s">
        <v>23028</v>
      </c>
      <c r="K3013" s="2" t="s">
        <v>23029</v>
      </c>
      <c r="L3013" s="2" t="s">
        <v>3275</v>
      </c>
      <c r="M3013" s="2" t="s">
        <v>23030</v>
      </c>
      <c r="N3013" s="2" t="s">
        <v>23031</v>
      </c>
      <c r="O3013" s="2"/>
      <c r="P3013" s="2" t="s">
        <v>37</v>
      </c>
      <c r="Q3013" s="4" t="n">
        <v>8731</v>
      </c>
      <c r="R3013" s="2" t="s">
        <v>402</v>
      </c>
      <c r="S3013" s="2" t="s">
        <v>39</v>
      </c>
      <c r="T3013" s="2" t="s">
        <v>40</v>
      </c>
      <c r="U3013" s="2" t="s">
        <v>23032</v>
      </c>
      <c r="V3013" s="2"/>
      <c r="W3013" s="2" t="s">
        <v>697</v>
      </c>
      <c r="X3013" s="2" t="s">
        <v>43</v>
      </c>
      <c r="Y3013" s="2" t="s">
        <v>37</v>
      </c>
      <c r="Z3013" s="2" t="s">
        <v>916</v>
      </c>
      <c r="AA3013" s="2"/>
      <c r="AB3013" s="2"/>
      <c r="AC3013" s="2" t="s">
        <v>23033</v>
      </c>
      <c r="AD3013" s="2" t="s">
        <v>46</v>
      </c>
    </row>
    <row r="3014" customFormat="false" ht="15.7" hidden="false" customHeight="true" outlineLevel="0" collapsed="false">
      <c r="A3014" s="2"/>
      <c r="B3014" s="3" t="n">
        <f aca="false">DATE(2017,5,8)</f>
        <v>0</v>
      </c>
      <c r="C3014" s="3" t="n">
        <v>42863</v>
      </c>
      <c r="D3014" s="2" t="s">
        <v>23034</v>
      </c>
      <c r="F3014" s="2" t="s">
        <v>23035</v>
      </c>
      <c r="G3014" s="2" t="s">
        <v>23036</v>
      </c>
      <c r="H3014" s="2" t="s">
        <v>23037</v>
      </c>
      <c r="I3014" s="2" t="s">
        <v>23038</v>
      </c>
      <c r="J3014" s="2" t="s">
        <v>35</v>
      </c>
      <c r="K3014" s="2" t="s">
        <v>23039</v>
      </c>
      <c r="L3014" s="2" t="s">
        <v>3265</v>
      </c>
      <c r="M3014" s="2" t="s">
        <v>23040</v>
      </c>
      <c r="N3014" s="2" t="s">
        <v>23041</v>
      </c>
      <c r="O3014" s="2"/>
      <c r="P3014" s="2" t="s">
        <v>37</v>
      </c>
      <c r="Q3014" s="4" t="n">
        <v>2759</v>
      </c>
      <c r="R3014" s="2" t="s">
        <v>136</v>
      </c>
      <c r="S3014" s="2" t="s">
        <v>39</v>
      </c>
      <c r="T3014" s="2" t="s">
        <v>40</v>
      </c>
      <c r="U3014" s="2" t="s">
        <v>23042</v>
      </c>
      <c r="V3014" s="2"/>
      <c r="W3014" s="2" t="s">
        <v>138</v>
      </c>
      <c r="X3014" s="2" t="s">
        <v>43</v>
      </c>
      <c r="Y3014" s="2" t="s">
        <v>37</v>
      </c>
      <c r="Z3014" s="2" t="s">
        <v>44</v>
      </c>
      <c r="AA3014" s="2"/>
      <c r="AB3014" s="2"/>
      <c r="AC3014" s="2" t="s">
        <v>23043</v>
      </c>
      <c r="AD3014" s="2" t="s">
        <v>46</v>
      </c>
    </row>
    <row r="3015" customFormat="false" ht="15.7" hidden="false" customHeight="true" outlineLevel="0" collapsed="false">
      <c r="A3015" s="2"/>
      <c r="B3015" s="3" t="n">
        <f aca="false">DATE(2017,5,8)</f>
        <v>0</v>
      </c>
      <c r="C3015" s="3" t="n">
        <v>42863</v>
      </c>
      <c r="D3015" s="2" t="s">
        <v>23044</v>
      </c>
      <c r="F3015" s="2" t="s">
        <v>23045</v>
      </c>
      <c r="G3015" s="2" t="s">
        <v>23046</v>
      </c>
      <c r="H3015" s="2" t="s">
        <v>23047</v>
      </c>
      <c r="I3015" s="2" t="s">
        <v>23048</v>
      </c>
      <c r="J3015" s="2" t="s">
        <v>35</v>
      </c>
      <c r="K3015" s="2" t="s">
        <v>23049</v>
      </c>
      <c r="L3015" s="2" t="s">
        <v>23048</v>
      </c>
      <c r="M3015" s="2" t="s">
        <v>23047</v>
      </c>
      <c r="N3015" s="2" t="s">
        <v>23050</v>
      </c>
      <c r="O3015" s="2"/>
      <c r="P3015" s="2" t="s">
        <v>37</v>
      </c>
      <c r="Q3015" s="4" t="n">
        <v>4581</v>
      </c>
      <c r="R3015" s="2" t="s">
        <v>6202</v>
      </c>
      <c r="S3015" s="2" t="s">
        <v>39</v>
      </c>
      <c r="T3015" s="2" t="s">
        <v>403</v>
      </c>
      <c r="U3015" s="2" t="s">
        <v>23051</v>
      </c>
      <c r="V3015" s="2"/>
      <c r="W3015" s="2" t="s">
        <v>20581</v>
      </c>
      <c r="X3015" s="2" t="s">
        <v>46</v>
      </c>
      <c r="Y3015" s="2" t="s">
        <v>37</v>
      </c>
      <c r="Z3015" s="2" t="s">
        <v>987</v>
      </c>
      <c r="AA3015" s="2"/>
      <c r="AB3015" s="2"/>
      <c r="AC3015" s="2" t="s">
        <v>23052</v>
      </c>
      <c r="AD3015" s="2" t="s">
        <v>46</v>
      </c>
    </row>
    <row r="3016" customFormat="false" ht="15.7" hidden="false" customHeight="true" outlineLevel="0" collapsed="false">
      <c r="A3016" s="2"/>
      <c r="B3016" s="3" t="n">
        <f aca="false">DATE(2017,5,9)</f>
        <v>0</v>
      </c>
      <c r="C3016" s="3" t="n">
        <v>42864</v>
      </c>
      <c r="D3016" s="2" t="s">
        <v>23053</v>
      </c>
      <c r="F3016" s="2" t="s">
        <v>23054</v>
      </c>
      <c r="G3016" s="2" t="s">
        <v>23055</v>
      </c>
      <c r="H3016" s="2" t="s">
        <v>5687</v>
      </c>
      <c r="I3016" s="2" t="s">
        <v>131</v>
      </c>
      <c r="J3016" s="2" t="s">
        <v>3385</v>
      </c>
      <c r="K3016" s="2" t="s">
        <v>23056</v>
      </c>
      <c r="L3016" s="2" t="s">
        <v>131</v>
      </c>
      <c r="M3016" s="2" t="s">
        <v>14125</v>
      </c>
      <c r="N3016" s="2" t="s">
        <v>23057</v>
      </c>
      <c r="O3016" s="2"/>
      <c r="P3016" s="2" t="s">
        <v>79</v>
      </c>
      <c r="Q3016" s="4" t="n">
        <v>8099</v>
      </c>
      <c r="R3016" s="2" t="s">
        <v>100</v>
      </c>
      <c r="S3016" s="2" t="s">
        <v>23058</v>
      </c>
      <c r="T3016" s="2" t="s">
        <v>40</v>
      </c>
      <c r="U3016" s="2" t="s">
        <v>23059</v>
      </c>
      <c r="V3016" s="2"/>
      <c r="W3016" s="2" t="s">
        <v>4487</v>
      </c>
      <c r="X3016" s="2" t="s">
        <v>43</v>
      </c>
      <c r="Y3016" s="2" t="s">
        <v>79</v>
      </c>
      <c r="Z3016" s="2" t="s">
        <v>44</v>
      </c>
      <c r="AA3016" s="2"/>
      <c r="AB3016" s="2"/>
      <c r="AC3016" s="2" t="s">
        <v>23060</v>
      </c>
      <c r="AD3016" s="2" t="s">
        <v>46</v>
      </c>
    </row>
    <row r="3017" customFormat="false" ht="15.7" hidden="false" customHeight="true" outlineLevel="0" collapsed="false">
      <c r="A3017" s="2"/>
      <c r="B3017" s="3" t="n">
        <f aca="false">DATE(2017,5,9)</f>
        <v>0</v>
      </c>
      <c r="C3017" s="3" t="n">
        <v>42864</v>
      </c>
      <c r="D3017" s="2" t="s">
        <v>23061</v>
      </c>
      <c r="F3017" s="2" t="s">
        <v>15541</v>
      </c>
      <c r="G3017" s="2" t="s">
        <v>23062</v>
      </c>
      <c r="H3017" s="2" t="s">
        <v>170</v>
      </c>
      <c r="I3017" s="2" t="s">
        <v>4325</v>
      </c>
      <c r="J3017" s="2" t="s">
        <v>35</v>
      </c>
      <c r="K3017" s="2" t="s">
        <v>23061</v>
      </c>
      <c r="L3017" s="2" t="s">
        <v>4325</v>
      </c>
      <c r="M3017" s="2" t="s">
        <v>170</v>
      </c>
      <c r="N3017" s="2" t="s">
        <v>23063</v>
      </c>
      <c r="O3017" s="2"/>
      <c r="P3017" s="2" t="s">
        <v>37</v>
      </c>
      <c r="Q3017" s="4" t="n">
        <v>8099</v>
      </c>
      <c r="R3017" s="2" t="s">
        <v>402</v>
      </c>
      <c r="S3017" s="2" t="s">
        <v>39</v>
      </c>
      <c r="T3017" s="2" t="s">
        <v>403</v>
      </c>
      <c r="U3017" s="2" t="s">
        <v>23064</v>
      </c>
      <c r="V3017" s="2"/>
      <c r="W3017" s="2" t="s">
        <v>4487</v>
      </c>
      <c r="X3017" s="2" t="s">
        <v>46</v>
      </c>
      <c r="Y3017" s="2" t="s">
        <v>37</v>
      </c>
      <c r="Z3017" s="2" t="s">
        <v>756</v>
      </c>
      <c r="AA3017" s="2" t="s">
        <v>22842</v>
      </c>
      <c r="AB3017" s="2"/>
      <c r="AC3017" s="2" t="s">
        <v>23065</v>
      </c>
      <c r="AD3017" s="2" t="s">
        <v>46</v>
      </c>
    </row>
    <row r="3018" customFormat="false" ht="15.7" hidden="false" customHeight="true" outlineLevel="0" collapsed="false">
      <c r="A3018" s="2"/>
      <c r="B3018" s="3" t="n">
        <f aca="false">DATE(2017,5,10)</f>
        <v>0</v>
      </c>
      <c r="C3018" s="3" t="n">
        <v>42865</v>
      </c>
      <c r="D3018" s="2" t="s">
        <v>23066</v>
      </c>
      <c r="F3018" s="2" t="s">
        <v>23067</v>
      </c>
      <c r="G3018" s="2" t="s">
        <v>23068</v>
      </c>
      <c r="H3018" s="2" t="s">
        <v>130</v>
      </c>
      <c r="I3018" s="2" t="s">
        <v>9268</v>
      </c>
      <c r="J3018" s="2" t="s">
        <v>35</v>
      </c>
      <c r="K3018" s="2" t="s">
        <v>23066</v>
      </c>
      <c r="L3018" s="2" t="s">
        <v>9268</v>
      </c>
      <c r="M3018" s="2" t="s">
        <v>130</v>
      </c>
      <c r="N3018" s="2" t="s">
        <v>23069</v>
      </c>
      <c r="O3018" s="2"/>
      <c r="P3018" s="2" t="s">
        <v>37</v>
      </c>
      <c r="Q3018" s="4" t="n">
        <v>8099</v>
      </c>
      <c r="R3018" s="2" t="s">
        <v>402</v>
      </c>
      <c r="S3018" s="2" t="s">
        <v>39</v>
      </c>
      <c r="T3018" s="2" t="s">
        <v>403</v>
      </c>
      <c r="U3018" s="2" t="s">
        <v>23070</v>
      </c>
      <c r="V3018" s="2"/>
      <c r="W3018" s="2" t="s">
        <v>344</v>
      </c>
      <c r="X3018" s="2" t="s">
        <v>46</v>
      </c>
      <c r="Y3018" s="2" t="s">
        <v>37</v>
      </c>
      <c r="Z3018" s="2" t="s">
        <v>1639</v>
      </c>
      <c r="AA3018" s="2" t="s">
        <v>23071</v>
      </c>
      <c r="AB3018" s="2"/>
      <c r="AC3018" s="2" t="s">
        <v>23072</v>
      </c>
      <c r="AD3018" s="2" t="s">
        <v>46</v>
      </c>
    </row>
    <row r="3019" customFormat="false" ht="15.7" hidden="false" customHeight="true" outlineLevel="0" collapsed="false">
      <c r="A3019" s="2"/>
      <c r="B3019" s="3" t="n">
        <f aca="false">DATE(2017,5,12)</f>
        <v>0</v>
      </c>
      <c r="C3019" s="3" t="n">
        <v>42867</v>
      </c>
      <c r="D3019" s="2" t="s">
        <v>23073</v>
      </c>
      <c r="F3019" s="2" t="s">
        <v>23074</v>
      </c>
      <c r="G3019" s="2" t="s">
        <v>23075</v>
      </c>
      <c r="H3019" s="2" t="s">
        <v>23076</v>
      </c>
      <c r="I3019" s="2" t="s">
        <v>4325</v>
      </c>
      <c r="J3019" s="2" t="s">
        <v>35</v>
      </c>
      <c r="K3019" s="2" t="s">
        <v>23077</v>
      </c>
      <c r="L3019" s="2" t="s">
        <v>4325</v>
      </c>
      <c r="M3019" s="2" t="s">
        <v>20861</v>
      </c>
      <c r="N3019" s="2" t="s">
        <v>23078</v>
      </c>
      <c r="O3019" s="2"/>
      <c r="P3019" s="2" t="s">
        <v>37</v>
      </c>
      <c r="Q3019" s="4" t="n">
        <v>1522</v>
      </c>
      <c r="R3019" s="2" t="s">
        <v>402</v>
      </c>
      <c r="S3019" s="2" t="s">
        <v>39</v>
      </c>
      <c r="T3019" s="2" t="s">
        <v>403</v>
      </c>
      <c r="U3019" s="2" t="s">
        <v>23079</v>
      </c>
      <c r="V3019" s="2"/>
      <c r="W3019" s="2" t="s">
        <v>23080</v>
      </c>
      <c r="X3019" s="2" t="s">
        <v>43</v>
      </c>
      <c r="Y3019" s="2" t="s">
        <v>37</v>
      </c>
      <c r="Z3019" s="2" t="s">
        <v>44</v>
      </c>
      <c r="AA3019" s="2"/>
      <c r="AB3019" s="2"/>
      <c r="AC3019" s="2" t="s">
        <v>23081</v>
      </c>
      <c r="AD3019" s="2" t="s">
        <v>46</v>
      </c>
    </row>
    <row r="3020" customFormat="false" ht="15.7" hidden="false" customHeight="true" outlineLevel="0" collapsed="false">
      <c r="A3020" s="2"/>
      <c r="B3020" s="3" t="n">
        <f aca="false">DATE(2017,5,12)</f>
        <v>0</v>
      </c>
      <c r="C3020" s="3" t="n">
        <v>42867</v>
      </c>
      <c r="D3020" s="2" t="s">
        <v>23082</v>
      </c>
      <c r="F3020" s="2" t="s">
        <v>23083</v>
      </c>
      <c r="G3020" s="2" t="s">
        <v>23084</v>
      </c>
      <c r="H3020" s="2" t="s">
        <v>12931</v>
      </c>
      <c r="I3020" s="2" t="s">
        <v>4325</v>
      </c>
      <c r="J3020" s="2" t="s">
        <v>35</v>
      </c>
      <c r="K3020" s="2" t="s">
        <v>23085</v>
      </c>
      <c r="L3020" s="2" t="s">
        <v>4325</v>
      </c>
      <c r="M3020" s="2" t="s">
        <v>17350</v>
      </c>
      <c r="N3020" s="2" t="s">
        <v>23086</v>
      </c>
      <c r="O3020" s="2"/>
      <c r="P3020" s="2" t="s">
        <v>37</v>
      </c>
      <c r="Q3020" s="4" t="n">
        <v>7374</v>
      </c>
      <c r="R3020" s="2" t="s">
        <v>402</v>
      </c>
      <c r="S3020" s="2" t="s">
        <v>39</v>
      </c>
      <c r="T3020" s="2" t="s">
        <v>403</v>
      </c>
      <c r="U3020" s="2" t="s">
        <v>23087</v>
      </c>
      <c r="V3020" s="2"/>
      <c r="W3020" s="2" t="s">
        <v>23088</v>
      </c>
      <c r="X3020" s="2" t="s">
        <v>43</v>
      </c>
      <c r="Y3020" s="2" t="s">
        <v>37</v>
      </c>
      <c r="Z3020" s="2" t="s">
        <v>44</v>
      </c>
      <c r="AA3020" s="2"/>
      <c r="AB3020" s="2"/>
      <c r="AC3020" s="2" t="s">
        <v>23089</v>
      </c>
      <c r="AD3020" s="2" t="s">
        <v>46</v>
      </c>
    </row>
    <row r="3021" customFormat="false" ht="15.7" hidden="false" customHeight="true" outlineLevel="0" collapsed="false">
      <c r="A3021" s="2"/>
      <c r="B3021" s="3" t="n">
        <f aca="false">DATE(2017,5,16)</f>
        <v>0</v>
      </c>
      <c r="C3021" s="3" t="n">
        <v>42871</v>
      </c>
      <c r="D3021" s="2" t="s">
        <v>23090</v>
      </c>
      <c r="F3021" s="2" t="s">
        <v>21967</v>
      </c>
      <c r="G3021" s="2" t="s">
        <v>23091</v>
      </c>
      <c r="H3021" s="2" t="s">
        <v>368</v>
      </c>
      <c r="I3021" s="2" t="s">
        <v>3320</v>
      </c>
      <c r="J3021" s="2" t="s">
        <v>35</v>
      </c>
      <c r="K3021" s="2" t="s">
        <v>23092</v>
      </c>
      <c r="L3021" s="2" t="s">
        <v>3320</v>
      </c>
      <c r="M3021" s="2" t="s">
        <v>368</v>
      </c>
      <c r="N3021" s="2" t="s">
        <v>23093</v>
      </c>
      <c r="O3021" s="2"/>
      <c r="P3021" s="2" t="s">
        <v>79</v>
      </c>
      <c r="Q3021" s="4" t="n">
        <v>8731</v>
      </c>
      <c r="R3021" s="2" t="s">
        <v>136</v>
      </c>
      <c r="S3021" s="2" t="s">
        <v>39</v>
      </c>
      <c r="T3021" s="2" t="s">
        <v>40</v>
      </c>
      <c r="U3021" s="2" t="s">
        <v>23094</v>
      </c>
      <c r="V3021" s="2"/>
      <c r="W3021" s="2" t="s">
        <v>344</v>
      </c>
      <c r="X3021" s="2" t="s">
        <v>43</v>
      </c>
      <c r="Y3021" s="2" t="s">
        <v>37</v>
      </c>
      <c r="Z3021" s="2" t="s">
        <v>44</v>
      </c>
      <c r="AA3021" s="2"/>
      <c r="AB3021" s="2"/>
      <c r="AC3021" s="2" t="s">
        <v>23095</v>
      </c>
      <c r="AD3021" s="2" t="s">
        <v>46</v>
      </c>
    </row>
    <row r="3022" customFormat="false" ht="15.7" hidden="false" customHeight="true" outlineLevel="0" collapsed="false">
      <c r="A3022" s="2"/>
      <c r="B3022" s="3" t="n">
        <f aca="false">DATE(2017,5,16)</f>
        <v>0</v>
      </c>
      <c r="C3022" s="3" t="n">
        <v>42871</v>
      </c>
      <c r="D3022" s="2" t="s">
        <v>23096</v>
      </c>
      <c r="F3022" s="2" t="s">
        <v>23097</v>
      </c>
      <c r="G3022" s="2" t="s">
        <v>23098</v>
      </c>
      <c r="H3022" s="2" t="s">
        <v>3313</v>
      </c>
      <c r="I3022" s="2" t="s">
        <v>4325</v>
      </c>
      <c r="J3022" s="2" t="s">
        <v>35</v>
      </c>
      <c r="K3022" s="2" t="s">
        <v>23096</v>
      </c>
      <c r="L3022" s="2" t="s">
        <v>4325</v>
      </c>
      <c r="M3022" s="2" t="s">
        <v>3313</v>
      </c>
      <c r="N3022" s="2" t="s">
        <v>23099</v>
      </c>
      <c r="O3022" s="2"/>
      <c r="P3022" s="2" t="s">
        <v>37</v>
      </c>
      <c r="Q3022" s="4" t="n">
        <v>8731</v>
      </c>
      <c r="R3022" s="2" t="s">
        <v>402</v>
      </c>
      <c r="S3022" s="2" t="s">
        <v>39</v>
      </c>
      <c r="T3022" s="2" t="s">
        <v>40</v>
      </c>
      <c r="U3022" s="2" t="s">
        <v>23100</v>
      </c>
      <c r="V3022" s="2"/>
      <c r="W3022" s="2" t="s">
        <v>344</v>
      </c>
      <c r="X3022" s="2" t="s">
        <v>43</v>
      </c>
      <c r="Y3022" s="2" t="s">
        <v>37</v>
      </c>
      <c r="Z3022" s="2" t="s">
        <v>44</v>
      </c>
      <c r="AA3022" s="2"/>
      <c r="AB3022" s="2"/>
      <c r="AC3022" s="2" t="s">
        <v>23101</v>
      </c>
      <c r="AD3022" s="2" t="s">
        <v>46</v>
      </c>
    </row>
    <row r="3023" customFormat="false" ht="15.7" hidden="false" customHeight="true" outlineLevel="0" collapsed="false">
      <c r="A3023" s="2"/>
      <c r="B3023" s="3" t="n">
        <f aca="false">DATE(2017,5,16)</f>
        <v>0</v>
      </c>
      <c r="C3023" s="3" t="n">
        <v>42871</v>
      </c>
      <c r="D3023" s="2" t="s">
        <v>23102</v>
      </c>
      <c r="F3023" s="2" t="s">
        <v>23103</v>
      </c>
      <c r="G3023" s="2" t="s">
        <v>23104</v>
      </c>
      <c r="H3023" s="2" t="s">
        <v>23105</v>
      </c>
      <c r="I3023" s="2" t="s">
        <v>14858</v>
      </c>
      <c r="J3023" s="2" t="s">
        <v>116</v>
      </c>
      <c r="K3023" s="2" t="s">
        <v>23102</v>
      </c>
      <c r="L3023" s="2" t="s">
        <v>14858</v>
      </c>
      <c r="M3023" s="2" t="s">
        <v>23105</v>
      </c>
      <c r="N3023" s="2" t="s">
        <v>23106</v>
      </c>
      <c r="O3023" s="2"/>
      <c r="P3023" s="2" t="s">
        <v>37</v>
      </c>
      <c r="Q3023" s="4" t="n">
        <v>8731</v>
      </c>
      <c r="R3023" s="2" t="s">
        <v>1448</v>
      </c>
      <c r="S3023" s="2" t="s">
        <v>39</v>
      </c>
      <c r="T3023" s="2" t="s">
        <v>403</v>
      </c>
      <c r="U3023" s="2" t="s">
        <v>23107</v>
      </c>
      <c r="V3023" s="2"/>
      <c r="W3023" s="2" t="s">
        <v>42</v>
      </c>
      <c r="X3023" s="2" t="s">
        <v>43</v>
      </c>
      <c r="Y3023" s="2" t="s">
        <v>37</v>
      </c>
      <c r="Z3023" s="2" t="s">
        <v>916</v>
      </c>
      <c r="AA3023" s="2"/>
      <c r="AB3023" s="2"/>
      <c r="AC3023" s="2" t="s">
        <v>23108</v>
      </c>
      <c r="AD3023" s="2" t="s">
        <v>46</v>
      </c>
    </row>
    <row r="3024" customFormat="false" ht="15.7" hidden="false" customHeight="true" outlineLevel="0" collapsed="false">
      <c r="A3024" s="2"/>
      <c r="B3024" s="3" t="n">
        <f aca="false">DATE(2017,5,16)</f>
        <v>0</v>
      </c>
      <c r="C3024" s="3" t="n">
        <v>42871</v>
      </c>
      <c r="D3024" s="2" t="s">
        <v>23109</v>
      </c>
      <c r="F3024" s="2" t="s">
        <v>23110</v>
      </c>
      <c r="G3024" s="2" t="s">
        <v>23111</v>
      </c>
      <c r="H3024" s="2" t="s">
        <v>23112</v>
      </c>
      <c r="I3024" s="2" t="s">
        <v>6134</v>
      </c>
      <c r="J3024" s="2" t="s">
        <v>65</v>
      </c>
      <c r="K3024" s="2" t="s">
        <v>23109</v>
      </c>
      <c r="L3024" s="2" t="s">
        <v>6134</v>
      </c>
      <c r="M3024" s="2" t="s">
        <v>23112</v>
      </c>
      <c r="N3024" s="2" t="s">
        <v>23113</v>
      </c>
      <c r="O3024" s="2"/>
      <c r="P3024" s="2" t="s">
        <v>37</v>
      </c>
      <c r="Q3024" s="4" t="n">
        <v>8731</v>
      </c>
      <c r="R3024" s="2" t="s">
        <v>136</v>
      </c>
      <c r="S3024" s="2" t="s">
        <v>39</v>
      </c>
      <c r="T3024" s="2" t="s">
        <v>40</v>
      </c>
      <c r="U3024" s="2" t="s">
        <v>23114</v>
      </c>
      <c r="V3024" s="2"/>
      <c r="W3024" s="2" t="s">
        <v>23115</v>
      </c>
      <c r="X3024" s="2" t="s">
        <v>43</v>
      </c>
      <c r="Y3024" s="2" t="s">
        <v>37</v>
      </c>
      <c r="Z3024" s="2" t="s">
        <v>44</v>
      </c>
      <c r="AA3024" s="2"/>
      <c r="AB3024" s="2"/>
      <c r="AC3024" s="2" t="s">
        <v>23116</v>
      </c>
      <c r="AD3024" s="2" t="s">
        <v>46</v>
      </c>
    </row>
    <row r="3025" customFormat="false" ht="15.7" hidden="false" customHeight="true" outlineLevel="0" collapsed="false">
      <c r="A3025" s="2"/>
      <c r="B3025" s="3" t="n">
        <f aca="false">DATE(2017,5,17)</f>
        <v>0</v>
      </c>
      <c r="C3025" s="3" t="n">
        <v>42872</v>
      </c>
      <c r="D3025" s="2" t="s">
        <v>23117</v>
      </c>
      <c r="F3025" s="2" t="s">
        <v>23118</v>
      </c>
      <c r="G3025" s="2" t="s">
        <v>23119</v>
      </c>
      <c r="H3025" s="2" t="s">
        <v>23120</v>
      </c>
      <c r="I3025" s="2" t="s">
        <v>23121</v>
      </c>
      <c r="J3025" s="2" t="s">
        <v>35</v>
      </c>
      <c r="K3025" s="2" t="s">
        <v>23122</v>
      </c>
      <c r="L3025" s="2" t="s">
        <v>23123</v>
      </c>
      <c r="M3025" s="2" t="s">
        <v>1574</v>
      </c>
      <c r="N3025" s="2" t="s">
        <v>23124</v>
      </c>
      <c r="O3025" s="2"/>
      <c r="P3025" s="2" t="s">
        <v>37</v>
      </c>
      <c r="Q3025" s="4" t="n">
        <v>8731</v>
      </c>
      <c r="R3025" s="2" t="s">
        <v>136</v>
      </c>
      <c r="S3025" s="2" t="s">
        <v>39</v>
      </c>
      <c r="T3025" s="2" t="s">
        <v>40</v>
      </c>
      <c r="U3025" s="2" t="s">
        <v>23125</v>
      </c>
      <c r="V3025" s="2"/>
      <c r="W3025" s="2" t="s">
        <v>23126</v>
      </c>
      <c r="X3025" s="2" t="s">
        <v>43</v>
      </c>
      <c r="Y3025" s="2" t="s">
        <v>37</v>
      </c>
      <c r="Z3025" s="2" t="s">
        <v>44</v>
      </c>
      <c r="AA3025" s="2"/>
      <c r="AB3025" s="2"/>
      <c r="AC3025" s="2" t="s">
        <v>23127</v>
      </c>
      <c r="AD3025" s="2" t="s">
        <v>46</v>
      </c>
    </row>
    <row r="3026" customFormat="false" ht="15.7" hidden="false" customHeight="true" outlineLevel="0" collapsed="false">
      <c r="A3026" s="2"/>
      <c r="B3026" s="3" t="n">
        <f aca="false">DATE(2017,5,22)</f>
        <v>0</v>
      </c>
      <c r="C3026" s="3" t="n">
        <v>42877</v>
      </c>
      <c r="D3026" s="2" t="s">
        <v>23128</v>
      </c>
      <c r="F3026" s="2" t="s">
        <v>23129</v>
      </c>
      <c r="G3026" s="2" t="s">
        <v>23130</v>
      </c>
      <c r="H3026" s="2" t="s">
        <v>2361</v>
      </c>
      <c r="I3026" s="2" t="s">
        <v>51</v>
      </c>
      <c r="J3026" s="2" t="s">
        <v>1750</v>
      </c>
      <c r="K3026" s="2" t="s">
        <v>23131</v>
      </c>
      <c r="L3026" s="2" t="s">
        <v>51</v>
      </c>
      <c r="M3026" s="2" t="s">
        <v>19781</v>
      </c>
      <c r="N3026" s="2" t="s">
        <v>23132</v>
      </c>
      <c r="O3026" s="2"/>
      <c r="P3026" s="2" t="s">
        <v>37</v>
      </c>
      <c r="Q3026" s="4" t="n">
        <v>7372</v>
      </c>
      <c r="R3026" s="2" t="s">
        <v>56</v>
      </c>
      <c r="S3026" s="2" t="s">
        <v>788</v>
      </c>
      <c r="T3026" s="2" t="s">
        <v>40</v>
      </c>
      <c r="U3026" s="2" t="s">
        <v>23133</v>
      </c>
      <c r="V3026" s="2"/>
      <c r="W3026" s="2" t="s">
        <v>6066</v>
      </c>
      <c r="X3026" s="2" t="s">
        <v>43</v>
      </c>
      <c r="Y3026" s="2" t="s">
        <v>37</v>
      </c>
      <c r="Z3026" s="2" t="s">
        <v>44</v>
      </c>
      <c r="AA3026" s="2"/>
      <c r="AB3026" s="2"/>
      <c r="AC3026" s="2" t="s">
        <v>23134</v>
      </c>
      <c r="AD3026" s="2" t="s">
        <v>46</v>
      </c>
    </row>
    <row r="3027" customFormat="false" ht="15.7" hidden="false" customHeight="true" outlineLevel="0" collapsed="false">
      <c r="A3027" s="2"/>
      <c r="B3027" s="3" t="n">
        <f aca="false">DATE(2017,5,23)</f>
        <v>0</v>
      </c>
      <c r="C3027" s="3" t="n">
        <v>42878</v>
      </c>
      <c r="D3027" s="2" t="s">
        <v>23135</v>
      </c>
      <c r="F3027" s="2" t="s">
        <v>20280</v>
      </c>
      <c r="G3027" s="2" t="s">
        <v>23136</v>
      </c>
      <c r="H3027" s="2" t="s">
        <v>170</v>
      </c>
      <c r="I3027" s="2" t="s">
        <v>4705</v>
      </c>
      <c r="J3027" s="2" t="s">
        <v>35</v>
      </c>
      <c r="K3027" s="2" t="s">
        <v>23135</v>
      </c>
      <c r="L3027" s="2" t="s">
        <v>4705</v>
      </c>
      <c r="M3027" s="2" t="s">
        <v>170</v>
      </c>
      <c r="N3027" s="2" t="s">
        <v>23137</v>
      </c>
      <c r="O3027" s="2"/>
      <c r="P3027" s="2" t="s">
        <v>37</v>
      </c>
      <c r="Q3027" s="4" t="n">
        <v>8731</v>
      </c>
      <c r="R3027" s="2" t="s">
        <v>136</v>
      </c>
      <c r="S3027" s="2" t="s">
        <v>39</v>
      </c>
      <c r="T3027" s="2" t="s">
        <v>40</v>
      </c>
      <c r="U3027" s="2" t="s">
        <v>23138</v>
      </c>
      <c r="V3027" s="2"/>
      <c r="W3027" s="2" t="s">
        <v>15545</v>
      </c>
      <c r="X3027" s="2" t="s">
        <v>43</v>
      </c>
      <c r="Y3027" s="2" t="s">
        <v>37</v>
      </c>
      <c r="Z3027" s="2" t="s">
        <v>44</v>
      </c>
      <c r="AA3027" s="2"/>
      <c r="AB3027" s="2"/>
      <c r="AC3027" s="2" t="s">
        <v>23139</v>
      </c>
      <c r="AD3027" s="2" t="s">
        <v>46</v>
      </c>
    </row>
    <row r="3028" customFormat="false" ht="15.7" hidden="false" customHeight="true" outlineLevel="0" collapsed="false">
      <c r="A3028" s="2"/>
      <c r="B3028" s="3" t="n">
        <f aca="false">DATE(2017,5,23)</f>
        <v>0</v>
      </c>
      <c r="C3028" s="3" t="n">
        <v>42878</v>
      </c>
      <c r="D3028" s="2" t="s">
        <v>23140</v>
      </c>
      <c r="F3028" s="2" t="s">
        <v>23141</v>
      </c>
      <c r="G3028" s="2" t="s">
        <v>23142</v>
      </c>
      <c r="H3028" s="2" t="s">
        <v>5982</v>
      </c>
      <c r="I3028" s="2" t="s">
        <v>388</v>
      </c>
      <c r="J3028" s="2" t="s">
        <v>101</v>
      </c>
      <c r="K3028" s="2" t="s">
        <v>23143</v>
      </c>
      <c r="L3028" s="2" t="s">
        <v>388</v>
      </c>
      <c r="M3028" s="2" t="s">
        <v>23144</v>
      </c>
      <c r="N3028" s="2" t="s">
        <v>23145</v>
      </c>
      <c r="O3028" s="2"/>
      <c r="P3028" s="2" t="s">
        <v>37</v>
      </c>
      <c r="Q3028" s="4" t="n">
        <v>8731</v>
      </c>
      <c r="R3028" s="2" t="s">
        <v>2201</v>
      </c>
      <c r="S3028" s="2" t="s">
        <v>39</v>
      </c>
      <c r="T3028" s="2" t="s">
        <v>40</v>
      </c>
      <c r="U3028" s="2" t="s">
        <v>23146</v>
      </c>
      <c r="V3028" s="2"/>
      <c r="W3028" s="2" t="s">
        <v>23147</v>
      </c>
      <c r="X3028" s="2" t="s">
        <v>43</v>
      </c>
      <c r="Y3028" s="2" t="s">
        <v>37</v>
      </c>
      <c r="Z3028" s="2" t="s">
        <v>44</v>
      </c>
      <c r="AA3028" s="2"/>
      <c r="AB3028" s="2"/>
      <c r="AC3028" s="2" t="s">
        <v>23148</v>
      </c>
      <c r="AD3028" s="2" t="s">
        <v>46</v>
      </c>
    </row>
    <row r="3029" customFormat="false" ht="15.7" hidden="false" customHeight="true" outlineLevel="0" collapsed="false">
      <c r="A3029" s="2"/>
      <c r="B3029" s="3" t="n">
        <f aca="false">DATE(2017,5,23)</f>
        <v>0</v>
      </c>
      <c r="C3029" s="3" t="n">
        <v>42878</v>
      </c>
      <c r="D3029" s="2" t="s">
        <v>23149</v>
      </c>
      <c r="F3029" s="2" t="s">
        <v>23150</v>
      </c>
      <c r="G3029" s="2" t="s">
        <v>23151</v>
      </c>
      <c r="H3029" s="2" t="s">
        <v>9068</v>
      </c>
      <c r="I3029" s="2" t="s">
        <v>435</v>
      </c>
      <c r="J3029" s="2" t="s">
        <v>488</v>
      </c>
      <c r="K3029" s="2" t="s">
        <v>23149</v>
      </c>
      <c r="L3029" s="2" t="s">
        <v>435</v>
      </c>
      <c r="M3029" s="2" t="s">
        <v>9068</v>
      </c>
      <c r="N3029" s="2" t="s">
        <v>23152</v>
      </c>
      <c r="O3029" s="2"/>
      <c r="P3029" s="2" t="s">
        <v>37</v>
      </c>
      <c r="Q3029" s="4" t="n">
        <v>8099</v>
      </c>
      <c r="R3029" s="2" t="s">
        <v>1402</v>
      </c>
      <c r="S3029" s="2" t="s">
        <v>39</v>
      </c>
      <c r="T3029" s="2" t="s">
        <v>40</v>
      </c>
      <c r="U3029" s="2" t="s">
        <v>23153</v>
      </c>
      <c r="V3029" s="2"/>
      <c r="W3029" s="2" t="s">
        <v>23154</v>
      </c>
      <c r="X3029" s="2" t="s">
        <v>43</v>
      </c>
      <c r="Y3029" s="2" t="s">
        <v>37</v>
      </c>
      <c r="Z3029" s="2" t="s">
        <v>44</v>
      </c>
      <c r="AA3029" s="2"/>
      <c r="AB3029" s="2"/>
      <c r="AC3029" s="2" t="s">
        <v>23155</v>
      </c>
      <c r="AD3029" s="2" t="s">
        <v>46</v>
      </c>
    </row>
    <row r="3030" customFormat="false" ht="15.7" hidden="false" customHeight="true" outlineLevel="0" collapsed="false">
      <c r="A3030" s="2"/>
      <c r="B3030" s="3" t="n">
        <f aca="false">DATE(2017,5,23)</f>
        <v>0</v>
      </c>
      <c r="C3030" s="3" t="n">
        <v>42878</v>
      </c>
      <c r="D3030" s="2" t="s">
        <v>23156</v>
      </c>
      <c r="F3030" s="2" t="s">
        <v>23157</v>
      </c>
      <c r="G3030" s="2" t="s">
        <v>23158</v>
      </c>
      <c r="H3030" s="2" t="s">
        <v>5905</v>
      </c>
      <c r="I3030" s="2" t="s">
        <v>17785</v>
      </c>
      <c r="J3030" s="2" t="s">
        <v>35</v>
      </c>
      <c r="K3030" s="2" t="s">
        <v>23159</v>
      </c>
      <c r="L3030" s="2" t="s">
        <v>17785</v>
      </c>
      <c r="M3030" s="2" t="s">
        <v>23160</v>
      </c>
      <c r="N3030" s="2" t="s">
        <v>23161</v>
      </c>
      <c r="O3030" s="2" t="s">
        <v>23162</v>
      </c>
      <c r="P3030" s="2" t="s">
        <v>37</v>
      </c>
      <c r="Q3030" s="4" t="n">
        <v>9661</v>
      </c>
      <c r="R3030" s="2" t="s">
        <v>1208</v>
      </c>
      <c r="S3030" s="2" t="s">
        <v>39</v>
      </c>
      <c r="T3030" s="2" t="s">
        <v>40</v>
      </c>
      <c r="U3030" s="2" t="s">
        <v>23163</v>
      </c>
      <c r="V3030" s="2"/>
      <c r="W3030" s="2" t="s">
        <v>42</v>
      </c>
      <c r="X3030" s="2" t="s">
        <v>46</v>
      </c>
      <c r="Y3030" s="2" t="s">
        <v>37</v>
      </c>
      <c r="Z3030" s="2" t="s">
        <v>5040</v>
      </c>
      <c r="AA3030" s="2"/>
      <c r="AB3030" s="2" t="s">
        <v>23164</v>
      </c>
      <c r="AC3030" s="2" t="s">
        <v>23165</v>
      </c>
      <c r="AD3030" s="2" t="s">
        <v>46</v>
      </c>
    </row>
    <row r="3031" customFormat="false" ht="15.7" hidden="false" customHeight="true" outlineLevel="0" collapsed="false">
      <c r="A3031" s="2"/>
      <c r="B3031" s="3" t="n">
        <f aca="false">DATE(2017,5,23)</f>
        <v>0</v>
      </c>
      <c r="C3031" s="3" t="n">
        <v>42878</v>
      </c>
      <c r="D3031" s="2" t="s">
        <v>23166</v>
      </c>
      <c r="F3031" s="2" t="s">
        <v>23167</v>
      </c>
      <c r="G3031" s="2" t="s">
        <v>23168</v>
      </c>
      <c r="H3031" s="2" t="s">
        <v>23169</v>
      </c>
      <c r="I3031" s="2" t="s">
        <v>23170</v>
      </c>
      <c r="J3031" s="2" t="s">
        <v>35</v>
      </c>
      <c r="K3031" s="2" t="s">
        <v>23171</v>
      </c>
      <c r="L3031" s="2" t="s">
        <v>23172</v>
      </c>
      <c r="M3031" s="2" t="s">
        <v>23169</v>
      </c>
      <c r="N3031" s="2" t="s">
        <v>23173</v>
      </c>
      <c r="O3031" s="2"/>
      <c r="P3031" s="2" t="s">
        <v>37</v>
      </c>
      <c r="Q3031" s="4" t="n">
        <v>8731</v>
      </c>
      <c r="R3031" s="2" t="s">
        <v>136</v>
      </c>
      <c r="S3031" s="2" t="s">
        <v>39</v>
      </c>
      <c r="T3031" s="2" t="s">
        <v>40</v>
      </c>
      <c r="U3031" s="2" t="s">
        <v>23174</v>
      </c>
      <c r="V3031" s="2"/>
      <c r="W3031" s="2" t="s">
        <v>23175</v>
      </c>
      <c r="X3031" s="2" t="s">
        <v>43</v>
      </c>
      <c r="Y3031" s="2" t="s">
        <v>37</v>
      </c>
      <c r="Z3031" s="2" t="s">
        <v>44</v>
      </c>
      <c r="AA3031" s="2"/>
      <c r="AB3031" s="2"/>
      <c r="AC3031" s="2" t="s">
        <v>23176</v>
      </c>
      <c r="AD3031" s="2" t="s">
        <v>46</v>
      </c>
    </row>
    <row r="3032" customFormat="false" ht="15.7" hidden="false" customHeight="true" outlineLevel="0" collapsed="false">
      <c r="A3032" s="2"/>
      <c r="B3032" s="3" t="n">
        <f aca="false">DATE(2017,5,24)</f>
        <v>0</v>
      </c>
      <c r="C3032" s="3" t="n">
        <v>42879</v>
      </c>
      <c r="D3032" s="2" t="s">
        <v>23177</v>
      </c>
      <c r="F3032" s="2" t="s">
        <v>23178</v>
      </c>
      <c r="G3032" s="2" t="s">
        <v>23179</v>
      </c>
      <c r="H3032" s="2" t="s">
        <v>238</v>
      </c>
      <c r="I3032" s="2" t="s">
        <v>724</v>
      </c>
      <c r="J3032" s="2" t="s">
        <v>5725</v>
      </c>
      <c r="K3032" s="2" t="s">
        <v>23177</v>
      </c>
      <c r="L3032" s="2" t="s">
        <v>724</v>
      </c>
      <c r="M3032" s="2" t="s">
        <v>238</v>
      </c>
      <c r="N3032" s="2" t="s">
        <v>23180</v>
      </c>
      <c r="O3032" s="2"/>
      <c r="P3032" s="2" t="s">
        <v>79</v>
      </c>
      <c r="Q3032" s="4" t="n">
        <v>8731</v>
      </c>
      <c r="R3032" s="2" t="s">
        <v>136</v>
      </c>
      <c r="S3032" s="2" t="s">
        <v>39</v>
      </c>
      <c r="T3032" s="2" t="s">
        <v>40</v>
      </c>
      <c r="U3032" s="2" t="s">
        <v>23181</v>
      </c>
      <c r="V3032" s="2"/>
      <c r="W3032" s="2" t="s">
        <v>2367</v>
      </c>
      <c r="X3032" s="2" t="s">
        <v>43</v>
      </c>
      <c r="Y3032" s="2" t="s">
        <v>37</v>
      </c>
      <c r="Z3032" s="2" t="s">
        <v>44</v>
      </c>
      <c r="AA3032" s="2"/>
      <c r="AB3032" s="2"/>
      <c r="AC3032" s="2" t="s">
        <v>23182</v>
      </c>
      <c r="AD3032" s="2" t="s">
        <v>46</v>
      </c>
    </row>
    <row r="3033" customFormat="false" ht="15.7" hidden="false" customHeight="true" outlineLevel="0" collapsed="false">
      <c r="A3033" s="2"/>
      <c r="B3033" s="3" t="n">
        <f aca="false">DATE(2017,5,24)</f>
        <v>0</v>
      </c>
      <c r="C3033" s="3" t="n">
        <v>42879</v>
      </c>
      <c r="D3033" s="2" t="s">
        <v>23183</v>
      </c>
      <c r="F3033" s="2" t="s">
        <v>23184</v>
      </c>
      <c r="G3033" s="2" t="s">
        <v>23185</v>
      </c>
      <c r="H3033" s="2" t="s">
        <v>23186</v>
      </c>
      <c r="I3033" s="2" t="s">
        <v>23187</v>
      </c>
      <c r="J3033" s="2" t="s">
        <v>1305</v>
      </c>
      <c r="K3033" s="2" t="s">
        <v>23188</v>
      </c>
      <c r="L3033" s="2" t="s">
        <v>23187</v>
      </c>
      <c r="M3033" s="2" t="s">
        <v>23189</v>
      </c>
      <c r="N3033" s="2" t="s">
        <v>23190</v>
      </c>
      <c r="O3033" s="2"/>
      <c r="P3033" s="2" t="s">
        <v>37</v>
      </c>
      <c r="Q3033" s="4" t="n">
        <v>8731</v>
      </c>
      <c r="R3033" s="2" t="s">
        <v>402</v>
      </c>
      <c r="S3033" s="2" t="s">
        <v>39</v>
      </c>
      <c r="T3033" s="2" t="s">
        <v>403</v>
      </c>
      <c r="U3033" s="2" t="s">
        <v>23191</v>
      </c>
      <c r="V3033" s="2"/>
      <c r="W3033" s="2" t="s">
        <v>697</v>
      </c>
      <c r="X3033" s="2" t="s">
        <v>46</v>
      </c>
      <c r="Y3033" s="2" t="s">
        <v>37</v>
      </c>
      <c r="Z3033" s="2" t="s">
        <v>23192</v>
      </c>
      <c r="AA3033" s="2" t="s">
        <v>23193</v>
      </c>
      <c r="AB3033" s="2"/>
      <c r="AC3033" s="2" t="s">
        <v>23194</v>
      </c>
      <c r="AD3033" s="2" t="s">
        <v>46</v>
      </c>
    </row>
    <row r="3034" customFormat="false" ht="15.7" hidden="false" customHeight="true" outlineLevel="0" collapsed="false">
      <c r="A3034" s="2"/>
      <c r="B3034" s="3" t="n">
        <f aca="false">DATE(2017,5,24)</f>
        <v>0</v>
      </c>
      <c r="C3034" s="3" t="n">
        <v>42879</v>
      </c>
      <c r="D3034" s="2" t="s">
        <v>23195</v>
      </c>
      <c r="F3034" s="2" t="s">
        <v>23196</v>
      </c>
      <c r="G3034" s="2" t="s">
        <v>23197</v>
      </c>
      <c r="H3034" s="2" t="s">
        <v>23198</v>
      </c>
      <c r="I3034" s="2" t="s">
        <v>10571</v>
      </c>
      <c r="J3034" s="2" t="s">
        <v>35</v>
      </c>
      <c r="K3034" s="2" t="s">
        <v>23195</v>
      </c>
      <c r="L3034" s="2" t="s">
        <v>10571</v>
      </c>
      <c r="M3034" s="2" t="s">
        <v>23198</v>
      </c>
      <c r="N3034" s="2" t="s">
        <v>23199</v>
      </c>
      <c r="O3034" s="2"/>
      <c r="P3034" s="2" t="s">
        <v>37</v>
      </c>
      <c r="Q3034" s="4" t="n">
        <v>3679</v>
      </c>
      <c r="R3034" s="2" t="s">
        <v>402</v>
      </c>
      <c r="S3034" s="2" t="s">
        <v>39</v>
      </c>
      <c r="T3034" s="2" t="s">
        <v>40</v>
      </c>
      <c r="U3034" s="2" t="s">
        <v>23200</v>
      </c>
      <c r="V3034" s="2"/>
      <c r="W3034" s="2" t="s">
        <v>23201</v>
      </c>
      <c r="X3034" s="2" t="s">
        <v>43</v>
      </c>
      <c r="Y3034" s="2" t="s">
        <v>37</v>
      </c>
      <c r="Z3034" s="2" t="s">
        <v>44</v>
      </c>
      <c r="AA3034" s="2"/>
      <c r="AB3034" s="2"/>
      <c r="AC3034" s="2" t="s">
        <v>23202</v>
      </c>
      <c r="AD3034" s="2" t="s">
        <v>46</v>
      </c>
    </row>
    <row r="3035" customFormat="false" ht="15.7" hidden="false" customHeight="true" outlineLevel="0" collapsed="false">
      <c r="A3035" s="2"/>
      <c r="B3035" s="3" t="n">
        <f aca="false">DATE(2017,5,26)</f>
        <v>0</v>
      </c>
      <c r="C3035" s="3" t="n">
        <v>42881</v>
      </c>
      <c r="D3035" s="2" t="s">
        <v>23203</v>
      </c>
      <c r="F3035" s="2" t="s">
        <v>23204</v>
      </c>
      <c r="G3035" s="2" t="s">
        <v>23205</v>
      </c>
      <c r="H3035" s="2" t="s">
        <v>23206</v>
      </c>
      <c r="I3035" s="2" t="s">
        <v>1779</v>
      </c>
      <c r="J3035" s="2" t="s">
        <v>35</v>
      </c>
      <c r="K3035" s="2" t="s">
        <v>23203</v>
      </c>
      <c r="L3035" s="2" t="s">
        <v>1779</v>
      </c>
      <c r="M3035" s="2" t="s">
        <v>23206</v>
      </c>
      <c r="N3035" s="2" t="s">
        <v>23207</v>
      </c>
      <c r="O3035" s="2"/>
      <c r="P3035" s="2" t="s">
        <v>37</v>
      </c>
      <c r="Q3035" s="4" t="n">
        <v>8731</v>
      </c>
      <c r="R3035" s="2" t="s">
        <v>402</v>
      </c>
      <c r="S3035" s="2" t="s">
        <v>39</v>
      </c>
      <c r="T3035" s="2" t="s">
        <v>20122</v>
      </c>
      <c r="U3035" s="2" t="s">
        <v>23208</v>
      </c>
      <c r="V3035" s="2"/>
      <c r="W3035" s="2" t="s">
        <v>42</v>
      </c>
      <c r="X3035" s="2" t="s">
        <v>43</v>
      </c>
      <c r="Y3035" s="2" t="s">
        <v>37</v>
      </c>
      <c r="Z3035" s="2" t="s">
        <v>44</v>
      </c>
      <c r="AA3035" s="2"/>
      <c r="AB3035" s="2"/>
      <c r="AC3035" s="2" t="s">
        <v>23209</v>
      </c>
      <c r="AD3035" s="2" t="s">
        <v>46</v>
      </c>
    </row>
    <row r="3036" customFormat="false" ht="15.7" hidden="false" customHeight="true" outlineLevel="0" collapsed="false">
      <c r="A3036" s="2"/>
      <c r="B3036" s="3" t="n">
        <f aca="false">DATE(2017,5,26)</f>
        <v>0</v>
      </c>
      <c r="C3036" s="3" t="n">
        <v>42881</v>
      </c>
      <c r="D3036" s="2" t="s">
        <v>23210</v>
      </c>
      <c r="F3036" s="2" t="s">
        <v>23211</v>
      </c>
      <c r="G3036" s="2" t="s">
        <v>23212</v>
      </c>
      <c r="H3036" s="2" t="s">
        <v>8866</v>
      </c>
      <c r="I3036" s="2" t="s">
        <v>51</v>
      </c>
      <c r="J3036" s="2" t="s">
        <v>2013</v>
      </c>
      <c r="K3036" s="2" t="s">
        <v>23210</v>
      </c>
      <c r="L3036" s="2" t="s">
        <v>51</v>
      </c>
      <c r="M3036" s="2" t="s">
        <v>8866</v>
      </c>
      <c r="N3036" s="2" t="s">
        <v>23213</v>
      </c>
      <c r="O3036" s="2"/>
      <c r="P3036" s="2" t="s">
        <v>37</v>
      </c>
      <c r="Q3036" s="4" t="n">
        <v>2869</v>
      </c>
      <c r="R3036" s="2" t="s">
        <v>56</v>
      </c>
      <c r="S3036" s="2" t="s">
        <v>277</v>
      </c>
      <c r="T3036" s="2" t="s">
        <v>40</v>
      </c>
      <c r="U3036" s="2" t="s">
        <v>23214</v>
      </c>
      <c r="V3036" s="2"/>
      <c r="W3036" s="2" t="s">
        <v>42</v>
      </c>
      <c r="X3036" s="2" t="s">
        <v>43</v>
      </c>
      <c r="Y3036" s="2" t="s">
        <v>37</v>
      </c>
      <c r="Z3036" s="2" t="s">
        <v>44</v>
      </c>
      <c r="AA3036" s="2"/>
      <c r="AB3036" s="2"/>
      <c r="AC3036" s="2" t="s">
        <v>23215</v>
      </c>
      <c r="AD3036" s="2" t="s">
        <v>46</v>
      </c>
    </row>
    <row r="3037" customFormat="false" ht="15.7" hidden="false" customHeight="true" outlineLevel="0" collapsed="false">
      <c r="A3037" s="2"/>
      <c r="B3037" s="3" t="n">
        <f aca="false">DATE(2017,5,30)</f>
        <v>0</v>
      </c>
      <c r="C3037" s="3" t="n">
        <v>42885</v>
      </c>
      <c r="D3037" s="2" t="s">
        <v>23216</v>
      </c>
      <c r="F3037" s="2" t="s">
        <v>23217</v>
      </c>
      <c r="G3037" s="2" t="s">
        <v>23218</v>
      </c>
      <c r="H3037" s="2" t="s">
        <v>9622</v>
      </c>
      <c r="I3037" s="2" t="s">
        <v>2294</v>
      </c>
      <c r="J3037" s="2" t="s">
        <v>35</v>
      </c>
      <c r="K3037" s="2" t="s">
        <v>23219</v>
      </c>
      <c r="L3037" s="2" t="s">
        <v>2294</v>
      </c>
      <c r="M3037" s="2" t="s">
        <v>23220</v>
      </c>
      <c r="N3037" s="2" t="s">
        <v>23221</v>
      </c>
      <c r="O3037" s="2"/>
      <c r="P3037" s="2" t="s">
        <v>37</v>
      </c>
      <c r="Q3037" s="4" t="n">
        <v>5074</v>
      </c>
      <c r="R3037" s="2" t="s">
        <v>450</v>
      </c>
      <c r="S3037" s="2" t="s">
        <v>39</v>
      </c>
      <c r="T3037" s="2" t="s">
        <v>403</v>
      </c>
      <c r="U3037" s="2" t="s">
        <v>23222</v>
      </c>
      <c r="V3037" s="2"/>
      <c r="W3037" s="2" t="s">
        <v>23223</v>
      </c>
      <c r="X3037" s="2" t="s">
        <v>43</v>
      </c>
      <c r="Y3037" s="2" t="s">
        <v>37</v>
      </c>
      <c r="Z3037" s="2" t="s">
        <v>44</v>
      </c>
      <c r="AA3037" s="2"/>
      <c r="AB3037" s="2"/>
      <c r="AC3037" s="2" t="s">
        <v>23224</v>
      </c>
      <c r="AD3037" s="2" t="s">
        <v>46</v>
      </c>
    </row>
    <row r="3038" customFormat="false" ht="15.7" hidden="false" customHeight="true" outlineLevel="0" collapsed="false">
      <c r="A3038" s="3" t="n">
        <f aca="false">DATE(2017,5,31)</f>
        <v>0</v>
      </c>
      <c r="B3038" s="3" t="n">
        <f aca="false">DATE(2017,5,31)</f>
        <v>0</v>
      </c>
      <c r="C3038" s="3" t="n">
        <v>42886</v>
      </c>
      <c r="D3038" s="2" t="s">
        <v>23225</v>
      </c>
      <c r="F3038" s="2" t="s">
        <v>23226</v>
      </c>
      <c r="G3038" s="2" t="s">
        <v>23227</v>
      </c>
      <c r="H3038" s="2" t="s">
        <v>23228</v>
      </c>
      <c r="I3038" s="2" t="s">
        <v>16554</v>
      </c>
      <c r="J3038" s="2" t="s">
        <v>35</v>
      </c>
      <c r="K3038" s="2" t="s">
        <v>23229</v>
      </c>
      <c r="L3038" s="2" t="s">
        <v>16554</v>
      </c>
      <c r="M3038" s="2" t="s">
        <v>13515</v>
      </c>
      <c r="N3038" s="2" t="s">
        <v>23230</v>
      </c>
      <c r="O3038" s="2"/>
      <c r="P3038" s="2" t="s">
        <v>37</v>
      </c>
      <c r="Q3038" s="4" t="n">
        <v>8731</v>
      </c>
      <c r="R3038" s="2" t="s">
        <v>16962</v>
      </c>
      <c r="S3038" s="2" t="s">
        <v>39</v>
      </c>
      <c r="T3038" s="2" t="s">
        <v>14101</v>
      </c>
      <c r="U3038" s="2" t="s">
        <v>23231</v>
      </c>
      <c r="V3038" s="2"/>
      <c r="W3038" s="2" t="s">
        <v>10985</v>
      </c>
      <c r="X3038" s="2" t="s">
        <v>46</v>
      </c>
      <c r="Y3038" s="2" t="s">
        <v>37</v>
      </c>
      <c r="Z3038" s="2" t="s">
        <v>44</v>
      </c>
      <c r="AA3038" s="2"/>
      <c r="AB3038" s="2"/>
      <c r="AC3038" s="2" t="s">
        <v>23232</v>
      </c>
      <c r="AD3038" s="2" t="s">
        <v>46</v>
      </c>
    </row>
    <row r="3039" customFormat="false" ht="15.7" hidden="false" customHeight="true" outlineLevel="0" collapsed="false">
      <c r="A3039" s="2"/>
      <c r="B3039" s="3" t="n">
        <f aca="false">DATE(2017,6,2)</f>
        <v>0</v>
      </c>
      <c r="C3039" s="3" t="n">
        <v>42888</v>
      </c>
      <c r="D3039" s="2" t="s">
        <v>23233</v>
      </c>
      <c r="F3039" s="2" t="s">
        <v>23234</v>
      </c>
      <c r="G3039" s="2" t="s">
        <v>23235</v>
      </c>
      <c r="H3039" s="2" t="s">
        <v>12871</v>
      </c>
      <c r="I3039" s="2" t="s">
        <v>1164</v>
      </c>
      <c r="J3039" s="2" t="s">
        <v>35</v>
      </c>
      <c r="K3039" s="2" t="s">
        <v>23236</v>
      </c>
      <c r="L3039" s="2" t="s">
        <v>1164</v>
      </c>
      <c r="M3039" s="2" t="s">
        <v>3069</v>
      </c>
      <c r="N3039" s="2" t="s">
        <v>23237</v>
      </c>
      <c r="O3039" s="2"/>
      <c r="P3039" s="2" t="s">
        <v>37</v>
      </c>
      <c r="Q3039" s="4" t="n">
        <v>6794</v>
      </c>
      <c r="R3039" s="2" t="s">
        <v>136</v>
      </c>
      <c r="S3039" s="2" t="s">
        <v>39</v>
      </c>
      <c r="T3039" s="2" t="s">
        <v>40</v>
      </c>
      <c r="U3039" s="2" t="s">
        <v>23238</v>
      </c>
      <c r="V3039" s="2"/>
      <c r="W3039" s="2" t="s">
        <v>15545</v>
      </c>
      <c r="X3039" s="2" t="s">
        <v>43</v>
      </c>
      <c r="Y3039" s="2" t="s">
        <v>37</v>
      </c>
      <c r="Z3039" s="2" t="s">
        <v>44</v>
      </c>
      <c r="AA3039" s="2"/>
      <c r="AB3039" s="2"/>
      <c r="AC3039" s="2" t="s">
        <v>23239</v>
      </c>
      <c r="AD3039" s="2" t="s">
        <v>46</v>
      </c>
    </row>
    <row r="3040" customFormat="false" ht="15.7" hidden="false" customHeight="true" outlineLevel="0" collapsed="false">
      <c r="A3040" s="2"/>
      <c r="B3040" s="3" t="n">
        <f aca="false">DATE(2017,6,2)</f>
        <v>0</v>
      </c>
      <c r="C3040" s="3" t="n">
        <v>42888</v>
      </c>
      <c r="D3040" s="2" t="s">
        <v>23240</v>
      </c>
      <c r="F3040" s="2" t="s">
        <v>23241</v>
      </c>
      <c r="G3040" s="2" t="s">
        <v>23242</v>
      </c>
      <c r="H3040" s="2" t="s">
        <v>23243</v>
      </c>
      <c r="I3040" s="2" t="s">
        <v>17785</v>
      </c>
      <c r="J3040" s="2" t="s">
        <v>35</v>
      </c>
      <c r="K3040" s="2" t="s">
        <v>23240</v>
      </c>
      <c r="L3040" s="2" t="s">
        <v>17785</v>
      </c>
      <c r="M3040" s="2" t="s">
        <v>23243</v>
      </c>
      <c r="N3040" s="2" t="s">
        <v>23244</v>
      </c>
      <c r="O3040" s="2"/>
      <c r="P3040" s="2" t="s">
        <v>37</v>
      </c>
      <c r="Q3040" s="4" t="n">
        <v>8731</v>
      </c>
      <c r="R3040" s="2" t="s">
        <v>1208</v>
      </c>
      <c r="S3040" s="2" t="s">
        <v>39</v>
      </c>
      <c r="T3040" s="2" t="s">
        <v>40</v>
      </c>
      <c r="U3040" s="2" t="s">
        <v>23245</v>
      </c>
      <c r="V3040" s="2"/>
      <c r="W3040" s="2" t="s">
        <v>42</v>
      </c>
      <c r="X3040" s="2" t="s">
        <v>43</v>
      </c>
      <c r="Y3040" s="2" t="s">
        <v>37</v>
      </c>
      <c r="Z3040" s="2" t="s">
        <v>44</v>
      </c>
      <c r="AA3040" s="2"/>
      <c r="AB3040" s="2"/>
      <c r="AC3040" s="2" t="s">
        <v>23246</v>
      </c>
      <c r="AD3040" s="2" t="s">
        <v>46</v>
      </c>
    </row>
    <row r="3041" customFormat="false" ht="15.7" hidden="false" customHeight="true" outlineLevel="0" collapsed="false">
      <c r="A3041" s="2"/>
      <c r="B3041" s="3" t="n">
        <f aca="false">DATE(2017,6,5)</f>
        <v>0</v>
      </c>
      <c r="C3041" s="3" t="n">
        <v>42891</v>
      </c>
      <c r="D3041" s="2" t="s">
        <v>23247</v>
      </c>
      <c r="F3041" s="2" t="s">
        <v>23248</v>
      </c>
      <c r="G3041" s="2" t="s">
        <v>23249</v>
      </c>
      <c r="H3041" s="2" t="s">
        <v>3913</v>
      </c>
      <c r="I3041" s="2" t="s">
        <v>51</v>
      </c>
      <c r="J3041" s="2" t="s">
        <v>2338</v>
      </c>
      <c r="K3041" s="2" t="s">
        <v>23250</v>
      </c>
      <c r="L3041" s="2" t="s">
        <v>51</v>
      </c>
      <c r="M3041" s="2" t="s">
        <v>9068</v>
      </c>
      <c r="N3041" s="2" t="s">
        <v>23251</v>
      </c>
      <c r="O3041" s="2"/>
      <c r="P3041" s="2" t="s">
        <v>37</v>
      </c>
      <c r="Q3041" s="4" t="n">
        <v>8099</v>
      </c>
      <c r="R3041" s="2" t="s">
        <v>56</v>
      </c>
      <c r="S3041" s="2" t="s">
        <v>92</v>
      </c>
      <c r="T3041" s="2" t="s">
        <v>40</v>
      </c>
      <c r="U3041" s="2" t="s">
        <v>23252</v>
      </c>
      <c r="V3041" s="2"/>
      <c r="W3041" s="2" t="s">
        <v>23253</v>
      </c>
      <c r="X3041" s="2" t="s">
        <v>43</v>
      </c>
      <c r="Y3041" s="2" t="s">
        <v>37</v>
      </c>
      <c r="Z3041" s="2" t="s">
        <v>44</v>
      </c>
      <c r="AA3041" s="2"/>
      <c r="AB3041" s="2"/>
      <c r="AC3041" s="2" t="s">
        <v>23254</v>
      </c>
      <c r="AD3041" s="2" t="s">
        <v>46</v>
      </c>
    </row>
    <row r="3042" customFormat="false" ht="15.7" hidden="false" customHeight="true" outlineLevel="0" collapsed="false">
      <c r="A3042" s="2"/>
      <c r="B3042" s="3" t="n">
        <f aca="false">DATE(2017,6,5)</f>
        <v>0</v>
      </c>
      <c r="C3042" s="3" t="n">
        <v>42891</v>
      </c>
      <c r="D3042" s="2" t="s">
        <v>23255</v>
      </c>
      <c r="F3042" s="2" t="s">
        <v>23256</v>
      </c>
      <c r="G3042" s="2" t="s">
        <v>23257</v>
      </c>
      <c r="H3042" s="2" t="s">
        <v>6372</v>
      </c>
      <c r="I3042" s="2" t="s">
        <v>51</v>
      </c>
      <c r="J3042" s="2" t="s">
        <v>15447</v>
      </c>
      <c r="K3042" s="2" t="s">
        <v>23258</v>
      </c>
      <c r="L3042" s="2" t="s">
        <v>51</v>
      </c>
      <c r="M3042" s="2" t="s">
        <v>22319</v>
      </c>
      <c r="N3042" s="2" t="s">
        <v>23259</v>
      </c>
      <c r="O3042" s="2"/>
      <c r="P3042" s="2" t="s">
        <v>37</v>
      </c>
      <c r="Q3042" s="4" t="n">
        <v>6794</v>
      </c>
      <c r="R3042" s="2" t="s">
        <v>56</v>
      </c>
      <c r="S3042" s="2" t="s">
        <v>1622</v>
      </c>
      <c r="T3042" s="2" t="s">
        <v>40</v>
      </c>
      <c r="U3042" s="2" t="s">
        <v>23260</v>
      </c>
      <c r="V3042" s="2"/>
      <c r="W3042" s="2" t="s">
        <v>23261</v>
      </c>
      <c r="X3042" s="2" t="s">
        <v>43</v>
      </c>
      <c r="Y3042" s="2" t="s">
        <v>37</v>
      </c>
      <c r="Z3042" s="2" t="s">
        <v>44</v>
      </c>
      <c r="AA3042" s="2"/>
      <c r="AB3042" s="2"/>
      <c r="AC3042" s="2" t="s">
        <v>23262</v>
      </c>
      <c r="AD3042" s="2" t="s">
        <v>46</v>
      </c>
    </row>
    <row r="3043" customFormat="false" ht="15.7" hidden="false" customHeight="true" outlineLevel="0" collapsed="false">
      <c r="A3043" s="2"/>
      <c r="B3043" s="3" t="n">
        <f aca="false">DATE(2017,6,5)</f>
        <v>0</v>
      </c>
      <c r="C3043" s="3" t="n">
        <v>42891</v>
      </c>
      <c r="D3043" s="2" t="s">
        <v>23263</v>
      </c>
      <c r="F3043" s="2" t="s">
        <v>10369</v>
      </c>
      <c r="G3043" s="2" t="s">
        <v>23264</v>
      </c>
      <c r="H3043" s="2" t="s">
        <v>1101</v>
      </c>
      <c r="I3043" s="2" t="s">
        <v>296</v>
      </c>
      <c r="J3043" s="2" t="s">
        <v>1413</v>
      </c>
      <c r="K3043" s="2" t="s">
        <v>23263</v>
      </c>
      <c r="L3043" s="2" t="s">
        <v>296</v>
      </c>
      <c r="M3043" s="2" t="s">
        <v>1101</v>
      </c>
      <c r="N3043" s="2" t="s">
        <v>23265</v>
      </c>
      <c r="O3043" s="2"/>
      <c r="P3043" s="2" t="s">
        <v>37</v>
      </c>
      <c r="Q3043" s="4" t="n">
        <v>8731</v>
      </c>
      <c r="R3043" s="2" t="s">
        <v>56</v>
      </c>
      <c r="S3043" s="2" t="s">
        <v>472</v>
      </c>
      <c r="T3043" s="2" t="s">
        <v>40</v>
      </c>
      <c r="U3043" s="2" t="s">
        <v>23266</v>
      </c>
      <c r="V3043" s="2"/>
      <c r="W3043" s="2" t="s">
        <v>42</v>
      </c>
      <c r="X3043" s="2" t="s">
        <v>43</v>
      </c>
      <c r="Y3043" s="2" t="s">
        <v>37</v>
      </c>
      <c r="Z3043" s="2" t="s">
        <v>44</v>
      </c>
      <c r="AA3043" s="2"/>
      <c r="AB3043" s="2"/>
      <c r="AC3043" s="2" t="s">
        <v>23267</v>
      </c>
      <c r="AD3043" s="2" t="s">
        <v>46</v>
      </c>
    </row>
    <row r="3044" customFormat="false" ht="15.7" hidden="false" customHeight="true" outlineLevel="0" collapsed="false">
      <c r="A3044" s="2"/>
      <c r="B3044" s="3" t="n">
        <f aca="false">DATE(2017,6,5)</f>
        <v>0</v>
      </c>
      <c r="C3044" s="3" t="n">
        <v>42891</v>
      </c>
      <c r="D3044" s="2" t="s">
        <v>23268</v>
      </c>
      <c r="F3044" s="2" t="s">
        <v>23269</v>
      </c>
      <c r="G3044" s="2" t="s">
        <v>23270</v>
      </c>
      <c r="H3044" s="2" t="s">
        <v>1473</v>
      </c>
      <c r="I3044" s="2" t="s">
        <v>51</v>
      </c>
      <c r="J3044" s="2" t="s">
        <v>23271</v>
      </c>
      <c r="K3044" s="2" t="s">
        <v>23268</v>
      </c>
      <c r="L3044" s="2" t="s">
        <v>51</v>
      </c>
      <c r="M3044" s="2" t="s">
        <v>1473</v>
      </c>
      <c r="N3044" s="2" t="s">
        <v>23272</v>
      </c>
      <c r="O3044" s="2"/>
      <c r="P3044" s="2" t="s">
        <v>37</v>
      </c>
      <c r="Q3044" s="4" t="n">
        <v>6794</v>
      </c>
      <c r="R3044" s="2" t="s">
        <v>2201</v>
      </c>
      <c r="S3044" s="2" t="s">
        <v>39</v>
      </c>
      <c r="T3044" s="2" t="s">
        <v>40</v>
      </c>
      <c r="U3044" s="2" t="s">
        <v>23273</v>
      </c>
      <c r="V3044" s="2"/>
      <c r="W3044" s="2" t="s">
        <v>82</v>
      </c>
      <c r="X3044" s="2" t="s">
        <v>43</v>
      </c>
      <c r="Y3044" s="2" t="s">
        <v>37</v>
      </c>
      <c r="Z3044" s="2" t="s">
        <v>44</v>
      </c>
      <c r="AA3044" s="2"/>
      <c r="AB3044" s="2"/>
      <c r="AC3044" s="2" t="s">
        <v>23274</v>
      </c>
      <c r="AD3044" s="2" t="s">
        <v>46</v>
      </c>
    </row>
    <row r="3045" customFormat="false" ht="15.7" hidden="false" customHeight="true" outlineLevel="0" collapsed="false">
      <c r="A3045" s="2"/>
      <c r="B3045" s="3" t="n">
        <f aca="false">DATE(2017,6,6)</f>
        <v>0</v>
      </c>
      <c r="C3045" s="3" t="n">
        <v>42892</v>
      </c>
      <c r="D3045" s="2" t="s">
        <v>23275</v>
      </c>
      <c r="F3045" s="2" t="s">
        <v>739</v>
      </c>
      <c r="G3045" s="2" t="s">
        <v>23276</v>
      </c>
      <c r="H3045" s="2" t="s">
        <v>130</v>
      </c>
      <c r="I3045" s="2" t="s">
        <v>51</v>
      </c>
      <c r="J3045" s="2" t="s">
        <v>994</v>
      </c>
      <c r="K3045" s="2" t="s">
        <v>23277</v>
      </c>
      <c r="L3045" s="2" t="s">
        <v>51</v>
      </c>
      <c r="M3045" s="2" t="s">
        <v>130</v>
      </c>
      <c r="N3045" s="2" t="s">
        <v>23278</v>
      </c>
      <c r="O3045" s="2"/>
      <c r="P3045" s="2" t="s">
        <v>37</v>
      </c>
      <c r="Q3045" s="4" t="n">
        <v>6794</v>
      </c>
      <c r="R3045" s="2" t="s">
        <v>136</v>
      </c>
      <c r="S3045" s="2" t="s">
        <v>39</v>
      </c>
      <c r="T3045" s="2" t="s">
        <v>40</v>
      </c>
      <c r="U3045" s="2" t="s">
        <v>23279</v>
      </c>
      <c r="V3045" s="2"/>
      <c r="W3045" s="2" t="s">
        <v>15545</v>
      </c>
      <c r="X3045" s="2" t="s">
        <v>43</v>
      </c>
      <c r="Y3045" s="2" t="s">
        <v>37</v>
      </c>
      <c r="Z3045" s="2" t="s">
        <v>44</v>
      </c>
      <c r="AA3045" s="2"/>
      <c r="AB3045" s="2"/>
      <c r="AC3045" s="2" t="s">
        <v>23280</v>
      </c>
      <c r="AD3045" s="2" t="s">
        <v>46</v>
      </c>
    </row>
    <row r="3046" customFormat="false" ht="15.7" hidden="false" customHeight="true" outlineLevel="0" collapsed="false">
      <c r="A3046" s="2"/>
      <c r="B3046" s="3" t="n">
        <f aca="false">DATE(2017,6,6)</f>
        <v>0</v>
      </c>
      <c r="C3046" s="3" t="n">
        <v>42892</v>
      </c>
      <c r="D3046" s="2" t="s">
        <v>23281</v>
      </c>
      <c r="F3046" s="2" t="s">
        <v>23282</v>
      </c>
      <c r="G3046" s="2" t="s">
        <v>23283</v>
      </c>
      <c r="H3046" s="2" t="s">
        <v>23284</v>
      </c>
      <c r="I3046" s="2" t="s">
        <v>1080</v>
      </c>
      <c r="J3046" s="2" t="s">
        <v>35</v>
      </c>
      <c r="K3046" s="2" t="s">
        <v>23281</v>
      </c>
      <c r="L3046" s="2" t="s">
        <v>1080</v>
      </c>
      <c r="M3046" s="2" t="s">
        <v>23284</v>
      </c>
      <c r="N3046" s="2" t="s">
        <v>23285</v>
      </c>
      <c r="O3046" s="2"/>
      <c r="P3046" s="2" t="s">
        <v>37</v>
      </c>
      <c r="Q3046" s="4" t="n">
        <v>8731</v>
      </c>
      <c r="R3046" s="2" t="s">
        <v>2201</v>
      </c>
      <c r="S3046" s="2" t="s">
        <v>39</v>
      </c>
      <c r="T3046" s="2" t="s">
        <v>40</v>
      </c>
      <c r="U3046" s="2" t="s">
        <v>23286</v>
      </c>
      <c r="V3046" s="2"/>
      <c r="W3046" s="2" t="s">
        <v>878</v>
      </c>
      <c r="X3046" s="2" t="s">
        <v>43</v>
      </c>
      <c r="Y3046" s="2" t="s">
        <v>37</v>
      </c>
      <c r="Z3046" s="2" t="s">
        <v>44</v>
      </c>
      <c r="AA3046" s="2"/>
      <c r="AB3046" s="2"/>
      <c r="AC3046" s="2" t="s">
        <v>23287</v>
      </c>
      <c r="AD3046" s="2" t="s">
        <v>46</v>
      </c>
    </row>
    <row r="3047" customFormat="false" ht="15.7" hidden="false" customHeight="true" outlineLevel="0" collapsed="false">
      <c r="A3047" s="2"/>
      <c r="B3047" s="3" t="n">
        <f aca="false">DATE(2017,6,6)</f>
        <v>0</v>
      </c>
      <c r="C3047" s="3" t="n">
        <v>42892</v>
      </c>
      <c r="D3047" s="2" t="s">
        <v>23288</v>
      </c>
      <c r="F3047" s="2" t="s">
        <v>23289</v>
      </c>
      <c r="G3047" s="2" t="s">
        <v>23290</v>
      </c>
      <c r="H3047" s="2" t="s">
        <v>23291</v>
      </c>
      <c r="I3047" s="2" t="s">
        <v>3223</v>
      </c>
      <c r="J3047" s="2" t="s">
        <v>116</v>
      </c>
      <c r="K3047" s="2" t="s">
        <v>23288</v>
      </c>
      <c r="L3047" s="2" t="s">
        <v>3223</v>
      </c>
      <c r="M3047" s="2" t="s">
        <v>23291</v>
      </c>
      <c r="N3047" s="2" t="s">
        <v>23292</v>
      </c>
      <c r="O3047" s="2" t="s">
        <v>23293</v>
      </c>
      <c r="P3047" s="2" t="s">
        <v>37</v>
      </c>
      <c r="Q3047" s="4" t="n">
        <v>8731</v>
      </c>
      <c r="R3047" s="2" t="s">
        <v>402</v>
      </c>
      <c r="S3047" s="2" t="s">
        <v>39</v>
      </c>
      <c r="T3047" s="2" t="s">
        <v>40</v>
      </c>
      <c r="U3047" s="2" t="s">
        <v>23294</v>
      </c>
      <c r="V3047" s="2"/>
      <c r="W3047" s="2" t="s">
        <v>23295</v>
      </c>
      <c r="X3047" s="2" t="s">
        <v>46</v>
      </c>
      <c r="Y3047" s="2" t="s">
        <v>37</v>
      </c>
      <c r="Z3047" s="2" t="s">
        <v>23296</v>
      </c>
      <c r="AA3047" s="2" t="s">
        <v>23297</v>
      </c>
      <c r="AB3047" s="2" t="s">
        <v>23298</v>
      </c>
      <c r="AC3047" s="2" t="s">
        <v>23299</v>
      </c>
      <c r="AD3047" s="2" t="s">
        <v>46</v>
      </c>
    </row>
    <row r="3048" customFormat="false" ht="15.7" hidden="false" customHeight="true" outlineLevel="0" collapsed="false">
      <c r="A3048" s="2"/>
      <c r="B3048" s="3" t="n">
        <f aca="false">DATE(2017,6,7)</f>
        <v>0</v>
      </c>
      <c r="C3048" s="3" t="n">
        <v>42893</v>
      </c>
      <c r="D3048" s="2" t="s">
        <v>23300</v>
      </c>
      <c r="F3048" s="2" t="s">
        <v>20650</v>
      </c>
      <c r="G3048" s="2" t="s">
        <v>23301</v>
      </c>
      <c r="H3048" s="2" t="s">
        <v>130</v>
      </c>
      <c r="I3048" s="2" t="s">
        <v>9761</v>
      </c>
      <c r="J3048" s="2" t="s">
        <v>35</v>
      </c>
      <c r="K3048" s="2" t="s">
        <v>23300</v>
      </c>
      <c r="L3048" s="2" t="s">
        <v>9761</v>
      </c>
      <c r="M3048" s="2" t="s">
        <v>130</v>
      </c>
      <c r="N3048" s="2" t="s">
        <v>23302</v>
      </c>
      <c r="O3048" s="2"/>
      <c r="P3048" s="2" t="s">
        <v>37</v>
      </c>
      <c r="Q3048" s="4" t="n">
        <v>6794</v>
      </c>
      <c r="R3048" s="2" t="s">
        <v>136</v>
      </c>
      <c r="S3048" s="2" t="s">
        <v>39</v>
      </c>
      <c r="T3048" s="2" t="s">
        <v>40</v>
      </c>
      <c r="U3048" s="2" t="s">
        <v>23303</v>
      </c>
      <c r="V3048" s="2"/>
      <c r="W3048" s="2" t="s">
        <v>15545</v>
      </c>
      <c r="X3048" s="2" t="s">
        <v>43</v>
      </c>
      <c r="Y3048" s="2" t="s">
        <v>37</v>
      </c>
      <c r="Z3048" s="2" t="s">
        <v>44</v>
      </c>
      <c r="AA3048" s="2"/>
      <c r="AB3048" s="2"/>
      <c r="AC3048" s="2" t="s">
        <v>23304</v>
      </c>
      <c r="AD3048" s="2" t="s">
        <v>46</v>
      </c>
    </row>
    <row r="3049" customFormat="false" ht="15.7" hidden="false" customHeight="true" outlineLevel="0" collapsed="false">
      <c r="A3049" s="2"/>
      <c r="B3049" s="3" t="n">
        <f aca="false">DATE(2017,6,8)</f>
        <v>0</v>
      </c>
      <c r="C3049" s="3" t="n">
        <v>42894</v>
      </c>
      <c r="D3049" s="2" t="s">
        <v>23305</v>
      </c>
      <c r="F3049" s="2" t="s">
        <v>23306</v>
      </c>
      <c r="G3049" s="2" t="s">
        <v>23307</v>
      </c>
      <c r="H3049" s="2" t="s">
        <v>247</v>
      </c>
      <c r="I3049" s="2" t="s">
        <v>88</v>
      </c>
      <c r="J3049" s="2" t="s">
        <v>625</v>
      </c>
      <c r="K3049" s="2" t="s">
        <v>23305</v>
      </c>
      <c r="L3049" s="2" t="s">
        <v>88</v>
      </c>
      <c r="M3049" s="2" t="s">
        <v>247</v>
      </c>
      <c r="N3049" s="2" t="s">
        <v>23308</v>
      </c>
      <c r="O3049" s="2"/>
      <c r="P3049" s="2" t="s">
        <v>37</v>
      </c>
      <c r="Q3049" s="4" t="n">
        <v>8099</v>
      </c>
      <c r="R3049" s="2" t="s">
        <v>136</v>
      </c>
      <c r="S3049" s="2" t="s">
        <v>39</v>
      </c>
      <c r="T3049" s="2" t="s">
        <v>40</v>
      </c>
      <c r="U3049" s="2" t="s">
        <v>23309</v>
      </c>
      <c r="V3049" s="2"/>
      <c r="W3049" s="2" t="s">
        <v>4487</v>
      </c>
      <c r="X3049" s="2" t="s">
        <v>43</v>
      </c>
      <c r="Y3049" s="2" t="s">
        <v>37</v>
      </c>
      <c r="Z3049" s="2" t="s">
        <v>44</v>
      </c>
      <c r="AA3049" s="2"/>
      <c r="AB3049" s="2"/>
      <c r="AC3049" s="2" t="s">
        <v>23310</v>
      </c>
      <c r="AD3049" s="2" t="s">
        <v>46</v>
      </c>
    </row>
    <row r="3050" customFormat="false" ht="15.7" hidden="false" customHeight="true" outlineLevel="0" collapsed="false">
      <c r="A3050" s="2"/>
      <c r="B3050" s="3" t="n">
        <f aca="false">DATE(2017,6,8)</f>
        <v>0</v>
      </c>
      <c r="C3050" s="3" t="n">
        <v>42894</v>
      </c>
      <c r="D3050" s="2" t="s">
        <v>23311</v>
      </c>
      <c r="F3050" s="2" t="s">
        <v>23312</v>
      </c>
      <c r="G3050" s="2" t="s">
        <v>23313</v>
      </c>
      <c r="H3050" s="2" t="s">
        <v>23314</v>
      </c>
      <c r="I3050" s="2" t="s">
        <v>14858</v>
      </c>
      <c r="J3050" s="2" t="s">
        <v>116</v>
      </c>
      <c r="K3050" s="2" t="s">
        <v>23311</v>
      </c>
      <c r="L3050" s="2" t="s">
        <v>14858</v>
      </c>
      <c r="M3050" s="2" t="s">
        <v>23314</v>
      </c>
      <c r="N3050" s="2" t="s">
        <v>23315</v>
      </c>
      <c r="O3050" s="2"/>
      <c r="P3050" s="2" t="s">
        <v>37</v>
      </c>
      <c r="Q3050" s="4" t="n">
        <v>8731</v>
      </c>
      <c r="R3050" s="2" t="s">
        <v>1448</v>
      </c>
      <c r="S3050" s="2" t="s">
        <v>39</v>
      </c>
      <c r="T3050" s="2" t="s">
        <v>403</v>
      </c>
      <c r="U3050" s="2" t="s">
        <v>23316</v>
      </c>
      <c r="V3050" s="2"/>
      <c r="W3050" s="2" t="s">
        <v>42</v>
      </c>
      <c r="X3050" s="2" t="s">
        <v>43</v>
      </c>
      <c r="Y3050" s="2" t="s">
        <v>37</v>
      </c>
      <c r="Z3050" s="2" t="s">
        <v>916</v>
      </c>
      <c r="AA3050" s="2"/>
      <c r="AB3050" s="2"/>
      <c r="AC3050" s="2" t="s">
        <v>23317</v>
      </c>
      <c r="AD3050" s="2" t="s">
        <v>46</v>
      </c>
    </row>
    <row r="3051" customFormat="false" ht="15.7" hidden="false" customHeight="true" outlineLevel="0" collapsed="false">
      <c r="A3051" s="2"/>
      <c r="B3051" s="3" t="n">
        <f aca="false">DATE(2017,6,8)</f>
        <v>0</v>
      </c>
      <c r="C3051" s="3" t="n">
        <v>42894</v>
      </c>
      <c r="D3051" s="2" t="s">
        <v>23318</v>
      </c>
      <c r="F3051" s="2" t="s">
        <v>23319</v>
      </c>
      <c r="G3051" s="2" t="s">
        <v>23320</v>
      </c>
      <c r="H3051" s="2" t="s">
        <v>23321</v>
      </c>
      <c r="I3051" s="2" t="s">
        <v>180</v>
      </c>
      <c r="J3051" s="2" t="s">
        <v>331</v>
      </c>
      <c r="K3051" s="2" t="s">
        <v>23318</v>
      </c>
      <c r="L3051" s="2" t="s">
        <v>180</v>
      </c>
      <c r="M3051" s="2" t="s">
        <v>23321</v>
      </c>
      <c r="N3051" s="2" t="s">
        <v>23322</v>
      </c>
      <c r="O3051" s="2"/>
      <c r="P3051" s="2" t="s">
        <v>37</v>
      </c>
      <c r="Q3051" s="4" t="n">
        <v>3844</v>
      </c>
      <c r="R3051" s="2" t="s">
        <v>136</v>
      </c>
      <c r="S3051" s="2" t="s">
        <v>39</v>
      </c>
      <c r="T3051" s="2" t="s">
        <v>40</v>
      </c>
      <c r="U3051" s="2" t="s">
        <v>23323</v>
      </c>
      <c r="V3051" s="2"/>
      <c r="W3051" s="2" t="s">
        <v>23324</v>
      </c>
      <c r="X3051" s="2" t="s">
        <v>43</v>
      </c>
      <c r="Y3051" s="2" t="s">
        <v>37</v>
      </c>
      <c r="Z3051" s="2" t="s">
        <v>44</v>
      </c>
      <c r="AA3051" s="2"/>
      <c r="AB3051" s="2"/>
      <c r="AC3051" s="2" t="s">
        <v>23325</v>
      </c>
      <c r="AD3051" s="2" t="s">
        <v>46</v>
      </c>
    </row>
    <row r="3052" customFormat="false" ht="15.7" hidden="false" customHeight="true" outlineLevel="0" collapsed="false">
      <c r="A3052" s="2"/>
      <c r="B3052" s="3" t="n">
        <f aca="false">DATE(2017,6,9)</f>
        <v>0</v>
      </c>
      <c r="C3052" s="3" t="n">
        <v>42895</v>
      </c>
      <c r="D3052" s="2" t="s">
        <v>23326</v>
      </c>
      <c r="F3052" s="2" t="s">
        <v>23327</v>
      </c>
      <c r="G3052" s="2" t="s">
        <v>23328</v>
      </c>
      <c r="H3052" s="2" t="s">
        <v>4594</v>
      </c>
      <c r="I3052" s="2" t="s">
        <v>22944</v>
      </c>
      <c r="J3052" s="2" t="s">
        <v>35</v>
      </c>
      <c r="K3052" s="2" t="s">
        <v>23329</v>
      </c>
      <c r="L3052" s="2" t="s">
        <v>22944</v>
      </c>
      <c r="M3052" s="2" t="s">
        <v>4594</v>
      </c>
      <c r="N3052" s="2" t="s">
        <v>23330</v>
      </c>
      <c r="O3052" s="2"/>
      <c r="P3052" s="2" t="s">
        <v>37</v>
      </c>
      <c r="Q3052" s="4" t="n">
        <v>4911</v>
      </c>
      <c r="R3052" s="2" t="s">
        <v>1208</v>
      </c>
      <c r="S3052" s="2" t="s">
        <v>39</v>
      </c>
      <c r="T3052" s="2" t="s">
        <v>40</v>
      </c>
      <c r="U3052" s="2" t="s">
        <v>23331</v>
      </c>
      <c r="V3052" s="2"/>
      <c r="W3052" s="2" t="s">
        <v>10985</v>
      </c>
      <c r="X3052" s="2" t="s">
        <v>43</v>
      </c>
      <c r="Y3052" s="2" t="s">
        <v>37</v>
      </c>
      <c r="Z3052" s="2" t="s">
        <v>44</v>
      </c>
      <c r="AA3052" s="2"/>
      <c r="AB3052" s="2"/>
      <c r="AC3052" s="2" t="s">
        <v>23332</v>
      </c>
      <c r="AD3052" s="2" t="s">
        <v>46</v>
      </c>
    </row>
    <row r="3053" customFormat="false" ht="15.7" hidden="false" customHeight="true" outlineLevel="0" collapsed="false">
      <c r="A3053" s="2"/>
      <c r="B3053" s="3" t="n">
        <f aca="false">DATE(2017,6,9)</f>
        <v>0</v>
      </c>
      <c r="C3053" s="3" t="n">
        <v>42895</v>
      </c>
      <c r="D3053" s="2" t="s">
        <v>23333</v>
      </c>
      <c r="F3053" s="2" t="s">
        <v>23334</v>
      </c>
      <c r="G3053" s="2" t="s">
        <v>23335</v>
      </c>
      <c r="H3053" s="2" t="s">
        <v>23336</v>
      </c>
      <c r="I3053" s="2" t="s">
        <v>12781</v>
      </c>
      <c r="J3053" s="2" t="s">
        <v>35</v>
      </c>
      <c r="K3053" s="2" t="s">
        <v>23337</v>
      </c>
      <c r="L3053" s="2" t="s">
        <v>12781</v>
      </c>
      <c r="M3053" s="2" t="s">
        <v>23338</v>
      </c>
      <c r="N3053" s="2" t="s">
        <v>23339</v>
      </c>
      <c r="O3053" s="2"/>
      <c r="P3053" s="2" t="s">
        <v>37</v>
      </c>
      <c r="Q3053" s="4" t="n">
        <v>3433</v>
      </c>
      <c r="R3053" s="2" t="s">
        <v>402</v>
      </c>
      <c r="S3053" s="2" t="s">
        <v>39</v>
      </c>
      <c r="T3053" s="2" t="s">
        <v>40</v>
      </c>
      <c r="U3053" s="2" t="s">
        <v>23340</v>
      </c>
      <c r="V3053" s="2"/>
      <c r="W3053" s="2" t="s">
        <v>23341</v>
      </c>
      <c r="X3053" s="2" t="s">
        <v>43</v>
      </c>
      <c r="Y3053" s="2" t="s">
        <v>37</v>
      </c>
      <c r="Z3053" s="2" t="s">
        <v>44</v>
      </c>
      <c r="AA3053" s="2"/>
      <c r="AB3053" s="2"/>
      <c r="AC3053" s="2" t="s">
        <v>23342</v>
      </c>
      <c r="AD3053" s="2" t="s">
        <v>46</v>
      </c>
    </row>
    <row r="3054" customFormat="false" ht="15.7" hidden="false" customHeight="true" outlineLevel="0" collapsed="false">
      <c r="A3054" s="2"/>
      <c r="B3054" s="3" t="n">
        <f aca="false">DATE(2017,6,10)</f>
        <v>0</v>
      </c>
      <c r="C3054" s="3" t="n">
        <v>42896</v>
      </c>
      <c r="D3054" s="2" t="s">
        <v>23343</v>
      </c>
      <c r="F3054" s="2" t="s">
        <v>23344</v>
      </c>
      <c r="G3054" s="2" t="s">
        <v>23345</v>
      </c>
      <c r="H3054" s="2" t="s">
        <v>23346</v>
      </c>
      <c r="I3054" s="2" t="s">
        <v>51</v>
      </c>
      <c r="J3054" s="2" t="s">
        <v>15068</v>
      </c>
      <c r="K3054" s="2" t="s">
        <v>23343</v>
      </c>
      <c r="L3054" s="2" t="s">
        <v>51</v>
      </c>
      <c r="M3054" s="2" t="s">
        <v>23346</v>
      </c>
      <c r="N3054" s="2" t="s">
        <v>23347</v>
      </c>
      <c r="O3054" s="2"/>
      <c r="P3054" s="2" t="s">
        <v>37</v>
      </c>
      <c r="Q3054" s="4" t="n">
        <v>5099</v>
      </c>
      <c r="R3054" s="2" t="s">
        <v>56</v>
      </c>
      <c r="S3054" s="2" t="s">
        <v>92</v>
      </c>
      <c r="T3054" s="2" t="s">
        <v>40</v>
      </c>
      <c r="U3054" s="2" t="s">
        <v>23348</v>
      </c>
      <c r="V3054" s="2"/>
      <c r="W3054" s="2" t="s">
        <v>23349</v>
      </c>
      <c r="X3054" s="2" t="s">
        <v>43</v>
      </c>
      <c r="Y3054" s="2" t="s">
        <v>37</v>
      </c>
      <c r="Z3054" s="2" t="s">
        <v>44</v>
      </c>
      <c r="AA3054" s="2"/>
      <c r="AB3054" s="2"/>
      <c r="AC3054" s="2" t="s">
        <v>23350</v>
      </c>
      <c r="AD3054" s="2" t="s">
        <v>46</v>
      </c>
    </row>
    <row r="3055" customFormat="false" ht="15.7" hidden="false" customHeight="true" outlineLevel="0" collapsed="false">
      <c r="A3055" s="2"/>
      <c r="B3055" s="3" t="n">
        <f aca="false">DATE(2017,6,12)</f>
        <v>0</v>
      </c>
      <c r="C3055" s="3" t="n">
        <v>42898</v>
      </c>
      <c r="D3055" s="2" t="s">
        <v>23351</v>
      </c>
      <c r="F3055" s="2" t="s">
        <v>4184</v>
      </c>
      <c r="G3055" s="2" t="s">
        <v>23352</v>
      </c>
      <c r="H3055" s="2" t="s">
        <v>305</v>
      </c>
      <c r="I3055" s="2" t="s">
        <v>51</v>
      </c>
      <c r="J3055" s="2" t="s">
        <v>171</v>
      </c>
      <c r="K3055" s="2" t="s">
        <v>23351</v>
      </c>
      <c r="L3055" s="2" t="s">
        <v>51</v>
      </c>
      <c r="M3055" s="2" t="s">
        <v>305</v>
      </c>
      <c r="N3055" s="2" t="s">
        <v>23353</v>
      </c>
      <c r="O3055" s="2"/>
      <c r="P3055" s="2" t="s">
        <v>37</v>
      </c>
      <c r="Q3055" s="4" t="n">
        <v>8731</v>
      </c>
      <c r="R3055" s="2" t="s">
        <v>56</v>
      </c>
      <c r="S3055" s="2"/>
      <c r="T3055" s="2" t="s">
        <v>40</v>
      </c>
      <c r="U3055" s="2" t="s">
        <v>23354</v>
      </c>
      <c r="V3055" s="2"/>
      <c r="W3055" s="2" t="s">
        <v>6344</v>
      </c>
      <c r="X3055" s="2" t="s">
        <v>43</v>
      </c>
      <c r="Y3055" s="2" t="s">
        <v>37</v>
      </c>
      <c r="Z3055" s="2" t="s">
        <v>44</v>
      </c>
      <c r="AA3055" s="2"/>
      <c r="AB3055" s="2"/>
      <c r="AC3055" s="2" t="s">
        <v>23355</v>
      </c>
      <c r="AD3055" s="2" t="s">
        <v>46</v>
      </c>
    </row>
    <row r="3056" customFormat="false" ht="15.7" hidden="false" customHeight="true" outlineLevel="0" collapsed="false">
      <c r="A3056" s="2"/>
      <c r="B3056" s="3" t="n">
        <f aca="false">DATE(2017,6,13)</f>
        <v>0</v>
      </c>
      <c r="C3056" s="3" t="n">
        <v>42899</v>
      </c>
      <c r="D3056" s="2" t="s">
        <v>23356</v>
      </c>
      <c r="F3056" s="2" t="s">
        <v>23357</v>
      </c>
      <c r="G3056" s="2" t="s">
        <v>23358</v>
      </c>
      <c r="H3056" s="2" t="s">
        <v>23359</v>
      </c>
      <c r="I3056" s="2" t="s">
        <v>7920</v>
      </c>
      <c r="J3056" s="2" t="s">
        <v>23360</v>
      </c>
      <c r="K3056" s="2" t="s">
        <v>23361</v>
      </c>
      <c r="L3056" s="2" t="s">
        <v>23362</v>
      </c>
      <c r="M3056" s="2" t="s">
        <v>23359</v>
      </c>
      <c r="N3056" s="2" t="s">
        <v>23363</v>
      </c>
      <c r="O3056" s="2"/>
      <c r="P3056" s="2" t="s">
        <v>37</v>
      </c>
      <c r="Q3056" s="4" t="n">
        <v>5099</v>
      </c>
      <c r="R3056" s="2"/>
      <c r="S3056" s="2"/>
      <c r="T3056" s="2" t="s">
        <v>122</v>
      </c>
      <c r="U3056" s="2" t="s">
        <v>23364</v>
      </c>
      <c r="V3056" s="2"/>
      <c r="W3056" s="2" t="s">
        <v>23365</v>
      </c>
      <c r="X3056" s="2" t="s">
        <v>43</v>
      </c>
      <c r="Y3056" s="2" t="s">
        <v>37</v>
      </c>
      <c r="Z3056" s="2" t="s">
        <v>916</v>
      </c>
      <c r="AA3056" s="2"/>
      <c r="AB3056" s="2"/>
      <c r="AC3056" s="2" t="s">
        <v>23366</v>
      </c>
      <c r="AD3056" s="2" t="s">
        <v>46</v>
      </c>
    </row>
    <row r="3057" customFormat="false" ht="15.7" hidden="false" customHeight="true" outlineLevel="0" collapsed="false">
      <c r="A3057" s="2"/>
      <c r="B3057" s="3" t="n">
        <f aca="false">DATE(2017,6,13)</f>
        <v>0</v>
      </c>
      <c r="C3057" s="3" t="n">
        <v>42899</v>
      </c>
      <c r="D3057" s="2" t="s">
        <v>23367</v>
      </c>
      <c r="F3057" s="2" t="s">
        <v>23368</v>
      </c>
      <c r="G3057" s="2" t="s">
        <v>23369</v>
      </c>
      <c r="H3057" s="2" t="s">
        <v>23370</v>
      </c>
      <c r="I3057" s="2" t="s">
        <v>131</v>
      </c>
      <c r="J3057" s="2" t="s">
        <v>950</v>
      </c>
      <c r="K3057" s="2" t="s">
        <v>23371</v>
      </c>
      <c r="L3057" s="2" t="s">
        <v>131</v>
      </c>
      <c r="M3057" s="2" t="s">
        <v>23372</v>
      </c>
      <c r="N3057" s="2" t="s">
        <v>23373</v>
      </c>
      <c r="O3057" s="2"/>
      <c r="P3057" s="2" t="s">
        <v>37</v>
      </c>
      <c r="Q3057" s="4" t="n">
        <v>7999</v>
      </c>
      <c r="R3057" s="2"/>
      <c r="S3057" s="2"/>
      <c r="T3057" s="2" t="s">
        <v>403</v>
      </c>
      <c r="U3057" s="2" t="s">
        <v>23374</v>
      </c>
      <c r="V3057" s="2"/>
      <c r="W3057" s="2" t="s">
        <v>23375</v>
      </c>
      <c r="X3057" s="2" t="s">
        <v>43</v>
      </c>
      <c r="Y3057" s="2" t="s">
        <v>37</v>
      </c>
      <c r="Z3057" s="2" t="s">
        <v>44</v>
      </c>
      <c r="AA3057" s="2"/>
      <c r="AB3057" s="2"/>
      <c r="AC3057" s="2" t="s">
        <v>23376</v>
      </c>
      <c r="AD3057" s="2" t="s">
        <v>46</v>
      </c>
    </row>
    <row r="3058" customFormat="false" ht="15.7" hidden="false" customHeight="true" outlineLevel="0" collapsed="false">
      <c r="A3058" s="2"/>
      <c r="B3058" s="3" t="n">
        <f aca="false">DATE(2017,6,13)</f>
        <v>0</v>
      </c>
      <c r="C3058" s="3" t="n">
        <v>42899</v>
      </c>
      <c r="D3058" s="2" t="s">
        <v>23377</v>
      </c>
      <c r="F3058" s="2" t="s">
        <v>23378</v>
      </c>
      <c r="G3058" s="2" t="s">
        <v>23379</v>
      </c>
      <c r="H3058" s="2" t="s">
        <v>23380</v>
      </c>
      <c r="I3058" s="2" t="s">
        <v>1973</v>
      </c>
      <c r="J3058" s="2" t="s">
        <v>35</v>
      </c>
      <c r="K3058" s="2" t="s">
        <v>23381</v>
      </c>
      <c r="L3058" s="2" t="s">
        <v>1973</v>
      </c>
      <c r="M3058" s="2" t="s">
        <v>23382</v>
      </c>
      <c r="N3058" s="2" t="s">
        <v>23383</v>
      </c>
      <c r="O3058" s="2"/>
      <c r="P3058" s="2" t="s">
        <v>37</v>
      </c>
      <c r="Q3058" s="4" t="n">
        <v>5099</v>
      </c>
      <c r="R3058" s="2"/>
      <c r="S3058" s="2"/>
      <c r="T3058" s="2" t="s">
        <v>40</v>
      </c>
      <c r="U3058" s="2" t="s">
        <v>23384</v>
      </c>
      <c r="V3058" s="2"/>
      <c r="W3058" s="2" t="s">
        <v>23385</v>
      </c>
      <c r="X3058" s="2" t="s">
        <v>43</v>
      </c>
      <c r="Y3058" s="2" t="s">
        <v>37</v>
      </c>
      <c r="Z3058" s="2" t="s">
        <v>44</v>
      </c>
      <c r="AA3058" s="2"/>
      <c r="AB3058" s="2"/>
      <c r="AC3058" s="2" t="s">
        <v>23386</v>
      </c>
      <c r="AD3058" s="2" t="s">
        <v>46</v>
      </c>
    </row>
    <row r="3059" customFormat="false" ht="15.7" hidden="false" customHeight="true" outlineLevel="0" collapsed="false">
      <c r="A3059" s="2"/>
      <c r="B3059" s="3" t="n">
        <f aca="false">DATE(2017,6,13)</f>
        <v>0</v>
      </c>
      <c r="C3059" s="3" t="n">
        <v>42899</v>
      </c>
      <c r="D3059" s="2" t="s">
        <v>23387</v>
      </c>
      <c r="F3059" s="2" t="s">
        <v>23388</v>
      </c>
      <c r="G3059" s="2" t="s">
        <v>23389</v>
      </c>
      <c r="H3059" s="2" t="s">
        <v>170</v>
      </c>
      <c r="I3059" s="2" t="s">
        <v>330</v>
      </c>
      <c r="J3059" s="2" t="s">
        <v>331</v>
      </c>
      <c r="K3059" s="2" t="s">
        <v>23390</v>
      </c>
      <c r="L3059" s="2" t="s">
        <v>51</v>
      </c>
      <c r="M3059" s="2" t="s">
        <v>170</v>
      </c>
      <c r="N3059" s="2" t="s">
        <v>23391</v>
      </c>
      <c r="O3059" s="2"/>
      <c r="P3059" s="2" t="s">
        <v>37</v>
      </c>
      <c r="Q3059" s="4" t="n">
        <v>6794</v>
      </c>
      <c r="R3059" s="2" t="s">
        <v>136</v>
      </c>
      <c r="S3059" s="2" t="s">
        <v>39</v>
      </c>
      <c r="T3059" s="2" t="s">
        <v>40</v>
      </c>
      <c r="U3059" s="2" t="s">
        <v>23392</v>
      </c>
      <c r="V3059" s="2"/>
      <c r="W3059" s="2" t="s">
        <v>13161</v>
      </c>
      <c r="X3059" s="2" t="s">
        <v>43</v>
      </c>
      <c r="Y3059" s="2" t="s">
        <v>37</v>
      </c>
      <c r="Z3059" s="2" t="s">
        <v>44</v>
      </c>
      <c r="AA3059" s="2"/>
      <c r="AB3059" s="2"/>
      <c r="AC3059" s="2" t="s">
        <v>23393</v>
      </c>
      <c r="AD3059" s="2" t="s">
        <v>46</v>
      </c>
    </row>
    <row r="3060" customFormat="false" ht="15.7" hidden="false" customHeight="true" outlineLevel="0" collapsed="false">
      <c r="A3060" s="2"/>
      <c r="B3060" s="3" t="n">
        <f aca="false">DATE(2017,6,14)</f>
        <v>0</v>
      </c>
      <c r="C3060" s="3" t="n">
        <v>42900</v>
      </c>
      <c r="D3060" s="2" t="s">
        <v>23394</v>
      </c>
      <c r="F3060" s="2" t="s">
        <v>23395</v>
      </c>
      <c r="G3060" s="2" t="s">
        <v>23396</v>
      </c>
      <c r="H3060" s="2" t="s">
        <v>23397</v>
      </c>
      <c r="I3060" s="2" t="s">
        <v>23398</v>
      </c>
      <c r="J3060" s="2" t="s">
        <v>5725</v>
      </c>
      <c r="K3060" s="2" t="s">
        <v>23394</v>
      </c>
      <c r="L3060" s="2" t="s">
        <v>23398</v>
      </c>
      <c r="M3060" s="2" t="s">
        <v>23397</v>
      </c>
      <c r="N3060" s="2" t="s">
        <v>23399</v>
      </c>
      <c r="O3060" s="2"/>
      <c r="P3060" s="2" t="s">
        <v>37</v>
      </c>
      <c r="Q3060" s="4" t="n">
        <v>4911</v>
      </c>
      <c r="R3060" s="2" t="s">
        <v>19637</v>
      </c>
      <c r="S3060" s="2" t="s">
        <v>39</v>
      </c>
      <c r="T3060" s="2" t="s">
        <v>403</v>
      </c>
      <c r="U3060" s="2" t="s">
        <v>23400</v>
      </c>
      <c r="V3060" s="2"/>
      <c r="W3060" s="2" t="s">
        <v>14343</v>
      </c>
      <c r="X3060" s="2" t="s">
        <v>46</v>
      </c>
      <c r="Y3060" s="2" t="s">
        <v>37</v>
      </c>
      <c r="Z3060" s="2" t="s">
        <v>44</v>
      </c>
      <c r="AA3060" s="2"/>
      <c r="AB3060" s="2"/>
      <c r="AC3060" s="2" t="s">
        <v>23401</v>
      </c>
      <c r="AD3060" s="2" t="s">
        <v>46</v>
      </c>
    </row>
    <row r="3061" customFormat="false" ht="15.7" hidden="false" customHeight="true" outlineLevel="0" collapsed="false">
      <c r="A3061" s="2"/>
      <c r="B3061" s="3" t="n">
        <f aca="false">DATE(2017,6,14)</f>
        <v>0</v>
      </c>
      <c r="C3061" s="3" t="n">
        <v>42900</v>
      </c>
      <c r="D3061" s="2" t="s">
        <v>23402</v>
      </c>
      <c r="F3061" s="2" t="s">
        <v>23403</v>
      </c>
      <c r="G3061" s="2" t="s">
        <v>23404</v>
      </c>
      <c r="H3061" s="2" t="s">
        <v>7280</v>
      </c>
      <c r="I3061" s="2" t="s">
        <v>821</v>
      </c>
      <c r="J3061" s="2" t="s">
        <v>1983</v>
      </c>
      <c r="K3061" s="2" t="s">
        <v>23402</v>
      </c>
      <c r="L3061" s="2" t="s">
        <v>821</v>
      </c>
      <c r="M3061" s="2" t="s">
        <v>7280</v>
      </c>
      <c r="N3061" s="2" t="s">
        <v>23405</v>
      </c>
      <c r="O3061" s="2"/>
      <c r="P3061" s="2" t="s">
        <v>37</v>
      </c>
      <c r="Q3061" s="4" t="n">
        <v>8731</v>
      </c>
      <c r="R3061" s="2" t="s">
        <v>56</v>
      </c>
      <c r="S3061" s="2" t="s">
        <v>360</v>
      </c>
      <c r="T3061" s="2" t="s">
        <v>40</v>
      </c>
      <c r="U3061" s="2" t="s">
        <v>23406</v>
      </c>
      <c r="V3061" s="2"/>
      <c r="W3061" s="2" t="s">
        <v>344</v>
      </c>
      <c r="X3061" s="2" t="s">
        <v>43</v>
      </c>
      <c r="Y3061" s="2" t="s">
        <v>37</v>
      </c>
      <c r="Z3061" s="2" t="s">
        <v>44</v>
      </c>
      <c r="AA3061" s="2"/>
      <c r="AB3061" s="2"/>
      <c r="AC3061" s="2" t="s">
        <v>23407</v>
      </c>
      <c r="AD3061" s="2" t="s">
        <v>46</v>
      </c>
    </row>
    <row r="3062" customFormat="false" ht="15.7" hidden="false" customHeight="true" outlineLevel="0" collapsed="false">
      <c r="A3062" s="2"/>
      <c r="B3062" s="3" t="n">
        <f aca="false">DATE(2017,6,15)</f>
        <v>0</v>
      </c>
      <c r="C3062" s="3" t="n">
        <v>42901</v>
      </c>
      <c r="D3062" s="2" t="s">
        <v>23408</v>
      </c>
      <c r="F3062" s="2" t="s">
        <v>23409</v>
      </c>
      <c r="G3062" s="2" t="s">
        <v>23410</v>
      </c>
      <c r="H3062" s="2" t="s">
        <v>2312</v>
      </c>
      <c r="I3062" s="2" t="s">
        <v>13151</v>
      </c>
      <c r="J3062" s="2" t="s">
        <v>35</v>
      </c>
      <c r="K3062" s="2" t="s">
        <v>23408</v>
      </c>
      <c r="L3062" s="2" t="s">
        <v>13151</v>
      </c>
      <c r="M3062" s="2" t="s">
        <v>2312</v>
      </c>
      <c r="N3062" s="2" t="s">
        <v>23411</v>
      </c>
      <c r="O3062" s="2"/>
      <c r="P3062" s="2" t="s">
        <v>37</v>
      </c>
      <c r="Q3062" s="4" t="n">
        <v>8099</v>
      </c>
      <c r="R3062" s="2" t="s">
        <v>402</v>
      </c>
      <c r="S3062" s="2" t="s">
        <v>39</v>
      </c>
      <c r="T3062" s="2" t="s">
        <v>403</v>
      </c>
      <c r="U3062" s="2" t="s">
        <v>23412</v>
      </c>
      <c r="V3062" s="2"/>
      <c r="W3062" s="2" t="s">
        <v>23413</v>
      </c>
      <c r="X3062" s="2" t="s">
        <v>43</v>
      </c>
      <c r="Y3062" s="2" t="s">
        <v>37</v>
      </c>
      <c r="Z3062" s="2" t="s">
        <v>44</v>
      </c>
      <c r="AA3062" s="2"/>
      <c r="AB3062" s="2"/>
      <c r="AC3062" s="2" t="s">
        <v>23414</v>
      </c>
      <c r="AD3062" s="2" t="s">
        <v>46</v>
      </c>
    </row>
    <row r="3063" customFormat="false" ht="15.7" hidden="false" customHeight="true" outlineLevel="0" collapsed="false">
      <c r="A3063" s="2"/>
      <c r="B3063" s="3" t="n">
        <f aca="false">DATE(2017,6,15)</f>
        <v>0</v>
      </c>
      <c r="C3063" s="3" t="n">
        <v>42901</v>
      </c>
      <c r="D3063" s="2" t="s">
        <v>23415</v>
      </c>
      <c r="F3063" s="2" t="s">
        <v>23416</v>
      </c>
      <c r="G3063" s="2" t="s">
        <v>23417</v>
      </c>
      <c r="H3063" s="2" t="s">
        <v>523</v>
      </c>
      <c r="I3063" s="2" t="s">
        <v>296</v>
      </c>
      <c r="J3063" s="2" t="s">
        <v>7963</v>
      </c>
      <c r="K3063" s="2" t="s">
        <v>23415</v>
      </c>
      <c r="L3063" s="2" t="s">
        <v>296</v>
      </c>
      <c r="M3063" s="2" t="s">
        <v>523</v>
      </c>
      <c r="N3063" s="2" t="s">
        <v>23418</v>
      </c>
      <c r="O3063" s="2"/>
      <c r="P3063" s="2" t="s">
        <v>79</v>
      </c>
      <c r="Q3063" s="4" t="n">
        <v>8731</v>
      </c>
      <c r="R3063" s="2" t="s">
        <v>136</v>
      </c>
      <c r="S3063" s="2" t="s">
        <v>39</v>
      </c>
      <c r="T3063" s="2" t="s">
        <v>40</v>
      </c>
      <c r="U3063" s="2" t="s">
        <v>23419</v>
      </c>
      <c r="V3063" s="2"/>
      <c r="W3063" s="2" t="s">
        <v>344</v>
      </c>
      <c r="X3063" s="2" t="s">
        <v>43</v>
      </c>
      <c r="Y3063" s="2" t="s">
        <v>37</v>
      </c>
      <c r="Z3063" s="2" t="s">
        <v>44</v>
      </c>
      <c r="AA3063" s="2"/>
      <c r="AB3063" s="2"/>
      <c r="AC3063" s="2" t="s">
        <v>23420</v>
      </c>
      <c r="AD3063" s="2" t="s">
        <v>46</v>
      </c>
    </row>
    <row r="3064" customFormat="false" ht="15.7" hidden="false" customHeight="true" outlineLevel="0" collapsed="false">
      <c r="A3064" s="2"/>
      <c r="B3064" s="3" t="n">
        <f aca="false">DATE(2017,6,15)</f>
        <v>0</v>
      </c>
      <c r="C3064" s="3" t="n">
        <v>42901</v>
      </c>
      <c r="D3064" s="2" t="s">
        <v>23421</v>
      </c>
      <c r="F3064" s="2" t="s">
        <v>5754</v>
      </c>
      <c r="G3064" s="2" t="s">
        <v>23422</v>
      </c>
      <c r="H3064" s="2" t="s">
        <v>130</v>
      </c>
      <c r="I3064" s="2" t="s">
        <v>4325</v>
      </c>
      <c r="J3064" s="2" t="s">
        <v>35</v>
      </c>
      <c r="K3064" s="2" t="s">
        <v>23421</v>
      </c>
      <c r="L3064" s="2" t="s">
        <v>4325</v>
      </c>
      <c r="M3064" s="2" t="s">
        <v>130</v>
      </c>
      <c r="N3064" s="2" t="s">
        <v>23423</v>
      </c>
      <c r="O3064" s="2"/>
      <c r="P3064" s="2" t="s">
        <v>37</v>
      </c>
      <c r="Q3064" s="4" t="n">
        <v>8099</v>
      </c>
      <c r="R3064" s="2" t="s">
        <v>402</v>
      </c>
      <c r="S3064" s="2" t="s">
        <v>39</v>
      </c>
      <c r="T3064" s="2" t="s">
        <v>403</v>
      </c>
      <c r="U3064" s="2" t="s">
        <v>23424</v>
      </c>
      <c r="V3064" s="2"/>
      <c r="W3064" s="2" t="s">
        <v>4487</v>
      </c>
      <c r="X3064" s="2" t="s">
        <v>46</v>
      </c>
      <c r="Y3064" s="2" t="s">
        <v>37</v>
      </c>
      <c r="Z3064" s="2" t="s">
        <v>987</v>
      </c>
      <c r="AA3064" s="2" t="s">
        <v>23425</v>
      </c>
      <c r="AB3064" s="2"/>
      <c r="AC3064" s="2" t="s">
        <v>23426</v>
      </c>
      <c r="AD3064" s="2" t="s">
        <v>46</v>
      </c>
    </row>
    <row r="3065" customFormat="false" ht="15.7" hidden="false" customHeight="true" outlineLevel="0" collapsed="false">
      <c r="A3065" s="2"/>
      <c r="B3065" s="3" t="n">
        <f aca="false">DATE(2017,6,15)</f>
        <v>0</v>
      </c>
      <c r="C3065" s="3" t="n">
        <v>42901</v>
      </c>
      <c r="D3065" s="2" t="s">
        <v>23427</v>
      </c>
      <c r="F3065" s="2" t="s">
        <v>18436</v>
      </c>
      <c r="G3065" s="2" t="s">
        <v>23428</v>
      </c>
      <c r="H3065" s="2" t="s">
        <v>762</v>
      </c>
      <c r="I3065" s="2" t="s">
        <v>369</v>
      </c>
      <c r="J3065" s="2" t="s">
        <v>35</v>
      </c>
      <c r="K3065" s="2" t="s">
        <v>23429</v>
      </c>
      <c r="L3065" s="2" t="s">
        <v>163</v>
      </c>
      <c r="M3065" s="2" t="s">
        <v>523</v>
      </c>
      <c r="N3065" s="2" t="s">
        <v>23430</v>
      </c>
      <c r="O3065" s="2"/>
      <c r="P3065" s="2" t="s">
        <v>37</v>
      </c>
      <c r="Q3065" s="4" t="n">
        <v>8731</v>
      </c>
      <c r="R3065" s="2" t="s">
        <v>105</v>
      </c>
      <c r="S3065" s="2" t="s">
        <v>39</v>
      </c>
      <c r="T3065" s="2" t="s">
        <v>40</v>
      </c>
      <c r="U3065" s="2" t="s">
        <v>23431</v>
      </c>
      <c r="V3065" s="2"/>
      <c r="W3065" s="2" t="s">
        <v>1050</v>
      </c>
      <c r="X3065" s="2" t="s">
        <v>43</v>
      </c>
      <c r="Y3065" s="2" t="s">
        <v>37</v>
      </c>
      <c r="Z3065" s="2" t="s">
        <v>44</v>
      </c>
      <c r="AA3065" s="2"/>
      <c r="AB3065" s="2"/>
      <c r="AC3065" s="2" t="s">
        <v>23432</v>
      </c>
      <c r="AD3065" s="2" t="s">
        <v>46</v>
      </c>
    </row>
    <row r="3066" customFormat="false" ht="15.7" hidden="false" customHeight="true" outlineLevel="0" collapsed="false">
      <c r="A3066" s="2"/>
      <c r="B3066" s="3" t="n">
        <f aca="false">DATE(2017,6,16)</f>
        <v>0</v>
      </c>
      <c r="C3066" s="3" t="n">
        <v>42902</v>
      </c>
      <c r="D3066" s="2" t="s">
        <v>23433</v>
      </c>
      <c r="F3066" s="2" t="s">
        <v>20650</v>
      </c>
      <c r="G3066" s="2" t="s">
        <v>23434</v>
      </c>
      <c r="H3066" s="2" t="s">
        <v>130</v>
      </c>
      <c r="I3066" s="2" t="s">
        <v>1191</v>
      </c>
      <c r="J3066" s="2" t="s">
        <v>35</v>
      </c>
      <c r="K3066" s="2" t="s">
        <v>23435</v>
      </c>
      <c r="L3066" s="2" t="s">
        <v>1191</v>
      </c>
      <c r="M3066" s="2" t="s">
        <v>130</v>
      </c>
      <c r="N3066" s="2" t="s">
        <v>23436</v>
      </c>
      <c r="O3066" s="2"/>
      <c r="P3066" s="2" t="s">
        <v>37</v>
      </c>
      <c r="Q3066" s="4" t="n">
        <v>6794</v>
      </c>
      <c r="R3066" s="2" t="s">
        <v>136</v>
      </c>
      <c r="S3066" s="2" t="s">
        <v>39</v>
      </c>
      <c r="T3066" s="2" t="s">
        <v>40</v>
      </c>
      <c r="U3066" s="2" t="s">
        <v>23437</v>
      </c>
      <c r="V3066" s="2"/>
      <c r="W3066" s="2" t="s">
        <v>23438</v>
      </c>
      <c r="X3066" s="2" t="s">
        <v>43</v>
      </c>
      <c r="Y3066" s="2" t="s">
        <v>37</v>
      </c>
      <c r="Z3066" s="2" t="s">
        <v>44</v>
      </c>
      <c r="AA3066" s="2"/>
      <c r="AB3066" s="2"/>
      <c r="AC3066" s="2" t="s">
        <v>23439</v>
      </c>
      <c r="AD3066" s="2" t="s">
        <v>46</v>
      </c>
    </row>
    <row r="3067" customFormat="false" ht="15.7" hidden="false" customHeight="true" outlineLevel="0" collapsed="false">
      <c r="A3067" s="2"/>
      <c r="B3067" s="3" t="n">
        <f aca="false">DATE(2017,6,16)</f>
        <v>0</v>
      </c>
      <c r="C3067" s="3" t="n">
        <v>42902</v>
      </c>
      <c r="D3067" s="2" t="s">
        <v>23440</v>
      </c>
      <c r="F3067" s="2" t="s">
        <v>23441</v>
      </c>
      <c r="G3067" s="2" t="s">
        <v>23442</v>
      </c>
      <c r="H3067" s="2" t="s">
        <v>23443</v>
      </c>
      <c r="I3067" s="2" t="s">
        <v>3223</v>
      </c>
      <c r="J3067" s="2" t="s">
        <v>116</v>
      </c>
      <c r="K3067" s="2" t="s">
        <v>23444</v>
      </c>
      <c r="L3067" s="2" t="s">
        <v>23445</v>
      </c>
      <c r="M3067" s="2" t="s">
        <v>23446</v>
      </c>
      <c r="N3067" s="2" t="s">
        <v>23447</v>
      </c>
      <c r="O3067" s="2"/>
      <c r="P3067" s="2" t="s">
        <v>37</v>
      </c>
      <c r="Q3067" s="4" t="n">
        <v>3692</v>
      </c>
      <c r="R3067" s="2" t="s">
        <v>402</v>
      </c>
      <c r="S3067" s="2" t="s">
        <v>39</v>
      </c>
      <c r="T3067" s="2" t="s">
        <v>403</v>
      </c>
      <c r="U3067" s="2" t="s">
        <v>23448</v>
      </c>
      <c r="V3067" s="2"/>
      <c r="W3067" s="2" t="s">
        <v>107</v>
      </c>
      <c r="X3067" s="2" t="s">
        <v>46</v>
      </c>
      <c r="Y3067" s="2" t="s">
        <v>37</v>
      </c>
      <c r="Z3067" s="2" t="s">
        <v>23449</v>
      </c>
      <c r="AA3067" s="2" t="s">
        <v>23450</v>
      </c>
      <c r="AB3067" s="2"/>
      <c r="AC3067" s="2" t="s">
        <v>23451</v>
      </c>
      <c r="AD3067" s="2" t="s">
        <v>46</v>
      </c>
    </row>
    <row r="3068" customFormat="false" ht="15.7" hidden="false" customHeight="true" outlineLevel="0" collapsed="false">
      <c r="A3068" s="2"/>
      <c r="B3068" s="3" t="n">
        <f aca="false">DATE(2017,6,19)</f>
        <v>0</v>
      </c>
      <c r="C3068" s="3" t="n">
        <v>42905</v>
      </c>
      <c r="D3068" s="2" t="s">
        <v>23452</v>
      </c>
      <c r="F3068" s="2" t="s">
        <v>23453</v>
      </c>
      <c r="G3068" s="2" t="s">
        <v>23454</v>
      </c>
      <c r="H3068" s="2" t="s">
        <v>23455</v>
      </c>
      <c r="I3068" s="2" t="s">
        <v>17785</v>
      </c>
      <c r="J3068" s="2" t="s">
        <v>35</v>
      </c>
      <c r="K3068" s="2" t="s">
        <v>23456</v>
      </c>
      <c r="L3068" s="2" t="s">
        <v>17785</v>
      </c>
      <c r="M3068" s="2" t="s">
        <v>23457</v>
      </c>
      <c r="N3068" s="2" t="s">
        <v>23458</v>
      </c>
      <c r="O3068" s="2"/>
      <c r="P3068" s="2" t="s">
        <v>37</v>
      </c>
      <c r="Q3068" s="4" t="n">
        <v>1731</v>
      </c>
      <c r="R3068" s="2" t="s">
        <v>1208</v>
      </c>
      <c r="S3068" s="2" t="s">
        <v>39</v>
      </c>
      <c r="T3068" s="2" t="s">
        <v>403</v>
      </c>
      <c r="U3068" s="2" t="s">
        <v>23459</v>
      </c>
      <c r="V3068" s="2"/>
      <c r="W3068" s="2" t="s">
        <v>11763</v>
      </c>
      <c r="X3068" s="2" t="s">
        <v>46</v>
      </c>
      <c r="Y3068" s="2" t="s">
        <v>37</v>
      </c>
      <c r="Z3068" s="2" t="s">
        <v>362</v>
      </c>
      <c r="AA3068" s="2"/>
      <c r="AB3068" s="2"/>
      <c r="AC3068" s="2" t="s">
        <v>23460</v>
      </c>
      <c r="AD3068" s="2" t="s">
        <v>46</v>
      </c>
    </row>
    <row r="3069" customFormat="false" ht="15.7" hidden="false" customHeight="true" outlineLevel="0" collapsed="false">
      <c r="A3069" s="2"/>
      <c r="B3069" s="3" t="n">
        <f aca="false">DATE(2017,6,19)</f>
        <v>0</v>
      </c>
      <c r="C3069" s="3" t="n">
        <v>42905</v>
      </c>
      <c r="D3069" s="2" t="s">
        <v>23461</v>
      </c>
      <c r="F3069" s="2" t="s">
        <v>23462</v>
      </c>
      <c r="G3069" s="2" t="s">
        <v>23463</v>
      </c>
      <c r="H3069" s="2" t="s">
        <v>23464</v>
      </c>
      <c r="I3069" s="2" t="s">
        <v>685</v>
      </c>
      <c r="J3069" s="2" t="s">
        <v>35</v>
      </c>
      <c r="K3069" s="2" t="s">
        <v>23461</v>
      </c>
      <c r="L3069" s="2" t="s">
        <v>685</v>
      </c>
      <c r="M3069" s="2" t="s">
        <v>23464</v>
      </c>
      <c r="N3069" s="2" t="s">
        <v>23465</v>
      </c>
      <c r="O3069" s="2"/>
      <c r="P3069" s="2" t="s">
        <v>37</v>
      </c>
      <c r="Q3069" s="4" t="n">
        <v>1731</v>
      </c>
      <c r="R3069" s="2" t="s">
        <v>688</v>
      </c>
      <c r="S3069" s="2" t="s">
        <v>39</v>
      </c>
      <c r="T3069" s="2" t="s">
        <v>40</v>
      </c>
      <c r="U3069" s="2" t="s">
        <v>23466</v>
      </c>
      <c r="V3069" s="2"/>
      <c r="W3069" s="2" t="s">
        <v>10841</v>
      </c>
      <c r="X3069" s="2" t="s">
        <v>43</v>
      </c>
      <c r="Y3069" s="2" t="s">
        <v>37</v>
      </c>
      <c r="Z3069" s="2" t="s">
        <v>44</v>
      </c>
      <c r="AA3069" s="2"/>
      <c r="AB3069" s="2"/>
      <c r="AC3069" s="2" t="s">
        <v>23467</v>
      </c>
      <c r="AD3069" s="2" t="s">
        <v>46</v>
      </c>
    </row>
    <row r="3070" customFormat="false" ht="15.7" hidden="false" customHeight="true" outlineLevel="0" collapsed="false">
      <c r="A3070" s="2"/>
      <c r="B3070" s="3" t="n">
        <f aca="false">DATE(2017,6,19)</f>
        <v>0</v>
      </c>
      <c r="C3070" s="3" t="n">
        <v>42905</v>
      </c>
      <c r="D3070" s="2" t="s">
        <v>23468</v>
      </c>
      <c r="F3070" s="2" t="s">
        <v>17957</v>
      </c>
      <c r="G3070" s="2" t="s">
        <v>23469</v>
      </c>
      <c r="H3070" s="2" t="s">
        <v>1020</v>
      </c>
      <c r="I3070" s="2" t="s">
        <v>2522</v>
      </c>
      <c r="J3070" s="2" t="s">
        <v>575</v>
      </c>
      <c r="K3070" s="2" t="s">
        <v>23468</v>
      </c>
      <c r="L3070" s="2" t="s">
        <v>2522</v>
      </c>
      <c r="M3070" s="2" t="s">
        <v>1020</v>
      </c>
      <c r="N3070" s="2" t="s">
        <v>23470</v>
      </c>
      <c r="O3070" s="2"/>
      <c r="P3070" s="2" t="s">
        <v>37</v>
      </c>
      <c r="Q3070" s="4" t="n">
        <v>8731</v>
      </c>
      <c r="R3070" s="2" t="s">
        <v>136</v>
      </c>
      <c r="S3070" s="2" t="s">
        <v>39</v>
      </c>
      <c r="T3070" s="2" t="s">
        <v>40</v>
      </c>
      <c r="U3070" s="2" t="s">
        <v>23471</v>
      </c>
      <c r="V3070" s="2"/>
      <c r="W3070" s="2" t="s">
        <v>344</v>
      </c>
      <c r="X3070" s="2" t="s">
        <v>43</v>
      </c>
      <c r="Y3070" s="2" t="s">
        <v>37</v>
      </c>
      <c r="Z3070" s="2" t="s">
        <v>44</v>
      </c>
      <c r="AA3070" s="2"/>
      <c r="AB3070" s="2"/>
      <c r="AC3070" s="2" t="s">
        <v>23472</v>
      </c>
      <c r="AD3070" s="2" t="s">
        <v>46</v>
      </c>
    </row>
    <row r="3071" customFormat="false" ht="15.7" hidden="false" customHeight="true" outlineLevel="0" collapsed="false">
      <c r="A3071" s="2"/>
      <c r="B3071" s="3" t="n">
        <f aca="false">DATE(2017,6,19)</f>
        <v>0</v>
      </c>
      <c r="C3071" s="3" t="n">
        <v>42905</v>
      </c>
      <c r="D3071" s="2" t="s">
        <v>23473</v>
      </c>
      <c r="F3071" s="2" t="s">
        <v>23474</v>
      </c>
      <c r="G3071" s="2" t="s">
        <v>23475</v>
      </c>
      <c r="H3071" s="2" t="s">
        <v>23476</v>
      </c>
      <c r="I3071" s="2" t="s">
        <v>11818</v>
      </c>
      <c r="J3071" s="2" t="s">
        <v>1305</v>
      </c>
      <c r="K3071" s="2" t="s">
        <v>23477</v>
      </c>
      <c r="L3071" s="2" t="s">
        <v>23478</v>
      </c>
      <c r="M3071" s="2" t="s">
        <v>23476</v>
      </c>
      <c r="N3071" s="2" t="s">
        <v>23479</v>
      </c>
      <c r="O3071" s="2"/>
      <c r="P3071" s="2" t="s">
        <v>37</v>
      </c>
      <c r="Q3071" s="4" t="n">
        <v>8731</v>
      </c>
      <c r="R3071" s="2" t="s">
        <v>402</v>
      </c>
      <c r="S3071" s="2" t="s">
        <v>39</v>
      </c>
      <c r="T3071" s="2" t="s">
        <v>403</v>
      </c>
      <c r="U3071" s="2" t="s">
        <v>23480</v>
      </c>
      <c r="V3071" s="2"/>
      <c r="W3071" s="2" t="s">
        <v>42</v>
      </c>
      <c r="X3071" s="2" t="s">
        <v>46</v>
      </c>
      <c r="Y3071" s="2" t="s">
        <v>37</v>
      </c>
      <c r="Z3071" s="2" t="s">
        <v>23481</v>
      </c>
      <c r="AA3071" s="2" t="s">
        <v>23482</v>
      </c>
      <c r="AB3071" s="2"/>
      <c r="AC3071" s="2" t="s">
        <v>23483</v>
      </c>
      <c r="AD3071" s="2" t="s">
        <v>46</v>
      </c>
    </row>
    <row r="3072" customFormat="false" ht="15.7" hidden="false" customHeight="true" outlineLevel="0" collapsed="false">
      <c r="A3072" s="2"/>
      <c r="B3072" s="3" t="n">
        <f aca="false">DATE(2017,6,20)</f>
        <v>0</v>
      </c>
      <c r="C3072" s="3" t="n">
        <v>42906</v>
      </c>
      <c r="D3072" s="2" t="s">
        <v>23484</v>
      </c>
      <c r="F3072" s="2" t="s">
        <v>23485</v>
      </c>
      <c r="G3072" s="2" t="s">
        <v>23486</v>
      </c>
      <c r="H3072" s="2" t="s">
        <v>6372</v>
      </c>
      <c r="I3072" s="2" t="s">
        <v>51</v>
      </c>
      <c r="J3072" s="2" t="s">
        <v>1593</v>
      </c>
      <c r="K3072" s="2" t="s">
        <v>23487</v>
      </c>
      <c r="L3072" s="2" t="s">
        <v>51</v>
      </c>
      <c r="M3072" s="2" t="s">
        <v>23488</v>
      </c>
      <c r="N3072" s="2" t="s">
        <v>23489</v>
      </c>
      <c r="O3072" s="2"/>
      <c r="P3072" s="2" t="s">
        <v>37</v>
      </c>
      <c r="Q3072" s="4" t="n">
        <v>8731</v>
      </c>
      <c r="R3072" s="2" t="s">
        <v>56</v>
      </c>
      <c r="S3072" s="2" t="s">
        <v>57</v>
      </c>
      <c r="T3072" s="2" t="s">
        <v>40</v>
      </c>
      <c r="U3072" s="2" t="s">
        <v>23490</v>
      </c>
      <c r="V3072" s="2"/>
      <c r="W3072" s="2" t="s">
        <v>18966</v>
      </c>
      <c r="X3072" s="2" t="s">
        <v>43</v>
      </c>
      <c r="Y3072" s="2" t="s">
        <v>37</v>
      </c>
      <c r="Z3072" s="2" t="s">
        <v>44</v>
      </c>
      <c r="AA3072" s="2"/>
      <c r="AB3072" s="2"/>
      <c r="AC3072" s="2" t="s">
        <v>23491</v>
      </c>
      <c r="AD3072" s="2" t="s">
        <v>46</v>
      </c>
    </row>
    <row r="3073" customFormat="false" ht="15.7" hidden="false" customHeight="true" outlineLevel="0" collapsed="false">
      <c r="A3073" s="2"/>
      <c r="B3073" s="3" t="n">
        <f aca="false">DATE(2017,6,20)</f>
        <v>0</v>
      </c>
      <c r="C3073" s="3" t="n">
        <v>42906</v>
      </c>
      <c r="D3073" s="2" t="s">
        <v>23492</v>
      </c>
      <c r="F3073" s="2" t="s">
        <v>23493</v>
      </c>
      <c r="G3073" s="2" t="s">
        <v>23494</v>
      </c>
      <c r="H3073" s="2" t="s">
        <v>2918</v>
      </c>
      <c r="I3073" s="2" t="s">
        <v>6389</v>
      </c>
      <c r="J3073" s="2" t="s">
        <v>23495</v>
      </c>
      <c r="K3073" s="2" t="s">
        <v>23492</v>
      </c>
      <c r="L3073" s="2" t="s">
        <v>6389</v>
      </c>
      <c r="M3073" s="2" t="s">
        <v>2918</v>
      </c>
      <c r="N3073" s="2" t="s">
        <v>23496</v>
      </c>
      <c r="O3073" s="2"/>
      <c r="P3073" s="2" t="s">
        <v>37</v>
      </c>
      <c r="Q3073" s="4" t="n">
        <v>8099</v>
      </c>
      <c r="R3073" s="2" t="s">
        <v>136</v>
      </c>
      <c r="S3073" s="2" t="s">
        <v>39</v>
      </c>
      <c r="T3073" s="2" t="s">
        <v>40</v>
      </c>
      <c r="U3073" s="2" t="s">
        <v>23497</v>
      </c>
      <c r="V3073" s="2"/>
      <c r="W3073" s="2" t="s">
        <v>4487</v>
      </c>
      <c r="X3073" s="2" t="s">
        <v>43</v>
      </c>
      <c r="Y3073" s="2" t="s">
        <v>37</v>
      </c>
      <c r="Z3073" s="2" t="s">
        <v>916</v>
      </c>
      <c r="AA3073" s="2"/>
      <c r="AB3073" s="2"/>
      <c r="AC3073" s="2" t="s">
        <v>23498</v>
      </c>
      <c r="AD3073" s="2" t="s">
        <v>46</v>
      </c>
    </row>
    <row r="3074" customFormat="false" ht="15.7" hidden="false" customHeight="true" outlineLevel="0" collapsed="false">
      <c r="A3074" s="2"/>
      <c r="B3074" s="3" t="n">
        <f aca="false">DATE(2017,6,20)</f>
        <v>0</v>
      </c>
      <c r="C3074" s="3" t="n">
        <v>42906</v>
      </c>
      <c r="D3074" s="2" t="s">
        <v>23499</v>
      </c>
      <c r="F3074" s="2" t="s">
        <v>23500</v>
      </c>
      <c r="G3074" s="2" t="s">
        <v>23501</v>
      </c>
      <c r="H3074" s="2" t="s">
        <v>23502</v>
      </c>
      <c r="I3074" s="2" t="s">
        <v>4325</v>
      </c>
      <c r="J3074" s="2" t="s">
        <v>35</v>
      </c>
      <c r="K3074" s="2" t="s">
        <v>23499</v>
      </c>
      <c r="L3074" s="2" t="s">
        <v>4325</v>
      </c>
      <c r="M3074" s="2" t="s">
        <v>23502</v>
      </c>
      <c r="N3074" s="2" t="s">
        <v>23503</v>
      </c>
      <c r="O3074" s="2"/>
      <c r="P3074" s="2" t="s">
        <v>37</v>
      </c>
      <c r="Q3074" s="4" t="n">
        <v>6289</v>
      </c>
      <c r="R3074" s="2" t="s">
        <v>402</v>
      </c>
      <c r="S3074" s="2" t="s">
        <v>39</v>
      </c>
      <c r="T3074" s="2" t="s">
        <v>40</v>
      </c>
      <c r="U3074" s="2" t="s">
        <v>23504</v>
      </c>
      <c r="V3074" s="2"/>
      <c r="W3074" s="2" t="s">
        <v>23505</v>
      </c>
      <c r="X3074" s="2" t="s">
        <v>43</v>
      </c>
      <c r="Y3074" s="2" t="s">
        <v>37</v>
      </c>
      <c r="Z3074" s="2" t="s">
        <v>44</v>
      </c>
      <c r="AA3074" s="2"/>
      <c r="AB3074" s="2"/>
      <c r="AC3074" s="2" t="s">
        <v>23506</v>
      </c>
      <c r="AD3074" s="2" t="s">
        <v>46</v>
      </c>
    </row>
    <row r="3075" customFormat="false" ht="15.7" hidden="false" customHeight="true" outlineLevel="0" collapsed="false">
      <c r="A3075" s="2"/>
      <c r="B3075" s="3" t="n">
        <f aca="false">DATE(2017,6,20)</f>
        <v>0</v>
      </c>
      <c r="C3075" s="3" t="n">
        <v>42906</v>
      </c>
      <c r="D3075" s="2" t="s">
        <v>23507</v>
      </c>
      <c r="F3075" s="2" t="s">
        <v>19528</v>
      </c>
      <c r="G3075" s="2" t="s">
        <v>23508</v>
      </c>
      <c r="H3075" s="2" t="s">
        <v>1943</v>
      </c>
      <c r="I3075" s="2" t="s">
        <v>821</v>
      </c>
      <c r="J3075" s="2" t="s">
        <v>1520</v>
      </c>
      <c r="K3075" s="2" t="s">
        <v>23507</v>
      </c>
      <c r="L3075" s="2" t="s">
        <v>821</v>
      </c>
      <c r="M3075" s="2" t="s">
        <v>1943</v>
      </c>
      <c r="N3075" s="2" t="s">
        <v>23509</v>
      </c>
      <c r="O3075" s="2"/>
      <c r="P3075" s="2" t="s">
        <v>37</v>
      </c>
      <c r="Q3075" s="4" t="n">
        <v>6794</v>
      </c>
      <c r="R3075" s="2" t="s">
        <v>450</v>
      </c>
      <c r="S3075" s="2" t="s">
        <v>39</v>
      </c>
      <c r="T3075" s="2" t="s">
        <v>40</v>
      </c>
      <c r="U3075" s="2" t="s">
        <v>23510</v>
      </c>
      <c r="V3075" s="2"/>
      <c r="W3075" s="2" t="s">
        <v>23511</v>
      </c>
      <c r="X3075" s="2" t="s">
        <v>43</v>
      </c>
      <c r="Y3075" s="2" t="s">
        <v>37</v>
      </c>
      <c r="Z3075" s="2" t="s">
        <v>44</v>
      </c>
      <c r="AA3075" s="2"/>
      <c r="AB3075" s="2"/>
      <c r="AC3075" s="2" t="s">
        <v>23512</v>
      </c>
      <c r="AD3075" s="2" t="s">
        <v>46</v>
      </c>
    </row>
    <row r="3076" customFormat="false" ht="15.7" hidden="false" customHeight="true" outlineLevel="0" collapsed="false">
      <c r="A3076" s="2"/>
      <c r="B3076" s="3" t="n">
        <f aca="false">DATE(2017,6,21)</f>
        <v>0</v>
      </c>
      <c r="C3076" s="3" t="n">
        <v>42907</v>
      </c>
      <c r="D3076" s="2" t="s">
        <v>23513</v>
      </c>
      <c r="F3076" s="2" t="s">
        <v>23514</v>
      </c>
      <c r="G3076" s="2" t="s">
        <v>23515</v>
      </c>
      <c r="H3076" s="2" t="s">
        <v>23516</v>
      </c>
      <c r="I3076" s="2" t="s">
        <v>23517</v>
      </c>
      <c r="J3076" s="2" t="s">
        <v>35</v>
      </c>
      <c r="K3076" s="2" t="s">
        <v>23513</v>
      </c>
      <c r="L3076" s="2" t="s">
        <v>23517</v>
      </c>
      <c r="M3076" s="2" t="s">
        <v>23516</v>
      </c>
      <c r="N3076" s="2" t="s">
        <v>23518</v>
      </c>
      <c r="O3076" s="2"/>
      <c r="P3076" s="2" t="s">
        <v>37</v>
      </c>
      <c r="Q3076" s="4" t="n">
        <v>7389</v>
      </c>
      <c r="R3076" s="2" t="s">
        <v>23519</v>
      </c>
      <c r="S3076" s="2" t="s">
        <v>23520</v>
      </c>
      <c r="T3076" s="2" t="s">
        <v>40</v>
      </c>
      <c r="U3076" s="2" t="s">
        <v>23521</v>
      </c>
      <c r="V3076" s="2"/>
      <c r="W3076" s="2" t="s">
        <v>23522</v>
      </c>
      <c r="X3076" s="2" t="s">
        <v>43</v>
      </c>
      <c r="Y3076" s="2" t="s">
        <v>79</v>
      </c>
      <c r="Z3076" s="2" t="s">
        <v>44</v>
      </c>
      <c r="AA3076" s="2"/>
      <c r="AB3076" s="2"/>
      <c r="AC3076" s="2" t="s">
        <v>23523</v>
      </c>
      <c r="AD3076" s="2" t="s">
        <v>46</v>
      </c>
    </row>
    <row r="3077" customFormat="false" ht="15.7" hidden="false" customHeight="true" outlineLevel="0" collapsed="false">
      <c r="A3077" s="2"/>
      <c r="B3077" s="3" t="n">
        <f aca="false">DATE(2017,6,21)</f>
        <v>0</v>
      </c>
      <c r="C3077" s="3" t="n">
        <v>42907</v>
      </c>
      <c r="D3077" s="2" t="s">
        <v>23524</v>
      </c>
      <c r="F3077" s="2" t="s">
        <v>23525</v>
      </c>
      <c r="G3077" s="2" t="s">
        <v>23526</v>
      </c>
      <c r="H3077" s="2" t="s">
        <v>23527</v>
      </c>
      <c r="I3077" s="2" t="s">
        <v>13399</v>
      </c>
      <c r="J3077" s="2" t="s">
        <v>116</v>
      </c>
      <c r="K3077" s="2" t="s">
        <v>23528</v>
      </c>
      <c r="L3077" s="2" t="s">
        <v>23529</v>
      </c>
      <c r="M3077" s="2" t="s">
        <v>23527</v>
      </c>
      <c r="N3077" s="2" t="s">
        <v>23530</v>
      </c>
      <c r="O3077" s="2"/>
      <c r="P3077" s="2" t="s">
        <v>37</v>
      </c>
      <c r="Q3077" s="4" t="n">
        <v>3824</v>
      </c>
      <c r="R3077" s="2" t="s">
        <v>136</v>
      </c>
      <c r="S3077" s="2" t="s">
        <v>39</v>
      </c>
      <c r="T3077" s="2" t="s">
        <v>40</v>
      </c>
      <c r="U3077" s="2" t="s">
        <v>23531</v>
      </c>
      <c r="V3077" s="2"/>
      <c r="W3077" s="2" t="s">
        <v>6066</v>
      </c>
      <c r="X3077" s="2" t="s">
        <v>43</v>
      </c>
      <c r="Y3077" s="2" t="s">
        <v>37</v>
      </c>
      <c r="Z3077" s="2" t="s">
        <v>916</v>
      </c>
      <c r="AA3077" s="2"/>
      <c r="AB3077" s="2"/>
      <c r="AC3077" s="2" t="s">
        <v>23532</v>
      </c>
      <c r="AD3077" s="2" t="s">
        <v>46</v>
      </c>
    </row>
    <row r="3078" customFormat="false" ht="15.7" hidden="false" customHeight="true" outlineLevel="0" collapsed="false">
      <c r="A3078" s="2"/>
      <c r="B3078" s="3" t="n">
        <f aca="false">DATE(2017,6,21)</f>
        <v>0</v>
      </c>
      <c r="C3078" s="3" t="n">
        <v>42907</v>
      </c>
      <c r="D3078" s="2" t="s">
        <v>23533</v>
      </c>
      <c r="F3078" s="2" t="s">
        <v>23534</v>
      </c>
      <c r="G3078" s="2" t="s">
        <v>23535</v>
      </c>
      <c r="H3078" s="2" t="s">
        <v>9242</v>
      </c>
      <c r="I3078" s="2" t="s">
        <v>867</v>
      </c>
      <c r="J3078" s="2" t="s">
        <v>35</v>
      </c>
      <c r="K3078" s="2" t="s">
        <v>23536</v>
      </c>
      <c r="L3078" s="2" t="s">
        <v>23537</v>
      </c>
      <c r="M3078" s="2" t="s">
        <v>387</v>
      </c>
      <c r="N3078" s="2" t="s">
        <v>23538</v>
      </c>
      <c r="O3078" s="2" t="s">
        <v>23539</v>
      </c>
      <c r="P3078" s="2" t="s">
        <v>37</v>
      </c>
      <c r="Q3078" s="4" t="n">
        <v>8731</v>
      </c>
      <c r="R3078" s="2" t="s">
        <v>869</v>
      </c>
      <c r="S3078" s="2" t="s">
        <v>39</v>
      </c>
      <c r="T3078" s="2" t="s">
        <v>40</v>
      </c>
      <c r="U3078" s="2" t="s">
        <v>23540</v>
      </c>
      <c r="V3078" s="2"/>
      <c r="W3078" s="2" t="s">
        <v>344</v>
      </c>
      <c r="X3078" s="2" t="s">
        <v>46</v>
      </c>
      <c r="Y3078" s="2" t="s">
        <v>37</v>
      </c>
      <c r="Z3078" s="2" t="s">
        <v>44</v>
      </c>
      <c r="AA3078" s="2"/>
      <c r="AB3078" s="2" t="s">
        <v>23541</v>
      </c>
      <c r="AC3078" s="2" t="s">
        <v>23542</v>
      </c>
      <c r="AD3078" s="2" t="s">
        <v>46</v>
      </c>
    </row>
    <row r="3079" customFormat="false" ht="15.7" hidden="false" customHeight="true" outlineLevel="0" collapsed="false">
      <c r="A3079" s="2"/>
      <c r="B3079" s="3" t="n">
        <f aca="false">DATE(2017,6,22)</f>
        <v>0</v>
      </c>
      <c r="C3079" s="3" t="n">
        <v>42908</v>
      </c>
      <c r="D3079" s="2" t="s">
        <v>23543</v>
      </c>
      <c r="F3079" s="2" t="s">
        <v>23544</v>
      </c>
      <c r="G3079" s="2" t="s">
        <v>23545</v>
      </c>
      <c r="H3079" s="2" t="s">
        <v>305</v>
      </c>
      <c r="I3079" s="2" t="s">
        <v>51</v>
      </c>
      <c r="J3079" s="2" t="s">
        <v>178</v>
      </c>
      <c r="K3079" s="2" t="s">
        <v>23543</v>
      </c>
      <c r="L3079" s="2" t="s">
        <v>51</v>
      </c>
      <c r="M3079" s="2" t="s">
        <v>305</v>
      </c>
      <c r="N3079" s="2" t="s">
        <v>23546</v>
      </c>
      <c r="O3079" s="2"/>
      <c r="P3079" s="2" t="s">
        <v>37</v>
      </c>
      <c r="Q3079" s="4" t="n">
        <v>8731</v>
      </c>
      <c r="R3079" s="2" t="s">
        <v>56</v>
      </c>
      <c r="S3079" s="2" t="s">
        <v>92</v>
      </c>
      <c r="T3079" s="2" t="s">
        <v>40</v>
      </c>
      <c r="U3079" s="2" t="s">
        <v>23547</v>
      </c>
      <c r="V3079" s="2"/>
      <c r="W3079" s="2" t="s">
        <v>42</v>
      </c>
      <c r="X3079" s="2" t="s">
        <v>43</v>
      </c>
      <c r="Y3079" s="2" t="s">
        <v>37</v>
      </c>
      <c r="Z3079" s="2" t="s">
        <v>44</v>
      </c>
      <c r="AA3079" s="2"/>
      <c r="AB3079" s="2"/>
      <c r="AC3079" s="2" t="s">
        <v>23548</v>
      </c>
      <c r="AD3079" s="2" t="s">
        <v>46</v>
      </c>
    </row>
    <row r="3080" customFormat="false" ht="15.7" hidden="false" customHeight="true" outlineLevel="0" collapsed="false">
      <c r="A3080" s="2"/>
      <c r="B3080" s="3" t="n">
        <f aca="false">DATE(2017,6,22)</f>
        <v>0</v>
      </c>
      <c r="C3080" s="3" t="n">
        <v>42908</v>
      </c>
      <c r="D3080" s="2" t="s">
        <v>23549</v>
      </c>
      <c r="F3080" s="2" t="s">
        <v>17277</v>
      </c>
      <c r="G3080" s="2" t="s">
        <v>23550</v>
      </c>
      <c r="H3080" s="2" t="s">
        <v>523</v>
      </c>
      <c r="I3080" s="2" t="s">
        <v>100</v>
      </c>
      <c r="J3080" s="2" t="s">
        <v>575</v>
      </c>
      <c r="K3080" s="2" t="s">
        <v>23549</v>
      </c>
      <c r="L3080" s="2" t="s">
        <v>100</v>
      </c>
      <c r="M3080" s="2" t="s">
        <v>523</v>
      </c>
      <c r="N3080" s="2" t="s">
        <v>23551</v>
      </c>
      <c r="O3080" s="2"/>
      <c r="P3080" s="2" t="s">
        <v>37</v>
      </c>
      <c r="Q3080" s="4" t="n">
        <v>6794</v>
      </c>
      <c r="R3080" s="2" t="s">
        <v>136</v>
      </c>
      <c r="S3080" s="2" t="s">
        <v>39</v>
      </c>
      <c r="T3080" s="2" t="s">
        <v>40</v>
      </c>
      <c r="U3080" s="2" t="s">
        <v>23552</v>
      </c>
      <c r="V3080" s="2"/>
      <c r="W3080" s="2" t="s">
        <v>15545</v>
      </c>
      <c r="X3080" s="2" t="s">
        <v>43</v>
      </c>
      <c r="Y3080" s="2" t="s">
        <v>37</v>
      </c>
      <c r="Z3080" s="2" t="s">
        <v>44</v>
      </c>
      <c r="AA3080" s="2"/>
      <c r="AB3080" s="2"/>
      <c r="AC3080" s="2" t="s">
        <v>23553</v>
      </c>
      <c r="AD3080" s="2" t="s">
        <v>46</v>
      </c>
    </row>
    <row r="3081" customFormat="false" ht="15.7" hidden="false" customHeight="true" outlineLevel="0" collapsed="false">
      <c r="A3081" s="2"/>
      <c r="B3081" s="3" t="n">
        <f aca="false">DATE(2017,6,26)</f>
        <v>0</v>
      </c>
      <c r="C3081" s="3" t="n">
        <v>42912</v>
      </c>
      <c r="D3081" s="2" t="s">
        <v>23554</v>
      </c>
      <c r="F3081" s="2" t="s">
        <v>23555</v>
      </c>
      <c r="G3081" s="2" t="s">
        <v>23556</v>
      </c>
      <c r="H3081" s="2" t="s">
        <v>130</v>
      </c>
      <c r="I3081" s="2" t="s">
        <v>5971</v>
      </c>
      <c r="J3081" s="2" t="s">
        <v>35</v>
      </c>
      <c r="K3081" s="2" t="s">
        <v>23554</v>
      </c>
      <c r="L3081" s="2" t="s">
        <v>5971</v>
      </c>
      <c r="M3081" s="2" t="s">
        <v>130</v>
      </c>
      <c r="N3081" s="2" t="s">
        <v>23557</v>
      </c>
      <c r="O3081" s="2"/>
      <c r="P3081" s="2" t="s">
        <v>37</v>
      </c>
      <c r="Q3081" s="4" t="n">
        <v>8731</v>
      </c>
      <c r="R3081" s="2" t="s">
        <v>136</v>
      </c>
      <c r="S3081" s="2" t="s">
        <v>39</v>
      </c>
      <c r="T3081" s="2" t="s">
        <v>40</v>
      </c>
      <c r="U3081" s="2" t="s">
        <v>23558</v>
      </c>
      <c r="V3081" s="2"/>
      <c r="W3081" s="2" t="s">
        <v>15545</v>
      </c>
      <c r="X3081" s="2" t="s">
        <v>43</v>
      </c>
      <c r="Y3081" s="2" t="s">
        <v>37</v>
      </c>
      <c r="Z3081" s="2" t="s">
        <v>44</v>
      </c>
      <c r="AA3081" s="2"/>
      <c r="AB3081" s="2"/>
      <c r="AC3081" s="2" t="s">
        <v>23559</v>
      </c>
      <c r="AD3081" s="2" t="s">
        <v>46</v>
      </c>
    </row>
    <row r="3082" customFormat="false" ht="15.7" hidden="false" customHeight="true" outlineLevel="0" collapsed="false">
      <c r="A3082" s="2"/>
      <c r="B3082" s="3" t="n">
        <f aca="false">DATE(2017,6,27)</f>
        <v>0</v>
      </c>
      <c r="C3082" s="3" t="n">
        <v>42913</v>
      </c>
      <c r="D3082" s="2" t="s">
        <v>23560</v>
      </c>
      <c r="F3082" s="2" t="s">
        <v>14930</v>
      </c>
      <c r="G3082" s="2" t="s">
        <v>23561</v>
      </c>
      <c r="H3082" s="2" t="s">
        <v>63</v>
      </c>
      <c r="I3082" s="2" t="s">
        <v>3885</v>
      </c>
      <c r="J3082" s="2" t="s">
        <v>35</v>
      </c>
      <c r="K3082" s="2" t="s">
        <v>23560</v>
      </c>
      <c r="L3082" s="2" t="s">
        <v>3885</v>
      </c>
      <c r="M3082" s="2" t="s">
        <v>63</v>
      </c>
      <c r="N3082" s="2" t="s">
        <v>23562</v>
      </c>
      <c r="O3082" s="2"/>
      <c r="P3082" s="2" t="s">
        <v>37</v>
      </c>
      <c r="Q3082" s="4" t="n">
        <v>6794</v>
      </c>
      <c r="R3082" s="2" t="s">
        <v>38</v>
      </c>
      <c r="S3082" s="2" t="s">
        <v>39</v>
      </c>
      <c r="T3082" s="2" t="s">
        <v>40</v>
      </c>
      <c r="U3082" s="2" t="s">
        <v>23563</v>
      </c>
      <c r="V3082" s="2"/>
      <c r="W3082" s="2" t="s">
        <v>15545</v>
      </c>
      <c r="X3082" s="2" t="s">
        <v>43</v>
      </c>
      <c r="Y3082" s="2" t="s">
        <v>37</v>
      </c>
      <c r="Z3082" s="2" t="s">
        <v>44</v>
      </c>
      <c r="AA3082" s="2"/>
      <c r="AB3082" s="2"/>
      <c r="AC3082" s="2" t="s">
        <v>23564</v>
      </c>
      <c r="AD3082" s="2" t="s">
        <v>46</v>
      </c>
    </row>
    <row r="3083" customFormat="false" ht="15.7" hidden="false" customHeight="true" outlineLevel="0" collapsed="false">
      <c r="A3083" s="2"/>
      <c r="B3083" s="3" t="n">
        <f aca="false">DATE(2017,6,28)</f>
        <v>0</v>
      </c>
      <c r="C3083" s="3" t="n">
        <v>42914</v>
      </c>
      <c r="D3083" s="2" t="s">
        <v>23565</v>
      </c>
      <c r="F3083" s="2" t="s">
        <v>20650</v>
      </c>
      <c r="G3083" s="2" t="s">
        <v>23566</v>
      </c>
      <c r="H3083" s="2" t="s">
        <v>130</v>
      </c>
      <c r="I3083" s="2" t="s">
        <v>612</v>
      </c>
      <c r="J3083" s="2" t="s">
        <v>35</v>
      </c>
      <c r="K3083" s="2" t="s">
        <v>23565</v>
      </c>
      <c r="L3083" s="2" t="s">
        <v>612</v>
      </c>
      <c r="M3083" s="2" t="s">
        <v>130</v>
      </c>
      <c r="N3083" s="2" t="s">
        <v>23567</v>
      </c>
      <c r="O3083" s="2"/>
      <c r="P3083" s="2" t="s">
        <v>37</v>
      </c>
      <c r="Q3083" s="4" t="n">
        <v>8099</v>
      </c>
      <c r="R3083" s="2"/>
      <c r="S3083" s="2"/>
      <c r="T3083" s="2" t="s">
        <v>40</v>
      </c>
      <c r="U3083" s="2" t="s">
        <v>23568</v>
      </c>
      <c r="V3083" s="2"/>
      <c r="W3083" s="2" t="s">
        <v>4487</v>
      </c>
      <c r="X3083" s="2" t="s">
        <v>43</v>
      </c>
      <c r="Y3083" s="2" t="s">
        <v>37</v>
      </c>
      <c r="Z3083" s="2" t="s">
        <v>44</v>
      </c>
      <c r="AA3083" s="2"/>
      <c r="AB3083" s="2"/>
      <c r="AC3083" s="2" t="s">
        <v>23569</v>
      </c>
      <c r="AD3083" s="2" t="s">
        <v>46</v>
      </c>
    </row>
    <row r="3084" customFormat="false" ht="15.7" hidden="false" customHeight="true" outlineLevel="0" collapsed="false">
      <c r="A3084" s="2"/>
      <c r="B3084" s="3" t="n">
        <f aca="false">DATE(2017,6,28)</f>
        <v>0</v>
      </c>
      <c r="C3084" s="3" t="n">
        <v>42914</v>
      </c>
      <c r="D3084" s="2" t="s">
        <v>23570</v>
      </c>
      <c r="F3084" s="2" t="s">
        <v>23571</v>
      </c>
      <c r="G3084" s="2" t="s">
        <v>23572</v>
      </c>
      <c r="H3084" s="2" t="s">
        <v>23573</v>
      </c>
      <c r="I3084" s="2" t="s">
        <v>23574</v>
      </c>
      <c r="J3084" s="2" t="s">
        <v>116</v>
      </c>
      <c r="K3084" s="2" t="s">
        <v>23570</v>
      </c>
      <c r="L3084" s="2" t="s">
        <v>23574</v>
      </c>
      <c r="M3084" s="2" t="s">
        <v>23573</v>
      </c>
      <c r="N3084" s="2" t="s">
        <v>23575</v>
      </c>
      <c r="O3084" s="2"/>
      <c r="P3084" s="2" t="s">
        <v>37</v>
      </c>
      <c r="Q3084" s="4" t="n">
        <v>7699</v>
      </c>
      <c r="R3084" s="2" t="s">
        <v>2201</v>
      </c>
      <c r="S3084" s="2" t="s">
        <v>39</v>
      </c>
      <c r="T3084" s="2" t="s">
        <v>40</v>
      </c>
      <c r="U3084" s="2" t="s">
        <v>23576</v>
      </c>
      <c r="V3084" s="2"/>
      <c r="W3084" s="2" t="s">
        <v>23577</v>
      </c>
      <c r="X3084" s="2" t="s">
        <v>43</v>
      </c>
      <c r="Y3084" s="2" t="s">
        <v>37</v>
      </c>
      <c r="Z3084" s="2" t="s">
        <v>916</v>
      </c>
      <c r="AA3084" s="2"/>
      <c r="AB3084" s="2"/>
      <c r="AC3084" s="2" t="s">
        <v>23578</v>
      </c>
      <c r="AD3084" s="2" t="s">
        <v>46</v>
      </c>
    </row>
    <row r="3085" customFormat="false" ht="15.7" hidden="false" customHeight="true" outlineLevel="0" collapsed="false">
      <c r="A3085" s="2"/>
      <c r="B3085" s="3" t="n">
        <f aca="false">DATE(2017,6,28)</f>
        <v>0</v>
      </c>
      <c r="C3085" s="3" t="n">
        <v>42914</v>
      </c>
      <c r="D3085" s="2" t="s">
        <v>23579</v>
      </c>
      <c r="F3085" s="2" t="s">
        <v>20650</v>
      </c>
      <c r="G3085" s="2" t="s">
        <v>23580</v>
      </c>
      <c r="H3085" s="2" t="s">
        <v>130</v>
      </c>
      <c r="I3085" s="2" t="s">
        <v>2103</v>
      </c>
      <c r="J3085" s="2" t="s">
        <v>35</v>
      </c>
      <c r="K3085" s="2" t="s">
        <v>23581</v>
      </c>
      <c r="L3085" s="2" t="s">
        <v>9761</v>
      </c>
      <c r="M3085" s="2" t="s">
        <v>130</v>
      </c>
      <c r="N3085" s="2" t="s">
        <v>23582</v>
      </c>
      <c r="O3085" s="2"/>
      <c r="P3085" s="2" t="s">
        <v>37</v>
      </c>
      <c r="Q3085" s="4" t="n">
        <v>8731</v>
      </c>
      <c r="R3085" s="2" t="s">
        <v>56</v>
      </c>
      <c r="S3085" s="2"/>
      <c r="T3085" s="2" t="s">
        <v>40</v>
      </c>
      <c r="U3085" s="2" t="s">
        <v>23583</v>
      </c>
      <c r="V3085" s="2"/>
      <c r="W3085" s="2" t="s">
        <v>1050</v>
      </c>
      <c r="X3085" s="2" t="s">
        <v>43</v>
      </c>
      <c r="Y3085" s="2" t="s">
        <v>37</v>
      </c>
      <c r="Z3085" s="2" t="s">
        <v>44</v>
      </c>
      <c r="AA3085" s="2"/>
      <c r="AB3085" s="2"/>
      <c r="AC3085" s="2" t="s">
        <v>23584</v>
      </c>
      <c r="AD3085" s="2" t="s">
        <v>46</v>
      </c>
    </row>
    <row r="3086" customFormat="false" ht="15.7" hidden="false" customHeight="true" outlineLevel="0" collapsed="false">
      <c r="A3086" s="2"/>
      <c r="B3086" s="3" t="n">
        <f aca="false">DATE(2017,6,29)</f>
        <v>0</v>
      </c>
      <c r="C3086" s="3" t="n">
        <v>42915</v>
      </c>
      <c r="D3086" s="2" t="s">
        <v>23585</v>
      </c>
      <c r="F3086" s="2" t="s">
        <v>21003</v>
      </c>
      <c r="G3086" s="2" t="s">
        <v>23586</v>
      </c>
      <c r="H3086" s="2" t="s">
        <v>1770</v>
      </c>
      <c r="I3086" s="2" t="s">
        <v>7014</v>
      </c>
      <c r="J3086" s="2" t="s">
        <v>35</v>
      </c>
      <c r="K3086" s="2" t="s">
        <v>23585</v>
      </c>
      <c r="L3086" s="2" t="s">
        <v>7014</v>
      </c>
      <c r="M3086" s="2" t="s">
        <v>1770</v>
      </c>
      <c r="N3086" s="2" t="s">
        <v>23587</v>
      </c>
      <c r="O3086" s="2"/>
      <c r="P3086" s="2" t="s">
        <v>37</v>
      </c>
      <c r="Q3086" s="4" t="n">
        <v>8099</v>
      </c>
      <c r="R3086" s="2" t="s">
        <v>1448</v>
      </c>
      <c r="S3086" s="2" t="s">
        <v>39</v>
      </c>
      <c r="T3086" s="2" t="s">
        <v>14101</v>
      </c>
      <c r="U3086" s="2" t="s">
        <v>23588</v>
      </c>
      <c r="V3086" s="2"/>
      <c r="W3086" s="2" t="s">
        <v>4487</v>
      </c>
      <c r="X3086" s="2" t="s">
        <v>43</v>
      </c>
      <c r="Y3086" s="2" t="s">
        <v>37</v>
      </c>
      <c r="Z3086" s="2" t="s">
        <v>44</v>
      </c>
      <c r="AA3086" s="2"/>
      <c r="AB3086" s="2"/>
      <c r="AC3086" s="2" t="s">
        <v>23589</v>
      </c>
      <c r="AD3086" s="2" t="s">
        <v>46</v>
      </c>
    </row>
    <row r="3087" customFormat="false" ht="15.7" hidden="false" customHeight="true" outlineLevel="0" collapsed="false">
      <c r="A3087" s="2"/>
      <c r="B3087" s="3" t="n">
        <f aca="false">DATE(2017,6,29)</f>
        <v>0</v>
      </c>
      <c r="C3087" s="3" t="n">
        <v>42915</v>
      </c>
      <c r="D3087" s="2" t="s">
        <v>23590</v>
      </c>
      <c r="F3087" s="2" t="s">
        <v>23591</v>
      </c>
      <c r="G3087" s="2" t="s">
        <v>23592</v>
      </c>
      <c r="H3087" s="2" t="s">
        <v>1027</v>
      </c>
      <c r="I3087" s="2" t="s">
        <v>1867</v>
      </c>
      <c r="J3087" s="2" t="s">
        <v>35</v>
      </c>
      <c r="K3087" s="2" t="s">
        <v>23593</v>
      </c>
      <c r="L3087" s="2" t="s">
        <v>34</v>
      </c>
      <c r="M3087" s="2" t="s">
        <v>1101</v>
      </c>
      <c r="N3087" s="2" t="s">
        <v>23594</v>
      </c>
      <c r="O3087" s="2"/>
      <c r="P3087" s="2" t="s">
        <v>37</v>
      </c>
      <c r="Q3087" s="4" t="n">
        <v>8731</v>
      </c>
      <c r="R3087" s="2" t="s">
        <v>38</v>
      </c>
      <c r="S3087" s="2" t="s">
        <v>39</v>
      </c>
      <c r="T3087" s="2" t="s">
        <v>40</v>
      </c>
      <c r="U3087" s="2" t="s">
        <v>23595</v>
      </c>
      <c r="V3087" s="2"/>
      <c r="W3087" s="2" t="s">
        <v>23596</v>
      </c>
      <c r="X3087" s="2" t="s">
        <v>43</v>
      </c>
      <c r="Y3087" s="2" t="s">
        <v>37</v>
      </c>
      <c r="Z3087" s="2" t="s">
        <v>44</v>
      </c>
      <c r="AA3087" s="2"/>
      <c r="AB3087" s="2"/>
      <c r="AC3087" s="2" t="s">
        <v>23597</v>
      </c>
      <c r="AD3087" s="2" t="s">
        <v>46</v>
      </c>
    </row>
    <row r="3088" customFormat="false" ht="15.7" hidden="false" customHeight="true" outlineLevel="0" collapsed="false">
      <c r="A3088" s="2"/>
      <c r="B3088" s="3" t="n">
        <f aca="false">DATE(2017,6,29)</f>
        <v>0</v>
      </c>
      <c r="C3088" s="3" t="n">
        <v>42915</v>
      </c>
      <c r="D3088" s="2" t="s">
        <v>23598</v>
      </c>
      <c r="F3088" s="2" t="s">
        <v>23599</v>
      </c>
      <c r="G3088" s="2" t="s">
        <v>23600</v>
      </c>
      <c r="H3088" s="2" t="s">
        <v>18001</v>
      </c>
      <c r="I3088" s="2" t="s">
        <v>219</v>
      </c>
      <c r="J3088" s="2" t="s">
        <v>6170</v>
      </c>
      <c r="K3088" s="2" t="s">
        <v>23598</v>
      </c>
      <c r="L3088" s="2" t="s">
        <v>219</v>
      </c>
      <c r="M3088" s="2" t="s">
        <v>18001</v>
      </c>
      <c r="N3088" s="2" t="s">
        <v>23601</v>
      </c>
      <c r="O3088" s="2"/>
      <c r="P3088" s="2" t="s">
        <v>37</v>
      </c>
      <c r="Q3088" s="4" t="n">
        <v>8731</v>
      </c>
      <c r="R3088" s="2" t="s">
        <v>38</v>
      </c>
      <c r="S3088" s="2" t="s">
        <v>39</v>
      </c>
      <c r="T3088" s="2" t="s">
        <v>40</v>
      </c>
      <c r="U3088" s="2" t="s">
        <v>23602</v>
      </c>
      <c r="V3088" s="2"/>
      <c r="W3088" s="2" t="s">
        <v>42</v>
      </c>
      <c r="X3088" s="2" t="s">
        <v>43</v>
      </c>
      <c r="Y3088" s="2" t="s">
        <v>37</v>
      </c>
      <c r="Z3088" s="2" t="s">
        <v>44</v>
      </c>
      <c r="AA3088" s="2"/>
      <c r="AB3088" s="2"/>
      <c r="AC3088" s="2" t="s">
        <v>23603</v>
      </c>
      <c r="AD3088" s="2" t="s">
        <v>46</v>
      </c>
    </row>
    <row r="3089" customFormat="false" ht="15.7" hidden="false" customHeight="true" outlineLevel="0" collapsed="false">
      <c r="A3089" s="2"/>
      <c r="B3089" s="3" t="n">
        <f aca="false">DATE(2017,6,29)</f>
        <v>0</v>
      </c>
      <c r="C3089" s="3" t="n">
        <v>42915</v>
      </c>
      <c r="D3089" s="2" t="s">
        <v>23604</v>
      </c>
      <c r="F3089" s="2" t="s">
        <v>23605</v>
      </c>
      <c r="G3089" s="2" t="s">
        <v>23606</v>
      </c>
      <c r="H3089" s="2" t="s">
        <v>23607</v>
      </c>
      <c r="I3089" s="2" t="s">
        <v>23608</v>
      </c>
      <c r="J3089" s="2" t="s">
        <v>35</v>
      </c>
      <c r="K3089" s="2" t="s">
        <v>23609</v>
      </c>
      <c r="L3089" s="2" t="s">
        <v>23608</v>
      </c>
      <c r="M3089" s="2" t="s">
        <v>23610</v>
      </c>
      <c r="N3089" s="2" t="s">
        <v>23611</v>
      </c>
      <c r="O3089" s="2"/>
      <c r="P3089" s="2" t="s">
        <v>37</v>
      </c>
      <c r="Q3089" s="4" t="n">
        <v>2836</v>
      </c>
      <c r="R3089" s="2" t="s">
        <v>9420</v>
      </c>
      <c r="S3089" s="2" t="s">
        <v>39</v>
      </c>
      <c r="T3089" s="2" t="s">
        <v>40</v>
      </c>
      <c r="U3089" s="2" t="s">
        <v>23612</v>
      </c>
      <c r="V3089" s="2"/>
      <c r="W3089" s="2" t="s">
        <v>42</v>
      </c>
      <c r="X3089" s="2" t="s">
        <v>43</v>
      </c>
      <c r="Y3089" s="2" t="s">
        <v>37</v>
      </c>
      <c r="Z3089" s="2" t="s">
        <v>44</v>
      </c>
      <c r="AA3089" s="2"/>
      <c r="AB3089" s="2"/>
      <c r="AC3089" s="2" t="s">
        <v>23613</v>
      </c>
      <c r="AD3089" s="2" t="s">
        <v>46</v>
      </c>
    </row>
    <row r="3090" customFormat="false" ht="15.7" hidden="false" customHeight="true" outlineLevel="0" collapsed="false">
      <c r="A3090" s="2"/>
      <c r="B3090" s="3" t="n">
        <f aca="false">DATE(2017,6,29)</f>
        <v>0</v>
      </c>
      <c r="C3090" s="3" t="n">
        <v>42915</v>
      </c>
      <c r="D3090" s="2" t="s">
        <v>23614</v>
      </c>
      <c r="F3090" s="2" t="s">
        <v>23615</v>
      </c>
      <c r="G3090" s="2" t="s">
        <v>23616</v>
      </c>
      <c r="H3090" s="2" t="s">
        <v>23617</v>
      </c>
      <c r="I3090" s="2" t="s">
        <v>51</v>
      </c>
      <c r="J3090" s="2" t="s">
        <v>23618</v>
      </c>
      <c r="K3090" s="2" t="s">
        <v>23614</v>
      </c>
      <c r="L3090" s="2" t="s">
        <v>51</v>
      </c>
      <c r="M3090" s="2" t="s">
        <v>23617</v>
      </c>
      <c r="N3090" s="2" t="s">
        <v>23619</v>
      </c>
      <c r="O3090" s="2"/>
      <c r="P3090" s="2" t="s">
        <v>37</v>
      </c>
      <c r="Q3090" s="4" t="n">
        <v>3999</v>
      </c>
      <c r="R3090" s="2" t="s">
        <v>56</v>
      </c>
      <c r="S3090" s="2" t="s">
        <v>7553</v>
      </c>
      <c r="T3090" s="2" t="s">
        <v>40</v>
      </c>
      <c r="U3090" s="2" t="s">
        <v>23620</v>
      </c>
      <c r="V3090" s="2"/>
      <c r="W3090" s="2" t="s">
        <v>23621</v>
      </c>
      <c r="X3090" s="2" t="s">
        <v>43</v>
      </c>
      <c r="Y3090" s="2" t="s">
        <v>37</v>
      </c>
      <c r="Z3090" s="2" t="s">
        <v>44</v>
      </c>
      <c r="AA3090" s="2"/>
      <c r="AB3090" s="2"/>
      <c r="AC3090" s="2" t="s">
        <v>23622</v>
      </c>
      <c r="AD3090" s="2" t="s">
        <v>46</v>
      </c>
    </row>
    <row r="3091" customFormat="false" ht="15.7" hidden="false" customHeight="true" outlineLevel="0" collapsed="false">
      <c r="A3091" s="2"/>
      <c r="B3091" s="3" t="n">
        <f aca="false">DATE(2017,7,4)</f>
        <v>0</v>
      </c>
      <c r="C3091" s="3" t="n">
        <v>42920</v>
      </c>
      <c r="D3091" s="2" t="s">
        <v>23623</v>
      </c>
      <c r="F3091" s="2" t="s">
        <v>23624</v>
      </c>
      <c r="G3091" s="2" t="s">
        <v>23625</v>
      </c>
      <c r="H3091" s="2" t="s">
        <v>3669</v>
      </c>
      <c r="I3091" s="2" t="s">
        <v>7116</v>
      </c>
      <c r="J3091" s="2" t="s">
        <v>1413</v>
      </c>
      <c r="K3091" s="2" t="s">
        <v>23626</v>
      </c>
      <c r="L3091" s="2" t="s">
        <v>7116</v>
      </c>
      <c r="M3091" s="2" t="s">
        <v>23627</v>
      </c>
      <c r="N3091" s="2" t="s">
        <v>23628</v>
      </c>
      <c r="O3091" s="2"/>
      <c r="P3091" s="2" t="s">
        <v>37</v>
      </c>
      <c r="Q3091" s="4" t="n">
        <v>6794</v>
      </c>
      <c r="R3091" s="2" t="s">
        <v>56</v>
      </c>
      <c r="S3091" s="2" t="s">
        <v>2265</v>
      </c>
      <c r="T3091" s="2" t="s">
        <v>40</v>
      </c>
      <c r="U3091" s="2" t="s">
        <v>23629</v>
      </c>
      <c r="V3091" s="2"/>
      <c r="W3091" s="2" t="s">
        <v>23630</v>
      </c>
      <c r="X3091" s="2" t="s">
        <v>43</v>
      </c>
      <c r="Y3091" s="2" t="s">
        <v>37</v>
      </c>
      <c r="Z3091" s="2" t="s">
        <v>44</v>
      </c>
      <c r="AA3091" s="2"/>
      <c r="AB3091" s="2"/>
      <c r="AC3091" s="2" t="s">
        <v>23631</v>
      </c>
      <c r="AD3091" s="2" t="s">
        <v>46</v>
      </c>
    </row>
    <row r="3092" customFormat="false" ht="15.7" hidden="false" customHeight="true" outlineLevel="0" collapsed="false">
      <c r="A3092" s="2"/>
      <c r="B3092" s="3" t="n">
        <f aca="false">DATE(2017,7,4)</f>
        <v>0</v>
      </c>
      <c r="C3092" s="3" t="n">
        <v>42920</v>
      </c>
      <c r="D3092" s="2" t="s">
        <v>23632</v>
      </c>
      <c r="F3092" s="2" t="s">
        <v>23633</v>
      </c>
      <c r="G3092" s="2" t="s">
        <v>23634</v>
      </c>
      <c r="H3092" s="2" t="s">
        <v>23635</v>
      </c>
      <c r="I3092" s="2" t="s">
        <v>1645</v>
      </c>
      <c r="J3092" s="2" t="s">
        <v>35</v>
      </c>
      <c r="K3092" s="2" t="s">
        <v>23632</v>
      </c>
      <c r="L3092" s="2" t="s">
        <v>1645</v>
      </c>
      <c r="M3092" s="2" t="s">
        <v>23635</v>
      </c>
      <c r="N3092" s="2" t="s">
        <v>23636</v>
      </c>
      <c r="O3092" s="2"/>
      <c r="P3092" s="2" t="s">
        <v>37</v>
      </c>
      <c r="Q3092" s="4" t="n">
        <v>8731</v>
      </c>
      <c r="R3092" s="2" t="s">
        <v>1402</v>
      </c>
      <c r="S3092" s="2" t="s">
        <v>39</v>
      </c>
      <c r="T3092" s="2" t="s">
        <v>40</v>
      </c>
      <c r="U3092" s="2" t="s">
        <v>23637</v>
      </c>
      <c r="V3092" s="2"/>
      <c r="W3092" s="2" t="s">
        <v>42</v>
      </c>
      <c r="X3092" s="2" t="s">
        <v>43</v>
      </c>
      <c r="Y3092" s="2" t="s">
        <v>37</v>
      </c>
      <c r="Z3092" s="2" t="s">
        <v>44</v>
      </c>
      <c r="AA3092" s="2"/>
      <c r="AB3092" s="2"/>
      <c r="AC3092" s="2" t="s">
        <v>23638</v>
      </c>
      <c r="AD3092" s="2" t="s">
        <v>46</v>
      </c>
    </row>
    <row r="3093" customFormat="false" ht="15.7" hidden="false" customHeight="true" outlineLevel="0" collapsed="false">
      <c r="A3093" s="2"/>
      <c r="B3093" s="3" t="n">
        <f aca="false">DATE(2017,7,5)</f>
        <v>0</v>
      </c>
      <c r="C3093" s="3" t="n">
        <v>42921</v>
      </c>
      <c r="D3093" s="2" t="s">
        <v>23639</v>
      </c>
      <c r="F3093" s="2" t="s">
        <v>23640</v>
      </c>
      <c r="G3093" s="2" t="s">
        <v>23641</v>
      </c>
      <c r="H3093" s="2" t="s">
        <v>305</v>
      </c>
      <c r="I3093" s="2" t="s">
        <v>670</v>
      </c>
      <c r="J3093" s="2" t="s">
        <v>514</v>
      </c>
      <c r="K3093" s="2" t="s">
        <v>23639</v>
      </c>
      <c r="L3093" s="2" t="s">
        <v>670</v>
      </c>
      <c r="M3093" s="2" t="s">
        <v>305</v>
      </c>
      <c r="N3093" s="2" t="s">
        <v>23642</v>
      </c>
      <c r="O3093" s="2"/>
      <c r="P3093" s="2" t="s">
        <v>37</v>
      </c>
      <c r="Q3093" s="4" t="n">
        <v>8733</v>
      </c>
      <c r="R3093" s="2" t="s">
        <v>136</v>
      </c>
      <c r="S3093" s="2" t="s">
        <v>39</v>
      </c>
      <c r="T3093" s="2" t="s">
        <v>40</v>
      </c>
      <c r="U3093" s="2" t="s">
        <v>23643</v>
      </c>
      <c r="V3093" s="2"/>
      <c r="W3093" s="2" t="s">
        <v>15545</v>
      </c>
      <c r="X3093" s="2" t="s">
        <v>43</v>
      </c>
      <c r="Y3093" s="2" t="s">
        <v>37</v>
      </c>
      <c r="Z3093" s="2" t="s">
        <v>44</v>
      </c>
      <c r="AA3093" s="2"/>
      <c r="AB3093" s="2"/>
      <c r="AC3093" s="2" t="s">
        <v>23644</v>
      </c>
      <c r="AD3093" s="2" t="s">
        <v>46</v>
      </c>
    </row>
    <row r="3094" customFormat="false" ht="15.7" hidden="false" customHeight="true" outlineLevel="0" collapsed="false">
      <c r="A3094" s="2"/>
      <c r="B3094" s="3" t="n">
        <f aca="false">DATE(2017,7,5)</f>
        <v>0</v>
      </c>
      <c r="C3094" s="3" t="n">
        <v>42921</v>
      </c>
      <c r="D3094" s="2" t="s">
        <v>23645</v>
      </c>
      <c r="F3094" s="2" t="s">
        <v>23646</v>
      </c>
      <c r="G3094" s="2" t="s">
        <v>23647</v>
      </c>
      <c r="H3094" s="2" t="s">
        <v>23648</v>
      </c>
      <c r="I3094" s="2" t="s">
        <v>4325</v>
      </c>
      <c r="J3094" s="2" t="s">
        <v>35</v>
      </c>
      <c r="K3094" s="2" t="s">
        <v>23649</v>
      </c>
      <c r="L3094" s="2" t="s">
        <v>2727</v>
      </c>
      <c r="M3094" s="2" t="s">
        <v>23648</v>
      </c>
      <c r="N3094" s="2" t="s">
        <v>23650</v>
      </c>
      <c r="O3094" s="2" t="s">
        <v>23651</v>
      </c>
      <c r="P3094" s="2" t="s">
        <v>37</v>
      </c>
      <c r="Q3094" s="4" t="n">
        <v>2046</v>
      </c>
      <c r="R3094" s="2" t="s">
        <v>402</v>
      </c>
      <c r="S3094" s="2" t="s">
        <v>39</v>
      </c>
      <c r="T3094" s="2" t="s">
        <v>40</v>
      </c>
      <c r="U3094" s="2" t="s">
        <v>23652</v>
      </c>
      <c r="V3094" s="2"/>
      <c r="W3094" s="2" t="s">
        <v>23653</v>
      </c>
      <c r="X3094" s="2" t="s">
        <v>46</v>
      </c>
      <c r="Y3094" s="2" t="s">
        <v>37</v>
      </c>
      <c r="Z3094" s="2" t="s">
        <v>2565</v>
      </c>
      <c r="AA3094" s="2" t="s">
        <v>23654</v>
      </c>
      <c r="AB3094" s="2" t="s">
        <v>23655</v>
      </c>
      <c r="AC3094" s="2" t="s">
        <v>23656</v>
      </c>
      <c r="AD3094" s="2" t="s">
        <v>46</v>
      </c>
    </row>
    <row r="3095" customFormat="false" ht="15.7" hidden="false" customHeight="true" outlineLevel="0" collapsed="false">
      <c r="A3095" s="2"/>
      <c r="B3095" s="3" t="n">
        <f aca="false">DATE(2017,7,5)</f>
        <v>0</v>
      </c>
      <c r="C3095" s="3" t="n">
        <v>42921</v>
      </c>
      <c r="D3095" s="2" t="s">
        <v>23657</v>
      </c>
      <c r="F3095" s="2" t="s">
        <v>23658</v>
      </c>
      <c r="G3095" s="2" t="s">
        <v>23659</v>
      </c>
      <c r="H3095" s="2" t="s">
        <v>23660</v>
      </c>
      <c r="I3095" s="2" t="s">
        <v>51</v>
      </c>
      <c r="J3095" s="2" t="s">
        <v>23661</v>
      </c>
      <c r="K3095" s="2" t="s">
        <v>23662</v>
      </c>
      <c r="L3095" s="2" t="s">
        <v>51</v>
      </c>
      <c r="M3095" s="2" t="s">
        <v>23663</v>
      </c>
      <c r="N3095" s="2" t="s">
        <v>23664</v>
      </c>
      <c r="O3095" s="2"/>
      <c r="P3095" s="2" t="s">
        <v>37</v>
      </c>
      <c r="Q3095" s="4" t="n">
        <v>4581</v>
      </c>
      <c r="R3095" s="2" t="s">
        <v>56</v>
      </c>
      <c r="S3095" s="2" t="s">
        <v>1576</v>
      </c>
      <c r="T3095" s="2" t="s">
        <v>403</v>
      </c>
      <c r="U3095" s="2" t="s">
        <v>23665</v>
      </c>
      <c r="V3095" s="2"/>
      <c r="W3095" s="2" t="s">
        <v>20581</v>
      </c>
      <c r="X3095" s="2" t="s">
        <v>46</v>
      </c>
      <c r="Y3095" s="2" t="s">
        <v>37</v>
      </c>
      <c r="Z3095" s="2" t="s">
        <v>362</v>
      </c>
      <c r="AA3095" s="2"/>
      <c r="AB3095" s="2"/>
      <c r="AC3095" s="2" t="s">
        <v>23666</v>
      </c>
      <c r="AD3095" s="2" t="s">
        <v>46</v>
      </c>
    </row>
    <row r="3096" customFormat="false" ht="15.7" hidden="false" customHeight="true" outlineLevel="0" collapsed="false">
      <c r="A3096" s="2"/>
      <c r="B3096" s="3" t="n">
        <f aca="false">DATE(2017,7,6)</f>
        <v>0</v>
      </c>
      <c r="C3096" s="3" t="n">
        <v>42922</v>
      </c>
      <c r="D3096" s="2" t="s">
        <v>23667</v>
      </c>
      <c r="F3096" s="2" t="s">
        <v>23668</v>
      </c>
      <c r="G3096" s="2" t="s">
        <v>23669</v>
      </c>
      <c r="H3096" s="2" t="s">
        <v>23670</v>
      </c>
      <c r="I3096" s="2" t="s">
        <v>4325</v>
      </c>
      <c r="J3096" s="2" t="s">
        <v>35</v>
      </c>
      <c r="K3096" s="2" t="s">
        <v>23671</v>
      </c>
      <c r="L3096" s="2" t="s">
        <v>4325</v>
      </c>
      <c r="M3096" s="2" t="s">
        <v>23672</v>
      </c>
      <c r="N3096" s="2" t="s">
        <v>23673</v>
      </c>
      <c r="O3096" s="2"/>
      <c r="P3096" s="2" t="s">
        <v>37</v>
      </c>
      <c r="Q3096" s="4" t="n">
        <v>4911</v>
      </c>
      <c r="R3096" s="2" t="s">
        <v>402</v>
      </c>
      <c r="S3096" s="2" t="s">
        <v>39</v>
      </c>
      <c r="T3096" s="2" t="s">
        <v>403</v>
      </c>
      <c r="U3096" s="2" t="s">
        <v>23674</v>
      </c>
      <c r="V3096" s="2"/>
      <c r="W3096" s="2" t="s">
        <v>14343</v>
      </c>
      <c r="X3096" s="2" t="s">
        <v>46</v>
      </c>
      <c r="Y3096" s="2" t="s">
        <v>37</v>
      </c>
      <c r="Z3096" s="2" t="s">
        <v>5823</v>
      </c>
      <c r="AA3096" s="2" t="s">
        <v>23675</v>
      </c>
      <c r="AB3096" s="2"/>
      <c r="AC3096" s="2" t="s">
        <v>23676</v>
      </c>
      <c r="AD3096" s="2" t="s">
        <v>46</v>
      </c>
    </row>
    <row r="3097" customFormat="false" ht="15.7" hidden="false" customHeight="true" outlineLevel="0" collapsed="false">
      <c r="A3097" s="2"/>
      <c r="B3097" s="3" t="n">
        <f aca="false">DATE(2017,7,6)</f>
        <v>0</v>
      </c>
      <c r="C3097" s="3" t="n">
        <v>42922</v>
      </c>
      <c r="D3097" s="2" t="s">
        <v>23677</v>
      </c>
      <c r="F3097" s="2" t="s">
        <v>23678</v>
      </c>
      <c r="G3097" s="2" t="s">
        <v>23679</v>
      </c>
      <c r="H3097" s="2" t="s">
        <v>23680</v>
      </c>
      <c r="I3097" s="2" t="s">
        <v>51</v>
      </c>
      <c r="J3097" s="2" t="s">
        <v>20664</v>
      </c>
      <c r="K3097" s="2" t="s">
        <v>23681</v>
      </c>
      <c r="L3097" s="2" t="s">
        <v>51</v>
      </c>
      <c r="M3097" s="2" t="s">
        <v>23682</v>
      </c>
      <c r="N3097" s="2" t="s">
        <v>23683</v>
      </c>
      <c r="O3097" s="2"/>
      <c r="P3097" s="2" t="s">
        <v>37</v>
      </c>
      <c r="Q3097" s="4" t="n">
        <v>8731</v>
      </c>
      <c r="R3097" s="2" t="s">
        <v>56</v>
      </c>
      <c r="S3097" s="2" t="s">
        <v>23684</v>
      </c>
      <c r="T3097" s="2" t="s">
        <v>40</v>
      </c>
      <c r="U3097" s="2" t="s">
        <v>23685</v>
      </c>
      <c r="V3097" s="2"/>
      <c r="W3097" s="2" t="s">
        <v>42</v>
      </c>
      <c r="X3097" s="2" t="s">
        <v>43</v>
      </c>
      <c r="Y3097" s="2" t="s">
        <v>37</v>
      </c>
      <c r="Z3097" s="2" t="s">
        <v>44</v>
      </c>
      <c r="AA3097" s="2"/>
      <c r="AB3097" s="2"/>
      <c r="AC3097" s="2" t="s">
        <v>23686</v>
      </c>
      <c r="AD3097" s="2" t="s">
        <v>46</v>
      </c>
    </row>
    <row r="3098" customFormat="false" ht="15.7" hidden="false" customHeight="true" outlineLevel="0" collapsed="false">
      <c r="A3098" s="2"/>
      <c r="B3098" s="3" t="n">
        <f aca="false">DATE(2017,7,10)</f>
        <v>0</v>
      </c>
      <c r="C3098" s="3" t="n">
        <v>42926</v>
      </c>
      <c r="D3098" s="2" t="s">
        <v>23687</v>
      </c>
      <c r="F3098" s="2" t="s">
        <v>23688</v>
      </c>
      <c r="G3098" s="2" t="s">
        <v>23689</v>
      </c>
      <c r="H3098" s="2" t="s">
        <v>3840</v>
      </c>
      <c r="I3098" s="2" t="s">
        <v>51</v>
      </c>
      <c r="J3098" s="2" t="s">
        <v>171</v>
      </c>
      <c r="K3098" s="2" t="s">
        <v>23690</v>
      </c>
      <c r="L3098" s="2" t="s">
        <v>51</v>
      </c>
      <c r="M3098" s="2" t="s">
        <v>3840</v>
      </c>
      <c r="N3098" s="2" t="s">
        <v>23691</v>
      </c>
      <c r="O3098" s="2"/>
      <c r="P3098" s="2" t="s">
        <v>37</v>
      </c>
      <c r="Q3098" s="4" t="n">
        <v>8731</v>
      </c>
      <c r="R3098" s="2" t="s">
        <v>56</v>
      </c>
      <c r="S3098" s="2" t="s">
        <v>92</v>
      </c>
      <c r="T3098" s="2" t="s">
        <v>40</v>
      </c>
      <c r="U3098" s="2" t="s">
        <v>23692</v>
      </c>
      <c r="V3098" s="2"/>
      <c r="W3098" s="2" t="s">
        <v>5464</v>
      </c>
      <c r="X3098" s="2" t="s">
        <v>43</v>
      </c>
      <c r="Y3098" s="2" t="s">
        <v>37</v>
      </c>
      <c r="Z3098" s="2" t="s">
        <v>44</v>
      </c>
      <c r="AA3098" s="2"/>
      <c r="AB3098" s="2"/>
      <c r="AC3098" s="2" t="s">
        <v>23693</v>
      </c>
      <c r="AD3098" s="2" t="s">
        <v>46</v>
      </c>
    </row>
    <row r="3099" customFormat="false" ht="15.7" hidden="false" customHeight="true" outlineLevel="0" collapsed="false">
      <c r="A3099" s="2"/>
      <c r="B3099" s="3" t="n">
        <f aca="false">DATE(2017,7,10)</f>
        <v>0</v>
      </c>
      <c r="C3099" s="3" t="n">
        <v>42926</v>
      </c>
      <c r="D3099" s="2" t="s">
        <v>23694</v>
      </c>
      <c r="F3099" s="2" t="s">
        <v>17957</v>
      </c>
      <c r="G3099" s="2" t="s">
        <v>23695</v>
      </c>
      <c r="H3099" s="2" t="s">
        <v>1020</v>
      </c>
      <c r="I3099" s="2" t="s">
        <v>670</v>
      </c>
      <c r="J3099" s="2" t="s">
        <v>8175</v>
      </c>
      <c r="K3099" s="2" t="s">
        <v>23694</v>
      </c>
      <c r="L3099" s="2" t="s">
        <v>670</v>
      </c>
      <c r="M3099" s="2" t="s">
        <v>1020</v>
      </c>
      <c r="N3099" s="2" t="s">
        <v>23696</v>
      </c>
      <c r="O3099" s="2"/>
      <c r="P3099" s="2" t="s">
        <v>37</v>
      </c>
      <c r="Q3099" s="4" t="n">
        <v>8731</v>
      </c>
      <c r="R3099" s="2" t="s">
        <v>136</v>
      </c>
      <c r="S3099" s="2" t="s">
        <v>39</v>
      </c>
      <c r="T3099" s="2" t="s">
        <v>40</v>
      </c>
      <c r="U3099" s="2" t="s">
        <v>23697</v>
      </c>
      <c r="V3099" s="2"/>
      <c r="W3099" s="2" t="s">
        <v>42</v>
      </c>
      <c r="X3099" s="2" t="s">
        <v>43</v>
      </c>
      <c r="Y3099" s="2" t="s">
        <v>37</v>
      </c>
      <c r="Z3099" s="2" t="s">
        <v>44</v>
      </c>
      <c r="AA3099" s="2"/>
      <c r="AB3099" s="2"/>
      <c r="AC3099" s="2" t="s">
        <v>23698</v>
      </c>
      <c r="AD3099" s="2" t="s">
        <v>46</v>
      </c>
    </row>
    <row r="3100" customFormat="false" ht="15.7" hidden="false" customHeight="true" outlineLevel="0" collapsed="false">
      <c r="A3100" s="2"/>
      <c r="B3100" s="3" t="n">
        <f aca="false">DATE(2017,7,10)</f>
        <v>0</v>
      </c>
      <c r="C3100" s="3" t="n">
        <v>42926</v>
      </c>
      <c r="D3100" s="2" t="s">
        <v>23699</v>
      </c>
      <c r="F3100" s="2" t="s">
        <v>23700</v>
      </c>
      <c r="G3100" s="2" t="s">
        <v>23701</v>
      </c>
      <c r="H3100" s="2" t="s">
        <v>1020</v>
      </c>
      <c r="I3100" s="2" t="s">
        <v>1133</v>
      </c>
      <c r="J3100" s="2" t="s">
        <v>35</v>
      </c>
      <c r="K3100" s="2" t="s">
        <v>23699</v>
      </c>
      <c r="L3100" s="2" t="s">
        <v>1133</v>
      </c>
      <c r="M3100" s="2" t="s">
        <v>1020</v>
      </c>
      <c r="N3100" s="2" t="s">
        <v>23702</v>
      </c>
      <c r="O3100" s="2"/>
      <c r="P3100" s="2" t="s">
        <v>37</v>
      </c>
      <c r="Q3100" s="4" t="n">
        <v>8731</v>
      </c>
      <c r="R3100" s="2" t="s">
        <v>1402</v>
      </c>
      <c r="S3100" s="2" t="s">
        <v>39</v>
      </c>
      <c r="T3100" s="2" t="s">
        <v>673</v>
      </c>
      <c r="U3100" s="2" t="s">
        <v>23703</v>
      </c>
      <c r="V3100" s="2"/>
      <c r="W3100" s="2" t="s">
        <v>23704</v>
      </c>
      <c r="X3100" s="2" t="s">
        <v>46</v>
      </c>
      <c r="Y3100" s="2" t="s">
        <v>37</v>
      </c>
      <c r="Z3100" s="2" t="s">
        <v>362</v>
      </c>
      <c r="AA3100" s="2"/>
      <c r="AB3100" s="2"/>
      <c r="AC3100" s="2" t="s">
        <v>23705</v>
      </c>
      <c r="AD3100" s="2" t="s">
        <v>46</v>
      </c>
    </row>
    <row r="3101" customFormat="false" ht="15.7" hidden="false" customHeight="true" outlineLevel="0" collapsed="false">
      <c r="A3101" s="2"/>
      <c r="B3101" s="3" t="n">
        <f aca="false">DATE(2017,7,11)</f>
        <v>0</v>
      </c>
      <c r="C3101" s="3" t="n">
        <v>42927</v>
      </c>
      <c r="D3101" s="2" t="s">
        <v>23706</v>
      </c>
      <c r="F3101" s="2" t="s">
        <v>23707</v>
      </c>
      <c r="G3101" s="2" t="s">
        <v>23708</v>
      </c>
      <c r="H3101" s="2" t="s">
        <v>1101</v>
      </c>
      <c r="I3101" s="2" t="s">
        <v>1867</v>
      </c>
      <c r="J3101" s="2" t="s">
        <v>35</v>
      </c>
      <c r="K3101" s="2" t="s">
        <v>23709</v>
      </c>
      <c r="L3101" s="2" t="s">
        <v>1867</v>
      </c>
      <c r="M3101" s="2" t="s">
        <v>305</v>
      </c>
      <c r="N3101" s="2" t="s">
        <v>23710</v>
      </c>
      <c r="O3101" s="2"/>
      <c r="P3101" s="2" t="s">
        <v>37</v>
      </c>
      <c r="Q3101" s="4" t="n">
        <v>5099</v>
      </c>
      <c r="R3101" s="2" t="s">
        <v>2201</v>
      </c>
      <c r="S3101" s="2" t="s">
        <v>39</v>
      </c>
      <c r="T3101" s="2" t="s">
        <v>40</v>
      </c>
      <c r="U3101" s="2" t="s">
        <v>23711</v>
      </c>
      <c r="V3101" s="2"/>
      <c r="W3101" s="2" t="s">
        <v>13100</v>
      </c>
      <c r="X3101" s="2" t="s">
        <v>43</v>
      </c>
      <c r="Y3101" s="2" t="s">
        <v>37</v>
      </c>
      <c r="Z3101" s="2" t="s">
        <v>44</v>
      </c>
      <c r="AA3101" s="2"/>
      <c r="AB3101" s="2"/>
      <c r="AC3101" s="2" t="s">
        <v>23712</v>
      </c>
      <c r="AD3101" s="2" t="s">
        <v>46</v>
      </c>
    </row>
    <row r="3102" customFormat="false" ht="15.7" hidden="false" customHeight="true" outlineLevel="0" collapsed="false">
      <c r="A3102" s="2"/>
      <c r="B3102" s="3" t="n">
        <f aca="false">DATE(2017,7,11)</f>
        <v>0</v>
      </c>
      <c r="C3102" s="3" t="n">
        <v>42927</v>
      </c>
      <c r="D3102" s="2" t="s">
        <v>23713</v>
      </c>
      <c r="F3102" s="2" t="s">
        <v>19085</v>
      </c>
      <c r="G3102" s="2" t="s">
        <v>23714</v>
      </c>
      <c r="H3102" s="2" t="s">
        <v>63</v>
      </c>
      <c r="I3102" s="2" t="s">
        <v>6945</v>
      </c>
      <c r="J3102" s="2" t="s">
        <v>35</v>
      </c>
      <c r="K3102" s="2" t="s">
        <v>23713</v>
      </c>
      <c r="L3102" s="2" t="s">
        <v>6945</v>
      </c>
      <c r="M3102" s="2" t="s">
        <v>63</v>
      </c>
      <c r="N3102" s="2" t="s">
        <v>23715</v>
      </c>
      <c r="O3102" s="2"/>
      <c r="P3102" s="2" t="s">
        <v>37</v>
      </c>
      <c r="Q3102" s="4" t="n">
        <v>6794</v>
      </c>
      <c r="R3102" s="2" t="s">
        <v>136</v>
      </c>
      <c r="S3102" s="2" t="s">
        <v>39</v>
      </c>
      <c r="T3102" s="2" t="s">
        <v>40</v>
      </c>
      <c r="U3102" s="2" t="s">
        <v>23716</v>
      </c>
      <c r="V3102" s="2"/>
      <c r="W3102" s="2" t="s">
        <v>23717</v>
      </c>
      <c r="X3102" s="2" t="s">
        <v>43</v>
      </c>
      <c r="Y3102" s="2" t="s">
        <v>37</v>
      </c>
      <c r="Z3102" s="2" t="s">
        <v>44</v>
      </c>
      <c r="AA3102" s="2"/>
      <c r="AB3102" s="2"/>
      <c r="AC3102" s="2" t="s">
        <v>23718</v>
      </c>
      <c r="AD3102" s="2" t="s">
        <v>46</v>
      </c>
    </row>
    <row r="3103" customFormat="false" ht="15.7" hidden="false" customHeight="true" outlineLevel="0" collapsed="false">
      <c r="A3103" s="2"/>
      <c r="B3103" s="3" t="n">
        <f aca="false">DATE(2017,7,11)</f>
        <v>0</v>
      </c>
      <c r="C3103" s="3" t="n">
        <v>42927</v>
      </c>
      <c r="D3103" s="2" t="s">
        <v>23719</v>
      </c>
      <c r="F3103" s="2" t="s">
        <v>23720</v>
      </c>
      <c r="G3103" s="2" t="s">
        <v>23721</v>
      </c>
      <c r="H3103" s="2" t="s">
        <v>305</v>
      </c>
      <c r="I3103" s="2" t="s">
        <v>4705</v>
      </c>
      <c r="J3103" s="2" t="s">
        <v>35</v>
      </c>
      <c r="K3103" s="2" t="s">
        <v>23722</v>
      </c>
      <c r="L3103" s="2" t="s">
        <v>4705</v>
      </c>
      <c r="M3103" s="2" t="s">
        <v>1352</v>
      </c>
      <c r="N3103" s="2" t="s">
        <v>23723</v>
      </c>
      <c r="O3103" s="2"/>
      <c r="P3103" s="2" t="s">
        <v>37</v>
      </c>
      <c r="Q3103" s="4" t="n">
        <v>2836</v>
      </c>
      <c r="R3103" s="2" t="s">
        <v>688</v>
      </c>
      <c r="S3103" s="2" t="s">
        <v>39</v>
      </c>
      <c r="T3103" s="2" t="s">
        <v>403</v>
      </c>
      <c r="U3103" s="2" t="s">
        <v>23724</v>
      </c>
      <c r="V3103" s="2"/>
      <c r="W3103" s="2" t="s">
        <v>344</v>
      </c>
      <c r="X3103" s="2" t="s">
        <v>46</v>
      </c>
      <c r="Y3103" s="2" t="s">
        <v>37</v>
      </c>
      <c r="Z3103" s="2" t="s">
        <v>362</v>
      </c>
      <c r="AA3103" s="2"/>
      <c r="AB3103" s="2"/>
      <c r="AC3103" s="2" t="s">
        <v>23725</v>
      </c>
      <c r="AD3103" s="2" t="s">
        <v>46</v>
      </c>
    </row>
    <row r="3104" customFormat="false" ht="15.7" hidden="false" customHeight="true" outlineLevel="0" collapsed="false">
      <c r="A3104" s="2"/>
      <c r="B3104" s="3" t="n">
        <f aca="false">DATE(2017,7,12)</f>
        <v>0</v>
      </c>
      <c r="C3104" s="3" t="n">
        <v>42928</v>
      </c>
      <c r="D3104" s="2" t="s">
        <v>23726</v>
      </c>
      <c r="F3104" s="2" t="s">
        <v>18520</v>
      </c>
      <c r="G3104" s="2" t="s">
        <v>23727</v>
      </c>
      <c r="H3104" s="2" t="s">
        <v>4926</v>
      </c>
      <c r="I3104" s="2" t="s">
        <v>51</v>
      </c>
      <c r="J3104" s="2" t="s">
        <v>1730</v>
      </c>
      <c r="K3104" s="2" t="s">
        <v>23728</v>
      </c>
      <c r="L3104" s="2" t="s">
        <v>51</v>
      </c>
      <c r="M3104" s="2" t="s">
        <v>23729</v>
      </c>
      <c r="N3104" s="2" t="s">
        <v>23730</v>
      </c>
      <c r="O3104" s="2"/>
      <c r="P3104" s="2" t="s">
        <v>37</v>
      </c>
      <c r="Q3104" s="4" t="n">
        <v>2834</v>
      </c>
      <c r="R3104" s="2" t="s">
        <v>56</v>
      </c>
      <c r="S3104" s="2"/>
      <c r="T3104" s="2" t="s">
        <v>40</v>
      </c>
      <c r="U3104" s="2" t="s">
        <v>23731</v>
      </c>
      <c r="V3104" s="2"/>
      <c r="W3104" s="2" t="s">
        <v>82</v>
      </c>
      <c r="X3104" s="2" t="s">
        <v>43</v>
      </c>
      <c r="Y3104" s="2" t="s">
        <v>37</v>
      </c>
      <c r="Z3104" s="2" t="s">
        <v>44</v>
      </c>
      <c r="AA3104" s="2"/>
      <c r="AB3104" s="2"/>
      <c r="AC3104" s="2" t="s">
        <v>23732</v>
      </c>
      <c r="AD3104" s="2" t="s">
        <v>46</v>
      </c>
    </row>
    <row r="3105" customFormat="false" ht="15.7" hidden="false" customHeight="true" outlineLevel="0" collapsed="false">
      <c r="A3105" s="2"/>
      <c r="B3105" s="3" t="n">
        <f aca="false">DATE(2017,7,12)</f>
        <v>0</v>
      </c>
      <c r="C3105" s="3" t="n">
        <v>42928</v>
      </c>
      <c r="D3105" s="2" t="s">
        <v>23733</v>
      </c>
      <c r="F3105" s="2" t="s">
        <v>23734</v>
      </c>
      <c r="G3105" s="2" t="s">
        <v>23735</v>
      </c>
      <c r="H3105" s="2" t="s">
        <v>1027</v>
      </c>
      <c r="I3105" s="2" t="s">
        <v>3188</v>
      </c>
      <c r="J3105" s="2" t="s">
        <v>35</v>
      </c>
      <c r="K3105" s="2" t="s">
        <v>23733</v>
      </c>
      <c r="L3105" s="2" t="s">
        <v>3188</v>
      </c>
      <c r="M3105" s="2" t="s">
        <v>1027</v>
      </c>
      <c r="N3105" s="2" t="s">
        <v>23736</v>
      </c>
      <c r="O3105" s="2"/>
      <c r="P3105" s="2" t="s">
        <v>37</v>
      </c>
      <c r="Q3105" s="4" t="n">
        <v>8731</v>
      </c>
      <c r="R3105" s="2" t="s">
        <v>38</v>
      </c>
      <c r="S3105" s="2" t="s">
        <v>39</v>
      </c>
      <c r="T3105" s="2" t="s">
        <v>403</v>
      </c>
      <c r="U3105" s="2" t="s">
        <v>23737</v>
      </c>
      <c r="V3105" s="2"/>
      <c r="W3105" s="2" t="s">
        <v>344</v>
      </c>
      <c r="X3105" s="2" t="s">
        <v>46</v>
      </c>
      <c r="Y3105" s="2" t="s">
        <v>37</v>
      </c>
      <c r="Z3105" s="2" t="s">
        <v>23738</v>
      </c>
      <c r="AA3105" s="2"/>
      <c r="AB3105" s="2"/>
      <c r="AC3105" s="2" t="s">
        <v>23739</v>
      </c>
      <c r="AD3105" s="2" t="s">
        <v>46</v>
      </c>
    </row>
    <row r="3106" customFormat="false" ht="15.7" hidden="false" customHeight="true" outlineLevel="0" collapsed="false">
      <c r="A3106" s="2"/>
      <c r="B3106" s="3" t="n">
        <f aca="false">DATE(2017,7,12)</f>
        <v>0</v>
      </c>
      <c r="C3106" s="3" t="n">
        <v>42928</v>
      </c>
      <c r="D3106" s="2" t="s">
        <v>23740</v>
      </c>
      <c r="F3106" s="2" t="s">
        <v>1230</v>
      </c>
      <c r="G3106" s="2" t="s">
        <v>23741</v>
      </c>
      <c r="H3106" s="2" t="s">
        <v>130</v>
      </c>
      <c r="I3106" s="2" t="s">
        <v>51</v>
      </c>
      <c r="J3106" s="2" t="s">
        <v>306</v>
      </c>
      <c r="K3106" s="2" t="s">
        <v>23740</v>
      </c>
      <c r="L3106" s="2" t="s">
        <v>51</v>
      </c>
      <c r="M3106" s="2" t="s">
        <v>130</v>
      </c>
      <c r="N3106" s="2" t="s">
        <v>23742</v>
      </c>
      <c r="O3106" s="2"/>
      <c r="P3106" s="2" t="s">
        <v>37</v>
      </c>
      <c r="Q3106" s="4" t="n">
        <v>8731</v>
      </c>
      <c r="R3106" s="2" t="s">
        <v>56</v>
      </c>
      <c r="S3106" s="2"/>
      <c r="T3106" s="2" t="s">
        <v>40</v>
      </c>
      <c r="U3106" s="2" t="s">
        <v>23743</v>
      </c>
      <c r="V3106" s="2"/>
      <c r="W3106" s="2" t="s">
        <v>23744</v>
      </c>
      <c r="X3106" s="2" t="s">
        <v>43</v>
      </c>
      <c r="Y3106" s="2" t="s">
        <v>37</v>
      </c>
      <c r="Z3106" s="2" t="s">
        <v>44</v>
      </c>
      <c r="AA3106" s="2"/>
      <c r="AB3106" s="2"/>
      <c r="AC3106" s="2" t="s">
        <v>23745</v>
      </c>
      <c r="AD3106" s="2" t="s">
        <v>46</v>
      </c>
    </row>
    <row r="3107" customFormat="false" ht="15.7" hidden="false" customHeight="true" outlineLevel="0" collapsed="false">
      <c r="A3107" s="2"/>
      <c r="B3107" s="3" t="n">
        <f aca="false">DATE(2017,7,12)</f>
        <v>0</v>
      </c>
      <c r="C3107" s="3" t="n">
        <v>42928</v>
      </c>
      <c r="D3107" s="2" t="s">
        <v>23746</v>
      </c>
      <c r="F3107" s="2" t="s">
        <v>23747</v>
      </c>
      <c r="G3107" s="2" t="s">
        <v>23748</v>
      </c>
      <c r="H3107" s="2" t="s">
        <v>23749</v>
      </c>
      <c r="I3107" s="2" t="s">
        <v>330</v>
      </c>
      <c r="J3107" s="2" t="s">
        <v>6730</v>
      </c>
      <c r="K3107" s="2" t="s">
        <v>23746</v>
      </c>
      <c r="L3107" s="2" t="s">
        <v>330</v>
      </c>
      <c r="M3107" s="2" t="s">
        <v>23749</v>
      </c>
      <c r="N3107" s="2" t="s">
        <v>23750</v>
      </c>
      <c r="O3107" s="2"/>
      <c r="P3107" s="2" t="s">
        <v>37</v>
      </c>
      <c r="Q3107" s="4" t="n">
        <v>8731</v>
      </c>
      <c r="R3107" s="2" t="s">
        <v>56</v>
      </c>
      <c r="S3107" s="2" t="s">
        <v>788</v>
      </c>
      <c r="T3107" s="2" t="s">
        <v>403</v>
      </c>
      <c r="U3107" s="2" t="s">
        <v>23751</v>
      </c>
      <c r="V3107" s="2"/>
      <c r="W3107" s="2" t="s">
        <v>23752</v>
      </c>
      <c r="X3107" s="2" t="s">
        <v>46</v>
      </c>
      <c r="Y3107" s="2" t="s">
        <v>37</v>
      </c>
      <c r="Z3107" s="2" t="s">
        <v>362</v>
      </c>
      <c r="AA3107" s="2"/>
      <c r="AB3107" s="2"/>
      <c r="AC3107" s="2" t="s">
        <v>23753</v>
      </c>
      <c r="AD3107" s="2" t="s">
        <v>46</v>
      </c>
    </row>
    <row r="3108" customFormat="false" ht="15.7" hidden="false" customHeight="true" outlineLevel="0" collapsed="false">
      <c r="A3108" s="2"/>
      <c r="B3108" s="3" t="n">
        <f aca="false">DATE(2017,7,14)</f>
        <v>0</v>
      </c>
      <c r="C3108" s="3" t="n">
        <v>42930</v>
      </c>
      <c r="D3108" s="2" t="s">
        <v>23754</v>
      </c>
      <c r="F3108" s="2" t="s">
        <v>23755</v>
      </c>
      <c r="G3108" s="2" t="s">
        <v>23756</v>
      </c>
      <c r="H3108" s="2" t="s">
        <v>23757</v>
      </c>
      <c r="I3108" s="2" t="s">
        <v>23758</v>
      </c>
      <c r="J3108" s="2" t="s">
        <v>116</v>
      </c>
      <c r="K3108" s="2" t="s">
        <v>23754</v>
      </c>
      <c r="L3108" s="2" t="s">
        <v>23758</v>
      </c>
      <c r="M3108" s="2" t="s">
        <v>23757</v>
      </c>
      <c r="N3108" s="2" t="s">
        <v>23759</v>
      </c>
      <c r="O3108" s="2"/>
      <c r="P3108" s="2" t="s">
        <v>37</v>
      </c>
      <c r="Q3108" s="4" t="n">
        <v>3692</v>
      </c>
      <c r="R3108" s="2" t="s">
        <v>136</v>
      </c>
      <c r="S3108" s="2" t="s">
        <v>39</v>
      </c>
      <c r="T3108" s="2" t="s">
        <v>40</v>
      </c>
      <c r="U3108" s="2" t="s">
        <v>23760</v>
      </c>
      <c r="V3108" s="2"/>
      <c r="W3108" s="2" t="s">
        <v>23761</v>
      </c>
      <c r="X3108" s="2" t="s">
        <v>43</v>
      </c>
      <c r="Y3108" s="2" t="s">
        <v>37</v>
      </c>
      <c r="Z3108" s="2" t="s">
        <v>916</v>
      </c>
      <c r="AA3108" s="2" t="s">
        <v>23762</v>
      </c>
      <c r="AB3108" s="2"/>
      <c r="AC3108" s="2" t="s">
        <v>23763</v>
      </c>
      <c r="AD3108" s="2" t="s">
        <v>46</v>
      </c>
    </row>
    <row r="3109" customFormat="false" ht="15.7" hidden="false" customHeight="true" outlineLevel="0" collapsed="false">
      <c r="A3109" s="2"/>
      <c r="B3109" s="3" t="n">
        <f aca="false">DATE(2017,7,16)</f>
        <v>0</v>
      </c>
      <c r="C3109" s="3" t="n">
        <v>42932</v>
      </c>
      <c r="D3109" s="2" t="s">
        <v>23764</v>
      </c>
      <c r="F3109" s="2" t="s">
        <v>23765</v>
      </c>
      <c r="G3109" s="2" t="s">
        <v>23766</v>
      </c>
      <c r="H3109" s="2" t="s">
        <v>14314</v>
      </c>
      <c r="I3109" s="2" t="s">
        <v>23767</v>
      </c>
      <c r="J3109" s="2" t="s">
        <v>35</v>
      </c>
      <c r="K3109" s="2" t="s">
        <v>23764</v>
      </c>
      <c r="L3109" s="2" t="s">
        <v>23767</v>
      </c>
      <c r="M3109" s="2" t="s">
        <v>14314</v>
      </c>
      <c r="N3109" s="2" t="s">
        <v>23768</v>
      </c>
      <c r="O3109" s="2"/>
      <c r="P3109" s="2" t="s">
        <v>79</v>
      </c>
      <c r="Q3109" s="4" t="n">
        <v>3724</v>
      </c>
      <c r="R3109" s="2" t="s">
        <v>136</v>
      </c>
      <c r="S3109" s="2" t="s">
        <v>39</v>
      </c>
      <c r="T3109" s="2" t="s">
        <v>40</v>
      </c>
      <c r="U3109" s="2" t="s">
        <v>23769</v>
      </c>
      <c r="V3109" s="2"/>
      <c r="W3109" s="2" t="s">
        <v>697</v>
      </c>
      <c r="X3109" s="2" t="s">
        <v>46</v>
      </c>
      <c r="Y3109" s="2" t="s">
        <v>37</v>
      </c>
      <c r="Z3109" s="2" t="s">
        <v>362</v>
      </c>
      <c r="AA3109" s="2"/>
      <c r="AB3109" s="2"/>
      <c r="AC3109" s="2" t="s">
        <v>23770</v>
      </c>
      <c r="AD3109" s="2" t="s">
        <v>46</v>
      </c>
    </row>
    <row r="3110" customFormat="false" ht="15.7" hidden="false" customHeight="true" outlineLevel="0" collapsed="false">
      <c r="A3110" s="2"/>
      <c r="B3110" s="3" t="n">
        <f aca="false">DATE(2017,7,16)</f>
        <v>0</v>
      </c>
      <c r="C3110" s="3" t="n">
        <v>42932</v>
      </c>
      <c r="D3110" s="2" t="s">
        <v>23771</v>
      </c>
      <c r="F3110" s="2" t="s">
        <v>23772</v>
      </c>
      <c r="G3110" s="2" t="s">
        <v>23773</v>
      </c>
      <c r="H3110" s="2" t="s">
        <v>478</v>
      </c>
      <c r="I3110" s="2" t="s">
        <v>330</v>
      </c>
      <c r="J3110" s="2" t="s">
        <v>258</v>
      </c>
      <c r="K3110" s="2" t="s">
        <v>23771</v>
      </c>
      <c r="L3110" s="2" t="s">
        <v>330</v>
      </c>
      <c r="M3110" s="2" t="s">
        <v>478</v>
      </c>
      <c r="N3110" s="2" t="s">
        <v>23774</v>
      </c>
      <c r="O3110" s="2"/>
      <c r="P3110" s="2" t="s">
        <v>37</v>
      </c>
      <c r="Q3110" s="4" t="n">
        <v>6794</v>
      </c>
      <c r="R3110" s="2" t="s">
        <v>56</v>
      </c>
      <c r="S3110" s="2"/>
      <c r="T3110" s="2" t="s">
        <v>40</v>
      </c>
      <c r="U3110" s="2" t="s">
        <v>23775</v>
      </c>
      <c r="V3110" s="2"/>
      <c r="W3110" s="2" t="s">
        <v>15545</v>
      </c>
      <c r="X3110" s="2" t="s">
        <v>43</v>
      </c>
      <c r="Y3110" s="2" t="s">
        <v>37</v>
      </c>
      <c r="Z3110" s="2" t="s">
        <v>44</v>
      </c>
      <c r="AA3110" s="2"/>
      <c r="AB3110" s="2"/>
      <c r="AC3110" s="2" t="s">
        <v>23776</v>
      </c>
      <c r="AD3110" s="2" t="s">
        <v>46</v>
      </c>
    </row>
    <row r="3111" customFormat="false" ht="15.7" hidden="false" customHeight="true" outlineLevel="0" collapsed="false">
      <c r="A3111" s="2"/>
      <c r="B3111" s="3" t="n">
        <f aca="false">DATE(2017,7,17)</f>
        <v>0</v>
      </c>
      <c r="C3111" s="3" t="n">
        <v>42933</v>
      </c>
      <c r="D3111" s="2" t="s">
        <v>23777</v>
      </c>
      <c r="F3111" s="2" t="s">
        <v>23778</v>
      </c>
      <c r="G3111" s="2" t="s">
        <v>23779</v>
      </c>
      <c r="H3111" s="2" t="s">
        <v>23780</v>
      </c>
      <c r="I3111" s="2" t="s">
        <v>154</v>
      </c>
      <c r="J3111" s="2" t="s">
        <v>65</v>
      </c>
      <c r="K3111" s="2" t="s">
        <v>23777</v>
      </c>
      <c r="L3111" s="2" t="s">
        <v>154</v>
      </c>
      <c r="M3111" s="2" t="s">
        <v>23780</v>
      </c>
      <c r="N3111" s="2" t="s">
        <v>23781</v>
      </c>
      <c r="O3111" s="2"/>
      <c r="P3111" s="2" t="s">
        <v>37</v>
      </c>
      <c r="Q3111" s="4" t="n">
        <v>8731</v>
      </c>
      <c r="R3111" s="2" t="s">
        <v>56</v>
      </c>
      <c r="S3111" s="2" t="s">
        <v>92</v>
      </c>
      <c r="T3111" s="2" t="s">
        <v>40</v>
      </c>
      <c r="U3111" s="2" t="s">
        <v>23782</v>
      </c>
      <c r="V3111" s="2"/>
      <c r="W3111" s="2" t="s">
        <v>42</v>
      </c>
      <c r="X3111" s="2" t="s">
        <v>43</v>
      </c>
      <c r="Y3111" s="2" t="s">
        <v>37</v>
      </c>
      <c r="Z3111" s="2" t="s">
        <v>44</v>
      </c>
      <c r="AA3111" s="2"/>
      <c r="AB3111" s="2"/>
      <c r="AC3111" s="2" t="s">
        <v>23783</v>
      </c>
      <c r="AD3111" s="2" t="s">
        <v>46</v>
      </c>
    </row>
    <row r="3112" customFormat="false" ht="15.7" hidden="false" customHeight="true" outlineLevel="0" collapsed="false">
      <c r="A3112" s="2"/>
      <c r="B3112" s="3" t="n">
        <f aca="false">DATE(2017,7,17)</f>
        <v>0</v>
      </c>
      <c r="C3112" s="3" t="n">
        <v>42933</v>
      </c>
      <c r="D3112" s="2" t="s">
        <v>23784</v>
      </c>
      <c r="F3112" s="2" t="s">
        <v>14130</v>
      </c>
      <c r="G3112" s="2" t="s">
        <v>23785</v>
      </c>
      <c r="H3112" s="2" t="s">
        <v>170</v>
      </c>
      <c r="I3112" s="2" t="s">
        <v>899</v>
      </c>
      <c r="J3112" s="2" t="s">
        <v>228</v>
      </c>
      <c r="K3112" s="2" t="s">
        <v>23786</v>
      </c>
      <c r="L3112" s="2" t="s">
        <v>410</v>
      </c>
      <c r="M3112" s="2" t="s">
        <v>170</v>
      </c>
      <c r="N3112" s="2" t="s">
        <v>23787</v>
      </c>
      <c r="O3112" s="2"/>
      <c r="P3112" s="2" t="s">
        <v>37</v>
      </c>
      <c r="Q3112" s="4" t="n">
        <v>8731</v>
      </c>
      <c r="R3112" s="2" t="s">
        <v>136</v>
      </c>
      <c r="S3112" s="2" t="s">
        <v>39</v>
      </c>
      <c r="T3112" s="2" t="s">
        <v>40</v>
      </c>
      <c r="U3112" s="2" t="s">
        <v>23788</v>
      </c>
      <c r="V3112" s="2"/>
      <c r="W3112" s="2" t="s">
        <v>23789</v>
      </c>
      <c r="X3112" s="2" t="s">
        <v>43</v>
      </c>
      <c r="Y3112" s="2" t="s">
        <v>37</v>
      </c>
      <c r="Z3112" s="2" t="s">
        <v>44</v>
      </c>
      <c r="AA3112" s="2"/>
      <c r="AB3112" s="2"/>
      <c r="AC3112" s="2" t="s">
        <v>23790</v>
      </c>
      <c r="AD3112" s="2" t="s">
        <v>46</v>
      </c>
    </row>
    <row r="3113" customFormat="false" ht="15.7" hidden="false" customHeight="true" outlineLevel="0" collapsed="false">
      <c r="A3113" s="2"/>
      <c r="B3113" s="3" t="n">
        <f aca="false">DATE(2017,7,17)</f>
        <v>0</v>
      </c>
      <c r="C3113" s="3" t="n">
        <v>42933</v>
      </c>
      <c r="D3113" s="2" t="s">
        <v>23791</v>
      </c>
      <c r="F3113" s="2" t="s">
        <v>23792</v>
      </c>
      <c r="G3113" s="2" t="s">
        <v>23793</v>
      </c>
      <c r="H3113" s="2" t="s">
        <v>4561</v>
      </c>
      <c r="I3113" s="2" t="s">
        <v>17584</v>
      </c>
      <c r="J3113" s="2" t="s">
        <v>35</v>
      </c>
      <c r="K3113" s="2" t="s">
        <v>23791</v>
      </c>
      <c r="L3113" s="2" t="s">
        <v>17584</v>
      </c>
      <c r="M3113" s="2" t="s">
        <v>4561</v>
      </c>
      <c r="N3113" s="2" t="s">
        <v>23794</v>
      </c>
      <c r="O3113" s="2"/>
      <c r="P3113" s="2" t="s">
        <v>37</v>
      </c>
      <c r="Q3113" s="4" t="n">
        <v>2869</v>
      </c>
      <c r="R3113" s="2" t="s">
        <v>136</v>
      </c>
      <c r="S3113" s="2" t="s">
        <v>39</v>
      </c>
      <c r="T3113" s="2" t="s">
        <v>40</v>
      </c>
      <c r="U3113" s="2" t="s">
        <v>23795</v>
      </c>
      <c r="V3113" s="2"/>
      <c r="W3113" s="2" t="s">
        <v>42</v>
      </c>
      <c r="X3113" s="2" t="s">
        <v>43</v>
      </c>
      <c r="Y3113" s="2" t="s">
        <v>37</v>
      </c>
      <c r="Z3113" s="2" t="s">
        <v>44</v>
      </c>
      <c r="AA3113" s="2"/>
      <c r="AB3113" s="2"/>
      <c r="AC3113" s="2" t="s">
        <v>23796</v>
      </c>
      <c r="AD3113" s="2" t="s">
        <v>46</v>
      </c>
    </row>
    <row r="3114" customFormat="false" ht="15.7" hidden="false" customHeight="true" outlineLevel="0" collapsed="false">
      <c r="A3114" s="2"/>
      <c r="B3114" s="3" t="n">
        <f aca="false">DATE(2017,7,17)</f>
        <v>0</v>
      </c>
      <c r="C3114" s="3" t="n">
        <v>42933</v>
      </c>
      <c r="D3114" s="2" t="s">
        <v>23797</v>
      </c>
      <c r="F3114" s="2" t="s">
        <v>23798</v>
      </c>
      <c r="G3114" s="2" t="s">
        <v>23799</v>
      </c>
      <c r="H3114" s="2" t="s">
        <v>18985</v>
      </c>
      <c r="I3114" s="2" t="s">
        <v>1645</v>
      </c>
      <c r="J3114" s="2" t="s">
        <v>35</v>
      </c>
      <c r="K3114" s="2" t="s">
        <v>23797</v>
      </c>
      <c r="L3114" s="2" t="s">
        <v>1645</v>
      </c>
      <c r="M3114" s="2" t="s">
        <v>18985</v>
      </c>
      <c r="N3114" s="2" t="s">
        <v>23800</v>
      </c>
      <c r="O3114" s="2"/>
      <c r="P3114" s="2" t="s">
        <v>37</v>
      </c>
      <c r="Q3114" s="4" t="n">
        <v>1041</v>
      </c>
      <c r="R3114" s="2" t="s">
        <v>1645</v>
      </c>
      <c r="S3114" s="2" t="s">
        <v>5334</v>
      </c>
      <c r="T3114" s="2" t="s">
        <v>40</v>
      </c>
      <c r="U3114" s="2" t="s">
        <v>23801</v>
      </c>
      <c r="V3114" s="2"/>
      <c r="W3114" s="2" t="s">
        <v>42</v>
      </c>
      <c r="X3114" s="2" t="s">
        <v>46</v>
      </c>
      <c r="Y3114" s="2" t="s">
        <v>37</v>
      </c>
      <c r="Z3114" s="2" t="s">
        <v>44</v>
      </c>
      <c r="AA3114" s="2"/>
      <c r="AB3114" s="2"/>
      <c r="AC3114" s="2" t="s">
        <v>23802</v>
      </c>
      <c r="AD3114" s="2" t="s">
        <v>46</v>
      </c>
    </row>
    <row r="3115" customFormat="false" ht="15.7" hidden="false" customHeight="true" outlineLevel="0" collapsed="false">
      <c r="A3115" s="2"/>
      <c r="B3115" s="3" t="n">
        <f aca="false">DATE(2017,7,18)</f>
        <v>0</v>
      </c>
      <c r="C3115" s="3" t="n">
        <v>42934</v>
      </c>
      <c r="D3115" s="2" t="s">
        <v>23803</v>
      </c>
      <c r="F3115" s="2" t="s">
        <v>22227</v>
      </c>
      <c r="G3115" s="2" t="s">
        <v>23804</v>
      </c>
      <c r="H3115" s="2" t="s">
        <v>1101</v>
      </c>
      <c r="I3115" s="2" t="s">
        <v>664</v>
      </c>
      <c r="J3115" s="2" t="s">
        <v>14811</v>
      </c>
      <c r="K3115" s="2" t="s">
        <v>23803</v>
      </c>
      <c r="L3115" s="2" t="s">
        <v>664</v>
      </c>
      <c r="M3115" s="2" t="s">
        <v>1101</v>
      </c>
      <c r="N3115" s="2" t="s">
        <v>23805</v>
      </c>
      <c r="O3115" s="2"/>
      <c r="P3115" s="2" t="s">
        <v>37</v>
      </c>
      <c r="Q3115" s="4" t="n">
        <v>8731</v>
      </c>
      <c r="R3115" s="2" t="s">
        <v>38</v>
      </c>
      <c r="S3115" s="2" t="s">
        <v>39</v>
      </c>
      <c r="T3115" s="2" t="s">
        <v>40</v>
      </c>
      <c r="U3115" s="2" t="s">
        <v>23806</v>
      </c>
      <c r="V3115" s="2"/>
      <c r="W3115" s="2" t="s">
        <v>23175</v>
      </c>
      <c r="X3115" s="2" t="s">
        <v>43</v>
      </c>
      <c r="Y3115" s="2" t="s">
        <v>37</v>
      </c>
      <c r="Z3115" s="2" t="s">
        <v>44</v>
      </c>
      <c r="AA3115" s="2"/>
      <c r="AB3115" s="2"/>
      <c r="AC3115" s="2" t="s">
        <v>23807</v>
      </c>
      <c r="AD3115" s="2" t="s">
        <v>46</v>
      </c>
    </row>
    <row r="3116" customFormat="false" ht="15.7" hidden="false" customHeight="true" outlineLevel="0" collapsed="false">
      <c r="A3116" s="2"/>
      <c r="B3116" s="3" t="n">
        <f aca="false">DATE(2017,7,18)</f>
        <v>0</v>
      </c>
      <c r="C3116" s="3" t="n">
        <v>42934</v>
      </c>
      <c r="D3116" s="2" t="s">
        <v>23808</v>
      </c>
      <c r="F3116" s="2" t="s">
        <v>23707</v>
      </c>
      <c r="G3116" s="2" t="s">
        <v>23809</v>
      </c>
      <c r="H3116" s="2" t="s">
        <v>1101</v>
      </c>
      <c r="I3116" s="2" t="s">
        <v>51</v>
      </c>
      <c r="J3116" s="2" t="s">
        <v>1926</v>
      </c>
      <c r="K3116" s="2" t="s">
        <v>23808</v>
      </c>
      <c r="L3116" s="2" t="s">
        <v>51</v>
      </c>
      <c r="M3116" s="2" t="s">
        <v>1101</v>
      </c>
      <c r="N3116" s="2" t="s">
        <v>23810</v>
      </c>
      <c r="O3116" s="2"/>
      <c r="P3116" s="2" t="s">
        <v>37</v>
      </c>
      <c r="Q3116" s="4" t="n">
        <v>8731</v>
      </c>
      <c r="R3116" s="2" t="s">
        <v>56</v>
      </c>
      <c r="S3116" s="2" t="s">
        <v>1622</v>
      </c>
      <c r="T3116" s="2" t="s">
        <v>40</v>
      </c>
      <c r="U3116" s="2" t="s">
        <v>23811</v>
      </c>
      <c r="V3116" s="2"/>
      <c r="W3116" s="2" t="s">
        <v>42</v>
      </c>
      <c r="X3116" s="2" t="s">
        <v>43</v>
      </c>
      <c r="Y3116" s="2" t="s">
        <v>37</v>
      </c>
      <c r="Z3116" s="2" t="s">
        <v>44</v>
      </c>
      <c r="AA3116" s="2"/>
      <c r="AB3116" s="2"/>
      <c r="AC3116" s="2" t="s">
        <v>23812</v>
      </c>
      <c r="AD3116" s="2" t="s">
        <v>46</v>
      </c>
    </row>
    <row r="3117" customFormat="false" ht="15.7" hidden="false" customHeight="true" outlineLevel="0" collapsed="false">
      <c r="A3117" s="2"/>
      <c r="B3117" s="3" t="n">
        <f aca="false">DATE(2017,7,18)</f>
        <v>0</v>
      </c>
      <c r="C3117" s="3" t="n">
        <v>42934</v>
      </c>
      <c r="D3117" s="2" t="s">
        <v>23813</v>
      </c>
      <c r="F3117" s="2" t="s">
        <v>23814</v>
      </c>
      <c r="G3117" s="2" t="s">
        <v>23815</v>
      </c>
      <c r="H3117" s="2" t="s">
        <v>7288</v>
      </c>
      <c r="I3117" s="2" t="s">
        <v>11694</v>
      </c>
      <c r="J3117" s="2" t="s">
        <v>35</v>
      </c>
      <c r="K3117" s="2" t="s">
        <v>23816</v>
      </c>
      <c r="L3117" s="2" t="s">
        <v>11694</v>
      </c>
      <c r="M3117" s="2" t="s">
        <v>130</v>
      </c>
      <c r="N3117" s="2" t="s">
        <v>23817</v>
      </c>
      <c r="O3117" s="2"/>
      <c r="P3117" s="2" t="s">
        <v>79</v>
      </c>
      <c r="Q3117" s="4" t="n">
        <v>6794</v>
      </c>
      <c r="R3117" s="2" t="s">
        <v>136</v>
      </c>
      <c r="S3117" s="2" t="s">
        <v>39</v>
      </c>
      <c r="T3117" s="2" t="s">
        <v>40</v>
      </c>
      <c r="U3117" s="2" t="s">
        <v>23818</v>
      </c>
      <c r="V3117" s="2"/>
      <c r="W3117" s="2" t="s">
        <v>23819</v>
      </c>
      <c r="X3117" s="2" t="s">
        <v>43</v>
      </c>
      <c r="Y3117" s="2" t="s">
        <v>37</v>
      </c>
      <c r="Z3117" s="2" t="s">
        <v>44</v>
      </c>
      <c r="AA3117" s="2"/>
      <c r="AB3117" s="2"/>
      <c r="AC3117" s="2" t="s">
        <v>23820</v>
      </c>
      <c r="AD3117" s="2" t="s">
        <v>46</v>
      </c>
    </row>
    <row r="3118" customFormat="false" ht="15.7" hidden="false" customHeight="true" outlineLevel="0" collapsed="false">
      <c r="A3118" s="2"/>
      <c r="B3118" s="3" t="n">
        <f aca="false">DATE(2017,7,18)</f>
        <v>0</v>
      </c>
      <c r="C3118" s="3" t="n">
        <v>42934</v>
      </c>
      <c r="D3118" s="2" t="s">
        <v>23821</v>
      </c>
      <c r="F3118" s="2" t="s">
        <v>23822</v>
      </c>
      <c r="G3118" s="2" t="s">
        <v>23823</v>
      </c>
      <c r="H3118" s="2" t="s">
        <v>130</v>
      </c>
      <c r="I3118" s="2" t="s">
        <v>1118</v>
      </c>
      <c r="J3118" s="2" t="s">
        <v>35</v>
      </c>
      <c r="K3118" s="2" t="s">
        <v>23821</v>
      </c>
      <c r="L3118" s="2" t="s">
        <v>1118</v>
      </c>
      <c r="M3118" s="2" t="s">
        <v>130</v>
      </c>
      <c r="N3118" s="2" t="s">
        <v>23824</v>
      </c>
      <c r="O3118" s="2"/>
      <c r="P3118" s="2" t="s">
        <v>37</v>
      </c>
      <c r="Q3118" s="4" t="n">
        <v>6794</v>
      </c>
      <c r="R3118" s="2" t="s">
        <v>136</v>
      </c>
      <c r="S3118" s="2" t="s">
        <v>39</v>
      </c>
      <c r="T3118" s="2" t="s">
        <v>40</v>
      </c>
      <c r="U3118" s="2" t="s">
        <v>23825</v>
      </c>
      <c r="V3118" s="2"/>
      <c r="W3118" s="2" t="s">
        <v>82</v>
      </c>
      <c r="X3118" s="2" t="s">
        <v>43</v>
      </c>
      <c r="Y3118" s="2" t="s">
        <v>37</v>
      </c>
      <c r="Z3118" s="2" t="s">
        <v>44</v>
      </c>
      <c r="AA3118" s="2"/>
      <c r="AB3118" s="2"/>
      <c r="AC3118" s="2" t="s">
        <v>23826</v>
      </c>
      <c r="AD3118" s="2" t="s">
        <v>46</v>
      </c>
    </row>
    <row r="3119" customFormat="false" ht="15.7" hidden="false" customHeight="true" outlineLevel="0" collapsed="false">
      <c r="A3119" s="2"/>
      <c r="B3119" s="3" t="n">
        <f aca="false">DATE(2017,7,18)</f>
        <v>0</v>
      </c>
      <c r="C3119" s="3" t="n">
        <v>42934</v>
      </c>
      <c r="D3119" s="2" t="s">
        <v>23827</v>
      </c>
      <c r="F3119" s="2" t="s">
        <v>23828</v>
      </c>
      <c r="G3119" s="2" t="s">
        <v>23829</v>
      </c>
      <c r="H3119" s="2" t="s">
        <v>63</v>
      </c>
      <c r="I3119" s="2" t="s">
        <v>51</v>
      </c>
      <c r="J3119" s="2" t="s">
        <v>1043</v>
      </c>
      <c r="K3119" s="2" t="s">
        <v>23827</v>
      </c>
      <c r="L3119" s="2" t="s">
        <v>51</v>
      </c>
      <c r="M3119" s="2" t="s">
        <v>63</v>
      </c>
      <c r="N3119" s="2" t="s">
        <v>23830</v>
      </c>
      <c r="O3119" s="2"/>
      <c r="P3119" s="2" t="s">
        <v>37</v>
      </c>
      <c r="Q3119" s="4" t="n">
        <v>6794</v>
      </c>
      <c r="R3119" s="2" t="s">
        <v>136</v>
      </c>
      <c r="S3119" s="2" t="s">
        <v>39</v>
      </c>
      <c r="T3119" s="2" t="s">
        <v>40</v>
      </c>
      <c r="U3119" s="2" t="s">
        <v>23831</v>
      </c>
      <c r="V3119" s="2"/>
      <c r="W3119" s="2" t="s">
        <v>82</v>
      </c>
      <c r="X3119" s="2" t="s">
        <v>43</v>
      </c>
      <c r="Y3119" s="2" t="s">
        <v>37</v>
      </c>
      <c r="Z3119" s="2" t="s">
        <v>44</v>
      </c>
      <c r="AA3119" s="2"/>
      <c r="AB3119" s="2"/>
      <c r="AC3119" s="2" t="s">
        <v>23832</v>
      </c>
      <c r="AD3119" s="2" t="s">
        <v>46</v>
      </c>
    </row>
    <row r="3120" customFormat="false" ht="15.7" hidden="false" customHeight="true" outlineLevel="0" collapsed="false">
      <c r="A3120" s="2"/>
      <c r="B3120" s="3" t="n">
        <f aca="false">DATE(2017,7,19)</f>
        <v>0</v>
      </c>
      <c r="C3120" s="3" t="n">
        <v>42935</v>
      </c>
      <c r="D3120" s="2" t="s">
        <v>23833</v>
      </c>
      <c r="F3120" s="2" t="s">
        <v>23834</v>
      </c>
      <c r="G3120" s="2" t="s">
        <v>23835</v>
      </c>
      <c r="H3120" s="2" t="s">
        <v>762</v>
      </c>
      <c r="I3120" s="2" t="s">
        <v>51</v>
      </c>
      <c r="J3120" s="2" t="s">
        <v>171</v>
      </c>
      <c r="K3120" s="2" t="s">
        <v>23833</v>
      </c>
      <c r="L3120" s="2" t="s">
        <v>51</v>
      </c>
      <c r="M3120" s="2" t="s">
        <v>762</v>
      </c>
      <c r="N3120" s="2" t="s">
        <v>23836</v>
      </c>
      <c r="O3120" s="2"/>
      <c r="P3120" s="2" t="s">
        <v>37</v>
      </c>
      <c r="Q3120" s="4" t="n">
        <v>6794</v>
      </c>
      <c r="R3120" s="2" t="s">
        <v>56</v>
      </c>
      <c r="S3120" s="2" t="s">
        <v>92</v>
      </c>
      <c r="T3120" s="2" t="s">
        <v>40</v>
      </c>
      <c r="U3120" s="2" t="s">
        <v>23837</v>
      </c>
      <c r="V3120" s="2"/>
      <c r="W3120" s="2" t="s">
        <v>15545</v>
      </c>
      <c r="X3120" s="2" t="s">
        <v>43</v>
      </c>
      <c r="Y3120" s="2" t="s">
        <v>37</v>
      </c>
      <c r="Z3120" s="2" t="s">
        <v>44</v>
      </c>
      <c r="AA3120" s="2" t="s">
        <v>23838</v>
      </c>
      <c r="AB3120" s="2"/>
      <c r="AC3120" s="2" t="s">
        <v>23839</v>
      </c>
      <c r="AD3120" s="2" t="s">
        <v>46</v>
      </c>
    </row>
    <row r="3121" customFormat="false" ht="15.7" hidden="false" customHeight="true" outlineLevel="0" collapsed="false">
      <c r="A3121" s="2"/>
      <c r="B3121" s="3" t="n">
        <f aca="false">DATE(2017,7,19)</f>
        <v>0</v>
      </c>
      <c r="C3121" s="3" t="n">
        <v>42935</v>
      </c>
      <c r="D3121" s="2" t="s">
        <v>23840</v>
      </c>
      <c r="F3121" s="2" t="s">
        <v>17957</v>
      </c>
      <c r="G3121" s="2" t="s">
        <v>23841</v>
      </c>
      <c r="H3121" s="2" t="s">
        <v>1020</v>
      </c>
      <c r="I3121" s="2" t="s">
        <v>296</v>
      </c>
      <c r="J3121" s="2" t="s">
        <v>65</v>
      </c>
      <c r="K3121" s="2" t="s">
        <v>23840</v>
      </c>
      <c r="L3121" s="2" t="s">
        <v>296</v>
      </c>
      <c r="M3121" s="2" t="s">
        <v>1020</v>
      </c>
      <c r="N3121" s="2" t="s">
        <v>23842</v>
      </c>
      <c r="O3121" s="2"/>
      <c r="P3121" s="2" t="s">
        <v>37</v>
      </c>
      <c r="Q3121" s="4" t="n">
        <v>6794</v>
      </c>
      <c r="R3121" s="2" t="s">
        <v>1448</v>
      </c>
      <c r="S3121" s="2" t="s">
        <v>39</v>
      </c>
      <c r="T3121" s="2" t="s">
        <v>40</v>
      </c>
      <c r="U3121" s="2" t="s">
        <v>23843</v>
      </c>
      <c r="V3121" s="2"/>
      <c r="W3121" s="2" t="s">
        <v>82</v>
      </c>
      <c r="X3121" s="2" t="s">
        <v>43</v>
      </c>
      <c r="Y3121" s="2" t="s">
        <v>37</v>
      </c>
      <c r="Z3121" s="2" t="s">
        <v>44</v>
      </c>
      <c r="AA3121" s="2"/>
      <c r="AB3121" s="2"/>
      <c r="AC3121" s="2" t="s">
        <v>23844</v>
      </c>
      <c r="AD3121" s="2" t="s">
        <v>46</v>
      </c>
    </row>
    <row r="3122" customFormat="false" ht="15.7" hidden="false" customHeight="true" outlineLevel="0" collapsed="false">
      <c r="A3122" s="2"/>
      <c r="B3122" s="3" t="n">
        <f aca="false">DATE(2017,7,20)</f>
        <v>0</v>
      </c>
      <c r="C3122" s="3" t="n">
        <v>42936</v>
      </c>
      <c r="D3122" s="2" t="s">
        <v>23845</v>
      </c>
      <c r="F3122" s="2" t="s">
        <v>23846</v>
      </c>
      <c r="G3122" s="2" t="s">
        <v>23847</v>
      </c>
      <c r="H3122" s="2" t="s">
        <v>305</v>
      </c>
      <c r="I3122" s="2" t="s">
        <v>5298</v>
      </c>
      <c r="J3122" s="2" t="s">
        <v>35</v>
      </c>
      <c r="K3122" s="2" t="s">
        <v>23845</v>
      </c>
      <c r="L3122" s="2" t="s">
        <v>5298</v>
      </c>
      <c r="M3122" s="2" t="s">
        <v>305</v>
      </c>
      <c r="N3122" s="2" t="s">
        <v>23848</v>
      </c>
      <c r="O3122" s="2"/>
      <c r="P3122" s="2" t="s">
        <v>37</v>
      </c>
      <c r="Q3122" s="4" t="n">
        <v>8731</v>
      </c>
      <c r="R3122" s="2" t="s">
        <v>136</v>
      </c>
      <c r="S3122" s="2" t="s">
        <v>39</v>
      </c>
      <c r="T3122" s="2" t="s">
        <v>40</v>
      </c>
      <c r="U3122" s="2" t="s">
        <v>23849</v>
      </c>
      <c r="V3122" s="2"/>
      <c r="W3122" s="2" t="s">
        <v>82</v>
      </c>
      <c r="X3122" s="2" t="s">
        <v>43</v>
      </c>
      <c r="Y3122" s="2" t="s">
        <v>37</v>
      </c>
      <c r="Z3122" s="2" t="s">
        <v>44</v>
      </c>
      <c r="AA3122" s="2"/>
      <c r="AB3122" s="2"/>
      <c r="AC3122" s="2" t="s">
        <v>23850</v>
      </c>
      <c r="AD3122" s="2" t="s">
        <v>46</v>
      </c>
    </row>
    <row r="3123" customFormat="false" ht="15.7" hidden="false" customHeight="true" outlineLevel="0" collapsed="false">
      <c r="A3123" s="2"/>
      <c r="B3123" s="3" t="n">
        <f aca="false">DATE(2017,7,20)</f>
        <v>0</v>
      </c>
      <c r="C3123" s="3" t="n">
        <v>42936</v>
      </c>
      <c r="D3123" s="2" t="s">
        <v>23851</v>
      </c>
      <c r="F3123" s="2" t="s">
        <v>22372</v>
      </c>
      <c r="G3123" s="2" t="s">
        <v>23852</v>
      </c>
      <c r="H3123" s="2" t="s">
        <v>523</v>
      </c>
      <c r="I3123" s="2" t="s">
        <v>1080</v>
      </c>
      <c r="J3123" s="2" t="s">
        <v>35</v>
      </c>
      <c r="K3123" s="2" t="s">
        <v>23851</v>
      </c>
      <c r="L3123" s="2" t="s">
        <v>1080</v>
      </c>
      <c r="M3123" s="2" t="s">
        <v>523</v>
      </c>
      <c r="N3123" s="2" t="s">
        <v>23853</v>
      </c>
      <c r="O3123" s="2"/>
      <c r="P3123" s="2" t="s">
        <v>37</v>
      </c>
      <c r="Q3123" s="4" t="n">
        <v>8731</v>
      </c>
      <c r="R3123" s="2" t="s">
        <v>2201</v>
      </c>
      <c r="S3123" s="2" t="s">
        <v>39</v>
      </c>
      <c r="T3123" s="2" t="s">
        <v>40</v>
      </c>
      <c r="U3123" s="2" t="s">
        <v>23854</v>
      </c>
      <c r="V3123" s="2"/>
      <c r="W3123" s="2" t="s">
        <v>22456</v>
      </c>
      <c r="X3123" s="2" t="s">
        <v>43</v>
      </c>
      <c r="Y3123" s="2" t="s">
        <v>37</v>
      </c>
      <c r="Z3123" s="2" t="s">
        <v>44</v>
      </c>
      <c r="AA3123" s="2"/>
      <c r="AB3123" s="2"/>
      <c r="AC3123" s="2" t="s">
        <v>23855</v>
      </c>
      <c r="AD3123" s="2" t="s">
        <v>46</v>
      </c>
    </row>
    <row r="3124" customFormat="false" ht="15.7" hidden="false" customHeight="true" outlineLevel="0" collapsed="false">
      <c r="A3124" s="2"/>
      <c r="B3124" s="3" t="n">
        <f aca="false">DATE(2017,7,20)</f>
        <v>0</v>
      </c>
      <c r="C3124" s="3" t="n">
        <v>42936</v>
      </c>
      <c r="D3124" s="2" t="s">
        <v>23856</v>
      </c>
      <c r="F3124" s="2" t="s">
        <v>2801</v>
      </c>
      <c r="G3124" s="2" t="s">
        <v>23857</v>
      </c>
      <c r="H3124" s="2" t="s">
        <v>130</v>
      </c>
      <c r="I3124" s="2" t="s">
        <v>12475</v>
      </c>
      <c r="J3124" s="2" t="s">
        <v>35</v>
      </c>
      <c r="K3124" s="2" t="s">
        <v>23858</v>
      </c>
      <c r="L3124" s="2" t="s">
        <v>12475</v>
      </c>
      <c r="M3124" s="2" t="s">
        <v>130</v>
      </c>
      <c r="N3124" s="2" t="s">
        <v>23859</v>
      </c>
      <c r="O3124" s="2"/>
      <c r="P3124" s="2" t="s">
        <v>37</v>
      </c>
      <c r="Q3124" s="4" t="n">
        <v>2834</v>
      </c>
      <c r="R3124" s="2" t="s">
        <v>136</v>
      </c>
      <c r="S3124" s="2" t="s">
        <v>39</v>
      </c>
      <c r="T3124" s="2" t="s">
        <v>40</v>
      </c>
      <c r="U3124" s="2" t="s">
        <v>23860</v>
      </c>
      <c r="V3124" s="2"/>
      <c r="W3124" s="2" t="s">
        <v>15545</v>
      </c>
      <c r="X3124" s="2" t="s">
        <v>43</v>
      </c>
      <c r="Y3124" s="2" t="s">
        <v>37</v>
      </c>
      <c r="Z3124" s="2" t="s">
        <v>44</v>
      </c>
      <c r="AA3124" s="2"/>
      <c r="AB3124" s="2"/>
      <c r="AC3124" s="2" t="s">
        <v>23861</v>
      </c>
      <c r="AD3124" s="2" t="s">
        <v>46</v>
      </c>
    </row>
    <row r="3125" customFormat="false" ht="15.7" hidden="false" customHeight="true" outlineLevel="0" collapsed="false">
      <c r="A3125" s="2"/>
      <c r="B3125" s="3" t="n">
        <f aca="false">DATE(2017,7,21)</f>
        <v>0</v>
      </c>
      <c r="C3125" s="3" t="n">
        <v>42937</v>
      </c>
      <c r="D3125" s="2" t="s">
        <v>23862</v>
      </c>
      <c r="F3125" s="2" t="s">
        <v>23863</v>
      </c>
      <c r="G3125" s="2" t="s">
        <v>23864</v>
      </c>
      <c r="H3125" s="2" t="s">
        <v>23865</v>
      </c>
      <c r="I3125" s="2" t="s">
        <v>21629</v>
      </c>
      <c r="J3125" s="2" t="s">
        <v>35</v>
      </c>
      <c r="K3125" s="2" t="s">
        <v>23862</v>
      </c>
      <c r="L3125" s="2" t="s">
        <v>21629</v>
      </c>
      <c r="M3125" s="2" t="s">
        <v>23865</v>
      </c>
      <c r="N3125" s="2" t="s">
        <v>23866</v>
      </c>
      <c r="O3125" s="2"/>
      <c r="P3125" s="2" t="s">
        <v>79</v>
      </c>
      <c r="Q3125" s="4" t="n">
        <v>4812</v>
      </c>
      <c r="R3125" s="2" t="s">
        <v>402</v>
      </c>
      <c r="S3125" s="2" t="s">
        <v>39</v>
      </c>
      <c r="T3125" s="2" t="s">
        <v>40</v>
      </c>
      <c r="U3125" s="2" t="s">
        <v>23867</v>
      </c>
      <c r="V3125" s="2"/>
      <c r="W3125" s="2" t="s">
        <v>23868</v>
      </c>
      <c r="X3125" s="2" t="s">
        <v>43</v>
      </c>
      <c r="Y3125" s="2" t="s">
        <v>37</v>
      </c>
      <c r="Z3125" s="2" t="s">
        <v>44</v>
      </c>
      <c r="AA3125" s="2"/>
      <c r="AB3125" s="2"/>
      <c r="AC3125" s="2" t="s">
        <v>23869</v>
      </c>
      <c r="AD3125" s="2" t="s">
        <v>46</v>
      </c>
    </row>
    <row r="3126" customFormat="false" ht="15.7" hidden="false" customHeight="true" outlineLevel="0" collapsed="false">
      <c r="A3126" s="2"/>
      <c r="B3126" s="3" t="n">
        <f aca="false">DATE(2017,7,21)</f>
        <v>0</v>
      </c>
      <c r="C3126" s="3" t="n">
        <v>42937</v>
      </c>
      <c r="D3126" s="2" t="s">
        <v>23870</v>
      </c>
      <c r="F3126" s="2" t="s">
        <v>23871</v>
      </c>
      <c r="G3126" s="2" t="s">
        <v>23872</v>
      </c>
      <c r="H3126" s="2" t="s">
        <v>63</v>
      </c>
      <c r="I3126" s="2" t="s">
        <v>1415</v>
      </c>
      <c r="J3126" s="2" t="s">
        <v>671</v>
      </c>
      <c r="K3126" s="2" t="s">
        <v>23870</v>
      </c>
      <c r="L3126" s="2" t="s">
        <v>1415</v>
      </c>
      <c r="M3126" s="2" t="s">
        <v>63</v>
      </c>
      <c r="N3126" s="2" t="s">
        <v>23873</v>
      </c>
      <c r="O3126" s="2"/>
      <c r="P3126" s="2" t="s">
        <v>37</v>
      </c>
      <c r="Q3126" s="4" t="n">
        <v>2836</v>
      </c>
      <c r="R3126" s="2" t="s">
        <v>136</v>
      </c>
      <c r="S3126" s="2" t="s">
        <v>39</v>
      </c>
      <c r="T3126" s="2" t="s">
        <v>40</v>
      </c>
      <c r="U3126" s="2" t="s">
        <v>23874</v>
      </c>
      <c r="V3126" s="2"/>
      <c r="W3126" s="2" t="s">
        <v>42</v>
      </c>
      <c r="X3126" s="2" t="s">
        <v>43</v>
      </c>
      <c r="Y3126" s="2" t="s">
        <v>37</v>
      </c>
      <c r="Z3126" s="2" t="s">
        <v>44</v>
      </c>
      <c r="AA3126" s="2"/>
      <c r="AB3126" s="2"/>
      <c r="AC3126" s="2" t="s">
        <v>23875</v>
      </c>
      <c r="AD3126" s="2" t="s">
        <v>46</v>
      </c>
    </row>
    <row r="3127" customFormat="false" ht="15.7" hidden="false" customHeight="true" outlineLevel="0" collapsed="false">
      <c r="A3127" s="2"/>
      <c r="B3127" s="3" t="n">
        <f aca="false">DATE(2017,7,24)</f>
        <v>0</v>
      </c>
      <c r="C3127" s="3" t="n">
        <v>42940</v>
      </c>
      <c r="D3127" s="2" t="s">
        <v>23876</v>
      </c>
      <c r="F3127" s="2" t="s">
        <v>23877</v>
      </c>
      <c r="G3127" s="2" t="s">
        <v>23878</v>
      </c>
      <c r="H3127" s="2" t="s">
        <v>130</v>
      </c>
      <c r="I3127" s="2" t="s">
        <v>51</v>
      </c>
      <c r="J3127" s="2" t="s">
        <v>6006</v>
      </c>
      <c r="K3127" s="2" t="s">
        <v>23876</v>
      </c>
      <c r="L3127" s="2" t="s">
        <v>51</v>
      </c>
      <c r="M3127" s="2" t="s">
        <v>130</v>
      </c>
      <c r="N3127" s="2" t="s">
        <v>23879</v>
      </c>
      <c r="O3127" s="2"/>
      <c r="P3127" s="2" t="s">
        <v>37</v>
      </c>
      <c r="Q3127" s="4" t="n">
        <v>8099</v>
      </c>
      <c r="R3127" s="2" t="s">
        <v>56</v>
      </c>
      <c r="S3127" s="2" t="s">
        <v>92</v>
      </c>
      <c r="T3127" s="2" t="s">
        <v>403</v>
      </c>
      <c r="U3127" s="2" t="s">
        <v>23880</v>
      </c>
      <c r="V3127" s="2"/>
      <c r="W3127" s="2" t="s">
        <v>4487</v>
      </c>
      <c r="X3127" s="2" t="s">
        <v>43</v>
      </c>
      <c r="Y3127" s="2" t="s">
        <v>37</v>
      </c>
      <c r="Z3127" s="2" t="s">
        <v>44</v>
      </c>
      <c r="AA3127" s="2"/>
      <c r="AB3127" s="2"/>
      <c r="AC3127" s="2" t="s">
        <v>23881</v>
      </c>
      <c r="AD3127" s="2" t="s">
        <v>46</v>
      </c>
    </row>
    <row r="3128" customFormat="false" ht="15.7" hidden="false" customHeight="true" outlineLevel="0" collapsed="false">
      <c r="A3128" s="2"/>
      <c r="B3128" s="3" t="n">
        <f aca="false">DATE(2017,7,24)</f>
        <v>0</v>
      </c>
      <c r="C3128" s="3" t="n">
        <v>42940</v>
      </c>
      <c r="D3128" s="2" t="s">
        <v>23882</v>
      </c>
      <c r="F3128" s="2" t="s">
        <v>23883</v>
      </c>
      <c r="G3128" s="2" t="s">
        <v>23884</v>
      </c>
      <c r="H3128" s="2" t="s">
        <v>2674</v>
      </c>
      <c r="I3128" s="2" t="s">
        <v>540</v>
      </c>
      <c r="J3128" s="2" t="s">
        <v>35</v>
      </c>
      <c r="K3128" s="2" t="s">
        <v>23882</v>
      </c>
      <c r="L3128" s="2" t="s">
        <v>540</v>
      </c>
      <c r="M3128" s="2" t="s">
        <v>2674</v>
      </c>
      <c r="N3128" s="2" t="s">
        <v>23885</v>
      </c>
      <c r="O3128" s="2"/>
      <c r="P3128" s="2" t="s">
        <v>79</v>
      </c>
      <c r="Q3128" s="4" t="n">
        <v>6794</v>
      </c>
      <c r="R3128" s="2" t="s">
        <v>1448</v>
      </c>
      <c r="S3128" s="2" t="s">
        <v>39</v>
      </c>
      <c r="T3128" s="2" t="s">
        <v>40</v>
      </c>
      <c r="U3128" s="2" t="s">
        <v>23886</v>
      </c>
      <c r="V3128" s="2"/>
      <c r="W3128" s="2" t="s">
        <v>23887</v>
      </c>
      <c r="X3128" s="2" t="s">
        <v>43</v>
      </c>
      <c r="Y3128" s="2" t="s">
        <v>37</v>
      </c>
      <c r="Z3128" s="2" t="s">
        <v>44</v>
      </c>
      <c r="AA3128" s="2"/>
      <c r="AB3128" s="2"/>
      <c r="AC3128" s="2" t="s">
        <v>23888</v>
      </c>
      <c r="AD3128" s="2" t="s">
        <v>46</v>
      </c>
    </row>
    <row r="3129" customFormat="false" ht="15.7" hidden="false" customHeight="true" outlineLevel="0" collapsed="false">
      <c r="A3129" s="2"/>
      <c r="B3129" s="3" t="n">
        <f aca="false">DATE(2017,7,25)</f>
        <v>0</v>
      </c>
      <c r="C3129" s="3" t="n">
        <v>42941</v>
      </c>
      <c r="D3129" s="2" t="s">
        <v>23889</v>
      </c>
      <c r="F3129" s="2" t="s">
        <v>347</v>
      </c>
      <c r="G3129" s="2" t="s">
        <v>23890</v>
      </c>
      <c r="H3129" s="2" t="s">
        <v>63</v>
      </c>
      <c r="I3129" s="2" t="s">
        <v>20096</v>
      </c>
      <c r="J3129" s="2" t="s">
        <v>795</v>
      </c>
      <c r="K3129" s="2" t="s">
        <v>23889</v>
      </c>
      <c r="L3129" s="2" t="s">
        <v>20096</v>
      </c>
      <c r="M3129" s="2" t="s">
        <v>63</v>
      </c>
      <c r="N3129" s="2" t="s">
        <v>23891</v>
      </c>
      <c r="O3129" s="2"/>
      <c r="P3129" s="2" t="s">
        <v>79</v>
      </c>
      <c r="Q3129" s="4" t="n">
        <v>6794</v>
      </c>
      <c r="R3129" s="2" t="s">
        <v>56</v>
      </c>
      <c r="S3129" s="2" t="s">
        <v>80</v>
      </c>
      <c r="T3129" s="2" t="s">
        <v>40</v>
      </c>
      <c r="U3129" s="2" t="s">
        <v>23892</v>
      </c>
      <c r="V3129" s="2"/>
      <c r="W3129" s="2" t="s">
        <v>214</v>
      </c>
      <c r="X3129" s="2" t="s">
        <v>43</v>
      </c>
      <c r="Y3129" s="2" t="s">
        <v>37</v>
      </c>
      <c r="Z3129" s="2" t="s">
        <v>44</v>
      </c>
      <c r="AA3129" s="2"/>
      <c r="AB3129" s="2"/>
      <c r="AC3129" s="2" t="s">
        <v>23893</v>
      </c>
      <c r="AD3129" s="2" t="s">
        <v>46</v>
      </c>
    </row>
    <row r="3130" customFormat="false" ht="15.7" hidden="false" customHeight="true" outlineLevel="0" collapsed="false">
      <c r="A3130" s="2"/>
      <c r="B3130" s="3" t="n">
        <f aca="false">DATE(2017,7,25)</f>
        <v>0</v>
      </c>
      <c r="C3130" s="3" t="n">
        <v>42941</v>
      </c>
      <c r="D3130" s="2" t="s">
        <v>23894</v>
      </c>
      <c r="F3130" s="2" t="s">
        <v>23895</v>
      </c>
      <c r="G3130" s="2" t="s">
        <v>23896</v>
      </c>
      <c r="H3130" s="2" t="s">
        <v>1732</v>
      </c>
      <c r="I3130" s="2" t="s">
        <v>4179</v>
      </c>
      <c r="J3130" s="2" t="s">
        <v>4433</v>
      </c>
      <c r="K3130" s="2" t="s">
        <v>23894</v>
      </c>
      <c r="L3130" s="2" t="s">
        <v>4179</v>
      </c>
      <c r="M3130" s="2" t="s">
        <v>1732</v>
      </c>
      <c r="N3130" s="2" t="s">
        <v>23897</v>
      </c>
      <c r="O3130" s="2"/>
      <c r="P3130" s="2" t="s">
        <v>37</v>
      </c>
      <c r="Q3130" s="4" t="n">
        <v>8731</v>
      </c>
      <c r="R3130" s="2" t="s">
        <v>136</v>
      </c>
      <c r="S3130" s="2" t="s">
        <v>39</v>
      </c>
      <c r="T3130" s="2" t="s">
        <v>403</v>
      </c>
      <c r="U3130" s="2" t="s">
        <v>23898</v>
      </c>
      <c r="V3130" s="2"/>
      <c r="W3130" s="2" t="s">
        <v>138</v>
      </c>
      <c r="X3130" s="2" t="s">
        <v>43</v>
      </c>
      <c r="Y3130" s="2" t="s">
        <v>37</v>
      </c>
      <c r="Z3130" s="2" t="s">
        <v>44</v>
      </c>
      <c r="AA3130" s="2"/>
      <c r="AB3130" s="2"/>
      <c r="AC3130" s="2" t="s">
        <v>23899</v>
      </c>
      <c r="AD3130" s="2" t="s">
        <v>46</v>
      </c>
    </row>
    <row r="3131" customFormat="false" ht="15.7" hidden="false" customHeight="true" outlineLevel="0" collapsed="false">
      <c r="A3131" s="2"/>
      <c r="B3131" s="3" t="n">
        <f aca="false">DATE(2017,7,25)</f>
        <v>0</v>
      </c>
      <c r="C3131" s="3" t="n">
        <v>42941</v>
      </c>
      <c r="D3131" s="2" t="s">
        <v>23900</v>
      </c>
      <c r="F3131" s="2" t="s">
        <v>23901</v>
      </c>
      <c r="G3131" s="2" t="s">
        <v>23902</v>
      </c>
      <c r="H3131" s="2" t="s">
        <v>12161</v>
      </c>
      <c r="I3131" s="2" t="s">
        <v>388</v>
      </c>
      <c r="J3131" s="2" t="s">
        <v>2088</v>
      </c>
      <c r="K3131" s="2" t="s">
        <v>23903</v>
      </c>
      <c r="L3131" s="2" t="s">
        <v>51</v>
      </c>
      <c r="M3131" s="2" t="s">
        <v>23904</v>
      </c>
      <c r="N3131" s="2" t="s">
        <v>23905</v>
      </c>
      <c r="O3131" s="2"/>
      <c r="P3131" s="2" t="s">
        <v>79</v>
      </c>
      <c r="Q3131" s="4" t="n">
        <v>6794</v>
      </c>
      <c r="R3131" s="2" t="s">
        <v>56</v>
      </c>
      <c r="S3131" s="2" t="s">
        <v>1622</v>
      </c>
      <c r="T3131" s="2" t="s">
        <v>40</v>
      </c>
      <c r="U3131" s="2" t="s">
        <v>23906</v>
      </c>
      <c r="V3131" s="2"/>
      <c r="W3131" s="2" t="s">
        <v>82</v>
      </c>
      <c r="X3131" s="2" t="s">
        <v>43</v>
      </c>
      <c r="Y3131" s="2" t="s">
        <v>37</v>
      </c>
      <c r="Z3131" s="2" t="s">
        <v>44</v>
      </c>
      <c r="AA3131" s="2"/>
      <c r="AB3131" s="2"/>
      <c r="AC3131" s="2" t="s">
        <v>23907</v>
      </c>
      <c r="AD3131" s="2" t="s">
        <v>46</v>
      </c>
    </row>
    <row r="3132" customFormat="false" ht="15.7" hidden="false" customHeight="true" outlineLevel="0" collapsed="false">
      <c r="A3132" s="2"/>
      <c r="B3132" s="3" t="n">
        <f aca="false">DATE(2017,7,26)</f>
        <v>0</v>
      </c>
      <c r="C3132" s="3" t="n">
        <v>42942</v>
      </c>
      <c r="D3132" s="2" t="s">
        <v>23908</v>
      </c>
      <c r="F3132" s="2" t="s">
        <v>21053</v>
      </c>
      <c r="G3132" s="2" t="s">
        <v>23909</v>
      </c>
      <c r="H3132" s="2" t="s">
        <v>20739</v>
      </c>
      <c r="I3132" s="2" t="s">
        <v>6838</v>
      </c>
      <c r="J3132" s="2" t="s">
        <v>35</v>
      </c>
      <c r="K3132" s="2" t="s">
        <v>23908</v>
      </c>
      <c r="L3132" s="2" t="s">
        <v>6838</v>
      </c>
      <c r="M3132" s="2" t="s">
        <v>20739</v>
      </c>
      <c r="N3132" s="2" t="s">
        <v>23910</v>
      </c>
      <c r="O3132" s="2"/>
      <c r="P3132" s="2" t="s">
        <v>37</v>
      </c>
      <c r="Q3132" s="4" t="n">
        <v>8742</v>
      </c>
      <c r="R3132" s="2" t="s">
        <v>402</v>
      </c>
      <c r="S3132" s="2" t="s">
        <v>39</v>
      </c>
      <c r="T3132" s="2" t="s">
        <v>40</v>
      </c>
      <c r="U3132" s="2" t="s">
        <v>23911</v>
      </c>
      <c r="V3132" s="2"/>
      <c r="W3132" s="2" t="s">
        <v>7958</v>
      </c>
      <c r="X3132" s="2" t="s">
        <v>43</v>
      </c>
      <c r="Y3132" s="2" t="s">
        <v>37</v>
      </c>
      <c r="Z3132" s="2" t="s">
        <v>44</v>
      </c>
      <c r="AA3132" s="2"/>
      <c r="AB3132" s="2"/>
      <c r="AC3132" s="2" t="s">
        <v>23912</v>
      </c>
      <c r="AD3132" s="2" t="s">
        <v>46</v>
      </c>
    </row>
    <row r="3133" customFormat="false" ht="15.7" hidden="false" customHeight="true" outlineLevel="0" collapsed="false">
      <c r="A3133" s="2"/>
      <c r="B3133" s="3" t="n">
        <f aca="false">DATE(2017,7,26)</f>
        <v>0</v>
      </c>
      <c r="C3133" s="3" t="n">
        <v>42942</v>
      </c>
      <c r="D3133" s="2" t="s">
        <v>23913</v>
      </c>
      <c r="F3133" s="2" t="s">
        <v>23914</v>
      </c>
      <c r="G3133" s="2" t="s">
        <v>23915</v>
      </c>
      <c r="H3133" s="2" t="s">
        <v>305</v>
      </c>
      <c r="I3133" s="2" t="s">
        <v>568</v>
      </c>
      <c r="J3133" s="2" t="s">
        <v>203</v>
      </c>
      <c r="K3133" s="2" t="s">
        <v>23913</v>
      </c>
      <c r="L3133" s="2" t="s">
        <v>568</v>
      </c>
      <c r="M3133" s="2" t="s">
        <v>305</v>
      </c>
      <c r="N3133" s="2" t="s">
        <v>23916</v>
      </c>
      <c r="O3133" s="2"/>
      <c r="P3133" s="2" t="s">
        <v>37</v>
      </c>
      <c r="Q3133" s="4" t="n">
        <v>6794</v>
      </c>
      <c r="R3133" s="2" t="s">
        <v>136</v>
      </c>
      <c r="S3133" s="2" t="s">
        <v>39</v>
      </c>
      <c r="T3133" s="2" t="s">
        <v>40</v>
      </c>
      <c r="U3133" s="2" t="s">
        <v>23917</v>
      </c>
      <c r="V3133" s="2"/>
      <c r="W3133" s="2" t="s">
        <v>23918</v>
      </c>
      <c r="X3133" s="2" t="s">
        <v>43</v>
      </c>
      <c r="Y3133" s="2" t="s">
        <v>37</v>
      </c>
      <c r="Z3133" s="2" t="s">
        <v>44</v>
      </c>
      <c r="AA3133" s="2"/>
      <c r="AB3133" s="2"/>
      <c r="AC3133" s="2" t="s">
        <v>23919</v>
      </c>
      <c r="AD3133" s="2" t="s">
        <v>46</v>
      </c>
    </row>
    <row r="3134" customFormat="false" ht="15.7" hidden="false" customHeight="true" outlineLevel="0" collapsed="false">
      <c r="A3134" s="2"/>
      <c r="B3134" s="3" t="n">
        <f aca="false">DATE(2017,7,26)</f>
        <v>0</v>
      </c>
      <c r="C3134" s="3" t="n">
        <v>42942</v>
      </c>
      <c r="D3134" s="2" t="s">
        <v>23920</v>
      </c>
      <c r="F3134" s="2" t="s">
        <v>23921</v>
      </c>
      <c r="G3134" s="2" t="s">
        <v>23922</v>
      </c>
      <c r="H3134" s="2" t="s">
        <v>63</v>
      </c>
      <c r="I3134" s="2" t="s">
        <v>131</v>
      </c>
      <c r="J3134" s="2" t="s">
        <v>132</v>
      </c>
      <c r="K3134" s="2" t="s">
        <v>23920</v>
      </c>
      <c r="L3134" s="2" t="s">
        <v>131</v>
      </c>
      <c r="M3134" s="2" t="s">
        <v>63</v>
      </c>
      <c r="N3134" s="2" t="s">
        <v>23923</v>
      </c>
      <c r="O3134" s="2"/>
      <c r="P3134" s="2" t="s">
        <v>37</v>
      </c>
      <c r="Q3134" s="4" t="n">
        <v>6794</v>
      </c>
      <c r="R3134" s="2" t="s">
        <v>56</v>
      </c>
      <c r="S3134" s="2"/>
      <c r="T3134" s="2" t="s">
        <v>40</v>
      </c>
      <c r="U3134" s="2" t="s">
        <v>23924</v>
      </c>
      <c r="V3134" s="2"/>
      <c r="W3134" s="2" t="s">
        <v>23925</v>
      </c>
      <c r="X3134" s="2" t="s">
        <v>43</v>
      </c>
      <c r="Y3134" s="2" t="s">
        <v>37</v>
      </c>
      <c r="Z3134" s="2" t="s">
        <v>44</v>
      </c>
      <c r="AA3134" s="2"/>
      <c r="AB3134" s="2"/>
      <c r="AC3134" s="2" t="s">
        <v>23926</v>
      </c>
      <c r="AD3134" s="2" t="s">
        <v>46</v>
      </c>
    </row>
    <row r="3135" customFormat="false" ht="15.7" hidden="false" customHeight="true" outlineLevel="0" collapsed="false">
      <c r="A3135" s="2"/>
      <c r="B3135" s="3" t="n">
        <f aca="false">DATE(2017,7,27)</f>
        <v>0</v>
      </c>
      <c r="C3135" s="3" t="n">
        <v>42943</v>
      </c>
      <c r="D3135" s="2" t="s">
        <v>23927</v>
      </c>
      <c r="F3135" s="2" t="s">
        <v>23928</v>
      </c>
      <c r="G3135" s="2" t="s">
        <v>23929</v>
      </c>
      <c r="H3135" s="2" t="s">
        <v>305</v>
      </c>
      <c r="I3135" s="2" t="s">
        <v>5298</v>
      </c>
      <c r="J3135" s="2" t="s">
        <v>35</v>
      </c>
      <c r="K3135" s="2" t="s">
        <v>23927</v>
      </c>
      <c r="L3135" s="2" t="s">
        <v>5298</v>
      </c>
      <c r="M3135" s="2" t="s">
        <v>305</v>
      </c>
      <c r="N3135" s="2" t="s">
        <v>23930</v>
      </c>
      <c r="O3135" s="2"/>
      <c r="P3135" s="2" t="s">
        <v>37</v>
      </c>
      <c r="Q3135" s="4" t="n">
        <v>2836</v>
      </c>
      <c r="R3135" s="2" t="s">
        <v>136</v>
      </c>
      <c r="S3135" s="2" t="s">
        <v>39</v>
      </c>
      <c r="T3135" s="2" t="s">
        <v>403</v>
      </c>
      <c r="U3135" s="2" t="s">
        <v>23931</v>
      </c>
      <c r="V3135" s="2"/>
      <c r="W3135" s="2" t="s">
        <v>15545</v>
      </c>
      <c r="X3135" s="2" t="s">
        <v>43</v>
      </c>
      <c r="Y3135" s="2" t="s">
        <v>37</v>
      </c>
      <c r="Z3135" s="2" t="s">
        <v>44</v>
      </c>
      <c r="AA3135" s="2"/>
      <c r="AB3135" s="2"/>
      <c r="AC3135" s="2" t="s">
        <v>23932</v>
      </c>
      <c r="AD3135" s="2" t="s">
        <v>46</v>
      </c>
    </row>
    <row r="3136" customFormat="false" ht="15.7" hidden="false" customHeight="true" outlineLevel="0" collapsed="false">
      <c r="A3136" s="2"/>
      <c r="B3136" s="3" t="n">
        <f aca="false">DATE(2017,7,27)</f>
        <v>0</v>
      </c>
      <c r="C3136" s="3" t="n">
        <v>42943</v>
      </c>
      <c r="D3136" s="2" t="s">
        <v>23933</v>
      </c>
      <c r="F3136" s="2" t="s">
        <v>23934</v>
      </c>
      <c r="G3136" s="2" t="s">
        <v>23935</v>
      </c>
      <c r="H3136" s="2" t="s">
        <v>130</v>
      </c>
      <c r="I3136" s="2" t="s">
        <v>330</v>
      </c>
      <c r="J3136" s="2" t="s">
        <v>966</v>
      </c>
      <c r="K3136" s="2" t="s">
        <v>23933</v>
      </c>
      <c r="L3136" s="2" t="s">
        <v>330</v>
      </c>
      <c r="M3136" s="2" t="s">
        <v>130</v>
      </c>
      <c r="N3136" s="2" t="s">
        <v>23936</v>
      </c>
      <c r="O3136" s="2"/>
      <c r="P3136" s="2" t="s">
        <v>37</v>
      </c>
      <c r="Q3136" s="4" t="n">
        <v>8731</v>
      </c>
      <c r="R3136" s="2" t="s">
        <v>136</v>
      </c>
      <c r="S3136" s="2" t="s">
        <v>39</v>
      </c>
      <c r="T3136" s="2" t="s">
        <v>40</v>
      </c>
      <c r="U3136" s="2" t="s">
        <v>23937</v>
      </c>
      <c r="V3136" s="2"/>
      <c r="W3136" s="2" t="s">
        <v>344</v>
      </c>
      <c r="X3136" s="2" t="s">
        <v>43</v>
      </c>
      <c r="Y3136" s="2" t="s">
        <v>37</v>
      </c>
      <c r="Z3136" s="2" t="s">
        <v>44</v>
      </c>
      <c r="AA3136" s="2"/>
      <c r="AB3136" s="2"/>
      <c r="AC3136" s="2" t="s">
        <v>23938</v>
      </c>
      <c r="AD3136" s="2" t="s">
        <v>46</v>
      </c>
    </row>
    <row r="3137" customFormat="false" ht="15.7" hidden="false" customHeight="true" outlineLevel="0" collapsed="false">
      <c r="A3137" s="2"/>
      <c r="B3137" s="3" t="n">
        <f aca="false">DATE(2017,7,27)</f>
        <v>0</v>
      </c>
      <c r="C3137" s="3" t="n">
        <v>42943</v>
      </c>
      <c r="D3137" s="2" t="s">
        <v>23939</v>
      </c>
      <c r="F3137" s="2" t="s">
        <v>21097</v>
      </c>
      <c r="G3137" s="2" t="s">
        <v>23940</v>
      </c>
      <c r="H3137" s="2" t="s">
        <v>130</v>
      </c>
      <c r="I3137" s="2" t="s">
        <v>219</v>
      </c>
      <c r="J3137" s="2" t="s">
        <v>625</v>
      </c>
      <c r="K3137" s="2" t="s">
        <v>23939</v>
      </c>
      <c r="L3137" s="2" t="s">
        <v>219</v>
      </c>
      <c r="M3137" s="2" t="s">
        <v>130</v>
      </c>
      <c r="N3137" s="2" t="s">
        <v>23941</v>
      </c>
      <c r="O3137" s="2"/>
      <c r="P3137" s="2" t="s">
        <v>37</v>
      </c>
      <c r="Q3137" s="4" t="n">
        <v>6794</v>
      </c>
      <c r="R3137" s="2" t="s">
        <v>23942</v>
      </c>
      <c r="S3137" s="2" t="s">
        <v>23520</v>
      </c>
      <c r="T3137" s="2" t="s">
        <v>40</v>
      </c>
      <c r="U3137" s="2" t="s">
        <v>23943</v>
      </c>
      <c r="V3137" s="2"/>
      <c r="W3137" s="2" t="s">
        <v>23944</v>
      </c>
      <c r="X3137" s="2" t="s">
        <v>43</v>
      </c>
      <c r="Y3137" s="2" t="s">
        <v>79</v>
      </c>
      <c r="Z3137" s="2" t="s">
        <v>44</v>
      </c>
      <c r="AA3137" s="2"/>
      <c r="AB3137" s="2"/>
      <c r="AC3137" s="2" t="s">
        <v>23945</v>
      </c>
      <c r="AD3137" s="2" t="s">
        <v>46</v>
      </c>
    </row>
    <row r="3138" customFormat="false" ht="15.7" hidden="false" customHeight="true" outlineLevel="0" collapsed="false">
      <c r="A3138" s="2"/>
      <c r="B3138" s="3" t="n">
        <f aca="false">DATE(2017,7,27)</f>
        <v>0</v>
      </c>
      <c r="C3138" s="3" t="n">
        <v>42943</v>
      </c>
      <c r="D3138" s="2" t="s">
        <v>23946</v>
      </c>
      <c r="F3138" s="2" t="s">
        <v>23947</v>
      </c>
      <c r="G3138" s="2" t="s">
        <v>23948</v>
      </c>
      <c r="H3138" s="2" t="s">
        <v>523</v>
      </c>
      <c r="I3138" s="2" t="s">
        <v>1904</v>
      </c>
      <c r="J3138" s="2" t="s">
        <v>488</v>
      </c>
      <c r="K3138" s="2" t="s">
        <v>23946</v>
      </c>
      <c r="L3138" s="2" t="s">
        <v>1904</v>
      </c>
      <c r="M3138" s="2" t="s">
        <v>523</v>
      </c>
      <c r="N3138" s="2" t="s">
        <v>23949</v>
      </c>
      <c r="O3138" s="2"/>
      <c r="P3138" s="2" t="s">
        <v>37</v>
      </c>
      <c r="Q3138" s="4" t="n">
        <v>6794</v>
      </c>
      <c r="R3138" s="2" t="s">
        <v>136</v>
      </c>
      <c r="S3138" s="2" t="s">
        <v>39</v>
      </c>
      <c r="T3138" s="2" t="s">
        <v>40</v>
      </c>
      <c r="U3138" s="2" t="s">
        <v>23950</v>
      </c>
      <c r="V3138" s="2"/>
      <c r="W3138" s="2" t="s">
        <v>23951</v>
      </c>
      <c r="X3138" s="2" t="s">
        <v>43</v>
      </c>
      <c r="Y3138" s="2" t="s">
        <v>37</v>
      </c>
      <c r="Z3138" s="2" t="s">
        <v>44</v>
      </c>
      <c r="AA3138" s="2"/>
      <c r="AB3138" s="2"/>
      <c r="AC3138" s="2" t="s">
        <v>23952</v>
      </c>
      <c r="AD3138" s="2" t="s">
        <v>46</v>
      </c>
    </row>
    <row r="3139" customFormat="false" ht="15.7" hidden="false" customHeight="true" outlineLevel="0" collapsed="false">
      <c r="A3139" s="2"/>
      <c r="B3139" s="3" t="n">
        <f aca="false">DATE(2017,7,27)</f>
        <v>0</v>
      </c>
      <c r="C3139" s="3" t="n">
        <v>42943</v>
      </c>
      <c r="D3139" s="2" t="s">
        <v>23939</v>
      </c>
      <c r="F3139" s="2" t="s">
        <v>21097</v>
      </c>
      <c r="G3139" s="2" t="s">
        <v>23940</v>
      </c>
      <c r="H3139" s="2" t="s">
        <v>130</v>
      </c>
      <c r="I3139" s="2" t="s">
        <v>219</v>
      </c>
      <c r="J3139" s="2" t="s">
        <v>625</v>
      </c>
      <c r="K3139" s="2" t="s">
        <v>23939</v>
      </c>
      <c r="L3139" s="2" t="s">
        <v>219</v>
      </c>
      <c r="M3139" s="2" t="s">
        <v>130</v>
      </c>
      <c r="N3139" s="2" t="s">
        <v>23941</v>
      </c>
      <c r="O3139" s="2"/>
      <c r="P3139" s="2" t="s">
        <v>79</v>
      </c>
      <c r="Q3139" s="4" t="n">
        <v>6794</v>
      </c>
      <c r="R3139" s="2" t="s">
        <v>38</v>
      </c>
      <c r="S3139" s="2" t="s">
        <v>39</v>
      </c>
      <c r="T3139" s="2" t="s">
        <v>40</v>
      </c>
      <c r="U3139" s="2" t="s">
        <v>23953</v>
      </c>
      <c r="V3139" s="2"/>
      <c r="W3139" s="2" t="s">
        <v>190</v>
      </c>
      <c r="X3139" s="2" t="s">
        <v>43</v>
      </c>
      <c r="Y3139" s="2" t="s">
        <v>37</v>
      </c>
      <c r="Z3139" s="2" t="s">
        <v>44</v>
      </c>
      <c r="AA3139" s="2"/>
      <c r="AB3139" s="2"/>
      <c r="AC3139" s="2" t="s">
        <v>23945</v>
      </c>
      <c r="AD3139" s="2" t="s">
        <v>46</v>
      </c>
    </row>
    <row r="3140" customFormat="false" ht="15.7" hidden="false" customHeight="true" outlineLevel="0" collapsed="false">
      <c r="A3140" s="2"/>
      <c r="B3140" s="3" t="n">
        <f aca="false">DATE(2017,7,28)</f>
        <v>0</v>
      </c>
      <c r="C3140" s="3" t="n">
        <v>42944</v>
      </c>
      <c r="D3140" s="2" t="s">
        <v>23954</v>
      </c>
      <c r="F3140" s="2" t="s">
        <v>23955</v>
      </c>
      <c r="G3140" s="2" t="s">
        <v>23956</v>
      </c>
      <c r="H3140" s="2" t="s">
        <v>23957</v>
      </c>
      <c r="I3140" s="2" t="s">
        <v>568</v>
      </c>
      <c r="J3140" s="2" t="s">
        <v>65</v>
      </c>
      <c r="K3140" s="2" t="s">
        <v>23954</v>
      </c>
      <c r="L3140" s="2" t="s">
        <v>568</v>
      </c>
      <c r="M3140" s="2" t="s">
        <v>23957</v>
      </c>
      <c r="N3140" s="2" t="s">
        <v>23958</v>
      </c>
      <c r="O3140" s="2"/>
      <c r="P3140" s="2" t="s">
        <v>37</v>
      </c>
      <c r="Q3140" s="4" t="n">
        <v>8731</v>
      </c>
      <c r="R3140" s="2" t="s">
        <v>56</v>
      </c>
      <c r="S3140" s="2"/>
      <c r="T3140" s="2" t="s">
        <v>403</v>
      </c>
      <c r="U3140" s="2" t="s">
        <v>23959</v>
      </c>
      <c r="V3140" s="2"/>
      <c r="W3140" s="2" t="s">
        <v>4783</v>
      </c>
      <c r="X3140" s="2" t="s">
        <v>46</v>
      </c>
      <c r="Y3140" s="2" t="s">
        <v>37</v>
      </c>
      <c r="Z3140" s="2" t="s">
        <v>362</v>
      </c>
      <c r="AA3140" s="2"/>
      <c r="AB3140" s="2"/>
      <c r="AC3140" s="2" t="s">
        <v>23960</v>
      </c>
      <c r="AD3140" s="2" t="s">
        <v>46</v>
      </c>
    </row>
    <row r="3141" customFormat="false" ht="15.7" hidden="false" customHeight="true" outlineLevel="0" collapsed="false">
      <c r="A3141" s="2"/>
      <c r="B3141" s="3" t="n">
        <f aca="false">DATE(2017,7,28)</f>
        <v>0</v>
      </c>
      <c r="C3141" s="3" t="n">
        <v>42944</v>
      </c>
      <c r="D3141" s="2" t="s">
        <v>23961</v>
      </c>
      <c r="F3141" s="2" t="s">
        <v>23962</v>
      </c>
      <c r="G3141" s="2" t="s">
        <v>23963</v>
      </c>
      <c r="H3141" s="2" t="s">
        <v>1027</v>
      </c>
      <c r="I3141" s="2" t="s">
        <v>51</v>
      </c>
      <c r="J3141" s="2" t="s">
        <v>171</v>
      </c>
      <c r="K3141" s="2" t="s">
        <v>23964</v>
      </c>
      <c r="L3141" s="2" t="s">
        <v>51</v>
      </c>
      <c r="M3141" s="2" t="s">
        <v>230</v>
      </c>
      <c r="N3141" s="2" t="s">
        <v>23965</v>
      </c>
      <c r="O3141" s="2"/>
      <c r="P3141" s="2" t="s">
        <v>37</v>
      </c>
      <c r="Q3141" s="4" t="n">
        <v>6794</v>
      </c>
      <c r="R3141" s="2" t="s">
        <v>136</v>
      </c>
      <c r="S3141" s="2" t="s">
        <v>39</v>
      </c>
      <c r="T3141" s="2" t="s">
        <v>40</v>
      </c>
      <c r="U3141" s="2" t="s">
        <v>23966</v>
      </c>
      <c r="V3141" s="2"/>
      <c r="W3141" s="2" t="s">
        <v>82</v>
      </c>
      <c r="X3141" s="2" t="s">
        <v>43</v>
      </c>
      <c r="Y3141" s="2" t="s">
        <v>37</v>
      </c>
      <c r="Z3141" s="2" t="s">
        <v>44</v>
      </c>
      <c r="AA3141" s="2"/>
      <c r="AB3141" s="2"/>
      <c r="AC3141" s="2" t="s">
        <v>23967</v>
      </c>
      <c r="AD3141" s="2" t="s">
        <v>46</v>
      </c>
    </row>
    <row r="3142" customFormat="false" ht="15.7" hidden="false" customHeight="true" outlineLevel="0" collapsed="false">
      <c r="A3142" s="2"/>
      <c r="B3142" s="3" t="n">
        <f aca="false">DATE(2017,7,28)</f>
        <v>0</v>
      </c>
      <c r="C3142" s="3" t="n">
        <v>42944</v>
      </c>
      <c r="D3142" s="2" t="s">
        <v>23968</v>
      </c>
      <c r="F3142" s="2" t="s">
        <v>7622</v>
      </c>
      <c r="G3142" s="2" t="s">
        <v>23969</v>
      </c>
      <c r="H3142" s="2" t="s">
        <v>130</v>
      </c>
      <c r="I3142" s="2" t="s">
        <v>821</v>
      </c>
      <c r="J3142" s="2" t="s">
        <v>514</v>
      </c>
      <c r="K3142" s="2" t="s">
        <v>23968</v>
      </c>
      <c r="L3142" s="2" t="s">
        <v>821</v>
      </c>
      <c r="M3142" s="2" t="s">
        <v>130</v>
      </c>
      <c r="N3142" s="2" t="s">
        <v>23970</v>
      </c>
      <c r="O3142" s="2"/>
      <c r="P3142" s="2" t="s">
        <v>37</v>
      </c>
      <c r="Q3142" s="4" t="n">
        <v>8099</v>
      </c>
      <c r="R3142" s="2" t="s">
        <v>56</v>
      </c>
      <c r="S3142" s="2"/>
      <c r="T3142" s="2" t="s">
        <v>40</v>
      </c>
      <c r="U3142" s="2" t="s">
        <v>23971</v>
      </c>
      <c r="V3142" s="2"/>
      <c r="W3142" s="2" t="s">
        <v>23972</v>
      </c>
      <c r="X3142" s="2" t="s">
        <v>43</v>
      </c>
      <c r="Y3142" s="2" t="s">
        <v>37</v>
      </c>
      <c r="Z3142" s="2" t="s">
        <v>44</v>
      </c>
      <c r="AA3142" s="2"/>
      <c r="AB3142" s="2"/>
      <c r="AC3142" s="2" t="s">
        <v>23973</v>
      </c>
      <c r="AD3142" s="2" t="s">
        <v>46</v>
      </c>
    </row>
    <row r="3143" customFormat="false" ht="15.7" hidden="false" customHeight="true" outlineLevel="0" collapsed="false">
      <c r="A3143" s="2"/>
      <c r="B3143" s="3" t="n">
        <f aca="false">DATE(2017,7,31)</f>
        <v>0</v>
      </c>
      <c r="C3143" s="3" t="n">
        <v>42947</v>
      </c>
      <c r="D3143" s="2" t="s">
        <v>23974</v>
      </c>
      <c r="F3143" s="2" t="s">
        <v>23975</v>
      </c>
      <c r="G3143" s="2" t="s">
        <v>23976</v>
      </c>
      <c r="H3143" s="2" t="s">
        <v>4114</v>
      </c>
      <c r="I3143" s="2" t="s">
        <v>51</v>
      </c>
      <c r="J3143" s="2" t="s">
        <v>171</v>
      </c>
      <c r="K3143" s="2" t="s">
        <v>23974</v>
      </c>
      <c r="L3143" s="2" t="s">
        <v>51</v>
      </c>
      <c r="M3143" s="2" t="s">
        <v>4114</v>
      </c>
      <c r="N3143" s="2" t="s">
        <v>23977</v>
      </c>
      <c r="O3143" s="2"/>
      <c r="P3143" s="2" t="s">
        <v>37</v>
      </c>
      <c r="Q3143" s="4" t="n">
        <v>8731</v>
      </c>
      <c r="R3143" s="2" t="s">
        <v>56</v>
      </c>
      <c r="S3143" s="2"/>
      <c r="T3143" s="2" t="s">
        <v>40</v>
      </c>
      <c r="U3143" s="2" t="s">
        <v>23978</v>
      </c>
      <c r="V3143" s="2"/>
      <c r="W3143" s="2" t="s">
        <v>344</v>
      </c>
      <c r="X3143" s="2" t="s">
        <v>43</v>
      </c>
      <c r="Y3143" s="2" t="s">
        <v>37</v>
      </c>
      <c r="Z3143" s="2" t="s">
        <v>44</v>
      </c>
      <c r="AA3143" s="2"/>
      <c r="AB3143" s="2"/>
      <c r="AC3143" s="2" t="s">
        <v>23979</v>
      </c>
      <c r="AD3143" s="2" t="s">
        <v>46</v>
      </c>
    </row>
    <row r="3144" customFormat="false" ht="15.7" hidden="false" customHeight="true" outlineLevel="0" collapsed="false">
      <c r="A3144" s="2"/>
      <c r="B3144" s="3" t="n">
        <f aca="false">DATE(2017,7,31)</f>
        <v>0</v>
      </c>
      <c r="C3144" s="3" t="n">
        <v>42947</v>
      </c>
      <c r="D3144" s="2" t="s">
        <v>23980</v>
      </c>
      <c r="F3144" s="2" t="s">
        <v>23981</v>
      </c>
      <c r="G3144" s="2" t="s">
        <v>23982</v>
      </c>
      <c r="H3144" s="2" t="s">
        <v>2959</v>
      </c>
      <c r="I3144" s="2" t="s">
        <v>51</v>
      </c>
      <c r="J3144" s="2" t="s">
        <v>1155</v>
      </c>
      <c r="K3144" s="2" t="s">
        <v>23980</v>
      </c>
      <c r="L3144" s="2" t="s">
        <v>51</v>
      </c>
      <c r="M3144" s="2" t="s">
        <v>2959</v>
      </c>
      <c r="N3144" s="2" t="s">
        <v>23983</v>
      </c>
      <c r="O3144" s="2"/>
      <c r="P3144" s="2" t="s">
        <v>37</v>
      </c>
      <c r="Q3144" s="4" t="n">
        <v>8731</v>
      </c>
      <c r="R3144" s="2" t="s">
        <v>56</v>
      </c>
      <c r="S3144" s="2" t="s">
        <v>2265</v>
      </c>
      <c r="T3144" s="2" t="s">
        <v>40</v>
      </c>
      <c r="U3144" s="2" t="s">
        <v>23984</v>
      </c>
      <c r="V3144" s="2"/>
      <c r="W3144" s="2" t="s">
        <v>344</v>
      </c>
      <c r="X3144" s="2" t="s">
        <v>43</v>
      </c>
      <c r="Y3144" s="2" t="s">
        <v>37</v>
      </c>
      <c r="Z3144" s="2" t="s">
        <v>44</v>
      </c>
      <c r="AA3144" s="2"/>
      <c r="AB3144" s="2"/>
      <c r="AC3144" s="2" t="s">
        <v>23985</v>
      </c>
      <c r="AD3144" s="2" t="s">
        <v>46</v>
      </c>
    </row>
    <row r="3145" customFormat="false" ht="15.7" hidden="false" customHeight="true" outlineLevel="0" collapsed="false">
      <c r="A3145" s="2"/>
      <c r="B3145" s="3" t="n">
        <f aca="false">DATE(2017,8,1)</f>
        <v>0</v>
      </c>
      <c r="C3145" s="3" t="n">
        <v>42948</v>
      </c>
      <c r="D3145" s="2" t="s">
        <v>23986</v>
      </c>
      <c r="F3145" s="2" t="s">
        <v>23987</v>
      </c>
      <c r="G3145" s="2" t="s">
        <v>23988</v>
      </c>
      <c r="H3145" s="2" t="s">
        <v>23989</v>
      </c>
      <c r="I3145" s="2" t="s">
        <v>487</v>
      </c>
      <c r="J3145" s="2" t="s">
        <v>1891</v>
      </c>
      <c r="K3145" s="2" t="s">
        <v>23986</v>
      </c>
      <c r="L3145" s="2" t="s">
        <v>487</v>
      </c>
      <c r="M3145" s="2" t="s">
        <v>23989</v>
      </c>
      <c r="N3145" s="2" t="s">
        <v>23990</v>
      </c>
      <c r="O3145" s="2"/>
      <c r="P3145" s="2" t="s">
        <v>37</v>
      </c>
      <c r="Q3145" s="4" t="n">
        <v>8731</v>
      </c>
      <c r="R3145" s="2" t="s">
        <v>56</v>
      </c>
      <c r="S3145" s="2"/>
      <c r="T3145" s="2" t="s">
        <v>40</v>
      </c>
      <c r="U3145" s="2" t="s">
        <v>23991</v>
      </c>
      <c r="V3145" s="2"/>
      <c r="W3145" s="2" t="s">
        <v>773</v>
      </c>
      <c r="X3145" s="2" t="s">
        <v>43</v>
      </c>
      <c r="Y3145" s="2" t="s">
        <v>37</v>
      </c>
      <c r="Z3145" s="2" t="s">
        <v>44</v>
      </c>
      <c r="AA3145" s="2"/>
      <c r="AB3145" s="2"/>
      <c r="AC3145" s="2" t="s">
        <v>23992</v>
      </c>
      <c r="AD3145" s="2" t="s">
        <v>46</v>
      </c>
    </row>
    <row r="3146" customFormat="false" ht="15.7" hidden="false" customHeight="true" outlineLevel="0" collapsed="false">
      <c r="A3146" s="2"/>
      <c r="B3146" s="3" t="n">
        <f aca="false">DATE(2017,8,3)</f>
        <v>0</v>
      </c>
      <c r="C3146" s="3" t="n">
        <v>42950</v>
      </c>
      <c r="D3146" s="2" t="s">
        <v>23993</v>
      </c>
      <c r="F3146" s="2" t="s">
        <v>23994</v>
      </c>
      <c r="G3146" s="2" t="s">
        <v>23995</v>
      </c>
      <c r="H3146" s="2" t="s">
        <v>305</v>
      </c>
      <c r="I3146" s="2" t="s">
        <v>664</v>
      </c>
      <c r="J3146" s="2" t="s">
        <v>6730</v>
      </c>
      <c r="K3146" s="2" t="s">
        <v>23996</v>
      </c>
      <c r="L3146" s="2" t="s">
        <v>664</v>
      </c>
      <c r="M3146" s="2" t="s">
        <v>305</v>
      </c>
      <c r="N3146" s="2" t="s">
        <v>23997</v>
      </c>
      <c r="O3146" s="2"/>
      <c r="P3146" s="2" t="s">
        <v>37</v>
      </c>
      <c r="Q3146" s="4" t="n">
        <v>8731</v>
      </c>
      <c r="R3146" s="2" t="s">
        <v>38</v>
      </c>
      <c r="S3146" s="2" t="s">
        <v>39</v>
      </c>
      <c r="T3146" s="2" t="s">
        <v>40</v>
      </c>
      <c r="U3146" s="2" t="s">
        <v>23998</v>
      </c>
      <c r="V3146" s="2"/>
      <c r="W3146" s="2" t="s">
        <v>22456</v>
      </c>
      <c r="X3146" s="2" t="s">
        <v>43</v>
      </c>
      <c r="Y3146" s="2" t="s">
        <v>37</v>
      </c>
      <c r="Z3146" s="2" t="s">
        <v>44</v>
      </c>
      <c r="AA3146" s="2"/>
      <c r="AB3146" s="2"/>
      <c r="AC3146" s="2" t="s">
        <v>23999</v>
      </c>
      <c r="AD3146" s="2" t="s">
        <v>46</v>
      </c>
    </row>
    <row r="3147" customFormat="false" ht="15.7" hidden="false" customHeight="true" outlineLevel="0" collapsed="false">
      <c r="A3147" s="2"/>
      <c r="B3147" s="3" t="n">
        <f aca="false">DATE(2017,8,7)</f>
        <v>0</v>
      </c>
      <c r="C3147" s="3" t="n">
        <v>42954</v>
      </c>
      <c r="D3147" s="2" t="s">
        <v>24000</v>
      </c>
      <c r="F3147" s="2" t="s">
        <v>24001</v>
      </c>
      <c r="G3147" s="2" t="s">
        <v>24002</v>
      </c>
      <c r="H3147" s="2" t="s">
        <v>3313</v>
      </c>
      <c r="I3147" s="2" t="s">
        <v>51</v>
      </c>
      <c r="J3147" s="2" t="s">
        <v>24003</v>
      </c>
      <c r="K3147" s="2" t="s">
        <v>24000</v>
      </c>
      <c r="L3147" s="2" t="s">
        <v>51</v>
      </c>
      <c r="M3147" s="2" t="s">
        <v>3313</v>
      </c>
      <c r="N3147" s="2" t="s">
        <v>24004</v>
      </c>
      <c r="O3147" s="2"/>
      <c r="P3147" s="2" t="s">
        <v>37</v>
      </c>
      <c r="Q3147" s="4" t="n">
        <v>6794</v>
      </c>
      <c r="R3147" s="2" t="s">
        <v>136</v>
      </c>
      <c r="S3147" s="2" t="s">
        <v>39</v>
      </c>
      <c r="T3147" s="2" t="s">
        <v>40</v>
      </c>
      <c r="U3147" s="2" t="s">
        <v>24005</v>
      </c>
      <c r="V3147" s="2"/>
      <c r="W3147" s="2" t="s">
        <v>20757</v>
      </c>
      <c r="X3147" s="2" t="s">
        <v>43</v>
      </c>
      <c r="Y3147" s="2" t="s">
        <v>37</v>
      </c>
      <c r="Z3147" s="2" t="s">
        <v>44</v>
      </c>
      <c r="AA3147" s="2"/>
      <c r="AB3147" s="2"/>
      <c r="AC3147" s="2" t="s">
        <v>24006</v>
      </c>
      <c r="AD3147" s="2" t="s">
        <v>46</v>
      </c>
    </row>
    <row r="3148" customFormat="false" ht="15.7" hidden="false" customHeight="true" outlineLevel="0" collapsed="false">
      <c r="A3148" s="2"/>
      <c r="B3148" s="3" t="n">
        <f aca="false">DATE(2017,8,7)</f>
        <v>0</v>
      </c>
      <c r="C3148" s="3" t="n">
        <v>42954</v>
      </c>
      <c r="D3148" s="2" t="s">
        <v>24007</v>
      </c>
      <c r="F3148" s="2" t="s">
        <v>24008</v>
      </c>
      <c r="G3148" s="2" t="s">
        <v>24009</v>
      </c>
      <c r="H3148" s="2" t="s">
        <v>1473</v>
      </c>
      <c r="I3148" s="2" t="s">
        <v>5990</v>
      </c>
      <c r="J3148" s="2" t="s">
        <v>35</v>
      </c>
      <c r="K3148" s="2" t="s">
        <v>24007</v>
      </c>
      <c r="L3148" s="2" t="s">
        <v>5990</v>
      </c>
      <c r="M3148" s="2" t="s">
        <v>1473</v>
      </c>
      <c r="N3148" s="2" t="s">
        <v>24010</v>
      </c>
      <c r="O3148" s="2"/>
      <c r="P3148" s="2" t="s">
        <v>79</v>
      </c>
      <c r="Q3148" s="4" t="n">
        <v>6794</v>
      </c>
      <c r="R3148" s="2" t="s">
        <v>3154</v>
      </c>
      <c r="S3148" s="2" t="s">
        <v>39</v>
      </c>
      <c r="T3148" s="2" t="s">
        <v>40</v>
      </c>
      <c r="U3148" s="2" t="s">
        <v>24011</v>
      </c>
      <c r="V3148" s="2"/>
      <c r="W3148" s="2" t="s">
        <v>24012</v>
      </c>
      <c r="X3148" s="2" t="s">
        <v>43</v>
      </c>
      <c r="Y3148" s="2" t="s">
        <v>37</v>
      </c>
      <c r="Z3148" s="2" t="s">
        <v>44</v>
      </c>
      <c r="AA3148" s="2"/>
      <c r="AB3148" s="2"/>
      <c r="AC3148" s="2" t="s">
        <v>24013</v>
      </c>
      <c r="AD3148" s="2" t="s">
        <v>46</v>
      </c>
    </row>
    <row r="3149" customFormat="false" ht="15.7" hidden="false" customHeight="true" outlineLevel="0" collapsed="false">
      <c r="A3149" s="2"/>
      <c r="B3149" s="3" t="n">
        <f aca="false">DATE(2017,8,7)</f>
        <v>0</v>
      </c>
      <c r="C3149" s="3" t="n">
        <v>42954</v>
      </c>
      <c r="D3149" s="2" t="s">
        <v>24014</v>
      </c>
      <c r="F3149" s="2" t="s">
        <v>24015</v>
      </c>
      <c r="G3149" s="2" t="s">
        <v>24016</v>
      </c>
      <c r="H3149" s="2" t="s">
        <v>24017</v>
      </c>
      <c r="I3149" s="2" t="s">
        <v>51</v>
      </c>
      <c r="J3149" s="2" t="s">
        <v>171</v>
      </c>
      <c r="K3149" s="2" t="s">
        <v>24018</v>
      </c>
      <c r="L3149" s="2" t="s">
        <v>51</v>
      </c>
      <c r="M3149" s="2" t="s">
        <v>24019</v>
      </c>
      <c r="N3149" s="2" t="s">
        <v>24020</v>
      </c>
      <c r="O3149" s="2"/>
      <c r="P3149" s="2" t="s">
        <v>37</v>
      </c>
      <c r="Q3149" s="4" t="n">
        <v>8731</v>
      </c>
      <c r="R3149" s="2" t="s">
        <v>56</v>
      </c>
      <c r="S3149" s="2" t="s">
        <v>92</v>
      </c>
      <c r="T3149" s="2" t="s">
        <v>40</v>
      </c>
      <c r="U3149" s="2" t="s">
        <v>24021</v>
      </c>
      <c r="V3149" s="2"/>
      <c r="W3149" s="2" t="s">
        <v>3235</v>
      </c>
      <c r="X3149" s="2" t="s">
        <v>43</v>
      </c>
      <c r="Y3149" s="2" t="s">
        <v>37</v>
      </c>
      <c r="Z3149" s="2" t="s">
        <v>44</v>
      </c>
      <c r="AA3149" s="2"/>
      <c r="AB3149" s="2"/>
      <c r="AC3149" s="2" t="s">
        <v>24022</v>
      </c>
      <c r="AD3149" s="2" t="s">
        <v>46</v>
      </c>
    </row>
    <row r="3150" customFormat="false" ht="15.7" hidden="false" customHeight="true" outlineLevel="0" collapsed="false">
      <c r="A3150" s="2"/>
      <c r="B3150" s="3" t="n">
        <f aca="false">DATE(2017,8,8)</f>
        <v>0</v>
      </c>
      <c r="C3150" s="3" t="n">
        <v>42955</v>
      </c>
      <c r="D3150" s="2" t="s">
        <v>24023</v>
      </c>
      <c r="F3150" s="2" t="s">
        <v>24024</v>
      </c>
      <c r="G3150" s="2" t="s">
        <v>24025</v>
      </c>
      <c r="H3150" s="2" t="s">
        <v>368</v>
      </c>
      <c r="I3150" s="2" t="s">
        <v>131</v>
      </c>
      <c r="J3150" s="2" t="s">
        <v>6730</v>
      </c>
      <c r="K3150" s="2" t="s">
        <v>24023</v>
      </c>
      <c r="L3150" s="2" t="s">
        <v>131</v>
      </c>
      <c r="M3150" s="2" t="s">
        <v>368</v>
      </c>
      <c r="N3150" s="2" t="s">
        <v>24026</v>
      </c>
      <c r="O3150" s="2"/>
      <c r="P3150" s="2" t="s">
        <v>37</v>
      </c>
      <c r="Q3150" s="4" t="n">
        <v>8731</v>
      </c>
      <c r="R3150" s="2" t="s">
        <v>136</v>
      </c>
      <c r="S3150" s="2" t="s">
        <v>39</v>
      </c>
      <c r="T3150" s="2" t="s">
        <v>40</v>
      </c>
      <c r="U3150" s="2" t="s">
        <v>24027</v>
      </c>
      <c r="V3150" s="2"/>
      <c r="W3150" s="2" t="s">
        <v>344</v>
      </c>
      <c r="X3150" s="2" t="s">
        <v>43</v>
      </c>
      <c r="Y3150" s="2" t="s">
        <v>37</v>
      </c>
      <c r="Z3150" s="2" t="s">
        <v>44</v>
      </c>
      <c r="AA3150" s="2"/>
      <c r="AB3150" s="2"/>
      <c r="AC3150" s="2" t="s">
        <v>24028</v>
      </c>
      <c r="AD3150" s="2" t="s">
        <v>46</v>
      </c>
    </row>
    <row r="3151" customFormat="false" ht="15.7" hidden="false" customHeight="true" outlineLevel="0" collapsed="false">
      <c r="A3151" s="2"/>
      <c r="B3151" s="3" t="n">
        <f aca="false">DATE(2017,8,8)</f>
        <v>0</v>
      </c>
      <c r="C3151" s="3" t="n">
        <v>42955</v>
      </c>
      <c r="D3151" s="2" t="s">
        <v>24029</v>
      </c>
      <c r="F3151" s="2" t="s">
        <v>23534</v>
      </c>
      <c r="G3151" s="2" t="s">
        <v>24030</v>
      </c>
      <c r="H3151" s="2" t="s">
        <v>9242</v>
      </c>
      <c r="I3151" s="2" t="s">
        <v>12602</v>
      </c>
      <c r="J3151" s="2" t="s">
        <v>35</v>
      </c>
      <c r="K3151" s="2" t="s">
        <v>24029</v>
      </c>
      <c r="L3151" s="2" t="s">
        <v>12602</v>
      </c>
      <c r="M3151" s="2" t="s">
        <v>9242</v>
      </c>
      <c r="N3151" s="2" t="s">
        <v>24031</v>
      </c>
      <c r="O3151" s="2"/>
      <c r="P3151" s="2" t="s">
        <v>37</v>
      </c>
      <c r="Q3151" s="4" t="n">
        <v>8731</v>
      </c>
      <c r="R3151" s="2" t="s">
        <v>136</v>
      </c>
      <c r="S3151" s="2" t="s">
        <v>39</v>
      </c>
      <c r="T3151" s="2" t="s">
        <v>40</v>
      </c>
      <c r="U3151" s="2" t="s">
        <v>24032</v>
      </c>
      <c r="V3151" s="2"/>
      <c r="W3151" s="2" t="s">
        <v>344</v>
      </c>
      <c r="X3151" s="2" t="s">
        <v>43</v>
      </c>
      <c r="Y3151" s="2" t="s">
        <v>37</v>
      </c>
      <c r="Z3151" s="2" t="s">
        <v>44</v>
      </c>
      <c r="AA3151" s="2"/>
      <c r="AB3151" s="2"/>
      <c r="AC3151" s="2" t="s">
        <v>24033</v>
      </c>
      <c r="AD3151" s="2" t="s">
        <v>46</v>
      </c>
    </row>
    <row r="3152" customFormat="false" ht="15.7" hidden="false" customHeight="true" outlineLevel="0" collapsed="false">
      <c r="A3152" s="2"/>
      <c r="B3152" s="3" t="n">
        <f aca="false">DATE(2017,8,9)</f>
        <v>0</v>
      </c>
      <c r="C3152" s="3" t="n">
        <v>42956</v>
      </c>
      <c r="D3152" s="2" t="s">
        <v>24034</v>
      </c>
      <c r="F3152" s="2" t="s">
        <v>17957</v>
      </c>
      <c r="G3152" s="2" t="s">
        <v>24035</v>
      </c>
      <c r="H3152" s="2" t="s">
        <v>1020</v>
      </c>
      <c r="I3152" s="2" t="s">
        <v>24036</v>
      </c>
      <c r="J3152" s="2" t="s">
        <v>35</v>
      </c>
      <c r="K3152" s="2" t="s">
        <v>24037</v>
      </c>
      <c r="L3152" s="2" t="s">
        <v>410</v>
      </c>
      <c r="M3152" s="2" t="s">
        <v>63</v>
      </c>
      <c r="N3152" s="2" t="s">
        <v>24038</v>
      </c>
      <c r="O3152" s="2"/>
      <c r="P3152" s="2" t="s">
        <v>79</v>
      </c>
      <c r="Q3152" s="4" t="n">
        <v>8731</v>
      </c>
      <c r="R3152" s="2" t="s">
        <v>136</v>
      </c>
      <c r="S3152" s="2" t="s">
        <v>39</v>
      </c>
      <c r="T3152" s="2" t="s">
        <v>40</v>
      </c>
      <c r="U3152" s="2" t="s">
        <v>24039</v>
      </c>
      <c r="V3152" s="2"/>
      <c r="W3152" s="2" t="s">
        <v>24040</v>
      </c>
      <c r="X3152" s="2" t="s">
        <v>43</v>
      </c>
      <c r="Y3152" s="2" t="s">
        <v>37</v>
      </c>
      <c r="Z3152" s="2" t="s">
        <v>44</v>
      </c>
      <c r="AA3152" s="2"/>
      <c r="AB3152" s="2"/>
      <c r="AC3152" s="2" t="s">
        <v>24041</v>
      </c>
      <c r="AD3152" s="2" t="s">
        <v>46</v>
      </c>
    </row>
    <row r="3153" customFormat="false" ht="15.7" hidden="false" customHeight="true" outlineLevel="0" collapsed="false">
      <c r="A3153" s="2"/>
      <c r="B3153" s="3" t="n">
        <f aca="false">DATE(2017,8,9)</f>
        <v>0</v>
      </c>
      <c r="C3153" s="3" t="n">
        <v>42956</v>
      </c>
      <c r="D3153" s="2" t="s">
        <v>24042</v>
      </c>
      <c r="F3153" s="2" t="s">
        <v>24043</v>
      </c>
      <c r="G3153" s="2" t="s">
        <v>24044</v>
      </c>
      <c r="H3153" s="2" t="s">
        <v>24045</v>
      </c>
      <c r="I3153" s="2" t="s">
        <v>24046</v>
      </c>
      <c r="J3153" s="2" t="s">
        <v>35</v>
      </c>
      <c r="K3153" s="2" t="s">
        <v>24047</v>
      </c>
      <c r="L3153" s="2" t="s">
        <v>24046</v>
      </c>
      <c r="M3153" s="2" t="s">
        <v>24048</v>
      </c>
      <c r="N3153" s="2" t="s">
        <v>24049</v>
      </c>
      <c r="O3153" s="2"/>
      <c r="P3153" s="2" t="s">
        <v>79</v>
      </c>
      <c r="Q3153" s="4" t="n">
        <v>6794</v>
      </c>
      <c r="R3153" s="2" t="s">
        <v>136</v>
      </c>
      <c r="S3153" s="2" t="s">
        <v>39</v>
      </c>
      <c r="T3153" s="2" t="s">
        <v>40</v>
      </c>
      <c r="U3153" s="2" t="s">
        <v>24050</v>
      </c>
      <c r="V3153" s="2"/>
      <c r="W3153" s="2" t="s">
        <v>24051</v>
      </c>
      <c r="X3153" s="2" t="s">
        <v>43</v>
      </c>
      <c r="Y3153" s="2" t="s">
        <v>37</v>
      </c>
      <c r="Z3153" s="2" t="s">
        <v>44</v>
      </c>
      <c r="AA3153" s="2"/>
      <c r="AB3153" s="2"/>
      <c r="AC3153" s="2" t="s">
        <v>24052</v>
      </c>
      <c r="AD3153" s="2" t="s">
        <v>46</v>
      </c>
    </row>
    <row r="3154" customFormat="false" ht="15.7" hidden="false" customHeight="true" outlineLevel="0" collapsed="false">
      <c r="A3154" s="2"/>
      <c r="B3154" s="3" t="n">
        <f aca="false">DATE(2017,8,9)</f>
        <v>0</v>
      </c>
      <c r="C3154" s="3" t="n">
        <v>42956</v>
      </c>
      <c r="D3154" s="2" t="s">
        <v>24053</v>
      </c>
      <c r="F3154" s="2" t="s">
        <v>24054</v>
      </c>
      <c r="G3154" s="2" t="s">
        <v>24055</v>
      </c>
      <c r="H3154" s="2" t="s">
        <v>24056</v>
      </c>
      <c r="I3154" s="2" t="s">
        <v>2530</v>
      </c>
      <c r="J3154" s="2" t="s">
        <v>24057</v>
      </c>
      <c r="K3154" s="2" t="s">
        <v>24053</v>
      </c>
      <c r="L3154" s="2" t="s">
        <v>2530</v>
      </c>
      <c r="M3154" s="2" t="s">
        <v>24056</v>
      </c>
      <c r="N3154" s="2" t="s">
        <v>24058</v>
      </c>
      <c r="O3154" s="2" t="s">
        <v>24059</v>
      </c>
      <c r="P3154" s="2" t="s">
        <v>37</v>
      </c>
      <c r="Q3154" s="4" t="n">
        <v>2834</v>
      </c>
      <c r="R3154" s="2" t="s">
        <v>56</v>
      </c>
      <c r="S3154" s="2" t="s">
        <v>507</v>
      </c>
      <c r="T3154" s="2" t="s">
        <v>40</v>
      </c>
      <c r="U3154" s="2" t="s">
        <v>24060</v>
      </c>
      <c r="V3154" s="2"/>
      <c r="W3154" s="2" t="s">
        <v>344</v>
      </c>
      <c r="X3154" s="2" t="s">
        <v>46</v>
      </c>
      <c r="Y3154" s="2" t="s">
        <v>37</v>
      </c>
      <c r="Z3154" s="2" t="s">
        <v>916</v>
      </c>
      <c r="AA3154" s="2"/>
      <c r="AB3154" s="2" t="s">
        <v>24061</v>
      </c>
      <c r="AC3154" s="2" t="s">
        <v>24062</v>
      </c>
      <c r="AD3154" s="2" t="s">
        <v>46</v>
      </c>
    </row>
    <row r="3155" customFormat="false" ht="15.7" hidden="false" customHeight="true" outlineLevel="0" collapsed="false">
      <c r="A3155" s="2"/>
      <c r="B3155" s="3" t="n">
        <f aca="false">DATE(2017,8,9)</f>
        <v>0</v>
      </c>
      <c r="C3155" s="3" t="n">
        <v>42956</v>
      </c>
      <c r="D3155" s="2" t="s">
        <v>24063</v>
      </c>
      <c r="F3155" s="2" t="s">
        <v>24064</v>
      </c>
      <c r="G3155" s="2" t="s">
        <v>24065</v>
      </c>
      <c r="H3155" s="2" t="s">
        <v>23502</v>
      </c>
      <c r="I3155" s="2" t="s">
        <v>17785</v>
      </c>
      <c r="J3155" s="2" t="s">
        <v>35</v>
      </c>
      <c r="K3155" s="2" t="s">
        <v>24063</v>
      </c>
      <c r="L3155" s="2" t="s">
        <v>17785</v>
      </c>
      <c r="M3155" s="2" t="s">
        <v>23502</v>
      </c>
      <c r="N3155" s="2" t="s">
        <v>24066</v>
      </c>
      <c r="O3155" s="2"/>
      <c r="P3155" s="2" t="s">
        <v>37</v>
      </c>
      <c r="Q3155" s="4" t="n">
        <v>7374</v>
      </c>
      <c r="R3155" s="2" t="s">
        <v>1208</v>
      </c>
      <c r="S3155" s="2" t="s">
        <v>39</v>
      </c>
      <c r="T3155" s="2" t="s">
        <v>403</v>
      </c>
      <c r="U3155" s="2" t="s">
        <v>24067</v>
      </c>
      <c r="V3155" s="2"/>
      <c r="W3155" s="2" t="s">
        <v>18441</v>
      </c>
      <c r="X3155" s="2" t="s">
        <v>46</v>
      </c>
      <c r="Y3155" s="2" t="s">
        <v>37</v>
      </c>
      <c r="Z3155" s="2" t="s">
        <v>362</v>
      </c>
      <c r="AA3155" s="2"/>
      <c r="AB3155" s="2"/>
      <c r="AC3155" s="2" t="s">
        <v>24068</v>
      </c>
      <c r="AD3155" s="2" t="s">
        <v>46</v>
      </c>
    </row>
    <row r="3156" customFormat="false" ht="15.7" hidden="false" customHeight="true" outlineLevel="0" collapsed="false">
      <c r="A3156" s="2"/>
      <c r="B3156" s="3" t="n">
        <f aca="false">DATE(2017,8,10)</f>
        <v>0</v>
      </c>
      <c r="C3156" s="3" t="n">
        <v>42957</v>
      </c>
      <c r="D3156" s="2" t="s">
        <v>24069</v>
      </c>
      <c r="F3156" s="2" t="s">
        <v>24070</v>
      </c>
      <c r="G3156" s="2" t="s">
        <v>24071</v>
      </c>
      <c r="H3156" s="2" t="s">
        <v>523</v>
      </c>
      <c r="I3156" s="2" t="s">
        <v>51</v>
      </c>
      <c r="J3156" s="2" t="s">
        <v>2633</v>
      </c>
      <c r="K3156" s="2" t="s">
        <v>24072</v>
      </c>
      <c r="L3156" s="2" t="s">
        <v>51</v>
      </c>
      <c r="M3156" s="2" t="s">
        <v>50</v>
      </c>
      <c r="N3156" s="2" t="s">
        <v>24073</v>
      </c>
      <c r="O3156" s="2"/>
      <c r="P3156" s="2" t="s">
        <v>37</v>
      </c>
      <c r="Q3156" s="4" t="n">
        <v>6794</v>
      </c>
      <c r="R3156" s="2" t="s">
        <v>56</v>
      </c>
      <c r="S3156" s="2" t="s">
        <v>3429</v>
      </c>
      <c r="T3156" s="2" t="s">
        <v>40</v>
      </c>
      <c r="U3156" s="2" t="s">
        <v>24074</v>
      </c>
      <c r="V3156" s="2"/>
      <c r="W3156" s="2" t="s">
        <v>82</v>
      </c>
      <c r="X3156" s="2" t="s">
        <v>43</v>
      </c>
      <c r="Y3156" s="2" t="s">
        <v>37</v>
      </c>
      <c r="Z3156" s="2" t="s">
        <v>44</v>
      </c>
      <c r="AA3156" s="2"/>
      <c r="AB3156" s="2"/>
      <c r="AC3156" s="2" t="s">
        <v>24075</v>
      </c>
      <c r="AD3156" s="2" t="s">
        <v>46</v>
      </c>
    </row>
    <row r="3157" customFormat="false" ht="15.7" hidden="false" customHeight="true" outlineLevel="0" collapsed="false">
      <c r="A3157" s="2"/>
      <c r="B3157" s="3" t="n">
        <f aca="false">DATE(2017,8,10)</f>
        <v>0</v>
      </c>
      <c r="C3157" s="3" t="n">
        <v>42957</v>
      </c>
      <c r="D3157" s="2" t="s">
        <v>24076</v>
      </c>
      <c r="F3157" s="2" t="s">
        <v>24077</v>
      </c>
      <c r="G3157" s="2" t="s">
        <v>24078</v>
      </c>
      <c r="H3157" s="2" t="s">
        <v>130</v>
      </c>
      <c r="I3157" s="2" t="s">
        <v>51</v>
      </c>
      <c r="J3157" s="2" t="s">
        <v>24079</v>
      </c>
      <c r="K3157" s="2" t="s">
        <v>24080</v>
      </c>
      <c r="L3157" s="2" t="s">
        <v>51</v>
      </c>
      <c r="M3157" s="2" t="s">
        <v>130</v>
      </c>
      <c r="N3157" s="2" t="s">
        <v>24081</v>
      </c>
      <c r="O3157" s="2"/>
      <c r="P3157" s="2" t="s">
        <v>37</v>
      </c>
      <c r="Q3157" s="4" t="n">
        <v>8731</v>
      </c>
      <c r="R3157" s="2" t="s">
        <v>56</v>
      </c>
      <c r="S3157" s="2" t="s">
        <v>380</v>
      </c>
      <c r="T3157" s="2" t="s">
        <v>40</v>
      </c>
      <c r="U3157" s="2" t="s">
        <v>24082</v>
      </c>
      <c r="V3157" s="2"/>
      <c r="W3157" s="2" t="s">
        <v>23744</v>
      </c>
      <c r="X3157" s="2" t="s">
        <v>43</v>
      </c>
      <c r="Y3157" s="2" t="s">
        <v>37</v>
      </c>
      <c r="Z3157" s="2" t="s">
        <v>44</v>
      </c>
      <c r="AA3157" s="2"/>
      <c r="AB3157" s="2"/>
      <c r="AC3157" s="2" t="s">
        <v>24083</v>
      </c>
      <c r="AD3157" s="2" t="s">
        <v>46</v>
      </c>
    </row>
    <row r="3158" customFormat="false" ht="15.7" hidden="false" customHeight="true" outlineLevel="0" collapsed="false">
      <c r="A3158" s="2"/>
      <c r="B3158" s="3" t="n">
        <f aca="false">DATE(2017,8,11)</f>
        <v>0</v>
      </c>
      <c r="C3158" s="3" t="n">
        <v>42958</v>
      </c>
      <c r="D3158" s="2" t="s">
        <v>24084</v>
      </c>
      <c r="F3158" s="2" t="s">
        <v>24085</v>
      </c>
      <c r="G3158" s="2" t="s">
        <v>24086</v>
      </c>
      <c r="H3158" s="2" t="s">
        <v>7484</v>
      </c>
      <c r="I3158" s="2" t="s">
        <v>4325</v>
      </c>
      <c r="J3158" s="2" t="s">
        <v>35</v>
      </c>
      <c r="K3158" s="2" t="s">
        <v>24084</v>
      </c>
      <c r="L3158" s="2" t="s">
        <v>4325</v>
      </c>
      <c r="M3158" s="2" t="s">
        <v>7484</v>
      </c>
      <c r="N3158" s="2" t="s">
        <v>24087</v>
      </c>
      <c r="O3158" s="2"/>
      <c r="P3158" s="2" t="s">
        <v>37</v>
      </c>
      <c r="Q3158" s="4" t="n">
        <v>8731</v>
      </c>
      <c r="R3158" s="2" t="s">
        <v>402</v>
      </c>
      <c r="S3158" s="2" t="s">
        <v>39</v>
      </c>
      <c r="T3158" s="2" t="s">
        <v>403</v>
      </c>
      <c r="U3158" s="2" t="s">
        <v>24088</v>
      </c>
      <c r="V3158" s="2"/>
      <c r="W3158" s="2" t="s">
        <v>2209</v>
      </c>
      <c r="X3158" s="2" t="s">
        <v>46</v>
      </c>
      <c r="Y3158" s="2" t="s">
        <v>37</v>
      </c>
      <c r="Z3158" s="2" t="s">
        <v>987</v>
      </c>
      <c r="AA3158" s="2"/>
      <c r="AB3158" s="2"/>
      <c r="AC3158" s="2" t="s">
        <v>24089</v>
      </c>
      <c r="AD3158" s="2" t="s">
        <v>46</v>
      </c>
    </row>
    <row r="3159" customFormat="false" ht="15.7" hidden="false" customHeight="true" outlineLevel="0" collapsed="false">
      <c r="A3159" s="2"/>
      <c r="B3159" s="3" t="n">
        <f aca="false">DATE(2017,8,11)</f>
        <v>0</v>
      </c>
      <c r="C3159" s="3" t="n">
        <v>42958</v>
      </c>
      <c r="D3159" s="2" t="s">
        <v>24090</v>
      </c>
      <c r="F3159" s="2" t="s">
        <v>24091</v>
      </c>
      <c r="G3159" s="2" t="s">
        <v>24092</v>
      </c>
      <c r="H3159" s="2" t="s">
        <v>24093</v>
      </c>
      <c r="I3159" s="2" t="s">
        <v>8367</v>
      </c>
      <c r="J3159" s="2" t="s">
        <v>35</v>
      </c>
      <c r="K3159" s="2" t="s">
        <v>24094</v>
      </c>
      <c r="L3159" s="2" t="s">
        <v>8367</v>
      </c>
      <c r="M3159" s="2" t="s">
        <v>20739</v>
      </c>
      <c r="N3159" s="2" t="s">
        <v>24095</v>
      </c>
      <c r="O3159" s="2"/>
      <c r="P3159" s="2" t="s">
        <v>37</v>
      </c>
      <c r="Q3159" s="4" t="n">
        <v>2899</v>
      </c>
      <c r="R3159" s="2" t="s">
        <v>136</v>
      </c>
      <c r="S3159" s="2" t="s">
        <v>39</v>
      </c>
      <c r="T3159" s="2" t="s">
        <v>40</v>
      </c>
      <c r="U3159" s="2" t="s">
        <v>24096</v>
      </c>
      <c r="V3159" s="2"/>
      <c r="W3159" s="2" t="s">
        <v>24097</v>
      </c>
      <c r="X3159" s="2" t="s">
        <v>43</v>
      </c>
      <c r="Y3159" s="2" t="s">
        <v>37</v>
      </c>
      <c r="Z3159" s="2" t="s">
        <v>44</v>
      </c>
      <c r="AA3159" s="2"/>
      <c r="AB3159" s="2"/>
      <c r="AC3159" s="2" t="s">
        <v>24098</v>
      </c>
      <c r="AD3159" s="2" t="s">
        <v>46</v>
      </c>
    </row>
    <row r="3160" customFormat="false" ht="15.7" hidden="false" customHeight="true" outlineLevel="0" collapsed="false">
      <c r="A3160" s="2"/>
      <c r="B3160" s="3" t="n">
        <f aca="false">DATE(2017,8,15)</f>
        <v>0</v>
      </c>
      <c r="C3160" s="3" t="n">
        <v>42962</v>
      </c>
      <c r="D3160" s="2" t="s">
        <v>24099</v>
      </c>
      <c r="F3160" s="2" t="s">
        <v>24100</v>
      </c>
      <c r="G3160" s="2" t="s">
        <v>24101</v>
      </c>
      <c r="H3160" s="2" t="s">
        <v>3703</v>
      </c>
      <c r="I3160" s="2" t="s">
        <v>219</v>
      </c>
      <c r="J3160" s="2" t="s">
        <v>203</v>
      </c>
      <c r="K3160" s="2" t="s">
        <v>24102</v>
      </c>
      <c r="L3160" s="2" t="s">
        <v>219</v>
      </c>
      <c r="M3160" s="2" t="s">
        <v>24103</v>
      </c>
      <c r="N3160" s="2" t="s">
        <v>24104</v>
      </c>
      <c r="O3160" s="2"/>
      <c r="P3160" s="2" t="s">
        <v>37</v>
      </c>
      <c r="Q3160" s="4" t="n">
        <v>6794</v>
      </c>
      <c r="R3160" s="2" t="s">
        <v>56</v>
      </c>
      <c r="S3160" s="2"/>
      <c r="T3160" s="2" t="s">
        <v>40</v>
      </c>
      <c r="U3160" s="2" t="s">
        <v>24105</v>
      </c>
      <c r="V3160" s="2"/>
      <c r="W3160" s="2" t="s">
        <v>20757</v>
      </c>
      <c r="X3160" s="2" t="s">
        <v>43</v>
      </c>
      <c r="Y3160" s="2" t="s">
        <v>37</v>
      </c>
      <c r="Z3160" s="2" t="s">
        <v>44</v>
      </c>
      <c r="AA3160" s="2"/>
      <c r="AB3160" s="2"/>
      <c r="AC3160" s="2" t="s">
        <v>24106</v>
      </c>
      <c r="AD3160" s="2" t="s">
        <v>46</v>
      </c>
    </row>
    <row r="3161" customFormat="false" ht="15.7" hidden="false" customHeight="true" outlineLevel="0" collapsed="false">
      <c r="A3161" s="3" t="n">
        <f aca="false">DATE(2017,8,16)</f>
        <v>0</v>
      </c>
      <c r="B3161" s="3" t="n">
        <f aca="false">DATE(2017,8,16)</f>
        <v>0</v>
      </c>
      <c r="C3161" s="3" t="n">
        <v>42963</v>
      </c>
      <c r="D3161" s="2" t="s">
        <v>24107</v>
      </c>
      <c r="F3161" s="2" t="s">
        <v>24108</v>
      </c>
      <c r="G3161" s="2" t="s">
        <v>24109</v>
      </c>
      <c r="H3161" s="2" t="s">
        <v>551</v>
      </c>
      <c r="I3161" s="2" t="s">
        <v>4179</v>
      </c>
      <c r="J3161" s="2" t="s">
        <v>14099</v>
      </c>
      <c r="K3161" s="2" t="s">
        <v>24107</v>
      </c>
      <c r="L3161" s="2" t="s">
        <v>4179</v>
      </c>
      <c r="M3161" s="2" t="s">
        <v>551</v>
      </c>
      <c r="N3161" s="2" t="s">
        <v>24110</v>
      </c>
      <c r="O3161" s="2"/>
      <c r="P3161" s="2" t="s">
        <v>37</v>
      </c>
      <c r="Q3161" s="4" t="n">
        <v>2834</v>
      </c>
      <c r="R3161" s="2" t="s">
        <v>5774</v>
      </c>
      <c r="S3161" s="2" t="s">
        <v>39</v>
      </c>
      <c r="T3161" s="2" t="s">
        <v>14101</v>
      </c>
      <c r="U3161" s="2" t="s">
        <v>24111</v>
      </c>
      <c r="V3161" s="2"/>
      <c r="W3161" s="2" t="s">
        <v>344</v>
      </c>
      <c r="X3161" s="2" t="s">
        <v>43</v>
      </c>
      <c r="Y3161" s="2" t="s">
        <v>37</v>
      </c>
      <c r="Z3161" s="2" t="s">
        <v>44</v>
      </c>
      <c r="AA3161" s="2"/>
      <c r="AB3161" s="2"/>
      <c r="AC3161" s="2" t="s">
        <v>24112</v>
      </c>
      <c r="AD3161" s="2" t="s">
        <v>46</v>
      </c>
    </row>
    <row r="3162" customFormat="false" ht="15.7" hidden="false" customHeight="true" outlineLevel="0" collapsed="false">
      <c r="A3162" s="2"/>
      <c r="B3162" s="3" t="n">
        <f aca="false">DATE(2017,8,21)</f>
        <v>0</v>
      </c>
      <c r="C3162" s="3" t="n">
        <v>42968</v>
      </c>
      <c r="D3162" s="2" t="s">
        <v>24113</v>
      </c>
      <c r="F3162" s="2" t="s">
        <v>21097</v>
      </c>
      <c r="G3162" s="2" t="s">
        <v>24114</v>
      </c>
      <c r="H3162" s="2" t="s">
        <v>130</v>
      </c>
      <c r="I3162" s="2" t="s">
        <v>8543</v>
      </c>
      <c r="J3162" s="2" t="s">
        <v>35</v>
      </c>
      <c r="K3162" s="2" t="s">
        <v>24115</v>
      </c>
      <c r="L3162" s="2" t="s">
        <v>8543</v>
      </c>
      <c r="M3162" s="2" t="s">
        <v>63</v>
      </c>
      <c r="N3162" s="2" t="s">
        <v>24116</v>
      </c>
      <c r="O3162" s="2"/>
      <c r="P3162" s="2" t="s">
        <v>37</v>
      </c>
      <c r="Q3162" s="4" t="n">
        <v>8099</v>
      </c>
      <c r="R3162" s="2" t="s">
        <v>38</v>
      </c>
      <c r="S3162" s="2" t="s">
        <v>39</v>
      </c>
      <c r="T3162" s="2" t="s">
        <v>40</v>
      </c>
      <c r="U3162" s="2" t="s">
        <v>24117</v>
      </c>
      <c r="V3162" s="2"/>
      <c r="W3162" s="2" t="s">
        <v>4487</v>
      </c>
      <c r="X3162" s="2" t="s">
        <v>43</v>
      </c>
      <c r="Y3162" s="2" t="s">
        <v>37</v>
      </c>
      <c r="Z3162" s="2" t="s">
        <v>44</v>
      </c>
      <c r="AA3162" s="2"/>
      <c r="AB3162" s="2"/>
      <c r="AC3162" s="2" t="s">
        <v>24118</v>
      </c>
      <c r="AD3162" s="2" t="s">
        <v>46</v>
      </c>
    </row>
    <row r="3163" customFormat="false" ht="15.7" hidden="false" customHeight="true" outlineLevel="0" collapsed="false">
      <c r="A3163" s="2"/>
      <c r="B3163" s="3" t="n">
        <f aca="false">DATE(2017,8,22)</f>
        <v>0</v>
      </c>
      <c r="C3163" s="3" t="n">
        <v>42969</v>
      </c>
      <c r="D3163" s="2" t="s">
        <v>24119</v>
      </c>
      <c r="F3163" s="2" t="s">
        <v>24120</v>
      </c>
      <c r="G3163" s="2" t="s">
        <v>24121</v>
      </c>
      <c r="H3163" s="2" t="s">
        <v>762</v>
      </c>
      <c r="I3163" s="2" t="s">
        <v>3103</v>
      </c>
      <c r="J3163" s="2" t="s">
        <v>514</v>
      </c>
      <c r="K3163" s="2" t="s">
        <v>24122</v>
      </c>
      <c r="L3163" s="2" t="s">
        <v>3103</v>
      </c>
      <c r="M3163" s="2" t="s">
        <v>523</v>
      </c>
      <c r="N3163" s="2" t="s">
        <v>24123</v>
      </c>
      <c r="O3163" s="2"/>
      <c r="P3163" s="2" t="s">
        <v>37</v>
      </c>
      <c r="Q3163" s="4" t="n">
        <v>2834</v>
      </c>
      <c r="R3163" s="2" t="s">
        <v>1402</v>
      </c>
      <c r="S3163" s="2" t="s">
        <v>39</v>
      </c>
      <c r="T3163" s="2" t="s">
        <v>40</v>
      </c>
      <c r="U3163" s="2" t="s">
        <v>24124</v>
      </c>
      <c r="V3163" s="2"/>
      <c r="W3163" s="2" t="s">
        <v>15545</v>
      </c>
      <c r="X3163" s="2" t="s">
        <v>43</v>
      </c>
      <c r="Y3163" s="2" t="s">
        <v>37</v>
      </c>
      <c r="Z3163" s="2" t="s">
        <v>44</v>
      </c>
      <c r="AA3163" s="2"/>
      <c r="AB3163" s="2"/>
      <c r="AC3163" s="2" t="s">
        <v>24125</v>
      </c>
      <c r="AD3163" s="2" t="s">
        <v>46</v>
      </c>
    </row>
    <row r="3164" customFormat="false" ht="15.7" hidden="false" customHeight="true" outlineLevel="0" collapsed="false">
      <c r="A3164" s="2"/>
      <c r="B3164" s="3" t="n">
        <f aca="false">DATE(2017,8,22)</f>
        <v>0</v>
      </c>
      <c r="C3164" s="3" t="n">
        <v>42969</v>
      </c>
      <c r="D3164" s="2" t="s">
        <v>24126</v>
      </c>
      <c r="F3164" s="2" t="s">
        <v>24127</v>
      </c>
      <c r="G3164" s="2" t="s">
        <v>24128</v>
      </c>
      <c r="H3164" s="2" t="s">
        <v>5818</v>
      </c>
      <c r="I3164" s="2" t="s">
        <v>51</v>
      </c>
      <c r="J3164" s="2" t="s">
        <v>3117</v>
      </c>
      <c r="K3164" s="2" t="s">
        <v>24129</v>
      </c>
      <c r="L3164" s="2" t="s">
        <v>821</v>
      </c>
      <c r="M3164" s="2" t="s">
        <v>5818</v>
      </c>
      <c r="N3164" s="2" t="s">
        <v>24130</v>
      </c>
      <c r="O3164" s="2"/>
      <c r="P3164" s="2" t="s">
        <v>37</v>
      </c>
      <c r="Q3164" s="4" t="n">
        <v>6794</v>
      </c>
      <c r="R3164" s="2" t="s">
        <v>56</v>
      </c>
      <c r="S3164" s="2" t="s">
        <v>2265</v>
      </c>
      <c r="T3164" s="2" t="s">
        <v>40</v>
      </c>
      <c r="U3164" s="2" t="s">
        <v>24131</v>
      </c>
      <c r="V3164" s="2"/>
      <c r="W3164" s="2" t="s">
        <v>24132</v>
      </c>
      <c r="X3164" s="2" t="s">
        <v>43</v>
      </c>
      <c r="Y3164" s="2" t="s">
        <v>37</v>
      </c>
      <c r="Z3164" s="2" t="s">
        <v>44</v>
      </c>
      <c r="AA3164" s="2"/>
      <c r="AB3164" s="2"/>
      <c r="AC3164" s="2" t="s">
        <v>24133</v>
      </c>
      <c r="AD3164" s="2" t="s">
        <v>46</v>
      </c>
    </row>
    <row r="3165" customFormat="false" ht="15.7" hidden="false" customHeight="true" outlineLevel="0" collapsed="false">
      <c r="A3165" s="2"/>
      <c r="B3165" s="3" t="n">
        <f aca="false">DATE(2017,8,22)</f>
        <v>0</v>
      </c>
      <c r="C3165" s="3" t="n">
        <v>42969</v>
      </c>
      <c r="D3165" s="2" t="s">
        <v>24134</v>
      </c>
      <c r="F3165" s="2" t="s">
        <v>24135</v>
      </c>
      <c r="G3165" s="2" t="s">
        <v>24136</v>
      </c>
      <c r="H3165" s="2" t="s">
        <v>24137</v>
      </c>
      <c r="I3165" s="2" t="s">
        <v>2749</v>
      </c>
      <c r="J3165" s="2" t="s">
        <v>101</v>
      </c>
      <c r="K3165" s="2" t="s">
        <v>24138</v>
      </c>
      <c r="L3165" s="2" t="s">
        <v>296</v>
      </c>
      <c r="M3165" s="2" t="s">
        <v>24137</v>
      </c>
      <c r="N3165" s="2" t="s">
        <v>24139</v>
      </c>
      <c r="O3165" s="2"/>
      <c r="P3165" s="2" t="s">
        <v>37</v>
      </c>
      <c r="Q3165" s="4" t="n">
        <v>3999</v>
      </c>
      <c r="R3165" s="2" t="s">
        <v>2749</v>
      </c>
      <c r="S3165" s="2" t="s">
        <v>24140</v>
      </c>
      <c r="T3165" s="2" t="s">
        <v>403</v>
      </c>
      <c r="U3165" s="2" t="s">
        <v>24141</v>
      </c>
      <c r="V3165" s="2"/>
      <c r="W3165" s="2" t="s">
        <v>24142</v>
      </c>
      <c r="X3165" s="2" t="s">
        <v>43</v>
      </c>
      <c r="Y3165" s="2" t="s">
        <v>79</v>
      </c>
      <c r="Z3165" s="2" t="s">
        <v>44</v>
      </c>
      <c r="AA3165" s="2"/>
      <c r="AB3165" s="2"/>
      <c r="AC3165" s="2" t="s">
        <v>24143</v>
      </c>
      <c r="AD3165" s="2" t="s">
        <v>46</v>
      </c>
    </row>
    <row r="3166" customFormat="false" ht="15.7" hidden="false" customHeight="true" outlineLevel="0" collapsed="false">
      <c r="A3166" s="2"/>
      <c r="B3166" s="3" t="n">
        <f aca="false">DATE(2017,8,22)</f>
        <v>0</v>
      </c>
      <c r="C3166" s="3" t="n">
        <v>42969</v>
      </c>
      <c r="D3166" s="2" t="s">
        <v>24144</v>
      </c>
      <c r="F3166" s="2" t="s">
        <v>24145</v>
      </c>
      <c r="G3166" s="2" t="s">
        <v>24146</v>
      </c>
      <c r="H3166" s="2" t="s">
        <v>9667</v>
      </c>
      <c r="I3166" s="2" t="s">
        <v>51</v>
      </c>
      <c r="J3166" s="2" t="s">
        <v>7971</v>
      </c>
      <c r="K3166" s="2" t="s">
        <v>24144</v>
      </c>
      <c r="L3166" s="2" t="s">
        <v>51</v>
      </c>
      <c r="M3166" s="2" t="s">
        <v>9667</v>
      </c>
      <c r="N3166" s="2" t="s">
        <v>24147</v>
      </c>
      <c r="O3166" s="2"/>
      <c r="P3166" s="2" t="s">
        <v>37</v>
      </c>
      <c r="Q3166" s="4" t="n">
        <v>6794</v>
      </c>
      <c r="R3166" s="2" t="s">
        <v>56</v>
      </c>
      <c r="S3166" s="2" t="s">
        <v>315</v>
      </c>
      <c r="T3166" s="2" t="s">
        <v>40</v>
      </c>
      <c r="U3166" s="2" t="s">
        <v>24148</v>
      </c>
      <c r="V3166" s="2"/>
      <c r="W3166" s="2" t="s">
        <v>15545</v>
      </c>
      <c r="X3166" s="2" t="s">
        <v>43</v>
      </c>
      <c r="Y3166" s="2" t="s">
        <v>37</v>
      </c>
      <c r="Z3166" s="2" t="s">
        <v>44</v>
      </c>
      <c r="AA3166" s="2"/>
      <c r="AB3166" s="2"/>
      <c r="AC3166" s="2" t="s">
        <v>24149</v>
      </c>
      <c r="AD3166" s="2" t="s">
        <v>46</v>
      </c>
    </row>
    <row r="3167" customFormat="false" ht="15.7" hidden="false" customHeight="true" outlineLevel="0" collapsed="false">
      <c r="A3167" s="2"/>
      <c r="B3167" s="3" t="n">
        <f aca="false">DATE(2017,8,25)</f>
        <v>0</v>
      </c>
      <c r="C3167" s="3" t="n">
        <v>42972</v>
      </c>
      <c r="D3167" s="2" t="s">
        <v>24150</v>
      </c>
      <c r="F3167" s="2" t="s">
        <v>24151</v>
      </c>
      <c r="G3167" s="2" t="s">
        <v>24152</v>
      </c>
      <c r="H3167" s="2" t="s">
        <v>24153</v>
      </c>
      <c r="I3167" s="2" t="s">
        <v>11818</v>
      </c>
      <c r="J3167" s="2" t="s">
        <v>1305</v>
      </c>
      <c r="K3167" s="2" t="s">
        <v>24150</v>
      </c>
      <c r="L3167" s="2" t="s">
        <v>11818</v>
      </c>
      <c r="M3167" s="2" t="s">
        <v>24153</v>
      </c>
      <c r="N3167" s="2" t="s">
        <v>24154</v>
      </c>
      <c r="O3167" s="2"/>
      <c r="P3167" s="2" t="s">
        <v>37</v>
      </c>
      <c r="Q3167" s="4" t="n">
        <v>8731</v>
      </c>
      <c r="R3167" s="2" t="s">
        <v>402</v>
      </c>
      <c r="S3167" s="2" t="s">
        <v>39</v>
      </c>
      <c r="T3167" s="2" t="s">
        <v>403</v>
      </c>
      <c r="U3167" s="2" t="s">
        <v>24155</v>
      </c>
      <c r="V3167" s="2"/>
      <c r="W3167" s="2" t="s">
        <v>42</v>
      </c>
      <c r="X3167" s="2" t="s">
        <v>46</v>
      </c>
      <c r="Y3167" s="2" t="s">
        <v>37</v>
      </c>
      <c r="Z3167" s="2" t="s">
        <v>24156</v>
      </c>
      <c r="AA3167" s="2" t="s">
        <v>24157</v>
      </c>
      <c r="AB3167" s="2"/>
      <c r="AC3167" s="2" t="s">
        <v>24158</v>
      </c>
      <c r="AD3167" s="2" t="s">
        <v>46</v>
      </c>
    </row>
    <row r="3168" customFormat="false" ht="15.7" hidden="false" customHeight="true" outlineLevel="0" collapsed="false">
      <c r="A3168" s="2"/>
      <c r="B3168" s="3" t="n">
        <f aca="false">DATE(2017,8,26)</f>
        <v>0</v>
      </c>
      <c r="C3168" s="3" t="n">
        <v>42973</v>
      </c>
      <c r="D3168" s="2" t="s">
        <v>24159</v>
      </c>
      <c r="F3168" s="2" t="s">
        <v>23248</v>
      </c>
      <c r="G3168" s="2" t="s">
        <v>24160</v>
      </c>
      <c r="H3168" s="2" t="s">
        <v>3913</v>
      </c>
      <c r="I3168" s="2" t="s">
        <v>51</v>
      </c>
      <c r="J3168" s="2" t="s">
        <v>7609</v>
      </c>
      <c r="K3168" s="2" t="s">
        <v>24159</v>
      </c>
      <c r="L3168" s="2" t="s">
        <v>51</v>
      </c>
      <c r="M3168" s="2" t="s">
        <v>3913</v>
      </c>
      <c r="N3168" s="2" t="s">
        <v>24161</v>
      </c>
      <c r="O3168" s="2"/>
      <c r="P3168" s="2" t="s">
        <v>37</v>
      </c>
      <c r="Q3168" s="4" t="n">
        <v>8099</v>
      </c>
      <c r="R3168" s="2" t="s">
        <v>56</v>
      </c>
      <c r="S3168" s="2" t="s">
        <v>7553</v>
      </c>
      <c r="T3168" s="2" t="s">
        <v>40</v>
      </c>
      <c r="U3168" s="2" t="s">
        <v>24162</v>
      </c>
      <c r="V3168" s="2"/>
      <c r="W3168" s="2" t="s">
        <v>4487</v>
      </c>
      <c r="X3168" s="2" t="s">
        <v>43</v>
      </c>
      <c r="Y3168" s="2" t="s">
        <v>37</v>
      </c>
      <c r="Z3168" s="2" t="s">
        <v>44</v>
      </c>
      <c r="AA3168" s="2"/>
      <c r="AB3168" s="2"/>
      <c r="AC3168" s="2" t="s">
        <v>24163</v>
      </c>
      <c r="AD3168" s="2" t="s">
        <v>46</v>
      </c>
    </row>
    <row r="3169" customFormat="false" ht="15.7" hidden="false" customHeight="true" outlineLevel="0" collapsed="false">
      <c r="A3169" s="2"/>
      <c r="B3169" s="3" t="n">
        <f aca="false">DATE(2017,8,28)</f>
        <v>0</v>
      </c>
      <c r="C3169" s="3" t="n">
        <v>42975</v>
      </c>
      <c r="D3169" s="2" t="s">
        <v>24164</v>
      </c>
      <c r="F3169" s="2" t="s">
        <v>6625</v>
      </c>
      <c r="G3169" s="2" t="s">
        <v>24165</v>
      </c>
      <c r="H3169" s="2" t="s">
        <v>130</v>
      </c>
      <c r="I3169" s="2" t="s">
        <v>664</v>
      </c>
      <c r="J3169" s="2" t="s">
        <v>331</v>
      </c>
      <c r="K3169" s="2" t="s">
        <v>24164</v>
      </c>
      <c r="L3169" s="2" t="s">
        <v>664</v>
      </c>
      <c r="M3169" s="2" t="s">
        <v>130</v>
      </c>
      <c r="N3169" s="2" t="s">
        <v>24166</v>
      </c>
      <c r="O3169" s="2"/>
      <c r="P3169" s="2" t="s">
        <v>37</v>
      </c>
      <c r="Q3169" s="4" t="n">
        <v>8731</v>
      </c>
      <c r="R3169" s="2" t="s">
        <v>136</v>
      </c>
      <c r="S3169" s="2" t="s">
        <v>39</v>
      </c>
      <c r="T3169" s="2" t="s">
        <v>40</v>
      </c>
      <c r="U3169" s="2" t="s">
        <v>24167</v>
      </c>
      <c r="V3169" s="2"/>
      <c r="W3169" s="2" t="s">
        <v>18495</v>
      </c>
      <c r="X3169" s="2" t="s">
        <v>43</v>
      </c>
      <c r="Y3169" s="2" t="s">
        <v>37</v>
      </c>
      <c r="Z3169" s="2" t="s">
        <v>44</v>
      </c>
      <c r="AA3169" s="2"/>
      <c r="AB3169" s="2"/>
      <c r="AC3169" s="2" t="s">
        <v>24168</v>
      </c>
      <c r="AD3169" s="2" t="s">
        <v>46</v>
      </c>
    </row>
    <row r="3170" customFormat="false" ht="15.7" hidden="false" customHeight="true" outlineLevel="0" collapsed="false">
      <c r="A3170" s="2"/>
      <c r="B3170" s="3" t="n">
        <f aca="false">DATE(2017,8,29)</f>
        <v>0</v>
      </c>
      <c r="C3170" s="3" t="n">
        <v>42976</v>
      </c>
      <c r="D3170" s="2" t="s">
        <v>24169</v>
      </c>
      <c r="F3170" s="2" t="s">
        <v>24170</v>
      </c>
      <c r="G3170" s="2" t="s">
        <v>24171</v>
      </c>
      <c r="H3170" s="2" t="s">
        <v>130</v>
      </c>
      <c r="I3170" s="2" t="s">
        <v>51</v>
      </c>
      <c r="J3170" s="2" t="s">
        <v>2190</v>
      </c>
      <c r="K3170" s="2" t="s">
        <v>24169</v>
      </c>
      <c r="L3170" s="2" t="s">
        <v>51</v>
      </c>
      <c r="M3170" s="2" t="s">
        <v>130</v>
      </c>
      <c r="N3170" s="2" t="s">
        <v>24172</v>
      </c>
      <c r="O3170" s="2"/>
      <c r="P3170" s="2" t="s">
        <v>37</v>
      </c>
      <c r="Q3170" s="4" t="n">
        <v>8731</v>
      </c>
      <c r="R3170" s="2" t="s">
        <v>136</v>
      </c>
      <c r="S3170" s="2" t="s">
        <v>39</v>
      </c>
      <c r="T3170" s="2" t="s">
        <v>40</v>
      </c>
      <c r="U3170" s="2" t="s">
        <v>24173</v>
      </c>
      <c r="V3170" s="2"/>
      <c r="W3170" s="2" t="s">
        <v>344</v>
      </c>
      <c r="X3170" s="2" t="s">
        <v>43</v>
      </c>
      <c r="Y3170" s="2" t="s">
        <v>37</v>
      </c>
      <c r="Z3170" s="2" t="s">
        <v>44</v>
      </c>
      <c r="AA3170" s="2"/>
      <c r="AB3170" s="2"/>
      <c r="AC3170" s="2" t="s">
        <v>24174</v>
      </c>
      <c r="AD3170" s="2" t="s">
        <v>46</v>
      </c>
    </row>
    <row r="3171" customFormat="false" ht="15.7" hidden="false" customHeight="true" outlineLevel="0" collapsed="false">
      <c r="A3171" s="2"/>
      <c r="B3171" s="3" t="n">
        <f aca="false">DATE(2017,8,29)</f>
        <v>0</v>
      </c>
      <c r="C3171" s="3" t="n">
        <v>42976</v>
      </c>
      <c r="D3171" s="2" t="s">
        <v>24175</v>
      </c>
      <c r="F3171" s="2" t="s">
        <v>24176</v>
      </c>
      <c r="G3171" s="2" t="s">
        <v>24177</v>
      </c>
      <c r="H3171" s="2" t="s">
        <v>537</v>
      </c>
      <c r="I3171" s="2" t="s">
        <v>487</v>
      </c>
      <c r="J3171" s="2" t="s">
        <v>1341</v>
      </c>
      <c r="K3171" s="2" t="s">
        <v>24178</v>
      </c>
      <c r="L3171" s="2" t="s">
        <v>487</v>
      </c>
      <c r="M3171" s="2" t="s">
        <v>24179</v>
      </c>
      <c r="N3171" s="2" t="s">
        <v>24180</v>
      </c>
      <c r="O3171" s="2"/>
      <c r="P3171" s="2" t="s">
        <v>37</v>
      </c>
      <c r="Q3171" s="4" t="n">
        <v>3845</v>
      </c>
      <c r="R3171" s="2" t="s">
        <v>136</v>
      </c>
      <c r="S3171" s="2" t="s">
        <v>39</v>
      </c>
      <c r="T3171" s="2" t="s">
        <v>40</v>
      </c>
      <c r="U3171" s="2" t="s">
        <v>24181</v>
      </c>
      <c r="V3171" s="2"/>
      <c r="W3171" s="2" t="s">
        <v>23349</v>
      </c>
      <c r="X3171" s="2" t="s">
        <v>43</v>
      </c>
      <c r="Y3171" s="2" t="s">
        <v>37</v>
      </c>
      <c r="Z3171" s="2" t="s">
        <v>44</v>
      </c>
      <c r="AA3171" s="2"/>
      <c r="AB3171" s="2"/>
      <c r="AC3171" s="2" t="s">
        <v>24182</v>
      </c>
      <c r="AD3171" s="2" t="s">
        <v>46</v>
      </c>
    </row>
    <row r="3172" customFormat="false" ht="15.7" hidden="false" customHeight="true" outlineLevel="0" collapsed="false">
      <c r="A3172" s="2"/>
      <c r="B3172" s="3" t="n">
        <f aca="false">DATE(2017,8,30)</f>
        <v>0</v>
      </c>
      <c r="C3172" s="3" t="n">
        <v>42977</v>
      </c>
      <c r="D3172" s="2" t="s">
        <v>24183</v>
      </c>
      <c r="F3172" s="2" t="s">
        <v>24184</v>
      </c>
      <c r="G3172" s="2" t="s">
        <v>24185</v>
      </c>
      <c r="H3172" s="2" t="s">
        <v>24186</v>
      </c>
      <c r="I3172" s="2" t="s">
        <v>4325</v>
      </c>
      <c r="J3172" s="2" t="s">
        <v>35</v>
      </c>
      <c r="K3172" s="2" t="s">
        <v>24187</v>
      </c>
      <c r="L3172" s="2" t="s">
        <v>4325</v>
      </c>
      <c r="M3172" s="2" t="s">
        <v>24188</v>
      </c>
      <c r="N3172" s="2" t="s">
        <v>24189</v>
      </c>
      <c r="O3172" s="2"/>
      <c r="P3172" s="2" t="s">
        <v>37</v>
      </c>
      <c r="Q3172" s="4" t="n">
        <v>721</v>
      </c>
      <c r="R3172" s="2" t="s">
        <v>402</v>
      </c>
      <c r="S3172" s="2" t="s">
        <v>39</v>
      </c>
      <c r="T3172" s="2" t="s">
        <v>40</v>
      </c>
      <c r="U3172" s="2" t="s">
        <v>24190</v>
      </c>
      <c r="V3172" s="2"/>
      <c r="W3172" s="2" t="s">
        <v>8529</v>
      </c>
      <c r="X3172" s="2" t="s">
        <v>43</v>
      </c>
      <c r="Y3172" s="2" t="s">
        <v>37</v>
      </c>
      <c r="Z3172" s="2" t="s">
        <v>44</v>
      </c>
      <c r="AA3172" s="2"/>
      <c r="AB3172" s="2"/>
      <c r="AC3172" s="2" t="s">
        <v>24191</v>
      </c>
      <c r="AD3172" s="2" t="s">
        <v>46</v>
      </c>
    </row>
    <row r="3173" customFormat="false" ht="15.7" hidden="false" customHeight="true" outlineLevel="0" collapsed="false">
      <c r="A3173" s="2"/>
      <c r="B3173" s="3" t="n">
        <f aca="false">DATE(2017,8,30)</f>
        <v>0</v>
      </c>
      <c r="C3173" s="3" t="n">
        <v>42977</v>
      </c>
      <c r="D3173" s="2" t="s">
        <v>24192</v>
      </c>
      <c r="F3173" s="2" t="s">
        <v>24193</v>
      </c>
      <c r="G3173" s="2" t="s">
        <v>24194</v>
      </c>
      <c r="H3173" s="2" t="s">
        <v>24195</v>
      </c>
      <c r="I3173" s="2" t="s">
        <v>487</v>
      </c>
      <c r="J3173" s="2" t="s">
        <v>132</v>
      </c>
      <c r="K3173" s="2" t="s">
        <v>24192</v>
      </c>
      <c r="L3173" s="2" t="s">
        <v>487</v>
      </c>
      <c r="M3173" s="2" t="s">
        <v>24195</v>
      </c>
      <c r="N3173" s="2" t="s">
        <v>24196</v>
      </c>
      <c r="O3173" s="2"/>
      <c r="P3173" s="2" t="s">
        <v>37</v>
      </c>
      <c r="Q3173" s="4" t="n">
        <v>8731</v>
      </c>
      <c r="R3173" s="2" t="s">
        <v>56</v>
      </c>
      <c r="S3173" s="2"/>
      <c r="T3173" s="2" t="s">
        <v>403</v>
      </c>
      <c r="U3173" s="2" t="s">
        <v>24197</v>
      </c>
      <c r="V3173" s="2"/>
      <c r="W3173" s="2" t="s">
        <v>344</v>
      </c>
      <c r="X3173" s="2" t="s">
        <v>46</v>
      </c>
      <c r="Y3173" s="2" t="s">
        <v>37</v>
      </c>
      <c r="Z3173" s="2" t="s">
        <v>44</v>
      </c>
      <c r="AA3173" s="2"/>
      <c r="AB3173" s="2"/>
      <c r="AC3173" s="2" t="s">
        <v>24198</v>
      </c>
      <c r="AD3173" s="2" t="s">
        <v>46</v>
      </c>
    </row>
    <row r="3174" customFormat="false" ht="15.7" hidden="false" customHeight="true" outlineLevel="0" collapsed="false">
      <c r="A3174" s="2"/>
      <c r="B3174" s="3" t="n">
        <f aca="false">DATE(2017,8,31)</f>
        <v>0</v>
      </c>
      <c r="C3174" s="3" t="n">
        <v>42978</v>
      </c>
      <c r="D3174" s="2" t="s">
        <v>24199</v>
      </c>
      <c r="F3174" s="2" t="s">
        <v>20866</v>
      </c>
      <c r="G3174" s="2" t="s">
        <v>24200</v>
      </c>
      <c r="H3174" s="2" t="s">
        <v>3840</v>
      </c>
      <c r="I3174" s="2" t="s">
        <v>6838</v>
      </c>
      <c r="J3174" s="2" t="s">
        <v>35</v>
      </c>
      <c r="K3174" s="2" t="s">
        <v>20842</v>
      </c>
      <c r="L3174" s="2" t="s">
        <v>6838</v>
      </c>
      <c r="M3174" s="2" t="s">
        <v>11288</v>
      </c>
      <c r="N3174" s="2" t="s">
        <v>24201</v>
      </c>
      <c r="O3174" s="2"/>
      <c r="P3174" s="2" t="s">
        <v>37</v>
      </c>
      <c r="Q3174" s="4" t="n">
        <v>8731</v>
      </c>
      <c r="R3174" s="2" t="s">
        <v>402</v>
      </c>
      <c r="S3174" s="2" t="s">
        <v>39</v>
      </c>
      <c r="T3174" s="2" t="s">
        <v>403</v>
      </c>
      <c r="U3174" s="2" t="s">
        <v>24202</v>
      </c>
      <c r="V3174" s="2"/>
      <c r="W3174" s="2" t="s">
        <v>42</v>
      </c>
      <c r="X3174" s="2" t="s">
        <v>46</v>
      </c>
      <c r="Y3174" s="2" t="s">
        <v>37</v>
      </c>
      <c r="Z3174" s="2" t="s">
        <v>987</v>
      </c>
      <c r="AA3174" s="2"/>
      <c r="AB3174" s="2"/>
      <c r="AC3174" s="2" t="s">
        <v>24203</v>
      </c>
      <c r="AD3174" s="2" t="s">
        <v>46</v>
      </c>
    </row>
    <row r="3175" customFormat="false" ht="15.7" hidden="false" customHeight="true" outlineLevel="0" collapsed="false">
      <c r="A3175" s="2"/>
      <c r="B3175" s="3" t="n">
        <f aca="false">DATE(2017,8,31)</f>
        <v>0</v>
      </c>
      <c r="C3175" s="3" t="n">
        <v>42978</v>
      </c>
      <c r="D3175" s="2" t="s">
        <v>24204</v>
      </c>
      <c r="F3175" s="2" t="s">
        <v>24205</v>
      </c>
      <c r="G3175" s="2" t="s">
        <v>24206</v>
      </c>
      <c r="H3175" s="2" t="s">
        <v>24207</v>
      </c>
      <c r="I3175" s="2" t="s">
        <v>6838</v>
      </c>
      <c r="J3175" s="2" t="s">
        <v>35</v>
      </c>
      <c r="K3175" s="2" t="s">
        <v>24208</v>
      </c>
      <c r="L3175" s="2" t="s">
        <v>6838</v>
      </c>
      <c r="M3175" s="2" t="s">
        <v>1574</v>
      </c>
      <c r="N3175" s="2" t="s">
        <v>24209</v>
      </c>
      <c r="O3175" s="2"/>
      <c r="P3175" s="2" t="s">
        <v>37</v>
      </c>
      <c r="Q3175" s="4" t="n">
        <v>2899</v>
      </c>
      <c r="R3175" s="2" t="s">
        <v>402</v>
      </c>
      <c r="S3175" s="2" t="s">
        <v>39</v>
      </c>
      <c r="T3175" s="2" t="s">
        <v>403</v>
      </c>
      <c r="U3175" s="2" t="s">
        <v>24210</v>
      </c>
      <c r="V3175" s="2"/>
      <c r="W3175" s="2" t="s">
        <v>697</v>
      </c>
      <c r="X3175" s="2" t="s">
        <v>46</v>
      </c>
      <c r="Y3175" s="2" t="s">
        <v>37</v>
      </c>
      <c r="Z3175" s="2" t="s">
        <v>362</v>
      </c>
      <c r="AA3175" s="2" t="s">
        <v>24211</v>
      </c>
      <c r="AB3175" s="2"/>
      <c r="AC3175" s="2" t="s">
        <v>24212</v>
      </c>
      <c r="AD3175" s="2" t="s">
        <v>46</v>
      </c>
    </row>
    <row r="3176" customFormat="false" ht="15.7" hidden="false" customHeight="true" outlineLevel="0" collapsed="false">
      <c r="A3176" s="2"/>
      <c r="B3176" s="3" t="n">
        <f aca="false">DATE(2017,9,5)</f>
        <v>0</v>
      </c>
      <c r="C3176" s="3" t="n">
        <v>42983</v>
      </c>
      <c r="D3176" s="2" t="s">
        <v>24213</v>
      </c>
      <c r="F3176" s="2" t="s">
        <v>24214</v>
      </c>
      <c r="G3176" s="2" t="s">
        <v>24215</v>
      </c>
      <c r="H3176" s="2" t="s">
        <v>63</v>
      </c>
      <c r="I3176" s="2" t="s">
        <v>51</v>
      </c>
      <c r="J3176" s="2" t="s">
        <v>560</v>
      </c>
      <c r="K3176" s="2" t="s">
        <v>24216</v>
      </c>
      <c r="L3176" s="2" t="s">
        <v>3103</v>
      </c>
      <c r="M3176" s="2" t="s">
        <v>63</v>
      </c>
      <c r="N3176" s="2" t="s">
        <v>24217</v>
      </c>
      <c r="O3176" s="2"/>
      <c r="P3176" s="2" t="s">
        <v>37</v>
      </c>
      <c r="Q3176" s="4" t="n">
        <v>6794</v>
      </c>
      <c r="R3176" s="2" t="s">
        <v>136</v>
      </c>
      <c r="S3176" s="2" t="s">
        <v>39</v>
      </c>
      <c r="T3176" s="2" t="s">
        <v>40</v>
      </c>
      <c r="U3176" s="2" t="s">
        <v>24218</v>
      </c>
      <c r="V3176" s="2"/>
      <c r="W3176" s="2" t="s">
        <v>24219</v>
      </c>
      <c r="X3176" s="2" t="s">
        <v>43</v>
      </c>
      <c r="Y3176" s="2" t="s">
        <v>37</v>
      </c>
      <c r="Z3176" s="2" t="s">
        <v>44</v>
      </c>
      <c r="AA3176" s="2"/>
      <c r="AB3176" s="2"/>
      <c r="AC3176" s="2" t="s">
        <v>24220</v>
      </c>
      <c r="AD3176" s="2" t="s">
        <v>46</v>
      </c>
    </row>
    <row r="3177" customFormat="false" ht="15.7" hidden="false" customHeight="true" outlineLevel="0" collapsed="false">
      <c r="A3177" s="2"/>
      <c r="B3177" s="3" t="n">
        <f aca="false">DATE(2017,9,5)</f>
        <v>0</v>
      </c>
      <c r="C3177" s="3" t="n">
        <v>42983</v>
      </c>
      <c r="D3177" s="2" t="s">
        <v>24221</v>
      </c>
      <c r="F3177" s="2" t="s">
        <v>24222</v>
      </c>
      <c r="G3177" s="2" t="s">
        <v>24223</v>
      </c>
      <c r="H3177" s="2" t="s">
        <v>24224</v>
      </c>
      <c r="I3177" s="2" t="s">
        <v>4458</v>
      </c>
      <c r="J3177" s="2" t="s">
        <v>35</v>
      </c>
      <c r="K3177" s="2" t="s">
        <v>24225</v>
      </c>
      <c r="L3177" s="2" t="s">
        <v>8326</v>
      </c>
      <c r="M3177" s="2" t="s">
        <v>24226</v>
      </c>
      <c r="N3177" s="2" t="s">
        <v>24227</v>
      </c>
      <c r="O3177" s="2" t="s">
        <v>24228</v>
      </c>
      <c r="P3177" s="2" t="s">
        <v>37</v>
      </c>
      <c r="Q3177" s="4" t="n">
        <v>8732</v>
      </c>
      <c r="R3177" s="2" t="s">
        <v>402</v>
      </c>
      <c r="S3177" s="2" t="s">
        <v>39</v>
      </c>
      <c r="T3177" s="2" t="s">
        <v>40</v>
      </c>
      <c r="U3177" s="2" t="s">
        <v>24229</v>
      </c>
      <c r="V3177" s="2"/>
      <c r="W3177" s="2" t="s">
        <v>773</v>
      </c>
      <c r="X3177" s="2" t="s">
        <v>46</v>
      </c>
      <c r="Y3177" s="2" t="s">
        <v>37</v>
      </c>
      <c r="Z3177" s="2" t="s">
        <v>12970</v>
      </c>
      <c r="AA3177" s="2" t="s">
        <v>24230</v>
      </c>
      <c r="AB3177" s="2" t="s">
        <v>24231</v>
      </c>
      <c r="AC3177" s="2" t="s">
        <v>24232</v>
      </c>
      <c r="AD3177" s="2" t="s">
        <v>46</v>
      </c>
    </row>
    <row r="3178" customFormat="false" ht="15.7" hidden="false" customHeight="true" outlineLevel="0" collapsed="false">
      <c r="A3178" s="2"/>
      <c r="B3178" s="3" t="n">
        <f aca="false">DATE(2017,9,5)</f>
        <v>0</v>
      </c>
      <c r="C3178" s="3" t="n">
        <v>42983</v>
      </c>
      <c r="D3178" s="2" t="s">
        <v>24233</v>
      </c>
      <c r="F3178" s="2" t="s">
        <v>20650</v>
      </c>
      <c r="G3178" s="2" t="s">
        <v>24234</v>
      </c>
      <c r="H3178" s="2" t="s">
        <v>130</v>
      </c>
      <c r="I3178" s="2" t="s">
        <v>821</v>
      </c>
      <c r="J3178" s="2" t="s">
        <v>65</v>
      </c>
      <c r="K3178" s="2" t="s">
        <v>24235</v>
      </c>
      <c r="L3178" s="2" t="s">
        <v>821</v>
      </c>
      <c r="M3178" s="2" t="s">
        <v>247</v>
      </c>
      <c r="N3178" s="2" t="s">
        <v>24236</v>
      </c>
      <c r="O3178" s="2"/>
      <c r="P3178" s="2" t="s">
        <v>37</v>
      </c>
      <c r="Q3178" s="4" t="n">
        <v>8731</v>
      </c>
      <c r="R3178" s="2" t="s">
        <v>24237</v>
      </c>
      <c r="S3178" s="2" t="s">
        <v>39</v>
      </c>
      <c r="T3178" s="2" t="s">
        <v>40</v>
      </c>
      <c r="U3178" s="2" t="s">
        <v>24238</v>
      </c>
      <c r="V3178" s="2"/>
      <c r="W3178" s="2" t="s">
        <v>344</v>
      </c>
      <c r="X3178" s="2" t="s">
        <v>43</v>
      </c>
      <c r="Y3178" s="2" t="s">
        <v>37</v>
      </c>
      <c r="Z3178" s="2" t="s">
        <v>44</v>
      </c>
      <c r="AA3178" s="2"/>
      <c r="AB3178" s="2"/>
      <c r="AC3178" s="2" t="s">
        <v>24239</v>
      </c>
      <c r="AD3178" s="2" t="s">
        <v>46</v>
      </c>
    </row>
    <row r="3179" customFormat="false" ht="15.7" hidden="false" customHeight="true" outlineLevel="0" collapsed="false">
      <c r="A3179" s="2"/>
      <c r="B3179" s="3" t="n">
        <f aca="false">DATE(2017,9,5)</f>
        <v>0</v>
      </c>
      <c r="C3179" s="3" t="n">
        <v>42983</v>
      </c>
      <c r="D3179" s="2" t="s">
        <v>24240</v>
      </c>
      <c r="F3179" s="2" t="s">
        <v>24241</v>
      </c>
      <c r="G3179" s="2" t="s">
        <v>24242</v>
      </c>
      <c r="H3179" s="2" t="s">
        <v>523</v>
      </c>
      <c r="I3179" s="2" t="s">
        <v>24243</v>
      </c>
      <c r="J3179" s="2" t="s">
        <v>35</v>
      </c>
      <c r="K3179" s="2" t="s">
        <v>24240</v>
      </c>
      <c r="L3179" s="2" t="s">
        <v>24243</v>
      </c>
      <c r="M3179" s="2" t="s">
        <v>523</v>
      </c>
      <c r="N3179" s="2" t="s">
        <v>24244</v>
      </c>
      <c r="O3179" s="2"/>
      <c r="P3179" s="2" t="s">
        <v>37</v>
      </c>
      <c r="Q3179" s="4" t="n">
        <v>8731</v>
      </c>
      <c r="R3179" s="2" t="s">
        <v>136</v>
      </c>
      <c r="S3179" s="2" t="s">
        <v>39</v>
      </c>
      <c r="T3179" s="2" t="s">
        <v>40</v>
      </c>
      <c r="U3179" s="2" t="s">
        <v>24245</v>
      </c>
      <c r="V3179" s="2"/>
      <c r="W3179" s="2" t="s">
        <v>344</v>
      </c>
      <c r="X3179" s="2" t="s">
        <v>43</v>
      </c>
      <c r="Y3179" s="2" t="s">
        <v>37</v>
      </c>
      <c r="Z3179" s="2" t="s">
        <v>44</v>
      </c>
      <c r="AA3179" s="2"/>
      <c r="AB3179" s="2"/>
      <c r="AC3179" s="2" t="s">
        <v>24246</v>
      </c>
      <c r="AD3179" s="2" t="s">
        <v>46</v>
      </c>
    </row>
    <row r="3180" customFormat="false" ht="15.7" hidden="false" customHeight="true" outlineLevel="0" collapsed="false">
      <c r="A3180" s="2"/>
      <c r="B3180" s="3" t="n">
        <f aca="false">DATE(2017,9,6)</f>
        <v>0</v>
      </c>
      <c r="C3180" s="3" t="n">
        <v>42984</v>
      </c>
      <c r="D3180" s="2" t="s">
        <v>24247</v>
      </c>
      <c r="F3180" s="2" t="s">
        <v>24248</v>
      </c>
      <c r="G3180" s="2" t="s">
        <v>24249</v>
      </c>
      <c r="H3180" s="2" t="s">
        <v>130</v>
      </c>
      <c r="I3180" s="2" t="s">
        <v>34</v>
      </c>
      <c r="J3180" s="2" t="s">
        <v>35</v>
      </c>
      <c r="K3180" s="2" t="s">
        <v>24250</v>
      </c>
      <c r="L3180" s="2" t="s">
        <v>34</v>
      </c>
      <c r="M3180" s="2" t="s">
        <v>24251</v>
      </c>
      <c r="N3180" s="2" t="s">
        <v>24252</v>
      </c>
      <c r="O3180" s="2"/>
      <c r="P3180" s="2" t="s">
        <v>37</v>
      </c>
      <c r="Q3180" s="4" t="n">
        <v>6794</v>
      </c>
      <c r="R3180" s="2" t="s">
        <v>664</v>
      </c>
      <c r="S3180" s="2" t="s">
        <v>39</v>
      </c>
      <c r="T3180" s="2" t="s">
        <v>40</v>
      </c>
      <c r="U3180" s="2" t="s">
        <v>24253</v>
      </c>
      <c r="V3180" s="2"/>
      <c r="W3180" s="2" t="s">
        <v>24254</v>
      </c>
      <c r="X3180" s="2" t="s">
        <v>43</v>
      </c>
      <c r="Y3180" s="2" t="s">
        <v>79</v>
      </c>
      <c r="Z3180" s="2" t="s">
        <v>44</v>
      </c>
      <c r="AA3180" s="2"/>
      <c r="AB3180" s="2"/>
      <c r="AC3180" s="2" t="s">
        <v>24255</v>
      </c>
      <c r="AD3180" s="2" t="s">
        <v>46</v>
      </c>
    </row>
    <row r="3181" customFormat="false" ht="15.7" hidden="false" customHeight="true" outlineLevel="0" collapsed="false">
      <c r="A3181" s="2"/>
      <c r="B3181" s="3" t="n">
        <f aca="false">DATE(2017,9,6)</f>
        <v>0</v>
      </c>
      <c r="C3181" s="3" t="n">
        <v>42984</v>
      </c>
      <c r="D3181" s="2" t="s">
        <v>24256</v>
      </c>
      <c r="F3181" s="2" t="s">
        <v>24257</v>
      </c>
      <c r="G3181" s="2" t="s">
        <v>24258</v>
      </c>
      <c r="H3181" s="2" t="s">
        <v>24259</v>
      </c>
      <c r="I3181" s="2" t="s">
        <v>51</v>
      </c>
      <c r="J3181" s="2" t="s">
        <v>6227</v>
      </c>
      <c r="K3181" s="2" t="s">
        <v>24260</v>
      </c>
      <c r="L3181" s="2" t="s">
        <v>64</v>
      </c>
      <c r="M3181" s="2" t="s">
        <v>24259</v>
      </c>
      <c r="N3181" s="2" t="s">
        <v>24261</v>
      </c>
      <c r="O3181" s="2"/>
      <c r="P3181" s="2" t="s">
        <v>37</v>
      </c>
      <c r="Q3181" s="4" t="n">
        <v>8731</v>
      </c>
      <c r="R3181" s="2" t="s">
        <v>56</v>
      </c>
      <c r="S3181" s="2"/>
      <c r="T3181" s="2" t="s">
        <v>40</v>
      </c>
      <c r="U3181" s="2" t="s">
        <v>24262</v>
      </c>
      <c r="V3181" s="2"/>
      <c r="W3181" s="2" t="s">
        <v>42</v>
      </c>
      <c r="X3181" s="2" t="s">
        <v>43</v>
      </c>
      <c r="Y3181" s="2" t="s">
        <v>37</v>
      </c>
      <c r="Z3181" s="2" t="s">
        <v>44</v>
      </c>
      <c r="AA3181" s="2"/>
      <c r="AB3181" s="2"/>
      <c r="AC3181" s="2" t="s">
        <v>24263</v>
      </c>
      <c r="AD3181" s="2" t="s">
        <v>46</v>
      </c>
    </row>
    <row r="3182" customFormat="false" ht="15.7" hidden="false" customHeight="true" outlineLevel="0" collapsed="false">
      <c r="A3182" s="2"/>
      <c r="B3182" s="3" t="n">
        <f aca="false">DATE(2017,9,6)</f>
        <v>0</v>
      </c>
      <c r="C3182" s="3" t="n">
        <v>42984</v>
      </c>
      <c r="D3182" s="2" t="s">
        <v>24264</v>
      </c>
      <c r="F3182" s="2" t="s">
        <v>24265</v>
      </c>
      <c r="G3182" s="2" t="s">
        <v>24266</v>
      </c>
      <c r="H3182" s="2" t="s">
        <v>130</v>
      </c>
      <c r="I3182" s="2" t="s">
        <v>670</v>
      </c>
      <c r="J3182" s="2" t="s">
        <v>514</v>
      </c>
      <c r="K3182" s="2" t="s">
        <v>24267</v>
      </c>
      <c r="L3182" s="2" t="s">
        <v>670</v>
      </c>
      <c r="M3182" s="2" t="s">
        <v>130</v>
      </c>
      <c r="N3182" s="2" t="s">
        <v>24268</v>
      </c>
      <c r="O3182" s="2"/>
      <c r="P3182" s="2" t="s">
        <v>37</v>
      </c>
      <c r="Q3182" s="4" t="n">
        <v>2834</v>
      </c>
      <c r="R3182" s="2" t="s">
        <v>24269</v>
      </c>
      <c r="S3182" s="2" t="s">
        <v>24270</v>
      </c>
      <c r="T3182" s="2" t="s">
        <v>40</v>
      </c>
      <c r="U3182" s="2" t="s">
        <v>24271</v>
      </c>
      <c r="V3182" s="2"/>
      <c r="W3182" s="2" t="s">
        <v>15545</v>
      </c>
      <c r="X3182" s="2" t="s">
        <v>43</v>
      </c>
      <c r="Y3182" s="2" t="s">
        <v>79</v>
      </c>
      <c r="Z3182" s="2" t="s">
        <v>44</v>
      </c>
      <c r="AA3182" s="2" t="s">
        <v>24272</v>
      </c>
      <c r="AB3182" s="2"/>
      <c r="AC3182" s="2" t="s">
        <v>24273</v>
      </c>
      <c r="AD3182" s="2" t="s">
        <v>46</v>
      </c>
    </row>
    <row r="3183" customFormat="false" ht="15.7" hidden="false" customHeight="true" outlineLevel="0" collapsed="false">
      <c r="A3183" s="2"/>
      <c r="B3183" s="3" t="n">
        <f aca="false">DATE(2017,9,6)</f>
        <v>0</v>
      </c>
      <c r="C3183" s="3" t="n">
        <v>42984</v>
      </c>
      <c r="D3183" s="2" t="s">
        <v>24274</v>
      </c>
      <c r="F3183" s="2" t="s">
        <v>24275</v>
      </c>
      <c r="G3183" s="2" t="s">
        <v>24276</v>
      </c>
      <c r="H3183" s="2" t="s">
        <v>523</v>
      </c>
      <c r="I3183" s="2" t="s">
        <v>664</v>
      </c>
      <c r="J3183" s="2" t="s">
        <v>132</v>
      </c>
      <c r="K3183" s="2" t="s">
        <v>24274</v>
      </c>
      <c r="L3183" s="2" t="s">
        <v>664</v>
      </c>
      <c r="M3183" s="2" t="s">
        <v>523</v>
      </c>
      <c r="N3183" s="2" t="s">
        <v>24277</v>
      </c>
      <c r="O3183" s="2"/>
      <c r="P3183" s="2" t="s">
        <v>37</v>
      </c>
      <c r="Q3183" s="4" t="n">
        <v>8099</v>
      </c>
      <c r="R3183" s="2" t="s">
        <v>56</v>
      </c>
      <c r="S3183" s="2"/>
      <c r="T3183" s="2" t="s">
        <v>40</v>
      </c>
      <c r="U3183" s="2" t="s">
        <v>24278</v>
      </c>
      <c r="V3183" s="2"/>
      <c r="W3183" s="2" t="s">
        <v>4487</v>
      </c>
      <c r="X3183" s="2" t="s">
        <v>43</v>
      </c>
      <c r="Y3183" s="2" t="s">
        <v>37</v>
      </c>
      <c r="Z3183" s="2" t="s">
        <v>44</v>
      </c>
      <c r="AA3183" s="2"/>
      <c r="AB3183" s="2"/>
      <c r="AC3183" s="2" t="s">
        <v>24279</v>
      </c>
      <c r="AD3183" s="2" t="s">
        <v>46</v>
      </c>
    </row>
    <row r="3184" customFormat="false" ht="15.7" hidden="false" customHeight="true" outlineLevel="0" collapsed="false">
      <c r="A3184" s="2"/>
      <c r="B3184" s="3" t="n">
        <f aca="false">DATE(2017,9,7)</f>
        <v>0</v>
      </c>
      <c r="C3184" s="3" t="n">
        <v>42985</v>
      </c>
      <c r="D3184" s="2" t="s">
        <v>24280</v>
      </c>
      <c r="F3184" s="2" t="s">
        <v>24281</v>
      </c>
      <c r="G3184" s="2" t="s">
        <v>24282</v>
      </c>
      <c r="H3184" s="2" t="s">
        <v>9667</v>
      </c>
      <c r="I3184" s="2" t="s">
        <v>51</v>
      </c>
      <c r="J3184" s="2" t="s">
        <v>23271</v>
      </c>
      <c r="K3184" s="2" t="s">
        <v>24280</v>
      </c>
      <c r="L3184" s="2" t="s">
        <v>51</v>
      </c>
      <c r="M3184" s="2" t="s">
        <v>9667</v>
      </c>
      <c r="N3184" s="2" t="s">
        <v>24283</v>
      </c>
      <c r="O3184" s="2"/>
      <c r="P3184" s="2" t="s">
        <v>37</v>
      </c>
      <c r="Q3184" s="4" t="n">
        <v>8731</v>
      </c>
      <c r="R3184" s="2" t="s">
        <v>56</v>
      </c>
      <c r="S3184" s="2" t="s">
        <v>8043</v>
      </c>
      <c r="T3184" s="2" t="s">
        <v>2444</v>
      </c>
      <c r="U3184" s="2" t="s">
        <v>24284</v>
      </c>
      <c r="V3184" s="2"/>
      <c r="W3184" s="2" t="s">
        <v>42</v>
      </c>
      <c r="X3184" s="2" t="s">
        <v>43</v>
      </c>
      <c r="Y3184" s="2" t="s">
        <v>37</v>
      </c>
      <c r="Z3184" s="2" t="s">
        <v>44</v>
      </c>
      <c r="AA3184" s="2"/>
      <c r="AB3184" s="2"/>
      <c r="AC3184" s="2" t="s">
        <v>24285</v>
      </c>
      <c r="AD3184" s="2" t="s">
        <v>46</v>
      </c>
    </row>
    <row r="3185" customFormat="false" ht="15.7" hidden="false" customHeight="true" outlineLevel="0" collapsed="false">
      <c r="A3185" s="2"/>
      <c r="B3185" s="3" t="n">
        <f aca="false">DATE(2017,9,7)</f>
        <v>0</v>
      </c>
      <c r="C3185" s="3" t="n">
        <v>42985</v>
      </c>
      <c r="D3185" s="2" t="s">
        <v>24286</v>
      </c>
      <c r="F3185" s="2" t="s">
        <v>2471</v>
      </c>
      <c r="G3185" s="2" t="s">
        <v>24287</v>
      </c>
      <c r="H3185" s="2" t="s">
        <v>130</v>
      </c>
      <c r="I3185" s="2" t="s">
        <v>4325</v>
      </c>
      <c r="J3185" s="2" t="s">
        <v>35</v>
      </c>
      <c r="K3185" s="2" t="s">
        <v>24286</v>
      </c>
      <c r="L3185" s="2" t="s">
        <v>4325</v>
      </c>
      <c r="M3185" s="2" t="s">
        <v>130</v>
      </c>
      <c r="N3185" s="2" t="s">
        <v>24288</v>
      </c>
      <c r="O3185" s="2"/>
      <c r="P3185" s="2" t="s">
        <v>37</v>
      </c>
      <c r="Q3185" s="4" t="n">
        <v>8731</v>
      </c>
      <c r="R3185" s="2" t="s">
        <v>402</v>
      </c>
      <c r="S3185" s="2" t="s">
        <v>39</v>
      </c>
      <c r="T3185" s="2" t="s">
        <v>40</v>
      </c>
      <c r="U3185" s="2" t="s">
        <v>24289</v>
      </c>
      <c r="V3185" s="2"/>
      <c r="W3185" s="2" t="s">
        <v>344</v>
      </c>
      <c r="X3185" s="2" t="s">
        <v>43</v>
      </c>
      <c r="Y3185" s="2" t="s">
        <v>37</v>
      </c>
      <c r="Z3185" s="2" t="s">
        <v>44</v>
      </c>
      <c r="AA3185" s="2"/>
      <c r="AB3185" s="2"/>
      <c r="AC3185" s="2" t="s">
        <v>24290</v>
      </c>
      <c r="AD3185" s="2" t="s">
        <v>46</v>
      </c>
    </row>
    <row r="3186" customFormat="false" ht="15.7" hidden="false" customHeight="true" outlineLevel="0" collapsed="false">
      <c r="A3186" s="2"/>
      <c r="B3186" s="3" t="n">
        <f aca="false">DATE(2017,9,8)</f>
        <v>0</v>
      </c>
      <c r="C3186" s="3" t="n">
        <v>42986</v>
      </c>
      <c r="D3186" s="2" t="s">
        <v>24291</v>
      </c>
      <c r="F3186" s="2" t="s">
        <v>24292</v>
      </c>
      <c r="G3186" s="2" t="s">
        <v>24293</v>
      </c>
      <c r="H3186" s="2" t="s">
        <v>24294</v>
      </c>
      <c r="I3186" s="2" t="s">
        <v>4493</v>
      </c>
      <c r="J3186" s="2" t="s">
        <v>35</v>
      </c>
      <c r="K3186" s="2" t="s">
        <v>24295</v>
      </c>
      <c r="L3186" s="2" t="s">
        <v>4493</v>
      </c>
      <c r="M3186" s="2" t="s">
        <v>11937</v>
      </c>
      <c r="N3186" s="2" t="s">
        <v>24296</v>
      </c>
      <c r="O3186" s="2"/>
      <c r="P3186" s="2" t="s">
        <v>37</v>
      </c>
      <c r="Q3186" s="4" t="n">
        <v>3479</v>
      </c>
      <c r="R3186" s="2" t="s">
        <v>136</v>
      </c>
      <c r="S3186" s="2" t="s">
        <v>39</v>
      </c>
      <c r="T3186" s="2" t="s">
        <v>40</v>
      </c>
      <c r="U3186" s="2" t="s">
        <v>24297</v>
      </c>
      <c r="V3186" s="2"/>
      <c r="W3186" s="2" t="s">
        <v>42</v>
      </c>
      <c r="X3186" s="2" t="s">
        <v>43</v>
      </c>
      <c r="Y3186" s="2" t="s">
        <v>37</v>
      </c>
      <c r="Z3186" s="2" t="s">
        <v>44</v>
      </c>
      <c r="AA3186" s="2"/>
      <c r="AB3186" s="2"/>
      <c r="AC3186" s="2" t="s">
        <v>24298</v>
      </c>
      <c r="AD3186" s="2" t="s">
        <v>46</v>
      </c>
    </row>
    <row r="3187" customFormat="false" ht="15.7" hidden="false" customHeight="true" outlineLevel="0" collapsed="false">
      <c r="A3187" s="2"/>
      <c r="B3187" s="3" t="n">
        <f aca="false">DATE(2017,9,10)</f>
        <v>0</v>
      </c>
      <c r="C3187" s="3" t="n">
        <v>42988</v>
      </c>
      <c r="D3187" s="2" t="s">
        <v>24299</v>
      </c>
      <c r="F3187" s="2" t="s">
        <v>24300</v>
      </c>
      <c r="G3187" s="2" t="s">
        <v>24301</v>
      </c>
      <c r="H3187" s="2" t="s">
        <v>24302</v>
      </c>
      <c r="I3187" s="2" t="s">
        <v>3265</v>
      </c>
      <c r="J3187" s="2" t="s">
        <v>8488</v>
      </c>
      <c r="K3187" s="2" t="s">
        <v>24299</v>
      </c>
      <c r="L3187" s="2" t="s">
        <v>3265</v>
      </c>
      <c r="M3187" s="2" t="s">
        <v>24302</v>
      </c>
      <c r="N3187" s="2" t="s">
        <v>24303</v>
      </c>
      <c r="O3187" s="2"/>
      <c r="P3187" s="2" t="s">
        <v>37</v>
      </c>
      <c r="Q3187" s="4" t="n">
        <v>8731</v>
      </c>
      <c r="R3187" s="2" t="s">
        <v>402</v>
      </c>
      <c r="S3187" s="2" t="s">
        <v>39</v>
      </c>
      <c r="T3187" s="2" t="s">
        <v>40</v>
      </c>
      <c r="U3187" s="2" t="s">
        <v>24304</v>
      </c>
      <c r="V3187" s="2"/>
      <c r="W3187" s="2" t="s">
        <v>42</v>
      </c>
      <c r="X3187" s="2" t="s">
        <v>43</v>
      </c>
      <c r="Y3187" s="2" t="s">
        <v>37</v>
      </c>
      <c r="Z3187" s="2" t="s">
        <v>44</v>
      </c>
      <c r="AA3187" s="2"/>
      <c r="AB3187" s="2"/>
      <c r="AC3187" s="2" t="s">
        <v>24305</v>
      </c>
      <c r="AD3187" s="2" t="s">
        <v>46</v>
      </c>
    </row>
    <row r="3188" customFormat="false" ht="15.7" hidden="false" customHeight="true" outlineLevel="0" collapsed="false">
      <c r="A3188" s="2"/>
      <c r="B3188" s="3" t="n">
        <f aca="false">DATE(2017,9,11)</f>
        <v>0</v>
      </c>
      <c r="C3188" s="3" t="n">
        <v>42989</v>
      </c>
      <c r="D3188" s="2" t="s">
        <v>24306</v>
      </c>
      <c r="F3188" s="2" t="s">
        <v>24307</v>
      </c>
      <c r="G3188" s="2" t="s">
        <v>24308</v>
      </c>
      <c r="H3188" s="2" t="s">
        <v>4987</v>
      </c>
      <c r="I3188" s="2" t="s">
        <v>219</v>
      </c>
      <c r="J3188" s="2" t="s">
        <v>65</v>
      </c>
      <c r="K3188" s="2" t="s">
        <v>24306</v>
      </c>
      <c r="L3188" s="2" t="s">
        <v>219</v>
      </c>
      <c r="M3188" s="2" t="s">
        <v>4987</v>
      </c>
      <c r="N3188" s="2" t="s">
        <v>24309</v>
      </c>
      <c r="O3188" s="2"/>
      <c r="P3188" s="2" t="s">
        <v>79</v>
      </c>
      <c r="Q3188" s="4" t="n">
        <v>6794</v>
      </c>
      <c r="R3188" s="2" t="s">
        <v>136</v>
      </c>
      <c r="S3188" s="2" t="s">
        <v>39</v>
      </c>
      <c r="T3188" s="2" t="s">
        <v>403</v>
      </c>
      <c r="U3188" s="2" t="s">
        <v>24310</v>
      </c>
      <c r="V3188" s="2"/>
      <c r="W3188" s="2" t="s">
        <v>24311</v>
      </c>
      <c r="X3188" s="2" t="s">
        <v>43</v>
      </c>
      <c r="Y3188" s="2" t="s">
        <v>37</v>
      </c>
      <c r="Z3188" s="2" t="s">
        <v>44</v>
      </c>
      <c r="AA3188" s="2"/>
      <c r="AB3188" s="2"/>
      <c r="AC3188" s="2" t="s">
        <v>24312</v>
      </c>
      <c r="AD3188" s="2" t="s">
        <v>46</v>
      </c>
    </row>
    <row r="3189" customFormat="false" ht="15.7" hidden="false" customHeight="true" outlineLevel="0" collapsed="false">
      <c r="A3189" s="2"/>
      <c r="B3189" s="3" t="n">
        <f aca="false">DATE(2017,9,11)</f>
        <v>0</v>
      </c>
      <c r="C3189" s="3" t="n">
        <v>42989</v>
      </c>
      <c r="D3189" s="2" t="s">
        <v>24313</v>
      </c>
      <c r="F3189" s="2" t="s">
        <v>24314</v>
      </c>
      <c r="G3189" s="2" t="s">
        <v>24315</v>
      </c>
      <c r="H3189" s="2" t="s">
        <v>24316</v>
      </c>
      <c r="I3189" s="2" t="s">
        <v>3223</v>
      </c>
      <c r="J3189" s="2" t="s">
        <v>116</v>
      </c>
      <c r="K3189" s="2" t="s">
        <v>24317</v>
      </c>
      <c r="L3189" s="2" t="s">
        <v>837</v>
      </c>
      <c r="M3189" s="2" t="s">
        <v>24316</v>
      </c>
      <c r="N3189" s="2" t="s">
        <v>24318</v>
      </c>
      <c r="O3189" s="2"/>
      <c r="P3189" s="2" t="s">
        <v>37</v>
      </c>
      <c r="Q3189" s="4" t="n">
        <v>6799</v>
      </c>
      <c r="R3189" s="2" t="s">
        <v>402</v>
      </c>
      <c r="S3189" s="2" t="s">
        <v>39</v>
      </c>
      <c r="T3189" s="2" t="s">
        <v>403</v>
      </c>
      <c r="U3189" s="2" t="s">
        <v>24319</v>
      </c>
      <c r="V3189" s="2"/>
      <c r="W3189" s="2" t="s">
        <v>9493</v>
      </c>
      <c r="X3189" s="2" t="s">
        <v>46</v>
      </c>
      <c r="Y3189" s="2" t="s">
        <v>37</v>
      </c>
      <c r="Z3189" s="2" t="s">
        <v>24320</v>
      </c>
      <c r="AA3189" s="2" t="s">
        <v>24321</v>
      </c>
      <c r="AB3189" s="2"/>
      <c r="AC3189" s="2" t="s">
        <v>24322</v>
      </c>
      <c r="AD3189" s="2" t="s">
        <v>46</v>
      </c>
    </row>
    <row r="3190" customFormat="false" ht="15.7" hidden="false" customHeight="true" outlineLevel="0" collapsed="false">
      <c r="A3190" s="2"/>
      <c r="B3190" s="3" t="n">
        <f aca="false">DATE(2017,9,11)</f>
        <v>0</v>
      </c>
      <c r="C3190" s="3" t="n">
        <v>42989</v>
      </c>
      <c r="D3190" s="2" t="s">
        <v>24323</v>
      </c>
      <c r="F3190" s="2" t="s">
        <v>10369</v>
      </c>
      <c r="G3190" s="2" t="s">
        <v>24324</v>
      </c>
      <c r="H3190" s="2" t="s">
        <v>1101</v>
      </c>
      <c r="I3190" s="2" t="s">
        <v>131</v>
      </c>
      <c r="J3190" s="2" t="s">
        <v>3303</v>
      </c>
      <c r="K3190" s="2" t="s">
        <v>24323</v>
      </c>
      <c r="L3190" s="2" t="s">
        <v>131</v>
      </c>
      <c r="M3190" s="2" t="s">
        <v>1101</v>
      </c>
      <c r="N3190" s="2" t="s">
        <v>24325</v>
      </c>
      <c r="O3190" s="2"/>
      <c r="P3190" s="2" t="s">
        <v>37</v>
      </c>
      <c r="Q3190" s="4" t="n">
        <v>6794</v>
      </c>
      <c r="R3190" s="2" t="s">
        <v>136</v>
      </c>
      <c r="S3190" s="2" t="s">
        <v>39</v>
      </c>
      <c r="T3190" s="2" t="s">
        <v>40</v>
      </c>
      <c r="U3190" s="2" t="s">
        <v>24326</v>
      </c>
      <c r="V3190" s="2"/>
      <c r="W3190" s="2" t="s">
        <v>24327</v>
      </c>
      <c r="X3190" s="2" t="s">
        <v>43</v>
      </c>
      <c r="Y3190" s="2" t="s">
        <v>37</v>
      </c>
      <c r="Z3190" s="2" t="s">
        <v>44</v>
      </c>
      <c r="AA3190" s="2"/>
      <c r="AB3190" s="2"/>
      <c r="AC3190" s="2" t="s">
        <v>24328</v>
      </c>
      <c r="AD3190" s="2" t="s">
        <v>46</v>
      </c>
    </row>
    <row r="3191" customFormat="false" ht="15.7" hidden="false" customHeight="true" outlineLevel="0" collapsed="false">
      <c r="A3191" s="2"/>
      <c r="B3191" s="3" t="n">
        <f aca="false">DATE(2017,9,12)</f>
        <v>0</v>
      </c>
      <c r="C3191" s="3" t="n">
        <v>42990</v>
      </c>
      <c r="D3191" s="2" t="s">
        <v>24329</v>
      </c>
      <c r="F3191" s="2" t="s">
        <v>24330</v>
      </c>
      <c r="G3191" s="2" t="s">
        <v>24331</v>
      </c>
      <c r="H3191" s="2" t="s">
        <v>24332</v>
      </c>
      <c r="I3191" s="2" t="s">
        <v>530</v>
      </c>
      <c r="J3191" s="2" t="s">
        <v>35</v>
      </c>
      <c r="K3191" s="2" t="s">
        <v>24333</v>
      </c>
      <c r="L3191" s="2" t="s">
        <v>530</v>
      </c>
      <c r="M3191" s="2" t="s">
        <v>24334</v>
      </c>
      <c r="N3191" s="2" t="s">
        <v>24335</v>
      </c>
      <c r="O3191" s="2"/>
      <c r="P3191" s="2" t="s">
        <v>37</v>
      </c>
      <c r="Q3191" s="4" t="n">
        <v>3669</v>
      </c>
      <c r="R3191" s="2" t="s">
        <v>136</v>
      </c>
      <c r="S3191" s="2" t="s">
        <v>39</v>
      </c>
      <c r="T3191" s="2" t="s">
        <v>40</v>
      </c>
      <c r="U3191" s="2" t="s">
        <v>24336</v>
      </c>
      <c r="V3191" s="2"/>
      <c r="W3191" s="2" t="s">
        <v>24337</v>
      </c>
      <c r="X3191" s="2" t="s">
        <v>43</v>
      </c>
      <c r="Y3191" s="2" t="s">
        <v>37</v>
      </c>
      <c r="Z3191" s="2" t="s">
        <v>44</v>
      </c>
      <c r="AA3191" s="2"/>
      <c r="AB3191" s="2"/>
      <c r="AC3191" s="2" t="s">
        <v>24338</v>
      </c>
      <c r="AD3191" s="2" t="s">
        <v>46</v>
      </c>
    </row>
    <row r="3192" customFormat="false" ht="15.7" hidden="false" customHeight="true" outlineLevel="0" collapsed="false">
      <c r="A3192" s="2"/>
      <c r="B3192" s="3" t="n">
        <f aca="false">DATE(2017,9,12)</f>
        <v>0</v>
      </c>
      <c r="C3192" s="3" t="n">
        <v>42990</v>
      </c>
      <c r="D3192" s="2" t="s">
        <v>24339</v>
      </c>
      <c r="F3192" s="2" t="s">
        <v>24340</v>
      </c>
      <c r="G3192" s="2" t="s">
        <v>24341</v>
      </c>
      <c r="H3192" s="2" t="s">
        <v>13491</v>
      </c>
      <c r="I3192" s="2" t="s">
        <v>51</v>
      </c>
      <c r="J3192" s="2" t="s">
        <v>4647</v>
      </c>
      <c r="K3192" s="2" t="s">
        <v>24339</v>
      </c>
      <c r="L3192" s="2" t="s">
        <v>51</v>
      </c>
      <c r="M3192" s="2" t="s">
        <v>13491</v>
      </c>
      <c r="N3192" s="2" t="s">
        <v>24342</v>
      </c>
      <c r="O3192" s="2"/>
      <c r="P3192" s="2" t="s">
        <v>37</v>
      </c>
      <c r="Q3192" s="4" t="n">
        <v>8731</v>
      </c>
      <c r="R3192" s="2" t="s">
        <v>56</v>
      </c>
      <c r="S3192" s="2"/>
      <c r="T3192" s="2" t="s">
        <v>40</v>
      </c>
      <c r="U3192" s="2" t="s">
        <v>24343</v>
      </c>
      <c r="V3192" s="2"/>
      <c r="W3192" s="2" t="s">
        <v>42</v>
      </c>
      <c r="X3192" s="2" t="s">
        <v>43</v>
      </c>
      <c r="Y3192" s="2" t="s">
        <v>37</v>
      </c>
      <c r="Z3192" s="2" t="s">
        <v>44</v>
      </c>
      <c r="AA3192" s="2"/>
      <c r="AB3192" s="2"/>
      <c r="AC3192" s="2" t="s">
        <v>24344</v>
      </c>
      <c r="AD3192" s="2" t="s">
        <v>46</v>
      </c>
    </row>
    <row r="3193" customFormat="false" ht="15.7" hidden="false" customHeight="true" outlineLevel="0" collapsed="false">
      <c r="A3193" s="2"/>
      <c r="B3193" s="3" t="n">
        <f aca="false">DATE(2017,9,12)</f>
        <v>0</v>
      </c>
      <c r="C3193" s="3" t="n">
        <v>42990</v>
      </c>
      <c r="D3193" s="2" t="s">
        <v>24345</v>
      </c>
      <c r="F3193" s="2" t="s">
        <v>24346</v>
      </c>
      <c r="G3193" s="2" t="s">
        <v>24347</v>
      </c>
      <c r="H3193" s="2" t="s">
        <v>24348</v>
      </c>
      <c r="I3193" s="2" t="s">
        <v>2530</v>
      </c>
      <c r="J3193" s="2" t="s">
        <v>24349</v>
      </c>
      <c r="K3193" s="2" t="s">
        <v>24345</v>
      </c>
      <c r="L3193" s="2" t="s">
        <v>2530</v>
      </c>
      <c r="M3193" s="2" t="s">
        <v>24348</v>
      </c>
      <c r="N3193" s="2" t="s">
        <v>24350</v>
      </c>
      <c r="O3193" s="2" t="s">
        <v>24351</v>
      </c>
      <c r="P3193" s="2" t="s">
        <v>37</v>
      </c>
      <c r="Q3193" s="4" t="n">
        <v>8099</v>
      </c>
      <c r="R3193" s="2" t="s">
        <v>56</v>
      </c>
      <c r="S3193" s="2" t="s">
        <v>788</v>
      </c>
      <c r="T3193" s="2" t="s">
        <v>40</v>
      </c>
      <c r="U3193" s="2" t="s">
        <v>24352</v>
      </c>
      <c r="V3193" s="2"/>
      <c r="W3193" s="2" t="s">
        <v>4487</v>
      </c>
      <c r="X3193" s="2" t="s">
        <v>46</v>
      </c>
      <c r="Y3193" s="2" t="s">
        <v>37</v>
      </c>
      <c r="Z3193" s="2" t="s">
        <v>452</v>
      </c>
      <c r="AA3193" s="2"/>
      <c r="AB3193" s="2" t="s">
        <v>24353</v>
      </c>
      <c r="AC3193" s="2" t="s">
        <v>24354</v>
      </c>
      <c r="AD3193" s="2" t="s">
        <v>46</v>
      </c>
    </row>
    <row r="3194" customFormat="false" ht="15.7" hidden="false" customHeight="true" outlineLevel="0" collapsed="false">
      <c r="A3194" s="2"/>
      <c r="B3194" s="3" t="n">
        <f aca="false">DATE(2017,9,12)</f>
        <v>0</v>
      </c>
      <c r="C3194" s="3" t="n">
        <v>42990</v>
      </c>
      <c r="D3194" s="2" t="s">
        <v>24355</v>
      </c>
      <c r="F3194" s="2" t="s">
        <v>24356</v>
      </c>
      <c r="G3194" s="2" t="s">
        <v>24357</v>
      </c>
      <c r="H3194" s="2" t="s">
        <v>24358</v>
      </c>
      <c r="I3194" s="2" t="s">
        <v>24359</v>
      </c>
      <c r="J3194" s="2" t="s">
        <v>35</v>
      </c>
      <c r="K3194" s="2" t="s">
        <v>24355</v>
      </c>
      <c r="L3194" s="2" t="s">
        <v>24359</v>
      </c>
      <c r="M3194" s="2" t="s">
        <v>24358</v>
      </c>
      <c r="N3194" s="2" t="s">
        <v>24360</v>
      </c>
      <c r="O3194" s="2"/>
      <c r="P3194" s="2" t="s">
        <v>79</v>
      </c>
      <c r="Q3194" s="4" t="n">
        <v>6794</v>
      </c>
      <c r="R3194" s="2" t="s">
        <v>12595</v>
      </c>
      <c r="S3194" s="2" t="s">
        <v>39</v>
      </c>
      <c r="T3194" s="2" t="s">
        <v>40</v>
      </c>
      <c r="U3194" s="2" t="s">
        <v>24361</v>
      </c>
      <c r="V3194" s="2"/>
      <c r="W3194" s="2" t="s">
        <v>24362</v>
      </c>
      <c r="X3194" s="2" t="s">
        <v>43</v>
      </c>
      <c r="Y3194" s="2" t="s">
        <v>37</v>
      </c>
      <c r="Z3194" s="2" t="s">
        <v>44</v>
      </c>
      <c r="AA3194" s="2"/>
      <c r="AB3194" s="2"/>
      <c r="AC3194" s="2" t="s">
        <v>24363</v>
      </c>
      <c r="AD3194" s="2" t="s">
        <v>46</v>
      </c>
    </row>
    <row r="3195" customFormat="false" ht="15.7" hidden="false" customHeight="true" outlineLevel="0" collapsed="false">
      <c r="A3195" s="2"/>
      <c r="B3195" s="3" t="n">
        <f aca="false">DATE(2017,9,12)</f>
        <v>0</v>
      </c>
      <c r="C3195" s="3" t="n">
        <v>42990</v>
      </c>
      <c r="D3195" s="2" t="s">
        <v>24364</v>
      </c>
      <c r="F3195" s="2" t="s">
        <v>24365</v>
      </c>
      <c r="G3195" s="2" t="s">
        <v>24366</v>
      </c>
      <c r="H3195" s="2" t="s">
        <v>24367</v>
      </c>
      <c r="I3195" s="2" t="s">
        <v>11894</v>
      </c>
      <c r="J3195" s="2" t="s">
        <v>35</v>
      </c>
      <c r="K3195" s="2" t="s">
        <v>24364</v>
      </c>
      <c r="L3195" s="2" t="s">
        <v>11894</v>
      </c>
      <c r="M3195" s="2" t="s">
        <v>24367</v>
      </c>
      <c r="N3195" s="2" t="s">
        <v>24368</v>
      </c>
      <c r="O3195" s="2"/>
      <c r="P3195" s="2" t="s">
        <v>37</v>
      </c>
      <c r="Q3195" s="4" t="n">
        <v>8731</v>
      </c>
      <c r="R3195" s="2" t="s">
        <v>136</v>
      </c>
      <c r="S3195" s="2" t="s">
        <v>39</v>
      </c>
      <c r="T3195" s="2" t="s">
        <v>40</v>
      </c>
      <c r="U3195" s="2" t="s">
        <v>24369</v>
      </c>
      <c r="V3195" s="2"/>
      <c r="W3195" s="2" t="s">
        <v>138</v>
      </c>
      <c r="X3195" s="2" t="s">
        <v>43</v>
      </c>
      <c r="Y3195" s="2" t="s">
        <v>37</v>
      </c>
      <c r="Z3195" s="2" t="s">
        <v>44</v>
      </c>
      <c r="AA3195" s="2"/>
      <c r="AB3195" s="2"/>
      <c r="AC3195" s="2" t="s">
        <v>24370</v>
      </c>
      <c r="AD3195" s="2" t="s">
        <v>46</v>
      </c>
    </row>
    <row r="3196" customFormat="false" ht="15.7" hidden="false" customHeight="true" outlineLevel="0" collapsed="false">
      <c r="A3196" s="2"/>
      <c r="B3196" s="3" t="n">
        <f aca="false">DATE(2017,9,12)</f>
        <v>0</v>
      </c>
      <c r="C3196" s="3" t="n">
        <v>42990</v>
      </c>
      <c r="D3196" s="2" t="s">
        <v>24371</v>
      </c>
      <c r="F3196" s="2" t="s">
        <v>24372</v>
      </c>
      <c r="G3196" s="2" t="s">
        <v>24373</v>
      </c>
      <c r="H3196" s="2" t="s">
        <v>24374</v>
      </c>
      <c r="I3196" s="2" t="s">
        <v>51</v>
      </c>
      <c r="J3196" s="2" t="s">
        <v>15570</v>
      </c>
      <c r="K3196" s="2" t="s">
        <v>24371</v>
      </c>
      <c r="L3196" s="2" t="s">
        <v>51</v>
      </c>
      <c r="M3196" s="2" t="s">
        <v>24374</v>
      </c>
      <c r="N3196" s="2" t="s">
        <v>24375</v>
      </c>
      <c r="O3196" s="2"/>
      <c r="P3196" s="2" t="s">
        <v>37</v>
      </c>
      <c r="Q3196" s="4" t="n">
        <v>8731</v>
      </c>
      <c r="R3196" s="2" t="s">
        <v>56</v>
      </c>
      <c r="S3196" s="2"/>
      <c r="T3196" s="2" t="s">
        <v>40</v>
      </c>
      <c r="U3196" s="2" t="s">
        <v>24376</v>
      </c>
      <c r="V3196" s="2"/>
      <c r="W3196" s="2" t="s">
        <v>42</v>
      </c>
      <c r="X3196" s="2" t="s">
        <v>46</v>
      </c>
      <c r="Y3196" s="2" t="s">
        <v>37</v>
      </c>
      <c r="Z3196" s="2" t="s">
        <v>44</v>
      </c>
      <c r="AA3196" s="2"/>
      <c r="AB3196" s="2"/>
      <c r="AC3196" s="2" t="s">
        <v>24377</v>
      </c>
      <c r="AD3196" s="2" t="s">
        <v>46</v>
      </c>
    </row>
    <row r="3197" customFormat="false" ht="15.7" hidden="false" customHeight="true" outlineLevel="0" collapsed="false">
      <c r="A3197" s="2"/>
      <c r="B3197" s="3" t="n">
        <f aca="false">DATE(2017,9,12)</f>
        <v>0</v>
      </c>
      <c r="C3197" s="3" t="n">
        <v>42990</v>
      </c>
      <c r="D3197" s="2" t="s">
        <v>24378</v>
      </c>
      <c r="F3197" s="2" t="s">
        <v>24379</v>
      </c>
      <c r="G3197" s="2" t="s">
        <v>24380</v>
      </c>
      <c r="H3197" s="2" t="s">
        <v>5687</v>
      </c>
      <c r="I3197" s="2" t="s">
        <v>1412</v>
      </c>
      <c r="J3197" s="2" t="s">
        <v>65</v>
      </c>
      <c r="K3197" s="2" t="s">
        <v>24378</v>
      </c>
      <c r="L3197" s="2" t="s">
        <v>1412</v>
      </c>
      <c r="M3197" s="2" t="s">
        <v>5687</v>
      </c>
      <c r="N3197" s="2" t="s">
        <v>24381</v>
      </c>
      <c r="O3197" s="2"/>
      <c r="P3197" s="2" t="s">
        <v>37</v>
      </c>
      <c r="Q3197" s="4" t="n">
        <v>8731</v>
      </c>
      <c r="R3197" s="2" t="s">
        <v>136</v>
      </c>
      <c r="S3197" s="2" t="s">
        <v>39</v>
      </c>
      <c r="T3197" s="2" t="s">
        <v>40</v>
      </c>
      <c r="U3197" s="2" t="s">
        <v>24382</v>
      </c>
      <c r="V3197" s="2"/>
      <c r="W3197" s="2" t="s">
        <v>344</v>
      </c>
      <c r="X3197" s="2" t="s">
        <v>43</v>
      </c>
      <c r="Y3197" s="2" t="s">
        <v>37</v>
      </c>
      <c r="Z3197" s="2" t="s">
        <v>44</v>
      </c>
      <c r="AA3197" s="2"/>
      <c r="AB3197" s="2"/>
      <c r="AC3197" s="2" t="s">
        <v>24383</v>
      </c>
      <c r="AD3197" s="2" t="s">
        <v>46</v>
      </c>
    </row>
    <row r="3198" customFormat="false" ht="15.7" hidden="false" customHeight="true" outlineLevel="0" collapsed="false">
      <c r="A3198" s="2"/>
      <c r="B3198" s="3" t="n">
        <f aca="false">DATE(2017,9,13)</f>
        <v>0</v>
      </c>
      <c r="C3198" s="3" t="n">
        <v>42991</v>
      </c>
      <c r="D3198" s="2" t="s">
        <v>24384</v>
      </c>
      <c r="F3198" s="2" t="s">
        <v>24385</v>
      </c>
      <c r="G3198" s="2" t="s">
        <v>24386</v>
      </c>
      <c r="H3198" s="2" t="s">
        <v>898</v>
      </c>
      <c r="I3198" s="2" t="s">
        <v>568</v>
      </c>
      <c r="J3198" s="2" t="s">
        <v>1983</v>
      </c>
      <c r="K3198" s="2" t="s">
        <v>24384</v>
      </c>
      <c r="L3198" s="2" t="s">
        <v>568</v>
      </c>
      <c r="M3198" s="2" t="s">
        <v>898</v>
      </c>
      <c r="N3198" s="2" t="s">
        <v>24387</v>
      </c>
      <c r="O3198" s="2"/>
      <c r="P3198" s="2" t="s">
        <v>79</v>
      </c>
      <c r="Q3198" s="4" t="n">
        <v>6794</v>
      </c>
      <c r="R3198" s="2" t="s">
        <v>136</v>
      </c>
      <c r="S3198" s="2" t="s">
        <v>39</v>
      </c>
      <c r="T3198" s="2" t="s">
        <v>40</v>
      </c>
      <c r="U3198" s="2" t="s">
        <v>24388</v>
      </c>
      <c r="V3198" s="2"/>
      <c r="W3198" s="2" t="s">
        <v>82</v>
      </c>
      <c r="X3198" s="2" t="s">
        <v>43</v>
      </c>
      <c r="Y3198" s="2" t="s">
        <v>37</v>
      </c>
      <c r="Z3198" s="2" t="s">
        <v>44</v>
      </c>
      <c r="AA3198" s="2" t="s">
        <v>24389</v>
      </c>
      <c r="AB3198" s="2"/>
      <c r="AC3198" s="2" t="s">
        <v>24390</v>
      </c>
      <c r="AD3198" s="2" t="s">
        <v>46</v>
      </c>
    </row>
    <row r="3199" customFormat="false" ht="15.7" hidden="false" customHeight="true" outlineLevel="0" collapsed="false">
      <c r="A3199" s="2"/>
      <c r="B3199" s="3" t="n">
        <f aca="false">DATE(2017,9,13)</f>
        <v>0</v>
      </c>
      <c r="C3199" s="3" t="n">
        <v>42991</v>
      </c>
      <c r="D3199" s="2" t="s">
        <v>24391</v>
      </c>
      <c r="F3199" s="2" t="s">
        <v>24392</v>
      </c>
      <c r="G3199" s="2" t="s">
        <v>24393</v>
      </c>
      <c r="H3199" s="2" t="s">
        <v>24394</v>
      </c>
      <c r="I3199" s="2" t="s">
        <v>487</v>
      </c>
      <c r="J3199" s="2" t="s">
        <v>132</v>
      </c>
      <c r="K3199" s="2" t="s">
        <v>24391</v>
      </c>
      <c r="L3199" s="2" t="s">
        <v>487</v>
      </c>
      <c r="M3199" s="2" t="s">
        <v>24394</v>
      </c>
      <c r="N3199" s="2" t="s">
        <v>24395</v>
      </c>
      <c r="O3199" s="2"/>
      <c r="P3199" s="2" t="s">
        <v>37</v>
      </c>
      <c r="Q3199" s="4" t="n">
        <v>8731</v>
      </c>
      <c r="R3199" s="2" t="s">
        <v>136</v>
      </c>
      <c r="S3199" s="2" t="s">
        <v>39</v>
      </c>
      <c r="T3199" s="2" t="s">
        <v>40</v>
      </c>
      <c r="U3199" s="2" t="s">
        <v>24396</v>
      </c>
      <c r="V3199" s="2"/>
      <c r="W3199" s="2" t="s">
        <v>42</v>
      </c>
      <c r="X3199" s="2" t="s">
        <v>43</v>
      </c>
      <c r="Y3199" s="2" t="s">
        <v>37</v>
      </c>
      <c r="Z3199" s="2" t="s">
        <v>44</v>
      </c>
      <c r="AA3199" s="2"/>
      <c r="AB3199" s="2"/>
      <c r="AC3199" s="2" t="s">
        <v>24397</v>
      </c>
      <c r="AD3199" s="2" t="s">
        <v>46</v>
      </c>
    </row>
    <row r="3200" customFormat="false" ht="15.7" hidden="false" customHeight="true" outlineLevel="0" collapsed="false">
      <c r="A3200" s="2"/>
      <c r="B3200" s="3" t="n">
        <f aca="false">DATE(2017,9,13)</f>
        <v>0</v>
      </c>
      <c r="C3200" s="3" t="n">
        <v>42991</v>
      </c>
      <c r="D3200" s="2" t="s">
        <v>24398</v>
      </c>
      <c r="F3200" s="2" t="s">
        <v>24399</v>
      </c>
      <c r="G3200" s="2" t="s">
        <v>24400</v>
      </c>
      <c r="H3200" s="2" t="s">
        <v>4457</v>
      </c>
      <c r="I3200" s="2" t="s">
        <v>1415</v>
      </c>
      <c r="J3200" s="2" t="s">
        <v>1807</v>
      </c>
      <c r="K3200" s="2" t="s">
        <v>24398</v>
      </c>
      <c r="L3200" s="2" t="s">
        <v>1415</v>
      </c>
      <c r="M3200" s="2" t="s">
        <v>4457</v>
      </c>
      <c r="N3200" s="2" t="s">
        <v>24401</v>
      </c>
      <c r="O3200" s="2"/>
      <c r="P3200" s="2" t="s">
        <v>37</v>
      </c>
      <c r="Q3200" s="4" t="n">
        <v>8731</v>
      </c>
      <c r="R3200" s="2"/>
      <c r="S3200" s="2"/>
      <c r="T3200" s="2" t="s">
        <v>403</v>
      </c>
      <c r="U3200" s="2" t="s">
        <v>24402</v>
      </c>
      <c r="V3200" s="2"/>
      <c r="W3200" s="2" t="s">
        <v>42</v>
      </c>
      <c r="X3200" s="2" t="s">
        <v>43</v>
      </c>
      <c r="Y3200" s="2" t="s">
        <v>37</v>
      </c>
      <c r="Z3200" s="2" t="s">
        <v>44</v>
      </c>
      <c r="AA3200" s="2"/>
      <c r="AB3200" s="2"/>
      <c r="AC3200" s="2" t="s">
        <v>24403</v>
      </c>
      <c r="AD3200" s="2" t="s">
        <v>46</v>
      </c>
    </row>
    <row r="3201" customFormat="false" ht="15.7" hidden="false" customHeight="true" outlineLevel="0" collapsed="false">
      <c r="A3201" s="2"/>
      <c r="B3201" s="3" t="n">
        <f aca="false">DATE(2017,9,14)</f>
        <v>0</v>
      </c>
      <c r="C3201" s="3" t="n">
        <v>42992</v>
      </c>
      <c r="D3201" s="2" t="s">
        <v>24404</v>
      </c>
      <c r="F3201" s="2" t="s">
        <v>24405</v>
      </c>
      <c r="G3201" s="2" t="s">
        <v>24406</v>
      </c>
      <c r="H3201" s="2" t="s">
        <v>1027</v>
      </c>
      <c r="I3201" s="2" t="s">
        <v>51</v>
      </c>
      <c r="J3201" s="2" t="s">
        <v>171</v>
      </c>
      <c r="K3201" s="2" t="s">
        <v>24404</v>
      </c>
      <c r="L3201" s="2" t="s">
        <v>51</v>
      </c>
      <c r="M3201" s="2" t="s">
        <v>1027</v>
      </c>
      <c r="N3201" s="2" t="s">
        <v>24407</v>
      </c>
      <c r="O3201" s="2"/>
      <c r="P3201" s="2" t="s">
        <v>37</v>
      </c>
      <c r="Q3201" s="4" t="n">
        <v>8731</v>
      </c>
      <c r="R3201" s="2" t="s">
        <v>56</v>
      </c>
      <c r="S3201" s="2"/>
      <c r="T3201" s="2" t="s">
        <v>40</v>
      </c>
      <c r="U3201" s="2" t="s">
        <v>24408</v>
      </c>
      <c r="V3201" s="2"/>
      <c r="W3201" s="2" t="s">
        <v>20757</v>
      </c>
      <c r="X3201" s="2" t="s">
        <v>43</v>
      </c>
      <c r="Y3201" s="2" t="s">
        <v>37</v>
      </c>
      <c r="Z3201" s="2" t="s">
        <v>44</v>
      </c>
      <c r="AA3201" s="2"/>
      <c r="AB3201" s="2"/>
      <c r="AC3201" s="2" t="s">
        <v>24409</v>
      </c>
      <c r="AD3201" s="2" t="s">
        <v>46</v>
      </c>
    </row>
    <row r="3202" customFormat="false" ht="15.7" hidden="false" customHeight="true" outlineLevel="0" collapsed="false">
      <c r="A3202" s="2"/>
      <c r="B3202" s="3" t="n">
        <f aca="false">DATE(2017,9,14)</f>
        <v>0</v>
      </c>
      <c r="C3202" s="3" t="n">
        <v>42992</v>
      </c>
      <c r="D3202" s="2" t="s">
        <v>24410</v>
      </c>
      <c r="F3202" s="2" t="s">
        <v>24411</v>
      </c>
      <c r="G3202" s="2" t="s">
        <v>24412</v>
      </c>
      <c r="H3202" s="2" t="s">
        <v>8409</v>
      </c>
      <c r="I3202" s="2" t="s">
        <v>34</v>
      </c>
      <c r="J3202" s="2" t="s">
        <v>35</v>
      </c>
      <c r="K3202" s="2" t="s">
        <v>24410</v>
      </c>
      <c r="L3202" s="2" t="s">
        <v>34</v>
      </c>
      <c r="M3202" s="2" t="s">
        <v>8409</v>
      </c>
      <c r="N3202" s="2" t="s">
        <v>24413</v>
      </c>
      <c r="O3202" s="2"/>
      <c r="P3202" s="2" t="s">
        <v>37</v>
      </c>
      <c r="Q3202" s="4" t="n">
        <v>8731</v>
      </c>
      <c r="R3202" s="2" t="s">
        <v>38</v>
      </c>
      <c r="S3202" s="2" t="s">
        <v>39</v>
      </c>
      <c r="T3202" s="2" t="s">
        <v>40</v>
      </c>
      <c r="U3202" s="2" t="s">
        <v>24414</v>
      </c>
      <c r="V3202" s="2"/>
      <c r="W3202" s="2" t="s">
        <v>42</v>
      </c>
      <c r="X3202" s="2" t="s">
        <v>43</v>
      </c>
      <c r="Y3202" s="2" t="s">
        <v>37</v>
      </c>
      <c r="Z3202" s="2" t="s">
        <v>44</v>
      </c>
      <c r="AA3202" s="2"/>
      <c r="AB3202" s="2"/>
      <c r="AC3202" s="2" t="s">
        <v>24415</v>
      </c>
      <c r="AD3202" s="2" t="s">
        <v>46</v>
      </c>
    </row>
    <row r="3203" customFormat="false" ht="15.7" hidden="false" customHeight="true" outlineLevel="0" collapsed="false">
      <c r="A3203" s="2"/>
      <c r="B3203" s="3" t="n">
        <f aca="false">DATE(2017,9,18)</f>
        <v>0</v>
      </c>
      <c r="C3203" s="3" t="n">
        <v>42996</v>
      </c>
      <c r="D3203" s="2" t="s">
        <v>24416</v>
      </c>
      <c r="F3203" s="2" t="s">
        <v>24417</v>
      </c>
      <c r="G3203" s="2" t="s">
        <v>24418</v>
      </c>
      <c r="H3203" s="2" t="s">
        <v>898</v>
      </c>
      <c r="I3203" s="2" t="s">
        <v>540</v>
      </c>
      <c r="J3203" s="2" t="s">
        <v>35</v>
      </c>
      <c r="K3203" s="2" t="s">
        <v>24416</v>
      </c>
      <c r="L3203" s="2" t="s">
        <v>540</v>
      </c>
      <c r="M3203" s="2" t="s">
        <v>898</v>
      </c>
      <c r="N3203" s="2" t="s">
        <v>24419</v>
      </c>
      <c r="O3203" s="2"/>
      <c r="P3203" s="2" t="s">
        <v>79</v>
      </c>
      <c r="Q3203" s="4" t="n">
        <v>6794</v>
      </c>
      <c r="R3203" s="2" t="s">
        <v>1448</v>
      </c>
      <c r="S3203" s="2" t="s">
        <v>39</v>
      </c>
      <c r="T3203" s="2" t="s">
        <v>40</v>
      </c>
      <c r="U3203" s="2" t="s">
        <v>24420</v>
      </c>
      <c r="V3203" s="2"/>
      <c r="W3203" s="2" t="s">
        <v>24421</v>
      </c>
      <c r="X3203" s="2" t="s">
        <v>43</v>
      </c>
      <c r="Y3203" s="2" t="s">
        <v>37</v>
      </c>
      <c r="Z3203" s="2" t="s">
        <v>44</v>
      </c>
      <c r="AA3203" s="2"/>
      <c r="AB3203" s="2"/>
      <c r="AC3203" s="2" t="s">
        <v>24422</v>
      </c>
      <c r="AD3203" s="2" t="s">
        <v>46</v>
      </c>
    </row>
    <row r="3204" customFormat="false" ht="15.7" hidden="false" customHeight="true" outlineLevel="0" collapsed="false">
      <c r="A3204" s="2"/>
      <c r="B3204" s="3" t="n">
        <f aca="false">DATE(2017,9,18)</f>
        <v>0</v>
      </c>
      <c r="C3204" s="3" t="n">
        <v>42996</v>
      </c>
      <c r="D3204" s="2" t="s">
        <v>24423</v>
      </c>
      <c r="F3204" s="2" t="s">
        <v>24424</v>
      </c>
      <c r="G3204" s="2" t="s">
        <v>24425</v>
      </c>
      <c r="H3204" s="2" t="s">
        <v>24426</v>
      </c>
      <c r="I3204" s="2" t="s">
        <v>14921</v>
      </c>
      <c r="J3204" s="2" t="s">
        <v>155</v>
      </c>
      <c r="K3204" s="2" t="s">
        <v>24427</v>
      </c>
      <c r="L3204" s="2" t="s">
        <v>14921</v>
      </c>
      <c r="M3204" s="2" t="s">
        <v>13188</v>
      </c>
      <c r="N3204" s="2" t="s">
        <v>24428</v>
      </c>
      <c r="O3204" s="2"/>
      <c r="P3204" s="2" t="s">
        <v>37</v>
      </c>
      <c r="Q3204" s="4" t="n">
        <v>2813</v>
      </c>
      <c r="R3204" s="2" t="s">
        <v>136</v>
      </c>
      <c r="S3204" s="2" t="s">
        <v>39</v>
      </c>
      <c r="T3204" s="2" t="s">
        <v>40</v>
      </c>
      <c r="U3204" s="2" t="s">
        <v>24429</v>
      </c>
      <c r="V3204" s="2"/>
      <c r="W3204" s="2" t="s">
        <v>24430</v>
      </c>
      <c r="X3204" s="2" t="s">
        <v>43</v>
      </c>
      <c r="Y3204" s="2" t="s">
        <v>37</v>
      </c>
      <c r="Z3204" s="2" t="s">
        <v>44</v>
      </c>
      <c r="AA3204" s="2"/>
      <c r="AB3204" s="2"/>
      <c r="AC3204" s="2" t="s">
        <v>24431</v>
      </c>
      <c r="AD3204" s="2" t="s">
        <v>46</v>
      </c>
    </row>
    <row r="3205" customFormat="false" ht="15.7" hidden="false" customHeight="true" outlineLevel="0" collapsed="false">
      <c r="A3205" s="2"/>
      <c r="B3205" s="3" t="n">
        <f aca="false">DATE(2017,9,18)</f>
        <v>0</v>
      </c>
      <c r="C3205" s="3" t="n">
        <v>42996</v>
      </c>
      <c r="D3205" s="2" t="s">
        <v>24432</v>
      </c>
      <c r="F3205" s="2" t="s">
        <v>17957</v>
      </c>
      <c r="G3205" s="2" t="s">
        <v>24433</v>
      </c>
      <c r="H3205" s="2" t="s">
        <v>1020</v>
      </c>
      <c r="I3205" s="2" t="s">
        <v>369</v>
      </c>
      <c r="J3205" s="2" t="s">
        <v>35</v>
      </c>
      <c r="K3205" s="2" t="s">
        <v>24432</v>
      </c>
      <c r="L3205" s="2" t="s">
        <v>369</v>
      </c>
      <c r="M3205" s="2" t="s">
        <v>1020</v>
      </c>
      <c r="N3205" s="2" t="s">
        <v>24434</v>
      </c>
      <c r="O3205" s="2"/>
      <c r="P3205" s="2" t="s">
        <v>79</v>
      </c>
      <c r="Q3205" s="4" t="n">
        <v>6794</v>
      </c>
      <c r="R3205" s="2" t="s">
        <v>402</v>
      </c>
      <c r="S3205" s="2" t="s">
        <v>39</v>
      </c>
      <c r="T3205" s="2" t="s">
        <v>40</v>
      </c>
      <c r="U3205" s="2" t="s">
        <v>24435</v>
      </c>
      <c r="V3205" s="2"/>
      <c r="W3205" s="2" t="s">
        <v>82</v>
      </c>
      <c r="X3205" s="2" t="s">
        <v>43</v>
      </c>
      <c r="Y3205" s="2" t="s">
        <v>37</v>
      </c>
      <c r="Z3205" s="2" t="s">
        <v>44</v>
      </c>
      <c r="AA3205" s="2"/>
      <c r="AB3205" s="2"/>
      <c r="AC3205" s="2" t="s">
        <v>24436</v>
      </c>
      <c r="AD3205" s="2" t="s">
        <v>46</v>
      </c>
    </row>
    <row r="3206" customFormat="false" ht="15.7" hidden="false" customHeight="true" outlineLevel="0" collapsed="false">
      <c r="A3206" s="2"/>
      <c r="B3206" s="3" t="n">
        <f aca="false">DATE(2017,9,19)</f>
        <v>0</v>
      </c>
      <c r="C3206" s="3" t="n">
        <v>42997</v>
      </c>
      <c r="D3206" s="2" t="s">
        <v>24437</v>
      </c>
      <c r="F3206" s="2" t="s">
        <v>24438</v>
      </c>
      <c r="G3206" s="2" t="s">
        <v>24439</v>
      </c>
      <c r="H3206" s="2" t="s">
        <v>1020</v>
      </c>
      <c r="I3206" s="2" t="s">
        <v>487</v>
      </c>
      <c r="J3206" s="2" t="s">
        <v>24440</v>
      </c>
      <c r="K3206" s="2" t="s">
        <v>24437</v>
      </c>
      <c r="L3206" s="2" t="s">
        <v>487</v>
      </c>
      <c r="M3206" s="2" t="s">
        <v>1020</v>
      </c>
      <c r="N3206" s="2" t="s">
        <v>24441</v>
      </c>
      <c r="O3206" s="2"/>
      <c r="P3206" s="2" t="s">
        <v>37</v>
      </c>
      <c r="Q3206" s="4" t="n">
        <v>6794</v>
      </c>
      <c r="R3206" s="2" t="s">
        <v>296</v>
      </c>
      <c r="S3206" s="2" t="s">
        <v>24442</v>
      </c>
      <c r="T3206" s="2" t="s">
        <v>40</v>
      </c>
      <c r="U3206" s="2" t="s">
        <v>24443</v>
      </c>
      <c r="V3206" s="2"/>
      <c r="W3206" s="2" t="s">
        <v>15545</v>
      </c>
      <c r="X3206" s="2" t="s">
        <v>43</v>
      </c>
      <c r="Y3206" s="2" t="s">
        <v>79</v>
      </c>
      <c r="Z3206" s="2" t="s">
        <v>44</v>
      </c>
      <c r="AA3206" s="2"/>
      <c r="AB3206" s="2"/>
      <c r="AC3206" s="2" t="s">
        <v>24444</v>
      </c>
      <c r="AD3206" s="2" t="s">
        <v>46</v>
      </c>
    </row>
    <row r="3207" customFormat="false" ht="15.7" hidden="false" customHeight="true" outlineLevel="0" collapsed="false">
      <c r="A3207" s="2"/>
      <c r="B3207" s="3" t="n">
        <f aca="false">DATE(2017,9,20)</f>
        <v>0</v>
      </c>
      <c r="C3207" s="3" t="n">
        <v>42998</v>
      </c>
      <c r="D3207" s="2" t="s">
        <v>24445</v>
      </c>
      <c r="F3207" s="2" t="s">
        <v>24446</v>
      </c>
      <c r="G3207" s="2" t="s">
        <v>24447</v>
      </c>
      <c r="H3207" s="2" t="s">
        <v>7839</v>
      </c>
      <c r="I3207" s="2" t="s">
        <v>1431</v>
      </c>
      <c r="J3207" s="2" t="s">
        <v>514</v>
      </c>
      <c r="K3207" s="2" t="s">
        <v>24445</v>
      </c>
      <c r="L3207" s="2" t="s">
        <v>1431</v>
      </c>
      <c r="M3207" s="2" t="s">
        <v>7839</v>
      </c>
      <c r="N3207" s="2" t="s">
        <v>24448</v>
      </c>
      <c r="O3207" s="2"/>
      <c r="P3207" s="2" t="s">
        <v>37</v>
      </c>
      <c r="Q3207" s="4" t="n">
        <v>8731</v>
      </c>
      <c r="R3207" s="2" t="s">
        <v>136</v>
      </c>
      <c r="S3207" s="2" t="s">
        <v>39</v>
      </c>
      <c r="T3207" s="2" t="s">
        <v>40</v>
      </c>
      <c r="U3207" s="2" t="s">
        <v>24449</v>
      </c>
      <c r="V3207" s="2"/>
      <c r="W3207" s="2" t="s">
        <v>24450</v>
      </c>
      <c r="X3207" s="2" t="s">
        <v>43</v>
      </c>
      <c r="Y3207" s="2" t="s">
        <v>37</v>
      </c>
      <c r="Z3207" s="2" t="s">
        <v>44</v>
      </c>
      <c r="AA3207" s="2"/>
      <c r="AB3207" s="2"/>
      <c r="AC3207" s="2" t="s">
        <v>24451</v>
      </c>
      <c r="AD3207" s="2" t="s">
        <v>46</v>
      </c>
    </row>
    <row r="3208" customFormat="false" ht="15.7" hidden="false" customHeight="true" outlineLevel="0" collapsed="false">
      <c r="A3208" s="2"/>
      <c r="B3208" s="3" t="n">
        <f aca="false">DATE(2017,9,20)</f>
        <v>0</v>
      </c>
      <c r="C3208" s="3" t="n">
        <v>42998</v>
      </c>
      <c r="D3208" s="2" t="s">
        <v>24452</v>
      </c>
      <c r="F3208" s="2" t="s">
        <v>24453</v>
      </c>
      <c r="G3208" s="2" t="s">
        <v>24454</v>
      </c>
      <c r="H3208" s="2" t="s">
        <v>130</v>
      </c>
      <c r="I3208" s="2" t="s">
        <v>24455</v>
      </c>
      <c r="J3208" s="2" t="s">
        <v>35</v>
      </c>
      <c r="K3208" s="2" t="s">
        <v>24456</v>
      </c>
      <c r="L3208" s="2" t="s">
        <v>24457</v>
      </c>
      <c r="M3208" s="2" t="s">
        <v>130</v>
      </c>
      <c r="N3208" s="2" t="s">
        <v>24458</v>
      </c>
      <c r="O3208" s="2"/>
      <c r="P3208" s="2" t="s">
        <v>37</v>
      </c>
      <c r="Q3208" s="4" t="n">
        <v>8731</v>
      </c>
      <c r="R3208" s="2" t="s">
        <v>8685</v>
      </c>
      <c r="S3208" s="2" t="s">
        <v>39</v>
      </c>
      <c r="T3208" s="2" t="s">
        <v>403</v>
      </c>
      <c r="U3208" s="2" t="s">
        <v>24459</v>
      </c>
      <c r="V3208" s="2"/>
      <c r="W3208" s="2" t="s">
        <v>2056</v>
      </c>
      <c r="X3208" s="2" t="s">
        <v>46</v>
      </c>
      <c r="Y3208" s="2" t="s">
        <v>37</v>
      </c>
      <c r="Z3208" s="2" t="s">
        <v>2565</v>
      </c>
      <c r="AA3208" s="2"/>
      <c r="AB3208" s="2"/>
      <c r="AC3208" s="2" t="s">
        <v>24460</v>
      </c>
      <c r="AD3208" s="2" t="s">
        <v>46</v>
      </c>
    </row>
    <row r="3209" customFormat="false" ht="15.7" hidden="false" customHeight="true" outlineLevel="0" collapsed="false">
      <c r="A3209" s="2"/>
      <c r="B3209" s="3" t="n">
        <f aca="false">DATE(2017,9,20)</f>
        <v>0</v>
      </c>
      <c r="C3209" s="3" t="n">
        <v>42998</v>
      </c>
      <c r="D3209" s="2" t="s">
        <v>24461</v>
      </c>
      <c r="F3209" s="2" t="s">
        <v>24462</v>
      </c>
      <c r="G3209" s="2" t="s">
        <v>24463</v>
      </c>
      <c r="H3209" s="2" t="s">
        <v>1027</v>
      </c>
      <c r="I3209" s="2" t="s">
        <v>664</v>
      </c>
      <c r="J3209" s="2" t="s">
        <v>966</v>
      </c>
      <c r="K3209" s="2" t="s">
        <v>24461</v>
      </c>
      <c r="L3209" s="2" t="s">
        <v>664</v>
      </c>
      <c r="M3209" s="2" t="s">
        <v>1027</v>
      </c>
      <c r="N3209" s="2" t="s">
        <v>24464</v>
      </c>
      <c r="O3209" s="2"/>
      <c r="P3209" s="2" t="s">
        <v>37</v>
      </c>
      <c r="Q3209" s="4" t="n">
        <v>6794</v>
      </c>
      <c r="R3209" s="2" t="s">
        <v>38</v>
      </c>
      <c r="S3209" s="2" t="s">
        <v>39</v>
      </c>
      <c r="T3209" s="2" t="s">
        <v>40</v>
      </c>
      <c r="U3209" s="2" t="s">
        <v>24465</v>
      </c>
      <c r="V3209" s="2"/>
      <c r="W3209" s="2" t="s">
        <v>24466</v>
      </c>
      <c r="X3209" s="2" t="s">
        <v>43</v>
      </c>
      <c r="Y3209" s="2" t="s">
        <v>37</v>
      </c>
      <c r="Z3209" s="2" t="s">
        <v>44</v>
      </c>
      <c r="AA3209" s="2"/>
      <c r="AB3209" s="2"/>
      <c r="AC3209" s="2" t="s">
        <v>24467</v>
      </c>
      <c r="AD3209" s="2" t="s">
        <v>46</v>
      </c>
    </row>
    <row r="3210" customFormat="false" ht="15.7" hidden="false" customHeight="true" outlineLevel="0" collapsed="false">
      <c r="A3210" s="2"/>
      <c r="B3210" s="3" t="n">
        <f aca="false">DATE(2017,9,20)</f>
        <v>0</v>
      </c>
      <c r="C3210" s="3" t="n">
        <v>42998</v>
      </c>
      <c r="D3210" s="2" t="s">
        <v>24468</v>
      </c>
      <c r="F3210" s="2" t="s">
        <v>24469</v>
      </c>
      <c r="G3210" s="2" t="s">
        <v>24470</v>
      </c>
      <c r="H3210" s="2" t="s">
        <v>24471</v>
      </c>
      <c r="I3210" s="2" t="s">
        <v>6838</v>
      </c>
      <c r="J3210" s="2" t="s">
        <v>35</v>
      </c>
      <c r="K3210" s="2" t="s">
        <v>24468</v>
      </c>
      <c r="L3210" s="2" t="s">
        <v>6838</v>
      </c>
      <c r="M3210" s="2" t="s">
        <v>24471</v>
      </c>
      <c r="N3210" s="2" t="s">
        <v>24472</v>
      </c>
      <c r="O3210" s="2"/>
      <c r="P3210" s="2" t="s">
        <v>37</v>
      </c>
      <c r="Q3210" s="4" t="n">
        <v>8731</v>
      </c>
      <c r="R3210" s="2" t="s">
        <v>402</v>
      </c>
      <c r="S3210" s="2" t="s">
        <v>39</v>
      </c>
      <c r="T3210" s="2" t="s">
        <v>403</v>
      </c>
      <c r="U3210" s="2" t="s">
        <v>24473</v>
      </c>
      <c r="V3210" s="2"/>
      <c r="W3210" s="2" t="s">
        <v>24474</v>
      </c>
      <c r="X3210" s="2" t="s">
        <v>46</v>
      </c>
      <c r="Y3210" s="2" t="s">
        <v>37</v>
      </c>
      <c r="Z3210" s="2" t="s">
        <v>987</v>
      </c>
      <c r="AA3210" s="2"/>
      <c r="AB3210" s="2"/>
      <c r="AC3210" s="2" t="s">
        <v>24475</v>
      </c>
      <c r="AD3210" s="2" t="s">
        <v>46</v>
      </c>
    </row>
    <row r="3211" customFormat="false" ht="15.7" hidden="false" customHeight="true" outlineLevel="0" collapsed="false">
      <c r="A3211" s="2"/>
      <c r="B3211" s="3" t="n">
        <f aca="false">DATE(2017,9,20)</f>
        <v>0</v>
      </c>
      <c r="C3211" s="3" t="n">
        <v>42998</v>
      </c>
      <c r="D3211" s="2" t="s">
        <v>24476</v>
      </c>
      <c r="F3211" s="2" t="s">
        <v>24477</v>
      </c>
      <c r="G3211" s="2" t="s">
        <v>24478</v>
      </c>
      <c r="H3211" s="2" t="s">
        <v>130</v>
      </c>
      <c r="I3211" s="2" t="s">
        <v>51</v>
      </c>
      <c r="J3211" s="2" t="s">
        <v>17952</v>
      </c>
      <c r="K3211" s="2" t="s">
        <v>24479</v>
      </c>
      <c r="L3211" s="2" t="s">
        <v>51</v>
      </c>
      <c r="M3211" s="2" t="s">
        <v>130</v>
      </c>
      <c r="N3211" s="2" t="s">
        <v>24480</v>
      </c>
      <c r="O3211" s="2"/>
      <c r="P3211" s="2" t="s">
        <v>37</v>
      </c>
      <c r="Q3211" s="4" t="n">
        <v>6794</v>
      </c>
      <c r="R3211" s="2" t="s">
        <v>136</v>
      </c>
      <c r="S3211" s="2" t="s">
        <v>39</v>
      </c>
      <c r="T3211" s="2" t="s">
        <v>40</v>
      </c>
      <c r="U3211" s="2" t="s">
        <v>24481</v>
      </c>
      <c r="V3211" s="2"/>
      <c r="W3211" s="2" t="s">
        <v>15545</v>
      </c>
      <c r="X3211" s="2" t="s">
        <v>43</v>
      </c>
      <c r="Y3211" s="2" t="s">
        <v>37</v>
      </c>
      <c r="Z3211" s="2" t="s">
        <v>44</v>
      </c>
      <c r="AA3211" s="2"/>
      <c r="AB3211" s="2"/>
      <c r="AC3211" s="2" t="s">
        <v>24482</v>
      </c>
      <c r="AD3211" s="2" t="s">
        <v>46</v>
      </c>
    </row>
    <row r="3212" customFormat="false" ht="15.7" hidden="false" customHeight="true" outlineLevel="0" collapsed="false">
      <c r="A3212" s="2"/>
      <c r="B3212" s="3" t="n">
        <f aca="false">DATE(2017,9,20)</f>
        <v>0</v>
      </c>
      <c r="C3212" s="3" t="n">
        <v>42998</v>
      </c>
      <c r="D3212" s="2" t="s">
        <v>24483</v>
      </c>
      <c r="F3212" s="2" t="s">
        <v>24484</v>
      </c>
      <c r="G3212" s="2" t="s">
        <v>24485</v>
      </c>
      <c r="H3212" s="2" t="s">
        <v>762</v>
      </c>
      <c r="I3212" s="2" t="s">
        <v>568</v>
      </c>
      <c r="J3212" s="2" t="s">
        <v>155</v>
      </c>
      <c r="K3212" s="2" t="s">
        <v>24483</v>
      </c>
      <c r="L3212" s="2" t="s">
        <v>568</v>
      </c>
      <c r="M3212" s="2" t="s">
        <v>762</v>
      </c>
      <c r="N3212" s="2" t="s">
        <v>24486</v>
      </c>
      <c r="O3212" s="2"/>
      <c r="P3212" s="2" t="s">
        <v>79</v>
      </c>
      <c r="Q3212" s="4" t="n">
        <v>6794</v>
      </c>
      <c r="R3212" s="2" t="s">
        <v>136</v>
      </c>
      <c r="S3212" s="2" t="s">
        <v>39</v>
      </c>
      <c r="T3212" s="2" t="s">
        <v>40</v>
      </c>
      <c r="U3212" s="2" t="s">
        <v>24487</v>
      </c>
      <c r="V3212" s="2"/>
      <c r="W3212" s="2" t="s">
        <v>82</v>
      </c>
      <c r="X3212" s="2" t="s">
        <v>43</v>
      </c>
      <c r="Y3212" s="2" t="s">
        <v>37</v>
      </c>
      <c r="Z3212" s="2" t="s">
        <v>44</v>
      </c>
      <c r="AA3212" s="2"/>
      <c r="AB3212" s="2"/>
      <c r="AC3212" s="2" t="s">
        <v>24488</v>
      </c>
      <c r="AD3212" s="2" t="s">
        <v>46</v>
      </c>
    </row>
    <row r="3213" customFormat="false" ht="15.7" hidden="false" customHeight="true" outlineLevel="0" collapsed="false">
      <c r="A3213" s="2"/>
      <c r="B3213" s="3" t="n">
        <f aca="false">DATE(2017,9,20)</f>
        <v>0</v>
      </c>
      <c r="C3213" s="3" t="n">
        <v>42998</v>
      </c>
      <c r="D3213" s="2" t="s">
        <v>24489</v>
      </c>
      <c r="F3213" s="2" t="s">
        <v>24490</v>
      </c>
      <c r="G3213" s="2" t="s">
        <v>24491</v>
      </c>
      <c r="H3213" s="2" t="s">
        <v>24492</v>
      </c>
      <c r="I3213" s="2" t="s">
        <v>24493</v>
      </c>
      <c r="J3213" s="2" t="s">
        <v>35</v>
      </c>
      <c r="K3213" s="2" t="s">
        <v>24489</v>
      </c>
      <c r="L3213" s="2" t="s">
        <v>24493</v>
      </c>
      <c r="M3213" s="2" t="s">
        <v>24492</v>
      </c>
      <c r="N3213" s="2" t="s">
        <v>24494</v>
      </c>
      <c r="O3213" s="2"/>
      <c r="P3213" s="2" t="s">
        <v>37</v>
      </c>
      <c r="Q3213" s="4" t="n">
        <v>4953</v>
      </c>
      <c r="R3213" s="2"/>
      <c r="S3213" s="2"/>
      <c r="T3213" s="2" t="s">
        <v>40</v>
      </c>
      <c r="U3213" s="2" t="s">
        <v>24495</v>
      </c>
      <c r="V3213" s="2"/>
      <c r="W3213" s="2" t="s">
        <v>24496</v>
      </c>
      <c r="X3213" s="2" t="s">
        <v>43</v>
      </c>
      <c r="Y3213" s="2" t="s">
        <v>37</v>
      </c>
      <c r="Z3213" s="2" t="s">
        <v>44</v>
      </c>
      <c r="AA3213" s="2"/>
      <c r="AB3213" s="2"/>
      <c r="AC3213" s="2" t="s">
        <v>24497</v>
      </c>
      <c r="AD3213" s="2" t="s">
        <v>46</v>
      </c>
    </row>
    <row r="3214" customFormat="false" ht="15.7" hidden="false" customHeight="true" outlineLevel="0" collapsed="false">
      <c r="A3214" s="2"/>
      <c r="B3214" s="3" t="n">
        <f aca="false">DATE(2017,9,20)</f>
        <v>0</v>
      </c>
      <c r="C3214" s="3" t="n">
        <v>42998</v>
      </c>
      <c r="D3214" s="2" t="s">
        <v>24498</v>
      </c>
      <c r="F3214" s="2" t="s">
        <v>24499</v>
      </c>
      <c r="G3214" s="2" t="s">
        <v>24500</v>
      </c>
      <c r="H3214" s="2" t="s">
        <v>24501</v>
      </c>
      <c r="I3214" s="2" t="s">
        <v>14858</v>
      </c>
      <c r="J3214" s="2" t="s">
        <v>116</v>
      </c>
      <c r="K3214" s="2" t="s">
        <v>24502</v>
      </c>
      <c r="L3214" s="2" t="s">
        <v>24503</v>
      </c>
      <c r="M3214" s="2" t="s">
        <v>24504</v>
      </c>
      <c r="N3214" s="2" t="s">
        <v>24505</v>
      </c>
      <c r="O3214" s="2"/>
      <c r="P3214" s="2" t="s">
        <v>37</v>
      </c>
      <c r="Q3214" s="4" t="n">
        <v>6799</v>
      </c>
      <c r="R3214" s="2" t="s">
        <v>1448</v>
      </c>
      <c r="S3214" s="2" t="s">
        <v>39</v>
      </c>
      <c r="T3214" s="2" t="s">
        <v>40</v>
      </c>
      <c r="U3214" s="2" t="s">
        <v>24506</v>
      </c>
      <c r="V3214" s="2"/>
      <c r="W3214" s="2" t="s">
        <v>24507</v>
      </c>
      <c r="X3214" s="2" t="s">
        <v>43</v>
      </c>
      <c r="Y3214" s="2" t="s">
        <v>37</v>
      </c>
      <c r="Z3214" s="2" t="s">
        <v>916</v>
      </c>
      <c r="AA3214" s="2" t="s">
        <v>24508</v>
      </c>
      <c r="AB3214" s="2"/>
      <c r="AC3214" s="2" t="s">
        <v>24509</v>
      </c>
      <c r="AD3214" s="2" t="s">
        <v>46</v>
      </c>
    </row>
    <row r="3215" customFormat="false" ht="15.7" hidden="false" customHeight="true" outlineLevel="0" collapsed="false">
      <c r="A3215" s="2"/>
      <c r="B3215" s="3" t="n">
        <f aca="false">DATE(2017,9,20)</f>
        <v>0</v>
      </c>
      <c r="C3215" s="3" t="n">
        <v>42998</v>
      </c>
      <c r="D3215" s="2" t="s">
        <v>24510</v>
      </c>
      <c r="F3215" s="2" t="s">
        <v>24511</v>
      </c>
      <c r="G3215" s="2" t="s">
        <v>24512</v>
      </c>
      <c r="H3215" s="2" t="s">
        <v>240</v>
      </c>
      <c r="I3215" s="2" t="s">
        <v>330</v>
      </c>
      <c r="J3215" s="2" t="s">
        <v>6730</v>
      </c>
      <c r="K3215" s="2" t="s">
        <v>24513</v>
      </c>
      <c r="L3215" s="2" t="s">
        <v>330</v>
      </c>
      <c r="M3215" s="2" t="s">
        <v>24514</v>
      </c>
      <c r="N3215" s="2" t="s">
        <v>24515</v>
      </c>
      <c r="O3215" s="2"/>
      <c r="P3215" s="2" t="s">
        <v>37</v>
      </c>
      <c r="Q3215" s="4" t="n">
        <v>8731</v>
      </c>
      <c r="R3215" s="2" t="s">
        <v>388</v>
      </c>
      <c r="S3215" s="2" t="s">
        <v>24516</v>
      </c>
      <c r="T3215" s="2" t="s">
        <v>40</v>
      </c>
      <c r="U3215" s="2" t="s">
        <v>24517</v>
      </c>
      <c r="V3215" s="2"/>
      <c r="W3215" s="2" t="s">
        <v>344</v>
      </c>
      <c r="X3215" s="2" t="s">
        <v>43</v>
      </c>
      <c r="Y3215" s="2" t="s">
        <v>79</v>
      </c>
      <c r="Z3215" s="2" t="s">
        <v>44</v>
      </c>
      <c r="AA3215" s="2"/>
      <c r="AB3215" s="2"/>
      <c r="AC3215" s="2" t="s">
        <v>24518</v>
      </c>
      <c r="AD3215" s="2" t="s">
        <v>46</v>
      </c>
    </row>
    <row r="3216" customFormat="false" ht="15.7" hidden="false" customHeight="true" outlineLevel="0" collapsed="false">
      <c r="A3216" s="2"/>
      <c r="B3216" s="3" t="n">
        <f aca="false">DATE(2017,9,20)</f>
        <v>0</v>
      </c>
      <c r="C3216" s="3" t="n">
        <v>42998</v>
      </c>
      <c r="D3216" s="2" t="s">
        <v>24519</v>
      </c>
      <c r="F3216" s="2" t="s">
        <v>24520</v>
      </c>
      <c r="G3216" s="2" t="s">
        <v>24521</v>
      </c>
      <c r="H3216" s="2" t="s">
        <v>24522</v>
      </c>
      <c r="I3216" s="2" t="s">
        <v>17769</v>
      </c>
      <c r="J3216" s="2" t="s">
        <v>35</v>
      </c>
      <c r="K3216" s="2" t="s">
        <v>24519</v>
      </c>
      <c r="L3216" s="2" t="s">
        <v>17769</v>
      </c>
      <c r="M3216" s="2" t="s">
        <v>24522</v>
      </c>
      <c r="N3216" s="2" t="s">
        <v>24523</v>
      </c>
      <c r="O3216" s="2"/>
      <c r="P3216" s="2" t="s">
        <v>37</v>
      </c>
      <c r="Q3216" s="4" t="n">
        <v>1731</v>
      </c>
      <c r="R3216" s="2"/>
      <c r="S3216" s="2"/>
      <c r="T3216" s="2" t="s">
        <v>403</v>
      </c>
      <c r="U3216" s="2" t="s">
        <v>24524</v>
      </c>
      <c r="V3216" s="2"/>
      <c r="W3216" s="2" t="s">
        <v>11763</v>
      </c>
      <c r="X3216" s="2" t="s">
        <v>43</v>
      </c>
      <c r="Y3216" s="2" t="s">
        <v>37</v>
      </c>
      <c r="Z3216" s="2" t="s">
        <v>44</v>
      </c>
      <c r="AA3216" s="2"/>
      <c r="AB3216" s="2"/>
      <c r="AC3216" s="2" t="s">
        <v>24525</v>
      </c>
      <c r="AD3216" s="2" t="s">
        <v>46</v>
      </c>
    </row>
    <row r="3217" customFormat="false" ht="15.7" hidden="false" customHeight="true" outlineLevel="0" collapsed="false">
      <c r="A3217" s="2"/>
      <c r="B3217" s="3" t="n">
        <f aca="false">DATE(2017,9,21)</f>
        <v>0</v>
      </c>
      <c r="C3217" s="3" t="n">
        <v>42999</v>
      </c>
      <c r="D3217" s="2" t="s">
        <v>24526</v>
      </c>
      <c r="F3217" s="2" t="s">
        <v>24527</v>
      </c>
      <c r="G3217" s="2" t="s">
        <v>24528</v>
      </c>
      <c r="H3217" s="2" t="s">
        <v>24529</v>
      </c>
      <c r="I3217" s="2" t="s">
        <v>487</v>
      </c>
      <c r="J3217" s="2" t="s">
        <v>331</v>
      </c>
      <c r="K3217" s="2" t="s">
        <v>24526</v>
      </c>
      <c r="L3217" s="2" t="s">
        <v>487</v>
      </c>
      <c r="M3217" s="2" t="s">
        <v>24529</v>
      </c>
      <c r="N3217" s="2" t="s">
        <v>24530</v>
      </c>
      <c r="O3217" s="2"/>
      <c r="P3217" s="2" t="s">
        <v>37</v>
      </c>
      <c r="Q3217" s="4" t="n">
        <v>8731</v>
      </c>
      <c r="R3217" s="2"/>
      <c r="S3217" s="2"/>
      <c r="T3217" s="2" t="s">
        <v>403</v>
      </c>
      <c r="U3217" s="2" t="s">
        <v>24531</v>
      </c>
      <c r="V3217" s="2"/>
      <c r="W3217" s="2" t="s">
        <v>42</v>
      </c>
      <c r="X3217" s="2" t="s">
        <v>46</v>
      </c>
      <c r="Y3217" s="2" t="s">
        <v>37</v>
      </c>
      <c r="Z3217" s="2" t="s">
        <v>44</v>
      </c>
      <c r="AA3217" s="2"/>
      <c r="AB3217" s="2"/>
      <c r="AC3217" s="2" t="s">
        <v>24532</v>
      </c>
      <c r="AD3217" s="2" t="s">
        <v>46</v>
      </c>
    </row>
    <row r="3218" customFormat="false" ht="15.7" hidden="false" customHeight="true" outlineLevel="0" collapsed="false">
      <c r="A3218" s="2"/>
      <c r="B3218" s="3" t="n">
        <f aca="false">DATE(2017,9,21)</f>
        <v>0</v>
      </c>
      <c r="C3218" s="3" t="n">
        <v>42999</v>
      </c>
      <c r="D3218" s="2" t="s">
        <v>24533</v>
      </c>
      <c r="F3218" s="2" t="s">
        <v>15628</v>
      </c>
      <c r="G3218" s="2" t="s">
        <v>24534</v>
      </c>
      <c r="H3218" s="2" t="s">
        <v>551</v>
      </c>
      <c r="I3218" s="2" t="s">
        <v>7014</v>
      </c>
      <c r="J3218" s="2" t="s">
        <v>35</v>
      </c>
      <c r="K3218" s="2" t="s">
        <v>24533</v>
      </c>
      <c r="L3218" s="2" t="s">
        <v>7014</v>
      </c>
      <c r="M3218" s="2" t="s">
        <v>551</v>
      </c>
      <c r="N3218" s="2" t="s">
        <v>24535</v>
      </c>
      <c r="O3218" s="2"/>
      <c r="P3218" s="2" t="s">
        <v>37</v>
      </c>
      <c r="Q3218" s="4" t="n">
        <v>8731</v>
      </c>
      <c r="R3218" s="2" t="s">
        <v>1448</v>
      </c>
      <c r="S3218" s="2" t="s">
        <v>39</v>
      </c>
      <c r="T3218" s="2" t="s">
        <v>40</v>
      </c>
      <c r="U3218" s="2" t="s">
        <v>24536</v>
      </c>
      <c r="V3218" s="2"/>
      <c r="W3218" s="2" t="s">
        <v>24450</v>
      </c>
      <c r="X3218" s="2" t="s">
        <v>43</v>
      </c>
      <c r="Y3218" s="2" t="s">
        <v>37</v>
      </c>
      <c r="Z3218" s="2" t="s">
        <v>44</v>
      </c>
      <c r="AA3218" s="2"/>
      <c r="AB3218" s="2"/>
      <c r="AC3218" s="2" t="s">
        <v>24537</v>
      </c>
      <c r="AD3218" s="2" t="s">
        <v>46</v>
      </c>
    </row>
    <row r="3219" customFormat="false" ht="15.7" hidden="false" customHeight="true" outlineLevel="0" collapsed="false">
      <c r="A3219" s="2"/>
      <c r="B3219" s="3" t="n">
        <f aca="false">DATE(2017,9,21)</f>
        <v>0</v>
      </c>
      <c r="C3219" s="3" t="n">
        <v>42999</v>
      </c>
      <c r="D3219" s="2" t="s">
        <v>24538</v>
      </c>
      <c r="F3219" s="2" t="s">
        <v>24539</v>
      </c>
      <c r="G3219" s="2" t="s">
        <v>24540</v>
      </c>
      <c r="H3219" s="2" t="s">
        <v>24541</v>
      </c>
      <c r="I3219" s="2" t="s">
        <v>487</v>
      </c>
      <c r="J3219" s="2" t="s">
        <v>9093</v>
      </c>
      <c r="K3219" s="2" t="s">
        <v>24538</v>
      </c>
      <c r="L3219" s="2" t="s">
        <v>487</v>
      </c>
      <c r="M3219" s="2" t="s">
        <v>24541</v>
      </c>
      <c r="N3219" s="2" t="s">
        <v>24542</v>
      </c>
      <c r="O3219" s="2"/>
      <c r="P3219" s="2" t="s">
        <v>79</v>
      </c>
      <c r="Q3219" s="4" t="n">
        <v>5099</v>
      </c>
      <c r="R3219" s="2" t="s">
        <v>56</v>
      </c>
      <c r="S3219" s="2" t="s">
        <v>507</v>
      </c>
      <c r="T3219" s="2" t="s">
        <v>40</v>
      </c>
      <c r="U3219" s="2" t="s">
        <v>24543</v>
      </c>
      <c r="V3219" s="2"/>
      <c r="W3219" s="2" t="s">
        <v>24544</v>
      </c>
      <c r="X3219" s="2" t="s">
        <v>43</v>
      </c>
      <c r="Y3219" s="2" t="s">
        <v>37</v>
      </c>
      <c r="Z3219" s="2" t="s">
        <v>44</v>
      </c>
      <c r="AA3219" s="2"/>
      <c r="AB3219" s="2"/>
      <c r="AC3219" s="2" t="s">
        <v>24545</v>
      </c>
      <c r="AD3219" s="2" t="s">
        <v>46</v>
      </c>
    </row>
    <row r="3220" customFormat="false" ht="15.7" hidden="false" customHeight="true" outlineLevel="0" collapsed="false">
      <c r="A3220" s="2"/>
      <c r="B3220" s="3" t="n">
        <f aca="false">DATE(2017,9,21)</f>
        <v>0</v>
      </c>
      <c r="C3220" s="3" t="n">
        <v>42999</v>
      </c>
      <c r="D3220" s="2" t="s">
        <v>24546</v>
      </c>
      <c r="F3220" s="2" t="s">
        <v>24547</v>
      </c>
      <c r="G3220" s="2" t="s">
        <v>24548</v>
      </c>
      <c r="H3220" s="2" t="s">
        <v>24549</v>
      </c>
      <c r="I3220" s="2" t="s">
        <v>24550</v>
      </c>
      <c r="J3220" s="2" t="s">
        <v>24551</v>
      </c>
      <c r="K3220" s="2" t="s">
        <v>24552</v>
      </c>
      <c r="L3220" s="2" t="s">
        <v>2530</v>
      </c>
      <c r="M3220" s="2" t="s">
        <v>10852</v>
      </c>
      <c r="N3220" s="2" t="s">
        <v>24553</v>
      </c>
      <c r="O3220" s="2"/>
      <c r="P3220" s="2" t="s">
        <v>37</v>
      </c>
      <c r="Q3220" s="4" t="n">
        <v>6794</v>
      </c>
      <c r="R3220" s="2" t="s">
        <v>136</v>
      </c>
      <c r="S3220" s="2" t="s">
        <v>39</v>
      </c>
      <c r="T3220" s="2" t="s">
        <v>40</v>
      </c>
      <c r="U3220" s="2" t="s">
        <v>24554</v>
      </c>
      <c r="V3220" s="2"/>
      <c r="W3220" s="2" t="s">
        <v>15545</v>
      </c>
      <c r="X3220" s="2" t="s">
        <v>43</v>
      </c>
      <c r="Y3220" s="2" t="s">
        <v>37</v>
      </c>
      <c r="Z3220" s="2" t="s">
        <v>916</v>
      </c>
      <c r="AA3220" s="2"/>
      <c r="AB3220" s="2"/>
      <c r="AC3220" s="2" t="s">
        <v>24555</v>
      </c>
      <c r="AD3220" s="2" t="s">
        <v>46</v>
      </c>
    </row>
    <row r="3221" customFormat="false" ht="15.7" hidden="false" customHeight="true" outlineLevel="0" collapsed="false">
      <c r="A3221" s="3" t="n">
        <f aca="false">DATE(2017,9,20)</f>
        <v>0</v>
      </c>
      <c r="B3221" s="3" t="n">
        <f aca="false">DATE(2017,9,21)</f>
        <v>0</v>
      </c>
      <c r="C3221" s="3" t="n">
        <v>42999</v>
      </c>
      <c r="D3221" s="2" t="s">
        <v>24556</v>
      </c>
      <c r="F3221" s="2" t="s">
        <v>24557</v>
      </c>
      <c r="G3221" s="2" t="s">
        <v>24558</v>
      </c>
      <c r="H3221" s="2" t="s">
        <v>5818</v>
      </c>
      <c r="I3221" s="2" t="s">
        <v>34</v>
      </c>
      <c r="J3221" s="2" t="s">
        <v>35</v>
      </c>
      <c r="K3221" s="2" t="s">
        <v>24556</v>
      </c>
      <c r="L3221" s="2" t="s">
        <v>34</v>
      </c>
      <c r="M3221" s="2" t="s">
        <v>5818</v>
      </c>
      <c r="N3221" s="2" t="s">
        <v>24559</v>
      </c>
      <c r="O3221" s="2" t="s">
        <v>24560</v>
      </c>
      <c r="P3221" s="2" t="s">
        <v>37</v>
      </c>
      <c r="Q3221" s="4" t="n">
        <v>2834</v>
      </c>
      <c r="R3221" s="2" t="s">
        <v>56</v>
      </c>
      <c r="S3221" s="2" t="s">
        <v>2265</v>
      </c>
      <c r="T3221" s="2" t="s">
        <v>40</v>
      </c>
      <c r="U3221" s="2" t="s">
        <v>24561</v>
      </c>
      <c r="V3221" s="2"/>
      <c r="W3221" s="2" t="s">
        <v>344</v>
      </c>
      <c r="X3221" s="2" t="s">
        <v>46</v>
      </c>
      <c r="Y3221" s="2" t="s">
        <v>37</v>
      </c>
      <c r="Z3221" s="2" t="s">
        <v>16998</v>
      </c>
      <c r="AA3221" s="2"/>
      <c r="AB3221" s="2" t="s">
        <v>24562</v>
      </c>
      <c r="AC3221" s="2" t="s">
        <v>24563</v>
      </c>
      <c r="AD3221" s="2" t="s">
        <v>46</v>
      </c>
    </row>
    <row r="3222" customFormat="false" ht="15.7" hidden="false" customHeight="true" outlineLevel="0" collapsed="false">
      <c r="A3222" s="2"/>
      <c r="B3222" s="3" t="n">
        <f aca="false">DATE(2017,9,21)</f>
        <v>0</v>
      </c>
      <c r="C3222" s="3" t="n">
        <v>42999</v>
      </c>
      <c r="D3222" s="2" t="s">
        <v>24564</v>
      </c>
      <c r="F3222" s="2" t="s">
        <v>10217</v>
      </c>
      <c r="G3222" s="2" t="s">
        <v>24565</v>
      </c>
      <c r="H3222" s="2" t="s">
        <v>551</v>
      </c>
      <c r="I3222" s="2" t="s">
        <v>24566</v>
      </c>
      <c r="J3222" s="2" t="s">
        <v>35</v>
      </c>
      <c r="K3222" s="2" t="s">
        <v>24564</v>
      </c>
      <c r="L3222" s="2" t="s">
        <v>24566</v>
      </c>
      <c r="M3222" s="2" t="s">
        <v>551</v>
      </c>
      <c r="N3222" s="2" t="s">
        <v>24567</v>
      </c>
      <c r="O3222" s="2"/>
      <c r="P3222" s="2" t="s">
        <v>37</v>
      </c>
      <c r="Q3222" s="4" t="n">
        <v>8731</v>
      </c>
      <c r="R3222" s="2" t="s">
        <v>402</v>
      </c>
      <c r="S3222" s="2" t="s">
        <v>39</v>
      </c>
      <c r="T3222" s="2" t="s">
        <v>403</v>
      </c>
      <c r="U3222" s="2" t="s">
        <v>24568</v>
      </c>
      <c r="V3222" s="2"/>
      <c r="W3222" s="2" t="s">
        <v>42</v>
      </c>
      <c r="X3222" s="2" t="s">
        <v>46</v>
      </c>
      <c r="Y3222" s="2" t="s">
        <v>37</v>
      </c>
      <c r="Z3222" s="2" t="s">
        <v>44</v>
      </c>
      <c r="AA3222" s="2"/>
      <c r="AB3222" s="2"/>
      <c r="AC3222" s="2" t="s">
        <v>24569</v>
      </c>
      <c r="AD3222" s="2" t="s">
        <v>46</v>
      </c>
    </row>
    <row r="3223" customFormat="false" ht="15.7" hidden="false" customHeight="true" outlineLevel="0" collapsed="false">
      <c r="A3223" s="2"/>
      <c r="B3223" s="3" t="n">
        <f aca="false">DATE(2017,9,22)</f>
        <v>0</v>
      </c>
      <c r="C3223" s="3" t="n">
        <v>43000</v>
      </c>
      <c r="D3223" s="2" t="s">
        <v>24570</v>
      </c>
      <c r="F3223" s="2" t="s">
        <v>17957</v>
      </c>
      <c r="G3223" s="2" t="s">
        <v>24571</v>
      </c>
      <c r="H3223" s="2" t="s">
        <v>1020</v>
      </c>
      <c r="I3223" s="2" t="s">
        <v>369</v>
      </c>
      <c r="J3223" s="2" t="s">
        <v>35</v>
      </c>
      <c r="K3223" s="2" t="s">
        <v>24570</v>
      </c>
      <c r="L3223" s="2" t="s">
        <v>369</v>
      </c>
      <c r="M3223" s="2" t="s">
        <v>1020</v>
      </c>
      <c r="N3223" s="2" t="s">
        <v>24572</v>
      </c>
      <c r="O3223" s="2"/>
      <c r="P3223" s="2" t="s">
        <v>37</v>
      </c>
      <c r="Q3223" s="4" t="n">
        <v>8731</v>
      </c>
      <c r="R3223" s="2" t="s">
        <v>105</v>
      </c>
      <c r="S3223" s="2" t="s">
        <v>39</v>
      </c>
      <c r="T3223" s="2" t="s">
        <v>40</v>
      </c>
      <c r="U3223" s="2" t="s">
        <v>24573</v>
      </c>
      <c r="V3223" s="2"/>
      <c r="W3223" s="2" t="s">
        <v>344</v>
      </c>
      <c r="X3223" s="2" t="s">
        <v>43</v>
      </c>
      <c r="Y3223" s="2" t="s">
        <v>37</v>
      </c>
      <c r="Z3223" s="2" t="s">
        <v>44</v>
      </c>
      <c r="AA3223" s="2"/>
      <c r="AB3223" s="2"/>
      <c r="AC3223" s="2" t="s">
        <v>24574</v>
      </c>
      <c r="AD3223" s="2" t="s">
        <v>46</v>
      </c>
    </row>
    <row r="3224" customFormat="false" ht="15.7" hidden="false" customHeight="true" outlineLevel="0" collapsed="false">
      <c r="A3224" s="2"/>
      <c r="B3224" s="3" t="n">
        <f aca="false">DATE(2017,9,25)</f>
        <v>0</v>
      </c>
      <c r="C3224" s="3" t="n">
        <v>43003</v>
      </c>
      <c r="D3224" s="2" t="s">
        <v>24575</v>
      </c>
      <c r="F3224" s="2" t="s">
        <v>24576</v>
      </c>
      <c r="G3224" s="2" t="s">
        <v>24577</v>
      </c>
      <c r="H3224" s="2" t="s">
        <v>24578</v>
      </c>
      <c r="I3224" s="2" t="s">
        <v>51</v>
      </c>
      <c r="J3224" s="2" t="s">
        <v>633</v>
      </c>
      <c r="K3224" s="2" t="s">
        <v>24575</v>
      </c>
      <c r="L3224" s="2" t="s">
        <v>51</v>
      </c>
      <c r="M3224" s="2" t="s">
        <v>24578</v>
      </c>
      <c r="N3224" s="2" t="s">
        <v>24579</v>
      </c>
      <c r="O3224" s="2"/>
      <c r="P3224" s="2" t="s">
        <v>37</v>
      </c>
      <c r="Q3224" s="4" t="n">
        <v>8731</v>
      </c>
      <c r="R3224" s="2" t="s">
        <v>56</v>
      </c>
      <c r="S3224" s="2" t="s">
        <v>92</v>
      </c>
      <c r="T3224" s="2" t="s">
        <v>40</v>
      </c>
      <c r="U3224" s="2" t="s">
        <v>24580</v>
      </c>
      <c r="V3224" s="2"/>
      <c r="W3224" s="2" t="s">
        <v>344</v>
      </c>
      <c r="X3224" s="2" t="s">
        <v>46</v>
      </c>
      <c r="Y3224" s="2" t="s">
        <v>37</v>
      </c>
      <c r="Z3224" s="2" t="s">
        <v>44</v>
      </c>
      <c r="AA3224" s="2"/>
      <c r="AB3224" s="2"/>
      <c r="AC3224" s="2" t="s">
        <v>24581</v>
      </c>
      <c r="AD3224" s="2" t="s">
        <v>46</v>
      </c>
    </row>
    <row r="3225" customFormat="false" ht="15.7" hidden="false" customHeight="true" outlineLevel="0" collapsed="false">
      <c r="A3225" s="2"/>
      <c r="B3225" s="3" t="n">
        <f aca="false">DATE(2017,9,25)</f>
        <v>0</v>
      </c>
      <c r="C3225" s="3" t="n">
        <v>43003</v>
      </c>
      <c r="D3225" s="2" t="s">
        <v>24582</v>
      </c>
      <c r="F3225" s="2" t="s">
        <v>24583</v>
      </c>
      <c r="G3225" s="2" t="s">
        <v>24584</v>
      </c>
      <c r="H3225" s="2" t="s">
        <v>1101</v>
      </c>
      <c r="I3225" s="2" t="s">
        <v>5999</v>
      </c>
      <c r="J3225" s="2" t="s">
        <v>514</v>
      </c>
      <c r="K3225" s="2" t="s">
        <v>24582</v>
      </c>
      <c r="L3225" s="2" t="s">
        <v>5999</v>
      </c>
      <c r="M3225" s="2" t="s">
        <v>1101</v>
      </c>
      <c r="N3225" s="2" t="s">
        <v>24585</v>
      </c>
      <c r="O3225" s="2"/>
      <c r="P3225" s="2" t="s">
        <v>37</v>
      </c>
      <c r="Q3225" s="4" t="n">
        <v>8731</v>
      </c>
      <c r="R3225" s="2" t="s">
        <v>402</v>
      </c>
      <c r="S3225" s="2" t="s">
        <v>39</v>
      </c>
      <c r="T3225" s="2" t="s">
        <v>403</v>
      </c>
      <c r="U3225" s="2" t="s">
        <v>24586</v>
      </c>
      <c r="V3225" s="2"/>
      <c r="W3225" s="2" t="s">
        <v>42</v>
      </c>
      <c r="X3225" s="2" t="s">
        <v>46</v>
      </c>
      <c r="Y3225" s="2" t="s">
        <v>37</v>
      </c>
      <c r="Z3225" s="2" t="s">
        <v>44</v>
      </c>
      <c r="AA3225" s="2"/>
      <c r="AB3225" s="2"/>
      <c r="AC3225" s="2" t="s">
        <v>24587</v>
      </c>
      <c r="AD3225" s="2" t="s">
        <v>46</v>
      </c>
    </row>
    <row r="3226" customFormat="false" ht="15.7" hidden="false" customHeight="true" outlineLevel="0" collapsed="false">
      <c r="A3226" s="2"/>
      <c r="B3226" s="3" t="n">
        <f aca="false">DATE(2017,9,25)</f>
        <v>0</v>
      </c>
      <c r="C3226" s="3" t="n">
        <v>43003</v>
      </c>
      <c r="D3226" s="2" t="s">
        <v>24588</v>
      </c>
      <c r="F3226" s="2" t="s">
        <v>24589</v>
      </c>
      <c r="G3226" s="2" t="s">
        <v>24590</v>
      </c>
      <c r="H3226" s="2" t="s">
        <v>24591</v>
      </c>
      <c r="I3226" s="2" t="s">
        <v>24592</v>
      </c>
      <c r="J3226" s="2" t="s">
        <v>116</v>
      </c>
      <c r="K3226" s="2" t="s">
        <v>24593</v>
      </c>
      <c r="L3226" s="2" t="s">
        <v>24592</v>
      </c>
      <c r="M3226" s="2" t="s">
        <v>24348</v>
      </c>
      <c r="N3226" s="2" t="s">
        <v>24594</v>
      </c>
      <c r="O3226" s="2"/>
      <c r="P3226" s="2" t="s">
        <v>37</v>
      </c>
      <c r="Q3226" s="4" t="n">
        <v>2834</v>
      </c>
      <c r="R3226" s="2" t="s">
        <v>136</v>
      </c>
      <c r="S3226" s="2" t="s">
        <v>39</v>
      </c>
      <c r="T3226" s="2" t="s">
        <v>40</v>
      </c>
      <c r="U3226" s="2" t="s">
        <v>24595</v>
      </c>
      <c r="V3226" s="2"/>
      <c r="W3226" s="2" t="s">
        <v>15545</v>
      </c>
      <c r="X3226" s="2" t="s">
        <v>43</v>
      </c>
      <c r="Y3226" s="2" t="s">
        <v>37</v>
      </c>
      <c r="Z3226" s="2" t="s">
        <v>916</v>
      </c>
      <c r="AA3226" s="2"/>
      <c r="AB3226" s="2"/>
      <c r="AC3226" s="2" t="s">
        <v>24596</v>
      </c>
      <c r="AD3226" s="2" t="s">
        <v>46</v>
      </c>
    </row>
    <row r="3227" customFormat="false" ht="15.7" hidden="false" customHeight="true" outlineLevel="0" collapsed="false">
      <c r="A3227" s="2"/>
      <c r="B3227" s="3" t="n">
        <f aca="false">DATE(2017,9,25)</f>
        <v>0</v>
      </c>
      <c r="C3227" s="3" t="n">
        <v>43003</v>
      </c>
      <c r="D3227" s="2" t="s">
        <v>24597</v>
      </c>
      <c r="F3227" s="2" t="s">
        <v>24598</v>
      </c>
      <c r="G3227" s="2" t="s">
        <v>24599</v>
      </c>
      <c r="H3227" s="2" t="s">
        <v>24600</v>
      </c>
      <c r="I3227" s="2" t="s">
        <v>51</v>
      </c>
      <c r="J3227" s="2" t="s">
        <v>24601</v>
      </c>
      <c r="K3227" s="2" t="s">
        <v>24602</v>
      </c>
      <c r="L3227" s="2" t="s">
        <v>51</v>
      </c>
      <c r="M3227" s="2" t="s">
        <v>24603</v>
      </c>
      <c r="N3227" s="2" t="s">
        <v>24604</v>
      </c>
      <c r="O3227" s="2"/>
      <c r="P3227" s="2" t="s">
        <v>37</v>
      </c>
      <c r="Q3227" s="4" t="n">
        <v>8731</v>
      </c>
      <c r="R3227" s="2" t="s">
        <v>56</v>
      </c>
      <c r="S3227" s="2" t="s">
        <v>1576</v>
      </c>
      <c r="T3227" s="2" t="s">
        <v>403</v>
      </c>
      <c r="U3227" s="2" t="s">
        <v>24605</v>
      </c>
      <c r="V3227" s="2"/>
      <c r="W3227" s="2" t="s">
        <v>382</v>
      </c>
      <c r="X3227" s="2" t="s">
        <v>43</v>
      </c>
      <c r="Y3227" s="2" t="s">
        <v>37</v>
      </c>
      <c r="Z3227" s="2" t="s">
        <v>44</v>
      </c>
      <c r="AA3227" s="2"/>
      <c r="AB3227" s="2"/>
      <c r="AC3227" s="2" t="s">
        <v>24606</v>
      </c>
      <c r="AD3227" s="2" t="s">
        <v>46</v>
      </c>
    </row>
    <row r="3228" customFormat="false" ht="15.7" hidden="false" customHeight="true" outlineLevel="0" collapsed="false">
      <c r="A3228" s="2"/>
      <c r="B3228" s="3" t="n">
        <f aca="false">DATE(2017,9,25)</f>
        <v>0</v>
      </c>
      <c r="C3228" s="3" t="n">
        <v>43003</v>
      </c>
      <c r="D3228" s="2" t="s">
        <v>24582</v>
      </c>
      <c r="F3228" s="2" t="s">
        <v>24583</v>
      </c>
      <c r="G3228" s="2" t="s">
        <v>24584</v>
      </c>
      <c r="H3228" s="2" t="s">
        <v>1101</v>
      </c>
      <c r="I3228" s="2" t="s">
        <v>5999</v>
      </c>
      <c r="J3228" s="2" t="s">
        <v>514</v>
      </c>
      <c r="K3228" s="2" t="s">
        <v>24582</v>
      </c>
      <c r="L3228" s="2" t="s">
        <v>5999</v>
      </c>
      <c r="M3228" s="2" t="s">
        <v>1101</v>
      </c>
      <c r="N3228" s="2" t="s">
        <v>24585</v>
      </c>
      <c r="O3228" s="2"/>
      <c r="P3228" s="2" t="s">
        <v>37</v>
      </c>
      <c r="Q3228" s="4" t="n">
        <v>8731</v>
      </c>
      <c r="R3228" s="2" t="s">
        <v>402</v>
      </c>
      <c r="S3228" s="2" t="s">
        <v>39</v>
      </c>
      <c r="T3228" s="2" t="s">
        <v>403</v>
      </c>
      <c r="U3228" s="2" t="s">
        <v>24607</v>
      </c>
      <c r="V3228" s="2"/>
      <c r="W3228" s="2" t="s">
        <v>42</v>
      </c>
      <c r="X3228" s="2" t="s">
        <v>46</v>
      </c>
      <c r="Y3228" s="2" t="s">
        <v>37</v>
      </c>
      <c r="Z3228" s="2" t="s">
        <v>44</v>
      </c>
      <c r="AA3228" s="2"/>
      <c r="AB3228" s="2"/>
      <c r="AC3228" s="2" t="s">
        <v>24587</v>
      </c>
      <c r="AD3228" s="2" t="s">
        <v>46</v>
      </c>
    </row>
    <row r="3229" customFormat="false" ht="15.7" hidden="false" customHeight="true" outlineLevel="0" collapsed="false">
      <c r="A3229" s="2"/>
      <c r="B3229" s="3" t="n">
        <f aca="false">DATE(2017,9,26)</f>
        <v>0</v>
      </c>
      <c r="C3229" s="3" t="n">
        <v>43004</v>
      </c>
      <c r="D3229" s="2" t="s">
        <v>24608</v>
      </c>
      <c r="F3229" s="2" t="s">
        <v>2801</v>
      </c>
      <c r="G3229" s="2" t="s">
        <v>24609</v>
      </c>
      <c r="H3229" s="2" t="s">
        <v>130</v>
      </c>
      <c r="I3229" s="2" t="s">
        <v>24610</v>
      </c>
      <c r="J3229" s="2" t="s">
        <v>35</v>
      </c>
      <c r="K3229" s="2" t="s">
        <v>24608</v>
      </c>
      <c r="L3229" s="2" t="s">
        <v>24610</v>
      </c>
      <c r="M3229" s="2" t="s">
        <v>130</v>
      </c>
      <c r="N3229" s="2" t="s">
        <v>24611</v>
      </c>
      <c r="O3229" s="2"/>
      <c r="P3229" s="2" t="s">
        <v>37</v>
      </c>
      <c r="Q3229" s="4" t="n">
        <v>8731</v>
      </c>
      <c r="R3229" s="2" t="s">
        <v>2225</v>
      </c>
      <c r="S3229" s="2" t="s">
        <v>39</v>
      </c>
      <c r="T3229" s="2" t="s">
        <v>40</v>
      </c>
      <c r="U3229" s="2" t="s">
        <v>24612</v>
      </c>
      <c r="V3229" s="2"/>
      <c r="W3229" s="2" t="s">
        <v>344</v>
      </c>
      <c r="X3229" s="2" t="s">
        <v>43</v>
      </c>
      <c r="Y3229" s="2" t="s">
        <v>37</v>
      </c>
      <c r="Z3229" s="2" t="s">
        <v>44</v>
      </c>
      <c r="AA3229" s="2"/>
      <c r="AB3229" s="2"/>
      <c r="AC3229" s="2" t="s">
        <v>24613</v>
      </c>
      <c r="AD3229" s="2" t="s">
        <v>46</v>
      </c>
    </row>
    <row r="3230" customFormat="false" ht="15.7" hidden="false" customHeight="true" outlineLevel="0" collapsed="false">
      <c r="A3230" s="2"/>
      <c r="B3230" s="3" t="n">
        <f aca="false">DATE(2017,9,26)</f>
        <v>0</v>
      </c>
      <c r="C3230" s="3" t="n">
        <v>43004</v>
      </c>
      <c r="D3230" s="2" t="s">
        <v>24614</v>
      </c>
      <c r="F3230" s="2" t="s">
        <v>24615</v>
      </c>
      <c r="G3230" s="2" t="s">
        <v>24616</v>
      </c>
      <c r="H3230" s="2" t="s">
        <v>24617</v>
      </c>
      <c r="I3230" s="2" t="s">
        <v>24618</v>
      </c>
      <c r="J3230" s="2" t="s">
        <v>116</v>
      </c>
      <c r="K3230" s="2" t="s">
        <v>24614</v>
      </c>
      <c r="L3230" s="2" t="s">
        <v>24618</v>
      </c>
      <c r="M3230" s="2" t="s">
        <v>24617</v>
      </c>
      <c r="N3230" s="2" t="s">
        <v>24619</v>
      </c>
      <c r="O3230" s="2"/>
      <c r="P3230" s="2" t="s">
        <v>37</v>
      </c>
      <c r="Q3230" s="4" t="n">
        <v>8731</v>
      </c>
      <c r="R3230" s="2" t="s">
        <v>9292</v>
      </c>
      <c r="S3230" s="2" t="s">
        <v>39</v>
      </c>
      <c r="T3230" s="2" t="s">
        <v>40</v>
      </c>
      <c r="U3230" s="2" t="s">
        <v>24620</v>
      </c>
      <c r="V3230" s="2"/>
      <c r="W3230" s="2" t="s">
        <v>4505</v>
      </c>
      <c r="X3230" s="2" t="s">
        <v>43</v>
      </c>
      <c r="Y3230" s="2" t="s">
        <v>37</v>
      </c>
      <c r="Z3230" s="2" t="s">
        <v>916</v>
      </c>
      <c r="AA3230" s="2"/>
      <c r="AB3230" s="2"/>
      <c r="AC3230" s="2" t="s">
        <v>24621</v>
      </c>
      <c r="AD3230" s="2" t="s">
        <v>46</v>
      </c>
    </row>
    <row r="3231" customFormat="false" ht="15.7" hidden="false" customHeight="true" outlineLevel="0" collapsed="false">
      <c r="A3231" s="2"/>
      <c r="B3231" s="3" t="n">
        <f aca="false">DATE(2017,9,26)</f>
        <v>0</v>
      </c>
      <c r="C3231" s="3" t="n">
        <v>43004</v>
      </c>
      <c r="D3231" s="2" t="s">
        <v>24622</v>
      </c>
      <c r="F3231" s="2" t="s">
        <v>10217</v>
      </c>
      <c r="G3231" s="2" t="s">
        <v>24623</v>
      </c>
      <c r="H3231" s="2" t="s">
        <v>16968</v>
      </c>
      <c r="I3231" s="2" t="s">
        <v>7116</v>
      </c>
      <c r="J3231" s="2" t="s">
        <v>625</v>
      </c>
      <c r="K3231" s="2" t="s">
        <v>24622</v>
      </c>
      <c r="L3231" s="2" t="s">
        <v>7116</v>
      </c>
      <c r="M3231" s="2" t="s">
        <v>16968</v>
      </c>
      <c r="N3231" s="2" t="s">
        <v>24624</v>
      </c>
      <c r="O3231" s="2"/>
      <c r="P3231" s="2" t="s">
        <v>37</v>
      </c>
      <c r="Q3231" s="4" t="n">
        <v>8731</v>
      </c>
      <c r="R3231" s="2" t="s">
        <v>56</v>
      </c>
      <c r="S3231" s="2" t="s">
        <v>80</v>
      </c>
      <c r="T3231" s="2" t="s">
        <v>40</v>
      </c>
      <c r="U3231" s="2" t="s">
        <v>24625</v>
      </c>
      <c r="V3231" s="2"/>
      <c r="W3231" s="2" t="s">
        <v>344</v>
      </c>
      <c r="X3231" s="2" t="s">
        <v>43</v>
      </c>
      <c r="Y3231" s="2" t="s">
        <v>37</v>
      </c>
      <c r="Z3231" s="2" t="s">
        <v>44</v>
      </c>
      <c r="AA3231" s="2"/>
      <c r="AB3231" s="2"/>
      <c r="AC3231" s="2" t="s">
        <v>24626</v>
      </c>
      <c r="AD3231" s="2" t="s">
        <v>46</v>
      </c>
    </row>
    <row r="3232" customFormat="false" ht="15.7" hidden="false" customHeight="true" outlineLevel="0" collapsed="false">
      <c r="A3232" s="2"/>
      <c r="B3232" s="3" t="n">
        <f aca="false">DATE(2017,9,26)</f>
        <v>0</v>
      </c>
      <c r="C3232" s="3" t="n">
        <v>43004</v>
      </c>
      <c r="D3232" s="2" t="s">
        <v>24627</v>
      </c>
      <c r="F3232" s="2" t="s">
        <v>24628</v>
      </c>
      <c r="G3232" s="2" t="s">
        <v>24629</v>
      </c>
      <c r="H3232" s="2" t="s">
        <v>2361</v>
      </c>
      <c r="I3232" s="2" t="s">
        <v>51</v>
      </c>
      <c r="J3232" s="2" t="s">
        <v>171</v>
      </c>
      <c r="K3232" s="2" t="s">
        <v>24627</v>
      </c>
      <c r="L3232" s="2" t="s">
        <v>51</v>
      </c>
      <c r="M3232" s="2" t="s">
        <v>2361</v>
      </c>
      <c r="N3232" s="2" t="s">
        <v>24630</v>
      </c>
      <c r="O3232" s="2"/>
      <c r="P3232" s="2" t="s">
        <v>37</v>
      </c>
      <c r="Q3232" s="4" t="n">
        <v>8731</v>
      </c>
      <c r="R3232" s="2"/>
      <c r="S3232" s="2"/>
      <c r="T3232" s="2" t="s">
        <v>403</v>
      </c>
      <c r="U3232" s="2" t="s">
        <v>24631</v>
      </c>
      <c r="V3232" s="2"/>
      <c r="W3232" s="2" t="s">
        <v>42</v>
      </c>
      <c r="X3232" s="2" t="s">
        <v>43</v>
      </c>
      <c r="Y3232" s="2" t="s">
        <v>37</v>
      </c>
      <c r="Z3232" s="2" t="s">
        <v>44</v>
      </c>
      <c r="AA3232" s="2"/>
      <c r="AB3232" s="2"/>
      <c r="AC3232" s="2" t="s">
        <v>24632</v>
      </c>
      <c r="AD3232" s="2" t="s">
        <v>46</v>
      </c>
    </row>
    <row r="3233" customFormat="false" ht="15.7" hidden="false" customHeight="true" outlineLevel="0" collapsed="false">
      <c r="A3233" s="2"/>
      <c r="B3233" s="3" t="n">
        <f aca="false">DATE(2017,9,27)</f>
        <v>0</v>
      </c>
      <c r="C3233" s="3" t="n">
        <v>43005</v>
      </c>
      <c r="D3233" s="2" t="s">
        <v>24633</v>
      </c>
      <c r="F3233" s="2" t="s">
        <v>22396</v>
      </c>
      <c r="G3233" s="2" t="s">
        <v>24634</v>
      </c>
      <c r="H3233" s="2" t="s">
        <v>24635</v>
      </c>
      <c r="I3233" s="2" t="s">
        <v>51</v>
      </c>
      <c r="J3233" s="2" t="s">
        <v>1224</v>
      </c>
      <c r="K3233" s="2" t="s">
        <v>24636</v>
      </c>
      <c r="L3233" s="2" t="s">
        <v>180</v>
      </c>
      <c r="M3233" s="2" t="s">
        <v>24635</v>
      </c>
      <c r="N3233" s="2" t="s">
        <v>24637</v>
      </c>
      <c r="O3233" s="2"/>
      <c r="P3233" s="2" t="s">
        <v>37</v>
      </c>
      <c r="Q3233" s="4" t="n">
        <v>8062</v>
      </c>
      <c r="R3233" s="2" t="s">
        <v>136</v>
      </c>
      <c r="S3233" s="2" t="s">
        <v>39</v>
      </c>
      <c r="T3233" s="2" t="s">
        <v>40</v>
      </c>
      <c r="U3233" s="2" t="s">
        <v>24638</v>
      </c>
      <c r="V3233" s="2"/>
      <c r="W3233" s="2" t="s">
        <v>24639</v>
      </c>
      <c r="X3233" s="2" t="s">
        <v>43</v>
      </c>
      <c r="Y3233" s="2" t="s">
        <v>37</v>
      </c>
      <c r="Z3233" s="2" t="s">
        <v>44</v>
      </c>
      <c r="AA3233" s="2"/>
      <c r="AB3233" s="2"/>
      <c r="AC3233" s="2" t="s">
        <v>24640</v>
      </c>
      <c r="AD3233" s="2" t="s">
        <v>46</v>
      </c>
    </row>
    <row r="3234" customFormat="false" ht="15.7" hidden="false" customHeight="true" outlineLevel="0" collapsed="false">
      <c r="A3234" s="2"/>
      <c r="B3234" s="3" t="n">
        <f aca="false">DATE(2017,9,27)</f>
        <v>0</v>
      </c>
      <c r="C3234" s="3" t="n">
        <v>43005</v>
      </c>
      <c r="D3234" s="2" t="s">
        <v>24641</v>
      </c>
      <c r="F3234" s="2" t="s">
        <v>10369</v>
      </c>
      <c r="G3234" s="2" t="s">
        <v>24642</v>
      </c>
      <c r="H3234" s="2" t="s">
        <v>1101</v>
      </c>
      <c r="I3234" s="2" t="s">
        <v>51</v>
      </c>
      <c r="J3234" s="2" t="s">
        <v>24643</v>
      </c>
      <c r="K3234" s="2" t="s">
        <v>24644</v>
      </c>
      <c r="L3234" s="2" t="s">
        <v>219</v>
      </c>
      <c r="M3234" s="2" t="s">
        <v>24645</v>
      </c>
      <c r="N3234" s="2" t="s">
        <v>24646</v>
      </c>
      <c r="O3234" s="2"/>
      <c r="P3234" s="2" t="s">
        <v>37</v>
      </c>
      <c r="Q3234" s="4" t="n">
        <v>8731</v>
      </c>
      <c r="R3234" s="2" t="s">
        <v>56</v>
      </c>
      <c r="S3234" s="2"/>
      <c r="T3234" s="2" t="s">
        <v>40</v>
      </c>
      <c r="U3234" s="2" t="s">
        <v>24647</v>
      </c>
      <c r="V3234" s="2"/>
      <c r="W3234" s="2" t="s">
        <v>24648</v>
      </c>
      <c r="X3234" s="2" t="s">
        <v>43</v>
      </c>
      <c r="Y3234" s="2" t="s">
        <v>37</v>
      </c>
      <c r="Z3234" s="2" t="s">
        <v>44</v>
      </c>
      <c r="AA3234" s="2"/>
      <c r="AB3234" s="2"/>
      <c r="AC3234" s="2" t="s">
        <v>24649</v>
      </c>
      <c r="AD3234" s="2" t="s">
        <v>46</v>
      </c>
    </row>
    <row r="3235" customFormat="false" ht="15.7" hidden="false" customHeight="true" outlineLevel="0" collapsed="false">
      <c r="A3235" s="2"/>
      <c r="B3235" s="3" t="n">
        <f aca="false">DATE(2017,9,27)</f>
        <v>0</v>
      </c>
      <c r="C3235" s="3" t="n">
        <v>43005</v>
      </c>
      <c r="D3235" s="2" t="s">
        <v>24650</v>
      </c>
      <c r="F3235" s="2" t="s">
        <v>18436</v>
      </c>
      <c r="G3235" s="2" t="s">
        <v>24651</v>
      </c>
      <c r="H3235" s="2" t="s">
        <v>762</v>
      </c>
      <c r="I3235" s="2" t="s">
        <v>64</v>
      </c>
      <c r="J3235" s="2" t="s">
        <v>65</v>
      </c>
      <c r="K3235" s="2" t="s">
        <v>24650</v>
      </c>
      <c r="L3235" s="2" t="s">
        <v>64</v>
      </c>
      <c r="M3235" s="2" t="s">
        <v>762</v>
      </c>
      <c r="N3235" s="2" t="s">
        <v>24652</v>
      </c>
      <c r="O3235" s="2"/>
      <c r="P3235" s="2" t="s">
        <v>79</v>
      </c>
      <c r="Q3235" s="4" t="n">
        <v>6794</v>
      </c>
      <c r="R3235" s="2" t="s">
        <v>136</v>
      </c>
      <c r="S3235" s="2" t="s">
        <v>39</v>
      </c>
      <c r="T3235" s="2" t="s">
        <v>40</v>
      </c>
      <c r="U3235" s="2" t="s">
        <v>24653</v>
      </c>
      <c r="V3235" s="2"/>
      <c r="W3235" s="2" t="s">
        <v>15545</v>
      </c>
      <c r="X3235" s="2" t="s">
        <v>43</v>
      </c>
      <c r="Y3235" s="2" t="s">
        <v>37</v>
      </c>
      <c r="Z3235" s="2" t="s">
        <v>44</v>
      </c>
      <c r="AA3235" s="2"/>
      <c r="AB3235" s="2"/>
      <c r="AC3235" s="2" t="s">
        <v>24654</v>
      </c>
      <c r="AD3235" s="2" t="s">
        <v>46</v>
      </c>
    </row>
    <row r="3236" customFormat="false" ht="15.7" hidden="false" customHeight="true" outlineLevel="0" collapsed="false">
      <c r="A3236" s="2"/>
      <c r="B3236" s="3" t="n">
        <f aca="false">DATE(2017,9,28)</f>
        <v>0</v>
      </c>
      <c r="C3236" s="3" t="n">
        <v>43006</v>
      </c>
      <c r="D3236" s="2" t="s">
        <v>24655</v>
      </c>
      <c r="F3236" s="2" t="s">
        <v>24656</v>
      </c>
      <c r="G3236" s="2" t="s">
        <v>24657</v>
      </c>
      <c r="H3236" s="2" t="s">
        <v>24658</v>
      </c>
      <c r="I3236" s="2" t="s">
        <v>100</v>
      </c>
      <c r="J3236" s="2" t="s">
        <v>5725</v>
      </c>
      <c r="K3236" s="2" t="s">
        <v>24655</v>
      </c>
      <c r="L3236" s="2" t="s">
        <v>100</v>
      </c>
      <c r="M3236" s="2" t="s">
        <v>24658</v>
      </c>
      <c r="N3236" s="2" t="s">
        <v>24659</v>
      </c>
      <c r="O3236" s="2"/>
      <c r="P3236" s="2" t="s">
        <v>37</v>
      </c>
      <c r="Q3236" s="4" t="n">
        <v>9661</v>
      </c>
      <c r="R3236" s="2" t="s">
        <v>136</v>
      </c>
      <c r="S3236" s="2" t="s">
        <v>39</v>
      </c>
      <c r="T3236" s="2" t="s">
        <v>40</v>
      </c>
      <c r="U3236" s="2" t="s">
        <v>24660</v>
      </c>
      <c r="V3236" s="2"/>
      <c r="W3236" s="2" t="s">
        <v>42</v>
      </c>
      <c r="X3236" s="2" t="s">
        <v>43</v>
      </c>
      <c r="Y3236" s="2" t="s">
        <v>37</v>
      </c>
      <c r="Z3236" s="2" t="s">
        <v>44</v>
      </c>
      <c r="AA3236" s="2"/>
      <c r="AB3236" s="2"/>
      <c r="AC3236" s="2" t="s">
        <v>24661</v>
      </c>
      <c r="AD3236" s="2" t="s">
        <v>46</v>
      </c>
    </row>
    <row r="3237" customFormat="false" ht="15.7" hidden="false" customHeight="true" outlineLevel="0" collapsed="false">
      <c r="A3237" s="2"/>
      <c r="B3237" s="3" t="n">
        <f aca="false">DATE(2017,9,28)</f>
        <v>0</v>
      </c>
      <c r="C3237" s="3" t="n">
        <v>43006</v>
      </c>
      <c r="D3237" s="2" t="s">
        <v>24662</v>
      </c>
      <c r="F3237" s="2" t="s">
        <v>24663</v>
      </c>
      <c r="G3237" s="2" t="s">
        <v>24664</v>
      </c>
      <c r="H3237" s="2" t="s">
        <v>24665</v>
      </c>
      <c r="I3237" s="2" t="s">
        <v>51</v>
      </c>
      <c r="J3237" s="2" t="s">
        <v>5658</v>
      </c>
      <c r="K3237" s="2" t="s">
        <v>24662</v>
      </c>
      <c r="L3237" s="2" t="s">
        <v>51</v>
      </c>
      <c r="M3237" s="2" t="s">
        <v>24666</v>
      </c>
      <c r="N3237" s="2" t="s">
        <v>24667</v>
      </c>
      <c r="O3237" s="2"/>
      <c r="P3237" s="2" t="s">
        <v>37</v>
      </c>
      <c r="Q3237" s="4" t="n">
        <v>7382</v>
      </c>
      <c r="R3237" s="2" t="s">
        <v>56</v>
      </c>
      <c r="S3237" s="2"/>
      <c r="T3237" s="2" t="s">
        <v>40</v>
      </c>
      <c r="U3237" s="2" t="s">
        <v>24668</v>
      </c>
      <c r="V3237" s="2"/>
      <c r="W3237" s="2" t="s">
        <v>42</v>
      </c>
      <c r="X3237" s="2" t="s">
        <v>43</v>
      </c>
      <c r="Y3237" s="2" t="s">
        <v>37</v>
      </c>
      <c r="Z3237" s="2" t="s">
        <v>44</v>
      </c>
      <c r="AA3237" s="2"/>
      <c r="AB3237" s="2"/>
      <c r="AC3237" s="2" t="s">
        <v>24669</v>
      </c>
      <c r="AD3237" s="2" t="s">
        <v>46</v>
      </c>
    </row>
    <row r="3238" customFormat="false" ht="15.7" hidden="false" customHeight="true" outlineLevel="0" collapsed="false">
      <c r="A3238" s="2"/>
      <c r="B3238" s="3" t="n">
        <f aca="false">DATE(2017,9,28)</f>
        <v>0</v>
      </c>
      <c r="C3238" s="3" t="n">
        <v>43006</v>
      </c>
      <c r="D3238" s="2" t="s">
        <v>24670</v>
      </c>
      <c r="F3238" s="2" t="s">
        <v>24671</v>
      </c>
      <c r="G3238" s="2" t="s">
        <v>24672</v>
      </c>
      <c r="H3238" s="2" t="s">
        <v>24673</v>
      </c>
      <c r="I3238" s="2" t="s">
        <v>2727</v>
      </c>
      <c r="J3238" s="2" t="s">
        <v>35</v>
      </c>
      <c r="K3238" s="2" t="s">
        <v>24674</v>
      </c>
      <c r="L3238" s="2" t="s">
        <v>2727</v>
      </c>
      <c r="M3238" s="2" t="s">
        <v>24673</v>
      </c>
      <c r="N3238" s="2" t="s">
        <v>24675</v>
      </c>
      <c r="O3238" s="2"/>
      <c r="P3238" s="2" t="s">
        <v>37</v>
      </c>
      <c r="Q3238" s="4" t="n">
        <v>3272</v>
      </c>
      <c r="R3238" s="2" t="s">
        <v>402</v>
      </c>
      <c r="S3238" s="2" t="s">
        <v>39</v>
      </c>
      <c r="T3238" s="2" t="s">
        <v>403</v>
      </c>
      <c r="U3238" s="2" t="s">
        <v>24676</v>
      </c>
      <c r="V3238" s="2"/>
      <c r="W3238" s="2" t="s">
        <v>42</v>
      </c>
      <c r="X3238" s="2" t="s">
        <v>46</v>
      </c>
      <c r="Y3238" s="2" t="s">
        <v>37</v>
      </c>
      <c r="Z3238" s="2" t="s">
        <v>12970</v>
      </c>
      <c r="AA3238" s="2" t="s">
        <v>24677</v>
      </c>
      <c r="AB3238" s="2"/>
      <c r="AC3238" s="2" t="s">
        <v>24678</v>
      </c>
      <c r="AD3238" s="2" t="s">
        <v>46</v>
      </c>
    </row>
    <row r="3239" customFormat="false" ht="15.7" hidden="false" customHeight="true" outlineLevel="0" collapsed="false">
      <c r="A3239" s="2"/>
      <c r="B3239" s="3" t="n">
        <f aca="false">DATE(2017,10,2)</f>
        <v>0</v>
      </c>
      <c r="C3239" s="3" t="n">
        <v>43010</v>
      </c>
      <c r="D3239" s="2" t="s">
        <v>24679</v>
      </c>
      <c r="F3239" s="2" t="s">
        <v>24680</v>
      </c>
      <c r="G3239" s="2" t="s">
        <v>24681</v>
      </c>
      <c r="H3239" s="2" t="s">
        <v>24682</v>
      </c>
      <c r="I3239" s="2" t="s">
        <v>7327</v>
      </c>
      <c r="J3239" s="2" t="s">
        <v>625</v>
      </c>
      <c r="K3239" s="2" t="s">
        <v>24679</v>
      </c>
      <c r="L3239" s="2" t="s">
        <v>7327</v>
      </c>
      <c r="M3239" s="2" t="s">
        <v>24682</v>
      </c>
      <c r="N3239" s="2" t="s">
        <v>24683</v>
      </c>
      <c r="O3239" s="2"/>
      <c r="P3239" s="2" t="s">
        <v>37</v>
      </c>
      <c r="Q3239" s="4" t="n">
        <v>8731</v>
      </c>
      <c r="R3239" s="2"/>
      <c r="S3239" s="2"/>
      <c r="T3239" s="2" t="s">
        <v>403</v>
      </c>
      <c r="U3239" s="2" t="s">
        <v>24684</v>
      </c>
      <c r="V3239" s="2"/>
      <c r="W3239" s="2" t="s">
        <v>3235</v>
      </c>
      <c r="X3239" s="2" t="s">
        <v>43</v>
      </c>
      <c r="Y3239" s="2" t="s">
        <v>37</v>
      </c>
      <c r="Z3239" s="2" t="s">
        <v>44</v>
      </c>
      <c r="AA3239" s="2"/>
      <c r="AB3239" s="2"/>
      <c r="AC3239" s="2" t="s">
        <v>24685</v>
      </c>
      <c r="AD3239" s="2" t="s">
        <v>46</v>
      </c>
    </row>
    <row r="3240" customFormat="false" ht="15.7" hidden="false" customHeight="true" outlineLevel="0" collapsed="false">
      <c r="A3240" s="2"/>
      <c r="B3240" s="3" t="n">
        <f aca="false">DATE(2017,10,3)</f>
        <v>0</v>
      </c>
      <c r="C3240" s="3" t="n">
        <v>43011</v>
      </c>
      <c r="D3240" s="2" t="s">
        <v>24686</v>
      </c>
      <c r="F3240" s="2" t="s">
        <v>24687</v>
      </c>
      <c r="G3240" s="2" t="s">
        <v>24688</v>
      </c>
      <c r="H3240" s="2" t="s">
        <v>7521</v>
      </c>
      <c r="I3240" s="2" t="s">
        <v>154</v>
      </c>
      <c r="J3240" s="2" t="s">
        <v>575</v>
      </c>
      <c r="K3240" s="2" t="s">
        <v>24689</v>
      </c>
      <c r="L3240" s="2" t="s">
        <v>154</v>
      </c>
      <c r="M3240" s="2" t="s">
        <v>6522</v>
      </c>
      <c r="N3240" s="2" t="s">
        <v>24690</v>
      </c>
      <c r="O3240" s="2"/>
      <c r="P3240" s="2" t="s">
        <v>37</v>
      </c>
      <c r="Q3240" s="4" t="n">
        <v>8731</v>
      </c>
      <c r="R3240" s="2"/>
      <c r="S3240" s="2"/>
      <c r="T3240" s="2" t="s">
        <v>403</v>
      </c>
      <c r="U3240" s="2" t="s">
        <v>24691</v>
      </c>
      <c r="V3240" s="2"/>
      <c r="W3240" s="2" t="s">
        <v>138</v>
      </c>
      <c r="X3240" s="2" t="s">
        <v>43</v>
      </c>
      <c r="Y3240" s="2" t="s">
        <v>37</v>
      </c>
      <c r="Z3240" s="2" t="s">
        <v>44</v>
      </c>
      <c r="AA3240" s="2"/>
      <c r="AB3240" s="2"/>
      <c r="AC3240" s="2" t="s">
        <v>24692</v>
      </c>
      <c r="AD3240" s="2" t="s">
        <v>46</v>
      </c>
    </row>
    <row r="3241" customFormat="false" ht="15.7" hidden="false" customHeight="true" outlineLevel="0" collapsed="false">
      <c r="A3241" s="2"/>
      <c r="B3241" s="3" t="n">
        <f aca="false">DATE(2017,10,4)</f>
        <v>0</v>
      </c>
      <c r="C3241" s="3" t="n">
        <v>43012</v>
      </c>
      <c r="D3241" s="2" t="s">
        <v>24693</v>
      </c>
      <c r="F3241" s="2" t="s">
        <v>24694</v>
      </c>
      <c r="G3241" s="2" t="s">
        <v>24695</v>
      </c>
      <c r="H3241" s="2" t="s">
        <v>24696</v>
      </c>
      <c r="I3241" s="2" t="s">
        <v>154</v>
      </c>
      <c r="J3241" s="2" t="s">
        <v>625</v>
      </c>
      <c r="K3241" s="2" t="s">
        <v>24693</v>
      </c>
      <c r="L3241" s="2" t="s">
        <v>154</v>
      </c>
      <c r="M3241" s="2" t="s">
        <v>24696</v>
      </c>
      <c r="N3241" s="2" t="s">
        <v>24697</v>
      </c>
      <c r="O3241" s="2"/>
      <c r="P3241" s="2" t="s">
        <v>79</v>
      </c>
      <c r="Q3241" s="4" t="n">
        <v>6794</v>
      </c>
      <c r="R3241" s="2" t="s">
        <v>136</v>
      </c>
      <c r="S3241" s="2" t="s">
        <v>39</v>
      </c>
      <c r="T3241" s="2" t="s">
        <v>40</v>
      </c>
      <c r="U3241" s="2" t="s">
        <v>24698</v>
      </c>
      <c r="V3241" s="2"/>
      <c r="W3241" s="2" t="s">
        <v>82</v>
      </c>
      <c r="X3241" s="2" t="s">
        <v>43</v>
      </c>
      <c r="Y3241" s="2" t="s">
        <v>37</v>
      </c>
      <c r="Z3241" s="2" t="s">
        <v>44</v>
      </c>
      <c r="AA3241" s="2"/>
      <c r="AB3241" s="2"/>
      <c r="AC3241" s="2" t="s">
        <v>24699</v>
      </c>
      <c r="AD3241" s="2" t="s">
        <v>46</v>
      </c>
    </row>
    <row r="3242" customFormat="false" ht="15.7" hidden="false" customHeight="true" outlineLevel="0" collapsed="false">
      <c r="A3242" s="2"/>
      <c r="B3242" s="3" t="n">
        <f aca="false">DATE(2017,10,4)</f>
        <v>0</v>
      </c>
      <c r="C3242" s="3" t="n">
        <v>43012</v>
      </c>
      <c r="D3242" s="2" t="s">
        <v>24700</v>
      </c>
      <c r="F3242" s="2" t="s">
        <v>24701</v>
      </c>
      <c r="G3242" s="2" t="s">
        <v>24702</v>
      </c>
      <c r="H3242" s="2" t="s">
        <v>13292</v>
      </c>
      <c r="I3242" s="2" t="s">
        <v>51</v>
      </c>
      <c r="J3242" s="2" t="s">
        <v>3176</v>
      </c>
      <c r="K3242" s="2" t="s">
        <v>24700</v>
      </c>
      <c r="L3242" s="2" t="s">
        <v>51</v>
      </c>
      <c r="M3242" s="2" t="s">
        <v>13292</v>
      </c>
      <c r="N3242" s="2" t="s">
        <v>24703</v>
      </c>
      <c r="O3242" s="2" t="s">
        <v>24704</v>
      </c>
      <c r="P3242" s="2" t="s">
        <v>37</v>
      </c>
      <c r="Q3242" s="4" t="n">
        <v>8731</v>
      </c>
      <c r="R3242" s="2" t="s">
        <v>56</v>
      </c>
      <c r="S3242" s="2" t="s">
        <v>92</v>
      </c>
      <c r="T3242" s="2" t="s">
        <v>40</v>
      </c>
      <c r="U3242" s="2" t="s">
        <v>24705</v>
      </c>
      <c r="V3242" s="2"/>
      <c r="W3242" s="2" t="s">
        <v>344</v>
      </c>
      <c r="X3242" s="2" t="s">
        <v>46</v>
      </c>
      <c r="Y3242" s="2" t="s">
        <v>37</v>
      </c>
      <c r="Z3242" s="2" t="s">
        <v>44</v>
      </c>
      <c r="AA3242" s="2"/>
      <c r="AB3242" s="2" t="s">
        <v>24706</v>
      </c>
      <c r="AC3242" s="2" t="s">
        <v>24707</v>
      </c>
      <c r="AD3242" s="2" t="s">
        <v>46</v>
      </c>
    </row>
    <row r="3243" customFormat="false" ht="15.7" hidden="false" customHeight="true" outlineLevel="0" collapsed="false">
      <c r="A3243" s="2"/>
      <c r="B3243" s="3" t="n">
        <f aca="false">DATE(2017,10,4)</f>
        <v>0</v>
      </c>
      <c r="C3243" s="3" t="n">
        <v>43012</v>
      </c>
      <c r="D3243" s="2" t="s">
        <v>24708</v>
      </c>
      <c r="F3243" s="2" t="s">
        <v>24709</v>
      </c>
      <c r="G3243" s="2" t="s">
        <v>24710</v>
      </c>
      <c r="H3243" s="2" t="s">
        <v>24711</v>
      </c>
      <c r="I3243" s="2" t="s">
        <v>51</v>
      </c>
      <c r="J3243" s="2" t="s">
        <v>24712</v>
      </c>
      <c r="K3243" s="2" t="s">
        <v>24708</v>
      </c>
      <c r="L3243" s="2" t="s">
        <v>51</v>
      </c>
      <c r="M3243" s="2" t="s">
        <v>24711</v>
      </c>
      <c r="N3243" s="2" t="s">
        <v>24713</v>
      </c>
      <c r="O3243" s="2"/>
      <c r="P3243" s="2" t="s">
        <v>37</v>
      </c>
      <c r="Q3243" s="4" t="n">
        <v>8731</v>
      </c>
      <c r="R3243" s="2" t="s">
        <v>56</v>
      </c>
      <c r="S3243" s="2" t="s">
        <v>3429</v>
      </c>
      <c r="T3243" s="2" t="s">
        <v>403</v>
      </c>
      <c r="U3243" s="2" t="s">
        <v>24714</v>
      </c>
      <c r="V3243" s="2"/>
      <c r="W3243" s="2" t="s">
        <v>42</v>
      </c>
      <c r="X3243" s="2" t="s">
        <v>43</v>
      </c>
      <c r="Y3243" s="2" t="s">
        <v>37</v>
      </c>
      <c r="Z3243" s="2" t="s">
        <v>44</v>
      </c>
      <c r="AA3243" s="2"/>
      <c r="AB3243" s="2"/>
      <c r="AC3243" s="2" t="s">
        <v>24715</v>
      </c>
      <c r="AD3243" s="2" t="s">
        <v>46</v>
      </c>
    </row>
    <row r="3244" customFormat="false" ht="15.7" hidden="false" customHeight="true" outlineLevel="0" collapsed="false">
      <c r="A3244" s="2"/>
      <c r="B3244" s="3" t="n">
        <f aca="false">DATE(2017,10,4)</f>
        <v>0</v>
      </c>
      <c r="C3244" s="3" t="n">
        <v>43012</v>
      </c>
      <c r="D3244" s="2" t="s">
        <v>24716</v>
      </c>
      <c r="F3244" s="2" t="s">
        <v>24717</v>
      </c>
      <c r="G3244" s="2" t="s">
        <v>24718</v>
      </c>
      <c r="H3244" s="2" t="s">
        <v>762</v>
      </c>
      <c r="I3244" s="2" t="s">
        <v>899</v>
      </c>
      <c r="J3244" s="2" t="s">
        <v>4616</v>
      </c>
      <c r="K3244" s="2" t="s">
        <v>24716</v>
      </c>
      <c r="L3244" s="2" t="s">
        <v>899</v>
      </c>
      <c r="M3244" s="2" t="s">
        <v>762</v>
      </c>
      <c r="N3244" s="2" t="s">
        <v>24719</v>
      </c>
      <c r="O3244" s="2"/>
      <c r="P3244" s="2" t="s">
        <v>37</v>
      </c>
      <c r="Q3244" s="4" t="n">
        <v>8731</v>
      </c>
      <c r="R3244" s="2" t="s">
        <v>136</v>
      </c>
      <c r="S3244" s="2" t="s">
        <v>39</v>
      </c>
      <c r="T3244" s="2" t="s">
        <v>40</v>
      </c>
      <c r="U3244" s="2" t="s">
        <v>24720</v>
      </c>
      <c r="V3244" s="2"/>
      <c r="W3244" s="2" t="s">
        <v>344</v>
      </c>
      <c r="X3244" s="2" t="s">
        <v>43</v>
      </c>
      <c r="Y3244" s="2" t="s">
        <v>37</v>
      </c>
      <c r="Z3244" s="2" t="s">
        <v>44</v>
      </c>
      <c r="AA3244" s="2"/>
      <c r="AB3244" s="2"/>
      <c r="AC3244" s="2" t="s">
        <v>24721</v>
      </c>
      <c r="AD3244" s="2" t="s">
        <v>46</v>
      </c>
    </row>
    <row r="3245" customFormat="false" ht="15.7" hidden="false" customHeight="true" outlineLevel="0" collapsed="false">
      <c r="A3245" s="2"/>
      <c r="B3245" s="3" t="n">
        <f aca="false">DATE(2017,10,5)</f>
        <v>0</v>
      </c>
      <c r="C3245" s="3" t="n">
        <v>43013</v>
      </c>
      <c r="D3245" s="2" t="s">
        <v>24722</v>
      </c>
      <c r="F3245" s="2" t="s">
        <v>18520</v>
      </c>
      <c r="G3245" s="2" t="s">
        <v>24723</v>
      </c>
      <c r="H3245" s="2" t="s">
        <v>1027</v>
      </c>
      <c r="I3245" s="2" t="s">
        <v>1439</v>
      </c>
      <c r="J3245" s="2" t="s">
        <v>35</v>
      </c>
      <c r="K3245" s="2" t="s">
        <v>24722</v>
      </c>
      <c r="L3245" s="2" t="s">
        <v>1439</v>
      </c>
      <c r="M3245" s="2" t="s">
        <v>1027</v>
      </c>
      <c r="N3245" s="2" t="s">
        <v>24724</v>
      </c>
      <c r="O3245" s="2"/>
      <c r="P3245" s="2" t="s">
        <v>37</v>
      </c>
      <c r="Q3245" s="4" t="n">
        <v>6794</v>
      </c>
      <c r="R3245" s="2" t="s">
        <v>2201</v>
      </c>
      <c r="S3245" s="2" t="s">
        <v>39</v>
      </c>
      <c r="T3245" s="2" t="s">
        <v>40</v>
      </c>
      <c r="U3245" s="2" t="s">
        <v>24725</v>
      </c>
      <c r="V3245" s="2"/>
      <c r="W3245" s="2" t="s">
        <v>82</v>
      </c>
      <c r="X3245" s="2" t="s">
        <v>43</v>
      </c>
      <c r="Y3245" s="2" t="s">
        <v>37</v>
      </c>
      <c r="Z3245" s="2" t="s">
        <v>44</v>
      </c>
      <c r="AA3245" s="2"/>
      <c r="AB3245" s="2"/>
      <c r="AC3245" s="2" t="s">
        <v>24726</v>
      </c>
      <c r="AD3245" s="2" t="s">
        <v>46</v>
      </c>
    </row>
    <row r="3246" customFormat="false" ht="15.7" hidden="false" customHeight="true" outlineLevel="0" collapsed="false">
      <c r="A3246" s="2"/>
      <c r="B3246" s="3" t="n">
        <f aca="false">DATE(2017,10,5)</f>
        <v>0</v>
      </c>
      <c r="C3246" s="3" t="n">
        <v>43013</v>
      </c>
      <c r="D3246" s="2" t="s">
        <v>24727</v>
      </c>
      <c r="F3246" s="2" t="s">
        <v>24728</v>
      </c>
      <c r="G3246" s="2" t="s">
        <v>24729</v>
      </c>
      <c r="H3246" s="2" t="s">
        <v>762</v>
      </c>
      <c r="I3246" s="2" t="s">
        <v>921</v>
      </c>
      <c r="J3246" s="2" t="s">
        <v>35</v>
      </c>
      <c r="K3246" s="2" t="s">
        <v>24730</v>
      </c>
      <c r="L3246" s="2" t="s">
        <v>24731</v>
      </c>
      <c r="M3246" s="2" t="s">
        <v>523</v>
      </c>
      <c r="N3246" s="2" t="s">
        <v>24732</v>
      </c>
      <c r="O3246" s="2"/>
      <c r="P3246" s="2" t="s">
        <v>37</v>
      </c>
      <c r="Q3246" s="4" t="n">
        <v>6794</v>
      </c>
      <c r="R3246" s="2" t="s">
        <v>38</v>
      </c>
      <c r="S3246" s="2" t="s">
        <v>39</v>
      </c>
      <c r="T3246" s="2" t="s">
        <v>40</v>
      </c>
      <c r="U3246" s="2" t="s">
        <v>24733</v>
      </c>
      <c r="V3246" s="2"/>
      <c r="W3246" s="2" t="s">
        <v>24734</v>
      </c>
      <c r="X3246" s="2" t="s">
        <v>43</v>
      </c>
      <c r="Y3246" s="2" t="s">
        <v>37</v>
      </c>
      <c r="Z3246" s="2" t="s">
        <v>44</v>
      </c>
      <c r="AA3246" s="2"/>
      <c r="AB3246" s="2"/>
      <c r="AC3246" s="2" t="s">
        <v>24735</v>
      </c>
      <c r="AD3246" s="2" t="s">
        <v>46</v>
      </c>
    </row>
    <row r="3247" customFormat="false" ht="15.7" hidden="false" customHeight="true" outlineLevel="0" collapsed="false">
      <c r="A3247" s="2"/>
      <c r="B3247" s="3" t="n">
        <f aca="false">DATE(2017,10,5)</f>
        <v>0</v>
      </c>
      <c r="C3247" s="3" t="n">
        <v>43013</v>
      </c>
      <c r="D3247" s="2" t="s">
        <v>24736</v>
      </c>
      <c r="F3247" s="2" t="s">
        <v>24737</v>
      </c>
      <c r="G3247" s="2" t="s">
        <v>24738</v>
      </c>
      <c r="H3247" s="2" t="s">
        <v>24739</v>
      </c>
      <c r="I3247" s="2" t="s">
        <v>51</v>
      </c>
      <c r="J3247" s="2" t="s">
        <v>3310</v>
      </c>
      <c r="K3247" s="2" t="s">
        <v>24740</v>
      </c>
      <c r="L3247" s="2" t="s">
        <v>51</v>
      </c>
      <c r="M3247" s="2" t="s">
        <v>24741</v>
      </c>
      <c r="N3247" s="2" t="s">
        <v>24742</v>
      </c>
      <c r="O3247" s="2"/>
      <c r="P3247" s="2" t="s">
        <v>37</v>
      </c>
      <c r="Q3247" s="4" t="n">
        <v>8731</v>
      </c>
      <c r="R3247" s="2" t="s">
        <v>56</v>
      </c>
      <c r="S3247" s="2"/>
      <c r="T3247" s="2" t="s">
        <v>40</v>
      </c>
      <c r="U3247" s="2" t="s">
        <v>24743</v>
      </c>
      <c r="V3247" s="2"/>
      <c r="W3247" s="2" t="s">
        <v>42</v>
      </c>
      <c r="X3247" s="2" t="s">
        <v>43</v>
      </c>
      <c r="Y3247" s="2" t="s">
        <v>37</v>
      </c>
      <c r="Z3247" s="2" t="s">
        <v>44</v>
      </c>
      <c r="AA3247" s="2"/>
      <c r="AB3247" s="2"/>
      <c r="AC3247" s="2" t="s">
        <v>24744</v>
      </c>
      <c r="AD3247" s="2" t="s">
        <v>46</v>
      </c>
    </row>
    <row r="3248" customFormat="false" ht="15.7" hidden="false" customHeight="true" outlineLevel="0" collapsed="false">
      <c r="A3248" s="2"/>
      <c r="B3248" s="3" t="n">
        <f aca="false">DATE(2017,10,6)</f>
        <v>0</v>
      </c>
      <c r="C3248" s="3" t="n">
        <v>43014</v>
      </c>
      <c r="D3248" s="2" t="s">
        <v>24745</v>
      </c>
      <c r="F3248" s="2" t="s">
        <v>24746</v>
      </c>
      <c r="G3248" s="2" t="s">
        <v>24747</v>
      </c>
      <c r="H3248" s="2" t="s">
        <v>24748</v>
      </c>
      <c r="I3248" s="2" t="s">
        <v>17785</v>
      </c>
      <c r="J3248" s="2" t="s">
        <v>35</v>
      </c>
      <c r="K3248" s="2" t="s">
        <v>24745</v>
      </c>
      <c r="L3248" s="2" t="s">
        <v>17785</v>
      </c>
      <c r="M3248" s="2" t="s">
        <v>24748</v>
      </c>
      <c r="N3248" s="2" t="s">
        <v>24749</v>
      </c>
      <c r="O3248" s="2"/>
      <c r="P3248" s="2" t="s">
        <v>37</v>
      </c>
      <c r="Q3248" s="4" t="n">
        <v>8731</v>
      </c>
      <c r="R3248" s="2" t="s">
        <v>1208</v>
      </c>
      <c r="S3248" s="2" t="s">
        <v>39</v>
      </c>
      <c r="T3248" s="2" t="s">
        <v>40</v>
      </c>
      <c r="U3248" s="2" t="s">
        <v>24750</v>
      </c>
      <c r="V3248" s="2"/>
      <c r="W3248" s="2" t="s">
        <v>4505</v>
      </c>
      <c r="X3248" s="2" t="s">
        <v>43</v>
      </c>
      <c r="Y3248" s="2" t="s">
        <v>37</v>
      </c>
      <c r="Z3248" s="2" t="s">
        <v>44</v>
      </c>
      <c r="AA3248" s="2"/>
      <c r="AB3248" s="2"/>
      <c r="AC3248" s="2" t="s">
        <v>24751</v>
      </c>
      <c r="AD3248" s="2" t="s">
        <v>46</v>
      </c>
    </row>
    <row r="3249" customFormat="false" ht="15.7" hidden="false" customHeight="true" outlineLevel="0" collapsed="false">
      <c r="A3249" s="2"/>
      <c r="B3249" s="3" t="n">
        <f aca="false">DATE(2017,10,6)</f>
        <v>0</v>
      </c>
      <c r="C3249" s="3" t="n">
        <v>43014</v>
      </c>
      <c r="D3249" s="2" t="s">
        <v>24752</v>
      </c>
      <c r="F3249" s="2" t="s">
        <v>24753</v>
      </c>
      <c r="G3249" s="2" t="s">
        <v>24754</v>
      </c>
      <c r="H3249" s="2" t="s">
        <v>305</v>
      </c>
      <c r="I3249" s="2" t="s">
        <v>724</v>
      </c>
      <c r="J3249" s="2" t="s">
        <v>514</v>
      </c>
      <c r="K3249" s="2" t="s">
        <v>24752</v>
      </c>
      <c r="L3249" s="2" t="s">
        <v>724</v>
      </c>
      <c r="M3249" s="2" t="s">
        <v>305</v>
      </c>
      <c r="N3249" s="2" t="s">
        <v>24755</v>
      </c>
      <c r="O3249" s="2"/>
      <c r="P3249" s="2" t="s">
        <v>37</v>
      </c>
      <c r="Q3249" s="4" t="n">
        <v>8731</v>
      </c>
      <c r="R3249" s="2" t="s">
        <v>136</v>
      </c>
      <c r="S3249" s="2" t="s">
        <v>39</v>
      </c>
      <c r="T3249" s="2" t="s">
        <v>40</v>
      </c>
      <c r="U3249" s="2" t="s">
        <v>24756</v>
      </c>
      <c r="V3249" s="2"/>
      <c r="W3249" s="2" t="s">
        <v>2056</v>
      </c>
      <c r="X3249" s="2" t="s">
        <v>43</v>
      </c>
      <c r="Y3249" s="2" t="s">
        <v>37</v>
      </c>
      <c r="Z3249" s="2" t="s">
        <v>44</v>
      </c>
      <c r="AA3249" s="2"/>
      <c r="AB3249" s="2"/>
      <c r="AC3249" s="2" t="s">
        <v>24757</v>
      </c>
      <c r="AD3249" s="2" t="s">
        <v>46</v>
      </c>
    </row>
    <row r="3250" customFormat="false" ht="15.7" hidden="false" customHeight="true" outlineLevel="0" collapsed="false">
      <c r="A3250" s="2"/>
      <c r="B3250" s="3" t="n">
        <f aca="false">DATE(2017,10,9)</f>
        <v>0</v>
      </c>
      <c r="C3250" s="3" t="n">
        <v>43017</v>
      </c>
      <c r="D3250" s="2" t="s">
        <v>24758</v>
      </c>
      <c r="F3250" s="2" t="s">
        <v>10369</v>
      </c>
      <c r="G3250" s="2" t="s">
        <v>24759</v>
      </c>
      <c r="H3250" s="2" t="s">
        <v>1101</v>
      </c>
      <c r="I3250" s="2" t="s">
        <v>6464</v>
      </c>
      <c r="J3250" s="2" t="s">
        <v>35</v>
      </c>
      <c r="K3250" s="2" t="s">
        <v>24758</v>
      </c>
      <c r="L3250" s="2" t="s">
        <v>6464</v>
      </c>
      <c r="M3250" s="2" t="s">
        <v>1101</v>
      </c>
      <c r="N3250" s="2" t="s">
        <v>24760</v>
      </c>
      <c r="O3250" s="2"/>
      <c r="P3250" s="2" t="s">
        <v>37</v>
      </c>
      <c r="Q3250" s="4" t="n">
        <v>8731</v>
      </c>
      <c r="R3250" s="2" t="s">
        <v>136</v>
      </c>
      <c r="S3250" s="2" t="s">
        <v>39</v>
      </c>
      <c r="T3250" s="2" t="s">
        <v>40</v>
      </c>
      <c r="U3250" s="2" t="s">
        <v>24761</v>
      </c>
      <c r="V3250" s="2"/>
      <c r="W3250" s="2" t="s">
        <v>344</v>
      </c>
      <c r="X3250" s="2" t="s">
        <v>43</v>
      </c>
      <c r="Y3250" s="2" t="s">
        <v>37</v>
      </c>
      <c r="Z3250" s="2" t="s">
        <v>44</v>
      </c>
      <c r="AA3250" s="2"/>
      <c r="AB3250" s="2"/>
      <c r="AC3250" s="2" t="s">
        <v>24762</v>
      </c>
      <c r="AD3250" s="2" t="s">
        <v>46</v>
      </c>
    </row>
    <row r="3251" customFormat="false" ht="15.7" hidden="false" customHeight="true" outlineLevel="0" collapsed="false">
      <c r="A3251" s="2"/>
      <c r="B3251" s="3" t="n">
        <f aca="false">DATE(2017,10,10)</f>
        <v>0</v>
      </c>
      <c r="C3251" s="3" t="n">
        <v>43018</v>
      </c>
      <c r="D3251" s="2" t="s">
        <v>24763</v>
      </c>
      <c r="F3251" s="2" t="s">
        <v>24764</v>
      </c>
      <c r="G3251" s="2" t="s">
        <v>24765</v>
      </c>
      <c r="H3251" s="2" t="s">
        <v>523</v>
      </c>
      <c r="I3251" s="2" t="s">
        <v>296</v>
      </c>
      <c r="J3251" s="2" t="s">
        <v>1983</v>
      </c>
      <c r="K3251" s="2" t="s">
        <v>24763</v>
      </c>
      <c r="L3251" s="2" t="s">
        <v>296</v>
      </c>
      <c r="M3251" s="2" t="s">
        <v>523</v>
      </c>
      <c r="N3251" s="2" t="s">
        <v>24766</v>
      </c>
      <c r="O3251" s="2"/>
      <c r="P3251" s="2" t="s">
        <v>37</v>
      </c>
      <c r="Q3251" s="4" t="n">
        <v>6794</v>
      </c>
      <c r="R3251" s="2" t="s">
        <v>1448</v>
      </c>
      <c r="S3251" s="2" t="s">
        <v>39</v>
      </c>
      <c r="T3251" s="2" t="s">
        <v>40</v>
      </c>
      <c r="U3251" s="2" t="s">
        <v>24767</v>
      </c>
      <c r="V3251" s="2"/>
      <c r="W3251" s="2" t="s">
        <v>82</v>
      </c>
      <c r="X3251" s="2" t="s">
        <v>43</v>
      </c>
      <c r="Y3251" s="2" t="s">
        <v>37</v>
      </c>
      <c r="Z3251" s="2" t="s">
        <v>44</v>
      </c>
      <c r="AA3251" s="2"/>
      <c r="AB3251" s="2"/>
      <c r="AC3251" s="2" t="s">
        <v>24768</v>
      </c>
      <c r="AD3251" s="2" t="s">
        <v>46</v>
      </c>
    </row>
    <row r="3252" customFormat="false" ht="15.7" hidden="false" customHeight="true" outlineLevel="0" collapsed="false">
      <c r="A3252" s="2"/>
      <c r="B3252" s="3" t="n">
        <f aca="false">DATE(2017,10,10)</f>
        <v>0</v>
      </c>
      <c r="C3252" s="3" t="n">
        <v>43018</v>
      </c>
      <c r="D3252" s="2" t="s">
        <v>24769</v>
      </c>
      <c r="F3252" s="2" t="s">
        <v>24770</v>
      </c>
      <c r="G3252" s="2" t="s">
        <v>24771</v>
      </c>
      <c r="H3252" s="2" t="s">
        <v>24772</v>
      </c>
      <c r="I3252" s="2" t="s">
        <v>51</v>
      </c>
      <c r="J3252" s="2" t="s">
        <v>24773</v>
      </c>
      <c r="K3252" s="2" t="s">
        <v>24774</v>
      </c>
      <c r="L3252" s="2" t="s">
        <v>51</v>
      </c>
      <c r="M3252" s="2" t="s">
        <v>24775</v>
      </c>
      <c r="N3252" s="2" t="s">
        <v>24776</v>
      </c>
      <c r="O3252" s="2"/>
      <c r="P3252" s="2" t="s">
        <v>37</v>
      </c>
      <c r="Q3252" s="4" t="n">
        <v>8731</v>
      </c>
      <c r="R3252" s="2" t="s">
        <v>56</v>
      </c>
      <c r="S3252" s="2"/>
      <c r="T3252" s="2" t="s">
        <v>40</v>
      </c>
      <c r="U3252" s="2" t="s">
        <v>24777</v>
      </c>
      <c r="V3252" s="2"/>
      <c r="W3252" s="2" t="s">
        <v>344</v>
      </c>
      <c r="X3252" s="2" t="s">
        <v>43</v>
      </c>
      <c r="Y3252" s="2" t="s">
        <v>37</v>
      </c>
      <c r="Z3252" s="2" t="s">
        <v>44</v>
      </c>
      <c r="AA3252" s="2"/>
      <c r="AB3252" s="2"/>
      <c r="AC3252" s="2" t="s">
        <v>24778</v>
      </c>
      <c r="AD3252" s="2" t="s">
        <v>46</v>
      </c>
    </row>
    <row r="3253" customFormat="false" ht="15.7" hidden="false" customHeight="true" outlineLevel="0" collapsed="false">
      <c r="A3253" s="2"/>
      <c r="B3253" s="3" t="n">
        <f aca="false">DATE(2017,10,12)</f>
        <v>0</v>
      </c>
      <c r="C3253" s="3" t="n">
        <v>43020</v>
      </c>
      <c r="D3253" s="2" t="s">
        <v>24779</v>
      </c>
      <c r="F3253" s="2" t="s">
        <v>24780</v>
      </c>
      <c r="G3253" s="2" t="s">
        <v>24781</v>
      </c>
      <c r="H3253" s="2" t="s">
        <v>1020</v>
      </c>
      <c r="I3253" s="2" t="s">
        <v>24782</v>
      </c>
      <c r="J3253" s="2" t="s">
        <v>2421</v>
      </c>
      <c r="K3253" s="2" t="s">
        <v>24783</v>
      </c>
      <c r="L3253" s="2" t="s">
        <v>24782</v>
      </c>
      <c r="M3253" s="2" t="s">
        <v>5389</v>
      </c>
      <c r="N3253" s="2" t="s">
        <v>24784</v>
      </c>
      <c r="O3253" s="2"/>
      <c r="P3253" s="2" t="s">
        <v>79</v>
      </c>
      <c r="Q3253" s="4" t="n">
        <v>8731</v>
      </c>
      <c r="R3253" s="2" t="s">
        <v>136</v>
      </c>
      <c r="S3253" s="2" t="s">
        <v>39</v>
      </c>
      <c r="T3253" s="2" t="s">
        <v>40</v>
      </c>
      <c r="U3253" s="2" t="s">
        <v>24785</v>
      </c>
      <c r="V3253" s="2"/>
      <c r="W3253" s="2" t="s">
        <v>2367</v>
      </c>
      <c r="X3253" s="2" t="s">
        <v>43</v>
      </c>
      <c r="Y3253" s="2" t="s">
        <v>37</v>
      </c>
      <c r="Z3253" s="2" t="s">
        <v>44</v>
      </c>
      <c r="AA3253" s="2"/>
      <c r="AB3253" s="2"/>
      <c r="AC3253" s="2" t="s">
        <v>24786</v>
      </c>
      <c r="AD3253" s="2" t="s">
        <v>46</v>
      </c>
    </row>
    <row r="3254" customFormat="false" ht="15.7" hidden="false" customHeight="true" outlineLevel="0" collapsed="false">
      <c r="A3254" s="2"/>
      <c r="B3254" s="3" t="n">
        <f aca="false">DATE(2017,10,12)</f>
        <v>0</v>
      </c>
      <c r="C3254" s="3" t="n">
        <v>43020</v>
      </c>
      <c r="D3254" s="2" t="s">
        <v>24787</v>
      </c>
      <c r="F3254" s="2" t="s">
        <v>24788</v>
      </c>
      <c r="G3254" s="2" t="s">
        <v>24789</v>
      </c>
      <c r="H3254" s="2" t="s">
        <v>24790</v>
      </c>
      <c r="I3254" s="2" t="s">
        <v>24791</v>
      </c>
      <c r="J3254" s="2" t="s">
        <v>35</v>
      </c>
      <c r="K3254" s="2" t="s">
        <v>24792</v>
      </c>
      <c r="L3254" s="2" t="s">
        <v>24793</v>
      </c>
      <c r="M3254" s="2" t="s">
        <v>24794</v>
      </c>
      <c r="N3254" s="2" t="s">
        <v>24795</v>
      </c>
      <c r="O3254" s="2"/>
      <c r="P3254" s="2" t="s">
        <v>37</v>
      </c>
      <c r="Q3254" s="4" t="n">
        <v>8731</v>
      </c>
      <c r="R3254" s="2"/>
      <c r="S3254" s="2"/>
      <c r="T3254" s="2" t="s">
        <v>40</v>
      </c>
      <c r="U3254" s="2" t="s">
        <v>24796</v>
      </c>
      <c r="V3254" s="2"/>
      <c r="W3254" s="2" t="s">
        <v>24797</v>
      </c>
      <c r="X3254" s="2" t="s">
        <v>43</v>
      </c>
      <c r="Y3254" s="2" t="s">
        <v>37</v>
      </c>
      <c r="Z3254" s="2" t="s">
        <v>44</v>
      </c>
      <c r="AA3254" s="2"/>
      <c r="AB3254" s="2"/>
      <c r="AC3254" s="2" t="s">
        <v>24798</v>
      </c>
      <c r="AD3254" s="2" t="s">
        <v>46</v>
      </c>
    </row>
    <row r="3255" customFormat="false" ht="15.7" hidden="false" customHeight="true" outlineLevel="0" collapsed="false">
      <c r="A3255" s="2"/>
      <c r="B3255" s="3" t="n">
        <f aca="false">DATE(2017,10,12)</f>
        <v>0</v>
      </c>
      <c r="C3255" s="3" t="n">
        <v>43020</v>
      </c>
      <c r="D3255" s="2" t="s">
        <v>24799</v>
      </c>
      <c r="F3255" s="2" t="s">
        <v>24800</v>
      </c>
      <c r="G3255" s="2" t="s">
        <v>24801</v>
      </c>
      <c r="H3255" s="2" t="s">
        <v>8741</v>
      </c>
      <c r="I3255" s="2" t="s">
        <v>51</v>
      </c>
      <c r="J3255" s="2" t="s">
        <v>4868</v>
      </c>
      <c r="K3255" s="2" t="s">
        <v>24799</v>
      </c>
      <c r="L3255" s="2" t="s">
        <v>51</v>
      </c>
      <c r="M3255" s="2" t="s">
        <v>8741</v>
      </c>
      <c r="N3255" s="2" t="s">
        <v>24802</v>
      </c>
      <c r="O3255" s="2"/>
      <c r="P3255" s="2" t="s">
        <v>37</v>
      </c>
      <c r="Q3255" s="4" t="n">
        <v>6794</v>
      </c>
      <c r="R3255" s="2" t="s">
        <v>56</v>
      </c>
      <c r="S3255" s="2" t="s">
        <v>92</v>
      </c>
      <c r="T3255" s="2" t="s">
        <v>40</v>
      </c>
      <c r="U3255" s="2" t="s">
        <v>24803</v>
      </c>
      <c r="V3255" s="2"/>
      <c r="W3255" s="2" t="s">
        <v>82</v>
      </c>
      <c r="X3255" s="2" t="s">
        <v>43</v>
      </c>
      <c r="Y3255" s="2" t="s">
        <v>37</v>
      </c>
      <c r="Z3255" s="2" t="s">
        <v>44</v>
      </c>
      <c r="AA3255" s="2"/>
      <c r="AB3255" s="2"/>
      <c r="AC3255" s="2" t="s">
        <v>24804</v>
      </c>
      <c r="AD3255" s="2" t="s">
        <v>46</v>
      </c>
    </row>
    <row r="3256" customFormat="false" ht="15.7" hidden="false" customHeight="true" outlineLevel="0" collapsed="false">
      <c r="A3256" s="2"/>
      <c r="B3256" s="3" t="n">
        <f aca="false">DATE(2017,10,12)</f>
        <v>0</v>
      </c>
      <c r="C3256" s="3" t="n">
        <v>43020</v>
      </c>
      <c r="D3256" s="2" t="s">
        <v>24805</v>
      </c>
      <c r="F3256" s="2" t="s">
        <v>24806</v>
      </c>
      <c r="G3256" s="2" t="s">
        <v>24807</v>
      </c>
      <c r="H3256" s="2" t="s">
        <v>19024</v>
      </c>
      <c r="I3256" s="2" t="s">
        <v>51</v>
      </c>
      <c r="J3256" s="2" t="s">
        <v>16638</v>
      </c>
      <c r="K3256" s="2" t="s">
        <v>24805</v>
      </c>
      <c r="L3256" s="2" t="s">
        <v>51</v>
      </c>
      <c r="M3256" s="2" t="s">
        <v>19024</v>
      </c>
      <c r="N3256" s="2" t="s">
        <v>24808</v>
      </c>
      <c r="O3256" s="2"/>
      <c r="P3256" s="2" t="s">
        <v>37</v>
      </c>
      <c r="Q3256" s="4" t="n">
        <v>8731</v>
      </c>
      <c r="R3256" s="2" t="s">
        <v>56</v>
      </c>
      <c r="S3256" s="2" t="s">
        <v>7553</v>
      </c>
      <c r="T3256" s="2" t="s">
        <v>40</v>
      </c>
      <c r="U3256" s="2" t="s">
        <v>24809</v>
      </c>
      <c r="V3256" s="2"/>
      <c r="W3256" s="2" t="s">
        <v>344</v>
      </c>
      <c r="X3256" s="2" t="s">
        <v>43</v>
      </c>
      <c r="Y3256" s="2" t="s">
        <v>37</v>
      </c>
      <c r="Z3256" s="2" t="s">
        <v>44</v>
      </c>
      <c r="AA3256" s="2"/>
      <c r="AB3256" s="2"/>
      <c r="AC3256" s="2" t="s">
        <v>24810</v>
      </c>
      <c r="AD3256" s="2" t="s">
        <v>46</v>
      </c>
    </row>
    <row r="3257" customFormat="false" ht="15.7" hidden="false" customHeight="true" outlineLevel="0" collapsed="false">
      <c r="A3257" s="2"/>
      <c r="B3257" s="3" t="n">
        <f aca="false">DATE(2017,10,12)</f>
        <v>0</v>
      </c>
      <c r="C3257" s="3" t="n">
        <v>43020</v>
      </c>
      <c r="D3257" s="2" t="s">
        <v>24811</v>
      </c>
      <c r="F3257" s="2" t="s">
        <v>24812</v>
      </c>
      <c r="G3257" s="2" t="s">
        <v>24813</v>
      </c>
      <c r="H3257" s="2" t="s">
        <v>24814</v>
      </c>
      <c r="I3257" s="2" t="s">
        <v>12290</v>
      </c>
      <c r="J3257" s="2" t="s">
        <v>35</v>
      </c>
      <c r="K3257" s="2" t="s">
        <v>24815</v>
      </c>
      <c r="L3257" s="2" t="s">
        <v>219</v>
      </c>
      <c r="M3257" s="2" t="s">
        <v>24814</v>
      </c>
      <c r="N3257" s="2" t="s">
        <v>24816</v>
      </c>
      <c r="O3257" s="2"/>
      <c r="P3257" s="2" t="s">
        <v>37</v>
      </c>
      <c r="Q3257" s="4" t="n">
        <v>8731</v>
      </c>
      <c r="R3257" s="2" t="s">
        <v>38</v>
      </c>
      <c r="S3257" s="2" t="s">
        <v>39</v>
      </c>
      <c r="T3257" s="2" t="s">
        <v>40</v>
      </c>
      <c r="U3257" s="2" t="s">
        <v>24817</v>
      </c>
      <c r="V3257" s="2"/>
      <c r="W3257" s="2" t="s">
        <v>24818</v>
      </c>
      <c r="X3257" s="2" t="s">
        <v>43</v>
      </c>
      <c r="Y3257" s="2" t="s">
        <v>37</v>
      </c>
      <c r="Z3257" s="2" t="s">
        <v>44</v>
      </c>
      <c r="AA3257" s="2"/>
      <c r="AB3257" s="2"/>
      <c r="AC3257" s="2" t="s">
        <v>24819</v>
      </c>
      <c r="AD3257" s="2" t="s">
        <v>46</v>
      </c>
    </row>
    <row r="3258" customFormat="false" ht="15.7" hidden="false" customHeight="true" outlineLevel="0" collapsed="false">
      <c r="A3258" s="2"/>
      <c r="B3258" s="3" t="n">
        <f aca="false">DATE(2017,10,12)</f>
        <v>0</v>
      </c>
      <c r="C3258" s="3" t="n">
        <v>43020</v>
      </c>
      <c r="D3258" s="2" t="s">
        <v>24820</v>
      </c>
      <c r="F3258" s="2" t="s">
        <v>24821</v>
      </c>
      <c r="G3258" s="2" t="s">
        <v>24822</v>
      </c>
      <c r="H3258" s="2" t="s">
        <v>24823</v>
      </c>
      <c r="I3258" s="2" t="s">
        <v>2354</v>
      </c>
      <c r="J3258" s="2" t="s">
        <v>35</v>
      </c>
      <c r="K3258" s="2" t="s">
        <v>24820</v>
      </c>
      <c r="L3258" s="2" t="s">
        <v>2354</v>
      </c>
      <c r="M3258" s="2" t="s">
        <v>24823</v>
      </c>
      <c r="N3258" s="2" t="s">
        <v>24824</v>
      </c>
      <c r="O3258" s="2"/>
      <c r="P3258" s="2" t="s">
        <v>37</v>
      </c>
      <c r="Q3258" s="4" t="n">
        <v>6794</v>
      </c>
      <c r="R3258" s="2" t="s">
        <v>38</v>
      </c>
      <c r="S3258" s="2" t="s">
        <v>39</v>
      </c>
      <c r="T3258" s="2" t="s">
        <v>40</v>
      </c>
      <c r="U3258" s="2" t="s">
        <v>24825</v>
      </c>
      <c r="V3258" s="2"/>
      <c r="W3258" s="2" t="s">
        <v>24826</v>
      </c>
      <c r="X3258" s="2" t="s">
        <v>43</v>
      </c>
      <c r="Y3258" s="2" t="s">
        <v>37</v>
      </c>
      <c r="Z3258" s="2" t="s">
        <v>44</v>
      </c>
      <c r="AA3258" s="2"/>
      <c r="AB3258" s="2"/>
      <c r="AC3258" s="2" t="s">
        <v>24827</v>
      </c>
      <c r="AD3258" s="2" t="s">
        <v>46</v>
      </c>
    </row>
    <row r="3259" customFormat="false" ht="15.7" hidden="false" customHeight="true" outlineLevel="0" collapsed="false">
      <c r="A3259" s="2"/>
      <c r="B3259" s="3" t="n">
        <f aca="false">DATE(2017,10,12)</f>
        <v>0</v>
      </c>
      <c r="C3259" s="3" t="n">
        <v>43020</v>
      </c>
      <c r="D3259" s="2" t="s">
        <v>24828</v>
      </c>
      <c r="F3259" s="2" t="s">
        <v>24829</v>
      </c>
      <c r="G3259" s="2" t="s">
        <v>24830</v>
      </c>
      <c r="H3259" s="2" t="s">
        <v>24831</v>
      </c>
      <c r="I3259" s="2" t="s">
        <v>549</v>
      </c>
      <c r="J3259" s="2" t="s">
        <v>488</v>
      </c>
      <c r="K3259" s="2" t="s">
        <v>24828</v>
      </c>
      <c r="L3259" s="2" t="s">
        <v>549</v>
      </c>
      <c r="M3259" s="2" t="s">
        <v>24831</v>
      </c>
      <c r="N3259" s="2" t="s">
        <v>24832</v>
      </c>
      <c r="O3259" s="2"/>
      <c r="P3259" s="2" t="s">
        <v>37</v>
      </c>
      <c r="Q3259" s="4" t="n">
        <v>721</v>
      </c>
      <c r="R3259" s="2" t="s">
        <v>2508</v>
      </c>
      <c r="S3259" s="2" t="s">
        <v>39</v>
      </c>
      <c r="T3259" s="2" t="s">
        <v>40</v>
      </c>
      <c r="U3259" s="2" t="s">
        <v>24833</v>
      </c>
      <c r="V3259" s="2"/>
      <c r="W3259" s="2" t="s">
        <v>2056</v>
      </c>
      <c r="X3259" s="2" t="s">
        <v>43</v>
      </c>
      <c r="Y3259" s="2" t="s">
        <v>37</v>
      </c>
      <c r="Z3259" s="2" t="s">
        <v>44</v>
      </c>
      <c r="AA3259" s="2"/>
      <c r="AB3259" s="2"/>
      <c r="AC3259" s="2" t="s">
        <v>24834</v>
      </c>
      <c r="AD3259" s="2" t="s">
        <v>46</v>
      </c>
    </row>
    <row r="3260" customFormat="false" ht="15.7" hidden="false" customHeight="true" outlineLevel="0" collapsed="false">
      <c r="A3260" s="2"/>
      <c r="B3260" s="3" t="n">
        <f aca="false">DATE(2017,10,12)</f>
        <v>0</v>
      </c>
      <c r="C3260" s="3" t="n">
        <v>43020</v>
      </c>
      <c r="D3260" s="2" t="s">
        <v>24835</v>
      </c>
      <c r="F3260" s="2" t="s">
        <v>24836</v>
      </c>
      <c r="G3260" s="2" t="s">
        <v>24837</v>
      </c>
      <c r="H3260" s="2" t="s">
        <v>24838</v>
      </c>
      <c r="I3260" s="2" t="s">
        <v>88</v>
      </c>
      <c r="J3260" s="2" t="s">
        <v>65</v>
      </c>
      <c r="K3260" s="2" t="s">
        <v>24839</v>
      </c>
      <c r="L3260" s="2" t="s">
        <v>88</v>
      </c>
      <c r="M3260" s="2" t="s">
        <v>24840</v>
      </c>
      <c r="N3260" s="2" t="s">
        <v>24841</v>
      </c>
      <c r="O3260" s="2"/>
      <c r="P3260" s="2" t="s">
        <v>37</v>
      </c>
      <c r="Q3260" s="4" t="n">
        <v>8731</v>
      </c>
      <c r="R3260" s="2" t="s">
        <v>136</v>
      </c>
      <c r="S3260" s="2" t="s">
        <v>39</v>
      </c>
      <c r="T3260" s="2" t="s">
        <v>40</v>
      </c>
      <c r="U3260" s="2" t="s">
        <v>24842</v>
      </c>
      <c r="V3260" s="2"/>
      <c r="W3260" s="2" t="s">
        <v>344</v>
      </c>
      <c r="X3260" s="2" t="s">
        <v>43</v>
      </c>
      <c r="Y3260" s="2" t="s">
        <v>37</v>
      </c>
      <c r="Z3260" s="2" t="s">
        <v>44</v>
      </c>
      <c r="AA3260" s="2"/>
      <c r="AB3260" s="2"/>
      <c r="AC3260" s="2" t="s">
        <v>24843</v>
      </c>
      <c r="AD3260" s="2" t="s">
        <v>46</v>
      </c>
    </row>
    <row r="3261" customFormat="false" ht="15.7" hidden="false" customHeight="true" outlineLevel="0" collapsed="false">
      <c r="A3261" s="2"/>
      <c r="B3261" s="3" t="n">
        <f aca="false">DATE(2017,10,12)</f>
        <v>0</v>
      </c>
      <c r="C3261" s="3" t="n">
        <v>43020</v>
      </c>
      <c r="D3261" s="2" t="s">
        <v>24844</v>
      </c>
      <c r="F3261" s="2" t="s">
        <v>24845</v>
      </c>
      <c r="G3261" s="2" t="s">
        <v>24846</v>
      </c>
      <c r="H3261" s="2" t="s">
        <v>130</v>
      </c>
      <c r="I3261" s="2" t="s">
        <v>664</v>
      </c>
      <c r="J3261" s="2" t="s">
        <v>331</v>
      </c>
      <c r="K3261" s="2" t="s">
        <v>24844</v>
      </c>
      <c r="L3261" s="2" t="s">
        <v>664</v>
      </c>
      <c r="M3261" s="2" t="s">
        <v>130</v>
      </c>
      <c r="N3261" s="2" t="s">
        <v>24847</v>
      </c>
      <c r="O3261" s="2"/>
      <c r="P3261" s="2" t="s">
        <v>37</v>
      </c>
      <c r="Q3261" s="4" t="n">
        <v>6794</v>
      </c>
      <c r="R3261" s="2" t="s">
        <v>136</v>
      </c>
      <c r="S3261" s="2" t="s">
        <v>39</v>
      </c>
      <c r="T3261" s="2" t="s">
        <v>40</v>
      </c>
      <c r="U3261" s="2" t="s">
        <v>24848</v>
      </c>
      <c r="V3261" s="2"/>
      <c r="W3261" s="2" t="s">
        <v>82</v>
      </c>
      <c r="X3261" s="2" t="s">
        <v>43</v>
      </c>
      <c r="Y3261" s="2" t="s">
        <v>37</v>
      </c>
      <c r="Z3261" s="2" t="s">
        <v>44</v>
      </c>
      <c r="AA3261" s="2"/>
      <c r="AB3261" s="2"/>
      <c r="AC3261" s="2" t="s">
        <v>24849</v>
      </c>
      <c r="AD3261" s="2" t="s">
        <v>46</v>
      </c>
    </row>
    <row r="3262" customFormat="false" ht="15.7" hidden="false" customHeight="true" outlineLevel="0" collapsed="false">
      <c r="A3262" s="2"/>
      <c r="B3262" s="3" t="n">
        <f aca="false">DATE(2017,10,13)</f>
        <v>0</v>
      </c>
      <c r="C3262" s="3" t="n">
        <v>43021</v>
      </c>
      <c r="D3262" s="2" t="s">
        <v>24850</v>
      </c>
      <c r="F3262" s="2" t="s">
        <v>24851</v>
      </c>
      <c r="G3262" s="2" t="s">
        <v>24852</v>
      </c>
      <c r="H3262" s="2" t="s">
        <v>19781</v>
      </c>
      <c r="I3262" s="2" t="s">
        <v>821</v>
      </c>
      <c r="J3262" s="2" t="s">
        <v>575</v>
      </c>
      <c r="K3262" s="2" t="s">
        <v>24850</v>
      </c>
      <c r="L3262" s="2" t="s">
        <v>821</v>
      </c>
      <c r="M3262" s="2" t="s">
        <v>19781</v>
      </c>
      <c r="N3262" s="2" t="s">
        <v>24853</v>
      </c>
      <c r="O3262" s="2"/>
      <c r="P3262" s="2" t="s">
        <v>37</v>
      </c>
      <c r="Q3262" s="4" t="n">
        <v>8731</v>
      </c>
      <c r="R3262" s="2" t="s">
        <v>450</v>
      </c>
      <c r="S3262" s="2" t="s">
        <v>39</v>
      </c>
      <c r="T3262" s="2" t="s">
        <v>40</v>
      </c>
      <c r="U3262" s="2" t="s">
        <v>24854</v>
      </c>
      <c r="V3262" s="2"/>
      <c r="W3262" s="2" t="s">
        <v>42</v>
      </c>
      <c r="X3262" s="2" t="s">
        <v>43</v>
      </c>
      <c r="Y3262" s="2" t="s">
        <v>37</v>
      </c>
      <c r="Z3262" s="2" t="s">
        <v>44</v>
      </c>
      <c r="AA3262" s="2"/>
      <c r="AB3262" s="2"/>
      <c r="AC3262" s="2" t="s">
        <v>24855</v>
      </c>
      <c r="AD3262" s="2" t="s">
        <v>46</v>
      </c>
    </row>
    <row r="3263" customFormat="false" ht="15.7" hidden="false" customHeight="true" outlineLevel="0" collapsed="false">
      <c r="A3263" s="2"/>
      <c r="B3263" s="3" t="n">
        <f aca="false">DATE(2017,10,13)</f>
        <v>0</v>
      </c>
      <c r="C3263" s="3" t="n">
        <v>43021</v>
      </c>
      <c r="D3263" s="2" t="s">
        <v>24856</v>
      </c>
      <c r="F3263" s="2" t="s">
        <v>24857</v>
      </c>
      <c r="G3263" s="2" t="s">
        <v>24858</v>
      </c>
      <c r="H3263" s="2" t="s">
        <v>24859</v>
      </c>
      <c r="I3263" s="2" t="s">
        <v>227</v>
      </c>
      <c r="J3263" s="2" t="s">
        <v>4399</v>
      </c>
      <c r="K3263" s="2" t="s">
        <v>24856</v>
      </c>
      <c r="L3263" s="2" t="s">
        <v>227</v>
      </c>
      <c r="M3263" s="2" t="s">
        <v>24859</v>
      </c>
      <c r="N3263" s="2" t="s">
        <v>24860</v>
      </c>
      <c r="O3263" s="2"/>
      <c r="P3263" s="2" t="s">
        <v>37</v>
      </c>
      <c r="Q3263" s="4" t="n">
        <v>8099</v>
      </c>
      <c r="R3263" s="2" t="s">
        <v>56</v>
      </c>
      <c r="S3263" s="2" t="s">
        <v>10955</v>
      </c>
      <c r="T3263" s="2" t="s">
        <v>403</v>
      </c>
      <c r="U3263" s="2" t="s">
        <v>24861</v>
      </c>
      <c r="V3263" s="2"/>
      <c r="W3263" s="2" t="s">
        <v>24862</v>
      </c>
      <c r="X3263" s="2" t="s">
        <v>43</v>
      </c>
      <c r="Y3263" s="2" t="s">
        <v>37</v>
      </c>
      <c r="Z3263" s="2" t="s">
        <v>44</v>
      </c>
      <c r="AA3263" s="2"/>
      <c r="AB3263" s="2"/>
      <c r="AC3263" s="2" t="s">
        <v>24863</v>
      </c>
      <c r="AD3263" s="2" t="s">
        <v>46</v>
      </c>
    </row>
    <row r="3264" customFormat="false" ht="15.7" hidden="false" customHeight="true" outlineLevel="0" collapsed="false">
      <c r="A3264" s="2"/>
      <c r="B3264" s="3" t="n">
        <f aca="false">DATE(2017,10,13)</f>
        <v>0</v>
      </c>
      <c r="C3264" s="3" t="n">
        <v>43021</v>
      </c>
      <c r="D3264" s="2" t="s">
        <v>24864</v>
      </c>
      <c r="F3264" s="2" t="s">
        <v>24865</v>
      </c>
      <c r="G3264" s="2" t="s">
        <v>24866</v>
      </c>
      <c r="H3264" s="2" t="s">
        <v>24867</v>
      </c>
      <c r="I3264" s="2" t="s">
        <v>51</v>
      </c>
      <c r="J3264" s="2" t="s">
        <v>16638</v>
      </c>
      <c r="K3264" s="2" t="s">
        <v>24864</v>
      </c>
      <c r="L3264" s="2" t="s">
        <v>51</v>
      </c>
      <c r="M3264" s="2" t="s">
        <v>24867</v>
      </c>
      <c r="N3264" s="2" t="s">
        <v>24868</v>
      </c>
      <c r="O3264" s="2"/>
      <c r="P3264" s="2" t="s">
        <v>37</v>
      </c>
      <c r="Q3264" s="4" t="n">
        <v>8731</v>
      </c>
      <c r="R3264" s="2" t="s">
        <v>56</v>
      </c>
      <c r="S3264" s="2" t="s">
        <v>7553</v>
      </c>
      <c r="T3264" s="2" t="s">
        <v>40</v>
      </c>
      <c r="U3264" s="2" t="s">
        <v>24869</v>
      </c>
      <c r="V3264" s="2"/>
      <c r="W3264" s="2" t="s">
        <v>344</v>
      </c>
      <c r="X3264" s="2" t="s">
        <v>43</v>
      </c>
      <c r="Y3264" s="2" t="s">
        <v>37</v>
      </c>
      <c r="Z3264" s="2" t="s">
        <v>44</v>
      </c>
      <c r="AA3264" s="2"/>
      <c r="AB3264" s="2"/>
      <c r="AC3264" s="2" t="s">
        <v>24870</v>
      </c>
      <c r="AD3264" s="2" t="s">
        <v>46</v>
      </c>
    </row>
    <row r="3265" customFormat="false" ht="15.7" hidden="false" customHeight="true" outlineLevel="0" collapsed="false">
      <c r="A3265" s="2"/>
      <c r="B3265" s="3" t="n">
        <f aca="false">DATE(2017,10,16)</f>
        <v>0</v>
      </c>
      <c r="C3265" s="3" t="n">
        <v>43024</v>
      </c>
      <c r="D3265" s="2" t="s">
        <v>24871</v>
      </c>
      <c r="F3265" s="2" t="s">
        <v>24872</v>
      </c>
      <c r="G3265" s="2" t="s">
        <v>24873</v>
      </c>
      <c r="H3265" s="2" t="s">
        <v>63</v>
      </c>
      <c r="I3265" s="2" t="s">
        <v>88</v>
      </c>
      <c r="J3265" s="2" t="s">
        <v>625</v>
      </c>
      <c r="K3265" s="2" t="s">
        <v>24874</v>
      </c>
      <c r="L3265" s="2" t="s">
        <v>88</v>
      </c>
      <c r="M3265" s="2" t="s">
        <v>1027</v>
      </c>
      <c r="N3265" s="2" t="s">
        <v>24875</v>
      </c>
      <c r="O3265" s="2"/>
      <c r="P3265" s="2" t="s">
        <v>37</v>
      </c>
      <c r="Q3265" s="4" t="n">
        <v>8731</v>
      </c>
      <c r="R3265" s="2" t="s">
        <v>88</v>
      </c>
      <c r="S3265" s="2" t="s">
        <v>24876</v>
      </c>
      <c r="T3265" s="2" t="s">
        <v>40</v>
      </c>
      <c r="U3265" s="2" t="s">
        <v>24877</v>
      </c>
      <c r="V3265" s="2"/>
      <c r="W3265" s="2" t="s">
        <v>344</v>
      </c>
      <c r="X3265" s="2" t="s">
        <v>43</v>
      </c>
      <c r="Y3265" s="2" t="s">
        <v>79</v>
      </c>
      <c r="Z3265" s="2" t="s">
        <v>44</v>
      </c>
      <c r="AA3265" s="2"/>
      <c r="AB3265" s="2"/>
      <c r="AC3265" s="2" t="s">
        <v>24878</v>
      </c>
      <c r="AD3265" s="2" t="s">
        <v>46</v>
      </c>
    </row>
    <row r="3266" customFormat="false" ht="15.7" hidden="false" customHeight="true" outlineLevel="0" collapsed="false">
      <c r="A3266" s="2"/>
      <c r="B3266" s="3" t="n">
        <f aca="false">DATE(2017,10,16)</f>
        <v>0</v>
      </c>
      <c r="C3266" s="3" t="n">
        <v>43024</v>
      </c>
      <c r="D3266" s="2" t="s">
        <v>24879</v>
      </c>
      <c r="F3266" s="2" t="s">
        <v>24880</v>
      </c>
      <c r="G3266" s="2" t="s">
        <v>24881</v>
      </c>
      <c r="H3266" s="2" t="s">
        <v>24882</v>
      </c>
      <c r="I3266" s="2" t="s">
        <v>51</v>
      </c>
      <c r="J3266" s="2" t="s">
        <v>504</v>
      </c>
      <c r="K3266" s="2" t="s">
        <v>24883</v>
      </c>
      <c r="L3266" s="2" t="s">
        <v>51</v>
      </c>
      <c r="M3266" s="2" t="s">
        <v>24882</v>
      </c>
      <c r="N3266" s="2" t="s">
        <v>24884</v>
      </c>
      <c r="O3266" s="2"/>
      <c r="P3266" s="2" t="s">
        <v>37</v>
      </c>
      <c r="Q3266" s="4" t="n">
        <v>8731</v>
      </c>
      <c r="R3266" s="2" t="s">
        <v>56</v>
      </c>
      <c r="S3266" s="2" t="s">
        <v>507</v>
      </c>
      <c r="T3266" s="2" t="s">
        <v>40</v>
      </c>
      <c r="U3266" s="2" t="s">
        <v>24885</v>
      </c>
      <c r="V3266" s="2"/>
      <c r="W3266" s="2" t="s">
        <v>344</v>
      </c>
      <c r="X3266" s="2" t="s">
        <v>43</v>
      </c>
      <c r="Y3266" s="2" t="s">
        <v>37</v>
      </c>
      <c r="Z3266" s="2" t="s">
        <v>44</v>
      </c>
      <c r="AA3266" s="2"/>
      <c r="AB3266" s="2"/>
      <c r="AC3266" s="2" t="s">
        <v>24886</v>
      </c>
      <c r="AD3266" s="2" t="s">
        <v>46</v>
      </c>
    </row>
    <row r="3267" customFormat="false" ht="15.7" hidden="false" customHeight="true" outlineLevel="0" collapsed="false">
      <c r="A3267" s="2"/>
      <c r="B3267" s="3" t="n">
        <f aca="false">DATE(2017,10,17)</f>
        <v>0</v>
      </c>
      <c r="C3267" s="3" t="n">
        <v>43025</v>
      </c>
      <c r="D3267" s="2" t="s">
        <v>24887</v>
      </c>
      <c r="F3267" s="2" t="s">
        <v>13244</v>
      </c>
      <c r="G3267" s="2" t="s">
        <v>24888</v>
      </c>
      <c r="H3267" s="2" t="s">
        <v>368</v>
      </c>
      <c r="I3267" s="2" t="s">
        <v>1645</v>
      </c>
      <c r="J3267" s="2" t="s">
        <v>35</v>
      </c>
      <c r="K3267" s="2" t="s">
        <v>24887</v>
      </c>
      <c r="L3267" s="2" t="s">
        <v>1645</v>
      </c>
      <c r="M3267" s="2" t="s">
        <v>368</v>
      </c>
      <c r="N3267" s="2" t="s">
        <v>24889</v>
      </c>
      <c r="O3267" s="2"/>
      <c r="P3267" s="2" t="s">
        <v>37</v>
      </c>
      <c r="Q3267" s="4" t="n">
        <v>6794</v>
      </c>
      <c r="R3267" s="2" t="s">
        <v>1402</v>
      </c>
      <c r="S3267" s="2" t="s">
        <v>39</v>
      </c>
      <c r="T3267" s="2" t="s">
        <v>403</v>
      </c>
      <c r="U3267" s="2" t="s">
        <v>24890</v>
      </c>
      <c r="V3267" s="2"/>
      <c r="W3267" s="2" t="s">
        <v>15545</v>
      </c>
      <c r="X3267" s="2" t="s">
        <v>43</v>
      </c>
      <c r="Y3267" s="2" t="s">
        <v>37</v>
      </c>
      <c r="Z3267" s="2" t="s">
        <v>44</v>
      </c>
      <c r="AA3267" s="2"/>
      <c r="AB3267" s="2"/>
      <c r="AC3267" s="2" t="s">
        <v>24891</v>
      </c>
      <c r="AD3267" s="2" t="s">
        <v>46</v>
      </c>
    </row>
    <row r="3268" customFormat="false" ht="15.7" hidden="false" customHeight="true" outlineLevel="0" collapsed="false">
      <c r="A3268" s="2"/>
      <c r="B3268" s="3" t="n">
        <f aca="false">DATE(2017,10,17)</f>
        <v>0</v>
      </c>
      <c r="C3268" s="3" t="n">
        <v>43025</v>
      </c>
      <c r="D3268" s="2" t="s">
        <v>24892</v>
      </c>
      <c r="F3268" s="2" t="s">
        <v>24893</v>
      </c>
      <c r="G3268" s="2" t="s">
        <v>24894</v>
      </c>
      <c r="H3268" s="2" t="s">
        <v>24895</v>
      </c>
      <c r="I3268" s="2" t="s">
        <v>3802</v>
      </c>
      <c r="J3268" s="2" t="s">
        <v>35</v>
      </c>
      <c r="K3268" s="2" t="s">
        <v>24892</v>
      </c>
      <c r="L3268" s="2" t="s">
        <v>3802</v>
      </c>
      <c r="M3268" s="2" t="s">
        <v>24895</v>
      </c>
      <c r="N3268" s="2" t="s">
        <v>24896</v>
      </c>
      <c r="O3268" s="2"/>
      <c r="P3268" s="2" t="s">
        <v>37</v>
      </c>
      <c r="Q3268" s="4" t="n">
        <v>1221</v>
      </c>
      <c r="R3268" s="2" t="s">
        <v>136</v>
      </c>
      <c r="S3268" s="2" t="s">
        <v>39</v>
      </c>
      <c r="T3268" s="2" t="s">
        <v>40</v>
      </c>
      <c r="U3268" s="2" t="s">
        <v>24897</v>
      </c>
      <c r="V3268" s="2"/>
      <c r="W3268" s="2" t="s">
        <v>24898</v>
      </c>
      <c r="X3268" s="2" t="s">
        <v>43</v>
      </c>
      <c r="Y3268" s="2" t="s">
        <v>37</v>
      </c>
      <c r="Z3268" s="2" t="s">
        <v>44</v>
      </c>
      <c r="AA3268" s="2"/>
      <c r="AB3268" s="2"/>
      <c r="AC3268" s="2" t="s">
        <v>24899</v>
      </c>
      <c r="AD3268" s="2" t="s">
        <v>46</v>
      </c>
    </row>
    <row r="3269" customFormat="false" ht="15.7" hidden="false" customHeight="true" outlineLevel="0" collapsed="false">
      <c r="A3269" s="2"/>
      <c r="B3269" s="3" t="n">
        <f aca="false">DATE(2017,10,17)</f>
        <v>0</v>
      </c>
      <c r="C3269" s="3" t="n">
        <v>43025</v>
      </c>
      <c r="D3269" s="2" t="s">
        <v>24900</v>
      </c>
      <c r="F3269" s="2" t="s">
        <v>24901</v>
      </c>
      <c r="G3269" s="2" t="s">
        <v>24902</v>
      </c>
      <c r="H3269" s="2" t="s">
        <v>24903</v>
      </c>
      <c r="I3269" s="2" t="s">
        <v>22968</v>
      </c>
      <c r="J3269" s="2" t="s">
        <v>35</v>
      </c>
      <c r="K3269" s="2" t="s">
        <v>24900</v>
      </c>
      <c r="L3269" s="2" t="s">
        <v>22968</v>
      </c>
      <c r="M3269" s="2" t="s">
        <v>24903</v>
      </c>
      <c r="N3269" s="2" t="s">
        <v>24904</v>
      </c>
      <c r="O3269" s="2"/>
      <c r="P3269" s="2" t="s">
        <v>37</v>
      </c>
      <c r="Q3269" s="4" t="n">
        <v>6799</v>
      </c>
      <c r="R3269" s="2" t="s">
        <v>5774</v>
      </c>
      <c r="S3269" s="2" t="s">
        <v>39</v>
      </c>
      <c r="T3269" s="2" t="s">
        <v>40</v>
      </c>
      <c r="U3269" s="2" t="s">
        <v>24905</v>
      </c>
      <c r="V3269" s="2"/>
      <c r="W3269" s="2" t="s">
        <v>24906</v>
      </c>
      <c r="X3269" s="2" t="s">
        <v>46</v>
      </c>
      <c r="Y3269" s="2" t="s">
        <v>37</v>
      </c>
      <c r="Z3269" s="2" t="s">
        <v>44</v>
      </c>
      <c r="AA3269" s="2" t="s">
        <v>24907</v>
      </c>
      <c r="AB3269" s="2"/>
      <c r="AC3269" s="2" t="s">
        <v>24908</v>
      </c>
      <c r="AD3269" s="2" t="s">
        <v>46</v>
      </c>
    </row>
    <row r="3270" customFormat="false" ht="15.7" hidden="false" customHeight="true" outlineLevel="0" collapsed="false">
      <c r="A3270" s="2"/>
      <c r="B3270" s="3" t="n">
        <f aca="false">DATE(2017,10,17)</f>
        <v>0</v>
      </c>
      <c r="C3270" s="3" t="n">
        <v>43025</v>
      </c>
      <c r="D3270" s="2" t="s">
        <v>24909</v>
      </c>
      <c r="F3270" s="2" t="s">
        <v>24910</v>
      </c>
      <c r="G3270" s="2" t="s">
        <v>24911</v>
      </c>
      <c r="H3270" s="2" t="s">
        <v>18765</v>
      </c>
      <c r="I3270" s="2" t="s">
        <v>1645</v>
      </c>
      <c r="J3270" s="2" t="s">
        <v>35</v>
      </c>
      <c r="K3270" s="2" t="s">
        <v>24909</v>
      </c>
      <c r="L3270" s="2" t="s">
        <v>1645</v>
      </c>
      <c r="M3270" s="2" t="s">
        <v>18765</v>
      </c>
      <c r="N3270" s="2" t="s">
        <v>24912</v>
      </c>
      <c r="O3270" s="2"/>
      <c r="P3270" s="2" t="s">
        <v>37</v>
      </c>
      <c r="Q3270" s="4" t="n">
        <v>8731</v>
      </c>
      <c r="R3270" s="2" t="s">
        <v>1402</v>
      </c>
      <c r="S3270" s="2" t="s">
        <v>39</v>
      </c>
      <c r="T3270" s="2" t="s">
        <v>40</v>
      </c>
      <c r="U3270" s="2" t="s">
        <v>24913</v>
      </c>
      <c r="V3270" s="2"/>
      <c r="W3270" s="2" t="s">
        <v>344</v>
      </c>
      <c r="X3270" s="2" t="s">
        <v>46</v>
      </c>
      <c r="Y3270" s="2" t="s">
        <v>37</v>
      </c>
      <c r="Z3270" s="2" t="s">
        <v>44</v>
      </c>
      <c r="AA3270" s="2"/>
      <c r="AB3270" s="2"/>
      <c r="AC3270" s="2" t="s">
        <v>24914</v>
      </c>
      <c r="AD3270" s="2" t="s">
        <v>46</v>
      </c>
    </row>
    <row r="3271" customFormat="false" ht="15.7" hidden="false" customHeight="true" outlineLevel="0" collapsed="false">
      <c r="A3271" s="2"/>
      <c r="B3271" s="3" t="n">
        <f aca="false">DATE(2017,10,17)</f>
        <v>0</v>
      </c>
      <c r="C3271" s="3" t="n">
        <v>43025</v>
      </c>
      <c r="D3271" s="2" t="s">
        <v>24915</v>
      </c>
      <c r="F3271" s="2" t="s">
        <v>24916</v>
      </c>
      <c r="G3271" s="2" t="s">
        <v>24917</v>
      </c>
      <c r="H3271" s="2" t="s">
        <v>7985</v>
      </c>
      <c r="I3271" s="2" t="s">
        <v>821</v>
      </c>
      <c r="J3271" s="2" t="s">
        <v>575</v>
      </c>
      <c r="K3271" s="2" t="s">
        <v>24915</v>
      </c>
      <c r="L3271" s="2" t="s">
        <v>821</v>
      </c>
      <c r="M3271" s="2" t="s">
        <v>7985</v>
      </c>
      <c r="N3271" s="2" t="s">
        <v>24918</v>
      </c>
      <c r="O3271" s="2"/>
      <c r="P3271" s="2" t="s">
        <v>37</v>
      </c>
      <c r="Q3271" s="4" t="n">
        <v>5099</v>
      </c>
      <c r="R3271" s="2" t="s">
        <v>450</v>
      </c>
      <c r="S3271" s="2" t="s">
        <v>39</v>
      </c>
      <c r="T3271" s="2" t="s">
        <v>40</v>
      </c>
      <c r="U3271" s="2" t="s">
        <v>24919</v>
      </c>
      <c r="V3271" s="2"/>
      <c r="W3271" s="2" t="s">
        <v>24920</v>
      </c>
      <c r="X3271" s="2" t="s">
        <v>43</v>
      </c>
      <c r="Y3271" s="2" t="s">
        <v>37</v>
      </c>
      <c r="Z3271" s="2" t="s">
        <v>44</v>
      </c>
      <c r="AA3271" s="2"/>
      <c r="AB3271" s="2"/>
      <c r="AC3271" s="2" t="s">
        <v>24921</v>
      </c>
      <c r="AD3271" s="2" t="s">
        <v>46</v>
      </c>
    </row>
    <row r="3272" customFormat="false" ht="15.7" hidden="false" customHeight="true" outlineLevel="0" collapsed="false">
      <c r="A3272" s="2"/>
      <c r="B3272" s="3" t="n">
        <f aca="false">DATE(2017,10,17)</f>
        <v>0</v>
      </c>
      <c r="C3272" s="3" t="n">
        <v>43025</v>
      </c>
      <c r="D3272" s="2" t="s">
        <v>24922</v>
      </c>
      <c r="F3272" s="2" t="s">
        <v>24923</v>
      </c>
      <c r="G3272" s="2" t="s">
        <v>24924</v>
      </c>
      <c r="H3272" s="2" t="s">
        <v>130</v>
      </c>
      <c r="I3272" s="2" t="s">
        <v>664</v>
      </c>
      <c r="J3272" s="2" t="s">
        <v>8615</v>
      </c>
      <c r="K3272" s="2" t="s">
        <v>24922</v>
      </c>
      <c r="L3272" s="2" t="s">
        <v>664</v>
      </c>
      <c r="M3272" s="2" t="s">
        <v>130</v>
      </c>
      <c r="N3272" s="2" t="s">
        <v>24925</v>
      </c>
      <c r="O3272" s="2"/>
      <c r="P3272" s="2" t="s">
        <v>37</v>
      </c>
      <c r="Q3272" s="4" t="n">
        <v>8731</v>
      </c>
      <c r="R3272" s="2" t="s">
        <v>136</v>
      </c>
      <c r="S3272" s="2" t="s">
        <v>39</v>
      </c>
      <c r="T3272" s="2" t="s">
        <v>40</v>
      </c>
      <c r="U3272" s="2" t="s">
        <v>24926</v>
      </c>
      <c r="V3272" s="2"/>
      <c r="W3272" s="2" t="s">
        <v>344</v>
      </c>
      <c r="X3272" s="2" t="s">
        <v>43</v>
      </c>
      <c r="Y3272" s="2" t="s">
        <v>37</v>
      </c>
      <c r="Z3272" s="2" t="s">
        <v>44</v>
      </c>
      <c r="AA3272" s="2"/>
      <c r="AB3272" s="2"/>
      <c r="AC3272" s="2" t="s">
        <v>24927</v>
      </c>
      <c r="AD3272" s="2" t="s">
        <v>46</v>
      </c>
    </row>
    <row r="3273" customFormat="false" ht="15.7" hidden="false" customHeight="true" outlineLevel="0" collapsed="false">
      <c r="A3273" s="2"/>
      <c r="B3273" s="3" t="n">
        <f aca="false">DATE(2017,10,18)</f>
        <v>0</v>
      </c>
      <c r="C3273" s="3" t="n">
        <v>43026</v>
      </c>
      <c r="D3273" s="2" t="s">
        <v>24928</v>
      </c>
      <c r="F3273" s="2" t="s">
        <v>24929</v>
      </c>
      <c r="G3273" s="2" t="s">
        <v>24930</v>
      </c>
      <c r="H3273" s="2" t="s">
        <v>63</v>
      </c>
      <c r="I3273" s="2" t="s">
        <v>5508</v>
      </c>
      <c r="J3273" s="2" t="s">
        <v>35</v>
      </c>
      <c r="K3273" s="2" t="s">
        <v>24928</v>
      </c>
      <c r="L3273" s="2" t="s">
        <v>5508</v>
      </c>
      <c r="M3273" s="2" t="s">
        <v>63</v>
      </c>
      <c r="N3273" s="2" t="s">
        <v>24931</v>
      </c>
      <c r="O3273" s="2"/>
      <c r="P3273" s="2" t="s">
        <v>37</v>
      </c>
      <c r="Q3273" s="4" t="n">
        <v>8731</v>
      </c>
      <c r="R3273" s="2" t="s">
        <v>5508</v>
      </c>
      <c r="S3273" s="2" t="s">
        <v>5334</v>
      </c>
      <c r="T3273" s="2" t="s">
        <v>2444</v>
      </c>
      <c r="U3273" s="2" t="s">
        <v>24932</v>
      </c>
      <c r="V3273" s="2"/>
      <c r="W3273" s="2" t="s">
        <v>24933</v>
      </c>
      <c r="X3273" s="2" t="s">
        <v>43</v>
      </c>
      <c r="Y3273" s="2" t="s">
        <v>79</v>
      </c>
      <c r="Z3273" s="2" t="s">
        <v>44</v>
      </c>
      <c r="AA3273" s="2"/>
      <c r="AB3273" s="2"/>
      <c r="AC3273" s="2" t="s">
        <v>24934</v>
      </c>
      <c r="AD3273" s="2" t="s">
        <v>46</v>
      </c>
    </row>
    <row r="3274" customFormat="false" ht="15.7" hidden="false" customHeight="true" outlineLevel="0" collapsed="false">
      <c r="A3274" s="2"/>
      <c r="B3274" s="3" t="n">
        <f aca="false">DATE(2017,10,18)</f>
        <v>0</v>
      </c>
      <c r="C3274" s="3" t="n">
        <v>43026</v>
      </c>
      <c r="D3274" s="2" t="s">
        <v>24935</v>
      </c>
      <c r="F3274" s="2" t="s">
        <v>24936</v>
      </c>
      <c r="G3274" s="2" t="s">
        <v>24937</v>
      </c>
      <c r="H3274" s="2" t="s">
        <v>63</v>
      </c>
      <c r="I3274" s="2" t="s">
        <v>51</v>
      </c>
      <c r="J3274" s="2" t="s">
        <v>3045</v>
      </c>
      <c r="K3274" s="2" t="s">
        <v>24935</v>
      </c>
      <c r="L3274" s="2" t="s">
        <v>51</v>
      </c>
      <c r="M3274" s="2" t="s">
        <v>63</v>
      </c>
      <c r="N3274" s="2" t="s">
        <v>24938</v>
      </c>
      <c r="O3274" s="2"/>
      <c r="P3274" s="2" t="s">
        <v>79</v>
      </c>
      <c r="Q3274" s="4" t="n">
        <v>6794</v>
      </c>
      <c r="R3274" s="2" t="s">
        <v>56</v>
      </c>
      <c r="S3274" s="2" t="s">
        <v>7553</v>
      </c>
      <c r="T3274" s="2" t="s">
        <v>40</v>
      </c>
      <c r="U3274" s="2" t="s">
        <v>24939</v>
      </c>
      <c r="V3274" s="2"/>
      <c r="W3274" s="2" t="s">
        <v>7555</v>
      </c>
      <c r="X3274" s="2" t="s">
        <v>43</v>
      </c>
      <c r="Y3274" s="2" t="s">
        <v>37</v>
      </c>
      <c r="Z3274" s="2" t="s">
        <v>44</v>
      </c>
      <c r="AA3274" s="2"/>
      <c r="AB3274" s="2"/>
      <c r="AC3274" s="2" t="s">
        <v>24940</v>
      </c>
      <c r="AD3274" s="2" t="s">
        <v>46</v>
      </c>
    </row>
    <row r="3275" customFormat="false" ht="15.7" hidden="false" customHeight="true" outlineLevel="0" collapsed="false">
      <c r="A3275" s="2"/>
      <c r="B3275" s="3" t="n">
        <f aca="false">DATE(2017,10,18)</f>
        <v>0</v>
      </c>
      <c r="C3275" s="3" t="n">
        <v>43026</v>
      </c>
      <c r="D3275" s="2" t="s">
        <v>24941</v>
      </c>
      <c r="F3275" s="2" t="s">
        <v>24942</v>
      </c>
      <c r="G3275" s="2" t="s">
        <v>24943</v>
      </c>
      <c r="H3275" s="2" t="s">
        <v>24944</v>
      </c>
      <c r="I3275" s="2" t="s">
        <v>51</v>
      </c>
      <c r="J3275" s="2" t="s">
        <v>24945</v>
      </c>
      <c r="K3275" s="2" t="s">
        <v>24941</v>
      </c>
      <c r="L3275" s="2" t="s">
        <v>51</v>
      </c>
      <c r="M3275" s="2" t="s">
        <v>24944</v>
      </c>
      <c r="N3275" s="2" t="s">
        <v>24946</v>
      </c>
      <c r="O3275" s="2"/>
      <c r="P3275" s="2" t="s">
        <v>37</v>
      </c>
      <c r="Q3275" s="4" t="n">
        <v>8731</v>
      </c>
      <c r="R3275" s="2" t="s">
        <v>56</v>
      </c>
      <c r="S3275" s="2" t="s">
        <v>147</v>
      </c>
      <c r="T3275" s="2" t="s">
        <v>40</v>
      </c>
      <c r="U3275" s="2" t="s">
        <v>24947</v>
      </c>
      <c r="V3275" s="2"/>
      <c r="W3275" s="2" t="s">
        <v>24948</v>
      </c>
      <c r="X3275" s="2" t="s">
        <v>43</v>
      </c>
      <c r="Y3275" s="2" t="s">
        <v>37</v>
      </c>
      <c r="Z3275" s="2" t="s">
        <v>44</v>
      </c>
      <c r="AA3275" s="2"/>
      <c r="AB3275" s="2"/>
      <c r="AC3275" s="2" t="s">
        <v>24949</v>
      </c>
      <c r="AD3275" s="2" t="s">
        <v>46</v>
      </c>
    </row>
    <row r="3276" customFormat="false" ht="15.7" hidden="false" customHeight="true" outlineLevel="0" collapsed="false">
      <c r="A3276" s="2"/>
      <c r="B3276" s="3" t="n">
        <f aca="false">DATE(2017,10,18)</f>
        <v>0</v>
      </c>
      <c r="C3276" s="3" t="n">
        <v>43026</v>
      </c>
      <c r="D3276" s="2" t="s">
        <v>24950</v>
      </c>
      <c r="F3276" s="2" t="s">
        <v>14809</v>
      </c>
      <c r="G3276" s="2" t="s">
        <v>24951</v>
      </c>
      <c r="H3276" s="2" t="s">
        <v>368</v>
      </c>
      <c r="I3276" s="2" t="s">
        <v>51</v>
      </c>
      <c r="J3276" s="2" t="s">
        <v>171</v>
      </c>
      <c r="K3276" s="2" t="s">
        <v>24950</v>
      </c>
      <c r="L3276" s="2" t="s">
        <v>51</v>
      </c>
      <c r="M3276" s="2" t="s">
        <v>368</v>
      </c>
      <c r="N3276" s="2" t="s">
        <v>24952</v>
      </c>
      <c r="O3276" s="2"/>
      <c r="P3276" s="2" t="s">
        <v>37</v>
      </c>
      <c r="Q3276" s="4" t="n">
        <v>8731</v>
      </c>
      <c r="R3276" s="2" t="s">
        <v>56</v>
      </c>
      <c r="S3276" s="2" t="s">
        <v>92</v>
      </c>
      <c r="T3276" s="2" t="s">
        <v>40</v>
      </c>
      <c r="U3276" s="2" t="s">
        <v>24953</v>
      </c>
      <c r="V3276" s="2"/>
      <c r="W3276" s="2" t="s">
        <v>15545</v>
      </c>
      <c r="X3276" s="2" t="s">
        <v>43</v>
      </c>
      <c r="Y3276" s="2" t="s">
        <v>37</v>
      </c>
      <c r="Z3276" s="2" t="s">
        <v>44</v>
      </c>
      <c r="AA3276" s="2"/>
      <c r="AB3276" s="2"/>
      <c r="AC3276" s="2" t="s">
        <v>24954</v>
      </c>
      <c r="AD3276" s="2" t="s">
        <v>46</v>
      </c>
    </row>
    <row r="3277" customFormat="false" ht="15.7" hidden="false" customHeight="true" outlineLevel="0" collapsed="false">
      <c r="A3277" s="2"/>
      <c r="B3277" s="3" t="n">
        <f aca="false">DATE(2017,10,18)</f>
        <v>0</v>
      </c>
      <c r="C3277" s="3" t="n">
        <v>43026</v>
      </c>
      <c r="D3277" s="2" t="s">
        <v>24955</v>
      </c>
      <c r="F3277" s="2" t="s">
        <v>24956</v>
      </c>
      <c r="G3277" s="2" t="s">
        <v>24957</v>
      </c>
      <c r="H3277" s="2" t="s">
        <v>24958</v>
      </c>
      <c r="I3277" s="2" t="s">
        <v>24959</v>
      </c>
      <c r="J3277" s="2" t="s">
        <v>22864</v>
      </c>
      <c r="K3277" s="2" t="s">
        <v>24955</v>
      </c>
      <c r="L3277" s="2" t="s">
        <v>24959</v>
      </c>
      <c r="M3277" s="2" t="s">
        <v>24958</v>
      </c>
      <c r="N3277" s="2" t="s">
        <v>24960</v>
      </c>
      <c r="O3277" s="2"/>
      <c r="P3277" s="2" t="s">
        <v>37</v>
      </c>
      <c r="Q3277" s="4" t="n">
        <v>7378</v>
      </c>
      <c r="R3277" s="2" t="s">
        <v>24961</v>
      </c>
      <c r="S3277" s="2" t="s">
        <v>39</v>
      </c>
      <c r="T3277" s="2" t="s">
        <v>403</v>
      </c>
      <c r="U3277" s="2" t="s">
        <v>24962</v>
      </c>
      <c r="V3277" s="2"/>
      <c r="W3277" s="2" t="s">
        <v>24963</v>
      </c>
      <c r="X3277" s="2" t="s">
        <v>43</v>
      </c>
      <c r="Y3277" s="2" t="s">
        <v>37</v>
      </c>
      <c r="Z3277" s="2" t="s">
        <v>44</v>
      </c>
      <c r="AA3277" s="2"/>
      <c r="AB3277" s="2"/>
      <c r="AC3277" s="2" t="s">
        <v>24964</v>
      </c>
      <c r="AD3277" s="2" t="s">
        <v>46</v>
      </c>
    </row>
    <row r="3278" customFormat="false" ht="15.7" hidden="false" customHeight="true" outlineLevel="0" collapsed="false">
      <c r="A3278" s="2"/>
      <c r="B3278" s="3" t="n">
        <f aca="false">DATE(2017,10,18)</f>
        <v>0</v>
      </c>
      <c r="C3278" s="3" t="n">
        <v>43026</v>
      </c>
      <c r="D3278" s="2" t="s">
        <v>24965</v>
      </c>
      <c r="F3278" s="2" t="s">
        <v>24966</v>
      </c>
      <c r="G3278" s="2" t="s">
        <v>24967</v>
      </c>
      <c r="H3278" s="2" t="s">
        <v>523</v>
      </c>
      <c r="I3278" s="2" t="s">
        <v>487</v>
      </c>
      <c r="J3278" s="2" t="s">
        <v>132</v>
      </c>
      <c r="K3278" s="2" t="s">
        <v>24965</v>
      </c>
      <c r="L3278" s="2" t="s">
        <v>487</v>
      </c>
      <c r="M3278" s="2" t="s">
        <v>523</v>
      </c>
      <c r="N3278" s="2" t="s">
        <v>24968</v>
      </c>
      <c r="O3278" s="2"/>
      <c r="P3278" s="2" t="s">
        <v>37</v>
      </c>
      <c r="Q3278" s="4" t="n">
        <v>6794</v>
      </c>
      <c r="R3278" s="2" t="s">
        <v>1448</v>
      </c>
      <c r="S3278" s="2" t="s">
        <v>39</v>
      </c>
      <c r="T3278" s="2" t="s">
        <v>403</v>
      </c>
      <c r="U3278" s="2" t="s">
        <v>24969</v>
      </c>
      <c r="V3278" s="2"/>
      <c r="W3278" s="2" t="s">
        <v>15545</v>
      </c>
      <c r="X3278" s="2" t="s">
        <v>43</v>
      </c>
      <c r="Y3278" s="2" t="s">
        <v>37</v>
      </c>
      <c r="Z3278" s="2" t="s">
        <v>44</v>
      </c>
      <c r="AA3278" s="2"/>
      <c r="AB3278" s="2"/>
      <c r="AC3278" s="2" t="s">
        <v>24970</v>
      </c>
      <c r="AD3278" s="2" t="s">
        <v>46</v>
      </c>
    </row>
    <row r="3279" customFormat="false" ht="15.7" hidden="false" customHeight="true" outlineLevel="0" collapsed="false">
      <c r="A3279" s="2"/>
      <c r="B3279" s="3" t="n">
        <f aca="false">DATE(2017,10,19)</f>
        <v>0</v>
      </c>
      <c r="C3279" s="3" t="n">
        <v>43027</v>
      </c>
      <c r="D3279" s="2" t="s">
        <v>24971</v>
      </c>
      <c r="F3279" s="2" t="s">
        <v>21382</v>
      </c>
      <c r="G3279" s="2" t="s">
        <v>24972</v>
      </c>
      <c r="H3279" s="2" t="s">
        <v>63</v>
      </c>
      <c r="I3279" s="2" t="s">
        <v>51</v>
      </c>
      <c r="J3279" s="2" t="s">
        <v>1834</v>
      </c>
      <c r="K3279" s="2" t="s">
        <v>24973</v>
      </c>
      <c r="L3279" s="2" t="s">
        <v>51</v>
      </c>
      <c r="M3279" s="2" t="s">
        <v>63</v>
      </c>
      <c r="N3279" s="2" t="s">
        <v>24974</v>
      </c>
      <c r="O3279" s="2"/>
      <c r="P3279" s="2" t="s">
        <v>37</v>
      </c>
      <c r="Q3279" s="4" t="n">
        <v>8731</v>
      </c>
      <c r="R3279" s="2" t="s">
        <v>56</v>
      </c>
      <c r="S3279" s="2" t="s">
        <v>92</v>
      </c>
      <c r="T3279" s="2" t="s">
        <v>40</v>
      </c>
      <c r="U3279" s="2" t="s">
        <v>24975</v>
      </c>
      <c r="V3279" s="2"/>
      <c r="W3279" s="2" t="s">
        <v>42</v>
      </c>
      <c r="X3279" s="2" t="s">
        <v>43</v>
      </c>
      <c r="Y3279" s="2" t="s">
        <v>37</v>
      </c>
      <c r="Z3279" s="2" t="s">
        <v>44</v>
      </c>
      <c r="AA3279" s="2"/>
      <c r="AB3279" s="2"/>
      <c r="AC3279" s="2" t="s">
        <v>24976</v>
      </c>
      <c r="AD3279" s="2" t="s">
        <v>46</v>
      </c>
    </row>
    <row r="3280" customFormat="false" ht="15.7" hidden="false" customHeight="true" outlineLevel="0" collapsed="false">
      <c r="A3280" s="2"/>
      <c r="B3280" s="3" t="n">
        <f aca="false">DATE(2017,10,19)</f>
        <v>0</v>
      </c>
      <c r="C3280" s="3" t="n">
        <v>43027</v>
      </c>
      <c r="D3280" s="2" t="s">
        <v>24977</v>
      </c>
      <c r="F3280" s="2" t="s">
        <v>24978</v>
      </c>
      <c r="G3280" s="2" t="s">
        <v>24979</v>
      </c>
      <c r="H3280" s="2" t="s">
        <v>24980</v>
      </c>
      <c r="I3280" s="2" t="s">
        <v>7737</v>
      </c>
      <c r="J3280" s="2" t="s">
        <v>35</v>
      </c>
      <c r="K3280" s="2" t="s">
        <v>24981</v>
      </c>
      <c r="L3280" s="2" t="s">
        <v>5163</v>
      </c>
      <c r="M3280" s="2" t="s">
        <v>1952</v>
      </c>
      <c r="N3280" s="2" t="s">
        <v>24982</v>
      </c>
      <c r="O3280" s="2"/>
      <c r="P3280" s="2" t="s">
        <v>37</v>
      </c>
      <c r="Q3280" s="4" t="n">
        <v>8731</v>
      </c>
      <c r="R3280" s="2" t="s">
        <v>2201</v>
      </c>
      <c r="S3280" s="2" t="s">
        <v>39</v>
      </c>
      <c r="T3280" s="2" t="s">
        <v>40</v>
      </c>
      <c r="U3280" s="2" t="s">
        <v>24983</v>
      </c>
      <c r="V3280" s="2"/>
      <c r="W3280" s="2" t="s">
        <v>10985</v>
      </c>
      <c r="X3280" s="2" t="s">
        <v>46</v>
      </c>
      <c r="Y3280" s="2" t="s">
        <v>37</v>
      </c>
      <c r="Z3280" s="2" t="s">
        <v>44</v>
      </c>
      <c r="AA3280" s="2"/>
      <c r="AB3280" s="2"/>
      <c r="AC3280" s="2" t="s">
        <v>24984</v>
      </c>
      <c r="AD3280" s="2" t="s">
        <v>46</v>
      </c>
    </row>
    <row r="3281" customFormat="false" ht="15.7" hidden="false" customHeight="true" outlineLevel="0" collapsed="false">
      <c r="A3281" s="2"/>
      <c r="B3281" s="3" t="n">
        <f aca="false">DATE(2017,10,19)</f>
        <v>0</v>
      </c>
      <c r="C3281" s="3" t="n">
        <v>43027</v>
      </c>
      <c r="D3281" s="2" t="s">
        <v>24985</v>
      </c>
      <c r="F3281" s="2" t="s">
        <v>24986</v>
      </c>
      <c r="G3281" s="2" t="s">
        <v>24987</v>
      </c>
      <c r="H3281" s="2" t="s">
        <v>20159</v>
      </c>
      <c r="I3281" s="2" t="s">
        <v>51</v>
      </c>
      <c r="J3281" s="2" t="s">
        <v>24988</v>
      </c>
      <c r="K3281" s="2" t="s">
        <v>24989</v>
      </c>
      <c r="L3281" s="2" t="s">
        <v>51</v>
      </c>
      <c r="M3281" s="2" t="s">
        <v>14314</v>
      </c>
      <c r="N3281" s="2" t="s">
        <v>24990</v>
      </c>
      <c r="O3281" s="2"/>
      <c r="P3281" s="2" t="s">
        <v>37</v>
      </c>
      <c r="Q3281" s="4" t="n">
        <v>9711</v>
      </c>
      <c r="R3281" s="2" t="s">
        <v>56</v>
      </c>
      <c r="S3281" s="2" t="s">
        <v>360</v>
      </c>
      <c r="T3281" s="2" t="s">
        <v>403</v>
      </c>
      <c r="U3281" s="2" t="s">
        <v>24991</v>
      </c>
      <c r="V3281" s="2"/>
      <c r="W3281" s="2" t="s">
        <v>20413</v>
      </c>
      <c r="X3281" s="2" t="s">
        <v>43</v>
      </c>
      <c r="Y3281" s="2" t="s">
        <v>37</v>
      </c>
      <c r="Z3281" s="2" t="s">
        <v>44</v>
      </c>
      <c r="AA3281" s="2"/>
      <c r="AB3281" s="2"/>
      <c r="AC3281" s="2" t="s">
        <v>24992</v>
      </c>
      <c r="AD3281" s="2" t="s">
        <v>46</v>
      </c>
    </row>
    <row r="3282" customFormat="false" ht="15.7" hidden="false" customHeight="true" outlineLevel="0" collapsed="false">
      <c r="A3282" s="2"/>
      <c r="B3282" s="3" t="n">
        <f aca="false">DATE(2017,10,19)</f>
        <v>0</v>
      </c>
      <c r="C3282" s="3" t="n">
        <v>43027</v>
      </c>
      <c r="D3282" s="2" t="s">
        <v>24993</v>
      </c>
      <c r="F3282" s="2" t="s">
        <v>24994</v>
      </c>
      <c r="G3282" s="2" t="s">
        <v>24995</v>
      </c>
      <c r="H3282" s="2" t="s">
        <v>24996</v>
      </c>
      <c r="I3282" s="2" t="s">
        <v>51</v>
      </c>
      <c r="J3282" s="2" t="s">
        <v>16061</v>
      </c>
      <c r="K3282" s="2" t="s">
        <v>24997</v>
      </c>
      <c r="L3282" s="2" t="s">
        <v>51</v>
      </c>
      <c r="M3282" s="2" t="s">
        <v>16192</v>
      </c>
      <c r="N3282" s="2" t="s">
        <v>24998</v>
      </c>
      <c r="O3282" s="2"/>
      <c r="P3282" s="2" t="s">
        <v>37</v>
      </c>
      <c r="Q3282" s="4" t="n">
        <v>7372</v>
      </c>
      <c r="R3282" s="2" t="s">
        <v>56</v>
      </c>
      <c r="S3282" s="2" t="s">
        <v>380</v>
      </c>
      <c r="T3282" s="2" t="s">
        <v>403</v>
      </c>
      <c r="U3282" s="2" t="s">
        <v>24999</v>
      </c>
      <c r="V3282" s="2"/>
      <c r="W3282" s="2" t="s">
        <v>25000</v>
      </c>
      <c r="X3282" s="2" t="s">
        <v>43</v>
      </c>
      <c r="Y3282" s="2" t="s">
        <v>37</v>
      </c>
      <c r="Z3282" s="2" t="s">
        <v>44</v>
      </c>
      <c r="AA3282" s="2"/>
      <c r="AB3282" s="2"/>
      <c r="AC3282" s="2" t="s">
        <v>25001</v>
      </c>
      <c r="AD3282" s="2" t="s">
        <v>46</v>
      </c>
    </row>
    <row r="3283" customFormat="false" ht="15.7" hidden="false" customHeight="true" outlineLevel="0" collapsed="false">
      <c r="A3283" s="2"/>
      <c r="B3283" s="3" t="n">
        <f aca="false">DATE(2017,10,19)</f>
        <v>0</v>
      </c>
      <c r="C3283" s="3" t="n">
        <v>43027</v>
      </c>
      <c r="D3283" s="2" t="s">
        <v>25002</v>
      </c>
      <c r="F3283" s="2" t="s">
        <v>18436</v>
      </c>
      <c r="G3283" s="2" t="s">
        <v>25003</v>
      </c>
      <c r="H3283" s="2" t="s">
        <v>762</v>
      </c>
      <c r="I3283" s="2" t="s">
        <v>724</v>
      </c>
      <c r="J3283" s="2" t="s">
        <v>575</v>
      </c>
      <c r="K3283" s="2" t="s">
        <v>25004</v>
      </c>
      <c r="L3283" s="2" t="s">
        <v>724</v>
      </c>
      <c r="M3283" s="2" t="s">
        <v>387</v>
      </c>
      <c r="N3283" s="2" t="s">
        <v>25005</v>
      </c>
      <c r="O3283" s="2"/>
      <c r="P3283" s="2" t="s">
        <v>37</v>
      </c>
      <c r="Q3283" s="4" t="n">
        <v>6794</v>
      </c>
      <c r="R3283" s="2" t="s">
        <v>136</v>
      </c>
      <c r="S3283" s="2" t="s">
        <v>39</v>
      </c>
      <c r="T3283" s="2" t="s">
        <v>40</v>
      </c>
      <c r="U3283" s="2" t="s">
        <v>25006</v>
      </c>
      <c r="V3283" s="2"/>
      <c r="W3283" s="2" t="s">
        <v>15545</v>
      </c>
      <c r="X3283" s="2" t="s">
        <v>43</v>
      </c>
      <c r="Y3283" s="2" t="s">
        <v>37</v>
      </c>
      <c r="Z3283" s="2" t="s">
        <v>44</v>
      </c>
      <c r="AA3283" s="2"/>
      <c r="AB3283" s="2"/>
      <c r="AC3283" s="2" t="s">
        <v>25007</v>
      </c>
      <c r="AD3283" s="2" t="s">
        <v>46</v>
      </c>
    </row>
    <row r="3284" customFormat="false" ht="15.7" hidden="false" customHeight="true" outlineLevel="0" collapsed="false">
      <c r="A3284" s="2"/>
      <c r="B3284" s="3" t="n">
        <f aca="false">DATE(2017,10,19)</f>
        <v>0</v>
      </c>
      <c r="C3284" s="3" t="n">
        <v>43027</v>
      </c>
      <c r="D3284" s="2" t="s">
        <v>25008</v>
      </c>
      <c r="F3284" s="2" t="s">
        <v>11555</v>
      </c>
      <c r="G3284" s="2" t="s">
        <v>25009</v>
      </c>
      <c r="H3284" s="2" t="s">
        <v>305</v>
      </c>
      <c r="I3284" s="2" t="s">
        <v>51</v>
      </c>
      <c r="J3284" s="2" t="s">
        <v>178</v>
      </c>
      <c r="K3284" s="2" t="s">
        <v>25010</v>
      </c>
      <c r="L3284" s="2" t="s">
        <v>51</v>
      </c>
      <c r="M3284" s="2" t="s">
        <v>305</v>
      </c>
      <c r="N3284" s="2" t="s">
        <v>25011</v>
      </c>
      <c r="O3284" s="2"/>
      <c r="P3284" s="2" t="s">
        <v>37</v>
      </c>
      <c r="Q3284" s="4" t="n">
        <v>6794</v>
      </c>
      <c r="R3284" s="2" t="s">
        <v>136</v>
      </c>
      <c r="S3284" s="2" t="s">
        <v>39</v>
      </c>
      <c r="T3284" s="2" t="s">
        <v>40</v>
      </c>
      <c r="U3284" s="2" t="s">
        <v>25012</v>
      </c>
      <c r="V3284" s="2"/>
      <c r="W3284" s="2" t="s">
        <v>23951</v>
      </c>
      <c r="X3284" s="2" t="s">
        <v>43</v>
      </c>
      <c r="Y3284" s="2" t="s">
        <v>37</v>
      </c>
      <c r="Z3284" s="2" t="s">
        <v>44</v>
      </c>
      <c r="AA3284" s="2"/>
      <c r="AB3284" s="2"/>
      <c r="AC3284" s="2" t="s">
        <v>25013</v>
      </c>
      <c r="AD3284" s="2" t="s">
        <v>46</v>
      </c>
    </row>
    <row r="3285" customFormat="false" ht="15.7" hidden="false" customHeight="true" outlineLevel="0" collapsed="false">
      <c r="A3285" s="2"/>
      <c r="B3285" s="3" t="n">
        <f aca="false">DATE(2017,10,19)</f>
        <v>0</v>
      </c>
      <c r="C3285" s="3" t="n">
        <v>43027</v>
      </c>
      <c r="D3285" s="2" t="s">
        <v>25014</v>
      </c>
      <c r="F3285" s="2" t="s">
        <v>25015</v>
      </c>
      <c r="G3285" s="2" t="s">
        <v>25016</v>
      </c>
      <c r="H3285" s="2" t="s">
        <v>25017</v>
      </c>
      <c r="I3285" s="2" t="s">
        <v>51</v>
      </c>
      <c r="J3285" s="2" t="s">
        <v>1496</v>
      </c>
      <c r="K3285" s="2" t="s">
        <v>25018</v>
      </c>
      <c r="L3285" s="2" t="s">
        <v>51</v>
      </c>
      <c r="M3285" s="2" t="s">
        <v>25019</v>
      </c>
      <c r="N3285" s="2" t="s">
        <v>25020</v>
      </c>
      <c r="O3285" s="2"/>
      <c r="P3285" s="2" t="s">
        <v>37</v>
      </c>
      <c r="Q3285" s="4" t="n">
        <v>8731</v>
      </c>
      <c r="R3285" s="2" t="s">
        <v>56</v>
      </c>
      <c r="S3285" s="2" t="s">
        <v>1484</v>
      </c>
      <c r="T3285" s="2" t="s">
        <v>403</v>
      </c>
      <c r="U3285" s="2" t="s">
        <v>25021</v>
      </c>
      <c r="V3285" s="2"/>
      <c r="W3285" s="2" t="s">
        <v>2367</v>
      </c>
      <c r="X3285" s="2" t="s">
        <v>43</v>
      </c>
      <c r="Y3285" s="2" t="s">
        <v>37</v>
      </c>
      <c r="Z3285" s="2" t="s">
        <v>44</v>
      </c>
      <c r="AA3285" s="2"/>
      <c r="AB3285" s="2"/>
      <c r="AC3285" s="2" t="s">
        <v>25022</v>
      </c>
      <c r="AD3285" s="2" t="s">
        <v>46</v>
      </c>
    </row>
    <row r="3286" customFormat="false" ht="15.7" hidden="false" customHeight="true" outlineLevel="0" collapsed="false">
      <c r="A3286" s="2"/>
      <c r="B3286" s="3" t="n">
        <f aca="false">DATE(2017,10,19)</f>
        <v>0</v>
      </c>
      <c r="C3286" s="3" t="n">
        <v>43027</v>
      </c>
      <c r="D3286" s="2" t="s">
        <v>25023</v>
      </c>
      <c r="F3286" s="2" t="s">
        <v>25024</v>
      </c>
      <c r="G3286" s="2" t="s">
        <v>25025</v>
      </c>
      <c r="H3286" s="2" t="s">
        <v>25026</v>
      </c>
      <c r="I3286" s="2" t="s">
        <v>100</v>
      </c>
      <c r="J3286" s="2" t="s">
        <v>313</v>
      </c>
      <c r="K3286" s="2" t="s">
        <v>25027</v>
      </c>
      <c r="L3286" s="2" t="s">
        <v>100</v>
      </c>
      <c r="M3286" s="2" t="s">
        <v>25026</v>
      </c>
      <c r="N3286" s="2" t="s">
        <v>25028</v>
      </c>
      <c r="O3286" s="2"/>
      <c r="P3286" s="2" t="s">
        <v>37</v>
      </c>
      <c r="Q3286" s="4" t="n">
        <v>8731</v>
      </c>
      <c r="R3286" s="2" t="s">
        <v>56</v>
      </c>
      <c r="S3286" s="2" t="s">
        <v>315</v>
      </c>
      <c r="T3286" s="2" t="s">
        <v>40</v>
      </c>
      <c r="U3286" s="2" t="s">
        <v>25029</v>
      </c>
      <c r="V3286" s="2"/>
      <c r="W3286" s="2" t="s">
        <v>344</v>
      </c>
      <c r="X3286" s="2" t="s">
        <v>43</v>
      </c>
      <c r="Y3286" s="2" t="s">
        <v>37</v>
      </c>
      <c r="Z3286" s="2" t="s">
        <v>44</v>
      </c>
      <c r="AA3286" s="2"/>
      <c r="AB3286" s="2"/>
      <c r="AC3286" s="2" t="s">
        <v>25030</v>
      </c>
      <c r="AD3286" s="2" t="s">
        <v>46</v>
      </c>
    </row>
    <row r="3287" customFormat="false" ht="15.7" hidden="false" customHeight="true" outlineLevel="0" collapsed="false">
      <c r="A3287" s="2"/>
      <c r="B3287" s="3" t="n">
        <f aca="false">DATE(2017,10,19)</f>
        <v>0</v>
      </c>
      <c r="C3287" s="3" t="n">
        <v>43027</v>
      </c>
      <c r="D3287" s="2" t="s">
        <v>25031</v>
      </c>
      <c r="F3287" s="2" t="s">
        <v>25032</v>
      </c>
      <c r="G3287" s="2" t="s">
        <v>25033</v>
      </c>
      <c r="H3287" s="2" t="s">
        <v>25034</v>
      </c>
      <c r="I3287" s="2" t="s">
        <v>34</v>
      </c>
      <c r="J3287" s="2" t="s">
        <v>35</v>
      </c>
      <c r="K3287" s="2" t="s">
        <v>25035</v>
      </c>
      <c r="L3287" s="2" t="s">
        <v>34</v>
      </c>
      <c r="M3287" s="2" t="s">
        <v>25036</v>
      </c>
      <c r="N3287" s="2" t="s">
        <v>25037</v>
      </c>
      <c r="O3287" s="2"/>
      <c r="P3287" s="2" t="s">
        <v>37</v>
      </c>
      <c r="Q3287" s="4" t="n">
        <v>6794</v>
      </c>
      <c r="R3287" s="2" t="s">
        <v>34</v>
      </c>
      <c r="S3287" s="2" t="s">
        <v>5334</v>
      </c>
      <c r="T3287" s="2" t="s">
        <v>40</v>
      </c>
      <c r="U3287" s="2" t="s">
        <v>25038</v>
      </c>
      <c r="V3287" s="2"/>
      <c r="W3287" s="2" t="s">
        <v>15545</v>
      </c>
      <c r="X3287" s="2" t="s">
        <v>43</v>
      </c>
      <c r="Y3287" s="2" t="s">
        <v>37</v>
      </c>
      <c r="Z3287" s="2" t="s">
        <v>44</v>
      </c>
      <c r="AA3287" s="2"/>
      <c r="AB3287" s="2"/>
      <c r="AC3287" s="2" t="s">
        <v>25039</v>
      </c>
      <c r="AD3287" s="2" t="s">
        <v>46</v>
      </c>
    </row>
    <row r="3288" customFormat="false" ht="15.7" hidden="false" customHeight="true" outlineLevel="0" collapsed="false">
      <c r="A3288" s="2"/>
      <c r="B3288" s="3" t="n">
        <f aca="false">DATE(2017,10,23)</f>
        <v>0</v>
      </c>
      <c r="C3288" s="3" t="n">
        <v>43031</v>
      </c>
      <c r="D3288" s="2" t="s">
        <v>25040</v>
      </c>
      <c r="F3288" s="2" t="s">
        <v>25041</v>
      </c>
      <c r="G3288" s="2" t="s">
        <v>25042</v>
      </c>
      <c r="H3288" s="2" t="s">
        <v>1190</v>
      </c>
      <c r="I3288" s="2" t="s">
        <v>51</v>
      </c>
      <c r="J3288" s="2" t="s">
        <v>171</v>
      </c>
      <c r="K3288" s="2" t="s">
        <v>25040</v>
      </c>
      <c r="L3288" s="2" t="s">
        <v>51</v>
      </c>
      <c r="M3288" s="2" t="s">
        <v>1190</v>
      </c>
      <c r="N3288" s="2" t="s">
        <v>25043</v>
      </c>
      <c r="O3288" s="2"/>
      <c r="P3288" s="2" t="s">
        <v>37</v>
      </c>
      <c r="Q3288" s="4" t="n">
        <v>8731</v>
      </c>
      <c r="R3288" s="2" t="s">
        <v>56</v>
      </c>
      <c r="S3288" s="2"/>
      <c r="T3288" s="2" t="s">
        <v>40</v>
      </c>
      <c r="U3288" s="2" t="s">
        <v>25044</v>
      </c>
      <c r="V3288" s="2"/>
      <c r="W3288" s="2" t="s">
        <v>42</v>
      </c>
      <c r="X3288" s="2" t="s">
        <v>43</v>
      </c>
      <c r="Y3288" s="2" t="s">
        <v>37</v>
      </c>
      <c r="Z3288" s="2" t="s">
        <v>44</v>
      </c>
      <c r="AA3288" s="2"/>
      <c r="AB3288" s="2"/>
      <c r="AC3288" s="2" t="s">
        <v>25045</v>
      </c>
      <c r="AD3288" s="2" t="s">
        <v>46</v>
      </c>
    </row>
    <row r="3289" customFormat="false" ht="15.7" hidden="false" customHeight="true" outlineLevel="0" collapsed="false">
      <c r="A3289" s="2"/>
      <c r="B3289" s="3" t="n">
        <f aca="false">DATE(2017,10,23)</f>
        <v>0</v>
      </c>
      <c r="C3289" s="3" t="n">
        <v>43031</v>
      </c>
      <c r="D3289" s="2" t="s">
        <v>25046</v>
      </c>
      <c r="F3289" s="2" t="s">
        <v>25047</v>
      </c>
      <c r="G3289" s="2" t="s">
        <v>25048</v>
      </c>
      <c r="H3289" s="2" t="s">
        <v>21833</v>
      </c>
      <c r="I3289" s="2" t="s">
        <v>487</v>
      </c>
      <c r="J3289" s="2" t="s">
        <v>3906</v>
      </c>
      <c r="K3289" s="2" t="s">
        <v>25049</v>
      </c>
      <c r="L3289" s="2" t="s">
        <v>487</v>
      </c>
      <c r="M3289" s="2" t="s">
        <v>21833</v>
      </c>
      <c r="N3289" s="2" t="s">
        <v>25050</v>
      </c>
      <c r="O3289" s="2"/>
      <c r="P3289" s="2" t="s">
        <v>37</v>
      </c>
      <c r="Q3289" s="4" t="n">
        <v>8099</v>
      </c>
      <c r="R3289" s="2" t="s">
        <v>1448</v>
      </c>
      <c r="S3289" s="2" t="s">
        <v>39</v>
      </c>
      <c r="T3289" s="2" t="s">
        <v>40</v>
      </c>
      <c r="U3289" s="2" t="s">
        <v>25051</v>
      </c>
      <c r="V3289" s="2"/>
      <c r="W3289" s="2" t="s">
        <v>4487</v>
      </c>
      <c r="X3289" s="2" t="s">
        <v>43</v>
      </c>
      <c r="Y3289" s="2" t="s">
        <v>37</v>
      </c>
      <c r="Z3289" s="2" t="s">
        <v>44</v>
      </c>
      <c r="AA3289" s="2"/>
      <c r="AB3289" s="2"/>
      <c r="AC3289" s="2" t="s">
        <v>25052</v>
      </c>
      <c r="AD3289" s="2" t="s">
        <v>46</v>
      </c>
    </row>
    <row r="3290" customFormat="false" ht="15.7" hidden="false" customHeight="true" outlineLevel="0" collapsed="false">
      <c r="A3290" s="2"/>
      <c r="B3290" s="3" t="n">
        <f aca="false">DATE(2017,10,24)</f>
        <v>0</v>
      </c>
      <c r="C3290" s="3" t="n">
        <v>43032</v>
      </c>
      <c r="D3290" s="2" t="s">
        <v>25053</v>
      </c>
      <c r="F3290" s="2" t="s">
        <v>25054</v>
      </c>
      <c r="G3290" s="2" t="s">
        <v>25055</v>
      </c>
      <c r="H3290" s="2" t="s">
        <v>7075</v>
      </c>
      <c r="I3290" s="2" t="s">
        <v>51</v>
      </c>
      <c r="J3290" s="2" t="s">
        <v>25056</v>
      </c>
      <c r="K3290" s="2" t="s">
        <v>25053</v>
      </c>
      <c r="L3290" s="2" t="s">
        <v>51</v>
      </c>
      <c r="M3290" s="2" t="s">
        <v>7075</v>
      </c>
      <c r="N3290" s="2" t="s">
        <v>25057</v>
      </c>
      <c r="O3290" s="2"/>
      <c r="P3290" s="2" t="s">
        <v>37</v>
      </c>
      <c r="Q3290" s="4" t="n">
        <v>7538</v>
      </c>
      <c r="R3290" s="2" t="s">
        <v>136</v>
      </c>
      <c r="S3290" s="2" t="s">
        <v>39</v>
      </c>
      <c r="T3290" s="2" t="s">
        <v>40</v>
      </c>
      <c r="U3290" s="2" t="s">
        <v>25058</v>
      </c>
      <c r="V3290" s="2"/>
      <c r="W3290" s="2" t="s">
        <v>25059</v>
      </c>
      <c r="X3290" s="2" t="s">
        <v>43</v>
      </c>
      <c r="Y3290" s="2" t="s">
        <v>37</v>
      </c>
      <c r="Z3290" s="2" t="s">
        <v>44</v>
      </c>
      <c r="AA3290" s="2"/>
      <c r="AB3290" s="2"/>
      <c r="AC3290" s="2" t="s">
        <v>25060</v>
      </c>
      <c r="AD3290" s="2" t="s">
        <v>46</v>
      </c>
    </row>
    <row r="3291" customFormat="false" ht="15.7" hidden="false" customHeight="true" outlineLevel="0" collapsed="false">
      <c r="A3291" s="2"/>
      <c r="B3291" s="3" t="n">
        <f aca="false">DATE(2017,10,24)</f>
        <v>0</v>
      </c>
      <c r="C3291" s="3" t="n">
        <v>43032</v>
      </c>
      <c r="D3291" s="2" t="s">
        <v>25061</v>
      </c>
      <c r="F3291" s="2" t="s">
        <v>25062</v>
      </c>
      <c r="G3291" s="2" t="s">
        <v>25063</v>
      </c>
      <c r="H3291" s="2" t="s">
        <v>25064</v>
      </c>
      <c r="I3291" s="2" t="s">
        <v>11584</v>
      </c>
      <c r="J3291" s="2" t="s">
        <v>35</v>
      </c>
      <c r="K3291" s="2" t="s">
        <v>25061</v>
      </c>
      <c r="L3291" s="2" t="s">
        <v>11584</v>
      </c>
      <c r="M3291" s="2" t="s">
        <v>25064</v>
      </c>
      <c r="N3291" s="2" t="s">
        <v>25065</v>
      </c>
      <c r="O3291" s="2"/>
      <c r="P3291" s="2" t="s">
        <v>37</v>
      </c>
      <c r="Q3291" s="4" t="n">
        <v>7373</v>
      </c>
      <c r="R3291" s="2" t="s">
        <v>136</v>
      </c>
      <c r="S3291" s="2" t="s">
        <v>39</v>
      </c>
      <c r="T3291" s="2" t="s">
        <v>40</v>
      </c>
      <c r="U3291" s="2" t="s">
        <v>25066</v>
      </c>
      <c r="V3291" s="2"/>
      <c r="W3291" s="2" t="s">
        <v>25067</v>
      </c>
      <c r="X3291" s="2" t="s">
        <v>43</v>
      </c>
      <c r="Y3291" s="2" t="s">
        <v>37</v>
      </c>
      <c r="Z3291" s="2" t="s">
        <v>44</v>
      </c>
      <c r="AA3291" s="2"/>
      <c r="AB3291" s="2"/>
      <c r="AC3291" s="2" t="s">
        <v>25068</v>
      </c>
      <c r="AD3291" s="2" t="s">
        <v>46</v>
      </c>
    </row>
    <row r="3292" customFormat="false" ht="15.7" hidden="false" customHeight="true" outlineLevel="0" collapsed="false">
      <c r="A3292" s="2"/>
      <c r="B3292" s="3" t="n">
        <f aca="false">DATE(2017,10,25)</f>
        <v>0</v>
      </c>
      <c r="C3292" s="3" t="n">
        <v>43033</v>
      </c>
      <c r="D3292" s="2" t="s">
        <v>25069</v>
      </c>
      <c r="F3292" s="2" t="s">
        <v>1671</v>
      </c>
      <c r="G3292" s="2" t="s">
        <v>25070</v>
      </c>
      <c r="H3292" s="2" t="s">
        <v>130</v>
      </c>
      <c r="I3292" s="2" t="s">
        <v>51</v>
      </c>
      <c r="J3292" s="2" t="s">
        <v>14107</v>
      </c>
      <c r="K3292" s="2" t="s">
        <v>25069</v>
      </c>
      <c r="L3292" s="2" t="s">
        <v>51</v>
      </c>
      <c r="M3292" s="2" t="s">
        <v>130</v>
      </c>
      <c r="N3292" s="2" t="s">
        <v>25071</v>
      </c>
      <c r="O3292" s="2"/>
      <c r="P3292" s="2" t="s">
        <v>79</v>
      </c>
      <c r="Q3292" s="4" t="n">
        <v>6794</v>
      </c>
      <c r="R3292" s="2" t="s">
        <v>56</v>
      </c>
      <c r="S3292" s="2" t="s">
        <v>7553</v>
      </c>
      <c r="T3292" s="2" t="s">
        <v>40</v>
      </c>
      <c r="U3292" s="2" t="s">
        <v>25072</v>
      </c>
      <c r="V3292" s="2"/>
      <c r="W3292" s="2" t="s">
        <v>7555</v>
      </c>
      <c r="X3292" s="2" t="s">
        <v>43</v>
      </c>
      <c r="Y3292" s="2" t="s">
        <v>37</v>
      </c>
      <c r="Z3292" s="2" t="s">
        <v>44</v>
      </c>
      <c r="AA3292" s="2"/>
      <c r="AB3292" s="2"/>
      <c r="AC3292" s="2" t="s">
        <v>25073</v>
      </c>
      <c r="AD3292" s="2" t="s">
        <v>46</v>
      </c>
    </row>
    <row r="3293" customFormat="false" ht="15.7" hidden="false" customHeight="true" outlineLevel="0" collapsed="false">
      <c r="A3293" s="2"/>
      <c r="B3293" s="3" t="n">
        <f aca="false">DATE(2017,10,26)</f>
        <v>0</v>
      </c>
      <c r="C3293" s="3" t="n">
        <v>43034</v>
      </c>
      <c r="D3293" s="2" t="s">
        <v>25074</v>
      </c>
      <c r="F3293" s="2" t="s">
        <v>25075</v>
      </c>
      <c r="G3293" s="2" t="s">
        <v>25076</v>
      </c>
      <c r="H3293" s="2" t="s">
        <v>25077</v>
      </c>
      <c r="I3293" s="2" t="s">
        <v>1953</v>
      </c>
      <c r="J3293" s="2" t="s">
        <v>35</v>
      </c>
      <c r="K3293" s="2" t="s">
        <v>25074</v>
      </c>
      <c r="L3293" s="2" t="s">
        <v>1953</v>
      </c>
      <c r="M3293" s="2" t="s">
        <v>25077</v>
      </c>
      <c r="N3293" s="2" t="s">
        <v>25078</v>
      </c>
      <c r="O3293" s="2"/>
      <c r="P3293" s="2" t="s">
        <v>79</v>
      </c>
      <c r="Q3293" s="4" t="n">
        <v>6794</v>
      </c>
      <c r="R3293" s="2" t="s">
        <v>14795</v>
      </c>
      <c r="S3293" s="2" t="s">
        <v>5334</v>
      </c>
      <c r="T3293" s="2" t="s">
        <v>40</v>
      </c>
      <c r="U3293" s="2" t="s">
        <v>25079</v>
      </c>
      <c r="V3293" s="2"/>
      <c r="W3293" s="2" t="s">
        <v>11972</v>
      </c>
      <c r="X3293" s="2" t="s">
        <v>43</v>
      </c>
      <c r="Y3293" s="2" t="s">
        <v>79</v>
      </c>
      <c r="Z3293" s="2" t="s">
        <v>44</v>
      </c>
      <c r="AA3293" s="2"/>
      <c r="AB3293" s="2"/>
      <c r="AC3293" s="2" t="s">
        <v>25080</v>
      </c>
      <c r="AD3293" s="2" t="s">
        <v>46</v>
      </c>
    </row>
    <row r="3294" customFormat="false" ht="15.7" hidden="false" customHeight="true" outlineLevel="0" collapsed="false">
      <c r="A3294" s="2"/>
      <c r="B3294" s="3" t="n">
        <f aca="false">DATE(2017,10,26)</f>
        <v>0</v>
      </c>
      <c r="C3294" s="3" t="n">
        <v>43034</v>
      </c>
      <c r="D3294" s="2" t="s">
        <v>25081</v>
      </c>
      <c r="F3294" s="2" t="s">
        <v>25082</v>
      </c>
      <c r="G3294" s="2" t="s">
        <v>25083</v>
      </c>
      <c r="H3294" s="2" t="s">
        <v>25084</v>
      </c>
      <c r="I3294" s="2" t="s">
        <v>51</v>
      </c>
      <c r="J3294" s="2" t="s">
        <v>4723</v>
      </c>
      <c r="K3294" s="2" t="s">
        <v>25081</v>
      </c>
      <c r="L3294" s="2" t="s">
        <v>51</v>
      </c>
      <c r="M3294" s="2" t="s">
        <v>25084</v>
      </c>
      <c r="N3294" s="2" t="s">
        <v>25085</v>
      </c>
      <c r="O3294" s="2"/>
      <c r="P3294" s="2" t="s">
        <v>79</v>
      </c>
      <c r="Q3294" s="4" t="n">
        <v>8731</v>
      </c>
      <c r="R3294" s="2" t="s">
        <v>56</v>
      </c>
      <c r="S3294" s="2"/>
      <c r="T3294" s="2" t="s">
        <v>40</v>
      </c>
      <c r="U3294" s="2" t="s">
        <v>25086</v>
      </c>
      <c r="V3294" s="2"/>
      <c r="W3294" s="2" t="s">
        <v>10912</v>
      </c>
      <c r="X3294" s="2" t="s">
        <v>43</v>
      </c>
      <c r="Y3294" s="2" t="s">
        <v>37</v>
      </c>
      <c r="Z3294" s="2" t="s">
        <v>44</v>
      </c>
      <c r="AA3294" s="2"/>
      <c r="AB3294" s="2"/>
      <c r="AC3294" s="2" t="s">
        <v>25087</v>
      </c>
      <c r="AD3294" s="2" t="s">
        <v>46</v>
      </c>
    </row>
    <row r="3295" customFormat="false" ht="15.7" hidden="false" customHeight="true" outlineLevel="0" collapsed="false">
      <c r="A3295" s="2"/>
      <c r="B3295" s="3" t="n">
        <f aca="false">DATE(2017,10,26)</f>
        <v>0</v>
      </c>
      <c r="C3295" s="3" t="n">
        <v>43034</v>
      </c>
      <c r="D3295" s="2" t="s">
        <v>25088</v>
      </c>
      <c r="F3295" s="2" t="s">
        <v>17277</v>
      </c>
      <c r="G3295" s="2" t="s">
        <v>25089</v>
      </c>
      <c r="H3295" s="2" t="s">
        <v>523</v>
      </c>
      <c r="I3295" s="2" t="s">
        <v>180</v>
      </c>
      <c r="J3295" s="2" t="s">
        <v>331</v>
      </c>
      <c r="K3295" s="2" t="s">
        <v>25088</v>
      </c>
      <c r="L3295" s="2" t="s">
        <v>180</v>
      </c>
      <c r="M3295" s="2" t="s">
        <v>523</v>
      </c>
      <c r="N3295" s="2" t="s">
        <v>25090</v>
      </c>
      <c r="O3295" s="2"/>
      <c r="P3295" s="2" t="s">
        <v>37</v>
      </c>
      <c r="Q3295" s="4" t="n">
        <v>6794</v>
      </c>
      <c r="R3295" s="2" t="s">
        <v>88</v>
      </c>
      <c r="S3295" s="2" t="s">
        <v>24876</v>
      </c>
      <c r="T3295" s="2" t="s">
        <v>40</v>
      </c>
      <c r="U3295" s="2" t="s">
        <v>25091</v>
      </c>
      <c r="V3295" s="2"/>
      <c r="W3295" s="2" t="s">
        <v>15545</v>
      </c>
      <c r="X3295" s="2" t="s">
        <v>43</v>
      </c>
      <c r="Y3295" s="2" t="s">
        <v>79</v>
      </c>
      <c r="Z3295" s="2" t="s">
        <v>44</v>
      </c>
      <c r="AA3295" s="2"/>
      <c r="AB3295" s="2"/>
      <c r="AC3295" s="2" t="s">
        <v>25092</v>
      </c>
      <c r="AD3295" s="2" t="s">
        <v>46</v>
      </c>
    </row>
    <row r="3296" customFormat="false" ht="15.7" hidden="false" customHeight="true" outlineLevel="0" collapsed="false">
      <c r="A3296" s="2"/>
      <c r="B3296" s="3" t="n">
        <f aca="false">DATE(2017,10,27)</f>
        <v>0</v>
      </c>
      <c r="C3296" s="3" t="n">
        <v>43035</v>
      </c>
      <c r="D3296" s="2" t="s">
        <v>25093</v>
      </c>
      <c r="F3296" s="2" t="s">
        <v>25094</v>
      </c>
      <c r="G3296" s="2" t="s">
        <v>25095</v>
      </c>
      <c r="H3296" s="2" t="s">
        <v>11288</v>
      </c>
      <c r="I3296" s="2" t="s">
        <v>25096</v>
      </c>
      <c r="J3296" s="2" t="s">
        <v>3303</v>
      </c>
      <c r="K3296" s="2" t="s">
        <v>25093</v>
      </c>
      <c r="L3296" s="2" t="s">
        <v>25096</v>
      </c>
      <c r="M3296" s="2" t="s">
        <v>11288</v>
      </c>
      <c r="N3296" s="2" t="s">
        <v>25097</v>
      </c>
      <c r="O3296" s="2"/>
      <c r="P3296" s="2" t="s">
        <v>79</v>
      </c>
      <c r="Q3296" s="4" t="n">
        <v>6794</v>
      </c>
      <c r="R3296" s="2" t="s">
        <v>25098</v>
      </c>
      <c r="S3296" s="2" t="s">
        <v>39</v>
      </c>
      <c r="T3296" s="2" t="s">
        <v>40</v>
      </c>
      <c r="U3296" s="2" t="s">
        <v>25099</v>
      </c>
      <c r="V3296" s="2"/>
      <c r="W3296" s="2" t="s">
        <v>82</v>
      </c>
      <c r="X3296" s="2" t="s">
        <v>43</v>
      </c>
      <c r="Y3296" s="2" t="s">
        <v>37</v>
      </c>
      <c r="Z3296" s="2" t="s">
        <v>44</v>
      </c>
      <c r="AA3296" s="2"/>
      <c r="AB3296" s="2"/>
      <c r="AC3296" s="2" t="s">
        <v>25100</v>
      </c>
      <c r="AD3296" s="2" t="s">
        <v>46</v>
      </c>
    </row>
    <row r="3297" customFormat="false" ht="15.7" hidden="false" customHeight="true" outlineLevel="0" collapsed="false">
      <c r="A3297" s="2"/>
      <c r="B3297" s="3" t="n">
        <f aca="false">DATE(2017,10,30)</f>
        <v>0</v>
      </c>
      <c r="C3297" s="3" t="n">
        <v>43038</v>
      </c>
      <c r="D3297" s="2" t="s">
        <v>25101</v>
      </c>
      <c r="F3297" s="2" t="s">
        <v>25102</v>
      </c>
      <c r="G3297" s="2" t="s">
        <v>25103</v>
      </c>
      <c r="H3297" s="2" t="s">
        <v>25104</v>
      </c>
      <c r="I3297" s="2" t="s">
        <v>349</v>
      </c>
      <c r="J3297" s="2" t="s">
        <v>35</v>
      </c>
      <c r="K3297" s="2" t="s">
        <v>25105</v>
      </c>
      <c r="L3297" s="2" t="s">
        <v>6423</v>
      </c>
      <c r="M3297" s="2" t="s">
        <v>3840</v>
      </c>
      <c r="N3297" s="2" t="s">
        <v>25106</v>
      </c>
      <c r="O3297" s="2"/>
      <c r="P3297" s="2" t="s">
        <v>37</v>
      </c>
      <c r="Q3297" s="4" t="n">
        <v>8731</v>
      </c>
      <c r="R3297" s="2" t="s">
        <v>136</v>
      </c>
      <c r="S3297" s="2" t="s">
        <v>39</v>
      </c>
      <c r="T3297" s="2" t="s">
        <v>40</v>
      </c>
      <c r="U3297" s="2" t="s">
        <v>25107</v>
      </c>
      <c r="V3297" s="2"/>
      <c r="W3297" s="2" t="s">
        <v>344</v>
      </c>
      <c r="X3297" s="2" t="s">
        <v>43</v>
      </c>
      <c r="Y3297" s="2" t="s">
        <v>37</v>
      </c>
      <c r="Z3297" s="2" t="s">
        <v>44</v>
      </c>
      <c r="AA3297" s="2"/>
      <c r="AB3297" s="2"/>
      <c r="AC3297" s="2" t="s">
        <v>25108</v>
      </c>
      <c r="AD3297" s="2" t="s">
        <v>46</v>
      </c>
    </row>
    <row r="3298" customFormat="false" ht="15.7" hidden="false" customHeight="true" outlineLevel="0" collapsed="false">
      <c r="A3298" s="2"/>
      <c r="B3298" s="3" t="n">
        <f aca="false">DATE(2017,10,30)</f>
        <v>0</v>
      </c>
      <c r="C3298" s="3" t="n">
        <v>43038</v>
      </c>
      <c r="D3298" s="2" t="s">
        <v>25109</v>
      </c>
      <c r="F3298" s="2" t="s">
        <v>25110</v>
      </c>
      <c r="G3298" s="2" t="s">
        <v>25111</v>
      </c>
      <c r="H3298" s="2" t="s">
        <v>305</v>
      </c>
      <c r="I3298" s="2" t="s">
        <v>20020</v>
      </c>
      <c r="J3298" s="2" t="s">
        <v>35</v>
      </c>
      <c r="K3298" s="2" t="s">
        <v>25109</v>
      </c>
      <c r="L3298" s="2" t="s">
        <v>20020</v>
      </c>
      <c r="M3298" s="2" t="s">
        <v>305</v>
      </c>
      <c r="N3298" s="2" t="s">
        <v>25112</v>
      </c>
      <c r="O3298" s="2"/>
      <c r="P3298" s="2" t="s">
        <v>37</v>
      </c>
      <c r="Q3298" s="4" t="n">
        <v>8731</v>
      </c>
      <c r="R3298" s="2" t="s">
        <v>38</v>
      </c>
      <c r="S3298" s="2" t="s">
        <v>39</v>
      </c>
      <c r="T3298" s="2" t="s">
        <v>40</v>
      </c>
      <c r="U3298" s="2" t="s">
        <v>25113</v>
      </c>
      <c r="V3298" s="2"/>
      <c r="W3298" s="2" t="s">
        <v>344</v>
      </c>
      <c r="X3298" s="2" t="s">
        <v>43</v>
      </c>
      <c r="Y3298" s="2" t="s">
        <v>37</v>
      </c>
      <c r="Z3298" s="2" t="s">
        <v>44</v>
      </c>
      <c r="AA3298" s="2"/>
      <c r="AB3298" s="2"/>
      <c r="AC3298" s="2" t="s">
        <v>25114</v>
      </c>
      <c r="AD3298" s="2" t="s">
        <v>46</v>
      </c>
    </row>
    <row r="3299" customFormat="false" ht="15.7" hidden="false" customHeight="true" outlineLevel="0" collapsed="false">
      <c r="A3299" s="2"/>
      <c r="B3299" s="3" t="n">
        <f aca="false">DATE(2017,10,30)</f>
        <v>0</v>
      </c>
      <c r="C3299" s="3" t="n">
        <v>43038</v>
      </c>
      <c r="D3299" s="2" t="s">
        <v>25115</v>
      </c>
      <c r="F3299" s="2" t="s">
        <v>20650</v>
      </c>
      <c r="G3299" s="2" t="s">
        <v>25116</v>
      </c>
      <c r="H3299" s="2" t="s">
        <v>130</v>
      </c>
      <c r="I3299" s="2" t="s">
        <v>131</v>
      </c>
      <c r="J3299" s="2" t="s">
        <v>732</v>
      </c>
      <c r="K3299" s="2" t="s">
        <v>25117</v>
      </c>
      <c r="L3299" s="2" t="s">
        <v>131</v>
      </c>
      <c r="M3299" s="2" t="s">
        <v>130</v>
      </c>
      <c r="N3299" s="2" t="s">
        <v>25118</v>
      </c>
      <c r="O3299" s="2"/>
      <c r="P3299" s="2" t="s">
        <v>37</v>
      </c>
      <c r="Q3299" s="4" t="n">
        <v>6794</v>
      </c>
      <c r="R3299" s="2" t="s">
        <v>136</v>
      </c>
      <c r="S3299" s="2" t="s">
        <v>39</v>
      </c>
      <c r="T3299" s="2" t="s">
        <v>40</v>
      </c>
      <c r="U3299" s="2" t="s">
        <v>25119</v>
      </c>
      <c r="V3299" s="2"/>
      <c r="W3299" s="2" t="s">
        <v>25120</v>
      </c>
      <c r="X3299" s="2" t="s">
        <v>43</v>
      </c>
      <c r="Y3299" s="2" t="s">
        <v>37</v>
      </c>
      <c r="Z3299" s="2" t="s">
        <v>44</v>
      </c>
      <c r="AA3299" s="2"/>
      <c r="AB3299" s="2"/>
      <c r="AC3299" s="2" t="s">
        <v>25121</v>
      </c>
      <c r="AD3299" s="2" t="s">
        <v>46</v>
      </c>
    </row>
    <row r="3300" customFormat="false" ht="15.7" hidden="false" customHeight="true" outlineLevel="0" collapsed="false">
      <c r="A3300" s="2"/>
      <c r="B3300" s="3" t="n">
        <f aca="false">DATE(2017,10,30)</f>
        <v>0</v>
      </c>
      <c r="C3300" s="3" t="n">
        <v>43038</v>
      </c>
      <c r="D3300" s="2" t="s">
        <v>25122</v>
      </c>
      <c r="F3300" s="2" t="s">
        <v>25123</v>
      </c>
      <c r="G3300" s="2" t="s">
        <v>25124</v>
      </c>
      <c r="H3300" s="2" t="s">
        <v>305</v>
      </c>
      <c r="I3300" s="2" t="s">
        <v>5551</v>
      </c>
      <c r="J3300" s="2" t="s">
        <v>35</v>
      </c>
      <c r="K3300" s="2" t="s">
        <v>25125</v>
      </c>
      <c r="L3300" s="2" t="s">
        <v>5551</v>
      </c>
      <c r="M3300" s="2" t="s">
        <v>6008</v>
      </c>
      <c r="N3300" s="2" t="s">
        <v>25126</v>
      </c>
      <c r="O3300" s="2"/>
      <c r="P3300" s="2" t="s">
        <v>37</v>
      </c>
      <c r="Q3300" s="4" t="n">
        <v>8731</v>
      </c>
      <c r="R3300" s="2" t="s">
        <v>136</v>
      </c>
      <c r="S3300" s="2" t="s">
        <v>39</v>
      </c>
      <c r="T3300" s="2" t="s">
        <v>40</v>
      </c>
      <c r="U3300" s="2" t="s">
        <v>25127</v>
      </c>
      <c r="V3300" s="2"/>
      <c r="W3300" s="2" t="s">
        <v>344</v>
      </c>
      <c r="X3300" s="2" t="s">
        <v>43</v>
      </c>
      <c r="Y3300" s="2" t="s">
        <v>37</v>
      </c>
      <c r="Z3300" s="2" t="s">
        <v>44</v>
      </c>
      <c r="AA3300" s="2"/>
      <c r="AB3300" s="2"/>
      <c r="AC3300" s="2" t="s">
        <v>25128</v>
      </c>
      <c r="AD3300" s="2" t="s">
        <v>46</v>
      </c>
    </row>
    <row r="3301" customFormat="false" ht="15.7" hidden="false" customHeight="true" outlineLevel="0" collapsed="false">
      <c r="A3301" s="2"/>
      <c r="B3301" s="3" t="n">
        <f aca="false">DATE(2017,10,30)</f>
        <v>0</v>
      </c>
      <c r="C3301" s="3" t="n">
        <v>43038</v>
      </c>
      <c r="D3301" s="2" t="s">
        <v>25129</v>
      </c>
      <c r="F3301" s="2" t="s">
        <v>25130</v>
      </c>
      <c r="G3301" s="2" t="s">
        <v>25131</v>
      </c>
      <c r="H3301" s="2" t="s">
        <v>305</v>
      </c>
      <c r="I3301" s="2" t="s">
        <v>51</v>
      </c>
      <c r="J3301" s="2" t="s">
        <v>25132</v>
      </c>
      <c r="K3301" s="2" t="s">
        <v>25133</v>
      </c>
      <c r="L3301" s="2" t="s">
        <v>131</v>
      </c>
      <c r="M3301" s="2" t="s">
        <v>305</v>
      </c>
      <c r="N3301" s="2" t="s">
        <v>25134</v>
      </c>
      <c r="O3301" s="2"/>
      <c r="P3301" s="2" t="s">
        <v>37</v>
      </c>
      <c r="Q3301" s="4" t="n">
        <v>8731</v>
      </c>
      <c r="R3301" s="2" t="s">
        <v>56</v>
      </c>
      <c r="S3301" s="2" t="s">
        <v>481</v>
      </c>
      <c r="T3301" s="2" t="s">
        <v>40</v>
      </c>
      <c r="U3301" s="2" t="s">
        <v>25135</v>
      </c>
      <c r="V3301" s="2"/>
      <c r="W3301" s="2" t="s">
        <v>42</v>
      </c>
      <c r="X3301" s="2" t="s">
        <v>43</v>
      </c>
      <c r="Y3301" s="2" t="s">
        <v>37</v>
      </c>
      <c r="Z3301" s="2" t="s">
        <v>44</v>
      </c>
      <c r="AA3301" s="2"/>
      <c r="AB3301" s="2"/>
      <c r="AC3301" s="2" t="s">
        <v>25136</v>
      </c>
      <c r="AD3301" s="2" t="s">
        <v>46</v>
      </c>
    </row>
    <row r="3302" customFormat="false" ht="15.7" hidden="false" customHeight="true" outlineLevel="0" collapsed="false">
      <c r="A3302" s="2"/>
      <c r="B3302" s="3" t="n">
        <f aca="false">DATE(2017,10,30)</f>
        <v>0</v>
      </c>
      <c r="C3302" s="3" t="n">
        <v>43038</v>
      </c>
      <c r="D3302" s="2" t="s">
        <v>25137</v>
      </c>
      <c r="F3302" s="2" t="s">
        <v>25138</v>
      </c>
      <c r="G3302" s="2" t="s">
        <v>25139</v>
      </c>
      <c r="H3302" s="2" t="s">
        <v>551</v>
      </c>
      <c r="I3302" s="2" t="s">
        <v>6838</v>
      </c>
      <c r="J3302" s="2" t="s">
        <v>35</v>
      </c>
      <c r="K3302" s="2" t="s">
        <v>25137</v>
      </c>
      <c r="L3302" s="2" t="s">
        <v>6838</v>
      </c>
      <c r="M3302" s="2" t="s">
        <v>551</v>
      </c>
      <c r="N3302" s="2" t="s">
        <v>25140</v>
      </c>
      <c r="O3302" s="2"/>
      <c r="P3302" s="2" t="s">
        <v>37</v>
      </c>
      <c r="Q3302" s="4" t="n">
        <v>8099</v>
      </c>
      <c r="R3302" s="2" t="s">
        <v>402</v>
      </c>
      <c r="S3302" s="2" t="s">
        <v>39</v>
      </c>
      <c r="T3302" s="2" t="s">
        <v>403</v>
      </c>
      <c r="U3302" s="2" t="s">
        <v>25141</v>
      </c>
      <c r="V3302" s="2"/>
      <c r="W3302" s="2" t="s">
        <v>4487</v>
      </c>
      <c r="X3302" s="2" t="s">
        <v>46</v>
      </c>
      <c r="Y3302" s="2" t="s">
        <v>37</v>
      </c>
      <c r="Z3302" s="2" t="s">
        <v>20786</v>
      </c>
      <c r="AA3302" s="2" t="s">
        <v>25142</v>
      </c>
      <c r="AB3302" s="2"/>
      <c r="AC3302" s="2" t="s">
        <v>25143</v>
      </c>
      <c r="AD3302" s="2" t="s">
        <v>46</v>
      </c>
    </row>
    <row r="3303" customFormat="false" ht="15.7" hidden="false" customHeight="true" outlineLevel="0" collapsed="false">
      <c r="A3303" s="2"/>
      <c r="B3303" s="3" t="n">
        <f aca="false">DATE(2017,10,30)</f>
        <v>0</v>
      </c>
      <c r="C3303" s="3" t="n">
        <v>43038</v>
      </c>
      <c r="D3303" s="2" t="s">
        <v>25144</v>
      </c>
      <c r="F3303" s="2" t="s">
        <v>25145</v>
      </c>
      <c r="G3303" s="2" t="s">
        <v>25146</v>
      </c>
      <c r="H3303" s="2" t="s">
        <v>25147</v>
      </c>
      <c r="I3303" s="2" t="s">
        <v>25148</v>
      </c>
      <c r="J3303" s="2" t="s">
        <v>35</v>
      </c>
      <c r="K3303" s="2" t="s">
        <v>25144</v>
      </c>
      <c r="L3303" s="2" t="s">
        <v>25148</v>
      </c>
      <c r="M3303" s="2" t="s">
        <v>25147</v>
      </c>
      <c r="N3303" s="2" t="s">
        <v>25149</v>
      </c>
      <c r="O3303" s="2"/>
      <c r="P3303" s="2" t="s">
        <v>37</v>
      </c>
      <c r="Q3303" s="4" t="n">
        <v>8731</v>
      </c>
      <c r="R3303" s="2" t="s">
        <v>450</v>
      </c>
      <c r="S3303" s="2" t="s">
        <v>39</v>
      </c>
      <c r="T3303" s="2" t="s">
        <v>403</v>
      </c>
      <c r="U3303" s="2" t="s">
        <v>25150</v>
      </c>
      <c r="V3303" s="2"/>
      <c r="W3303" s="2" t="s">
        <v>25151</v>
      </c>
      <c r="X3303" s="2" t="s">
        <v>46</v>
      </c>
      <c r="Y3303" s="2" t="s">
        <v>37</v>
      </c>
      <c r="Z3303" s="2" t="s">
        <v>362</v>
      </c>
      <c r="AA3303" s="2"/>
      <c r="AB3303" s="2"/>
      <c r="AC3303" s="2" t="s">
        <v>25152</v>
      </c>
      <c r="AD3303" s="2" t="s">
        <v>46</v>
      </c>
    </row>
    <row r="3304" customFormat="false" ht="15.7" hidden="false" customHeight="true" outlineLevel="0" collapsed="false">
      <c r="A3304" s="2"/>
      <c r="B3304" s="3" t="n">
        <f aca="false">DATE(2017,10,30)</f>
        <v>0</v>
      </c>
      <c r="C3304" s="3" t="n">
        <v>43038</v>
      </c>
      <c r="D3304" s="2" t="s">
        <v>25153</v>
      </c>
      <c r="F3304" s="2" t="s">
        <v>25154</v>
      </c>
      <c r="G3304" s="2" t="s">
        <v>25155</v>
      </c>
      <c r="H3304" s="2" t="s">
        <v>18001</v>
      </c>
      <c r="I3304" s="2" t="s">
        <v>487</v>
      </c>
      <c r="J3304" s="2" t="s">
        <v>1891</v>
      </c>
      <c r="K3304" s="2" t="s">
        <v>25153</v>
      </c>
      <c r="L3304" s="2" t="s">
        <v>487</v>
      </c>
      <c r="M3304" s="2" t="s">
        <v>18001</v>
      </c>
      <c r="N3304" s="2" t="s">
        <v>25156</v>
      </c>
      <c r="O3304" s="2"/>
      <c r="P3304" s="2" t="s">
        <v>37</v>
      </c>
      <c r="Q3304" s="4" t="n">
        <v>3999</v>
      </c>
      <c r="R3304" s="2" t="s">
        <v>56</v>
      </c>
      <c r="S3304" s="2" t="s">
        <v>1226</v>
      </c>
      <c r="T3304" s="2" t="s">
        <v>40</v>
      </c>
      <c r="U3304" s="2" t="s">
        <v>25157</v>
      </c>
      <c r="V3304" s="2"/>
      <c r="W3304" s="2" t="s">
        <v>107</v>
      </c>
      <c r="X3304" s="2" t="s">
        <v>43</v>
      </c>
      <c r="Y3304" s="2" t="s">
        <v>37</v>
      </c>
      <c r="Z3304" s="2" t="s">
        <v>44</v>
      </c>
      <c r="AA3304" s="2"/>
      <c r="AB3304" s="2"/>
      <c r="AC3304" s="2" t="s">
        <v>25158</v>
      </c>
      <c r="AD3304" s="2" t="s">
        <v>46</v>
      </c>
    </row>
    <row r="3305" customFormat="false" ht="15.7" hidden="false" customHeight="true" outlineLevel="0" collapsed="false">
      <c r="A3305" s="2"/>
      <c r="B3305" s="3" t="n">
        <f aca="false">DATE(2017,10,31)</f>
        <v>0</v>
      </c>
      <c r="C3305" s="3" t="n">
        <v>43039</v>
      </c>
      <c r="D3305" s="2" t="s">
        <v>25159</v>
      </c>
      <c r="F3305" s="2" t="s">
        <v>1138</v>
      </c>
      <c r="G3305" s="2" t="s">
        <v>25160</v>
      </c>
      <c r="H3305" s="2" t="s">
        <v>305</v>
      </c>
      <c r="I3305" s="2" t="s">
        <v>670</v>
      </c>
      <c r="J3305" s="2" t="s">
        <v>671</v>
      </c>
      <c r="K3305" s="2" t="s">
        <v>25159</v>
      </c>
      <c r="L3305" s="2" t="s">
        <v>670</v>
      </c>
      <c r="M3305" s="2" t="s">
        <v>305</v>
      </c>
      <c r="N3305" s="2" t="s">
        <v>25161</v>
      </c>
      <c r="O3305" s="2"/>
      <c r="P3305" s="2" t="s">
        <v>37</v>
      </c>
      <c r="Q3305" s="4" t="n">
        <v>8742</v>
      </c>
      <c r="R3305" s="2" t="s">
        <v>670</v>
      </c>
      <c r="S3305" s="2" t="s">
        <v>10771</v>
      </c>
      <c r="T3305" s="2" t="s">
        <v>40</v>
      </c>
      <c r="U3305" s="2" t="s">
        <v>25162</v>
      </c>
      <c r="V3305" s="2"/>
      <c r="W3305" s="2" t="s">
        <v>7958</v>
      </c>
      <c r="X3305" s="2" t="s">
        <v>43</v>
      </c>
      <c r="Y3305" s="2" t="s">
        <v>79</v>
      </c>
      <c r="Z3305" s="2" t="s">
        <v>44</v>
      </c>
      <c r="AA3305" s="2"/>
      <c r="AB3305" s="2"/>
      <c r="AC3305" s="2" t="s">
        <v>25163</v>
      </c>
      <c r="AD3305" s="2" t="s">
        <v>46</v>
      </c>
    </row>
    <row r="3306" customFormat="false" ht="15.7" hidden="false" customHeight="true" outlineLevel="0" collapsed="false">
      <c r="A3306" s="2"/>
      <c r="B3306" s="3" t="n">
        <f aca="false">DATE(2017,10,31)</f>
        <v>0</v>
      </c>
      <c r="C3306" s="3" t="n">
        <v>43039</v>
      </c>
      <c r="D3306" s="2" t="s">
        <v>25164</v>
      </c>
      <c r="F3306" s="2" t="s">
        <v>25165</v>
      </c>
      <c r="G3306" s="2" t="s">
        <v>25166</v>
      </c>
      <c r="H3306" s="2" t="s">
        <v>230</v>
      </c>
      <c r="I3306" s="2" t="s">
        <v>540</v>
      </c>
      <c r="J3306" s="2" t="s">
        <v>35</v>
      </c>
      <c r="K3306" s="2" t="s">
        <v>25164</v>
      </c>
      <c r="L3306" s="2" t="s">
        <v>540</v>
      </c>
      <c r="M3306" s="2" t="s">
        <v>230</v>
      </c>
      <c r="N3306" s="2" t="s">
        <v>25167</v>
      </c>
      <c r="O3306" s="2"/>
      <c r="P3306" s="2" t="s">
        <v>37</v>
      </c>
      <c r="Q3306" s="4" t="n">
        <v>5099</v>
      </c>
      <c r="R3306" s="2" t="s">
        <v>1448</v>
      </c>
      <c r="S3306" s="2" t="s">
        <v>39</v>
      </c>
      <c r="T3306" s="2" t="s">
        <v>40</v>
      </c>
      <c r="U3306" s="2" t="s">
        <v>25168</v>
      </c>
      <c r="V3306" s="2"/>
      <c r="W3306" s="2" t="s">
        <v>13100</v>
      </c>
      <c r="X3306" s="2" t="s">
        <v>43</v>
      </c>
      <c r="Y3306" s="2" t="s">
        <v>37</v>
      </c>
      <c r="Z3306" s="2" t="s">
        <v>44</v>
      </c>
      <c r="AA3306" s="2"/>
      <c r="AB3306" s="2"/>
      <c r="AC3306" s="2" t="s">
        <v>25169</v>
      </c>
      <c r="AD3306" s="2" t="s">
        <v>46</v>
      </c>
    </row>
    <row r="3307" customFormat="false" ht="15.7" hidden="false" customHeight="true" outlineLevel="0" collapsed="false">
      <c r="A3307" s="2"/>
      <c r="B3307" s="3" t="n">
        <f aca="false">DATE(2017,10,31)</f>
        <v>0</v>
      </c>
      <c r="C3307" s="3" t="n">
        <v>43039</v>
      </c>
      <c r="D3307" s="2" t="s">
        <v>25170</v>
      </c>
      <c r="F3307" s="2" t="s">
        <v>17084</v>
      </c>
      <c r="G3307" s="2" t="s">
        <v>25171</v>
      </c>
      <c r="H3307" s="2" t="s">
        <v>762</v>
      </c>
      <c r="I3307" s="2" t="s">
        <v>51</v>
      </c>
      <c r="J3307" s="2" t="s">
        <v>171</v>
      </c>
      <c r="K3307" s="2" t="s">
        <v>25170</v>
      </c>
      <c r="L3307" s="2" t="s">
        <v>51</v>
      </c>
      <c r="M3307" s="2" t="s">
        <v>762</v>
      </c>
      <c r="N3307" s="2" t="s">
        <v>25172</v>
      </c>
      <c r="O3307" s="2"/>
      <c r="P3307" s="2" t="s">
        <v>79</v>
      </c>
      <c r="Q3307" s="4" t="n">
        <v>6794</v>
      </c>
      <c r="R3307" s="2" t="s">
        <v>136</v>
      </c>
      <c r="S3307" s="2" t="s">
        <v>39</v>
      </c>
      <c r="T3307" s="2" t="s">
        <v>40</v>
      </c>
      <c r="U3307" s="2" t="s">
        <v>25173</v>
      </c>
      <c r="V3307" s="2"/>
      <c r="W3307" s="2" t="s">
        <v>7555</v>
      </c>
      <c r="X3307" s="2" t="s">
        <v>43</v>
      </c>
      <c r="Y3307" s="2" t="s">
        <v>37</v>
      </c>
      <c r="Z3307" s="2" t="s">
        <v>44</v>
      </c>
      <c r="AA3307" s="2"/>
      <c r="AB3307" s="2"/>
      <c r="AC3307" s="2" t="s">
        <v>25174</v>
      </c>
      <c r="AD3307" s="2" t="s">
        <v>46</v>
      </c>
    </row>
    <row r="3308" customFormat="false" ht="15.7" hidden="false" customHeight="true" outlineLevel="0" collapsed="false">
      <c r="A3308" s="2"/>
      <c r="B3308" s="3" t="n">
        <f aca="false">DATE(2017,11,1)</f>
        <v>0</v>
      </c>
      <c r="C3308" s="3" t="n">
        <v>43040</v>
      </c>
      <c r="D3308" s="2" t="s">
        <v>25175</v>
      </c>
      <c r="F3308" s="2" t="s">
        <v>15884</v>
      </c>
      <c r="G3308" s="2" t="s">
        <v>25176</v>
      </c>
      <c r="H3308" s="2" t="s">
        <v>1027</v>
      </c>
      <c r="I3308" s="2" t="s">
        <v>388</v>
      </c>
      <c r="J3308" s="2" t="s">
        <v>625</v>
      </c>
      <c r="K3308" s="2" t="s">
        <v>25175</v>
      </c>
      <c r="L3308" s="2" t="s">
        <v>388</v>
      </c>
      <c r="M3308" s="2" t="s">
        <v>1027</v>
      </c>
      <c r="N3308" s="2" t="s">
        <v>25177</v>
      </c>
      <c r="O3308" s="2"/>
      <c r="P3308" s="2" t="s">
        <v>37</v>
      </c>
      <c r="Q3308" s="4" t="n">
        <v>8731</v>
      </c>
      <c r="R3308" s="2" t="s">
        <v>56</v>
      </c>
      <c r="S3308" s="2"/>
      <c r="T3308" s="2" t="s">
        <v>40</v>
      </c>
      <c r="U3308" s="2" t="s">
        <v>25178</v>
      </c>
      <c r="V3308" s="2"/>
      <c r="W3308" s="2" t="s">
        <v>344</v>
      </c>
      <c r="X3308" s="2" t="s">
        <v>43</v>
      </c>
      <c r="Y3308" s="2" t="s">
        <v>37</v>
      </c>
      <c r="Z3308" s="2" t="s">
        <v>44</v>
      </c>
      <c r="AA3308" s="2"/>
      <c r="AB3308" s="2"/>
      <c r="AC3308" s="2" t="s">
        <v>25179</v>
      </c>
      <c r="AD3308" s="2" t="s">
        <v>46</v>
      </c>
    </row>
    <row r="3309" customFormat="false" ht="15.7" hidden="false" customHeight="true" outlineLevel="0" collapsed="false">
      <c r="A3309" s="2"/>
      <c r="B3309" s="3" t="n">
        <f aca="false">DATE(2017,11,1)</f>
        <v>0</v>
      </c>
      <c r="C3309" s="3" t="n">
        <v>43040</v>
      </c>
      <c r="D3309" s="2" t="s">
        <v>25180</v>
      </c>
      <c r="F3309" s="2" t="s">
        <v>25181</v>
      </c>
      <c r="G3309" s="2" t="s">
        <v>25182</v>
      </c>
      <c r="H3309" s="2" t="s">
        <v>8049</v>
      </c>
      <c r="I3309" s="2" t="s">
        <v>51</v>
      </c>
      <c r="J3309" s="2" t="s">
        <v>25183</v>
      </c>
      <c r="K3309" s="2" t="s">
        <v>25180</v>
      </c>
      <c r="L3309" s="2" t="s">
        <v>51</v>
      </c>
      <c r="M3309" s="2" t="s">
        <v>8049</v>
      </c>
      <c r="N3309" s="2" t="s">
        <v>25184</v>
      </c>
      <c r="O3309" s="2"/>
      <c r="P3309" s="2" t="s">
        <v>37</v>
      </c>
      <c r="Q3309" s="4" t="n">
        <v>8731</v>
      </c>
      <c r="R3309" s="2" t="s">
        <v>56</v>
      </c>
      <c r="S3309" s="2"/>
      <c r="T3309" s="2" t="s">
        <v>40</v>
      </c>
      <c r="U3309" s="2" t="s">
        <v>25185</v>
      </c>
      <c r="V3309" s="2"/>
      <c r="W3309" s="2" t="s">
        <v>42</v>
      </c>
      <c r="X3309" s="2" t="s">
        <v>43</v>
      </c>
      <c r="Y3309" s="2" t="s">
        <v>37</v>
      </c>
      <c r="Z3309" s="2" t="s">
        <v>44</v>
      </c>
      <c r="AA3309" s="2"/>
      <c r="AB3309" s="2"/>
      <c r="AC3309" s="2" t="s">
        <v>25186</v>
      </c>
      <c r="AD3309" s="2" t="s">
        <v>46</v>
      </c>
    </row>
    <row r="3310" customFormat="false" ht="15.7" hidden="false" customHeight="true" outlineLevel="0" collapsed="false">
      <c r="A3310" s="2"/>
      <c r="B3310" s="3" t="n">
        <f aca="false">DATE(2017,11,1)</f>
        <v>0</v>
      </c>
      <c r="C3310" s="3" t="n">
        <v>43040</v>
      </c>
      <c r="D3310" s="2" t="s">
        <v>25187</v>
      </c>
      <c r="F3310" s="2" t="s">
        <v>25188</v>
      </c>
      <c r="G3310" s="2" t="s">
        <v>25189</v>
      </c>
      <c r="H3310" s="2" t="s">
        <v>25190</v>
      </c>
      <c r="I3310" s="2" t="s">
        <v>388</v>
      </c>
      <c r="J3310" s="2" t="s">
        <v>65</v>
      </c>
      <c r="K3310" s="2" t="s">
        <v>25187</v>
      </c>
      <c r="L3310" s="2" t="s">
        <v>388</v>
      </c>
      <c r="M3310" s="2" t="s">
        <v>25190</v>
      </c>
      <c r="N3310" s="2" t="s">
        <v>25191</v>
      </c>
      <c r="O3310" s="2"/>
      <c r="P3310" s="2" t="s">
        <v>37</v>
      </c>
      <c r="Q3310" s="4" t="n">
        <v>7299</v>
      </c>
      <c r="R3310" s="2" t="s">
        <v>56</v>
      </c>
      <c r="S3310" s="2" t="s">
        <v>92</v>
      </c>
      <c r="T3310" s="2" t="s">
        <v>403</v>
      </c>
      <c r="U3310" s="2" t="s">
        <v>25192</v>
      </c>
      <c r="V3310" s="2"/>
      <c r="W3310" s="2" t="s">
        <v>25193</v>
      </c>
      <c r="X3310" s="2" t="s">
        <v>43</v>
      </c>
      <c r="Y3310" s="2" t="s">
        <v>37</v>
      </c>
      <c r="Z3310" s="2" t="s">
        <v>44</v>
      </c>
      <c r="AA3310" s="2"/>
      <c r="AB3310" s="2"/>
      <c r="AC3310" s="2" t="s">
        <v>25194</v>
      </c>
      <c r="AD3310" s="2" t="s">
        <v>46</v>
      </c>
    </row>
    <row r="3311" customFormat="false" ht="15.7" hidden="false" customHeight="true" outlineLevel="0" collapsed="false">
      <c r="A3311" s="2"/>
      <c r="B3311" s="3" t="n">
        <f aca="false">DATE(2017,11,2)</f>
        <v>0</v>
      </c>
      <c r="C3311" s="3" t="n">
        <v>43041</v>
      </c>
      <c r="D3311" s="2" t="s">
        <v>25195</v>
      </c>
      <c r="F3311" s="2" t="s">
        <v>25196</v>
      </c>
      <c r="G3311" s="2" t="s">
        <v>25197</v>
      </c>
      <c r="H3311" s="2" t="s">
        <v>25198</v>
      </c>
      <c r="I3311" s="2" t="s">
        <v>25199</v>
      </c>
      <c r="J3311" s="2" t="s">
        <v>116</v>
      </c>
      <c r="K3311" s="2" t="s">
        <v>25195</v>
      </c>
      <c r="L3311" s="2" t="s">
        <v>25199</v>
      </c>
      <c r="M3311" s="2" t="s">
        <v>25198</v>
      </c>
      <c r="N3311" s="2" t="s">
        <v>25200</v>
      </c>
      <c r="O3311" s="2"/>
      <c r="P3311" s="2" t="s">
        <v>37</v>
      </c>
      <c r="Q3311" s="4" t="n">
        <v>8731</v>
      </c>
      <c r="R3311" s="2" t="s">
        <v>38</v>
      </c>
      <c r="S3311" s="2" t="s">
        <v>39</v>
      </c>
      <c r="T3311" s="2" t="s">
        <v>403</v>
      </c>
      <c r="U3311" s="2" t="s">
        <v>25201</v>
      </c>
      <c r="V3311" s="2"/>
      <c r="W3311" s="2" t="s">
        <v>2209</v>
      </c>
      <c r="X3311" s="2" t="s">
        <v>46</v>
      </c>
      <c r="Y3311" s="2" t="s">
        <v>37</v>
      </c>
      <c r="Z3311" s="2" t="s">
        <v>916</v>
      </c>
      <c r="AA3311" s="2"/>
      <c r="AB3311" s="2"/>
      <c r="AC3311" s="2" t="s">
        <v>25202</v>
      </c>
      <c r="AD3311" s="2" t="s">
        <v>46</v>
      </c>
    </row>
    <row r="3312" customFormat="false" ht="15.7" hidden="false" customHeight="true" outlineLevel="0" collapsed="false">
      <c r="A3312" s="2"/>
      <c r="B3312" s="3" t="n">
        <f aca="false">DATE(2017,11,2)</f>
        <v>0</v>
      </c>
      <c r="C3312" s="3" t="n">
        <v>43041</v>
      </c>
      <c r="D3312" s="2" t="s">
        <v>25203</v>
      </c>
      <c r="F3312" s="2" t="s">
        <v>18520</v>
      </c>
      <c r="G3312" s="2" t="s">
        <v>25204</v>
      </c>
      <c r="H3312" s="2" t="s">
        <v>1027</v>
      </c>
      <c r="I3312" s="2" t="s">
        <v>25205</v>
      </c>
      <c r="J3312" s="2" t="s">
        <v>35</v>
      </c>
      <c r="K3312" s="2" t="s">
        <v>25206</v>
      </c>
      <c r="L3312" s="2" t="s">
        <v>25205</v>
      </c>
      <c r="M3312" s="2" t="s">
        <v>1027</v>
      </c>
      <c r="N3312" s="2" t="s">
        <v>25207</v>
      </c>
      <c r="O3312" s="2"/>
      <c r="P3312" s="2" t="s">
        <v>37</v>
      </c>
      <c r="Q3312" s="4" t="n">
        <v>6794</v>
      </c>
      <c r="R3312" s="2" t="s">
        <v>136</v>
      </c>
      <c r="S3312" s="2" t="s">
        <v>39</v>
      </c>
      <c r="T3312" s="2" t="s">
        <v>40</v>
      </c>
      <c r="U3312" s="2" t="s">
        <v>25208</v>
      </c>
      <c r="V3312" s="2"/>
      <c r="W3312" s="2" t="s">
        <v>22971</v>
      </c>
      <c r="X3312" s="2" t="s">
        <v>43</v>
      </c>
      <c r="Y3312" s="2" t="s">
        <v>37</v>
      </c>
      <c r="Z3312" s="2" t="s">
        <v>44</v>
      </c>
      <c r="AA3312" s="2"/>
      <c r="AB3312" s="2"/>
      <c r="AC3312" s="2" t="s">
        <v>25209</v>
      </c>
      <c r="AD3312" s="2" t="s">
        <v>46</v>
      </c>
    </row>
    <row r="3313" customFormat="false" ht="15.7" hidden="false" customHeight="true" outlineLevel="0" collapsed="false">
      <c r="A3313" s="2"/>
      <c r="B3313" s="3" t="n">
        <f aca="false">DATE(2017,11,6)</f>
        <v>0</v>
      </c>
      <c r="C3313" s="3" t="n">
        <v>43045</v>
      </c>
      <c r="D3313" s="2" t="s">
        <v>25210</v>
      </c>
      <c r="F3313" s="2" t="s">
        <v>25211</v>
      </c>
      <c r="G3313" s="2" t="s">
        <v>25212</v>
      </c>
      <c r="H3313" s="2" t="s">
        <v>25213</v>
      </c>
      <c r="I3313" s="2" t="s">
        <v>4325</v>
      </c>
      <c r="J3313" s="2" t="s">
        <v>35</v>
      </c>
      <c r="K3313" s="2" t="s">
        <v>25210</v>
      </c>
      <c r="L3313" s="2" t="s">
        <v>4325</v>
      </c>
      <c r="M3313" s="2" t="s">
        <v>25213</v>
      </c>
      <c r="N3313" s="2" t="s">
        <v>25214</v>
      </c>
      <c r="O3313" s="2"/>
      <c r="P3313" s="2" t="s">
        <v>37</v>
      </c>
      <c r="Q3313" s="4" t="n">
        <v>3299</v>
      </c>
      <c r="R3313" s="2" t="s">
        <v>402</v>
      </c>
      <c r="S3313" s="2" t="s">
        <v>39</v>
      </c>
      <c r="T3313" s="2" t="s">
        <v>403</v>
      </c>
      <c r="U3313" s="2" t="s">
        <v>25215</v>
      </c>
      <c r="V3313" s="2"/>
      <c r="W3313" s="2" t="s">
        <v>697</v>
      </c>
      <c r="X3313" s="2" t="s">
        <v>46</v>
      </c>
      <c r="Y3313" s="2" t="s">
        <v>37</v>
      </c>
      <c r="Z3313" s="2" t="s">
        <v>756</v>
      </c>
      <c r="AA3313" s="2"/>
      <c r="AB3313" s="2"/>
      <c r="AC3313" s="2" t="s">
        <v>25216</v>
      </c>
      <c r="AD3313" s="2" t="s">
        <v>46</v>
      </c>
    </row>
    <row r="3314" customFormat="false" ht="15.7" hidden="false" customHeight="true" outlineLevel="0" collapsed="false">
      <c r="A3314" s="2"/>
      <c r="B3314" s="3" t="n">
        <f aca="false">DATE(2017,11,6)</f>
        <v>0</v>
      </c>
      <c r="C3314" s="3" t="n">
        <v>43045</v>
      </c>
      <c r="D3314" s="2" t="s">
        <v>25217</v>
      </c>
      <c r="F3314" s="2" t="s">
        <v>256</v>
      </c>
      <c r="G3314" s="2" t="s">
        <v>25218</v>
      </c>
      <c r="H3314" s="2" t="s">
        <v>170</v>
      </c>
      <c r="I3314" s="2" t="s">
        <v>4179</v>
      </c>
      <c r="J3314" s="2" t="s">
        <v>795</v>
      </c>
      <c r="K3314" s="2" t="s">
        <v>17609</v>
      </c>
      <c r="L3314" s="2" t="s">
        <v>17612</v>
      </c>
      <c r="M3314" s="2" t="s">
        <v>1181</v>
      </c>
      <c r="N3314" s="2" t="s">
        <v>25219</v>
      </c>
      <c r="O3314" s="2"/>
      <c r="P3314" s="2" t="s">
        <v>37</v>
      </c>
      <c r="Q3314" s="4" t="n">
        <v>8731</v>
      </c>
      <c r="R3314" s="2" t="s">
        <v>136</v>
      </c>
      <c r="S3314" s="2" t="s">
        <v>39</v>
      </c>
      <c r="T3314" s="2" t="s">
        <v>40</v>
      </c>
      <c r="U3314" s="2" t="s">
        <v>25220</v>
      </c>
      <c r="V3314" s="2"/>
      <c r="W3314" s="2" t="s">
        <v>344</v>
      </c>
      <c r="X3314" s="2" t="s">
        <v>43</v>
      </c>
      <c r="Y3314" s="2" t="s">
        <v>37</v>
      </c>
      <c r="Z3314" s="2" t="s">
        <v>44</v>
      </c>
      <c r="AA3314" s="2"/>
      <c r="AB3314" s="2"/>
      <c r="AC3314" s="2" t="s">
        <v>25221</v>
      </c>
      <c r="AD3314" s="2" t="s">
        <v>46</v>
      </c>
    </row>
    <row r="3315" customFormat="false" ht="15.7" hidden="false" customHeight="true" outlineLevel="0" collapsed="false">
      <c r="A3315" s="2"/>
      <c r="B3315" s="3" t="n">
        <f aca="false">DATE(2017,11,7)</f>
        <v>0</v>
      </c>
      <c r="C3315" s="3" t="n">
        <v>43046</v>
      </c>
      <c r="D3315" s="2" t="s">
        <v>25222</v>
      </c>
      <c r="F3315" s="2" t="s">
        <v>25223</v>
      </c>
      <c r="G3315" s="2" t="s">
        <v>25224</v>
      </c>
      <c r="H3315" s="2" t="s">
        <v>25225</v>
      </c>
      <c r="I3315" s="2" t="s">
        <v>5999</v>
      </c>
      <c r="J3315" s="2" t="s">
        <v>575</v>
      </c>
      <c r="K3315" s="2" t="s">
        <v>25226</v>
      </c>
      <c r="L3315" s="2" t="s">
        <v>5999</v>
      </c>
      <c r="M3315" s="2" t="s">
        <v>5088</v>
      </c>
      <c r="N3315" s="2" t="s">
        <v>25227</v>
      </c>
      <c r="O3315" s="2"/>
      <c r="P3315" s="2" t="s">
        <v>37</v>
      </c>
      <c r="Q3315" s="4" t="n">
        <v>8099</v>
      </c>
      <c r="R3315" s="2" t="s">
        <v>402</v>
      </c>
      <c r="S3315" s="2" t="s">
        <v>39</v>
      </c>
      <c r="T3315" s="2" t="s">
        <v>403</v>
      </c>
      <c r="U3315" s="2" t="s">
        <v>25228</v>
      </c>
      <c r="V3315" s="2"/>
      <c r="W3315" s="2" t="s">
        <v>4487</v>
      </c>
      <c r="X3315" s="2" t="s">
        <v>46</v>
      </c>
      <c r="Y3315" s="2" t="s">
        <v>37</v>
      </c>
      <c r="Z3315" s="2" t="s">
        <v>362</v>
      </c>
      <c r="AA3315" s="2"/>
      <c r="AB3315" s="2"/>
      <c r="AC3315" s="2" t="s">
        <v>25229</v>
      </c>
      <c r="AD3315" s="2" t="s">
        <v>46</v>
      </c>
    </row>
    <row r="3316" customFormat="false" ht="15.7" hidden="false" customHeight="true" outlineLevel="0" collapsed="false">
      <c r="A3316" s="2"/>
      <c r="B3316" s="3" t="n">
        <f aca="false">DATE(2017,11,7)</f>
        <v>0</v>
      </c>
      <c r="C3316" s="3" t="n">
        <v>43046</v>
      </c>
      <c r="D3316" s="2" t="s">
        <v>25230</v>
      </c>
      <c r="F3316" s="2" t="s">
        <v>25231</v>
      </c>
      <c r="G3316" s="2" t="s">
        <v>25232</v>
      </c>
      <c r="H3316" s="2" t="s">
        <v>1042</v>
      </c>
      <c r="I3316" s="2" t="s">
        <v>51</v>
      </c>
      <c r="J3316" s="2" t="s">
        <v>16137</v>
      </c>
      <c r="K3316" s="2" t="s">
        <v>25230</v>
      </c>
      <c r="L3316" s="2" t="s">
        <v>51</v>
      </c>
      <c r="M3316" s="2" t="s">
        <v>1042</v>
      </c>
      <c r="N3316" s="2" t="s">
        <v>25233</v>
      </c>
      <c r="O3316" s="2"/>
      <c r="P3316" s="2" t="s">
        <v>37</v>
      </c>
      <c r="Q3316" s="4" t="n">
        <v>8243</v>
      </c>
      <c r="R3316" s="2" t="s">
        <v>56</v>
      </c>
      <c r="S3316" s="2"/>
      <c r="T3316" s="2" t="s">
        <v>40</v>
      </c>
      <c r="U3316" s="2" t="s">
        <v>25234</v>
      </c>
      <c r="V3316" s="2"/>
      <c r="W3316" s="2" t="s">
        <v>25235</v>
      </c>
      <c r="X3316" s="2" t="s">
        <v>43</v>
      </c>
      <c r="Y3316" s="2" t="s">
        <v>37</v>
      </c>
      <c r="Z3316" s="2" t="s">
        <v>44</v>
      </c>
      <c r="AA3316" s="2"/>
      <c r="AB3316" s="2"/>
      <c r="AC3316" s="2" t="s">
        <v>25236</v>
      </c>
      <c r="AD3316" s="2" t="s">
        <v>46</v>
      </c>
    </row>
    <row r="3317" customFormat="false" ht="15.7" hidden="false" customHeight="true" outlineLevel="0" collapsed="false">
      <c r="A3317" s="2"/>
      <c r="B3317" s="3" t="n">
        <f aca="false">DATE(2017,11,8)</f>
        <v>0</v>
      </c>
      <c r="C3317" s="3" t="n">
        <v>43047</v>
      </c>
      <c r="D3317" s="2" t="s">
        <v>25237</v>
      </c>
      <c r="F3317" s="2" t="s">
        <v>25238</v>
      </c>
      <c r="G3317" s="2" t="s">
        <v>25239</v>
      </c>
      <c r="H3317" s="2" t="s">
        <v>387</v>
      </c>
      <c r="I3317" s="2" t="s">
        <v>899</v>
      </c>
      <c r="J3317" s="2" t="s">
        <v>258</v>
      </c>
      <c r="K3317" s="2" t="s">
        <v>25240</v>
      </c>
      <c r="L3317" s="2" t="s">
        <v>410</v>
      </c>
      <c r="M3317" s="2" t="s">
        <v>387</v>
      </c>
      <c r="N3317" s="2" t="s">
        <v>25241</v>
      </c>
      <c r="O3317" s="2"/>
      <c r="P3317" s="2" t="s">
        <v>37</v>
      </c>
      <c r="Q3317" s="4" t="n">
        <v>6794</v>
      </c>
      <c r="R3317" s="2" t="s">
        <v>202</v>
      </c>
      <c r="S3317" s="2" t="s">
        <v>297</v>
      </c>
      <c r="T3317" s="2" t="s">
        <v>40</v>
      </c>
      <c r="U3317" s="2" t="s">
        <v>25242</v>
      </c>
      <c r="V3317" s="2"/>
      <c r="W3317" s="2" t="s">
        <v>82</v>
      </c>
      <c r="X3317" s="2" t="s">
        <v>43</v>
      </c>
      <c r="Y3317" s="2" t="s">
        <v>79</v>
      </c>
      <c r="Z3317" s="2" t="s">
        <v>44</v>
      </c>
      <c r="AA3317" s="2"/>
      <c r="AB3317" s="2"/>
      <c r="AC3317" s="2" t="s">
        <v>25243</v>
      </c>
      <c r="AD3317" s="2" t="s">
        <v>46</v>
      </c>
    </row>
    <row r="3318" customFormat="false" ht="15.7" hidden="false" customHeight="true" outlineLevel="0" collapsed="false">
      <c r="A3318" s="2"/>
      <c r="B3318" s="3" t="n">
        <f aca="false">DATE(2017,11,8)</f>
        <v>0</v>
      </c>
      <c r="C3318" s="3" t="n">
        <v>43047</v>
      </c>
      <c r="D3318" s="2" t="s">
        <v>25244</v>
      </c>
      <c r="F3318" s="2" t="s">
        <v>25245</v>
      </c>
      <c r="G3318" s="2" t="s">
        <v>25246</v>
      </c>
      <c r="H3318" s="2" t="s">
        <v>1027</v>
      </c>
      <c r="I3318" s="2" t="s">
        <v>2581</v>
      </c>
      <c r="J3318" s="2" t="s">
        <v>35</v>
      </c>
      <c r="K3318" s="2" t="s">
        <v>25247</v>
      </c>
      <c r="L3318" s="2" t="s">
        <v>2581</v>
      </c>
      <c r="M3318" s="2" t="s">
        <v>1027</v>
      </c>
      <c r="N3318" s="2" t="s">
        <v>25248</v>
      </c>
      <c r="O3318" s="2"/>
      <c r="P3318" s="2" t="s">
        <v>37</v>
      </c>
      <c r="Q3318" s="4" t="n">
        <v>6794</v>
      </c>
      <c r="R3318" s="2" t="s">
        <v>136</v>
      </c>
      <c r="S3318" s="2" t="s">
        <v>39</v>
      </c>
      <c r="T3318" s="2" t="s">
        <v>40</v>
      </c>
      <c r="U3318" s="2" t="s">
        <v>25249</v>
      </c>
      <c r="V3318" s="2"/>
      <c r="W3318" s="2" t="s">
        <v>15545</v>
      </c>
      <c r="X3318" s="2" t="s">
        <v>43</v>
      </c>
      <c r="Y3318" s="2" t="s">
        <v>37</v>
      </c>
      <c r="Z3318" s="2" t="s">
        <v>44</v>
      </c>
      <c r="AA3318" s="2"/>
      <c r="AB3318" s="2"/>
      <c r="AC3318" s="2" t="s">
        <v>25250</v>
      </c>
      <c r="AD3318" s="2" t="s">
        <v>46</v>
      </c>
    </row>
    <row r="3319" customFormat="false" ht="15.7" hidden="false" customHeight="true" outlineLevel="0" collapsed="false">
      <c r="A3319" s="2"/>
      <c r="B3319" s="3" t="n">
        <f aca="false">DATE(2017,11,8)</f>
        <v>0</v>
      </c>
      <c r="C3319" s="3" t="n">
        <v>43047</v>
      </c>
      <c r="D3319" s="2" t="s">
        <v>25251</v>
      </c>
      <c r="F3319" s="2" t="s">
        <v>25252</v>
      </c>
      <c r="G3319" s="2" t="s">
        <v>25253</v>
      </c>
      <c r="H3319" s="2" t="s">
        <v>25254</v>
      </c>
      <c r="I3319" s="2" t="s">
        <v>6838</v>
      </c>
      <c r="J3319" s="2" t="s">
        <v>35</v>
      </c>
      <c r="K3319" s="2" t="s">
        <v>25251</v>
      </c>
      <c r="L3319" s="2" t="s">
        <v>6838</v>
      </c>
      <c r="M3319" s="2" t="s">
        <v>25254</v>
      </c>
      <c r="N3319" s="2" t="s">
        <v>25255</v>
      </c>
      <c r="O3319" s="2"/>
      <c r="P3319" s="2" t="s">
        <v>37</v>
      </c>
      <c r="Q3319" s="4" t="n">
        <v>8731</v>
      </c>
      <c r="R3319" s="2" t="s">
        <v>402</v>
      </c>
      <c r="S3319" s="2" t="s">
        <v>39</v>
      </c>
      <c r="T3319" s="2" t="s">
        <v>403</v>
      </c>
      <c r="U3319" s="2" t="s">
        <v>25256</v>
      </c>
      <c r="V3319" s="2"/>
      <c r="W3319" s="2" t="s">
        <v>42</v>
      </c>
      <c r="X3319" s="2" t="s">
        <v>46</v>
      </c>
      <c r="Y3319" s="2" t="s">
        <v>37</v>
      </c>
      <c r="Z3319" s="2" t="s">
        <v>756</v>
      </c>
      <c r="AA3319" s="2" t="s">
        <v>25257</v>
      </c>
      <c r="AB3319" s="2"/>
      <c r="AC3319" s="2" t="s">
        <v>25258</v>
      </c>
      <c r="AD3319" s="2" t="s">
        <v>46</v>
      </c>
    </row>
    <row r="3320" customFormat="false" ht="15.7" hidden="false" customHeight="true" outlineLevel="0" collapsed="false">
      <c r="A3320" s="2"/>
      <c r="B3320" s="3" t="n">
        <f aca="false">DATE(2017,11,8)</f>
        <v>0</v>
      </c>
      <c r="C3320" s="3" t="n">
        <v>43047</v>
      </c>
      <c r="D3320" s="2" t="s">
        <v>25259</v>
      </c>
      <c r="F3320" s="2" t="s">
        <v>25260</v>
      </c>
      <c r="G3320" s="2" t="s">
        <v>25261</v>
      </c>
      <c r="H3320" s="2" t="s">
        <v>25262</v>
      </c>
      <c r="I3320" s="2" t="s">
        <v>6838</v>
      </c>
      <c r="J3320" s="2" t="s">
        <v>35</v>
      </c>
      <c r="K3320" s="2" t="s">
        <v>25259</v>
      </c>
      <c r="L3320" s="2" t="s">
        <v>6838</v>
      </c>
      <c r="M3320" s="2" t="s">
        <v>25262</v>
      </c>
      <c r="N3320" s="2" t="s">
        <v>25263</v>
      </c>
      <c r="O3320" s="2"/>
      <c r="P3320" s="2" t="s">
        <v>37</v>
      </c>
      <c r="Q3320" s="4" t="n">
        <v>8731</v>
      </c>
      <c r="R3320" s="2" t="s">
        <v>402</v>
      </c>
      <c r="S3320" s="2" t="s">
        <v>39</v>
      </c>
      <c r="T3320" s="2" t="s">
        <v>403</v>
      </c>
      <c r="U3320" s="2" t="s">
        <v>25264</v>
      </c>
      <c r="V3320" s="2"/>
      <c r="W3320" s="2" t="s">
        <v>42</v>
      </c>
      <c r="X3320" s="2" t="s">
        <v>46</v>
      </c>
      <c r="Y3320" s="2" t="s">
        <v>37</v>
      </c>
      <c r="Z3320" s="2" t="s">
        <v>1639</v>
      </c>
      <c r="AA3320" s="2" t="s">
        <v>25265</v>
      </c>
      <c r="AB3320" s="2"/>
      <c r="AC3320" s="2" t="s">
        <v>25266</v>
      </c>
      <c r="AD3320" s="2" t="s">
        <v>46</v>
      </c>
    </row>
    <row r="3321" customFormat="false" ht="15.7" hidden="false" customHeight="true" outlineLevel="0" collapsed="false">
      <c r="A3321" s="2"/>
      <c r="B3321" s="3" t="n">
        <f aca="false">DATE(2017,11,9)</f>
        <v>0</v>
      </c>
      <c r="C3321" s="3" t="n">
        <v>43048</v>
      </c>
      <c r="D3321" s="2" t="s">
        <v>25267</v>
      </c>
      <c r="F3321" s="2" t="s">
        <v>25268</v>
      </c>
      <c r="G3321" s="2" t="s">
        <v>25269</v>
      </c>
      <c r="H3321" s="2" t="s">
        <v>25270</v>
      </c>
      <c r="I3321" s="2" t="s">
        <v>2354</v>
      </c>
      <c r="J3321" s="2" t="s">
        <v>35</v>
      </c>
      <c r="K3321" s="2" t="s">
        <v>25267</v>
      </c>
      <c r="L3321" s="2" t="s">
        <v>2354</v>
      </c>
      <c r="M3321" s="2" t="s">
        <v>25270</v>
      </c>
      <c r="N3321" s="2" t="s">
        <v>25271</v>
      </c>
      <c r="O3321" s="2"/>
      <c r="P3321" s="2" t="s">
        <v>37</v>
      </c>
      <c r="Q3321" s="4" t="n">
        <v>8731</v>
      </c>
      <c r="R3321" s="2" t="s">
        <v>105</v>
      </c>
      <c r="S3321" s="2" t="s">
        <v>39</v>
      </c>
      <c r="T3321" s="2" t="s">
        <v>40</v>
      </c>
      <c r="U3321" s="2" t="s">
        <v>25272</v>
      </c>
      <c r="V3321" s="2"/>
      <c r="W3321" s="2" t="s">
        <v>3235</v>
      </c>
      <c r="X3321" s="2" t="s">
        <v>43</v>
      </c>
      <c r="Y3321" s="2" t="s">
        <v>37</v>
      </c>
      <c r="Z3321" s="2" t="s">
        <v>44</v>
      </c>
      <c r="AA3321" s="2"/>
      <c r="AB3321" s="2"/>
      <c r="AC3321" s="2" t="s">
        <v>25273</v>
      </c>
      <c r="AD3321" s="2" t="s">
        <v>46</v>
      </c>
    </row>
    <row r="3322" customFormat="false" ht="15.7" hidden="false" customHeight="true" outlineLevel="0" collapsed="false">
      <c r="A3322" s="2"/>
      <c r="B3322" s="3" t="n">
        <f aca="false">DATE(2017,11,9)</f>
        <v>0</v>
      </c>
      <c r="C3322" s="3" t="n">
        <v>43048</v>
      </c>
      <c r="D3322" s="2" t="s">
        <v>25274</v>
      </c>
      <c r="F3322" s="2" t="s">
        <v>25047</v>
      </c>
      <c r="G3322" s="2" t="s">
        <v>25275</v>
      </c>
      <c r="H3322" s="2" t="s">
        <v>21833</v>
      </c>
      <c r="I3322" s="2" t="s">
        <v>20997</v>
      </c>
      <c r="J3322" s="2" t="s">
        <v>35</v>
      </c>
      <c r="K3322" s="2" t="s">
        <v>25274</v>
      </c>
      <c r="L3322" s="2" t="s">
        <v>20997</v>
      </c>
      <c r="M3322" s="2" t="s">
        <v>21833</v>
      </c>
      <c r="N3322" s="2" t="s">
        <v>25276</v>
      </c>
      <c r="O3322" s="2"/>
      <c r="P3322" s="2" t="s">
        <v>37</v>
      </c>
      <c r="Q3322" s="4" t="n">
        <v>8099</v>
      </c>
      <c r="R3322" s="2" t="s">
        <v>136</v>
      </c>
      <c r="S3322" s="2" t="s">
        <v>39</v>
      </c>
      <c r="T3322" s="2" t="s">
        <v>673</v>
      </c>
      <c r="U3322" s="2" t="s">
        <v>25277</v>
      </c>
      <c r="V3322" s="2"/>
      <c r="W3322" s="2" t="s">
        <v>25278</v>
      </c>
      <c r="X3322" s="2" t="s">
        <v>43</v>
      </c>
      <c r="Y3322" s="2" t="s">
        <v>37</v>
      </c>
      <c r="Z3322" s="2" t="s">
        <v>44</v>
      </c>
      <c r="AA3322" s="2"/>
      <c r="AB3322" s="2"/>
      <c r="AC3322" s="2" t="s">
        <v>25279</v>
      </c>
      <c r="AD3322" s="2" t="s">
        <v>46</v>
      </c>
    </row>
    <row r="3323" customFormat="false" ht="15.7" hidden="false" customHeight="true" outlineLevel="0" collapsed="false">
      <c r="A3323" s="2"/>
      <c r="B3323" s="3" t="n">
        <f aca="false">DATE(2017,11,9)</f>
        <v>0</v>
      </c>
      <c r="C3323" s="3" t="n">
        <v>43048</v>
      </c>
      <c r="D3323" s="2" t="s">
        <v>25280</v>
      </c>
      <c r="F3323" s="2" t="s">
        <v>25281</v>
      </c>
      <c r="G3323" s="2" t="s">
        <v>25282</v>
      </c>
      <c r="H3323" s="2" t="s">
        <v>25283</v>
      </c>
      <c r="I3323" s="2" t="s">
        <v>51</v>
      </c>
      <c r="J3323" s="2" t="s">
        <v>5211</v>
      </c>
      <c r="K3323" s="2" t="s">
        <v>25280</v>
      </c>
      <c r="L3323" s="2" t="s">
        <v>51</v>
      </c>
      <c r="M3323" s="2" t="s">
        <v>25283</v>
      </c>
      <c r="N3323" s="2" t="s">
        <v>25284</v>
      </c>
      <c r="O3323" s="2"/>
      <c r="P3323" s="2" t="s">
        <v>37</v>
      </c>
      <c r="Q3323" s="4" t="n">
        <v>8731</v>
      </c>
      <c r="R3323" s="2"/>
      <c r="S3323" s="2"/>
      <c r="T3323" s="2" t="s">
        <v>40</v>
      </c>
      <c r="U3323" s="2" t="s">
        <v>25285</v>
      </c>
      <c r="V3323" s="2"/>
      <c r="W3323" s="2" t="s">
        <v>25286</v>
      </c>
      <c r="X3323" s="2" t="s">
        <v>46</v>
      </c>
      <c r="Y3323" s="2" t="s">
        <v>37</v>
      </c>
      <c r="Z3323" s="2" t="s">
        <v>44</v>
      </c>
      <c r="AA3323" s="2"/>
      <c r="AB3323" s="2"/>
      <c r="AC3323" s="2" t="s">
        <v>25287</v>
      </c>
      <c r="AD3323" s="2" t="s">
        <v>46</v>
      </c>
    </row>
    <row r="3324" customFormat="false" ht="15.7" hidden="false" customHeight="true" outlineLevel="0" collapsed="false">
      <c r="A3324" s="2"/>
      <c r="B3324" s="3" t="n">
        <f aca="false">DATE(2017,11,9)</f>
        <v>0</v>
      </c>
      <c r="C3324" s="3" t="n">
        <v>43048</v>
      </c>
      <c r="D3324" s="2" t="s">
        <v>25288</v>
      </c>
      <c r="F3324" s="2" t="s">
        <v>25289</v>
      </c>
      <c r="G3324" s="2" t="s">
        <v>25290</v>
      </c>
      <c r="H3324" s="2" t="s">
        <v>25291</v>
      </c>
      <c r="I3324" s="2" t="s">
        <v>8550</v>
      </c>
      <c r="J3324" s="2" t="s">
        <v>1983</v>
      </c>
      <c r="K3324" s="2" t="s">
        <v>25288</v>
      </c>
      <c r="L3324" s="2" t="s">
        <v>8550</v>
      </c>
      <c r="M3324" s="2" t="s">
        <v>25291</v>
      </c>
      <c r="N3324" s="2" t="s">
        <v>25292</v>
      </c>
      <c r="O3324" s="2"/>
      <c r="P3324" s="2" t="s">
        <v>37</v>
      </c>
      <c r="Q3324" s="4" t="n">
        <v>8731</v>
      </c>
      <c r="R3324" s="2" t="s">
        <v>21683</v>
      </c>
      <c r="S3324" s="2" t="s">
        <v>25293</v>
      </c>
      <c r="T3324" s="2" t="s">
        <v>403</v>
      </c>
      <c r="U3324" s="2" t="s">
        <v>25294</v>
      </c>
      <c r="V3324" s="2"/>
      <c r="W3324" s="2" t="s">
        <v>42</v>
      </c>
      <c r="X3324" s="2" t="s">
        <v>43</v>
      </c>
      <c r="Y3324" s="2" t="s">
        <v>79</v>
      </c>
      <c r="Z3324" s="2" t="s">
        <v>44</v>
      </c>
      <c r="AA3324" s="2"/>
      <c r="AB3324" s="2"/>
      <c r="AC3324" s="2" t="s">
        <v>25295</v>
      </c>
      <c r="AD3324" s="2" t="s">
        <v>46</v>
      </c>
    </row>
    <row r="3325" customFormat="false" ht="15.7" hidden="false" customHeight="true" outlineLevel="0" collapsed="false">
      <c r="A3325" s="2"/>
      <c r="B3325" s="3" t="n">
        <f aca="false">DATE(2017,11,9)</f>
        <v>0</v>
      </c>
      <c r="C3325" s="3" t="n">
        <v>43048</v>
      </c>
      <c r="D3325" s="2" t="s">
        <v>25296</v>
      </c>
      <c r="F3325" s="2" t="s">
        <v>25297</v>
      </c>
      <c r="G3325" s="2" t="s">
        <v>25298</v>
      </c>
      <c r="H3325" s="2" t="s">
        <v>4987</v>
      </c>
      <c r="I3325" s="2" t="s">
        <v>51</v>
      </c>
      <c r="J3325" s="2" t="s">
        <v>25299</v>
      </c>
      <c r="K3325" s="2" t="s">
        <v>25300</v>
      </c>
      <c r="L3325" s="2" t="s">
        <v>51</v>
      </c>
      <c r="M3325" s="2" t="s">
        <v>5251</v>
      </c>
      <c r="N3325" s="2" t="s">
        <v>25301</v>
      </c>
      <c r="O3325" s="2"/>
      <c r="P3325" s="2" t="s">
        <v>37</v>
      </c>
      <c r="Q3325" s="4" t="n">
        <v>3845</v>
      </c>
      <c r="R3325" s="2" t="s">
        <v>136</v>
      </c>
      <c r="S3325" s="2" t="s">
        <v>39</v>
      </c>
      <c r="T3325" s="2" t="s">
        <v>40</v>
      </c>
      <c r="U3325" s="2" t="s">
        <v>25302</v>
      </c>
      <c r="V3325" s="2"/>
      <c r="W3325" s="2" t="s">
        <v>25303</v>
      </c>
      <c r="X3325" s="2" t="s">
        <v>43</v>
      </c>
      <c r="Y3325" s="2" t="s">
        <v>37</v>
      </c>
      <c r="Z3325" s="2" t="s">
        <v>44</v>
      </c>
      <c r="AA3325" s="2"/>
      <c r="AB3325" s="2"/>
      <c r="AC3325" s="2" t="s">
        <v>25304</v>
      </c>
      <c r="AD3325" s="2" t="s">
        <v>46</v>
      </c>
    </row>
    <row r="3326" customFormat="false" ht="15.7" hidden="false" customHeight="true" outlineLevel="0" collapsed="false">
      <c r="A3326" s="2"/>
      <c r="B3326" s="3" t="n">
        <f aca="false">DATE(2017,11,9)</f>
        <v>0</v>
      </c>
      <c r="C3326" s="3" t="n">
        <v>43048</v>
      </c>
      <c r="D3326" s="2" t="s">
        <v>25305</v>
      </c>
      <c r="F3326" s="2" t="s">
        <v>25306</v>
      </c>
      <c r="G3326" s="2" t="s">
        <v>25307</v>
      </c>
      <c r="H3326" s="2" t="s">
        <v>20998</v>
      </c>
      <c r="I3326" s="2" t="s">
        <v>51</v>
      </c>
      <c r="J3326" s="2" t="s">
        <v>1319</v>
      </c>
      <c r="K3326" s="2" t="s">
        <v>25308</v>
      </c>
      <c r="L3326" s="2" t="s">
        <v>664</v>
      </c>
      <c r="M3326" s="2" t="s">
        <v>7201</v>
      </c>
      <c r="N3326" s="2" t="s">
        <v>25309</v>
      </c>
      <c r="O3326" s="2"/>
      <c r="P3326" s="2" t="s">
        <v>37</v>
      </c>
      <c r="Q3326" s="4" t="n">
        <v>6794</v>
      </c>
      <c r="R3326" s="2" t="s">
        <v>56</v>
      </c>
      <c r="S3326" s="2" t="s">
        <v>92</v>
      </c>
      <c r="T3326" s="2" t="s">
        <v>40</v>
      </c>
      <c r="U3326" s="2" t="s">
        <v>25310</v>
      </c>
      <c r="V3326" s="2"/>
      <c r="W3326" s="2" t="s">
        <v>23887</v>
      </c>
      <c r="X3326" s="2" t="s">
        <v>43</v>
      </c>
      <c r="Y3326" s="2" t="s">
        <v>37</v>
      </c>
      <c r="Z3326" s="2" t="s">
        <v>44</v>
      </c>
      <c r="AA3326" s="2"/>
      <c r="AB3326" s="2"/>
      <c r="AC3326" s="2" t="s">
        <v>25311</v>
      </c>
      <c r="AD3326" s="2" t="s">
        <v>46</v>
      </c>
    </row>
    <row r="3327" customFormat="false" ht="15.7" hidden="false" customHeight="true" outlineLevel="0" collapsed="false">
      <c r="A3327" s="2"/>
      <c r="B3327" s="3" t="n">
        <f aca="false">DATE(2017,11,9)</f>
        <v>0</v>
      </c>
      <c r="C3327" s="3" t="n">
        <v>43048</v>
      </c>
      <c r="D3327" s="2" t="s">
        <v>25312</v>
      </c>
      <c r="F3327" s="2" t="s">
        <v>25313</v>
      </c>
      <c r="G3327" s="2" t="s">
        <v>25314</v>
      </c>
      <c r="H3327" s="2" t="s">
        <v>1020</v>
      </c>
      <c r="I3327" s="2" t="s">
        <v>51</v>
      </c>
      <c r="J3327" s="2" t="s">
        <v>23661</v>
      </c>
      <c r="K3327" s="2" t="s">
        <v>25312</v>
      </c>
      <c r="L3327" s="2" t="s">
        <v>51</v>
      </c>
      <c r="M3327" s="2" t="s">
        <v>1020</v>
      </c>
      <c r="N3327" s="2" t="s">
        <v>25315</v>
      </c>
      <c r="O3327" s="2"/>
      <c r="P3327" s="2" t="s">
        <v>37</v>
      </c>
      <c r="Q3327" s="4" t="n">
        <v>8731</v>
      </c>
      <c r="R3327" s="2" t="s">
        <v>51</v>
      </c>
      <c r="S3327" s="2" t="s">
        <v>25316</v>
      </c>
      <c r="T3327" s="2" t="s">
        <v>403</v>
      </c>
      <c r="U3327" s="2" t="s">
        <v>25317</v>
      </c>
      <c r="V3327" s="2"/>
      <c r="W3327" s="2" t="s">
        <v>2536</v>
      </c>
      <c r="X3327" s="2" t="s">
        <v>46</v>
      </c>
      <c r="Y3327" s="2" t="s">
        <v>37</v>
      </c>
      <c r="Z3327" s="2" t="s">
        <v>44</v>
      </c>
      <c r="AA3327" s="2"/>
      <c r="AB3327" s="2"/>
      <c r="AC3327" s="2" t="s">
        <v>25318</v>
      </c>
      <c r="AD3327" s="2" t="s">
        <v>46</v>
      </c>
    </row>
    <row r="3328" customFormat="false" ht="15.7" hidden="false" customHeight="true" outlineLevel="0" collapsed="false">
      <c r="A3328" s="2"/>
      <c r="B3328" s="3" t="n">
        <f aca="false">DATE(2017,11,9)</f>
        <v>0</v>
      </c>
      <c r="C3328" s="3" t="n">
        <v>43048</v>
      </c>
      <c r="D3328" s="2" t="s">
        <v>25319</v>
      </c>
      <c r="F3328" s="2" t="s">
        <v>25320</v>
      </c>
      <c r="G3328" s="2" t="s">
        <v>25321</v>
      </c>
      <c r="H3328" s="2" t="s">
        <v>25322</v>
      </c>
      <c r="I3328" s="2" t="s">
        <v>330</v>
      </c>
      <c r="J3328" s="2" t="s">
        <v>795</v>
      </c>
      <c r="K3328" s="2" t="s">
        <v>25319</v>
      </c>
      <c r="L3328" s="2" t="s">
        <v>330</v>
      </c>
      <c r="M3328" s="2" t="s">
        <v>25322</v>
      </c>
      <c r="N3328" s="2" t="s">
        <v>25323</v>
      </c>
      <c r="O3328" s="2"/>
      <c r="P3328" s="2" t="s">
        <v>37</v>
      </c>
      <c r="Q3328" s="4" t="n">
        <v>8731</v>
      </c>
      <c r="R3328" s="2" t="s">
        <v>330</v>
      </c>
      <c r="S3328" s="2" t="s">
        <v>18589</v>
      </c>
      <c r="T3328" s="2" t="s">
        <v>403</v>
      </c>
      <c r="U3328" s="2" t="s">
        <v>25324</v>
      </c>
      <c r="V3328" s="2"/>
      <c r="W3328" s="2" t="s">
        <v>42</v>
      </c>
      <c r="X3328" s="2" t="s">
        <v>43</v>
      </c>
      <c r="Y3328" s="2" t="s">
        <v>79</v>
      </c>
      <c r="Z3328" s="2" t="s">
        <v>44</v>
      </c>
      <c r="AA3328" s="2"/>
      <c r="AB3328" s="2"/>
      <c r="AC3328" s="2" t="s">
        <v>25325</v>
      </c>
      <c r="AD3328" s="2" t="s">
        <v>46</v>
      </c>
    </row>
    <row r="3329" customFormat="false" ht="15.7" hidden="false" customHeight="true" outlineLevel="0" collapsed="false">
      <c r="A3329" s="2"/>
      <c r="B3329" s="3" t="n">
        <f aca="false">DATE(2017,11,10)</f>
        <v>0</v>
      </c>
      <c r="C3329" s="3" t="n">
        <v>43049</v>
      </c>
      <c r="D3329" s="2" t="s">
        <v>25326</v>
      </c>
      <c r="F3329" s="2" t="s">
        <v>25327</v>
      </c>
      <c r="G3329" s="2" t="s">
        <v>25328</v>
      </c>
      <c r="H3329" s="2" t="s">
        <v>2667</v>
      </c>
      <c r="I3329" s="2" t="s">
        <v>51</v>
      </c>
      <c r="J3329" s="2" t="s">
        <v>266</v>
      </c>
      <c r="K3329" s="2" t="s">
        <v>25329</v>
      </c>
      <c r="L3329" s="2" t="s">
        <v>51</v>
      </c>
      <c r="M3329" s="2" t="s">
        <v>11288</v>
      </c>
      <c r="N3329" s="2" t="s">
        <v>25330</v>
      </c>
      <c r="O3329" s="2"/>
      <c r="P3329" s="2" t="s">
        <v>37</v>
      </c>
      <c r="Q3329" s="4" t="n">
        <v>7999</v>
      </c>
      <c r="R3329" s="2" t="s">
        <v>51</v>
      </c>
      <c r="S3329" s="2" t="s">
        <v>25331</v>
      </c>
      <c r="T3329" s="2" t="s">
        <v>403</v>
      </c>
      <c r="U3329" s="2" t="s">
        <v>25332</v>
      </c>
      <c r="V3329" s="2"/>
      <c r="W3329" s="2" t="s">
        <v>22153</v>
      </c>
      <c r="X3329" s="2" t="s">
        <v>43</v>
      </c>
      <c r="Y3329" s="2" t="s">
        <v>37</v>
      </c>
      <c r="Z3329" s="2" t="s">
        <v>44</v>
      </c>
      <c r="AA3329" s="2"/>
      <c r="AB3329" s="2"/>
      <c r="AC3329" s="2" t="s">
        <v>25333</v>
      </c>
      <c r="AD3329" s="2" t="s">
        <v>46</v>
      </c>
    </row>
    <row r="3330" customFormat="false" ht="15.7" hidden="false" customHeight="true" outlineLevel="0" collapsed="false">
      <c r="A3330" s="2"/>
      <c r="B3330" s="3" t="n">
        <f aca="false">DATE(2017,11,10)</f>
        <v>0</v>
      </c>
      <c r="C3330" s="3" t="n">
        <v>43049</v>
      </c>
      <c r="D3330" s="2" t="s">
        <v>25334</v>
      </c>
      <c r="F3330" s="2" t="s">
        <v>23707</v>
      </c>
      <c r="G3330" s="2" t="s">
        <v>25335</v>
      </c>
      <c r="H3330" s="2" t="s">
        <v>1101</v>
      </c>
      <c r="I3330" s="2" t="s">
        <v>2052</v>
      </c>
      <c r="J3330" s="2" t="s">
        <v>65</v>
      </c>
      <c r="K3330" s="2" t="s">
        <v>25334</v>
      </c>
      <c r="L3330" s="2" t="s">
        <v>2052</v>
      </c>
      <c r="M3330" s="2" t="s">
        <v>1101</v>
      </c>
      <c r="N3330" s="2" t="s">
        <v>25336</v>
      </c>
      <c r="O3330" s="2"/>
      <c r="P3330" s="2" t="s">
        <v>37</v>
      </c>
      <c r="Q3330" s="4" t="n">
        <v>6794</v>
      </c>
      <c r="R3330" s="2" t="s">
        <v>136</v>
      </c>
      <c r="S3330" s="2" t="s">
        <v>39</v>
      </c>
      <c r="T3330" s="2" t="s">
        <v>40</v>
      </c>
      <c r="U3330" s="2" t="s">
        <v>25337</v>
      </c>
      <c r="V3330" s="2"/>
      <c r="W3330" s="2" t="s">
        <v>82</v>
      </c>
      <c r="X3330" s="2" t="s">
        <v>43</v>
      </c>
      <c r="Y3330" s="2" t="s">
        <v>37</v>
      </c>
      <c r="Z3330" s="2" t="s">
        <v>44</v>
      </c>
      <c r="AA3330" s="2"/>
      <c r="AB3330" s="2"/>
      <c r="AC3330" s="2" t="s">
        <v>25338</v>
      </c>
      <c r="AD3330" s="2" t="s">
        <v>46</v>
      </c>
    </row>
    <row r="3331" customFormat="false" ht="15.7" hidden="false" customHeight="true" outlineLevel="0" collapsed="false">
      <c r="A3331" s="2"/>
      <c r="B3331" s="3" t="n">
        <f aca="false">DATE(2017,11,13)</f>
        <v>0</v>
      </c>
      <c r="C3331" s="3" t="n">
        <v>43052</v>
      </c>
      <c r="D3331" s="2" t="s">
        <v>25339</v>
      </c>
      <c r="F3331" s="2" t="s">
        <v>25340</v>
      </c>
      <c r="G3331" s="2" t="s">
        <v>25341</v>
      </c>
      <c r="H3331" s="2" t="s">
        <v>25342</v>
      </c>
      <c r="I3331" s="2" t="s">
        <v>670</v>
      </c>
      <c r="J3331" s="2" t="s">
        <v>65</v>
      </c>
      <c r="K3331" s="2" t="s">
        <v>25343</v>
      </c>
      <c r="L3331" s="2" t="s">
        <v>670</v>
      </c>
      <c r="M3331" s="2" t="s">
        <v>25344</v>
      </c>
      <c r="N3331" s="2" t="s">
        <v>25345</v>
      </c>
      <c r="O3331" s="2"/>
      <c r="P3331" s="2" t="s">
        <v>37</v>
      </c>
      <c r="Q3331" s="4" t="n">
        <v>8731</v>
      </c>
      <c r="R3331" s="2" t="s">
        <v>402</v>
      </c>
      <c r="S3331" s="2" t="s">
        <v>39</v>
      </c>
      <c r="T3331" s="2" t="s">
        <v>40</v>
      </c>
      <c r="U3331" s="2" t="s">
        <v>25346</v>
      </c>
      <c r="V3331" s="2"/>
      <c r="W3331" s="2" t="s">
        <v>18760</v>
      </c>
      <c r="X3331" s="2" t="s">
        <v>46</v>
      </c>
      <c r="Y3331" s="2" t="s">
        <v>37</v>
      </c>
      <c r="Z3331" s="2" t="s">
        <v>44</v>
      </c>
      <c r="AA3331" s="2"/>
      <c r="AB3331" s="2"/>
      <c r="AC3331" s="2" t="s">
        <v>25347</v>
      </c>
      <c r="AD3331" s="2" t="s">
        <v>46</v>
      </c>
    </row>
    <row r="3332" customFormat="false" ht="15.7" hidden="false" customHeight="true" outlineLevel="0" collapsed="false">
      <c r="A3332" s="2"/>
      <c r="B3332" s="3" t="n">
        <f aca="false">DATE(2017,11,13)</f>
        <v>0</v>
      </c>
      <c r="C3332" s="3" t="n">
        <v>43052</v>
      </c>
      <c r="D3332" s="2" t="s">
        <v>25348</v>
      </c>
      <c r="F3332" s="2" t="s">
        <v>10369</v>
      </c>
      <c r="G3332" s="2" t="s">
        <v>25349</v>
      </c>
      <c r="H3332" s="2" t="s">
        <v>1101</v>
      </c>
      <c r="I3332" s="2" t="s">
        <v>487</v>
      </c>
      <c r="J3332" s="2" t="s">
        <v>258</v>
      </c>
      <c r="K3332" s="2" t="s">
        <v>25350</v>
      </c>
      <c r="L3332" s="2" t="s">
        <v>487</v>
      </c>
      <c r="M3332" s="2" t="s">
        <v>1027</v>
      </c>
      <c r="N3332" s="2" t="s">
        <v>25351</v>
      </c>
      <c r="O3332" s="2"/>
      <c r="P3332" s="2" t="s">
        <v>79</v>
      </c>
      <c r="Q3332" s="4" t="n">
        <v>8731</v>
      </c>
      <c r="R3332" s="2" t="s">
        <v>136</v>
      </c>
      <c r="S3332" s="2" t="s">
        <v>39</v>
      </c>
      <c r="T3332" s="2" t="s">
        <v>40</v>
      </c>
      <c r="U3332" s="2" t="s">
        <v>25352</v>
      </c>
      <c r="V3332" s="2"/>
      <c r="W3332" s="2" t="s">
        <v>42</v>
      </c>
      <c r="X3332" s="2" t="s">
        <v>43</v>
      </c>
      <c r="Y3332" s="2" t="s">
        <v>37</v>
      </c>
      <c r="Z3332" s="2" t="s">
        <v>44</v>
      </c>
      <c r="AA3332" s="2"/>
      <c r="AB3332" s="2"/>
      <c r="AC3332" s="2" t="s">
        <v>25353</v>
      </c>
      <c r="AD3332" s="2" t="s">
        <v>46</v>
      </c>
    </row>
    <row r="3333" customFormat="false" ht="15.7" hidden="false" customHeight="true" outlineLevel="0" collapsed="false">
      <c r="A3333" s="2"/>
      <c r="B3333" s="3" t="n">
        <f aca="false">DATE(2017,11,13)</f>
        <v>0</v>
      </c>
      <c r="C3333" s="3" t="n">
        <v>43052</v>
      </c>
      <c r="D3333" s="2" t="s">
        <v>25354</v>
      </c>
      <c r="F3333" s="2" t="s">
        <v>23269</v>
      </c>
      <c r="G3333" s="2" t="s">
        <v>25355</v>
      </c>
      <c r="H3333" s="2" t="s">
        <v>1473</v>
      </c>
      <c r="I3333" s="2" t="s">
        <v>51</v>
      </c>
      <c r="J3333" s="2" t="s">
        <v>3999</v>
      </c>
      <c r="K3333" s="2" t="s">
        <v>25354</v>
      </c>
      <c r="L3333" s="2" t="s">
        <v>51</v>
      </c>
      <c r="M3333" s="2" t="s">
        <v>1473</v>
      </c>
      <c r="N3333" s="2" t="s">
        <v>25356</v>
      </c>
      <c r="O3333" s="2"/>
      <c r="P3333" s="2" t="s">
        <v>37</v>
      </c>
      <c r="Q3333" s="4" t="n">
        <v>6794</v>
      </c>
      <c r="R3333" s="2" t="s">
        <v>56</v>
      </c>
      <c r="S3333" s="2" t="s">
        <v>92</v>
      </c>
      <c r="T3333" s="2" t="s">
        <v>40</v>
      </c>
      <c r="U3333" s="2" t="s">
        <v>25357</v>
      </c>
      <c r="V3333" s="2"/>
      <c r="W3333" s="2" t="s">
        <v>15545</v>
      </c>
      <c r="X3333" s="2" t="s">
        <v>43</v>
      </c>
      <c r="Y3333" s="2" t="s">
        <v>37</v>
      </c>
      <c r="Z3333" s="2" t="s">
        <v>44</v>
      </c>
      <c r="AA3333" s="2"/>
      <c r="AB3333" s="2"/>
      <c r="AC3333" s="2" t="s">
        <v>25358</v>
      </c>
      <c r="AD3333" s="2" t="s">
        <v>46</v>
      </c>
    </row>
    <row r="3334" customFormat="false" ht="15.7" hidden="false" customHeight="true" outlineLevel="0" collapsed="false">
      <c r="A3334" s="2"/>
      <c r="B3334" s="3" t="n">
        <f aca="false">DATE(2017,11,13)</f>
        <v>0</v>
      </c>
      <c r="C3334" s="3" t="n">
        <v>43052</v>
      </c>
      <c r="D3334" s="2" t="s">
        <v>25359</v>
      </c>
      <c r="F3334" s="2" t="s">
        <v>25360</v>
      </c>
      <c r="G3334" s="2" t="s">
        <v>25361</v>
      </c>
      <c r="H3334" s="2" t="s">
        <v>2283</v>
      </c>
      <c r="I3334" s="2" t="s">
        <v>568</v>
      </c>
      <c r="J3334" s="2" t="s">
        <v>65</v>
      </c>
      <c r="K3334" s="2" t="s">
        <v>25359</v>
      </c>
      <c r="L3334" s="2" t="s">
        <v>568</v>
      </c>
      <c r="M3334" s="2" t="s">
        <v>2283</v>
      </c>
      <c r="N3334" s="2" t="s">
        <v>25362</v>
      </c>
      <c r="O3334" s="2"/>
      <c r="P3334" s="2" t="s">
        <v>37</v>
      </c>
      <c r="Q3334" s="4" t="n">
        <v>8731</v>
      </c>
      <c r="R3334" s="2" t="s">
        <v>136</v>
      </c>
      <c r="S3334" s="2" t="s">
        <v>39</v>
      </c>
      <c r="T3334" s="2" t="s">
        <v>40</v>
      </c>
      <c r="U3334" s="2" t="s">
        <v>25363</v>
      </c>
      <c r="V3334" s="2"/>
      <c r="W3334" s="2" t="s">
        <v>3235</v>
      </c>
      <c r="X3334" s="2" t="s">
        <v>43</v>
      </c>
      <c r="Y3334" s="2" t="s">
        <v>37</v>
      </c>
      <c r="Z3334" s="2" t="s">
        <v>44</v>
      </c>
      <c r="AA3334" s="2"/>
      <c r="AB3334" s="2"/>
      <c r="AC3334" s="2" t="s">
        <v>25364</v>
      </c>
      <c r="AD3334" s="2" t="s">
        <v>46</v>
      </c>
    </row>
    <row r="3335" customFormat="false" ht="15.7" hidden="false" customHeight="true" outlineLevel="0" collapsed="false">
      <c r="A3335" s="2"/>
      <c r="B3335" s="3" t="n">
        <f aca="false">DATE(2017,11,13)</f>
        <v>0</v>
      </c>
      <c r="C3335" s="3" t="n">
        <v>43052</v>
      </c>
      <c r="D3335" s="2" t="s">
        <v>25365</v>
      </c>
      <c r="F3335" s="2" t="s">
        <v>25366</v>
      </c>
      <c r="G3335" s="2" t="s">
        <v>25367</v>
      </c>
      <c r="H3335" s="2" t="s">
        <v>2283</v>
      </c>
      <c r="I3335" s="2" t="s">
        <v>51</v>
      </c>
      <c r="J3335" s="2" t="s">
        <v>25368</v>
      </c>
      <c r="K3335" s="2" t="s">
        <v>25365</v>
      </c>
      <c r="L3335" s="2" t="s">
        <v>51</v>
      </c>
      <c r="M3335" s="2" t="s">
        <v>2283</v>
      </c>
      <c r="N3335" s="2" t="s">
        <v>25369</v>
      </c>
      <c r="O3335" s="2"/>
      <c r="P3335" s="2" t="s">
        <v>37</v>
      </c>
      <c r="Q3335" s="4" t="n">
        <v>8731</v>
      </c>
      <c r="R3335" s="2" t="s">
        <v>56</v>
      </c>
      <c r="S3335" s="2" t="s">
        <v>1226</v>
      </c>
      <c r="T3335" s="2" t="s">
        <v>40</v>
      </c>
      <c r="U3335" s="2" t="s">
        <v>25370</v>
      </c>
      <c r="V3335" s="2"/>
      <c r="W3335" s="2" t="s">
        <v>344</v>
      </c>
      <c r="X3335" s="2" t="s">
        <v>43</v>
      </c>
      <c r="Y3335" s="2" t="s">
        <v>37</v>
      </c>
      <c r="Z3335" s="2" t="s">
        <v>44</v>
      </c>
      <c r="AA3335" s="2"/>
      <c r="AB3335" s="2"/>
      <c r="AC3335" s="2" t="s">
        <v>25371</v>
      </c>
      <c r="AD3335" s="2" t="s">
        <v>46</v>
      </c>
    </row>
    <row r="3336" customFormat="false" ht="15.7" hidden="false" customHeight="true" outlineLevel="0" collapsed="false">
      <c r="A3336" s="2"/>
      <c r="B3336" s="3" t="n">
        <f aca="false">DATE(2017,11,14)</f>
        <v>0</v>
      </c>
      <c r="C3336" s="3" t="n">
        <v>43053</v>
      </c>
      <c r="D3336" s="2" t="s">
        <v>25372</v>
      </c>
      <c r="F3336" s="2" t="s">
        <v>25373</v>
      </c>
      <c r="G3336" s="2" t="s">
        <v>25374</v>
      </c>
      <c r="H3336" s="2" t="s">
        <v>25375</v>
      </c>
      <c r="I3336" s="2" t="s">
        <v>388</v>
      </c>
      <c r="J3336" s="2" t="s">
        <v>625</v>
      </c>
      <c r="K3336" s="2" t="s">
        <v>25372</v>
      </c>
      <c r="L3336" s="2" t="s">
        <v>388</v>
      </c>
      <c r="M3336" s="2" t="s">
        <v>25375</v>
      </c>
      <c r="N3336" s="2" t="s">
        <v>25376</v>
      </c>
      <c r="O3336" s="2"/>
      <c r="P3336" s="2" t="s">
        <v>37</v>
      </c>
      <c r="Q3336" s="4" t="n">
        <v>8731</v>
      </c>
      <c r="R3336" s="2" t="s">
        <v>136</v>
      </c>
      <c r="S3336" s="2" t="s">
        <v>39</v>
      </c>
      <c r="T3336" s="2" t="s">
        <v>40</v>
      </c>
      <c r="U3336" s="2" t="s">
        <v>25377</v>
      </c>
      <c r="V3336" s="2"/>
      <c r="W3336" s="2" t="s">
        <v>42</v>
      </c>
      <c r="X3336" s="2" t="s">
        <v>43</v>
      </c>
      <c r="Y3336" s="2" t="s">
        <v>37</v>
      </c>
      <c r="Z3336" s="2" t="s">
        <v>44</v>
      </c>
      <c r="AA3336" s="2"/>
      <c r="AB3336" s="2"/>
      <c r="AC3336" s="2" t="s">
        <v>25378</v>
      </c>
      <c r="AD3336" s="2" t="s">
        <v>46</v>
      </c>
    </row>
    <row r="3337" customFormat="false" ht="15.7" hidden="false" customHeight="true" outlineLevel="0" collapsed="false">
      <c r="A3337" s="2"/>
      <c r="B3337" s="3" t="n">
        <f aca="false">DATE(2017,11,14)</f>
        <v>0</v>
      </c>
      <c r="C3337" s="3" t="n">
        <v>43053</v>
      </c>
      <c r="D3337" s="2" t="s">
        <v>25379</v>
      </c>
      <c r="F3337" s="2" t="s">
        <v>25380</v>
      </c>
      <c r="G3337" s="2" t="s">
        <v>25381</v>
      </c>
      <c r="H3337" s="2" t="s">
        <v>20376</v>
      </c>
      <c r="I3337" s="2" t="s">
        <v>11034</v>
      </c>
      <c r="J3337" s="2" t="s">
        <v>35</v>
      </c>
      <c r="K3337" s="2" t="s">
        <v>25382</v>
      </c>
      <c r="L3337" s="2" t="s">
        <v>11034</v>
      </c>
      <c r="M3337" s="2" t="s">
        <v>11288</v>
      </c>
      <c r="N3337" s="2" t="s">
        <v>25383</v>
      </c>
      <c r="O3337" s="2"/>
      <c r="P3337" s="2" t="s">
        <v>37</v>
      </c>
      <c r="Q3337" s="4" t="n">
        <v>7372</v>
      </c>
      <c r="R3337" s="2" t="s">
        <v>136</v>
      </c>
      <c r="S3337" s="2" t="s">
        <v>39</v>
      </c>
      <c r="T3337" s="2" t="s">
        <v>40</v>
      </c>
      <c r="U3337" s="2" t="s">
        <v>25384</v>
      </c>
      <c r="V3337" s="2"/>
      <c r="W3337" s="2" t="s">
        <v>25385</v>
      </c>
      <c r="X3337" s="2" t="s">
        <v>43</v>
      </c>
      <c r="Y3337" s="2" t="s">
        <v>37</v>
      </c>
      <c r="Z3337" s="2" t="s">
        <v>44</v>
      </c>
      <c r="AA3337" s="2"/>
      <c r="AB3337" s="2"/>
      <c r="AC3337" s="2" t="s">
        <v>25386</v>
      </c>
      <c r="AD3337" s="2" t="s">
        <v>46</v>
      </c>
    </row>
    <row r="3338" customFormat="false" ht="15.7" hidden="false" customHeight="true" outlineLevel="0" collapsed="false">
      <c r="A3338" s="2"/>
      <c r="B3338" s="3" t="n">
        <f aca="false">DATE(2017,11,14)</f>
        <v>0</v>
      </c>
      <c r="C3338" s="3" t="n">
        <v>43053</v>
      </c>
      <c r="D3338" s="2" t="s">
        <v>25387</v>
      </c>
      <c r="F3338" s="2" t="s">
        <v>25388</v>
      </c>
      <c r="G3338" s="2" t="s">
        <v>25389</v>
      </c>
      <c r="H3338" s="2" t="s">
        <v>14749</v>
      </c>
      <c r="I3338" s="2" t="s">
        <v>540</v>
      </c>
      <c r="J3338" s="2" t="s">
        <v>35</v>
      </c>
      <c r="K3338" s="2" t="s">
        <v>25387</v>
      </c>
      <c r="L3338" s="2" t="s">
        <v>540</v>
      </c>
      <c r="M3338" s="2" t="s">
        <v>14749</v>
      </c>
      <c r="N3338" s="2" t="s">
        <v>25390</v>
      </c>
      <c r="O3338" s="2"/>
      <c r="P3338" s="2" t="s">
        <v>37</v>
      </c>
      <c r="Q3338" s="4" t="n">
        <v>8731</v>
      </c>
      <c r="R3338" s="2" t="s">
        <v>1448</v>
      </c>
      <c r="S3338" s="2" t="s">
        <v>39</v>
      </c>
      <c r="T3338" s="2" t="s">
        <v>40</v>
      </c>
      <c r="U3338" s="2" t="s">
        <v>25391</v>
      </c>
      <c r="V3338" s="2"/>
      <c r="W3338" s="2" t="s">
        <v>344</v>
      </c>
      <c r="X3338" s="2" t="s">
        <v>43</v>
      </c>
      <c r="Y3338" s="2" t="s">
        <v>37</v>
      </c>
      <c r="Z3338" s="2" t="s">
        <v>44</v>
      </c>
      <c r="AA3338" s="2"/>
      <c r="AB3338" s="2"/>
      <c r="AC3338" s="2" t="s">
        <v>25392</v>
      </c>
      <c r="AD3338" s="2" t="s">
        <v>46</v>
      </c>
    </row>
    <row r="3339" customFormat="false" ht="15.7" hidden="false" customHeight="true" outlineLevel="0" collapsed="false">
      <c r="A3339" s="2"/>
      <c r="B3339" s="3" t="n">
        <f aca="false">DATE(2017,11,14)</f>
        <v>0</v>
      </c>
      <c r="C3339" s="3" t="n">
        <v>43053</v>
      </c>
      <c r="D3339" s="2" t="s">
        <v>25393</v>
      </c>
      <c r="F3339" s="2" t="s">
        <v>25394</v>
      </c>
      <c r="G3339" s="2" t="s">
        <v>25395</v>
      </c>
      <c r="H3339" s="2" t="s">
        <v>25396</v>
      </c>
      <c r="I3339" s="2" t="s">
        <v>7737</v>
      </c>
      <c r="J3339" s="2" t="s">
        <v>35</v>
      </c>
      <c r="K3339" s="2" t="s">
        <v>25397</v>
      </c>
      <c r="L3339" s="2" t="s">
        <v>14480</v>
      </c>
      <c r="M3339" s="2" t="s">
        <v>25398</v>
      </c>
      <c r="N3339" s="2" t="s">
        <v>25399</v>
      </c>
      <c r="O3339" s="2"/>
      <c r="P3339" s="2" t="s">
        <v>37</v>
      </c>
      <c r="Q3339" s="4" t="n">
        <v>8731</v>
      </c>
      <c r="R3339" s="2" t="s">
        <v>136</v>
      </c>
      <c r="S3339" s="2" t="s">
        <v>39</v>
      </c>
      <c r="T3339" s="2" t="s">
        <v>40</v>
      </c>
      <c r="U3339" s="2" t="s">
        <v>25400</v>
      </c>
      <c r="V3339" s="2"/>
      <c r="W3339" s="2" t="s">
        <v>13622</v>
      </c>
      <c r="X3339" s="2" t="s">
        <v>43</v>
      </c>
      <c r="Y3339" s="2" t="s">
        <v>37</v>
      </c>
      <c r="Z3339" s="2" t="s">
        <v>44</v>
      </c>
      <c r="AA3339" s="2"/>
      <c r="AB3339" s="2"/>
      <c r="AC3339" s="2" t="s">
        <v>25401</v>
      </c>
      <c r="AD3339" s="2" t="s">
        <v>46</v>
      </c>
    </row>
    <row r="3340" customFormat="false" ht="15.7" hidden="false" customHeight="true" outlineLevel="0" collapsed="false">
      <c r="A3340" s="2"/>
      <c r="B3340" s="3" t="n">
        <f aca="false">DATE(2017,11,14)</f>
        <v>0</v>
      </c>
      <c r="C3340" s="3" t="n">
        <v>43053</v>
      </c>
      <c r="D3340" s="2" t="s">
        <v>25402</v>
      </c>
      <c r="F3340" s="2" t="s">
        <v>25403</v>
      </c>
      <c r="G3340" s="2" t="s">
        <v>25404</v>
      </c>
      <c r="H3340" s="2" t="s">
        <v>25405</v>
      </c>
      <c r="I3340" s="2" t="s">
        <v>1645</v>
      </c>
      <c r="J3340" s="2" t="s">
        <v>35</v>
      </c>
      <c r="K3340" s="2" t="s">
        <v>25402</v>
      </c>
      <c r="L3340" s="2" t="s">
        <v>1645</v>
      </c>
      <c r="M3340" s="2" t="s">
        <v>25405</v>
      </c>
      <c r="N3340" s="2" t="s">
        <v>25406</v>
      </c>
      <c r="O3340" s="2"/>
      <c r="P3340" s="2" t="s">
        <v>37</v>
      </c>
      <c r="Q3340" s="4" t="n">
        <v>8731</v>
      </c>
      <c r="R3340" s="2" t="s">
        <v>1402</v>
      </c>
      <c r="S3340" s="2" t="s">
        <v>39</v>
      </c>
      <c r="T3340" s="2" t="s">
        <v>40</v>
      </c>
      <c r="U3340" s="2" t="s">
        <v>25407</v>
      </c>
      <c r="V3340" s="2"/>
      <c r="W3340" s="2" t="s">
        <v>4951</v>
      </c>
      <c r="X3340" s="2" t="s">
        <v>43</v>
      </c>
      <c r="Y3340" s="2" t="s">
        <v>37</v>
      </c>
      <c r="Z3340" s="2" t="s">
        <v>44</v>
      </c>
      <c r="AA3340" s="2"/>
      <c r="AB3340" s="2"/>
      <c r="AC3340" s="2" t="s">
        <v>25408</v>
      </c>
      <c r="AD3340" s="2" t="s">
        <v>46</v>
      </c>
    </row>
    <row r="3341" customFormat="false" ht="15.7" hidden="false" customHeight="true" outlineLevel="0" collapsed="false">
      <c r="A3341" s="2"/>
      <c r="B3341" s="3" t="n">
        <f aca="false">DATE(2017,11,14)</f>
        <v>0</v>
      </c>
      <c r="C3341" s="3" t="n">
        <v>43053</v>
      </c>
      <c r="D3341" s="2" t="s">
        <v>25409</v>
      </c>
      <c r="F3341" s="2" t="s">
        <v>20650</v>
      </c>
      <c r="G3341" s="2" t="s">
        <v>25410</v>
      </c>
      <c r="H3341" s="2" t="s">
        <v>130</v>
      </c>
      <c r="I3341" s="2" t="s">
        <v>410</v>
      </c>
      <c r="J3341" s="2" t="s">
        <v>795</v>
      </c>
      <c r="K3341" s="2" t="s">
        <v>25409</v>
      </c>
      <c r="L3341" s="2" t="s">
        <v>410</v>
      </c>
      <c r="M3341" s="2" t="s">
        <v>130</v>
      </c>
      <c r="N3341" s="2" t="s">
        <v>25411</v>
      </c>
      <c r="O3341" s="2"/>
      <c r="P3341" s="2" t="s">
        <v>37</v>
      </c>
      <c r="Q3341" s="4" t="n">
        <v>6794</v>
      </c>
      <c r="R3341" s="2" t="s">
        <v>136</v>
      </c>
      <c r="S3341" s="2" t="s">
        <v>39</v>
      </c>
      <c r="T3341" s="2" t="s">
        <v>40</v>
      </c>
      <c r="U3341" s="2" t="s">
        <v>25412</v>
      </c>
      <c r="V3341" s="2"/>
      <c r="W3341" s="2" t="s">
        <v>24466</v>
      </c>
      <c r="X3341" s="2" t="s">
        <v>43</v>
      </c>
      <c r="Y3341" s="2" t="s">
        <v>37</v>
      </c>
      <c r="Z3341" s="2" t="s">
        <v>44</v>
      </c>
      <c r="AA3341" s="2"/>
      <c r="AB3341" s="2"/>
      <c r="AC3341" s="2" t="s">
        <v>25413</v>
      </c>
      <c r="AD3341" s="2" t="s">
        <v>46</v>
      </c>
    </row>
    <row r="3342" customFormat="false" ht="15.7" hidden="false" customHeight="true" outlineLevel="0" collapsed="false">
      <c r="A3342" s="2"/>
      <c r="B3342" s="3" t="n">
        <f aca="false">DATE(2017,11,15)</f>
        <v>0</v>
      </c>
      <c r="C3342" s="3" t="n">
        <v>43054</v>
      </c>
      <c r="D3342" s="2" t="s">
        <v>25414</v>
      </c>
      <c r="F3342" s="2" t="s">
        <v>25415</v>
      </c>
      <c r="G3342" s="2" t="s">
        <v>25416</v>
      </c>
      <c r="H3342" s="2" t="s">
        <v>25417</v>
      </c>
      <c r="I3342" s="2" t="s">
        <v>330</v>
      </c>
      <c r="J3342" s="2" t="s">
        <v>1562</v>
      </c>
      <c r="K3342" s="2" t="s">
        <v>25418</v>
      </c>
      <c r="L3342" s="2" t="s">
        <v>435</v>
      </c>
      <c r="M3342" s="2" t="s">
        <v>25419</v>
      </c>
      <c r="N3342" s="2" t="s">
        <v>25420</v>
      </c>
      <c r="O3342" s="2"/>
      <c r="P3342" s="2" t="s">
        <v>37</v>
      </c>
      <c r="Q3342" s="4" t="n">
        <v>8731</v>
      </c>
      <c r="R3342" s="2" t="s">
        <v>388</v>
      </c>
      <c r="S3342" s="2" t="s">
        <v>25421</v>
      </c>
      <c r="T3342" s="2" t="s">
        <v>403</v>
      </c>
      <c r="U3342" s="2" t="s">
        <v>25422</v>
      </c>
      <c r="V3342" s="2"/>
      <c r="W3342" s="2" t="s">
        <v>3949</v>
      </c>
      <c r="X3342" s="2" t="s">
        <v>43</v>
      </c>
      <c r="Y3342" s="2" t="s">
        <v>79</v>
      </c>
      <c r="Z3342" s="2" t="s">
        <v>44</v>
      </c>
      <c r="AA3342" s="2"/>
      <c r="AB3342" s="2"/>
      <c r="AC3342" s="2" t="s">
        <v>25423</v>
      </c>
      <c r="AD3342" s="2" t="s">
        <v>46</v>
      </c>
    </row>
    <row r="3343" customFormat="false" ht="15.7" hidden="false" customHeight="true" outlineLevel="0" collapsed="false">
      <c r="A3343" s="2"/>
      <c r="B3343" s="3" t="n">
        <f aca="false">DATE(2017,11,15)</f>
        <v>0</v>
      </c>
      <c r="C3343" s="3" t="n">
        <v>43054</v>
      </c>
      <c r="D3343" s="2" t="s">
        <v>25424</v>
      </c>
      <c r="F3343" s="2" t="s">
        <v>25425</v>
      </c>
      <c r="G3343" s="2" t="s">
        <v>25426</v>
      </c>
      <c r="H3343" s="2" t="s">
        <v>25427</v>
      </c>
      <c r="I3343" s="2" t="s">
        <v>568</v>
      </c>
      <c r="J3343" s="2" t="s">
        <v>155</v>
      </c>
      <c r="K3343" s="2" t="s">
        <v>25424</v>
      </c>
      <c r="L3343" s="2" t="s">
        <v>568</v>
      </c>
      <c r="M3343" s="2" t="s">
        <v>25427</v>
      </c>
      <c r="N3343" s="2" t="s">
        <v>25428</v>
      </c>
      <c r="O3343" s="2"/>
      <c r="P3343" s="2" t="s">
        <v>37</v>
      </c>
      <c r="Q3343" s="4" t="n">
        <v>8731</v>
      </c>
      <c r="R3343" s="2" t="s">
        <v>136</v>
      </c>
      <c r="S3343" s="2" t="s">
        <v>39</v>
      </c>
      <c r="T3343" s="2" t="s">
        <v>403</v>
      </c>
      <c r="U3343" s="2" t="s">
        <v>25429</v>
      </c>
      <c r="V3343" s="2"/>
      <c r="W3343" s="2" t="s">
        <v>25430</v>
      </c>
      <c r="X3343" s="2" t="s">
        <v>43</v>
      </c>
      <c r="Y3343" s="2" t="s">
        <v>37</v>
      </c>
      <c r="Z3343" s="2" t="s">
        <v>44</v>
      </c>
      <c r="AA3343" s="2"/>
      <c r="AB3343" s="2"/>
      <c r="AC3343" s="2" t="s">
        <v>25431</v>
      </c>
      <c r="AD3343" s="2" t="s">
        <v>46</v>
      </c>
    </row>
    <row r="3344" customFormat="false" ht="15.7" hidden="false" customHeight="true" outlineLevel="0" collapsed="false">
      <c r="A3344" s="2"/>
      <c r="B3344" s="3" t="n">
        <f aca="false">DATE(2017,11,16)</f>
        <v>0</v>
      </c>
      <c r="C3344" s="3" t="n">
        <v>43055</v>
      </c>
      <c r="D3344" s="2" t="s">
        <v>25432</v>
      </c>
      <c r="F3344" s="2" t="s">
        <v>347</v>
      </c>
      <c r="G3344" s="2" t="s">
        <v>25433</v>
      </c>
      <c r="H3344" s="2" t="s">
        <v>63</v>
      </c>
      <c r="I3344" s="2" t="s">
        <v>51</v>
      </c>
      <c r="J3344" s="2" t="s">
        <v>3999</v>
      </c>
      <c r="K3344" s="2" t="s">
        <v>25434</v>
      </c>
      <c r="L3344" s="2" t="s">
        <v>51</v>
      </c>
      <c r="M3344" s="2" t="s">
        <v>130</v>
      </c>
      <c r="N3344" s="2" t="s">
        <v>25435</v>
      </c>
      <c r="O3344" s="2"/>
      <c r="P3344" s="2" t="s">
        <v>37</v>
      </c>
      <c r="Q3344" s="4" t="n">
        <v>6794</v>
      </c>
      <c r="R3344" s="2" t="s">
        <v>136</v>
      </c>
      <c r="S3344" s="2" t="s">
        <v>39</v>
      </c>
      <c r="T3344" s="2" t="s">
        <v>40</v>
      </c>
      <c r="U3344" s="2" t="s">
        <v>25436</v>
      </c>
      <c r="V3344" s="2"/>
      <c r="W3344" s="2" t="s">
        <v>82</v>
      </c>
      <c r="X3344" s="2" t="s">
        <v>43</v>
      </c>
      <c r="Y3344" s="2" t="s">
        <v>37</v>
      </c>
      <c r="Z3344" s="2" t="s">
        <v>44</v>
      </c>
      <c r="AA3344" s="2"/>
      <c r="AB3344" s="2"/>
      <c r="AC3344" s="2" t="s">
        <v>25437</v>
      </c>
      <c r="AD3344" s="2" t="s">
        <v>46</v>
      </c>
    </row>
    <row r="3345" customFormat="false" ht="15.7" hidden="false" customHeight="true" outlineLevel="0" collapsed="false">
      <c r="A3345" s="2"/>
      <c r="B3345" s="3" t="n">
        <f aca="false">DATE(2017,11,16)</f>
        <v>0</v>
      </c>
      <c r="C3345" s="3" t="n">
        <v>43055</v>
      </c>
      <c r="D3345" s="2" t="s">
        <v>25438</v>
      </c>
      <c r="F3345" s="2" t="s">
        <v>25439</v>
      </c>
      <c r="G3345" s="2" t="s">
        <v>25440</v>
      </c>
      <c r="H3345" s="2" t="s">
        <v>25441</v>
      </c>
      <c r="I3345" s="2" t="s">
        <v>2530</v>
      </c>
      <c r="J3345" s="2" t="s">
        <v>25442</v>
      </c>
      <c r="K3345" s="2" t="s">
        <v>25438</v>
      </c>
      <c r="L3345" s="2" t="s">
        <v>2530</v>
      </c>
      <c r="M3345" s="2" t="s">
        <v>25441</v>
      </c>
      <c r="N3345" s="2" t="s">
        <v>25443</v>
      </c>
      <c r="O3345" s="2"/>
      <c r="P3345" s="2" t="s">
        <v>37</v>
      </c>
      <c r="Q3345" s="4" t="n">
        <v>8731</v>
      </c>
      <c r="R3345" s="2" t="s">
        <v>56</v>
      </c>
      <c r="S3345" s="2" t="s">
        <v>1226</v>
      </c>
      <c r="T3345" s="2" t="s">
        <v>40</v>
      </c>
      <c r="U3345" s="2" t="s">
        <v>25444</v>
      </c>
      <c r="V3345" s="2"/>
      <c r="W3345" s="2" t="s">
        <v>25445</v>
      </c>
      <c r="X3345" s="2" t="s">
        <v>43</v>
      </c>
      <c r="Y3345" s="2" t="s">
        <v>37</v>
      </c>
      <c r="Z3345" s="2" t="s">
        <v>916</v>
      </c>
      <c r="AA3345" s="2"/>
      <c r="AB3345" s="2"/>
      <c r="AC3345" s="2" t="s">
        <v>25446</v>
      </c>
      <c r="AD3345" s="2" t="s">
        <v>46</v>
      </c>
    </row>
    <row r="3346" customFormat="false" ht="15.7" hidden="false" customHeight="true" outlineLevel="0" collapsed="false">
      <c r="A3346" s="2"/>
      <c r="B3346" s="3" t="n">
        <f aca="false">DATE(2017,11,16)</f>
        <v>0</v>
      </c>
      <c r="C3346" s="3" t="n">
        <v>43055</v>
      </c>
      <c r="D3346" s="2" t="s">
        <v>25447</v>
      </c>
      <c r="F3346" s="2" t="s">
        <v>25448</v>
      </c>
      <c r="G3346" s="2" t="s">
        <v>25449</v>
      </c>
      <c r="H3346" s="2" t="s">
        <v>12028</v>
      </c>
      <c r="I3346" s="2" t="s">
        <v>51</v>
      </c>
      <c r="J3346" s="2" t="s">
        <v>12561</v>
      </c>
      <c r="K3346" s="2" t="s">
        <v>25447</v>
      </c>
      <c r="L3346" s="2" t="s">
        <v>51</v>
      </c>
      <c r="M3346" s="2" t="s">
        <v>12028</v>
      </c>
      <c r="N3346" s="2" t="s">
        <v>25450</v>
      </c>
      <c r="O3346" s="2"/>
      <c r="P3346" s="2" t="s">
        <v>37</v>
      </c>
      <c r="Q3346" s="4" t="n">
        <v>8731</v>
      </c>
      <c r="R3346" s="2" t="s">
        <v>56</v>
      </c>
      <c r="S3346" s="2" t="s">
        <v>977</v>
      </c>
      <c r="T3346" s="2" t="s">
        <v>403</v>
      </c>
      <c r="U3346" s="2" t="s">
        <v>25451</v>
      </c>
      <c r="V3346" s="2"/>
      <c r="W3346" s="2" t="s">
        <v>42</v>
      </c>
      <c r="X3346" s="2" t="s">
        <v>43</v>
      </c>
      <c r="Y3346" s="2" t="s">
        <v>37</v>
      </c>
      <c r="Z3346" s="2" t="s">
        <v>44</v>
      </c>
      <c r="AA3346" s="2"/>
      <c r="AB3346" s="2"/>
      <c r="AC3346" s="2" t="s">
        <v>25452</v>
      </c>
      <c r="AD3346" s="2" t="s">
        <v>46</v>
      </c>
    </row>
    <row r="3347" customFormat="false" ht="15.7" hidden="false" customHeight="true" outlineLevel="0" collapsed="false">
      <c r="A3347" s="2"/>
      <c r="B3347" s="3" t="n">
        <f aca="false">DATE(2017,11,16)</f>
        <v>0</v>
      </c>
      <c r="C3347" s="3" t="n">
        <v>43055</v>
      </c>
      <c r="D3347" s="2" t="s">
        <v>25453</v>
      </c>
      <c r="F3347" s="2" t="s">
        <v>25454</v>
      </c>
      <c r="G3347" s="2" t="s">
        <v>25455</v>
      </c>
      <c r="H3347" s="2" t="s">
        <v>130</v>
      </c>
      <c r="I3347" s="2" t="s">
        <v>51</v>
      </c>
      <c r="J3347" s="2" t="s">
        <v>828</v>
      </c>
      <c r="K3347" s="2" t="s">
        <v>25456</v>
      </c>
      <c r="L3347" s="2" t="s">
        <v>51</v>
      </c>
      <c r="M3347" s="2" t="s">
        <v>63</v>
      </c>
      <c r="N3347" s="2" t="s">
        <v>25457</v>
      </c>
      <c r="O3347" s="2"/>
      <c r="P3347" s="2" t="s">
        <v>37</v>
      </c>
      <c r="Q3347" s="4" t="n">
        <v>8731</v>
      </c>
      <c r="R3347" s="2" t="s">
        <v>56</v>
      </c>
      <c r="S3347" s="2" t="s">
        <v>80</v>
      </c>
      <c r="T3347" s="2" t="s">
        <v>403</v>
      </c>
      <c r="U3347" s="2" t="s">
        <v>25458</v>
      </c>
      <c r="V3347" s="2"/>
      <c r="W3347" s="2" t="s">
        <v>1050</v>
      </c>
      <c r="X3347" s="2" t="s">
        <v>43</v>
      </c>
      <c r="Y3347" s="2" t="s">
        <v>37</v>
      </c>
      <c r="Z3347" s="2" t="s">
        <v>44</v>
      </c>
      <c r="AA3347" s="2"/>
      <c r="AB3347" s="2"/>
      <c r="AC3347" s="2" t="s">
        <v>25459</v>
      </c>
      <c r="AD3347" s="2" t="s">
        <v>46</v>
      </c>
    </row>
    <row r="3348" customFormat="false" ht="15.7" hidden="false" customHeight="true" outlineLevel="0" collapsed="false">
      <c r="A3348" s="2"/>
      <c r="B3348" s="3" t="n">
        <f aca="false">DATE(2017,11,16)</f>
        <v>0</v>
      </c>
      <c r="C3348" s="3" t="n">
        <v>43055</v>
      </c>
      <c r="D3348" s="2" t="s">
        <v>25460</v>
      </c>
      <c r="F3348" s="2" t="s">
        <v>25461</v>
      </c>
      <c r="G3348" s="2" t="s">
        <v>25462</v>
      </c>
      <c r="H3348" s="2" t="s">
        <v>25463</v>
      </c>
      <c r="I3348" s="2" t="s">
        <v>821</v>
      </c>
      <c r="J3348" s="2" t="s">
        <v>65</v>
      </c>
      <c r="K3348" s="2" t="s">
        <v>25460</v>
      </c>
      <c r="L3348" s="2" t="s">
        <v>821</v>
      </c>
      <c r="M3348" s="2" t="s">
        <v>25463</v>
      </c>
      <c r="N3348" s="2" t="s">
        <v>25464</v>
      </c>
      <c r="O3348" s="2"/>
      <c r="P3348" s="2" t="s">
        <v>37</v>
      </c>
      <c r="Q3348" s="4" t="n">
        <v>8731</v>
      </c>
      <c r="R3348" s="2" t="s">
        <v>450</v>
      </c>
      <c r="S3348" s="2" t="s">
        <v>39</v>
      </c>
      <c r="T3348" s="2" t="s">
        <v>40</v>
      </c>
      <c r="U3348" s="2" t="s">
        <v>25465</v>
      </c>
      <c r="V3348" s="2"/>
      <c r="W3348" s="2" t="s">
        <v>42</v>
      </c>
      <c r="X3348" s="2" t="s">
        <v>43</v>
      </c>
      <c r="Y3348" s="2" t="s">
        <v>37</v>
      </c>
      <c r="Z3348" s="2" t="s">
        <v>44</v>
      </c>
      <c r="AA3348" s="2"/>
      <c r="AB3348" s="2"/>
      <c r="AC3348" s="2" t="s">
        <v>25466</v>
      </c>
      <c r="AD3348" s="2" t="s">
        <v>46</v>
      </c>
    </row>
    <row r="3349" customFormat="false" ht="15.7" hidden="false" customHeight="true" outlineLevel="0" collapsed="false">
      <c r="A3349" s="2"/>
      <c r="B3349" s="3" t="n">
        <f aca="false">DATE(2017,11,17)</f>
        <v>0</v>
      </c>
      <c r="C3349" s="3" t="n">
        <v>43056</v>
      </c>
      <c r="D3349" s="2" t="s">
        <v>25467</v>
      </c>
      <c r="F3349" s="2" t="s">
        <v>25468</v>
      </c>
      <c r="G3349" s="2" t="s">
        <v>25469</v>
      </c>
      <c r="H3349" s="2" t="s">
        <v>25470</v>
      </c>
      <c r="I3349" s="2" t="s">
        <v>51</v>
      </c>
      <c r="J3349" s="2" t="s">
        <v>25471</v>
      </c>
      <c r="K3349" s="2" t="s">
        <v>25467</v>
      </c>
      <c r="L3349" s="2" t="s">
        <v>51</v>
      </c>
      <c r="M3349" s="2" t="s">
        <v>25470</v>
      </c>
      <c r="N3349" s="2" t="s">
        <v>25472</v>
      </c>
      <c r="O3349" s="2"/>
      <c r="P3349" s="2" t="s">
        <v>37</v>
      </c>
      <c r="Q3349" s="4" t="n">
        <v>8731</v>
      </c>
      <c r="R3349" s="2" t="s">
        <v>56</v>
      </c>
      <c r="S3349" s="2" t="s">
        <v>277</v>
      </c>
      <c r="T3349" s="2" t="s">
        <v>403</v>
      </c>
      <c r="U3349" s="2" t="s">
        <v>25473</v>
      </c>
      <c r="V3349" s="2"/>
      <c r="W3349" s="2" t="s">
        <v>42</v>
      </c>
      <c r="X3349" s="2" t="s">
        <v>43</v>
      </c>
      <c r="Y3349" s="2" t="s">
        <v>37</v>
      </c>
      <c r="Z3349" s="2" t="s">
        <v>44</v>
      </c>
      <c r="AA3349" s="2"/>
      <c r="AB3349" s="2"/>
      <c r="AC3349" s="2" t="s">
        <v>25474</v>
      </c>
      <c r="AD3349" s="2" t="s">
        <v>46</v>
      </c>
    </row>
    <row r="3350" customFormat="false" ht="15.7" hidden="false" customHeight="true" outlineLevel="0" collapsed="false">
      <c r="A3350" s="2"/>
      <c r="B3350" s="3" t="n">
        <f aca="false">DATE(2017,11,20)</f>
        <v>0</v>
      </c>
      <c r="C3350" s="3" t="n">
        <v>43059</v>
      </c>
      <c r="D3350" s="2" t="s">
        <v>25475</v>
      </c>
      <c r="F3350" s="2" t="s">
        <v>23707</v>
      </c>
      <c r="G3350" s="2" t="s">
        <v>25476</v>
      </c>
      <c r="H3350" s="2" t="s">
        <v>1101</v>
      </c>
      <c r="I3350" s="2" t="s">
        <v>51</v>
      </c>
      <c r="J3350" s="2" t="s">
        <v>171</v>
      </c>
      <c r="K3350" s="2" t="s">
        <v>25475</v>
      </c>
      <c r="L3350" s="2" t="s">
        <v>51</v>
      </c>
      <c r="M3350" s="2" t="s">
        <v>1101</v>
      </c>
      <c r="N3350" s="2" t="s">
        <v>25477</v>
      </c>
      <c r="O3350" s="2"/>
      <c r="P3350" s="2" t="s">
        <v>37</v>
      </c>
      <c r="Q3350" s="4" t="n">
        <v>8731</v>
      </c>
      <c r="R3350" s="2" t="s">
        <v>56</v>
      </c>
      <c r="S3350" s="2"/>
      <c r="T3350" s="2" t="s">
        <v>40</v>
      </c>
      <c r="U3350" s="2" t="s">
        <v>25478</v>
      </c>
      <c r="V3350" s="2"/>
      <c r="W3350" s="2" t="s">
        <v>42</v>
      </c>
      <c r="X3350" s="2" t="s">
        <v>43</v>
      </c>
      <c r="Y3350" s="2" t="s">
        <v>37</v>
      </c>
      <c r="Z3350" s="2" t="s">
        <v>44</v>
      </c>
      <c r="AA3350" s="2"/>
      <c r="AB3350" s="2"/>
      <c r="AC3350" s="2" t="s">
        <v>25479</v>
      </c>
      <c r="AD3350" s="2" t="s">
        <v>46</v>
      </c>
    </row>
    <row r="3351" customFormat="false" ht="15.7" hidden="false" customHeight="true" outlineLevel="0" collapsed="false">
      <c r="A3351" s="2"/>
      <c r="B3351" s="3" t="n">
        <f aca="false">DATE(2017,11,20)</f>
        <v>0</v>
      </c>
      <c r="C3351" s="3" t="n">
        <v>43059</v>
      </c>
      <c r="D3351" s="2" t="s">
        <v>25480</v>
      </c>
      <c r="F3351" s="2" t="s">
        <v>25481</v>
      </c>
      <c r="G3351" s="2" t="s">
        <v>25482</v>
      </c>
      <c r="H3351" s="2" t="s">
        <v>25483</v>
      </c>
      <c r="I3351" s="2" t="s">
        <v>18475</v>
      </c>
      <c r="J3351" s="2" t="s">
        <v>13072</v>
      </c>
      <c r="K3351" s="2" t="s">
        <v>25480</v>
      </c>
      <c r="L3351" s="2" t="s">
        <v>18475</v>
      </c>
      <c r="M3351" s="2" t="s">
        <v>25483</v>
      </c>
      <c r="N3351" s="2" t="s">
        <v>25484</v>
      </c>
      <c r="O3351" s="2"/>
      <c r="P3351" s="2" t="s">
        <v>37</v>
      </c>
      <c r="Q3351" s="4" t="n">
        <v>8099</v>
      </c>
      <c r="R3351" s="2" t="s">
        <v>136</v>
      </c>
      <c r="S3351" s="2" t="s">
        <v>39</v>
      </c>
      <c r="T3351" s="2" t="s">
        <v>403</v>
      </c>
      <c r="U3351" s="2" t="s">
        <v>25485</v>
      </c>
      <c r="V3351" s="2"/>
      <c r="W3351" s="2" t="s">
        <v>4487</v>
      </c>
      <c r="X3351" s="2" t="s">
        <v>43</v>
      </c>
      <c r="Y3351" s="2" t="s">
        <v>37</v>
      </c>
      <c r="Z3351" s="2" t="s">
        <v>916</v>
      </c>
      <c r="AA3351" s="2"/>
      <c r="AB3351" s="2"/>
      <c r="AC3351" s="2" t="s">
        <v>25486</v>
      </c>
      <c r="AD3351" s="2" t="s">
        <v>46</v>
      </c>
    </row>
    <row r="3352" customFormat="false" ht="15.7" hidden="false" customHeight="true" outlineLevel="0" collapsed="false">
      <c r="A3352" s="2"/>
      <c r="B3352" s="3" t="n">
        <f aca="false">DATE(2017,11,21)</f>
        <v>0</v>
      </c>
      <c r="C3352" s="3" t="n">
        <v>43060</v>
      </c>
      <c r="D3352" s="2" t="s">
        <v>25487</v>
      </c>
      <c r="F3352" s="2" t="s">
        <v>25488</v>
      </c>
      <c r="G3352" s="2" t="s">
        <v>25489</v>
      </c>
      <c r="H3352" s="2" t="s">
        <v>2361</v>
      </c>
      <c r="I3352" s="2" t="s">
        <v>8653</v>
      </c>
      <c r="J3352" s="2" t="s">
        <v>35</v>
      </c>
      <c r="K3352" s="2" t="s">
        <v>25487</v>
      </c>
      <c r="L3352" s="2" t="s">
        <v>8653</v>
      </c>
      <c r="M3352" s="2" t="s">
        <v>2361</v>
      </c>
      <c r="N3352" s="2" t="s">
        <v>25490</v>
      </c>
      <c r="O3352" s="2"/>
      <c r="P3352" s="2" t="s">
        <v>37</v>
      </c>
      <c r="Q3352" s="4" t="n">
        <v>8731</v>
      </c>
      <c r="R3352" s="2" t="s">
        <v>136</v>
      </c>
      <c r="S3352" s="2" t="s">
        <v>39</v>
      </c>
      <c r="T3352" s="2" t="s">
        <v>40</v>
      </c>
      <c r="U3352" s="2" t="s">
        <v>25491</v>
      </c>
      <c r="V3352" s="2"/>
      <c r="W3352" s="2" t="s">
        <v>3235</v>
      </c>
      <c r="X3352" s="2" t="s">
        <v>43</v>
      </c>
      <c r="Y3352" s="2" t="s">
        <v>37</v>
      </c>
      <c r="Z3352" s="2" t="s">
        <v>44</v>
      </c>
      <c r="AA3352" s="2"/>
      <c r="AB3352" s="2"/>
      <c r="AC3352" s="2" t="s">
        <v>25492</v>
      </c>
      <c r="AD3352" s="2" t="s">
        <v>46</v>
      </c>
    </row>
    <row r="3353" customFormat="false" ht="15.7" hidden="false" customHeight="true" outlineLevel="0" collapsed="false">
      <c r="A3353" s="2"/>
      <c r="B3353" s="3" t="n">
        <f aca="false">DATE(2017,11,21)</f>
        <v>0</v>
      </c>
      <c r="C3353" s="3" t="n">
        <v>43060</v>
      </c>
      <c r="D3353" s="2" t="s">
        <v>25493</v>
      </c>
      <c r="F3353" s="2" t="s">
        <v>23707</v>
      </c>
      <c r="G3353" s="2" t="s">
        <v>25494</v>
      </c>
      <c r="H3353" s="2" t="s">
        <v>1101</v>
      </c>
      <c r="I3353" s="2" t="s">
        <v>1080</v>
      </c>
      <c r="J3353" s="2" t="s">
        <v>35</v>
      </c>
      <c r="K3353" s="2" t="s">
        <v>25493</v>
      </c>
      <c r="L3353" s="2" t="s">
        <v>1080</v>
      </c>
      <c r="M3353" s="2" t="s">
        <v>1101</v>
      </c>
      <c r="N3353" s="2" t="s">
        <v>25495</v>
      </c>
      <c r="O3353" s="2"/>
      <c r="P3353" s="2" t="s">
        <v>37</v>
      </c>
      <c r="Q3353" s="4" t="n">
        <v>8731</v>
      </c>
      <c r="R3353" s="2" t="s">
        <v>2201</v>
      </c>
      <c r="S3353" s="2" t="s">
        <v>39</v>
      </c>
      <c r="T3353" s="2" t="s">
        <v>40</v>
      </c>
      <c r="U3353" s="2" t="s">
        <v>25496</v>
      </c>
      <c r="V3353" s="2"/>
      <c r="W3353" s="2" t="s">
        <v>14179</v>
      </c>
      <c r="X3353" s="2" t="s">
        <v>43</v>
      </c>
      <c r="Y3353" s="2" t="s">
        <v>37</v>
      </c>
      <c r="Z3353" s="2" t="s">
        <v>44</v>
      </c>
      <c r="AA3353" s="2"/>
      <c r="AB3353" s="2"/>
      <c r="AC3353" s="2" t="s">
        <v>25497</v>
      </c>
      <c r="AD3353" s="2" t="s">
        <v>46</v>
      </c>
    </row>
    <row r="3354" customFormat="false" ht="15.7" hidden="false" customHeight="true" outlineLevel="0" collapsed="false">
      <c r="A3354" s="2"/>
      <c r="B3354" s="3" t="n">
        <f aca="false">DATE(2017,11,22)</f>
        <v>0</v>
      </c>
      <c r="C3354" s="3" t="n">
        <v>43061</v>
      </c>
      <c r="D3354" s="2" t="s">
        <v>25498</v>
      </c>
      <c r="F3354" s="2" t="s">
        <v>25499</v>
      </c>
      <c r="G3354" s="2" t="s">
        <v>25500</v>
      </c>
      <c r="H3354" s="2" t="s">
        <v>25501</v>
      </c>
      <c r="I3354" s="2" t="s">
        <v>25502</v>
      </c>
      <c r="J3354" s="2" t="s">
        <v>35</v>
      </c>
      <c r="K3354" s="2" t="s">
        <v>25498</v>
      </c>
      <c r="L3354" s="2" t="s">
        <v>25502</v>
      </c>
      <c r="M3354" s="2" t="s">
        <v>25501</v>
      </c>
      <c r="N3354" s="2" t="s">
        <v>25503</v>
      </c>
      <c r="O3354" s="2"/>
      <c r="P3354" s="2" t="s">
        <v>37</v>
      </c>
      <c r="Q3354" s="4" t="n">
        <v>3999</v>
      </c>
      <c r="R3354" s="2" t="s">
        <v>402</v>
      </c>
      <c r="S3354" s="2" t="s">
        <v>39</v>
      </c>
      <c r="T3354" s="2" t="s">
        <v>403</v>
      </c>
      <c r="U3354" s="2" t="s">
        <v>25504</v>
      </c>
      <c r="V3354" s="2"/>
      <c r="W3354" s="2" t="s">
        <v>25505</v>
      </c>
      <c r="X3354" s="2" t="s">
        <v>46</v>
      </c>
      <c r="Y3354" s="2" t="s">
        <v>37</v>
      </c>
      <c r="Z3354" s="2" t="s">
        <v>362</v>
      </c>
      <c r="AA3354" s="2" t="s">
        <v>25506</v>
      </c>
      <c r="AB3354" s="2"/>
      <c r="AC3354" s="2" t="s">
        <v>25507</v>
      </c>
      <c r="AD3354" s="2" t="s">
        <v>46</v>
      </c>
    </row>
    <row r="3355" customFormat="false" ht="15.7" hidden="false" customHeight="true" outlineLevel="0" collapsed="false">
      <c r="A3355" s="2"/>
      <c r="B3355" s="3" t="n">
        <f aca="false">DATE(2017,11,23)</f>
        <v>0</v>
      </c>
      <c r="C3355" s="3" t="n">
        <v>43062</v>
      </c>
      <c r="D3355" s="2" t="s">
        <v>25508</v>
      </c>
      <c r="F3355" s="2" t="s">
        <v>25509</v>
      </c>
      <c r="G3355" s="2" t="s">
        <v>25510</v>
      </c>
      <c r="H3355" s="2" t="s">
        <v>4301</v>
      </c>
      <c r="I3355" s="2" t="s">
        <v>1108</v>
      </c>
      <c r="J3355" s="2" t="s">
        <v>35</v>
      </c>
      <c r="K3355" s="2" t="s">
        <v>25508</v>
      </c>
      <c r="L3355" s="2" t="s">
        <v>1108</v>
      </c>
      <c r="M3355" s="2" t="s">
        <v>4301</v>
      </c>
      <c r="N3355" s="2" t="s">
        <v>25511</v>
      </c>
      <c r="O3355" s="2"/>
      <c r="P3355" s="2" t="s">
        <v>37</v>
      </c>
      <c r="Q3355" s="4" t="n">
        <v>8731</v>
      </c>
      <c r="R3355" s="2" t="s">
        <v>321</v>
      </c>
      <c r="S3355" s="2" t="s">
        <v>5334</v>
      </c>
      <c r="T3355" s="2" t="s">
        <v>40</v>
      </c>
      <c r="U3355" s="2" t="s">
        <v>25512</v>
      </c>
      <c r="V3355" s="2"/>
      <c r="W3355" s="2" t="s">
        <v>42</v>
      </c>
      <c r="X3355" s="2" t="s">
        <v>43</v>
      </c>
      <c r="Y3355" s="2" t="s">
        <v>79</v>
      </c>
      <c r="Z3355" s="2" t="s">
        <v>44</v>
      </c>
      <c r="AA3355" s="2"/>
      <c r="AB3355" s="2"/>
      <c r="AC3355" s="2" t="s">
        <v>25513</v>
      </c>
      <c r="AD3355" s="2" t="s">
        <v>46</v>
      </c>
    </row>
    <row r="3356" customFormat="false" ht="15.7" hidden="false" customHeight="true" outlineLevel="0" collapsed="false">
      <c r="A3356" s="2"/>
      <c r="B3356" s="3" t="n">
        <f aca="false">DATE(2017,11,24)</f>
        <v>0</v>
      </c>
      <c r="C3356" s="3" t="n">
        <v>43063</v>
      </c>
      <c r="D3356" s="2" t="s">
        <v>25514</v>
      </c>
      <c r="F3356" s="2" t="s">
        <v>2230</v>
      </c>
      <c r="G3356" s="2" t="s">
        <v>25515</v>
      </c>
      <c r="H3356" s="2" t="s">
        <v>19903</v>
      </c>
      <c r="I3356" s="2" t="s">
        <v>25516</v>
      </c>
      <c r="J3356" s="2" t="s">
        <v>35</v>
      </c>
      <c r="K3356" s="2" t="s">
        <v>25517</v>
      </c>
      <c r="L3356" s="2" t="s">
        <v>25516</v>
      </c>
      <c r="M3356" s="2" t="s">
        <v>4779</v>
      </c>
      <c r="N3356" s="2" t="s">
        <v>25518</v>
      </c>
      <c r="O3356" s="2"/>
      <c r="P3356" s="2" t="s">
        <v>37</v>
      </c>
      <c r="Q3356" s="4" t="n">
        <v>8731</v>
      </c>
      <c r="R3356" s="2" t="s">
        <v>14556</v>
      </c>
      <c r="S3356" s="2" t="s">
        <v>39</v>
      </c>
      <c r="T3356" s="2" t="s">
        <v>403</v>
      </c>
      <c r="U3356" s="2" t="s">
        <v>25519</v>
      </c>
      <c r="V3356" s="2"/>
      <c r="W3356" s="2" t="s">
        <v>42</v>
      </c>
      <c r="X3356" s="2" t="s">
        <v>46</v>
      </c>
      <c r="Y3356" s="2" t="s">
        <v>37</v>
      </c>
      <c r="Z3356" s="2" t="s">
        <v>44</v>
      </c>
      <c r="AA3356" s="2"/>
      <c r="AB3356" s="2"/>
      <c r="AC3356" s="2" t="s">
        <v>25520</v>
      </c>
      <c r="AD3356" s="2" t="s">
        <v>46</v>
      </c>
    </row>
    <row r="3357" customFormat="false" ht="15.7" hidden="false" customHeight="true" outlineLevel="0" collapsed="false">
      <c r="A3357" s="2"/>
      <c r="B3357" s="3" t="n">
        <f aca="false">DATE(2017,11,26)</f>
        <v>0</v>
      </c>
      <c r="C3357" s="3" t="n">
        <v>43065</v>
      </c>
      <c r="D3357" s="2" t="s">
        <v>25521</v>
      </c>
      <c r="F3357" s="2" t="s">
        <v>25522</v>
      </c>
      <c r="G3357" s="2" t="s">
        <v>25523</v>
      </c>
      <c r="H3357" s="2" t="s">
        <v>25524</v>
      </c>
      <c r="I3357" s="2" t="s">
        <v>296</v>
      </c>
      <c r="J3357" s="2" t="s">
        <v>625</v>
      </c>
      <c r="K3357" s="2" t="s">
        <v>25521</v>
      </c>
      <c r="L3357" s="2" t="s">
        <v>296</v>
      </c>
      <c r="M3357" s="2" t="s">
        <v>25524</v>
      </c>
      <c r="N3357" s="2" t="s">
        <v>25525</v>
      </c>
      <c r="O3357" s="2"/>
      <c r="P3357" s="2" t="s">
        <v>37</v>
      </c>
      <c r="Q3357" s="4" t="n">
        <v>8731</v>
      </c>
      <c r="R3357" s="2" t="s">
        <v>296</v>
      </c>
      <c r="S3357" s="2" t="s">
        <v>24876</v>
      </c>
      <c r="T3357" s="2" t="s">
        <v>40</v>
      </c>
      <c r="U3357" s="2" t="s">
        <v>25526</v>
      </c>
      <c r="V3357" s="2"/>
      <c r="W3357" s="2" t="s">
        <v>344</v>
      </c>
      <c r="X3357" s="2" t="s">
        <v>43</v>
      </c>
      <c r="Y3357" s="2" t="s">
        <v>79</v>
      </c>
      <c r="Z3357" s="2" t="s">
        <v>44</v>
      </c>
      <c r="AA3357" s="2"/>
      <c r="AB3357" s="2"/>
      <c r="AC3357" s="2" t="s">
        <v>25527</v>
      </c>
      <c r="AD3357" s="2" t="s">
        <v>46</v>
      </c>
    </row>
    <row r="3358" customFormat="false" ht="15.7" hidden="false" customHeight="true" outlineLevel="0" collapsed="false">
      <c r="A3358" s="3" t="n">
        <f aca="false">DATE(2017,11,27)</f>
        <v>0</v>
      </c>
      <c r="B3358" s="3" t="n">
        <f aca="false">DATE(2017,11,27)</f>
        <v>0</v>
      </c>
      <c r="C3358" s="3" t="n">
        <v>43066</v>
      </c>
      <c r="D3358" s="2" t="s">
        <v>25528</v>
      </c>
      <c r="F3358" s="2" t="s">
        <v>25529</v>
      </c>
      <c r="G3358" s="2" t="s">
        <v>25530</v>
      </c>
      <c r="H3358" s="2" t="s">
        <v>1473</v>
      </c>
      <c r="I3358" s="2" t="s">
        <v>1080</v>
      </c>
      <c r="J3358" s="2" t="s">
        <v>35</v>
      </c>
      <c r="K3358" s="2" t="s">
        <v>25528</v>
      </c>
      <c r="L3358" s="2" t="s">
        <v>1080</v>
      </c>
      <c r="M3358" s="2" t="s">
        <v>1473</v>
      </c>
      <c r="N3358" s="2" t="s">
        <v>25531</v>
      </c>
      <c r="O3358" s="2"/>
      <c r="P3358" s="2" t="s">
        <v>37</v>
      </c>
      <c r="Q3358" s="4" t="n">
        <v>8731</v>
      </c>
      <c r="R3358" s="2" t="s">
        <v>2201</v>
      </c>
      <c r="S3358" s="2" t="s">
        <v>39</v>
      </c>
      <c r="T3358" s="2" t="s">
        <v>40</v>
      </c>
      <c r="U3358" s="2" t="s">
        <v>25532</v>
      </c>
      <c r="V3358" s="2"/>
      <c r="W3358" s="2" t="s">
        <v>42</v>
      </c>
      <c r="X3358" s="2" t="s">
        <v>43</v>
      </c>
      <c r="Y3358" s="2" t="s">
        <v>37</v>
      </c>
      <c r="Z3358" s="2" t="s">
        <v>44</v>
      </c>
      <c r="AA3358" s="2"/>
      <c r="AB3358" s="2"/>
      <c r="AC3358" s="2" t="s">
        <v>25533</v>
      </c>
      <c r="AD3358" s="2" t="s">
        <v>46</v>
      </c>
    </row>
    <row r="3359" customFormat="false" ht="15.7" hidden="false" customHeight="true" outlineLevel="0" collapsed="false">
      <c r="A3359" s="2"/>
      <c r="B3359" s="3" t="n">
        <f aca="false">DATE(2017,11,27)</f>
        <v>0</v>
      </c>
      <c r="C3359" s="3" t="n">
        <v>43066</v>
      </c>
      <c r="D3359" s="2" t="s">
        <v>25534</v>
      </c>
      <c r="F3359" s="2" t="s">
        <v>25535</v>
      </c>
      <c r="G3359" s="2" t="s">
        <v>25536</v>
      </c>
      <c r="H3359" s="2" t="s">
        <v>25537</v>
      </c>
      <c r="I3359" s="2" t="s">
        <v>1645</v>
      </c>
      <c r="J3359" s="2" t="s">
        <v>35</v>
      </c>
      <c r="K3359" s="2" t="s">
        <v>25538</v>
      </c>
      <c r="L3359" s="2" t="s">
        <v>22666</v>
      </c>
      <c r="M3359" s="2" t="s">
        <v>14751</v>
      </c>
      <c r="N3359" s="2" t="s">
        <v>25539</v>
      </c>
      <c r="O3359" s="2"/>
      <c r="P3359" s="2" t="s">
        <v>37</v>
      </c>
      <c r="Q3359" s="4" t="n">
        <v>8731</v>
      </c>
      <c r="R3359" s="2" t="s">
        <v>1402</v>
      </c>
      <c r="S3359" s="2" t="s">
        <v>39</v>
      </c>
      <c r="T3359" s="2" t="s">
        <v>403</v>
      </c>
      <c r="U3359" s="2" t="s">
        <v>25540</v>
      </c>
      <c r="V3359" s="2"/>
      <c r="W3359" s="2" t="s">
        <v>4101</v>
      </c>
      <c r="X3359" s="2" t="s">
        <v>43</v>
      </c>
      <c r="Y3359" s="2" t="s">
        <v>37</v>
      </c>
      <c r="Z3359" s="2" t="s">
        <v>44</v>
      </c>
      <c r="AA3359" s="2"/>
      <c r="AB3359" s="2"/>
      <c r="AC3359" s="2" t="s">
        <v>25541</v>
      </c>
      <c r="AD3359" s="2" t="s">
        <v>46</v>
      </c>
    </row>
    <row r="3360" customFormat="false" ht="15.7" hidden="false" customHeight="true" outlineLevel="0" collapsed="false">
      <c r="A3360" s="2"/>
      <c r="B3360" s="3" t="n">
        <f aca="false">DATE(2017,11,27)</f>
        <v>0</v>
      </c>
      <c r="C3360" s="3" t="n">
        <v>43066</v>
      </c>
      <c r="D3360" s="2" t="s">
        <v>25542</v>
      </c>
      <c r="F3360" s="2" t="s">
        <v>25543</v>
      </c>
      <c r="G3360" s="2" t="s">
        <v>25544</v>
      </c>
      <c r="H3360" s="2" t="s">
        <v>25545</v>
      </c>
      <c r="I3360" s="2" t="s">
        <v>10892</v>
      </c>
      <c r="J3360" s="2" t="s">
        <v>35</v>
      </c>
      <c r="K3360" s="2" t="s">
        <v>25542</v>
      </c>
      <c r="L3360" s="2" t="s">
        <v>10892</v>
      </c>
      <c r="M3360" s="2" t="s">
        <v>25545</v>
      </c>
      <c r="N3360" s="2" t="s">
        <v>25546</v>
      </c>
      <c r="O3360" s="2"/>
      <c r="P3360" s="2" t="s">
        <v>37</v>
      </c>
      <c r="Q3360" s="4" t="n">
        <v>8731</v>
      </c>
      <c r="R3360" s="2" t="s">
        <v>1402</v>
      </c>
      <c r="S3360" s="2" t="s">
        <v>39</v>
      </c>
      <c r="T3360" s="2" t="s">
        <v>40</v>
      </c>
      <c r="U3360" s="2" t="s">
        <v>25547</v>
      </c>
      <c r="V3360" s="2"/>
      <c r="W3360" s="2" t="s">
        <v>42</v>
      </c>
      <c r="X3360" s="2" t="s">
        <v>43</v>
      </c>
      <c r="Y3360" s="2" t="s">
        <v>37</v>
      </c>
      <c r="Z3360" s="2" t="s">
        <v>44</v>
      </c>
      <c r="AA3360" s="2"/>
      <c r="AB3360" s="2"/>
      <c r="AC3360" s="2" t="s">
        <v>25548</v>
      </c>
      <c r="AD3360" s="2" t="s">
        <v>46</v>
      </c>
    </row>
    <row r="3361" customFormat="false" ht="15.7" hidden="false" customHeight="true" outlineLevel="0" collapsed="false">
      <c r="A3361" s="2"/>
      <c r="B3361" s="3" t="n">
        <f aca="false">DATE(2017,11,27)</f>
        <v>0</v>
      </c>
      <c r="C3361" s="3" t="n">
        <v>43066</v>
      </c>
      <c r="D3361" s="2" t="s">
        <v>25549</v>
      </c>
      <c r="F3361" s="2" t="s">
        <v>25550</v>
      </c>
      <c r="G3361" s="2" t="s">
        <v>25551</v>
      </c>
      <c r="H3361" s="2" t="s">
        <v>9459</v>
      </c>
      <c r="I3361" s="2" t="s">
        <v>1973</v>
      </c>
      <c r="J3361" s="2" t="s">
        <v>35</v>
      </c>
      <c r="K3361" s="2" t="s">
        <v>25552</v>
      </c>
      <c r="L3361" s="2" t="s">
        <v>13151</v>
      </c>
      <c r="M3361" s="2" t="s">
        <v>25553</v>
      </c>
      <c r="N3361" s="2" t="s">
        <v>25554</v>
      </c>
      <c r="O3361" s="2"/>
      <c r="P3361" s="2" t="s">
        <v>37</v>
      </c>
      <c r="Q3361" s="4" t="n">
        <v>8731</v>
      </c>
      <c r="R3361" s="2"/>
      <c r="S3361" s="2"/>
      <c r="T3361" s="2" t="s">
        <v>40</v>
      </c>
      <c r="U3361" s="2" t="s">
        <v>25555</v>
      </c>
      <c r="V3361" s="2"/>
      <c r="W3361" s="2" t="s">
        <v>42</v>
      </c>
      <c r="X3361" s="2" t="s">
        <v>43</v>
      </c>
      <c r="Y3361" s="2" t="s">
        <v>37</v>
      </c>
      <c r="Z3361" s="2" t="s">
        <v>44</v>
      </c>
      <c r="AA3361" s="2"/>
      <c r="AB3361" s="2"/>
      <c r="AC3361" s="2" t="s">
        <v>25556</v>
      </c>
      <c r="AD3361" s="2" t="s">
        <v>46</v>
      </c>
    </row>
    <row r="3362" customFormat="false" ht="15.7" hidden="false" customHeight="true" outlineLevel="0" collapsed="false">
      <c r="A3362" s="2"/>
      <c r="B3362" s="3" t="n">
        <f aca="false">DATE(2017,11,28)</f>
        <v>0</v>
      </c>
      <c r="C3362" s="3" t="n">
        <v>43067</v>
      </c>
      <c r="D3362" s="2" t="s">
        <v>25557</v>
      </c>
      <c r="F3362" s="2" t="s">
        <v>18436</v>
      </c>
      <c r="G3362" s="2" t="s">
        <v>25558</v>
      </c>
      <c r="H3362" s="2" t="s">
        <v>762</v>
      </c>
      <c r="I3362" s="2" t="s">
        <v>51</v>
      </c>
      <c r="J3362" s="2" t="s">
        <v>2190</v>
      </c>
      <c r="K3362" s="2" t="s">
        <v>25559</v>
      </c>
      <c r="L3362" s="2" t="s">
        <v>88</v>
      </c>
      <c r="M3362" s="2" t="s">
        <v>1181</v>
      </c>
      <c r="N3362" s="2" t="s">
        <v>25560</v>
      </c>
      <c r="O3362" s="2"/>
      <c r="P3362" s="2" t="s">
        <v>37</v>
      </c>
      <c r="Q3362" s="4" t="n">
        <v>8731</v>
      </c>
      <c r="R3362" s="2" t="s">
        <v>56</v>
      </c>
      <c r="S3362" s="2"/>
      <c r="T3362" s="2" t="s">
        <v>40</v>
      </c>
      <c r="U3362" s="2" t="s">
        <v>25561</v>
      </c>
      <c r="V3362" s="2"/>
      <c r="W3362" s="2" t="s">
        <v>42</v>
      </c>
      <c r="X3362" s="2" t="s">
        <v>43</v>
      </c>
      <c r="Y3362" s="2" t="s">
        <v>37</v>
      </c>
      <c r="Z3362" s="2" t="s">
        <v>44</v>
      </c>
      <c r="AA3362" s="2"/>
      <c r="AB3362" s="2"/>
      <c r="AC3362" s="2" t="s">
        <v>25562</v>
      </c>
      <c r="AD3362" s="2" t="s">
        <v>46</v>
      </c>
    </row>
    <row r="3363" customFormat="false" ht="15.7" hidden="false" customHeight="true" outlineLevel="0" collapsed="false">
      <c r="A3363" s="2"/>
      <c r="B3363" s="3" t="n">
        <f aca="false">DATE(2017,11,28)</f>
        <v>0</v>
      </c>
      <c r="C3363" s="3" t="n">
        <v>43067</v>
      </c>
      <c r="D3363" s="2" t="s">
        <v>25563</v>
      </c>
      <c r="F3363" s="2" t="s">
        <v>25564</v>
      </c>
      <c r="G3363" s="2" t="s">
        <v>25565</v>
      </c>
      <c r="H3363" s="2" t="s">
        <v>4779</v>
      </c>
      <c r="I3363" s="2" t="s">
        <v>51</v>
      </c>
      <c r="J3363" s="2" t="s">
        <v>9038</v>
      </c>
      <c r="K3363" s="2" t="s">
        <v>25563</v>
      </c>
      <c r="L3363" s="2" t="s">
        <v>51</v>
      </c>
      <c r="M3363" s="2" t="s">
        <v>4779</v>
      </c>
      <c r="N3363" s="2" t="s">
        <v>25566</v>
      </c>
      <c r="O3363" s="2"/>
      <c r="P3363" s="2" t="s">
        <v>37</v>
      </c>
      <c r="Q3363" s="4" t="n">
        <v>8731</v>
      </c>
      <c r="R3363" s="2" t="s">
        <v>56</v>
      </c>
      <c r="S3363" s="2" t="s">
        <v>788</v>
      </c>
      <c r="T3363" s="2" t="s">
        <v>403</v>
      </c>
      <c r="U3363" s="2" t="s">
        <v>25567</v>
      </c>
      <c r="V3363" s="2"/>
      <c r="W3363" s="2" t="s">
        <v>4505</v>
      </c>
      <c r="X3363" s="2" t="s">
        <v>43</v>
      </c>
      <c r="Y3363" s="2" t="s">
        <v>37</v>
      </c>
      <c r="Z3363" s="2" t="s">
        <v>44</v>
      </c>
      <c r="AA3363" s="2"/>
      <c r="AB3363" s="2"/>
      <c r="AC3363" s="2" t="s">
        <v>25568</v>
      </c>
      <c r="AD3363" s="2" t="s">
        <v>46</v>
      </c>
    </row>
    <row r="3364" customFormat="false" ht="15.7" hidden="false" customHeight="true" outlineLevel="0" collapsed="false">
      <c r="A3364" s="3" t="n">
        <f aca="false">DATE(2017,11,28)</f>
        <v>0</v>
      </c>
      <c r="B3364" s="3" t="n">
        <f aca="false">DATE(2017,11,28)</f>
        <v>0</v>
      </c>
      <c r="C3364" s="3" t="n">
        <v>43067</v>
      </c>
      <c r="D3364" s="2" t="s">
        <v>25569</v>
      </c>
      <c r="F3364" s="2" t="s">
        <v>25570</v>
      </c>
      <c r="G3364" s="2" t="s">
        <v>25571</v>
      </c>
      <c r="H3364" s="2" t="s">
        <v>2319</v>
      </c>
      <c r="I3364" s="2" t="s">
        <v>821</v>
      </c>
      <c r="J3364" s="2" t="s">
        <v>3054</v>
      </c>
      <c r="K3364" s="2" t="s">
        <v>25569</v>
      </c>
      <c r="L3364" s="2" t="s">
        <v>821</v>
      </c>
      <c r="M3364" s="2" t="s">
        <v>2319</v>
      </c>
      <c r="N3364" s="2" t="s">
        <v>25572</v>
      </c>
      <c r="O3364" s="2"/>
      <c r="P3364" s="2" t="s">
        <v>79</v>
      </c>
      <c r="Q3364" s="4" t="n">
        <v>8731</v>
      </c>
      <c r="R3364" s="2" t="s">
        <v>450</v>
      </c>
      <c r="S3364" s="2" t="s">
        <v>39</v>
      </c>
      <c r="T3364" s="2" t="s">
        <v>40</v>
      </c>
      <c r="U3364" s="2" t="s">
        <v>25573</v>
      </c>
      <c r="V3364" s="2"/>
      <c r="W3364" s="2" t="s">
        <v>42</v>
      </c>
      <c r="X3364" s="2" t="s">
        <v>43</v>
      </c>
      <c r="Y3364" s="2" t="s">
        <v>37</v>
      </c>
      <c r="Z3364" s="2" t="s">
        <v>44</v>
      </c>
      <c r="AA3364" s="2"/>
      <c r="AB3364" s="2"/>
      <c r="AC3364" s="2" t="s">
        <v>25574</v>
      </c>
      <c r="AD3364" s="2" t="s">
        <v>46</v>
      </c>
    </row>
    <row r="3365" customFormat="false" ht="15.7" hidden="false" customHeight="true" outlineLevel="0" collapsed="false">
      <c r="A3365" s="2"/>
      <c r="B3365" s="3" t="n">
        <f aca="false">DATE(2017,11,28)</f>
        <v>0</v>
      </c>
      <c r="C3365" s="3" t="n">
        <v>43067</v>
      </c>
      <c r="D3365" s="2" t="s">
        <v>25575</v>
      </c>
      <c r="F3365" s="2" t="s">
        <v>24379</v>
      </c>
      <c r="G3365" s="2" t="s">
        <v>25576</v>
      </c>
      <c r="H3365" s="2" t="s">
        <v>5687</v>
      </c>
      <c r="I3365" s="2" t="s">
        <v>51</v>
      </c>
      <c r="J3365" s="2" t="s">
        <v>3258</v>
      </c>
      <c r="K3365" s="2" t="s">
        <v>25575</v>
      </c>
      <c r="L3365" s="2" t="s">
        <v>51</v>
      </c>
      <c r="M3365" s="2" t="s">
        <v>5687</v>
      </c>
      <c r="N3365" s="2" t="s">
        <v>25577</v>
      </c>
      <c r="O3365" s="2"/>
      <c r="P3365" s="2" t="s">
        <v>79</v>
      </c>
      <c r="Q3365" s="4" t="n">
        <v>8731</v>
      </c>
      <c r="R3365" s="2" t="s">
        <v>56</v>
      </c>
      <c r="S3365" s="2"/>
      <c r="T3365" s="2" t="s">
        <v>40</v>
      </c>
      <c r="U3365" s="2" t="s">
        <v>25578</v>
      </c>
      <c r="V3365" s="2"/>
      <c r="W3365" s="2" t="s">
        <v>42</v>
      </c>
      <c r="X3365" s="2" t="s">
        <v>43</v>
      </c>
      <c r="Y3365" s="2" t="s">
        <v>37</v>
      </c>
      <c r="Z3365" s="2" t="s">
        <v>44</v>
      </c>
      <c r="AA3365" s="2" t="s">
        <v>25579</v>
      </c>
      <c r="AB3365" s="2"/>
      <c r="AC3365" s="2" t="s">
        <v>25580</v>
      </c>
      <c r="AD3365" s="2" t="s">
        <v>46</v>
      </c>
    </row>
    <row r="3366" customFormat="false" ht="15.7" hidden="false" customHeight="true" outlineLevel="0" collapsed="false">
      <c r="A3366" s="2"/>
      <c r="B3366" s="3" t="n">
        <f aca="false">DATE(2017,11,28)</f>
        <v>0</v>
      </c>
      <c r="C3366" s="3" t="n">
        <v>43067</v>
      </c>
      <c r="D3366" s="2" t="s">
        <v>25581</v>
      </c>
      <c r="F3366" s="2" t="s">
        <v>25582</v>
      </c>
      <c r="G3366" s="2" t="s">
        <v>25583</v>
      </c>
      <c r="H3366" s="2" t="s">
        <v>25584</v>
      </c>
      <c r="I3366" s="2" t="s">
        <v>51</v>
      </c>
      <c r="J3366" s="2" t="s">
        <v>25585</v>
      </c>
      <c r="K3366" s="2" t="s">
        <v>25586</v>
      </c>
      <c r="L3366" s="2" t="s">
        <v>51</v>
      </c>
      <c r="M3366" s="2" t="s">
        <v>25587</v>
      </c>
      <c r="N3366" s="2" t="s">
        <v>25588</v>
      </c>
      <c r="O3366" s="2"/>
      <c r="P3366" s="2" t="s">
        <v>37</v>
      </c>
      <c r="Q3366" s="4" t="n">
        <v>8731</v>
      </c>
      <c r="R3366" s="2" t="s">
        <v>56</v>
      </c>
      <c r="S3366" s="2"/>
      <c r="T3366" s="2" t="s">
        <v>40</v>
      </c>
      <c r="U3366" s="2" t="s">
        <v>25589</v>
      </c>
      <c r="V3366" s="2"/>
      <c r="W3366" s="2" t="s">
        <v>42</v>
      </c>
      <c r="X3366" s="2" t="s">
        <v>43</v>
      </c>
      <c r="Y3366" s="2" t="s">
        <v>37</v>
      </c>
      <c r="Z3366" s="2" t="s">
        <v>44</v>
      </c>
      <c r="AA3366" s="2"/>
      <c r="AB3366" s="2"/>
      <c r="AC3366" s="2" t="s">
        <v>25590</v>
      </c>
      <c r="AD3366" s="2" t="s">
        <v>46</v>
      </c>
    </row>
    <row r="3367" customFormat="false" ht="15.7" hidden="false" customHeight="true" outlineLevel="0" collapsed="false">
      <c r="A3367" s="2"/>
      <c r="B3367" s="3" t="n">
        <f aca="false">DATE(2017,11,28)</f>
        <v>0</v>
      </c>
      <c r="C3367" s="3" t="n">
        <v>43067</v>
      </c>
      <c r="D3367" s="2" t="s">
        <v>25591</v>
      </c>
      <c r="F3367" s="2" t="s">
        <v>25592</v>
      </c>
      <c r="G3367" s="2" t="s">
        <v>25593</v>
      </c>
      <c r="H3367" s="2" t="s">
        <v>25594</v>
      </c>
      <c r="I3367" s="2" t="s">
        <v>9635</v>
      </c>
      <c r="J3367" s="2" t="s">
        <v>1891</v>
      </c>
      <c r="K3367" s="2" t="s">
        <v>25591</v>
      </c>
      <c r="L3367" s="2" t="s">
        <v>9635</v>
      </c>
      <c r="M3367" s="2" t="s">
        <v>25594</v>
      </c>
      <c r="N3367" s="2" t="s">
        <v>25595</v>
      </c>
      <c r="O3367" s="2"/>
      <c r="P3367" s="2" t="s">
        <v>37</v>
      </c>
      <c r="Q3367" s="4" t="n">
        <v>8731</v>
      </c>
      <c r="R3367" s="2" t="s">
        <v>136</v>
      </c>
      <c r="S3367" s="2" t="s">
        <v>39</v>
      </c>
      <c r="T3367" s="2" t="s">
        <v>40</v>
      </c>
      <c r="U3367" s="2" t="s">
        <v>25596</v>
      </c>
      <c r="V3367" s="2"/>
      <c r="W3367" s="2" t="s">
        <v>42</v>
      </c>
      <c r="X3367" s="2" t="s">
        <v>43</v>
      </c>
      <c r="Y3367" s="2" t="s">
        <v>37</v>
      </c>
      <c r="Z3367" s="2" t="s">
        <v>44</v>
      </c>
      <c r="AA3367" s="2"/>
      <c r="AB3367" s="2"/>
      <c r="AC3367" s="2" t="s">
        <v>25597</v>
      </c>
      <c r="AD3367" s="2" t="s">
        <v>46</v>
      </c>
    </row>
    <row r="3368" customFormat="false" ht="15.7" hidden="false" customHeight="true" outlineLevel="0" collapsed="false">
      <c r="A3368" s="2"/>
      <c r="B3368" s="3" t="n">
        <f aca="false">DATE(2017,11,28)</f>
        <v>0</v>
      </c>
      <c r="C3368" s="3" t="n">
        <v>43067</v>
      </c>
      <c r="D3368" s="2" t="s">
        <v>25598</v>
      </c>
      <c r="F3368" s="2" t="s">
        <v>25599</v>
      </c>
      <c r="G3368" s="2" t="s">
        <v>25600</v>
      </c>
      <c r="H3368" s="2" t="s">
        <v>10891</v>
      </c>
      <c r="I3368" s="2" t="s">
        <v>25601</v>
      </c>
      <c r="J3368" s="2" t="s">
        <v>35</v>
      </c>
      <c r="K3368" s="2" t="s">
        <v>25598</v>
      </c>
      <c r="L3368" s="2" t="s">
        <v>25601</v>
      </c>
      <c r="M3368" s="2" t="s">
        <v>10891</v>
      </c>
      <c r="N3368" s="2" t="s">
        <v>25602</v>
      </c>
      <c r="O3368" s="2"/>
      <c r="P3368" s="2" t="s">
        <v>37</v>
      </c>
      <c r="Q3368" s="4" t="n">
        <v>6794</v>
      </c>
      <c r="R3368" s="2" t="s">
        <v>136</v>
      </c>
      <c r="S3368" s="2" t="s">
        <v>39</v>
      </c>
      <c r="T3368" s="2" t="s">
        <v>40</v>
      </c>
      <c r="U3368" s="2" t="s">
        <v>25603</v>
      </c>
      <c r="V3368" s="2"/>
      <c r="W3368" s="2" t="s">
        <v>82</v>
      </c>
      <c r="X3368" s="2" t="s">
        <v>43</v>
      </c>
      <c r="Y3368" s="2" t="s">
        <v>37</v>
      </c>
      <c r="Z3368" s="2" t="s">
        <v>44</v>
      </c>
      <c r="AA3368" s="2"/>
      <c r="AB3368" s="2"/>
      <c r="AC3368" s="2" t="s">
        <v>25604</v>
      </c>
      <c r="AD3368" s="2" t="s">
        <v>46</v>
      </c>
    </row>
    <row r="3369" customFormat="false" ht="15.7" hidden="false" customHeight="true" outlineLevel="0" collapsed="false">
      <c r="A3369" s="2"/>
      <c r="B3369" s="3" t="n">
        <f aca="false">DATE(2017,11,29)</f>
        <v>0</v>
      </c>
      <c r="C3369" s="3" t="n">
        <v>43068</v>
      </c>
      <c r="D3369" s="2" t="s">
        <v>25605</v>
      </c>
      <c r="F3369" s="2" t="s">
        <v>25606</v>
      </c>
      <c r="G3369" s="2" t="s">
        <v>25607</v>
      </c>
      <c r="H3369" s="2" t="s">
        <v>5818</v>
      </c>
      <c r="I3369" s="2" t="s">
        <v>670</v>
      </c>
      <c r="J3369" s="2" t="s">
        <v>65</v>
      </c>
      <c r="K3369" s="2" t="s">
        <v>25608</v>
      </c>
      <c r="L3369" s="2" t="s">
        <v>670</v>
      </c>
      <c r="M3369" s="2" t="s">
        <v>22599</v>
      </c>
      <c r="N3369" s="2" t="s">
        <v>25609</v>
      </c>
      <c r="O3369" s="2"/>
      <c r="P3369" s="2" t="s">
        <v>37</v>
      </c>
      <c r="Q3369" s="4" t="n">
        <v>8062</v>
      </c>
      <c r="R3369" s="2" t="s">
        <v>56</v>
      </c>
      <c r="S3369" s="2" t="s">
        <v>92</v>
      </c>
      <c r="T3369" s="2" t="s">
        <v>403</v>
      </c>
      <c r="U3369" s="2" t="s">
        <v>25610</v>
      </c>
      <c r="V3369" s="2"/>
      <c r="W3369" s="2" t="s">
        <v>15969</v>
      </c>
      <c r="X3369" s="2" t="s">
        <v>46</v>
      </c>
      <c r="Y3369" s="2" t="s">
        <v>37</v>
      </c>
      <c r="Z3369" s="2" t="s">
        <v>44</v>
      </c>
      <c r="AA3369" s="2"/>
      <c r="AB3369" s="2"/>
      <c r="AC3369" s="2" t="s">
        <v>25611</v>
      </c>
      <c r="AD3369" s="2" t="s">
        <v>46</v>
      </c>
    </row>
    <row r="3370" customFormat="false" ht="15.7" hidden="false" customHeight="true" outlineLevel="0" collapsed="false">
      <c r="A3370" s="2"/>
      <c r="B3370" s="3" t="n">
        <f aca="false">DATE(2017,11,29)</f>
        <v>0</v>
      </c>
      <c r="C3370" s="3" t="n">
        <v>43068</v>
      </c>
      <c r="D3370" s="2" t="s">
        <v>25612</v>
      </c>
      <c r="F3370" s="2" t="s">
        <v>25613</v>
      </c>
      <c r="G3370" s="2" t="s">
        <v>25614</v>
      </c>
      <c r="H3370" s="2" t="s">
        <v>3343</v>
      </c>
      <c r="I3370" s="2" t="s">
        <v>25615</v>
      </c>
      <c r="J3370" s="2" t="s">
        <v>625</v>
      </c>
      <c r="K3370" s="2" t="s">
        <v>25612</v>
      </c>
      <c r="L3370" s="2" t="s">
        <v>25615</v>
      </c>
      <c r="M3370" s="2" t="s">
        <v>3343</v>
      </c>
      <c r="N3370" s="2" t="s">
        <v>25616</v>
      </c>
      <c r="O3370" s="2"/>
      <c r="P3370" s="2" t="s">
        <v>37</v>
      </c>
      <c r="Q3370" s="4" t="n">
        <v>8099</v>
      </c>
      <c r="R3370" s="2" t="s">
        <v>56</v>
      </c>
      <c r="S3370" s="2" t="s">
        <v>507</v>
      </c>
      <c r="T3370" s="2" t="s">
        <v>40</v>
      </c>
      <c r="U3370" s="2" t="s">
        <v>25617</v>
      </c>
      <c r="V3370" s="2"/>
      <c r="W3370" s="2" t="s">
        <v>4487</v>
      </c>
      <c r="X3370" s="2" t="s">
        <v>43</v>
      </c>
      <c r="Y3370" s="2" t="s">
        <v>37</v>
      </c>
      <c r="Z3370" s="2" t="s">
        <v>44</v>
      </c>
      <c r="AA3370" s="2"/>
      <c r="AB3370" s="2"/>
      <c r="AC3370" s="2" t="s">
        <v>25618</v>
      </c>
      <c r="AD3370" s="2" t="s">
        <v>46</v>
      </c>
    </row>
    <row r="3371" customFormat="false" ht="15.7" hidden="false" customHeight="true" outlineLevel="0" collapsed="false">
      <c r="A3371" s="2"/>
      <c r="B3371" s="3" t="n">
        <f aca="false">DATE(2017,11,29)</f>
        <v>0</v>
      </c>
      <c r="C3371" s="3" t="n">
        <v>43068</v>
      </c>
      <c r="D3371" s="2" t="s">
        <v>25619</v>
      </c>
      <c r="F3371" s="2" t="s">
        <v>25620</v>
      </c>
      <c r="G3371" s="2" t="s">
        <v>25621</v>
      </c>
      <c r="H3371" s="2" t="s">
        <v>25622</v>
      </c>
      <c r="I3371" s="2" t="s">
        <v>51</v>
      </c>
      <c r="J3371" s="2" t="s">
        <v>25623</v>
      </c>
      <c r="K3371" s="2" t="s">
        <v>25624</v>
      </c>
      <c r="L3371" s="2" t="s">
        <v>670</v>
      </c>
      <c r="M3371" s="2" t="s">
        <v>9318</v>
      </c>
      <c r="N3371" s="2" t="s">
        <v>25625</v>
      </c>
      <c r="O3371" s="2"/>
      <c r="P3371" s="2" t="s">
        <v>79</v>
      </c>
      <c r="Q3371" s="4" t="n">
        <v>8731</v>
      </c>
      <c r="R3371" s="2" t="s">
        <v>56</v>
      </c>
      <c r="S3371" s="2"/>
      <c r="T3371" s="2" t="s">
        <v>40</v>
      </c>
      <c r="U3371" s="2" t="s">
        <v>25626</v>
      </c>
      <c r="V3371" s="2"/>
      <c r="W3371" s="2" t="s">
        <v>344</v>
      </c>
      <c r="X3371" s="2" t="s">
        <v>43</v>
      </c>
      <c r="Y3371" s="2" t="s">
        <v>37</v>
      </c>
      <c r="Z3371" s="2" t="s">
        <v>44</v>
      </c>
      <c r="AA3371" s="2"/>
      <c r="AB3371" s="2"/>
      <c r="AC3371" s="2" t="s">
        <v>25627</v>
      </c>
      <c r="AD3371" s="2" t="s">
        <v>46</v>
      </c>
    </row>
    <row r="3372" customFormat="false" ht="15.7" hidden="false" customHeight="true" outlineLevel="0" collapsed="false">
      <c r="A3372" s="2"/>
      <c r="B3372" s="3" t="n">
        <f aca="false">DATE(2017,11,29)</f>
        <v>0</v>
      </c>
      <c r="C3372" s="3" t="n">
        <v>43068</v>
      </c>
      <c r="D3372" s="2" t="s">
        <v>25628</v>
      </c>
      <c r="F3372" s="2" t="s">
        <v>25629</v>
      </c>
      <c r="G3372" s="2" t="s">
        <v>25630</v>
      </c>
      <c r="H3372" s="2" t="s">
        <v>25631</v>
      </c>
      <c r="I3372" s="2" t="s">
        <v>100</v>
      </c>
      <c r="J3372" s="2" t="s">
        <v>101</v>
      </c>
      <c r="K3372" s="2" t="s">
        <v>25632</v>
      </c>
      <c r="L3372" s="2" t="s">
        <v>100</v>
      </c>
      <c r="M3372" s="2" t="s">
        <v>25633</v>
      </c>
      <c r="N3372" s="2" t="s">
        <v>25634</v>
      </c>
      <c r="O3372" s="2"/>
      <c r="P3372" s="2" t="s">
        <v>37</v>
      </c>
      <c r="Q3372" s="4" t="n">
        <v>8731</v>
      </c>
      <c r="R3372" s="2" t="s">
        <v>105</v>
      </c>
      <c r="S3372" s="2" t="s">
        <v>39</v>
      </c>
      <c r="T3372" s="2" t="s">
        <v>40</v>
      </c>
      <c r="U3372" s="2" t="s">
        <v>25635</v>
      </c>
      <c r="V3372" s="2"/>
      <c r="W3372" s="2" t="s">
        <v>42</v>
      </c>
      <c r="X3372" s="2" t="s">
        <v>43</v>
      </c>
      <c r="Y3372" s="2" t="s">
        <v>37</v>
      </c>
      <c r="Z3372" s="2" t="s">
        <v>44</v>
      </c>
      <c r="AA3372" s="2"/>
      <c r="AB3372" s="2"/>
      <c r="AC3372" s="2" t="s">
        <v>25636</v>
      </c>
      <c r="AD3372" s="2" t="s">
        <v>46</v>
      </c>
    </row>
    <row r="3373" customFormat="false" ht="15.7" hidden="false" customHeight="true" outlineLevel="0" collapsed="false">
      <c r="A3373" s="2"/>
      <c r="B3373" s="3" t="n">
        <f aca="false">DATE(2017,11,30)</f>
        <v>0</v>
      </c>
      <c r="C3373" s="3" t="n">
        <v>43069</v>
      </c>
      <c r="D3373" s="2" t="s">
        <v>25637</v>
      </c>
      <c r="F3373" s="2" t="s">
        <v>25638</v>
      </c>
      <c r="G3373" s="2" t="s">
        <v>25639</v>
      </c>
      <c r="H3373" s="2" t="s">
        <v>25640</v>
      </c>
      <c r="I3373" s="2" t="s">
        <v>25641</v>
      </c>
      <c r="J3373" s="2" t="s">
        <v>116</v>
      </c>
      <c r="K3373" s="2" t="s">
        <v>25642</v>
      </c>
      <c r="L3373" s="2" t="s">
        <v>25643</v>
      </c>
      <c r="M3373" s="2" t="s">
        <v>25644</v>
      </c>
      <c r="N3373" s="2" t="s">
        <v>25645</v>
      </c>
      <c r="O3373" s="2"/>
      <c r="P3373" s="2" t="s">
        <v>37</v>
      </c>
      <c r="Q3373" s="4" t="n">
        <v>8731</v>
      </c>
      <c r="R3373" s="2" t="s">
        <v>3154</v>
      </c>
      <c r="S3373" s="2" t="s">
        <v>39</v>
      </c>
      <c r="T3373" s="2" t="s">
        <v>40</v>
      </c>
      <c r="U3373" s="2" t="s">
        <v>25646</v>
      </c>
      <c r="V3373" s="2"/>
      <c r="W3373" s="2" t="s">
        <v>42</v>
      </c>
      <c r="X3373" s="2" t="s">
        <v>43</v>
      </c>
      <c r="Y3373" s="2" t="s">
        <v>37</v>
      </c>
      <c r="Z3373" s="2" t="s">
        <v>916</v>
      </c>
      <c r="AA3373" s="2"/>
      <c r="AB3373" s="2"/>
      <c r="AC3373" s="2" t="s">
        <v>25647</v>
      </c>
      <c r="AD3373" s="2" t="s">
        <v>46</v>
      </c>
    </row>
    <row r="3374" customFormat="false" ht="15.7" hidden="false" customHeight="true" outlineLevel="0" collapsed="false">
      <c r="A3374" s="2"/>
      <c r="B3374" s="3" t="n">
        <f aca="false">DATE(2017,11,30)</f>
        <v>0</v>
      </c>
      <c r="C3374" s="3" t="n">
        <v>43069</v>
      </c>
      <c r="D3374" s="2" t="s">
        <v>25648</v>
      </c>
      <c r="F3374" s="2" t="s">
        <v>20650</v>
      </c>
      <c r="G3374" s="2" t="s">
        <v>25649</v>
      </c>
      <c r="H3374" s="2" t="s">
        <v>130</v>
      </c>
      <c r="I3374" s="2" t="s">
        <v>5102</v>
      </c>
      <c r="J3374" s="2" t="s">
        <v>35</v>
      </c>
      <c r="K3374" s="2" t="s">
        <v>25650</v>
      </c>
      <c r="L3374" s="2" t="s">
        <v>17440</v>
      </c>
      <c r="M3374" s="2" t="s">
        <v>25651</v>
      </c>
      <c r="N3374" s="2" t="s">
        <v>25652</v>
      </c>
      <c r="O3374" s="2"/>
      <c r="P3374" s="2" t="s">
        <v>37</v>
      </c>
      <c r="Q3374" s="4" t="n">
        <v>8731</v>
      </c>
      <c r="R3374" s="2" t="s">
        <v>70</v>
      </c>
      <c r="S3374" s="2" t="s">
        <v>39</v>
      </c>
      <c r="T3374" s="2" t="s">
        <v>403</v>
      </c>
      <c r="U3374" s="2" t="s">
        <v>25653</v>
      </c>
      <c r="V3374" s="2"/>
      <c r="W3374" s="2" t="s">
        <v>344</v>
      </c>
      <c r="X3374" s="2" t="s">
        <v>43</v>
      </c>
      <c r="Y3374" s="2" t="s">
        <v>37</v>
      </c>
      <c r="Z3374" s="2" t="s">
        <v>44</v>
      </c>
      <c r="AA3374" s="2"/>
      <c r="AB3374" s="2"/>
      <c r="AC3374" s="2" t="s">
        <v>25654</v>
      </c>
      <c r="AD3374" s="2" t="s">
        <v>46</v>
      </c>
    </row>
    <row r="3375" customFormat="false" ht="15.7" hidden="false" customHeight="true" outlineLevel="0" collapsed="false">
      <c r="A3375" s="2"/>
      <c r="B3375" s="3" t="n">
        <f aca="false">DATE(2017,12,2)</f>
        <v>0</v>
      </c>
      <c r="C3375" s="3" t="n">
        <v>43071</v>
      </c>
      <c r="D3375" s="2" t="s">
        <v>25655</v>
      </c>
      <c r="F3375" s="2" t="s">
        <v>22304</v>
      </c>
      <c r="G3375" s="2" t="s">
        <v>25656</v>
      </c>
      <c r="H3375" s="2" t="s">
        <v>22306</v>
      </c>
      <c r="I3375" s="2" t="s">
        <v>2127</v>
      </c>
      <c r="J3375" s="2" t="s">
        <v>35</v>
      </c>
      <c r="K3375" s="2" t="s">
        <v>25655</v>
      </c>
      <c r="L3375" s="2" t="s">
        <v>2127</v>
      </c>
      <c r="M3375" s="2" t="s">
        <v>22306</v>
      </c>
      <c r="N3375" s="2" t="s">
        <v>25657</v>
      </c>
      <c r="O3375" s="2"/>
      <c r="P3375" s="2" t="s">
        <v>37</v>
      </c>
      <c r="Q3375" s="4" t="n">
        <v>8731</v>
      </c>
      <c r="R3375" s="2"/>
      <c r="S3375" s="2"/>
      <c r="T3375" s="2" t="s">
        <v>40</v>
      </c>
      <c r="U3375" s="2" t="s">
        <v>25658</v>
      </c>
      <c r="V3375" s="2"/>
      <c r="W3375" s="2" t="s">
        <v>42</v>
      </c>
      <c r="X3375" s="2" t="s">
        <v>46</v>
      </c>
      <c r="Y3375" s="2" t="s">
        <v>37</v>
      </c>
      <c r="Z3375" s="2" t="s">
        <v>12970</v>
      </c>
      <c r="AA3375" s="2"/>
      <c r="AB3375" s="2"/>
      <c r="AC3375" s="2" t="s">
        <v>25659</v>
      </c>
      <c r="AD3375" s="2" t="s">
        <v>46</v>
      </c>
    </row>
    <row r="3376" customFormat="false" ht="15.7" hidden="false" customHeight="true" outlineLevel="0" collapsed="false">
      <c r="A3376" s="2"/>
      <c r="B3376" s="3" t="n">
        <f aca="false">DATE(2017,12,4)</f>
        <v>0</v>
      </c>
      <c r="C3376" s="3" t="n">
        <v>43073</v>
      </c>
      <c r="D3376" s="2" t="s">
        <v>25660</v>
      </c>
      <c r="F3376" s="2" t="s">
        <v>25661</v>
      </c>
      <c r="G3376" s="2" t="s">
        <v>25662</v>
      </c>
      <c r="H3376" s="2" t="s">
        <v>993</v>
      </c>
      <c r="I3376" s="2" t="s">
        <v>2850</v>
      </c>
      <c r="J3376" s="2" t="s">
        <v>35</v>
      </c>
      <c r="K3376" s="2" t="s">
        <v>25663</v>
      </c>
      <c r="L3376" s="2" t="s">
        <v>11009</v>
      </c>
      <c r="M3376" s="2" t="s">
        <v>993</v>
      </c>
      <c r="N3376" s="2" t="s">
        <v>25664</v>
      </c>
      <c r="O3376" s="2"/>
      <c r="P3376" s="2" t="s">
        <v>37</v>
      </c>
      <c r="Q3376" s="4" t="n">
        <v>5099</v>
      </c>
      <c r="R3376" s="2" t="s">
        <v>136</v>
      </c>
      <c r="S3376" s="2" t="s">
        <v>39</v>
      </c>
      <c r="T3376" s="2" t="s">
        <v>40</v>
      </c>
      <c r="U3376" s="2" t="s">
        <v>25665</v>
      </c>
      <c r="V3376" s="2"/>
      <c r="W3376" s="2" t="s">
        <v>23349</v>
      </c>
      <c r="X3376" s="2" t="s">
        <v>43</v>
      </c>
      <c r="Y3376" s="2" t="s">
        <v>37</v>
      </c>
      <c r="Z3376" s="2" t="s">
        <v>44</v>
      </c>
      <c r="AA3376" s="2" t="s">
        <v>25666</v>
      </c>
      <c r="AB3376" s="2"/>
      <c r="AC3376" s="2" t="s">
        <v>25667</v>
      </c>
      <c r="AD3376" s="2" t="s">
        <v>46</v>
      </c>
    </row>
    <row r="3377" customFormat="false" ht="15.7" hidden="false" customHeight="true" outlineLevel="0" collapsed="false">
      <c r="A3377" s="2"/>
      <c r="B3377" s="3" t="n">
        <f aca="false">DATE(2017,12,4)</f>
        <v>0</v>
      </c>
      <c r="C3377" s="3" t="n">
        <v>43073</v>
      </c>
      <c r="D3377" s="2" t="s">
        <v>25668</v>
      </c>
      <c r="F3377" s="2" t="s">
        <v>25669</v>
      </c>
      <c r="G3377" s="2" t="s">
        <v>25670</v>
      </c>
      <c r="H3377" s="2" t="s">
        <v>1020</v>
      </c>
      <c r="I3377" s="2" t="s">
        <v>34</v>
      </c>
      <c r="J3377" s="2" t="s">
        <v>35</v>
      </c>
      <c r="K3377" s="2" t="s">
        <v>25668</v>
      </c>
      <c r="L3377" s="2" t="s">
        <v>34</v>
      </c>
      <c r="M3377" s="2" t="s">
        <v>1020</v>
      </c>
      <c r="N3377" s="2" t="s">
        <v>25671</v>
      </c>
      <c r="O3377" s="2"/>
      <c r="P3377" s="2" t="s">
        <v>79</v>
      </c>
      <c r="Q3377" s="4" t="n">
        <v>6794</v>
      </c>
      <c r="R3377" s="2" t="s">
        <v>38</v>
      </c>
      <c r="S3377" s="2" t="s">
        <v>39</v>
      </c>
      <c r="T3377" s="2" t="s">
        <v>40</v>
      </c>
      <c r="U3377" s="2" t="s">
        <v>25672</v>
      </c>
      <c r="V3377" s="2"/>
      <c r="W3377" s="2" t="s">
        <v>206</v>
      </c>
      <c r="X3377" s="2" t="s">
        <v>43</v>
      </c>
      <c r="Y3377" s="2" t="s">
        <v>37</v>
      </c>
      <c r="Z3377" s="2" t="s">
        <v>44</v>
      </c>
      <c r="AA3377" s="2"/>
      <c r="AB3377" s="2"/>
      <c r="AC3377" s="2" t="s">
        <v>25673</v>
      </c>
      <c r="AD3377" s="2" t="s">
        <v>46</v>
      </c>
    </row>
    <row r="3378" customFormat="false" ht="15.7" hidden="false" customHeight="true" outlineLevel="0" collapsed="false">
      <c r="A3378" s="2"/>
      <c r="B3378" s="3" t="n">
        <f aca="false">DATE(2017,12,4)</f>
        <v>0</v>
      </c>
      <c r="C3378" s="3" t="n">
        <v>43073</v>
      </c>
      <c r="D3378" s="2" t="s">
        <v>25674</v>
      </c>
      <c r="F3378" s="2" t="s">
        <v>25675</v>
      </c>
      <c r="G3378" s="2" t="s">
        <v>25676</v>
      </c>
      <c r="H3378" s="2" t="s">
        <v>22632</v>
      </c>
      <c r="I3378" s="2" t="s">
        <v>1080</v>
      </c>
      <c r="J3378" s="2" t="s">
        <v>35</v>
      </c>
      <c r="K3378" s="2" t="s">
        <v>25674</v>
      </c>
      <c r="L3378" s="2" t="s">
        <v>1080</v>
      </c>
      <c r="M3378" s="2" t="s">
        <v>22632</v>
      </c>
      <c r="N3378" s="2" t="s">
        <v>25677</v>
      </c>
      <c r="O3378" s="2"/>
      <c r="P3378" s="2" t="s">
        <v>37</v>
      </c>
      <c r="Q3378" s="4" t="n">
        <v>8731</v>
      </c>
      <c r="R3378" s="2" t="s">
        <v>2201</v>
      </c>
      <c r="S3378" s="2" t="s">
        <v>39</v>
      </c>
      <c r="T3378" s="2" t="s">
        <v>40</v>
      </c>
      <c r="U3378" s="2" t="s">
        <v>25678</v>
      </c>
      <c r="V3378" s="2"/>
      <c r="W3378" s="2" t="s">
        <v>42</v>
      </c>
      <c r="X3378" s="2" t="s">
        <v>43</v>
      </c>
      <c r="Y3378" s="2" t="s">
        <v>37</v>
      </c>
      <c r="Z3378" s="2" t="s">
        <v>44</v>
      </c>
      <c r="AA3378" s="2"/>
      <c r="AB3378" s="2"/>
      <c r="AC3378" s="2" t="s">
        <v>25679</v>
      </c>
      <c r="AD3378" s="2" t="s">
        <v>46</v>
      </c>
    </row>
    <row r="3379" customFormat="false" ht="15.7" hidden="false" customHeight="true" outlineLevel="0" collapsed="false">
      <c r="A3379" s="2"/>
      <c r="B3379" s="3" t="n">
        <f aca="false">DATE(2017,12,4)</f>
        <v>0</v>
      </c>
      <c r="C3379" s="3" t="n">
        <v>43073</v>
      </c>
      <c r="D3379" s="2" t="s">
        <v>25680</v>
      </c>
      <c r="F3379" s="2" t="s">
        <v>25681</v>
      </c>
      <c r="G3379" s="2" t="s">
        <v>25682</v>
      </c>
      <c r="H3379" s="2" t="s">
        <v>25683</v>
      </c>
      <c r="I3379" s="2" t="s">
        <v>2530</v>
      </c>
      <c r="J3379" s="2" t="s">
        <v>14146</v>
      </c>
      <c r="K3379" s="2" t="s">
        <v>25684</v>
      </c>
      <c r="L3379" s="2" t="s">
        <v>2530</v>
      </c>
      <c r="M3379" s="2" t="s">
        <v>25685</v>
      </c>
      <c r="N3379" s="2" t="s">
        <v>25686</v>
      </c>
      <c r="O3379" s="2"/>
      <c r="P3379" s="2" t="s">
        <v>37</v>
      </c>
      <c r="Q3379" s="4" t="n">
        <v>6794</v>
      </c>
      <c r="R3379" s="2" t="s">
        <v>56</v>
      </c>
      <c r="S3379" s="2" t="s">
        <v>80</v>
      </c>
      <c r="T3379" s="2" t="s">
        <v>40</v>
      </c>
      <c r="U3379" s="2" t="s">
        <v>25687</v>
      </c>
      <c r="V3379" s="2"/>
      <c r="W3379" s="2" t="s">
        <v>82</v>
      </c>
      <c r="X3379" s="2" t="s">
        <v>43</v>
      </c>
      <c r="Y3379" s="2" t="s">
        <v>37</v>
      </c>
      <c r="Z3379" s="2" t="s">
        <v>916</v>
      </c>
      <c r="AA3379" s="2"/>
      <c r="AB3379" s="2"/>
      <c r="AC3379" s="2" t="s">
        <v>25688</v>
      </c>
      <c r="AD3379" s="2" t="s">
        <v>46</v>
      </c>
    </row>
    <row r="3380" customFormat="false" ht="15.7" hidden="false" customHeight="true" outlineLevel="0" collapsed="false">
      <c r="A3380" s="2"/>
      <c r="B3380" s="3" t="n">
        <f aca="false">DATE(2017,12,5)</f>
        <v>0</v>
      </c>
      <c r="C3380" s="3" t="n">
        <v>43074</v>
      </c>
      <c r="D3380" s="2" t="s">
        <v>25689</v>
      </c>
      <c r="F3380" s="2" t="s">
        <v>25690</v>
      </c>
      <c r="G3380" s="2" t="s">
        <v>25691</v>
      </c>
      <c r="H3380" s="2" t="s">
        <v>305</v>
      </c>
      <c r="I3380" s="2" t="s">
        <v>20997</v>
      </c>
      <c r="J3380" s="2" t="s">
        <v>35</v>
      </c>
      <c r="K3380" s="2" t="s">
        <v>25689</v>
      </c>
      <c r="L3380" s="2" t="s">
        <v>20997</v>
      </c>
      <c r="M3380" s="2" t="s">
        <v>305</v>
      </c>
      <c r="N3380" s="2" t="s">
        <v>25692</v>
      </c>
      <c r="O3380" s="2"/>
      <c r="P3380" s="2" t="s">
        <v>37</v>
      </c>
      <c r="Q3380" s="4" t="n">
        <v>8731</v>
      </c>
      <c r="R3380" s="2" t="s">
        <v>1953</v>
      </c>
      <c r="S3380" s="2" t="s">
        <v>5334</v>
      </c>
      <c r="T3380" s="2" t="s">
        <v>40</v>
      </c>
      <c r="U3380" s="2" t="s">
        <v>25693</v>
      </c>
      <c r="V3380" s="2"/>
      <c r="W3380" s="2" t="s">
        <v>344</v>
      </c>
      <c r="X3380" s="2" t="s">
        <v>43</v>
      </c>
      <c r="Y3380" s="2" t="s">
        <v>79</v>
      </c>
      <c r="Z3380" s="2" t="s">
        <v>44</v>
      </c>
      <c r="AA3380" s="2"/>
      <c r="AB3380" s="2"/>
      <c r="AC3380" s="2" t="s">
        <v>25694</v>
      </c>
      <c r="AD3380" s="2" t="s">
        <v>46</v>
      </c>
    </row>
    <row r="3381" customFormat="false" ht="15.7" hidden="false" customHeight="true" outlineLevel="0" collapsed="false">
      <c r="A3381" s="2"/>
      <c r="B3381" s="3" t="n">
        <f aca="false">DATE(2017,12,5)</f>
        <v>0</v>
      </c>
      <c r="C3381" s="3" t="n">
        <v>43074</v>
      </c>
      <c r="D3381" s="2" t="s">
        <v>25695</v>
      </c>
      <c r="F3381" s="2" t="s">
        <v>25696</v>
      </c>
      <c r="G3381" s="2" t="s">
        <v>25697</v>
      </c>
      <c r="H3381" s="2" t="s">
        <v>130</v>
      </c>
      <c r="I3381" s="2" t="s">
        <v>22968</v>
      </c>
      <c r="J3381" s="2" t="s">
        <v>35</v>
      </c>
      <c r="K3381" s="2" t="s">
        <v>25695</v>
      </c>
      <c r="L3381" s="2" t="s">
        <v>22968</v>
      </c>
      <c r="M3381" s="2" t="s">
        <v>130</v>
      </c>
      <c r="N3381" s="2" t="s">
        <v>25698</v>
      </c>
      <c r="O3381" s="2"/>
      <c r="P3381" s="2" t="s">
        <v>37</v>
      </c>
      <c r="Q3381" s="4" t="n">
        <v>8731</v>
      </c>
      <c r="R3381" s="2"/>
      <c r="S3381" s="2"/>
      <c r="T3381" s="2" t="s">
        <v>122</v>
      </c>
      <c r="U3381" s="2" t="s">
        <v>25699</v>
      </c>
      <c r="V3381" s="2"/>
      <c r="W3381" s="2" t="s">
        <v>42</v>
      </c>
      <c r="X3381" s="2" t="s">
        <v>43</v>
      </c>
      <c r="Y3381" s="2" t="s">
        <v>37</v>
      </c>
      <c r="Z3381" s="2" t="s">
        <v>44</v>
      </c>
      <c r="AA3381" s="2"/>
      <c r="AB3381" s="2"/>
      <c r="AC3381" s="2" t="s">
        <v>25700</v>
      </c>
      <c r="AD3381" s="2" t="s">
        <v>46</v>
      </c>
    </row>
    <row r="3382" customFormat="false" ht="15.7" hidden="false" customHeight="true" outlineLevel="0" collapsed="false">
      <c r="A3382" s="2"/>
      <c r="B3382" s="3" t="n">
        <f aca="false">DATE(2017,12,5)</f>
        <v>0</v>
      </c>
      <c r="C3382" s="3" t="n">
        <v>43074</v>
      </c>
      <c r="D3382" s="2" t="s">
        <v>25701</v>
      </c>
      <c r="F3382" s="2" t="s">
        <v>25702</v>
      </c>
      <c r="G3382" s="2" t="s">
        <v>25703</v>
      </c>
      <c r="H3382" s="2" t="s">
        <v>25704</v>
      </c>
      <c r="I3382" s="2" t="s">
        <v>51</v>
      </c>
      <c r="J3382" s="2" t="s">
        <v>560</v>
      </c>
      <c r="K3382" s="2" t="s">
        <v>25705</v>
      </c>
      <c r="L3382" s="2" t="s">
        <v>51</v>
      </c>
      <c r="M3382" s="2" t="s">
        <v>25706</v>
      </c>
      <c r="N3382" s="2" t="s">
        <v>25707</v>
      </c>
      <c r="O3382" s="2"/>
      <c r="P3382" s="2" t="s">
        <v>37</v>
      </c>
      <c r="Q3382" s="4" t="n">
        <v>7372</v>
      </c>
      <c r="R3382" s="2" t="s">
        <v>56</v>
      </c>
      <c r="S3382" s="2"/>
      <c r="T3382" s="2" t="s">
        <v>403</v>
      </c>
      <c r="U3382" s="2" t="s">
        <v>25708</v>
      </c>
      <c r="V3382" s="2"/>
      <c r="W3382" s="2" t="s">
        <v>6066</v>
      </c>
      <c r="X3382" s="2" t="s">
        <v>43</v>
      </c>
      <c r="Y3382" s="2" t="s">
        <v>37</v>
      </c>
      <c r="Z3382" s="2" t="s">
        <v>44</v>
      </c>
      <c r="AA3382" s="2"/>
      <c r="AB3382" s="2"/>
      <c r="AC3382" s="2" t="s">
        <v>25709</v>
      </c>
      <c r="AD3382" s="2" t="s">
        <v>46</v>
      </c>
    </row>
    <row r="3383" customFormat="false" ht="15.7" hidden="false" customHeight="true" outlineLevel="0" collapsed="false">
      <c r="A3383" s="2"/>
      <c r="B3383" s="3" t="n">
        <f aca="false">DATE(2017,12,5)</f>
        <v>0</v>
      </c>
      <c r="C3383" s="3" t="n">
        <v>43074</v>
      </c>
      <c r="D3383" s="2" t="s">
        <v>25710</v>
      </c>
      <c r="F3383" s="2" t="s">
        <v>18520</v>
      </c>
      <c r="G3383" s="2" t="s">
        <v>25711</v>
      </c>
      <c r="H3383" s="2" t="s">
        <v>1027</v>
      </c>
      <c r="I3383" s="2" t="s">
        <v>163</v>
      </c>
      <c r="J3383" s="2" t="s">
        <v>35</v>
      </c>
      <c r="K3383" s="2" t="s">
        <v>25710</v>
      </c>
      <c r="L3383" s="2" t="s">
        <v>163</v>
      </c>
      <c r="M3383" s="2" t="s">
        <v>1027</v>
      </c>
      <c r="N3383" s="2" t="s">
        <v>25712</v>
      </c>
      <c r="O3383" s="2"/>
      <c r="P3383" s="2" t="s">
        <v>37</v>
      </c>
      <c r="Q3383" s="4" t="n">
        <v>8731</v>
      </c>
      <c r="R3383" s="2" t="s">
        <v>136</v>
      </c>
      <c r="S3383" s="2" t="s">
        <v>39</v>
      </c>
      <c r="T3383" s="2" t="s">
        <v>40</v>
      </c>
      <c r="U3383" s="2" t="s">
        <v>25713</v>
      </c>
      <c r="V3383" s="2"/>
      <c r="W3383" s="2" t="s">
        <v>344</v>
      </c>
      <c r="X3383" s="2" t="s">
        <v>43</v>
      </c>
      <c r="Y3383" s="2" t="s">
        <v>37</v>
      </c>
      <c r="Z3383" s="2" t="s">
        <v>44</v>
      </c>
      <c r="AA3383" s="2"/>
      <c r="AB3383" s="2"/>
      <c r="AC3383" s="2" t="s">
        <v>25714</v>
      </c>
      <c r="AD3383" s="2" t="s">
        <v>46</v>
      </c>
    </row>
    <row r="3384" customFormat="false" ht="15.7" hidden="false" customHeight="true" outlineLevel="0" collapsed="false">
      <c r="A3384" s="2"/>
      <c r="B3384" s="3" t="n">
        <f aca="false">DATE(2017,12,6)</f>
        <v>0</v>
      </c>
      <c r="C3384" s="3" t="n">
        <v>43075</v>
      </c>
      <c r="D3384" s="2" t="s">
        <v>25715</v>
      </c>
      <c r="F3384" s="2" t="s">
        <v>25716</v>
      </c>
      <c r="G3384" s="2" t="s">
        <v>25717</v>
      </c>
      <c r="H3384" s="2" t="s">
        <v>1528</v>
      </c>
      <c r="I3384" s="2" t="s">
        <v>435</v>
      </c>
      <c r="J3384" s="2" t="s">
        <v>132</v>
      </c>
      <c r="K3384" s="2" t="s">
        <v>25718</v>
      </c>
      <c r="L3384" s="2" t="s">
        <v>435</v>
      </c>
      <c r="M3384" s="2" t="s">
        <v>25719</v>
      </c>
      <c r="N3384" s="2" t="s">
        <v>25720</v>
      </c>
      <c r="O3384" s="2"/>
      <c r="P3384" s="2" t="s">
        <v>37</v>
      </c>
      <c r="Q3384" s="4" t="n">
        <v>8099</v>
      </c>
      <c r="R3384" s="2" t="s">
        <v>1402</v>
      </c>
      <c r="S3384" s="2" t="s">
        <v>39</v>
      </c>
      <c r="T3384" s="2" t="s">
        <v>40</v>
      </c>
      <c r="U3384" s="2" t="s">
        <v>25721</v>
      </c>
      <c r="V3384" s="2"/>
      <c r="W3384" s="2" t="s">
        <v>25722</v>
      </c>
      <c r="X3384" s="2" t="s">
        <v>43</v>
      </c>
      <c r="Y3384" s="2" t="s">
        <v>37</v>
      </c>
      <c r="Z3384" s="2" t="s">
        <v>44</v>
      </c>
      <c r="AA3384" s="2"/>
      <c r="AB3384" s="2"/>
      <c r="AC3384" s="2" t="s">
        <v>25723</v>
      </c>
      <c r="AD3384" s="2" t="s">
        <v>46</v>
      </c>
    </row>
    <row r="3385" customFormat="false" ht="15.7" hidden="false" customHeight="true" outlineLevel="0" collapsed="false">
      <c r="A3385" s="2"/>
      <c r="B3385" s="3" t="n">
        <f aca="false">DATE(2017,12,6)</f>
        <v>0</v>
      </c>
      <c r="C3385" s="3" t="n">
        <v>43075</v>
      </c>
      <c r="D3385" s="2" t="s">
        <v>25724</v>
      </c>
      <c r="F3385" s="2" t="s">
        <v>17277</v>
      </c>
      <c r="G3385" s="2" t="s">
        <v>25725</v>
      </c>
      <c r="H3385" s="2" t="s">
        <v>523</v>
      </c>
      <c r="I3385" s="2" t="s">
        <v>724</v>
      </c>
      <c r="J3385" s="2" t="s">
        <v>575</v>
      </c>
      <c r="K3385" s="2" t="s">
        <v>25726</v>
      </c>
      <c r="L3385" s="2" t="s">
        <v>724</v>
      </c>
      <c r="M3385" s="2" t="s">
        <v>523</v>
      </c>
      <c r="N3385" s="2" t="s">
        <v>25727</v>
      </c>
      <c r="O3385" s="2"/>
      <c r="P3385" s="2" t="s">
        <v>37</v>
      </c>
      <c r="Q3385" s="4" t="n">
        <v>6794</v>
      </c>
      <c r="R3385" s="2" t="s">
        <v>56</v>
      </c>
      <c r="S3385" s="2"/>
      <c r="T3385" s="2" t="s">
        <v>40</v>
      </c>
      <c r="U3385" s="2" t="s">
        <v>25728</v>
      </c>
      <c r="V3385" s="2"/>
      <c r="W3385" s="2" t="s">
        <v>82</v>
      </c>
      <c r="X3385" s="2" t="s">
        <v>43</v>
      </c>
      <c r="Y3385" s="2" t="s">
        <v>37</v>
      </c>
      <c r="Z3385" s="2" t="s">
        <v>44</v>
      </c>
      <c r="AA3385" s="2"/>
      <c r="AB3385" s="2"/>
      <c r="AC3385" s="2" t="s">
        <v>25729</v>
      </c>
      <c r="AD3385" s="2" t="s">
        <v>46</v>
      </c>
    </row>
    <row r="3386" customFormat="false" ht="15.7" hidden="false" customHeight="true" outlineLevel="0" collapsed="false">
      <c r="A3386" s="2"/>
      <c r="B3386" s="3" t="n">
        <f aca="false">DATE(2017,12,6)</f>
        <v>0</v>
      </c>
      <c r="C3386" s="3" t="n">
        <v>43075</v>
      </c>
      <c r="D3386" s="2" t="s">
        <v>25730</v>
      </c>
      <c r="F3386" s="2" t="s">
        <v>25731</v>
      </c>
      <c r="G3386" s="2" t="s">
        <v>25732</v>
      </c>
      <c r="H3386" s="2" t="s">
        <v>25733</v>
      </c>
      <c r="I3386" s="2" t="s">
        <v>1904</v>
      </c>
      <c r="J3386" s="2" t="s">
        <v>795</v>
      </c>
      <c r="K3386" s="2" t="s">
        <v>25734</v>
      </c>
      <c r="L3386" s="2" t="s">
        <v>1904</v>
      </c>
      <c r="M3386" s="2" t="s">
        <v>1749</v>
      </c>
      <c r="N3386" s="2" t="s">
        <v>25735</v>
      </c>
      <c r="O3386" s="2"/>
      <c r="P3386" s="2" t="s">
        <v>37</v>
      </c>
      <c r="Q3386" s="4" t="n">
        <v>8731</v>
      </c>
      <c r="R3386" s="2" t="s">
        <v>56</v>
      </c>
      <c r="S3386" s="2" t="s">
        <v>507</v>
      </c>
      <c r="T3386" s="2" t="s">
        <v>40</v>
      </c>
      <c r="U3386" s="2" t="s">
        <v>25736</v>
      </c>
      <c r="V3386" s="2"/>
      <c r="W3386" s="2" t="s">
        <v>25737</v>
      </c>
      <c r="X3386" s="2" t="s">
        <v>43</v>
      </c>
      <c r="Y3386" s="2" t="s">
        <v>37</v>
      </c>
      <c r="Z3386" s="2" t="s">
        <v>44</v>
      </c>
      <c r="AA3386" s="2"/>
      <c r="AB3386" s="2"/>
      <c r="AC3386" s="2" t="s">
        <v>25738</v>
      </c>
      <c r="AD3386" s="2" t="s">
        <v>46</v>
      </c>
    </row>
    <row r="3387" customFormat="false" ht="15.7" hidden="false" customHeight="true" outlineLevel="0" collapsed="false">
      <c r="A3387" s="2"/>
      <c r="B3387" s="3" t="n">
        <f aca="false">DATE(2017,12,6)</f>
        <v>0</v>
      </c>
      <c r="C3387" s="3" t="n">
        <v>43075</v>
      </c>
      <c r="D3387" s="2" t="s">
        <v>25739</v>
      </c>
      <c r="F3387" s="2" t="s">
        <v>22407</v>
      </c>
      <c r="G3387" s="2" t="s">
        <v>25740</v>
      </c>
      <c r="H3387" s="2" t="s">
        <v>762</v>
      </c>
      <c r="I3387" s="2" t="s">
        <v>154</v>
      </c>
      <c r="J3387" s="2" t="s">
        <v>625</v>
      </c>
      <c r="K3387" s="2" t="s">
        <v>25739</v>
      </c>
      <c r="L3387" s="2" t="s">
        <v>154</v>
      </c>
      <c r="M3387" s="2" t="s">
        <v>762</v>
      </c>
      <c r="N3387" s="2" t="s">
        <v>25741</v>
      </c>
      <c r="O3387" s="2"/>
      <c r="P3387" s="2" t="s">
        <v>37</v>
      </c>
      <c r="Q3387" s="4" t="n">
        <v>8731</v>
      </c>
      <c r="R3387" s="2" t="s">
        <v>136</v>
      </c>
      <c r="S3387" s="2" t="s">
        <v>39</v>
      </c>
      <c r="T3387" s="2" t="s">
        <v>40</v>
      </c>
      <c r="U3387" s="2" t="s">
        <v>25742</v>
      </c>
      <c r="V3387" s="2"/>
      <c r="W3387" s="2" t="s">
        <v>42</v>
      </c>
      <c r="X3387" s="2" t="s">
        <v>43</v>
      </c>
      <c r="Y3387" s="2" t="s">
        <v>37</v>
      </c>
      <c r="Z3387" s="2" t="s">
        <v>44</v>
      </c>
      <c r="AA3387" s="2"/>
      <c r="AB3387" s="2"/>
      <c r="AC3387" s="2" t="s">
        <v>25743</v>
      </c>
      <c r="AD3387" s="2" t="s">
        <v>46</v>
      </c>
    </row>
    <row r="3388" customFormat="false" ht="15.7" hidden="false" customHeight="true" outlineLevel="0" collapsed="false">
      <c r="A3388" s="2"/>
      <c r="B3388" s="3" t="n">
        <f aca="false">DATE(2017,12,6)</f>
        <v>0</v>
      </c>
      <c r="C3388" s="3" t="n">
        <v>43075</v>
      </c>
      <c r="D3388" s="2" t="s">
        <v>25744</v>
      </c>
      <c r="F3388" s="2" t="s">
        <v>25745</v>
      </c>
      <c r="G3388" s="2" t="s">
        <v>25746</v>
      </c>
      <c r="H3388" s="2" t="s">
        <v>1473</v>
      </c>
      <c r="I3388" s="2" t="s">
        <v>51</v>
      </c>
      <c r="J3388" s="2" t="s">
        <v>171</v>
      </c>
      <c r="K3388" s="2" t="s">
        <v>25744</v>
      </c>
      <c r="L3388" s="2" t="s">
        <v>51</v>
      </c>
      <c r="M3388" s="2" t="s">
        <v>1473</v>
      </c>
      <c r="N3388" s="2" t="s">
        <v>25747</v>
      </c>
      <c r="O3388" s="2"/>
      <c r="P3388" s="2" t="s">
        <v>37</v>
      </c>
      <c r="Q3388" s="4" t="n">
        <v>8731</v>
      </c>
      <c r="R3388" s="2" t="s">
        <v>56</v>
      </c>
      <c r="S3388" s="2"/>
      <c r="T3388" s="2" t="s">
        <v>40</v>
      </c>
      <c r="U3388" s="2" t="s">
        <v>25748</v>
      </c>
      <c r="V3388" s="2"/>
      <c r="W3388" s="2" t="s">
        <v>344</v>
      </c>
      <c r="X3388" s="2" t="s">
        <v>43</v>
      </c>
      <c r="Y3388" s="2" t="s">
        <v>37</v>
      </c>
      <c r="Z3388" s="2" t="s">
        <v>44</v>
      </c>
      <c r="AA3388" s="2"/>
      <c r="AB3388" s="2"/>
      <c r="AC3388" s="2" t="s">
        <v>25749</v>
      </c>
      <c r="AD3388" s="2" t="s">
        <v>46</v>
      </c>
    </row>
    <row r="3389" customFormat="false" ht="15.7" hidden="false" customHeight="true" outlineLevel="0" collapsed="false">
      <c r="A3389" s="2"/>
      <c r="B3389" s="3" t="n">
        <f aca="false">DATE(2017,12,7)</f>
        <v>0</v>
      </c>
      <c r="C3389" s="3" t="n">
        <v>43076</v>
      </c>
      <c r="D3389" s="2" t="s">
        <v>25750</v>
      </c>
      <c r="F3389" s="2" t="s">
        <v>25751</v>
      </c>
      <c r="G3389" s="2" t="s">
        <v>25752</v>
      </c>
      <c r="H3389" s="2" t="s">
        <v>25753</v>
      </c>
      <c r="I3389" s="2" t="s">
        <v>330</v>
      </c>
      <c r="J3389" s="2" t="s">
        <v>331</v>
      </c>
      <c r="K3389" s="2" t="s">
        <v>25750</v>
      </c>
      <c r="L3389" s="2" t="s">
        <v>330</v>
      </c>
      <c r="M3389" s="2" t="s">
        <v>25753</v>
      </c>
      <c r="N3389" s="2" t="s">
        <v>25754</v>
      </c>
      <c r="O3389" s="2"/>
      <c r="P3389" s="2" t="s">
        <v>37</v>
      </c>
      <c r="Q3389" s="4" t="n">
        <v>8731</v>
      </c>
      <c r="R3389" s="2" t="s">
        <v>330</v>
      </c>
      <c r="S3389" s="2" t="s">
        <v>25755</v>
      </c>
      <c r="T3389" s="2" t="s">
        <v>403</v>
      </c>
      <c r="U3389" s="2" t="s">
        <v>25756</v>
      </c>
      <c r="V3389" s="2"/>
      <c r="W3389" s="2" t="s">
        <v>382</v>
      </c>
      <c r="X3389" s="2" t="s">
        <v>43</v>
      </c>
      <c r="Y3389" s="2" t="s">
        <v>79</v>
      </c>
      <c r="Z3389" s="2" t="s">
        <v>44</v>
      </c>
      <c r="AA3389" s="2"/>
      <c r="AB3389" s="2"/>
      <c r="AC3389" s="2" t="s">
        <v>25757</v>
      </c>
      <c r="AD3389" s="2" t="s">
        <v>46</v>
      </c>
    </row>
    <row r="3390" customFormat="false" ht="15.7" hidden="false" customHeight="true" outlineLevel="0" collapsed="false">
      <c r="A3390" s="2"/>
      <c r="B3390" s="3" t="n">
        <f aca="false">DATE(2017,12,7)</f>
        <v>0</v>
      </c>
      <c r="C3390" s="3" t="n">
        <v>43076</v>
      </c>
      <c r="D3390" s="2" t="s">
        <v>25758</v>
      </c>
      <c r="F3390" s="2" t="s">
        <v>22459</v>
      </c>
      <c r="G3390" s="2" t="s">
        <v>25759</v>
      </c>
      <c r="H3390" s="2" t="s">
        <v>387</v>
      </c>
      <c r="I3390" s="2" t="s">
        <v>51</v>
      </c>
      <c r="J3390" s="2" t="s">
        <v>16638</v>
      </c>
      <c r="K3390" s="2" t="s">
        <v>25760</v>
      </c>
      <c r="L3390" s="2" t="s">
        <v>51</v>
      </c>
      <c r="M3390" s="2" t="s">
        <v>368</v>
      </c>
      <c r="N3390" s="2" t="s">
        <v>25761</v>
      </c>
      <c r="O3390" s="2"/>
      <c r="P3390" s="2" t="s">
        <v>37</v>
      </c>
      <c r="Q3390" s="4" t="n">
        <v>8731</v>
      </c>
      <c r="R3390" s="2" t="s">
        <v>56</v>
      </c>
      <c r="S3390" s="2" t="s">
        <v>92</v>
      </c>
      <c r="T3390" s="2" t="s">
        <v>40</v>
      </c>
      <c r="U3390" s="2" t="s">
        <v>25762</v>
      </c>
      <c r="V3390" s="2"/>
      <c r="W3390" s="2" t="s">
        <v>18966</v>
      </c>
      <c r="X3390" s="2" t="s">
        <v>43</v>
      </c>
      <c r="Y3390" s="2" t="s">
        <v>37</v>
      </c>
      <c r="Z3390" s="2" t="s">
        <v>44</v>
      </c>
      <c r="AA3390" s="2"/>
      <c r="AB3390" s="2"/>
      <c r="AC3390" s="2" t="s">
        <v>25763</v>
      </c>
      <c r="AD3390" s="2" t="s">
        <v>46</v>
      </c>
    </row>
    <row r="3391" customFormat="false" ht="15.7" hidden="false" customHeight="true" outlineLevel="0" collapsed="false">
      <c r="A3391" s="2"/>
      <c r="B3391" s="3" t="n">
        <f aca="false">DATE(2017,12,7)</f>
        <v>0</v>
      </c>
      <c r="C3391" s="3" t="n">
        <v>43076</v>
      </c>
      <c r="D3391" s="2" t="s">
        <v>25764</v>
      </c>
      <c r="F3391" s="2" t="s">
        <v>25765</v>
      </c>
      <c r="G3391" s="2" t="s">
        <v>25766</v>
      </c>
      <c r="H3391" s="2" t="s">
        <v>6829</v>
      </c>
      <c r="I3391" s="2" t="s">
        <v>2294</v>
      </c>
      <c r="J3391" s="2" t="s">
        <v>35</v>
      </c>
      <c r="K3391" s="2" t="s">
        <v>25764</v>
      </c>
      <c r="L3391" s="2" t="s">
        <v>2294</v>
      </c>
      <c r="M3391" s="2" t="s">
        <v>6829</v>
      </c>
      <c r="N3391" s="2" t="s">
        <v>25767</v>
      </c>
      <c r="O3391" s="2"/>
      <c r="P3391" s="2" t="s">
        <v>37</v>
      </c>
      <c r="Q3391" s="4" t="n">
        <v>8731</v>
      </c>
      <c r="R3391" s="2" t="s">
        <v>450</v>
      </c>
      <c r="S3391" s="2" t="s">
        <v>39</v>
      </c>
      <c r="T3391" s="2" t="s">
        <v>403</v>
      </c>
      <c r="U3391" s="2" t="s">
        <v>25768</v>
      </c>
      <c r="V3391" s="2"/>
      <c r="W3391" s="2" t="s">
        <v>42</v>
      </c>
      <c r="X3391" s="2" t="s">
        <v>43</v>
      </c>
      <c r="Y3391" s="2" t="s">
        <v>37</v>
      </c>
      <c r="Z3391" s="2" t="s">
        <v>44</v>
      </c>
      <c r="AA3391" s="2"/>
      <c r="AB3391" s="2"/>
      <c r="AC3391" s="2" t="s">
        <v>25769</v>
      </c>
      <c r="AD3391" s="2" t="s">
        <v>46</v>
      </c>
    </row>
    <row r="3392" customFormat="false" ht="15.7" hidden="false" customHeight="true" outlineLevel="0" collapsed="false">
      <c r="A3392" s="2"/>
      <c r="B3392" s="3" t="n">
        <f aca="false">DATE(2017,12,11)</f>
        <v>0</v>
      </c>
      <c r="C3392" s="3" t="n">
        <v>43080</v>
      </c>
      <c r="D3392" s="2" t="s">
        <v>25770</v>
      </c>
      <c r="F3392" s="2" t="s">
        <v>25771</v>
      </c>
      <c r="G3392" s="2" t="s">
        <v>25772</v>
      </c>
      <c r="H3392" s="2" t="s">
        <v>762</v>
      </c>
      <c r="I3392" s="2" t="s">
        <v>2848</v>
      </c>
      <c r="J3392" s="2" t="s">
        <v>35</v>
      </c>
      <c r="K3392" s="2" t="s">
        <v>25773</v>
      </c>
      <c r="L3392" s="2" t="s">
        <v>25774</v>
      </c>
      <c r="M3392" s="2" t="s">
        <v>762</v>
      </c>
      <c r="N3392" s="2" t="s">
        <v>25775</v>
      </c>
      <c r="O3392" s="2"/>
      <c r="P3392" s="2" t="s">
        <v>37</v>
      </c>
      <c r="Q3392" s="4" t="n">
        <v>5099</v>
      </c>
      <c r="R3392" s="2" t="s">
        <v>136</v>
      </c>
      <c r="S3392" s="2" t="s">
        <v>39</v>
      </c>
      <c r="T3392" s="2" t="s">
        <v>40</v>
      </c>
      <c r="U3392" s="2" t="s">
        <v>25776</v>
      </c>
      <c r="V3392" s="2"/>
      <c r="W3392" s="2" t="s">
        <v>23349</v>
      </c>
      <c r="X3392" s="2" t="s">
        <v>43</v>
      </c>
      <c r="Y3392" s="2" t="s">
        <v>37</v>
      </c>
      <c r="Z3392" s="2" t="s">
        <v>44</v>
      </c>
      <c r="AA3392" s="2"/>
      <c r="AB3392" s="2"/>
      <c r="AC3392" s="2" t="s">
        <v>25777</v>
      </c>
      <c r="AD3392" s="2" t="s">
        <v>46</v>
      </c>
    </row>
    <row r="3393" customFormat="false" ht="15.7" hidden="false" customHeight="true" outlineLevel="0" collapsed="false">
      <c r="A3393" s="2"/>
      <c r="B3393" s="3" t="n">
        <f aca="false">DATE(2017,12,11)</f>
        <v>0</v>
      </c>
      <c r="C3393" s="3" t="n">
        <v>43080</v>
      </c>
      <c r="D3393" s="2" t="s">
        <v>25778</v>
      </c>
      <c r="F3393" s="2" t="s">
        <v>25779</v>
      </c>
      <c r="G3393" s="2" t="s">
        <v>25780</v>
      </c>
      <c r="H3393" s="2" t="s">
        <v>4324</v>
      </c>
      <c r="I3393" s="2" t="s">
        <v>22092</v>
      </c>
      <c r="J3393" s="2" t="s">
        <v>35</v>
      </c>
      <c r="K3393" s="2" t="s">
        <v>25781</v>
      </c>
      <c r="L3393" s="2" t="s">
        <v>3265</v>
      </c>
      <c r="M3393" s="2" t="s">
        <v>1749</v>
      </c>
      <c r="N3393" s="2" t="s">
        <v>25782</v>
      </c>
      <c r="O3393" s="2"/>
      <c r="P3393" s="2" t="s">
        <v>37</v>
      </c>
      <c r="Q3393" s="4" t="n">
        <v>8731</v>
      </c>
      <c r="R3393" s="2" t="s">
        <v>16962</v>
      </c>
      <c r="S3393" s="2" t="s">
        <v>39</v>
      </c>
      <c r="T3393" s="2" t="s">
        <v>403</v>
      </c>
      <c r="U3393" s="2" t="s">
        <v>25783</v>
      </c>
      <c r="V3393" s="2"/>
      <c r="W3393" s="2" t="s">
        <v>42</v>
      </c>
      <c r="X3393" s="2" t="s">
        <v>43</v>
      </c>
      <c r="Y3393" s="2" t="s">
        <v>37</v>
      </c>
      <c r="Z3393" s="2" t="s">
        <v>44</v>
      </c>
      <c r="AA3393" s="2"/>
      <c r="AB3393" s="2"/>
      <c r="AC3393" s="2" t="s">
        <v>25784</v>
      </c>
      <c r="AD3393" s="2" t="s">
        <v>46</v>
      </c>
    </row>
    <row r="3394" customFormat="false" ht="15.7" hidden="false" customHeight="true" outlineLevel="0" collapsed="false">
      <c r="A3394" s="2"/>
      <c r="B3394" s="3" t="n">
        <f aca="false">DATE(2017,12,11)</f>
        <v>0</v>
      </c>
      <c r="C3394" s="3" t="n">
        <v>43080</v>
      </c>
      <c r="D3394" s="2" t="s">
        <v>25785</v>
      </c>
      <c r="F3394" s="2" t="s">
        <v>25786</v>
      </c>
      <c r="G3394" s="2" t="s">
        <v>25787</v>
      </c>
      <c r="H3394" s="2" t="s">
        <v>762</v>
      </c>
      <c r="I3394" s="2" t="s">
        <v>9872</v>
      </c>
      <c r="J3394" s="2" t="s">
        <v>35</v>
      </c>
      <c r="K3394" s="2" t="s">
        <v>25788</v>
      </c>
      <c r="L3394" s="2" t="s">
        <v>25789</v>
      </c>
      <c r="M3394" s="2" t="s">
        <v>1770</v>
      </c>
      <c r="N3394" s="2" t="s">
        <v>25790</v>
      </c>
      <c r="O3394" s="2"/>
      <c r="P3394" s="2" t="s">
        <v>37</v>
      </c>
      <c r="Q3394" s="4" t="n">
        <v>8731</v>
      </c>
      <c r="R3394" s="2" t="s">
        <v>136</v>
      </c>
      <c r="S3394" s="2" t="s">
        <v>39</v>
      </c>
      <c r="T3394" s="2" t="s">
        <v>403</v>
      </c>
      <c r="U3394" s="2" t="s">
        <v>25791</v>
      </c>
      <c r="V3394" s="2"/>
      <c r="W3394" s="2" t="s">
        <v>344</v>
      </c>
      <c r="X3394" s="2" t="s">
        <v>43</v>
      </c>
      <c r="Y3394" s="2" t="s">
        <v>37</v>
      </c>
      <c r="Z3394" s="2" t="s">
        <v>44</v>
      </c>
      <c r="AA3394" s="2"/>
      <c r="AB3394" s="2"/>
      <c r="AC3394" s="2" t="s">
        <v>25792</v>
      </c>
      <c r="AD3394" s="2" t="s">
        <v>46</v>
      </c>
    </row>
    <row r="3395" customFormat="false" ht="15.7" hidden="false" customHeight="true" outlineLevel="0" collapsed="false">
      <c r="A3395" s="2"/>
      <c r="B3395" s="3" t="n">
        <f aca="false">DATE(2017,12,11)</f>
        <v>0</v>
      </c>
      <c r="C3395" s="3" t="n">
        <v>43080</v>
      </c>
      <c r="D3395" s="2" t="s">
        <v>25793</v>
      </c>
      <c r="F3395" s="2" t="s">
        <v>8872</v>
      </c>
      <c r="G3395" s="2" t="s">
        <v>25794</v>
      </c>
      <c r="H3395" s="2" t="s">
        <v>130</v>
      </c>
      <c r="I3395" s="2" t="s">
        <v>20096</v>
      </c>
      <c r="J3395" s="2" t="s">
        <v>795</v>
      </c>
      <c r="K3395" s="2" t="s">
        <v>25795</v>
      </c>
      <c r="L3395" s="2" t="s">
        <v>20096</v>
      </c>
      <c r="M3395" s="2" t="s">
        <v>22568</v>
      </c>
      <c r="N3395" s="2" t="s">
        <v>25796</v>
      </c>
      <c r="O3395" s="2"/>
      <c r="P3395" s="2" t="s">
        <v>37</v>
      </c>
      <c r="Q3395" s="4" t="n">
        <v>8099</v>
      </c>
      <c r="R3395" s="2" t="s">
        <v>8685</v>
      </c>
      <c r="S3395" s="2" t="s">
        <v>39</v>
      </c>
      <c r="T3395" s="2" t="s">
        <v>403</v>
      </c>
      <c r="U3395" s="2" t="s">
        <v>25797</v>
      </c>
      <c r="V3395" s="2"/>
      <c r="W3395" s="2" t="s">
        <v>6955</v>
      </c>
      <c r="X3395" s="2" t="s">
        <v>43</v>
      </c>
      <c r="Y3395" s="2" t="s">
        <v>37</v>
      </c>
      <c r="Z3395" s="2" t="s">
        <v>44</v>
      </c>
      <c r="AA3395" s="2"/>
      <c r="AB3395" s="2"/>
      <c r="AC3395" s="2" t="s">
        <v>25798</v>
      </c>
      <c r="AD3395" s="2" t="s">
        <v>46</v>
      </c>
    </row>
    <row r="3396" customFormat="false" ht="15.7" hidden="false" customHeight="true" outlineLevel="0" collapsed="false">
      <c r="A3396" s="2"/>
      <c r="B3396" s="3" t="n">
        <f aca="false">DATE(2017,12,13)</f>
        <v>0</v>
      </c>
      <c r="C3396" s="3" t="n">
        <v>43082</v>
      </c>
      <c r="D3396" s="2" t="s">
        <v>25799</v>
      </c>
      <c r="F3396" s="2" t="s">
        <v>25800</v>
      </c>
      <c r="G3396" s="2" t="s">
        <v>25801</v>
      </c>
      <c r="H3396" s="2" t="s">
        <v>130</v>
      </c>
      <c r="I3396" s="2" t="s">
        <v>4089</v>
      </c>
      <c r="J3396" s="2" t="s">
        <v>35</v>
      </c>
      <c r="K3396" s="2" t="s">
        <v>25799</v>
      </c>
      <c r="L3396" s="2" t="s">
        <v>4089</v>
      </c>
      <c r="M3396" s="2" t="s">
        <v>130</v>
      </c>
      <c r="N3396" s="2" t="s">
        <v>25802</v>
      </c>
      <c r="O3396" s="2"/>
      <c r="P3396" s="2" t="s">
        <v>37</v>
      </c>
      <c r="Q3396" s="4" t="n">
        <v>8731</v>
      </c>
      <c r="R3396" s="2" t="s">
        <v>2201</v>
      </c>
      <c r="S3396" s="2" t="s">
        <v>39</v>
      </c>
      <c r="T3396" s="2" t="s">
        <v>40</v>
      </c>
      <c r="U3396" s="2" t="s">
        <v>25803</v>
      </c>
      <c r="V3396" s="2"/>
      <c r="W3396" s="2" t="s">
        <v>344</v>
      </c>
      <c r="X3396" s="2" t="s">
        <v>43</v>
      </c>
      <c r="Y3396" s="2" t="s">
        <v>37</v>
      </c>
      <c r="Z3396" s="2" t="s">
        <v>44</v>
      </c>
      <c r="AA3396" s="2"/>
      <c r="AB3396" s="2"/>
      <c r="AC3396" s="2" t="s">
        <v>25804</v>
      </c>
      <c r="AD3396" s="2" t="s">
        <v>46</v>
      </c>
    </row>
    <row r="3397" customFormat="false" ht="15.7" hidden="false" customHeight="true" outlineLevel="0" collapsed="false">
      <c r="A3397" s="2"/>
      <c r="B3397" s="3" t="n">
        <f aca="false">DATE(2017,12,13)</f>
        <v>0</v>
      </c>
      <c r="C3397" s="3" t="n">
        <v>43082</v>
      </c>
      <c r="D3397" s="2" t="s">
        <v>25805</v>
      </c>
      <c r="F3397" s="2" t="s">
        <v>20650</v>
      </c>
      <c r="G3397" s="2" t="s">
        <v>25806</v>
      </c>
      <c r="H3397" s="2" t="s">
        <v>130</v>
      </c>
      <c r="I3397" s="2" t="s">
        <v>664</v>
      </c>
      <c r="J3397" s="2" t="s">
        <v>795</v>
      </c>
      <c r="K3397" s="2" t="s">
        <v>25807</v>
      </c>
      <c r="L3397" s="2" t="s">
        <v>664</v>
      </c>
      <c r="M3397" s="2" t="s">
        <v>130</v>
      </c>
      <c r="N3397" s="2" t="s">
        <v>25808</v>
      </c>
      <c r="O3397" s="2"/>
      <c r="P3397" s="2" t="s">
        <v>37</v>
      </c>
      <c r="Q3397" s="4" t="n">
        <v>6794</v>
      </c>
      <c r="R3397" s="2" t="s">
        <v>664</v>
      </c>
      <c r="S3397" s="2" t="s">
        <v>18589</v>
      </c>
      <c r="T3397" s="2" t="s">
        <v>40</v>
      </c>
      <c r="U3397" s="2" t="s">
        <v>25809</v>
      </c>
      <c r="V3397" s="2"/>
      <c r="W3397" s="2" t="s">
        <v>20757</v>
      </c>
      <c r="X3397" s="2" t="s">
        <v>43</v>
      </c>
      <c r="Y3397" s="2" t="s">
        <v>79</v>
      </c>
      <c r="Z3397" s="2" t="s">
        <v>44</v>
      </c>
      <c r="AA3397" s="2"/>
      <c r="AB3397" s="2"/>
      <c r="AC3397" s="2" t="s">
        <v>25810</v>
      </c>
      <c r="AD3397" s="2" t="s">
        <v>46</v>
      </c>
    </row>
    <row r="3398" customFormat="false" ht="15.7" hidden="false" customHeight="true" outlineLevel="0" collapsed="false">
      <c r="A3398" s="2"/>
      <c r="B3398" s="3" t="n">
        <f aca="false">DATE(2017,12,13)</f>
        <v>0</v>
      </c>
      <c r="C3398" s="3" t="n">
        <v>43082</v>
      </c>
      <c r="D3398" s="2" t="s">
        <v>25811</v>
      </c>
      <c r="F3398" s="2" t="s">
        <v>25812</v>
      </c>
      <c r="G3398" s="2" t="s">
        <v>25813</v>
      </c>
      <c r="H3398" s="2" t="s">
        <v>25814</v>
      </c>
      <c r="I3398" s="2" t="s">
        <v>51</v>
      </c>
      <c r="J3398" s="2" t="s">
        <v>2833</v>
      </c>
      <c r="K3398" s="2" t="s">
        <v>25815</v>
      </c>
      <c r="L3398" s="2" t="s">
        <v>51</v>
      </c>
      <c r="M3398" s="2" t="s">
        <v>25816</v>
      </c>
      <c r="N3398" s="2" t="s">
        <v>25817</v>
      </c>
      <c r="O3398" s="2"/>
      <c r="P3398" s="2" t="s">
        <v>37</v>
      </c>
      <c r="Q3398" s="4" t="n">
        <v>8731</v>
      </c>
      <c r="R3398" s="2" t="s">
        <v>56</v>
      </c>
      <c r="S3398" s="2"/>
      <c r="T3398" s="2" t="s">
        <v>40</v>
      </c>
      <c r="U3398" s="2" t="s">
        <v>25818</v>
      </c>
      <c r="V3398" s="2"/>
      <c r="W3398" s="2" t="s">
        <v>42</v>
      </c>
      <c r="X3398" s="2" t="s">
        <v>43</v>
      </c>
      <c r="Y3398" s="2" t="s">
        <v>37</v>
      </c>
      <c r="Z3398" s="2" t="s">
        <v>44</v>
      </c>
      <c r="AA3398" s="2"/>
      <c r="AB3398" s="2"/>
      <c r="AC3398" s="2" t="s">
        <v>25819</v>
      </c>
      <c r="AD3398" s="2" t="s">
        <v>46</v>
      </c>
    </row>
    <row r="3399" customFormat="false" ht="15.7" hidden="false" customHeight="true" outlineLevel="0" collapsed="false">
      <c r="A3399" s="2"/>
      <c r="B3399" s="3" t="n">
        <f aca="false">DATE(2017,12,14)</f>
        <v>0</v>
      </c>
      <c r="C3399" s="3" t="n">
        <v>43083</v>
      </c>
      <c r="D3399" s="2" t="s">
        <v>25820</v>
      </c>
      <c r="F3399" s="2" t="s">
        <v>25821</v>
      </c>
      <c r="G3399" s="2" t="s">
        <v>25822</v>
      </c>
      <c r="H3399" s="2" t="s">
        <v>368</v>
      </c>
      <c r="I3399" s="2" t="s">
        <v>1412</v>
      </c>
      <c r="J3399" s="2" t="s">
        <v>625</v>
      </c>
      <c r="K3399" s="2" t="s">
        <v>25820</v>
      </c>
      <c r="L3399" s="2" t="s">
        <v>1412</v>
      </c>
      <c r="M3399" s="2" t="s">
        <v>368</v>
      </c>
      <c r="N3399" s="2" t="s">
        <v>25823</v>
      </c>
      <c r="O3399" s="2"/>
      <c r="P3399" s="2" t="s">
        <v>37</v>
      </c>
      <c r="Q3399" s="4" t="n">
        <v>8731</v>
      </c>
      <c r="R3399" s="2" t="s">
        <v>136</v>
      </c>
      <c r="S3399" s="2" t="s">
        <v>39</v>
      </c>
      <c r="T3399" s="2" t="s">
        <v>40</v>
      </c>
      <c r="U3399" s="2" t="s">
        <v>25824</v>
      </c>
      <c r="V3399" s="2"/>
      <c r="W3399" s="2" t="s">
        <v>42</v>
      </c>
      <c r="X3399" s="2" t="s">
        <v>43</v>
      </c>
      <c r="Y3399" s="2" t="s">
        <v>37</v>
      </c>
      <c r="Z3399" s="2" t="s">
        <v>44</v>
      </c>
      <c r="AA3399" s="2"/>
      <c r="AB3399" s="2"/>
      <c r="AC3399" s="2" t="s">
        <v>25825</v>
      </c>
      <c r="AD3399" s="2" t="s">
        <v>46</v>
      </c>
    </row>
    <row r="3400" customFormat="false" ht="15.7" hidden="false" customHeight="true" outlineLevel="0" collapsed="false">
      <c r="A3400" s="2"/>
      <c r="B3400" s="3" t="n">
        <f aca="false">DATE(2017,12,14)</f>
        <v>0</v>
      </c>
      <c r="C3400" s="3" t="n">
        <v>43083</v>
      </c>
      <c r="D3400" s="2" t="s">
        <v>25826</v>
      </c>
      <c r="F3400" s="2" t="s">
        <v>25827</v>
      </c>
      <c r="G3400" s="2" t="s">
        <v>25828</v>
      </c>
      <c r="H3400" s="2" t="s">
        <v>19615</v>
      </c>
      <c r="I3400" s="2" t="s">
        <v>296</v>
      </c>
      <c r="J3400" s="2" t="s">
        <v>625</v>
      </c>
      <c r="K3400" s="2" t="s">
        <v>25826</v>
      </c>
      <c r="L3400" s="2" t="s">
        <v>296</v>
      </c>
      <c r="M3400" s="2" t="s">
        <v>19615</v>
      </c>
      <c r="N3400" s="2" t="s">
        <v>25829</v>
      </c>
      <c r="O3400" s="2"/>
      <c r="P3400" s="2" t="s">
        <v>37</v>
      </c>
      <c r="Q3400" s="4" t="n">
        <v>8731</v>
      </c>
      <c r="R3400" s="2" t="s">
        <v>136</v>
      </c>
      <c r="S3400" s="2" t="s">
        <v>39</v>
      </c>
      <c r="T3400" s="2" t="s">
        <v>40</v>
      </c>
      <c r="U3400" s="2" t="s">
        <v>25830</v>
      </c>
      <c r="V3400" s="2"/>
      <c r="W3400" s="2" t="s">
        <v>42</v>
      </c>
      <c r="X3400" s="2" t="s">
        <v>43</v>
      </c>
      <c r="Y3400" s="2" t="s">
        <v>37</v>
      </c>
      <c r="Z3400" s="2" t="s">
        <v>44</v>
      </c>
      <c r="AA3400" s="2"/>
      <c r="AB3400" s="2"/>
      <c r="AC3400" s="2" t="s">
        <v>25831</v>
      </c>
      <c r="AD3400" s="2" t="s">
        <v>46</v>
      </c>
    </row>
    <row r="3401" customFormat="false" ht="15.7" hidden="false" customHeight="true" outlineLevel="0" collapsed="false">
      <c r="A3401" s="2"/>
      <c r="B3401" s="3" t="n">
        <f aca="false">DATE(2017,12,14)</f>
        <v>0</v>
      </c>
      <c r="C3401" s="3" t="n">
        <v>43083</v>
      </c>
      <c r="D3401" s="2" t="s">
        <v>25832</v>
      </c>
      <c r="F3401" s="2" t="s">
        <v>25833</v>
      </c>
      <c r="G3401" s="2" t="s">
        <v>25834</v>
      </c>
      <c r="H3401" s="2" t="s">
        <v>25835</v>
      </c>
      <c r="I3401" s="2" t="s">
        <v>7920</v>
      </c>
      <c r="J3401" s="2" t="s">
        <v>25836</v>
      </c>
      <c r="K3401" s="2" t="s">
        <v>25837</v>
      </c>
      <c r="L3401" s="2" t="s">
        <v>25838</v>
      </c>
      <c r="M3401" s="2" t="s">
        <v>25839</v>
      </c>
      <c r="N3401" s="2" t="s">
        <v>25840</v>
      </c>
      <c r="O3401" s="2"/>
      <c r="P3401" s="2" t="s">
        <v>37</v>
      </c>
      <c r="Q3401" s="4" t="n">
        <v>8741</v>
      </c>
      <c r="R3401" s="2"/>
      <c r="S3401" s="2"/>
      <c r="T3401" s="2" t="s">
        <v>403</v>
      </c>
      <c r="U3401" s="2" t="s">
        <v>25841</v>
      </c>
      <c r="V3401" s="2"/>
      <c r="W3401" s="2" t="s">
        <v>25842</v>
      </c>
      <c r="X3401" s="2" t="s">
        <v>43</v>
      </c>
      <c r="Y3401" s="2" t="s">
        <v>37</v>
      </c>
      <c r="Z3401" s="2" t="s">
        <v>916</v>
      </c>
      <c r="AA3401" s="2"/>
      <c r="AB3401" s="2"/>
      <c r="AC3401" s="2" t="s">
        <v>25843</v>
      </c>
      <c r="AD3401" s="2" t="s">
        <v>46</v>
      </c>
    </row>
    <row r="3402" customFormat="false" ht="15.7" hidden="false" customHeight="true" outlineLevel="0" collapsed="false">
      <c r="A3402" s="2"/>
      <c r="B3402" s="3" t="n">
        <f aca="false">DATE(2017,12,14)</f>
        <v>0</v>
      </c>
      <c r="C3402" s="3" t="n">
        <v>43083</v>
      </c>
      <c r="D3402" s="2" t="s">
        <v>25844</v>
      </c>
      <c r="F3402" s="2" t="s">
        <v>25845</v>
      </c>
      <c r="G3402" s="2" t="s">
        <v>25846</v>
      </c>
      <c r="H3402" s="2" t="s">
        <v>1163</v>
      </c>
      <c r="I3402" s="2" t="s">
        <v>7603</v>
      </c>
      <c r="J3402" s="2" t="s">
        <v>35</v>
      </c>
      <c r="K3402" s="2" t="s">
        <v>25847</v>
      </c>
      <c r="L3402" s="2" t="s">
        <v>7603</v>
      </c>
      <c r="M3402" s="2" t="s">
        <v>25848</v>
      </c>
      <c r="N3402" s="2" t="s">
        <v>25849</v>
      </c>
      <c r="O3402" s="2"/>
      <c r="P3402" s="2" t="s">
        <v>79</v>
      </c>
      <c r="Q3402" s="4" t="n">
        <v>6794</v>
      </c>
      <c r="R3402" s="2" t="s">
        <v>136</v>
      </c>
      <c r="S3402" s="2" t="s">
        <v>39</v>
      </c>
      <c r="T3402" s="2" t="s">
        <v>40</v>
      </c>
      <c r="U3402" s="2" t="s">
        <v>25850</v>
      </c>
      <c r="V3402" s="2"/>
      <c r="W3402" s="2" t="s">
        <v>82</v>
      </c>
      <c r="X3402" s="2" t="s">
        <v>43</v>
      </c>
      <c r="Y3402" s="2" t="s">
        <v>37</v>
      </c>
      <c r="Z3402" s="2" t="s">
        <v>44</v>
      </c>
      <c r="AA3402" s="2"/>
      <c r="AB3402" s="2"/>
      <c r="AC3402" s="2" t="s">
        <v>25851</v>
      </c>
      <c r="AD3402" s="2" t="s">
        <v>46</v>
      </c>
    </row>
    <row r="3403" customFormat="false" ht="15.7" hidden="false" customHeight="true" outlineLevel="0" collapsed="false">
      <c r="A3403" s="2"/>
      <c r="B3403" s="3" t="n">
        <f aca="false">DATE(2017,12,14)</f>
        <v>0</v>
      </c>
      <c r="C3403" s="3" t="n">
        <v>43083</v>
      </c>
      <c r="D3403" s="2" t="s">
        <v>25852</v>
      </c>
      <c r="F3403" s="2" t="s">
        <v>25853</v>
      </c>
      <c r="G3403" s="2" t="s">
        <v>25854</v>
      </c>
      <c r="H3403" s="2" t="s">
        <v>25855</v>
      </c>
      <c r="I3403" s="2" t="s">
        <v>3312</v>
      </c>
      <c r="J3403" s="2" t="s">
        <v>795</v>
      </c>
      <c r="K3403" s="2" t="s">
        <v>25856</v>
      </c>
      <c r="L3403" s="2" t="s">
        <v>17366</v>
      </c>
      <c r="M3403" s="2" t="s">
        <v>25855</v>
      </c>
      <c r="N3403" s="2" t="s">
        <v>25857</v>
      </c>
      <c r="O3403" s="2"/>
      <c r="P3403" s="2" t="s">
        <v>37</v>
      </c>
      <c r="Q3403" s="4" t="n">
        <v>6794</v>
      </c>
      <c r="R3403" s="2" t="s">
        <v>1431</v>
      </c>
      <c r="S3403" s="2" t="s">
        <v>25421</v>
      </c>
      <c r="T3403" s="2" t="s">
        <v>2444</v>
      </c>
      <c r="U3403" s="2" t="s">
        <v>25858</v>
      </c>
      <c r="V3403" s="2"/>
      <c r="W3403" s="2" t="s">
        <v>233</v>
      </c>
      <c r="X3403" s="2" t="s">
        <v>43</v>
      </c>
      <c r="Y3403" s="2" t="s">
        <v>79</v>
      </c>
      <c r="Z3403" s="2" t="s">
        <v>44</v>
      </c>
      <c r="AA3403" s="2"/>
      <c r="AB3403" s="2"/>
      <c r="AC3403" s="2" t="s">
        <v>25859</v>
      </c>
      <c r="AD3403" s="2" t="s">
        <v>46</v>
      </c>
    </row>
    <row r="3404" customFormat="false" ht="15.7" hidden="false" customHeight="true" outlineLevel="0" collapsed="false">
      <c r="A3404" s="2"/>
      <c r="B3404" s="3" t="n">
        <f aca="false">DATE(2017,12,14)</f>
        <v>0</v>
      </c>
      <c r="C3404" s="3" t="n">
        <v>43083</v>
      </c>
      <c r="D3404" s="2" t="s">
        <v>25860</v>
      </c>
      <c r="F3404" s="2" t="s">
        <v>25861</v>
      </c>
      <c r="G3404" s="2" t="s">
        <v>25862</v>
      </c>
      <c r="H3404" s="2" t="s">
        <v>12259</v>
      </c>
      <c r="I3404" s="2" t="s">
        <v>3267</v>
      </c>
      <c r="J3404" s="2" t="s">
        <v>4616</v>
      </c>
      <c r="K3404" s="2" t="s">
        <v>25863</v>
      </c>
      <c r="L3404" s="2" t="s">
        <v>51</v>
      </c>
      <c r="M3404" s="2" t="s">
        <v>12259</v>
      </c>
      <c r="N3404" s="2" t="s">
        <v>25864</v>
      </c>
      <c r="O3404" s="2"/>
      <c r="P3404" s="2" t="s">
        <v>37</v>
      </c>
      <c r="Q3404" s="4" t="n">
        <v>8731</v>
      </c>
      <c r="R3404" s="2" t="s">
        <v>136</v>
      </c>
      <c r="S3404" s="2" t="s">
        <v>39</v>
      </c>
      <c r="T3404" s="2" t="s">
        <v>40</v>
      </c>
      <c r="U3404" s="2" t="s">
        <v>25865</v>
      </c>
      <c r="V3404" s="2"/>
      <c r="W3404" s="2" t="s">
        <v>18966</v>
      </c>
      <c r="X3404" s="2" t="s">
        <v>43</v>
      </c>
      <c r="Y3404" s="2" t="s">
        <v>37</v>
      </c>
      <c r="Z3404" s="2" t="s">
        <v>44</v>
      </c>
      <c r="AA3404" s="2"/>
      <c r="AB3404" s="2"/>
      <c r="AC3404" s="2" t="s">
        <v>25866</v>
      </c>
      <c r="AD3404" s="2" t="s">
        <v>46</v>
      </c>
    </row>
    <row r="3405" customFormat="false" ht="15.7" hidden="false" customHeight="true" outlineLevel="0" collapsed="false">
      <c r="A3405" s="2"/>
      <c r="B3405" s="3" t="n">
        <f aca="false">DATE(2017,12,14)</f>
        <v>0</v>
      </c>
      <c r="C3405" s="3" t="n">
        <v>43083</v>
      </c>
      <c r="D3405" s="2" t="s">
        <v>25867</v>
      </c>
      <c r="F3405" s="2" t="s">
        <v>25868</v>
      </c>
      <c r="G3405" s="2" t="s">
        <v>25869</v>
      </c>
      <c r="H3405" s="2" t="s">
        <v>25870</v>
      </c>
      <c r="I3405" s="2" t="s">
        <v>4325</v>
      </c>
      <c r="J3405" s="2" t="s">
        <v>35</v>
      </c>
      <c r="K3405" s="2" t="s">
        <v>25871</v>
      </c>
      <c r="L3405" s="2" t="s">
        <v>4325</v>
      </c>
      <c r="M3405" s="2" t="s">
        <v>25870</v>
      </c>
      <c r="N3405" s="2" t="s">
        <v>25872</v>
      </c>
      <c r="O3405" s="2"/>
      <c r="P3405" s="2" t="s">
        <v>37</v>
      </c>
      <c r="Q3405" s="4" t="n">
        <v>3824</v>
      </c>
      <c r="R3405" s="2"/>
      <c r="S3405" s="2"/>
      <c r="T3405" s="2" t="s">
        <v>40</v>
      </c>
      <c r="U3405" s="2" t="s">
        <v>25873</v>
      </c>
      <c r="V3405" s="2"/>
      <c r="W3405" s="2" t="s">
        <v>42</v>
      </c>
      <c r="X3405" s="2" t="s">
        <v>43</v>
      </c>
      <c r="Y3405" s="2" t="s">
        <v>37</v>
      </c>
      <c r="Z3405" s="2" t="s">
        <v>44</v>
      </c>
      <c r="AA3405" s="2"/>
      <c r="AB3405" s="2"/>
      <c r="AC3405" s="2" t="s">
        <v>25874</v>
      </c>
      <c r="AD3405" s="2" t="s">
        <v>46</v>
      </c>
    </row>
    <row r="3406" customFormat="false" ht="15.7" hidden="false" customHeight="true" outlineLevel="0" collapsed="false">
      <c r="A3406" s="2"/>
      <c r="B3406" s="3" t="n">
        <f aca="false">DATE(2017,12,14)</f>
        <v>0</v>
      </c>
      <c r="C3406" s="3" t="n">
        <v>43083</v>
      </c>
      <c r="D3406" s="2" t="s">
        <v>25875</v>
      </c>
      <c r="F3406" s="2" t="s">
        <v>17277</v>
      </c>
      <c r="G3406" s="2" t="s">
        <v>25876</v>
      </c>
      <c r="H3406" s="2" t="s">
        <v>523</v>
      </c>
      <c r="I3406" s="2" t="s">
        <v>3265</v>
      </c>
      <c r="J3406" s="2" t="s">
        <v>132</v>
      </c>
      <c r="K3406" s="2" t="s">
        <v>25877</v>
      </c>
      <c r="L3406" s="2" t="s">
        <v>3265</v>
      </c>
      <c r="M3406" s="2" t="s">
        <v>2832</v>
      </c>
      <c r="N3406" s="2" t="s">
        <v>25878</v>
      </c>
      <c r="O3406" s="2"/>
      <c r="P3406" s="2" t="s">
        <v>37</v>
      </c>
      <c r="Q3406" s="4" t="n">
        <v>8731</v>
      </c>
      <c r="R3406" s="2" t="s">
        <v>56</v>
      </c>
      <c r="S3406" s="2" t="s">
        <v>92</v>
      </c>
      <c r="T3406" s="2" t="s">
        <v>40</v>
      </c>
      <c r="U3406" s="2" t="s">
        <v>25879</v>
      </c>
      <c r="V3406" s="2"/>
      <c r="W3406" s="2" t="s">
        <v>2056</v>
      </c>
      <c r="X3406" s="2" t="s">
        <v>43</v>
      </c>
      <c r="Y3406" s="2" t="s">
        <v>37</v>
      </c>
      <c r="Z3406" s="2" t="s">
        <v>44</v>
      </c>
      <c r="AA3406" s="2"/>
      <c r="AB3406" s="2"/>
      <c r="AC3406" s="2" t="s">
        <v>25880</v>
      </c>
      <c r="AD3406" s="2" t="s">
        <v>46</v>
      </c>
    </row>
    <row r="3407" customFormat="false" ht="15.7" hidden="false" customHeight="true" outlineLevel="0" collapsed="false">
      <c r="A3407" s="2"/>
      <c r="B3407" s="3" t="n">
        <f aca="false">DATE(2017,12,15)</f>
        <v>0</v>
      </c>
      <c r="C3407" s="3" t="n">
        <v>43084</v>
      </c>
      <c r="D3407" s="2" t="s">
        <v>25881</v>
      </c>
      <c r="F3407" s="2" t="s">
        <v>25882</v>
      </c>
      <c r="G3407" s="2" t="s">
        <v>25883</v>
      </c>
      <c r="H3407" s="2" t="s">
        <v>25884</v>
      </c>
      <c r="I3407" s="2" t="s">
        <v>1080</v>
      </c>
      <c r="J3407" s="2" t="s">
        <v>35</v>
      </c>
      <c r="K3407" s="2" t="s">
        <v>25881</v>
      </c>
      <c r="L3407" s="2" t="s">
        <v>1080</v>
      </c>
      <c r="M3407" s="2" t="s">
        <v>25884</v>
      </c>
      <c r="N3407" s="2" t="s">
        <v>25885</v>
      </c>
      <c r="O3407" s="2"/>
      <c r="P3407" s="2" t="s">
        <v>37</v>
      </c>
      <c r="Q3407" s="4" t="n">
        <v>8731</v>
      </c>
      <c r="R3407" s="2" t="s">
        <v>2201</v>
      </c>
      <c r="S3407" s="2" t="s">
        <v>39</v>
      </c>
      <c r="T3407" s="2" t="s">
        <v>40</v>
      </c>
      <c r="U3407" s="2" t="s">
        <v>25886</v>
      </c>
      <c r="V3407" s="2"/>
      <c r="W3407" s="2" t="s">
        <v>10985</v>
      </c>
      <c r="X3407" s="2" t="s">
        <v>43</v>
      </c>
      <c r="Y3407" s="2" t="s">
        <v>37</v>
      </c>
      <c r="Z3407" s="2" t="s">
        <v>44</v>
      </c>
      <c r="AA3407" s="2"/>
      <c r="AB3407" s="2"/>
      <c r="AC3407" s="2" t="s">
        <v>25887</v>
      </c>
      <c r="AD3407" s="2" t="s">
        <v>46</v>
      </c>
    </row>
    <row r="3408" customFormat="false" ht="15.7" hidden="false" customHeight="true" outlineLevel="0" collapsed="false">
      <c r="A3408" s="2"/>
      <c r="B3408" s="3" t="n">
        <f aca="false">DATE(2017,12,15)</f>
        <v>0</v>
      </c>
      <c r="C3408" s="3" t="n">
        <v>43084</v>
      </c>
      <c r="D3408" s="2" t="s">
        <v>25888</v>
      </c>
      <c r="F3408" s="2" t="s">
        <v>25889</v>
      </c>
      <c r="G3408" s="2" t="s">
        <v>25890</v>
      </c>
      <c r="H3408" s="2" t="s">
        <v>1020</v>
      </c>
      <c r="I3408" s="2" t="s">
        <v>3016</v>
      </c>
      <c r="J3408" s="2" t="s">
        <v>35</v>
      </c>
      <c r="K3408" s="2" t="s">
        <v>25888</v>
      </c>
      <c r="L3408" s="2" t="s">
        <v>3016</v>
      </c>
      <c r="M3408" s="2" t="s">
        <v>1020</v>
      </c>
      <c r="N3408" s="2" t="s">
        <v>25891</v>
      </c>
      <c r="O3408" s="2"/>
      <c r="P3408" s="2" t="s">
        <v>79</v>
      </c>
      <c r="Q3408" s="4" t="n">
        <v>6794</v>
      </c>
      <c r="R3408" s="2" t="s">
        <v>136</v>
      </c>
      <c r="S3408" s="2" t="s">
        <v>39</v>
      </c>
      <c r="T3408" s="2" t="s">
        <v>40</v>
      </c>
      <c r="U3408" s="2" t="s">
        <v>25892</v>
      </c>
      <c r="V3408" s="2"/>
      <c r="W3408" s="2" t="s">
        <v>82</v>
      </c>
      <c r="X3408" s="2" t="s">
        <v>43</v>
      </c>
      <c r="Y3408" s="2" t="s">
        <v>37</v>
      </c>
      <c r="Z3408" s="2" t="s">
        <v>44</v>
      </c>
      <c r="AA3408" s="2"/>
      <c r="AB3408" s="2"/>
      <c r="AC3408" s="2" t="s">
        <v>25893</v>
      </c>
      <c r="AD3408" s="2" t="s">
        <v>46</v>
      </c>
    </row>
    <row r="3409" customFormat="false" ht="15.7" hidden="false" customHeight="true" outlineLevel="0" collapsed="false">
      <c r="A3409" s="2"/>
      <c r="B3409" s="3" t="n">
        <f aca="false">DATE(2017,12,18)</f>
        <v>0</v>
      </c>
      <c r="C3409" s="3" t="n">
        <v>43087</v>
      </c>
      <c r="D3409" s="2" t="s">
        <v>25894</v>
      </c>
      <c r="F3409" s="2" t="s">
        <v>25895</v>
      </c>
      <c r="G3409" s="2" t="s">
        <v>25896</v>
      </c>
      <c r="H3409" s="2" t="s">
        <v>993</v>
      </c>
      <c r="I3409" s="2" t="s">
        <v>330</v>
      </c>
      <c r="J3409" s="2" t="s">
        <v>7101</v>
      </c>
      <c r="K3409" s="2" t="s">
        <v>25897</v>
      </c>
      <c r="L3409" s="2" t="s">
        <v>9761</v>
      </c>
      <c r="M3409" s="2" t="s">
        <v>63</v>
      </c>
      <c r="N3409" s="2" t="s">
        <v>25898</v>
      </c>
      <c r="O3409" s="2"/>
      <c r="P3409" s="2" t="s">
        <v>37</v>
      </c>
      <c r="Q3409" s="4" t="n">
        <v>8731</v>
      </c>
      <c r="R3409" s="2" t="s">
        <v>2201</v>
      </c>
      <c r="S3409" s="2" t="s">
        <v>39</v>
      </c>
      <c r="T3409" s="2" t="s">
        <v>40</v>
      </c>
      <c r="U3409" s="2" t="s">
        <v>25899</v>
      </c>
      <c r="V3409" s="2"/>
      <c r="W3409" s="2" t="s">
        <v>344</v>
      </c>
      <c r="X3409" s="2" t="s">
        <v>43</v>
      </c>
      <c r="Y3409" s="2" t="s">
        <v>37</v>
      </c>
      <c r="Z3409" s="2" t="s">
        <v>44</v>
      </c>
      <c r="AA3409" s="2"/>
      <c r="AB3409" s="2"/>
      <c r="AC3409" s="2" t="s">
        <v>25900</v>
      </c>
      <c r="AD3409" s="2" t="s">
        <v>46</v>
      </c>
    </row>
    <row r="3410" customFormat="false" ht="15.7" hidden="false" customHeight="true" outlineLevel="0" collapsed="false">
      <c r="A3410" s="2"/>
      <c r="B3410" s="3" t="n">
        <f aca="false">DATE(2017,12,18)</f>
        <v>0</v>
      </c>
      <c r="C3410" s="3" t="n">
        <v>43087</v>
      </c>
      <c r="D3410" s="2" t="s">
        <v>25901</v>
      </c>
      <c r="F3410" s="2" t="s">
        <v>25902</v>
      </c>
      <c r="G3410" s="2" t="s">
        <v>25903</v>
      </c>
      <c r="H3410" s="2" t="s">
        <v>130</v>
      </c>
      <c r="I3410" s="2" t="s">
        <v>14116</v>
      </c>
      <c r="J3410" s="2" t="s">
        <v>35</v>
      </c>
      <c r="K3410" s="2" t="s">
        <v>25901</v>
      </c>
      <c r="L3410" s="2" t="s">
        <v>14116</v>
      </c>
      <c r="M3410" s="2" t="s">
        <v>130</v>
      </c>
      <c r="N3410" s="2" t="s">
        <v>25904</v>
      </c>
      <c r="O3410" s="2"/>
      <c r="P3410" s="2" t="s">
        <v>79</v>
      </c>
      <c r="Q3410" s="4" t="n">
        <v>6794</v>
      </c>
      <c r="R3410" s="2" t="s">
        <v>38</v>
      </c>
      <c r="S3410" s="2" t="s">
        <v>39</v>
      </c>
      <c r="T3410" s="2" t="s">
        <v>40</v>
      </c>
      <c r="U3410" s="2" t="s">
        <v>25905</v>
      </c>
      <c r="V3410" s="2"/>
      <c r="W3410" s="2" t="s">
        <v>206</v>
      </c>
      <c r="X3410" s="2" t="s">
        <v>43</v>
      </c>
      <c r="Y3410" s="2" t="s">
        <v>37</v>
      </c>
      <c r="Z3410" s="2" t="s">
        <v>44</v>
      </c>
      <c r="AA3410" s="2"/>
      <c r="AB3410" s="2"/>
      <c r="AC3410" s="2" t="s">
        <v>25906</v>
      </c>
      <c r="AD3410" s="2" t="s">
        <v>46</v>
      </c>
    </row>
    <row r="3411" customFormat="false" ht="15.7" hidden="false" customHeight="true" outlineLevel="0" collapsed="false">
      <c r="A3411" s="2"/>
      <c r="B3411" s="3" t="n">
        <f aca="false">DATE(2017,12,18)</f>
        <v>0</v>
      </c>
      <c r="C3411" s="3" t="n">
        <v>43087</v>
      </c>
      <c r="D3411" s="2" t="s">
        <v>25907</v>
      </c>
      <c r="F3411" s="2" t="s">
        <v>25908</v>
      </c>
      <c r="G3411" s="2" t="s">
        <v>25909</v>
      </c>
      <c r="H3411" s="2" t="s">
        <v>25910</v>
      </c>
      <c r="I3411" s="2" t="s">
        <v>51</v>
      </c>
      <c r="J3411" s="2" t="s">
        <v>25911</v>
      </c>
      <c r="K3411" s="2" t="s">
        <v>25912</v>
      </c>
      <c r="L3411" s="2" t="s">
        <v>51</v>
      </c>
      <c r="M3411" s="2" t="s">
        <v>25913</v>
      </c>
      <c r="N3411" s="2" t="s">
        <v>25914</v>
      </c>
      <c r="O3411" s="2"/>
      <c r="P3411" s="2" t="s">
        <v>79</v>
      </c>
      <c r="Q3411" s="4" t="n">
        <v>7373</v>
      </c>
      <c r="R3411" s="2" t="s">
        <v>56</v>
      </c>
      <c r="S3411" s="2" t="s">
        <v>7553</v>
      </c>
      <c r="T3411" s="2" t="s">
        <v>40</v>
      </c>
      <c r="U3411" s="2" t="s">
        <v>25915</v>
      </c>
      <c r="V3411" s="2"/>
      <c r="W3411" s="2" t="s">
        <v>25916</v>
      </c>
      <c r="X3411" s="2" t="s">
        <v>43</v>
      </c>
      <c r="Y3411" s="2" t="s">
        <v>37</v>
      </c>
      <c r="Z3411" s="2" t="s">
        <v>44</v>
      </c>
      <c r="AA3411" s="2"/>
      <c r="AB3411" s="2"/>
      <c r="AC3411" s="2" t="s">
        <v>25917</v>
      </c>
      <c r="AD3411" s="2" t="s">
        <v>46</v>
      </c>
    </row>
    <row r="3412" customFormat="false" ht="15.7" hidden="false" customHeight="true" outlineLevel="0" collapsed="false">
      <c r="A3412" s="2"/>
      <c r="B3412" s="3" t="n">
        <f aca="false">DATE(2017,12,18)</f>
        <v>0</v>
      </c>
      <c r="C3412" s="3" t="n">
        <v>43087</v>
      </c>
      <c r="D3412" s="2" t="s">
        <v>25918</v>
      </c>
      <c r="F3412" s="2" t="s">
        <v>18520</v>
      </c>
      <c r="G3412" s="2" t="s">
        <v>25919</v>
      </c>
      <c r="H3412" s="2" t="s">
        <v>1027</v>
      </c>
      <c r="I3412" s="2" t="s">
        <v>25920</v>
      </c>
      <c r="J3412" s="2" t="s">
        <v>35</v>
      </c>
      <c r="K3412" s="2" t="s">
        <v>25918</v>
      </c>
      <c r="L3412" s="2" t="s">
        <v>25920</v>
      </c>
      <c r="M3412" s="2" t="s">
        <v>1027</v>
      </c>
      <c r="N3412" s="2" t="s">
        <v>25921</v>
      </c>
      <c r="O3412" s="2"/>
      <c r="P3412" s="2" t="s">
        <v>37</v>
      </c>
      <c r="Q3412" s="4" t="n">
        <v>8731</v>
      </c>
      <c r="R3412" s="2" t="s">
        <v>136</v>
      </c>
      <c r="S3412" s="2" t="s">
        <v>39</v>
      </c>
      <c r="T3412" s="2" t="s">
        <v>40</v>
      </c>
      <c r="U3412" s="2" t="s">
        <v>25922</v>
      </c>
      <c r="V3412" s="2"/>
      <c r="W3412" s="2" t="s">
        <v>344</v>
      </c>
      <c r="X3412" s="2" t="s">
        <v>43</v>
      </c>
      <c r="Y3412" s="2" t="s">
        <v>37</v>
      </c>
      <c r="Z3412" s="2" t="s">
        <v>44</v>
      </c>
      <c r="AA3412" s="2"/>
      <c r="AB3412" s="2"/>
      <c r="AC3412" s="2" t="s">
        <v>25923</v>
      </c>
      <c r="AD3412" s="2" t="s">
        <v>46</v>
      </c>
    </row>
    <row r="3413" customFormat="false" ht="15.7" hidden="false" customHeight="true" outlineLevel="0" collapsed="false">
      <c r="A3413" s="2"/>
      <c r="B3413" s="3" t="n">
        <f aca="false">DATE(2017,12,18)</f>
        <v>0</v>
      </c>
      <c r="C3413" s="3" t="n">
        <v>43087</v>
      </c>
      <c r="D3413" s="2" t="s">
        <v>25924</v>
      </c>
      <c r="F3413" s="2" t="s">
        <v>25925</v>
      </c>
      <c r="G3413" s="2" t="s">
        <v>25926</v>
      </c>
      <c r="H3413" s="2" t="s">
        <v>478</v>
      </c>
      <c r="I3413" s="2" t="s">
        <v>25927</v>
      </c>
      <c r="J3413" s="2" t="s">
        <v>35</v>
      </c>
      <c r="K3413" s="2" t="s">
        <v>25924</v>
      </c>
      <c r="L3413" s="2" t="s">
        <v>25927</v>
      </c>
      <c r="M3413" s="2" t="s">
        <v>478</v>
      </c>
      <c r="N3413" s="2" t="s">
        <v>25928</v>
      </c>
      <c r="O3413" s="2"/>
      <c r="P3413" s="2" t="s">
        <v>37</v>
      </c>
      <c r="Q3413" s="4" t="n">
        <v>8731</v>
      </c>
      <c r="R3413" s="2" t="s">
        <v>136</v>
      </c>
      <c r="S3413" s="2" t="s">
        <v>39</v>
      </c>
      <c r="T3413" s="2" t="s">
        <v>40</v>
      </c>
      <c r="U3413" s="2" t="s">
        <v>25929</v>
      </c>
      <c r="V3413" s="2"/>
      <c r="W3413" s="2" t="s">
        <v>344</v>
      </c>
      <c r="X3413" s="2" t="s">
        <v>43</v>
      </c>
      <c r="Y3413" s="2" t="s">
        <v>37</v>
      </c>
      <c r="Z3413" s="2" t="s">
        <v>44</v>
      </c>
      <c r="AA3413" s="2"/>
      <c r="AB3413" s="2"/>
      <c r="AC3413" s="2" t="s">
        <v>25930</v>
      </c>
      <c r="AD3413" s="2" t="s">
        <v>46</v>
      </c>
    </row>
    <row r="3414" customFormat="false" ht="15.7" hidden="false" customHeight="true" outlineLevel="0" collapsed="false">
      <c r="A3414" s="2"/>
      <c r="B3414" s="3" t="n">
        <f aca="false">DATE(2017,12,18)</f>
        <v>0</v>
      </c>
      <c r="C3414" s="3" t="n">
        <v>43087</v>
      </c>
      <c r="D3414" s="2" t="s">
        <v>25931</v>
      </c>
      <c r="F3414" s="2" t="s">
        <v>25932</v>
      </c>
      <c r="G3414" s="2" t="s">
        <v>25933</v>
      </c>
      <c r="H3414" s="2" t="s">
        <v>25848</v>
      </c>
      <c r="I3414" s="2" t="s">
        <v>51</v>
      </c>
      <c r="J3414" s="2" t="s">
        <v>171</v>
      </c>
      <c r="K3414" s="2" t="s">
        <v>25931</v>
      </c>
      <c r="L3414" s="2" t="s">
        <v>51</v>
      </c>
      <c r="M3414" s="2" t="s">
        <v>25848</v>
      </c>
      <c r="N3414" s="2" t="s">
        <v>25934</v>
      </c>
      <c r="O3414" s="2"/>
      <c r="P3414" s="2" t="s">
        <v>37</v>
      </c>
      <c r="Q3414" s="4" t="n">
        <v>8731</v>
      </c>
      <c r="R3414" s="2" t="s">
        <v>56</v>
      </c>
      <c r="S3414" s="2"/>
      <c r="T3414" s="2" t="s">
        <v>40</v>
      </c>
      <c r="U3414" s="2" t="s">
        <v>25935</v>
      </c>
      <c r="V3414" s="2"/>
      <c r="W3414" s="2" t="s">
        <v>42</v>
      </c>
      <c r="X3414" s="2" t="s">
        <v>43</v>
      </c>
      <c r="Y3414" s="2" t="s">
        <v>37</v>
      </c>
      <c r="Z3414" s="2" t="s">
        <v>44</v>
      </c>
      <c r="AA3414" s="2"/>
      <c r="AB3414" s="2"/>
      <c r="AC3414" s="2" t="s">
        <v>25936</v>
      </c>
      <c r="AD3414" s="2" t="s">
        <v>46</v>
      </c>
    </row>
    <row r="3415" customFormat="false" ht="15.7" hidden="false" customHeight="true" outlineLevel="0" collapsed="false">
      <c r="A3415" s="2"/>
      <c r="B3415" s="3" t="n">
        <f aca="false">DATE(2017,12,18)</f>
        <v>0</v>
      </c>
      <c r="C3415" s="3" t="n">
        <v>43087</v>
      </c>
      <c r="D3415" s="2" t="s">
        <v>25937</v>
      </c>
      <c r="F3415" s="2" t="s">
        <v>25938</v>
      </c>
      <c r="G3415" s="2" t="s">
        <v>25939</v>
      </c>
      <c r="H3415" s="2" t="s">
        <v>3913</v>
      </c>
      <c r="I3415" s="2" t="s">
        <v>6134</v>
      </c>
      <c r="J3415" s="2" t="s">
        <v>65</v>
      </c>
      <c r="K3415" s="2" t="s">
        <v>25937</v>
      </c>
      <c r="L3415" s="2" t="s">
        <v>6134</v>
      </c>
      <c r="M3415" s="2" t="s">
        <v>3913</v>
      </c>
      <c r="N3415" s="2" t="s">
        <v>25940</v>
      </c>
      <c r="O3415" s="2"/>
      <c r="P3415" s="2" t="s">
        <v>37</v>
      </c>
      <c r="Q3415" s="4" t="n">
        <v>8731</v>
      </c>
      <c r="R3415" s="2" t="s">
        <v>3154</v>
      </c>
      <c r="S3415" s="2" t="s">
        <v>39</v>
      </c>
      <c r="T3415" s="2" t="s">
        <v>403</v>
      </c>
      <c r="U3415" s="2" t="s">
        <v>25941</v>
      </c>
      <c r="V3415" s="2"/>
      <c r="W3415" s="2" t="s">
        <v>42</v>
      </c>
      <c r="X3415" s="2" t="s">
        <v>43</v>
      </c>
      <c r="Y3415" s="2" t="s">
        <v>37</v>
      </c>
      <c r="Z3415" s="2" t="s">
        <v>44</v>
      </c>
      <c r="AA3415" s="2"/>
      <c r="AB3415" s="2"/>
      <c r="AC3415" s="2" t="s">
        <v>25942</v>
      </c>
      <c r="AD3415" s="2" t="s">
        <v>46</v>
      </c>
    </row>
    <row r="3416" customFormat="false" ht="15.7" hidden="false" customHeight="true" outlineLevel="0" collapsed="false">
      <c r="A3416" s="2"/>
      <c r="B3416" s="3" t="n">
        <f aca="false">DATE(2017,12,19)</f>
        <v>0</v>
      </c>
      <c r="C3416" s="3" t="n">
        <v>43088</v>
      </c>
      <c r="D3416" s="2" t="s">
        <v>25943</v>
      </c>
      <c r="F3416" s="2" t="s">
        <v>25944</v>
      </c>
      <c r="G3416" s="2" t="s">
        <v>25945</v>
      </c>
      <c r="H3416" s="2" t="s">
        <v>25946</v>
      </c>
      <c r="I3416" s="2" t="s">
        <v>2727</v>
      </c>
      <c r="J3416" s="2" t="s">
        <v>35</v>
      </c>
      <c r="K3416" s="2" t="s">
        <v>25947</v>
      </c>
      <c r="L3416" s="2" t="s">
        <v>2727</v>
      </c>
      <c r="M3416" s="2" t="s">
        <v>25948</v>
      </c>
      <c r="N3416" s="2" t="s">
        <v>25949</v>
      </c>
      <c r="O3416" s="2" t="s">
        <v>25950</v>
      </c>
      <c r="P3416" s="2" t="s">
        <v>37</v>
      </c>
      <c r="Q3416" s="4" t="n">
        <v>2819</v>
      </c>
      <c r="R3416" s="2" t="s">
        <v>402</v>
      </c>
      <c r="S3416" s="2" t="s">
        <v>39</v>
      </c>
      <c r="T3416" s="2" t="s">
        <v>40</v>
      </c>
      <c r="U3416" s="2" t="s">
        <v>25951</v>
      </c>
      <c r="V3416" s="2"/>
      <c r="W3416" s="2" t="s">
        <v>697</v>
      </c>
      <c r="X3416" s="2" t="s">
        <v>46</v>
      </c>
      <c r="Y3416" s="2" t="s">
        <v>37</v>
      </c>
      <c r="Z3416" s="2" t="s">
        <v>18992</v>
      </c>
      <c r="AA3416" s="2" t="s">
        <v>25952</v>
      </c>
      <c r="AB3416" s="2" t="s">
        <v>25953</v>
      </c>
      <c r="AC3416" s="2" t="s">
        <v>25954</v>
      </c>
      <c r="AD3416" s="2" t="s">
        <v>46</v>
      </c>
    </row>
    <row r="3417" customFormat="false" ht="15.7" hidden="false" customHeight="true" outlineLevel="0" collapsed="false">
      <c r="A3417" s="2"/>
      <c r="B3417" s="3" t="n">
        <f aca="false">DATE(2017,12,19)</f>
        <v>0</v>
      </c>
      <c r="C3417" s="3" t="n">
        <v>43088</v>
      </c>
      <c r="D3417" s="2" t="s">
        <v>25955</v>
      </c>
      <c r="F3417" s="2" t="s">
        <v>25956</v>
      </c>
      <c r="G3417" s="2" t="s">
        <v>25957</v>
      </c>
      <c r="H3417" s="2" t="s">
        <v>305</v>
      </c>
      <c r="I3417" s="2" t="s">
        <v>670</v>
      </c>
      <c r="J3417" s="2" t="s">
        <v>155</v>
      </c>
      <c r="K3417" s="2" t="s">
        <v>25955</v>
      </c>
      <c r="L3417" s="2" t="s">
        <v>670</v>
      </c>
      <c r="M3417" s="2" t="s">
        <v>305</v>
      </c>
      <c r="N3417" s="2" t="s">
        <v>25958</v>
      </c>
      <c r="O3417" s="2"/>
      <c r="P3417" s="2" t="s">
        <v>37</v>
      </c>
      <c r="Q3417" s="4" t="n">
        <v>8731</v>
      </c>
      <c r="R3417" s="2" t="s">
        <v>402</v>
      </c>
      <c r="S3417" s="2" t="s">
        <v>39</v>
      </c>
      <c r="T3417" s="2" t="s">
        <v>40</v>
      </c>
      <c r="U3417" s="2" t="s">
        <v>25959</v>
      </c>
      <c r="V3417" s="2"/>
      <c r="W3417" s="2" t="s">
        <v>42</v>
      </c>
      <c r="X3417" s="2" t="s">
        <v>43</v>
      </c>
      <c r="Y3417" s="2" t="s">
        <v>37</v>
      </c>
      <c r="Z3417" s="2" t="s">
        <v>44</v>
      </c>
      <c r="AA3417" s="2"/>
      <c r="AB3417" s="2"/>
      <c r="AC3417" s="2" t="s">
        <v>25960</v>
      </c>
      <c r="AD3417" s="2" t="s">
        <v>46</v>
      </c>
    </row>
    <row r="3418" customFormat="false" ht="15.7" hidden="false" customHeight="true" outlineLevel="0" collapsed="false">
      <c r="A3418" s="2"/>
      <c r="B3418" s="3" t="n">
        <f aca="false">DATE(2017,12,19)</f>
        <v>0</v>
      </c>
      <c r="C3418" s="3" t="n">
        <v>43088</v>
      </c>
      <c r="D3418" s="2" t="s">
        <v>25961</v>
      </c>
      <c r="F3418" s="2" t="s">
        <v>17277</v>
      </c>
      <c r="G3418" s="2" t="s">
        <v>25962</v>
      </c>
      <c r="H3418" s="2" t="s">
        <v>523</v>
      </c>
      <c r="I3418" s="2" t="s">
        <v>4562</v>
      </c>
      <c r="J3418" s="2" t="s">
        <v>35</v>
      </c>
      <c r="K3418" s="2" t="s">
        <v>25963</v>
      </c>
      <c r="L3418" s="2" t="s">
        <v>4562</v>
      </c>
      <c r="M3418" s="2" t="s">
        <v>523</v>
      </c>
      <c r="N3418" s="2" t="s">
        <v>25964</v>
      </c>
      <c r="O3418" s="2"/>
      <c r="P3418" s="2" t="s">
        <v>79</v>
      </c>
      <c r="Q3418" s="4" t="n">
        <v>6794</v>
      </c>
      <c r="R3418" s="2" t="s">
        <v>136</v>
      </c>
      <c r="S3418" s="2" t="s">
        <v>39</v>
      </c>
      <c r="T3418" s="2" t="s">
        <v>40</v>
      </c>
      <c r="U3418" s="2" t="s">
        <v>25965</v>
      </c>
      <c r="V3418" s="2"/>
      <c r="W3418" s="2" t="s">
        <v>82</v>
      </c>
      <c r="X3418" s="2" t="s">
        <v>43</v>
      </c>
      <c r="Y3418" s="2" t="s">
        <v>37</v>
      </c>
      <c r="Z3418" s="2" t="s">
        <v>44</v>
      </c>
      <c r="AA3418" s="2"/>
      <c r="AB3418" s="2"/>
      <c r="AC3418" s="2" t="s">
        <v>25966</v>
      </c>
      <c r="AD3418" s="2" t="s">
        <v>46</v>
      </c>
    </row>
    <row r="3419" customFormat="false" ht="15.7" hidden="false" customHeight="true" outlineLevel="0" collapsed="false">
      <c r="A3419" s="2"/>
      <c r="B3419" s="3" t="n">
        <f aca="false">DATE(2017,12,20)</f>
        <v>0</v>
      </c>
      <c r="C3419" s="3" t="n">
        <v>43089</v>
      </c>
      <c r="D3419" s="2" t="s">
        <v>25967</v>
      </c>
      <c r="F3419" s="2" t="s">
        <v>1902</v>
      </c>
      <c r="G3419" s="2" t="s">
        <v>25968</v>
      </c>
      <c r="H3419" s="2" t="s">
        <v>305</v>
      </c>
      <c r="I3419" s="2" t="s">
        <v>25969</v>
      </c>
      <c r="J3419" s="2" t="s">
        <v>35</v>
      </c>
      <c r="K3419" s="2" t="s">
        <v>25967</v>
      </c>
      <c r="L3419" s="2" t="s">
        <v>25969</v>
      </c>
      <c r="M3419" s="2" t="s">
        <v>305</v>
      </c>
      <c r="N3419" s="2" t="s">
        <v>25970</v>
      </c>
      <c r="O3419" s="2"/>
      <c r="P3419" s="2" t="s">
        <v>79</v>
      </c>
      <c r="Q3419" s="4" t="n">
        <v>6794</v>
      </c>
      <c r="R3419" s="2" t="s">
        <v>136</v>
      </c>
      <c r="S3419" s="2" t="s">
        <v>39</v>
      </c>
      <c r="T3419" s="2" t="s">
        <v>40</v>
      </c>
      <c r="U3419" s="2" t="s">
        <v>25971</v>
      </c>
      <c r="V3419" s="2"/>
      <c r="W3419" s="2" t="s">
        <v>82</v>
      </c>
      <c r="X3419" s="2" t="s">
        <v>43</v>
      </c>
      <c r="Y3419" s="2" t="s">
        <v>37</v>
      </c>
      <c r="Z3419" s="2" t="s">
        <v>44</v>
      </c>
      <c r="AA3419" s="2"/>
      <c r="AB3419" s="2"/>
      <c r="AC3419" s="2" t="s">
        <v>25972</v>
      </c>
      <c r="AD3419" s="2" t="s">
        <v>46</v>
      </c>
    </row>
    <row r="3420" customFormat="false" ht="15.7" hidden="false" customHeight="true" outlineLevel="0" collapsed="false">
      <c r="A3420" s="2"/>
      <c r="B3420" s="3" t="n">
        <f aca="false">DATE(2017,12,20)</f>
        <v>0</v>
      </c>
      <c r="C3420" s="3" t="n">
        <v>43089</v>
      </c>
      <c r="D3420" s="2" t="s">
        <v>25973</v>
      </c>
      <c r="F3420" s="2" t="s">
        <v>25974</v>
      </c>
      <c r="G3420" s="2" t="s">
        <v>25975</v>
      </c>
      <c r="H3420" s="2" t="s">
        <v>25976</v>
      </c>
      <c r="I3420" s="2" t="s">
        <v>25977</v>
      </c>
      <c r="J3420" s="2" t="s">
        <v>25978</v>
      </c>
      <c r="K3420" s="2" t="s">
        <v>25979</v>
      </c>
      <c r="L3420" s="2" t="s">
        <v>25977</v>
      </c>
      <c r="M3420" s="2" t="s">
        <v>25980</v>
      </c>
      <c r="N3420" s="2" t="s">
        <v>25981</v>
      </c>
      <c r="O3420" s="2"/>
      <c r="P3420" s="2" t="s">
        <v>37</v>
      </c>
      <c r="Q3420" s="4" t="n">
        <v>8731</v>
      </c>
      <c r="R3420" s="2" t="s">
        <v>402</v>
      </c>
      <c r="S3420" s="2" t="s">
        <v>39</v>
      </c>
      <c r="T3420" s="2" t="s">
        <v>403</v>
      </c>
      <c r="U3420" s="2" t="s">
        <v>25982</v>
      </c>
      <c r="V3420" s="2"/>
      <c r="W3420" s="2" t="s">
        <v>42</v>
      </c>
      <c r="X3420" s="2" t="s">
        <v>46</v>
      </c>
      <c r="Y3420" s="2" t="s">
        <v>37</v>
      </c>
      <c r="Z3420" s="2" t="s">
        <v>25983</v>
      </c>
      <c r="AA3420" s="2" t="s">
        <v>25984</v>
      </c>
      <c r="AB3420" s="2"/>
      <c r="AC3420" s="2" t="s">
        <v>25985</v>
      </c>
      <c r="AD3420" s="2" t="s">
        <v>46</v>
      </c>
    </row>
    <row r="3421" customFormat="false" ht="15.7" hidden="false" customHeight="true" outlineLevel="0" collapsed="false">
      <c r="A3421" s="2"/>
      <c r="B3421" s="3" t="n">
        <f aca="false">DATE(2017,12,20)</f>
        <v>0</v>
      </c>
      <c r="C3421" s="3" t="n">
        <v>43089</v>
      </c>
      <c r="D3421" s="2" t="s">
        <v>25986</v>
      </c>
      <c r="F3421" s="2" t="s">
        <v>20650</v>
      </c>
      <c r="G3421" s="2" t="s">
        <v>25987</v>
      </c>
      <c r="H3421" s="2" t="s">
        <v>130</v>
      </c>
      <c r="I3421" s="2" t="s">
        <v>7737</v>
      </c>
      <c r="J3421" s="2" t="s">
        <v>35</v>
      </c>
      <c r="K3421" s="2" t="s">
        <v>25986</v>
      </c>
      <c r="L3421" s="2" t="s">
        <v>7737</v>
      </c>
      <c r="M3421" s="2" t="s">
        <v>130</v>
      </c>
      <c r="N3421" s="2" t="s">
        <v>25988</v>
      </c>
      <c r="O3421" s="2"/>
      <c r="P3421" s="2" t="s">
        <v>79</v>
      </c>
      <c r="Q3421" s="4" t="n">
        <v>6794</v>
      </c>
      <c r="R3421" s="2" t="s">
        <v>1448</v>
      </c>
      <c r="S3421" s="2" t="s">
        <v>39</v>
      </c>
      <c r="T3421" s="2" t="s">
        <v>40</v>
      </c>
      <c r="U3421" s="2" t="s">
        <v>25989</v>
      </c>
      <c r="V3421" s="2"/>
      <c r="W3421" s="2" t="s">
        <v>25990</v>
      </c>
      <c r="X3421" s="2" t="s">
        <v>43</v>
      </c>
      <c r="Y3421" s="2" t="s">
        <v>37</v>
      </c>
      <c r="Z3421" s="2" t="s">
        <v>44</v>
      </c>
      <c r="AA3421" s="2"/>
      <c r="AB3421" s="2"/>
      <c r="AC3421" s="2" t="s">
        <v>25991</v>
      </c>
      <c r="AD3421" s="2" t="s">
        <v>46</v>
      </c>
    </row>
    <row r="3422" customFormat="false" ht="15.7" hidden="false" customHeight="true" outlineLevel="0" collapsed="false">
      <c r="A3422" s="2"/>
      <c r="B3422" s="3" t="n">
        <f aca="false">DATE(2017,12,21)</f>
        <v>0</v>
      </c>
      <c r="C3422" s="3" t="n">
        <v>43090</v>
      </c>
      <c r="D3422" s="2" t="s">
        <v>25992</v>
      </c>
      <c r="F3422" s="2" t="s">
        <v>25993</v>
      </c>
      <c r="G3422" s="2" t="s">
        <v>25994</v>
      </c>
      <c r="H3422" s="2" t="s">
        <v>130</v>
      </c>
      <c r="I3422" s="2" t="s">
        <v>2223</v>
      </c>
      <c r="J3422" s="2" t="s">
        <v>35</v>
      </c>
      <c r="K3422" s="2" t="s">
        <v>25992</v>
      </c>
      <c r="L3422" s="2" t="s">
        <v>2223</v>
      </c>
      <c r="M3422" s="2" t="s">
        <v>130</v>
      </c>
      <c r="N3422" s="2" t="s">
        <v>25995</v>
      </c>
      <c r="O3422" s="2"/>
      <c r="P3422" s="2" t="s">
        <v>79</v>
      </c>
      <c r="Q3422" s="4" t="n">
        <v>6794</v>
      </c>
      <c r="R3422" s="2" t="s">
        <v>136</v>
      </c>
      <c r="S3422" s="2" t="s">
        <v>39</v>
      </c>
      <c r="T3422" s="2" t="s">
        <v>403</v>
      </c>
      <c r="U3422" s="2" t="s">
        <v>25996</v>
      </c>
      <c r="V3422" s="2"/>
      <c r="W3422" s="2" t="s">
        <v>206</v>
      </c>
      <c r="X3422" s="2" t="s">
        <v>43</v>
      </c>
      <c r="Y3422" s="2" t="s">
        <v>37</v>
      </c>
      <c r="Z3422" s="2" t="s">
        <v>44</v>
      </c>
      <c r="AA3422" s="2"/>
      <c r="AB3422" s="2"/>
      <c r="AC3422" s="2" t="s">
        <v>25997</v>
      </c>
      <c r="AD3422" s="2" t="s">
        <v>46</v>
      </c>
    </row>
    <row r="3423" customFormat="false" ht="15.7" hidden="false" customHeight="true" outlineLevel="0" collapsed="false">
      <c r="A3423" s="2"/>
      <c r="B3423" s="3" t="n">
        <f aca="false">DATE(2017,12,21)</f>
        <v>0</v>
      </c>
      <c r="C3423" s="3" t="n">
        <v>43090</v>
      </c>
      <c r="D3423" s="2" t="s">
        <v>25998</v>
      </c>
      <c r="F3423" s="2" t="s">
        <v>347</v>
      </c>
      <c r="G3423" s="2" t="s">
        <v>25999</v>
      </c>
      <c r="H3423" s="2" t="s">
        <v>63</v>
      </c>
      <c r="I3423" s="2" t="s">
        <v>1287</v>
      </c>
      <c r="J3423" s="2" t="s">
        <v>35</v>
      </c>
      <c r="K3423" s="2" t="s">
        <v>26000</v>
      </c>
      <c r="L3423" s="2" t="s">
        <v>1287</v>
      </c>
      <c r="M3423" s="2" t="s">
        <v>63</v>
      </c>
      <c r="N3423" s="2" t="s">
        <v>26001</v>
      </c>
      <c r="O3423" s="2"/>
      <c r="P3423" s="2" t="s">
        <v>79</v>
      </c>
      <c r="Q3423" s="4" t="n">
        <v>6794</v>
      </c>
      <c r="R3423" s="2" t="s">
        <v>136</v>
      </c>
      <c r="S3423" s="2" t="s">
        <v>39</v>
      </c>
      <c r="T3423" s="2" t="s">
        <v>40</v>
      </c>
      <c r="U3423" s="2" t="s">
        <v>26002</v>
      </c>
      <c r="V3423" s="2"/>
      <c r="W3423" s="2" t="s">
        <v>206</v>
      </c>
      <c r="X3423" s="2" t="s">
        <v>43</v>
      </c>
      <c r="Y3423" s="2" t="s">
        <v>37</v>
      </c>
      <c r="Z3423" s="2" t="s">
        <v>44</v>
      </c>
      <c r="AA3423" s="2"/>
      <c r="AB3423" s="2"/>
      <c r="AC3423" s="2" t="s">
        <v>26003</v>
      </c>
      <c r="AD3423" s="2" t="s">
        <v>46</v>
      </c>
    </row>
    <row r="3424" customFormat="false" ht="15.7" hidden="false" customHeight="true" outlineLevel="0" collapsed="false">
      <c r="A3424" s="2"/>
      <c r="B3424" s="3" t="n">
        <f aca="false">DATE(2017,12,21)</f>
        <v>0</v>
      </c>
      <c r="C3424" s="3" t="n">
        <v>43090</v>
      </c>
      <c r="D3424" s="2" t="s">
        <v>26004</v>
      </c>
      <c r="F3424" s="2" t="s">
        <v>26005</v>
      </c>
      <c r="G3424" s="2" t="s">
        <v>26006</v>
      </c>
      <c r="H3424" s="2" t="s">
        <v>13398</v>
      </c>
      <c r="I3424" s="2" t="s">
        <v>26007</v>
      </c>
      <c r="J3424" s="2" t="s">
        <v>26008</v>
      </c>
      <c r="K3424" s="2" t="s">
        <v>26009</v>
      </c>
      <c r="L3424" s="2" t="s">
        <v>2530</v>
      </c>
      <c r="M3424" s="2" t="s">
        <v>16599</v>
      </c>
      <c r="N3424" s="2" t="s">
        <v>26010</v>
      </c>
      <c r="O3424" s="2"/>
      <c r="P3424" s="2" t="s">
        <v>37</v>
      </c>
      <c r="Q3424" s="4" t="n">
        <v>8731</v>
      </c>
      <c r="R3424" s="2" t="s">
        <v>136</v>
      </c>
      <c r="S3424" s="2" t="s">
        <v>39</v>
      </c>
      <c r="T3424" s="2" t="s">
        <v>40</v>
      </c>
      <c r="U3424" s="2" t="s">
        <v>26011</v>
      </c>
      <c r="V3424" s="2"/>
      <c r="W3424" s="2" t="s">
        <v>344</v>
      </c>
      <c r="X3424" s="2" t="s">
        <v>43</v>
      </c>
      <c r="Y3424" s="2" t="s">
        <v>37</v>
      </c>
      <c r="Z3424" s="2" t="s">
        <v>916</v>
      </c>
      <c r="AA3424" s="2"/>
      <c r="AB3424" s="2"/>
      <c r="AC3424" s="2" t="s">
        <v>26012</v>
      </c>
      <c r="AD3424" s="2" t="s">
        <v>46</v>
      </c>
    </row>
    <row r="3425" customFormat="false" ht="15.7" hidden="false" customHeight="true" outlineLevel="0" collapsed="false">
      <c r="A3425" s="2"/>
      <c r="B3425" s="3" t="n">
        <f aca="false">DATE(2017,12,21)</f>
        <v>0</v>
      </c>
      <c r="C3425" s="3" t="n">
        <v>43090</v>
      </c>
      <c r="D3425" s="2" t="s">
        <v>26013</v>
      </c>
      <c r="F3425" s="2" t="s">
        <v>17957</v>
      </c>
      <c r="G3425" s="2" t="s">
        <v>26014</v>
      </c>
      <c r="H3425" s="2" t="s">
        <v>1020</v>
      </c>
      <c r="I3425" s="2" t="s">
        <v>51</v>
      </c>
      <c r="J3425" s="2" t="s">
        <v>2873</v>
      </c>
      <c r="K3425" s="2" t="s">
        <v>26015</v>
      </c>
      <c r="L3425" s="2" t="s">
        <v>51</v>
      </c>
      <c r="M3425" s="2" t="s">
        <v>523</v>
      </c>
      <c r="N3425" s="2" t="s">
        <v>26016</v>
      </c>
      <c r="O3425" s="2"/>
      <c r="P3425" s="2" t="s">
        <v>79</v>
      </c>
      <c r="Q3425" s="4" t="n">
        <v>6794</v>
      </c>
      <c r="R3425" s="2" t="s">
        <v>56</v>
      </c>
      <c r="S3425" s="2" t="s">
        <v>7553</v>
      </c>
      <c r="T3425" s="2" t="s">
        <v>40</v>
      </c>
      <c r="U3425" s="2" t="s">
        <v>26017</v>
      </c>
      <c r="V3425" s="2"/>
      <c r="W3425" s="2" t="s">
        <v>7555</v>
      </c>
      <c r="X3425" s="2" t="s">
        <v>43</v>
      </c>
      <c r="Y3425" s="2" t="s">
        <v>37</v>
      </c>
      <c r="Z3425" s="2" t="s">
        <v>44</v>
      </c>
      <c r="AA3425" s="2"/>
      <c r="AB3425" s="2"/>
      <c r="AC3425" s="2" t="s">
        <v>26018</v>
      </c>
      <c r="AD3425" s="2" t="s">
        <v>46</v>
      </c>
    </row>
    <row r="3426" customFormat="false" ht="15.7" hidden="false" customHeight="true" outlineLevel="0" collapsed="false">
      <c r="A3426" s="2"/>
      <c r="B3426" s="3" t="n">
        <f aca="false">DATE(2017,12,22)</f>
        <v>0</v>
      </c>
      <c r="C3426" s="3" t="n">
        <v>43091</v>
      </c>
      <c r="D3426" s="2" t="s">
        <v>26019</v>
      </c>
      <c r="F3426" s="2" t="s">
        <v>26020</v>
      </c>
      <c r="G3426" s="2" t="s">
        <v>26021</v>
      </c>
      <c r="H3426" s="2" t="s">
        <v>305</v>
      </c>
      <c r="I3426" s="2" t="s">
        <v>369</v>
      </c>
      <c r="J3426" s="2" t="s">
        <v>35</v>
      </c>
      <c r="K3426" s="2" t="s">
        <v>26019</v>
      </c>
      <c r="L3426" s="2" t="s">
        <v>369</v>
      </c>
      <c r="M3426" s="2" t="s">
        <v>305</v>
      </c>
      <c r="N3426" s="2" t="s">
        <v>26022</v>
      </c>
      <c r="O3426" s="2" t="s">
        <v>26023</v>
      </c>
      <c r="P3426" s="2" t="s">
        <v>37</v>
      </c>
      <c r="Q3426" s="4" t="n">
        <v>8731</v>
      </c>
      <c r="R3426" s="2" t="s">
        <v>105</v>
      </c>
      <c r="S3426" s="2" t="s">
        <v>39</v>
      </c>
      <c r="T3426" s="2" t="s">
        <v>40</v>
      </c>
      <c r="U3426" s="2" t="s">
        <v>26024</v>
      </c>
      <c r="V3426" s="2"/>
      <c r="W3426" s="2" t="s">
        <v>42</v>
      </c>
      <c r="X3426" s="2" t="s">
        <v>46</v>
      </c>
      <c r="Y3426" s="2" t="s">
        <v>37</v>
      </c>
      <c r="Z3426" s="2" t="s">
        <v>756</v>
      </c>
      <c r="AA3426" s="2"/>
      <c r="AB3426" s="2" t="s">
        <v>26025</v>
      </c>
      <c r="AC3426" s="2" t="s">
        <v>26026</v>
      </c>
      <c r="AD3426" s="2" t="s">
        <v>46</v>
      </c>
    </row>
    <row r="3427" customFormat="false" ht="15.7" hidden="false" customHeight="true" outlineLevel="0" collapsed="false">
      <c r="A3427" s="2"/>
      <c r="B3427" s="3" t="n">
        <f aca="false">DATE(2017,12,22)</f>
        <v>0</v>
      </c>
      <c r="C3427" s="3" t="n">
        <v>43091</v>
      </c>
      <c r="D3427" s="2" t="s">
        <v>26027</v>
      </c>
      <c r="F3427" s="2" t="s">
        <v>26028</v>
      </c>
      <c r="G3427" s="2" t="s">
        <v>26029</v>
      </c>
      <c r="H3427" s="2" t="s">
        <v>26030</v>
      </c>
      <c r="I3427" s="2" t="s">
        <v>4325</v>
      </c>
      <c r="J3427" s="2" t="s">
        <v>35</v>
      </c>
      <c r="K3427" s="2" t="s">
        <v>26031</v>
      </c>
      <c r="L3427" s="2" t="s">
        <v>4325</v>
      </c>
      <c r="M3427" s="2" t="s">
        <v>26032</v>
      </c>
      <c r="N3427" s="2" t="s">
        <v>26033</v>
      </c>
      <c r="O3427" s="2"/>
      <c r="P3427" s="2" t="s">
        <v>37</v>
      </c>
      <c r="Q3427" s="4" t="n">
        <v>7372</v>
      </c>
      <c r="R3427" s="2"/>
      <c r="S3427" s="2"/>
      <c r="T3427" s="2" t="s">
        <v>40</v>
      </c>
      <c r="U3427" s="2" t="s">
        <v>26034</v>
      </c>
      <c r="V3427" s="2"/>
      <c r="W3427" s="2" t="s">
        <v>3235</v>
      </c>
      <c r="X3427" s="2" t="s">
        <v>43</v>
      </c>
      <c r="Y3427" s="2" t="s">
        <v>37</v>
      </c>
      <c r="Z3427" s="2" t="s">
        <v>44</v>
      </c>
      <c r="AA3427" s="2"/>
      <c r="AB3427" s="2"/>
      <c r="AC3427" s="2" t="s">
        <v>26035</v>
      </c>
      <c r="AD3427" s="2" t="s">
        <v>46</v>
      </c>
    </row>
    <row r="3428" customFormat="false" ht="15.7" hidden="false" customHeight="true" outlineLevel="0" collapsed="false">
      <c r="A3428" s="2"/>
      <c r="B3428" s="3" t="n">
        <f aca="false">DATE(2017,12,22)</f>
        <v>0</v>
      </c>
      <c r="C3428" s="3" t="n">
        <v>43091</v>
      </c>
      <c r="D3428" s="2" t="s">
        <v>26036</v>
      </c>
      <c r="F3428" s="2" t="s">
        <v>26037</v>
      </c>
      <c r="G3428" s="2" t="s">
        <v>26038</v>
      </c>
      <c r="H3428" s="2" t="s">
        <v>26039</v>
      </c>
      <c r="I3428" s="2" t="s">
        <v>6838</v>
      </c>
      <c r="J3428" s="2" t="s">
        <v>35</v>
      </c>
      <c r="K3428" s="2" t="s">
        <v>26036</v>
      </c>
      <c r="L3428" s="2" t="s">
        <v>6838</v>
      </c>
      <c r="M3428" s="2" t="s">
        <v>26039</v>
      </c>
      <c r="N3428" s="2" t="s">
        <v>26040</v>
      </c>
      <c r="O3428" s="2"/>
      <c r="P3428" s="2" t="s">
        <v>37</v>
      </c>
      <c r="Q3428" s="4" t="n">
        <v>1542</v>
      </c>
      <c r="R3428" s="2"/>
      <c r="S3428" s="2"/>
      <c r="T3428" s="2" t="s">
        <v>40</v>
      </c>
      <c r="U3428" s="2" t="s">
        <v>26041</v>
      </c>
      <c r="V3428" s="2"/>
      <c r="W3428" s="2" t="s">
        <v>18958</v>
      </c>
      <c r="X3428" s="2" t="s">
        <v>43</v>
      </c>
      <c r="Y3428" s="2" t="s">
        <v>37</v>
      </c>
      <c r="Z3428" s="2" t="s">
        <v>44</v>
      </c>
      <c r="AA3428" s="2"/>
      <c r="AB3428" s="2"/>
      <c r="AC3428" s="2" t="s">
        <v>26042</v>
      </c>
      <c r="AD3428" s="2" t="s">
        <v>46</v>
      </c>
    </row>
    <row r="3429" customFormat="false" ht="15.7" hidden="false" customHeight="true" outlineLevel="0" collapsed="false">
      <c r="A3429" s="2"/>
      <c r="B3429" s="3" t="n">
        <f aca="false">DATE(2017,12,23)</f>
        <v>0</v>
      </c>
      <c r="C3429" s="3" t="n">
        <v>43092</v>
      </c>
      <c r="D3429" s="2" t="s">
        <v>26043</v>
      </c>
      <c r="F3429" s="2" t="s">
        <v>26044</v>
      </c>
      <c r="G3429" s="2" t="s">
        <v>26045</v>
      </c>
      <c r="H3429" s="2" t="s">
        <v>26046</v>
      </c>
      <c r="I3429" s="2" t="s">
        <v>5102</v>
      </c>
      <c r="J3429" s="2" t="s">
        <v>35</v>
      </c>
      <c r="K3429" s="2" t="s">
        <v>26043</v>
      </c>
      <c r="L3429" s="2" t="s">
        <v>5102</v>
      </c>
      <c r="M3429" s="2" t="s">
        <v>26046</v>
      </c>
      <c r="N3429" s="2" t="s">
        <v>26047</v>
      </c>
      <c r="O3429" s="2"/>
      <c r="P3429" s="2" t="s">
        <v>37</v>
      </c>
      <c r="Q3429" s="4" t="n">
        <v>7372</v>
      </c>
      <c r="R3429" s="2"/>
      <c r="S3429" s="2"/>
      <c r="T3429" s="2" t="s">
        <v>40</v>
      </c>
      <c r="U3429" s="2" t="s">
        <v>26048</v>
      </c>
      <c r="V3429" s="2"/>
      <c r="W3429" s="2" t="s">
        <v>3235</v>
      </c>
      <c r="X3429" s="2" t="s">
        <v>43</v>
      </c>
      <c r="Y3429" s="2" t="s">
        <v>37</v>
      </c>
      <c r="Z3429" s="2" t="s">
        <v>44</v>
      </c>
      <c r="AA3429" s="2"/>
      <c r="AB3429" s="2"/>
      <c r="AC3429" s="2" t="s">
        <v>26049</v>
      </c>
      <c r="AD3429" s="2" t="s">
        <v>46</v>
      </c>
    </row>
    <row r="3430" customFormat="false" ht="15.7" hidden="false" customHeight="true" outlineLevel="0" collapsed="false">
      <c r="A3430" s="2"/>
      <c r="B3430" s="3" t="n">
        <f aca="false">DATE(2017,12,25)</f>
        <v>0</v>
      </c>
      <c r="C3430" s="3" t="n">
        <v>43094</v>
      </c>
      <c r="D3430" s="2" t="s">
        <v>26050</v>
      </c>
      <c r="F3430" s="2" t="s">
        <v>26051</v>
      </c>
      <c r="G3430" s="2" t="s">
        <v>26052</v>
      </c>
      <c r="H3430" s="2" t="s">
        <v>26053</v>
      </c>
      <c r="I3430" s="2" t="s">
        <v>3265</v>
      </c>
      <c r="J3430" s="2" t="s">
        <v>966</v>
      </c>
      <c r="K3430" s="2" t="s">
        <v>26050</v>
      </c>
      <c r="L3430" s="2" t="s">
        <v>3265</v>
      </c>
      <c r="M3430" s="2" t="s">
        <v>26053</v>
      </c>
      <c r="N3430" s="2" t="s">
        <v>26054</v>
      </c>
      <c r="O3430" s="2"/>
      <c r="P3430" s="2" t="s">
        <v>37</v>
      </c>
      <c r="Q3430" s="4" t="n">
        <v>8731</v>
      </c>
      <c r="R3430" s="2" t="s">
        <v>670</v>
      </c>
      <c r="S3430" s="2" t="s">
        <v>26055</v>
      </c>
      <c r="T3430" s="2" t="s">
        <v>40</v>
      </c>
      <c r="U3430" s="2" t="s">
        <v>26056</v>
      </c>
      <c r="V3430" s="2"/>
      <c r="W3430" s="2" t="s">
        <v>3235</v>
      </c>
      <c r="X3430" s="2" t="s">
        <v>43</v>
      </c>
      <c r="Y3430" s="2" t="s">
        <v>79</v>
      </c>
      <c r="Z3430" s="2" t="s">
        <v>44</v>
      </c>
      <c r="AA3430" s="2"/>
      <c r="AB3430" s="2"/>
      <c r="AC3430" s="2" t="s">
        <v>26057</v>
      </c>
      <c r="AD3430" s="2" t="s">
        <v>46</v>
      </c>
    </row>
    <row r="3431" customFormat="false" ht="15.7" hidden="false" customHeight="true" outlineLevel="0" collapsed="false">
      <c r="A3431" s="2"/>
      <c r="B3431" s="3" t="n">
        <f aca="false">DATE(2018,1,2)</f>
        <v>0</v>
      </c>
      <c r="C3431" s="3" t="n">
        <v>43102</v>
      </c>
      <c r="D3431" s="2" t="s">
        <v>26058</v>
      </c>
      <c r="F3431" s="2" t="s">
        <v>26059</v>
      </c>
      <c r="G3431" s="2" t="s">
        <v>26060</v>
      </c>
      <c r="H3431" s="2" t="s">
        <v>26061</v>
      </c>
      <c r="I3431" s="2" t="s">
        <v>538</v>
      </c>
      <c r="J3431" s="2" t="s">
        <v>35</v>
      </c>
      <c r="K3431" s="2" t="s">
        <v>26058</v>
      </c>
      <c r="L3431" s="2" t="s">
        <v>538</v>
      </c>
      <c r="M3431" s="2" t="s">
        <v>26061</v>
      </c>
      <c r="N3431" s="2" t="s">
        <v>26062</v>
      </c>
      <c r="O3431" s="2"/>
      <c r="P3431" s="2" t="s">
        <v>37</v>
      </c>
      <c r="Q3431" s="4" t="n">
        <v>8731</v>
      </c>
      <c r="R3431" s="2" t="s">
        <v>136</v>
      </c>
      <c r="S3431" s="2" t="s">
        <v>39</v>
      </c>
      <c r="T3431" s="2" t="s">
        <v>40</v>
      </c>
      <c r="U3431" s="2" t="s">
        <v>26063</v>
      </c>
      <c r="V3431" s="2"/>
      <c r="W3431" s="2" t="s">
        <v>26064</v>
      </c>
      <c r="X3431" s="2" t="s">
        <v>43</v>
      </c>
      <c r="Y3431" s="2" t="s">
        <v>37</v>
      </c>
      <c r="Z3431" s="2" t="s">
        <v>44</v>
      </c>
      <c r="AA3431" s="2"/>
      <c r="AB3431" s="2"/>
      <c r="AC3431" s="2" t="s">
        <v>26065</v>
      </c>
      <c r="AD3431" s="2" t="s">
        <v>46</v>
      </c>
    </row>
    <row r="3432" customFormat="false" ht="15.7" hidden="false" customHeight="true" outlineLevel="0" collapsed="false">
      <c r="A3432" s="2"/>
      <c r="B3432" s="3" t="n">
        <f aca="false">DATE(2018,1,2)</f>
        <v>0</v>
      </c>
      <c r="C3432" s="3" t="n">
        <v>43102</v>
      </c>
      <c r="D3432" s="2" t="s">
        <v>26066</v>
      </c>
      <c r="F3432" s="2" t="s">
        <v>26067</v>
      </c>
      <c r="G3432" s="2" t="s">
        <v>26068</v>
      </c>
      <c r="H3432" s="2" t="s">
        <v>24696</v>
      </c>
      <c r="I3432" s="2" t="s">
        <v>51</v>
      </c>
      <c r="J3432" s="2" t="s">
        <v>828</v>
      </c>
      <c r="K3432" s="2" t="s">
        <v>26069</v>
      </c>
      <c r="L3432" s="2" t="s">
        <v>51</v>
      </c>
      <c r="M3432" s="2" t="s">
        <v>898</v>
      </c>
      <c r="N3432" s="2" t="s">
        <v>26070</v>
      </c>
      <c r="O3432" s="2"/>
      <c r="P3432" s="2" t="s">
        <v>37</v>
      </c>
      <c r="Q3432" s="4" t="n">
        <v>8099</v>
      </c>
      <c r="R3432" s="2" t="s">
        <v>56</v>
      </c>
      <c r="S3432" s="2"/>
      <c r="T3432" s="2" t="s">
        <v>40</v>
      </c>
      <c r="U3432" s="2" t="s">
        <v>26071</v>
      </c>
      <c r="V3432" s="2"/>
      <c r="W3432" s="2" t="s">
        <v>25722</v>
      </c>
      <c r="X3432" s="2" t="s">
        <v>43</v>
      </c>
      <c r="Y3432" s="2" t="s">
        <v>37</v>
      </c>
      <c r="Z3432" s="2" t="s">
        <v>44</v>
      </c>
      <c r="AA3432" s="2"/>
      <c r="AB3432" s="2"/>
      <c r="AC3432" s="2" t="s">
        <v>26072</v>
      </c>
      <c r="AD3432" s="2" t="s">
        <v>46</v>
      </c>
    </row>
    <row r="3433" customFormat="false" ht="15.7" hidden="false" customHeight="true" outlineLevel="0" collapsed="false">
      <c r="A3433" s="2"/>
      <c r="B3433" s="3" t="n">
        <f aca="false">DATE(2018,1,3)</f>
        <v>0</v>
      </c>
      <c r="C3433" s="3" t="n">
        <v>43103</v>
      </c>
      <c r="D3433" s="2" t="s">
        <v>26073</v>
      </c>
      <c r="F3433" s="2" t="s">
        <v>26074</v>
      </c>
      <c r="G3433" s="2" t="s">
        <v>26075</v>
      </c>
      <c r="H3433" s="2" t="s">
        <v>26076</v>
      </c>
      <c r="I3433" s="2" t="s">
        <v>26077</v>
      </c>
      <c r="J3433" s="2" t="s">
        <v>2160</v>
      </c>
      <c r="K3433" s="2" t="s">
        <v>26078</v>
      </c>
      <c r="L3433" s="2" t="s">
        <v>26077</v>
      </c>
      <c r="M3433" s="2" t="s">
        <v>26079</v>
      </c>
      <c r="N3433" s="2" t="s">
        <v>26080</v>
      </c>
      <c r="O3433" s="2"/>
      <c r="P3433" s="2" t="s">
        <v>37</v>
      </c>
      <c r="Q3433" s="4" t="n">
        <v>8099</v>
      </c>
      <c r="R3433" s="2" t="s">
        <v>3154</v>
      </c>
      <c r="S3433" s="2" t="s">
        <v>39</v>
      </c>
      <c r="T3433" s="2" t="s">
        <v>403</v>
      </c>
      <c r="U3433" s="2" t="s">
        <v>26081</v>
      </c>
      <c r="V3433" s="2"/>
      <c r="W3433" s="2" t="s">
        <v>26082</v>
      </c>
      <c r="X3433" s="2" t="s">
        <v>46</v>
      </c>
      <c r="Y3433" s="2" t="s">
        <v>37</v>
      </c>
      <c r="Z3433" s="2" t="s">
        <v>26083</v>
      </c>
      <c r="AA3433" s="2"/>
      <c r="AB3433" s="2"/>
      <c r="AC3433" s="2" t="s">
        <v>26084</v>
      </c>
      <c r="AD3433" s="2" t="s">
        <v>46</v>
      </c>
    </row>
    <row r="3434" customFormat="false" ht="15.7" hidden="false" customHeight="true" outlineLevel="0" collapsed="false">
      <c r="A3434" s="2"/>
      <c r="B3434" s="3" t="n">
        <f aca="false">DATE(2018,1,3)</f>
        <v>0</v>
      </c>
      <c r="C3434" s="3" t="n">
        <v>43103</v>
      </c>
      <c r="D3434" s="2" t="s">
        <v>26085</v>
      </c>
      <c r="F3434" s="2" t="s">
        <v>20650</v>
      </c>
      <c r="G3434" s="2" t="s">
        <v>26086</v>
      </c>
      <c r="H3434" s="2" t="s">
        <v>1943</v>
      </c>
      <c r="I3434" s="2" t="s">
        <v>9212</v>
      </c>
      <c r="J3434" s="2" t="s">
        <v>35</v>
      </c>
      <c r="K3434" s="2" t="s">
        <v>26085</v>
      </c>
      <c r="L3434" s="2" t="s">
        <v>9212</v>
      </c>
      <c r="M3434" s="2" t="s">
        <v>1943</v>
      </c>
      <c r="N3434" s="2" t="s">
        <v>26087</v>
      </c>
      <c r="O3434" s="2"/>
      <c r="P3434" s="2" t="s">
        <v>37</v>
      </c>
      <c r="Q3434" s="4" t="n">
        <v>6794</v>
      </c>
      <c r="R3434" s="2" t="s">
        <v>136</v>
      </c>
      <c r="S3434" s="2" t="s">
        <v>39</v>
      </c>
      <c r="T3434" s="2" t="s">
        <v>40</v>
      </c>
      <c r="U3434" s="2" t="s">
        <v>26088</v>
      </c>
      <c r="V3434" s="2"/>
      <c r="W3434" s="2" t="s">
        <v>26089</v>
      </c>
      <c r="X3434" s="2" t="s">
        <v>43</v>
      </c>
      <c r="Y3434" s="2" t="s">
        <v>37</v>
      </c>
      <c r="Z3434" s="2" t="s">
        <v>44</v>
      </c>
      <c r="AA3434" s="2"/>
      <c r="AB3434" s="2"/>
      <c r="AC3434" s="2" t="s">
        <v>26090</v>
      </c>
      <c r="AD3434" s="2" t="s">
        <v>46</v>
      </c>
    </row>
    <row r="3435" customFormat="false" ht="15.7" hidden="false" customHeight="true" outlineLevel="0" collapsed="false">
      <c r="A3435" s="2"/>
      <c r="B3435" s="3" t="n">
        <f aca="false">DATE(2018,1,3)</f>
        <v>0</v>
      </c>
      <c r="C3435" s="3" t="n">
        <v>43103</v>
      </c>
      <c r="D3435" s="2" t="s">
        <v>26091</v>
      </c>
      <c r="F3435" s="2" t="s">
        <v>26092</v>
      </c>
      <c r="G3435" s="2" t="s">
        <v>26093</v>
      </c>
      <c r="H3435" s="2" t="s">
        <v>1027</v>
      </c>
      <c r="I3435" s="2" t="s">
        <v>51</v>
      </c>
      <c r="J3435" s="2" t="s">
        <v>1001</v>
      </c>
      <c r="K3435" s="2" t="s">
        <v>26091</v>
      </c>
      <c r="L3435" s="2" t="s">
        <v>51</v>
      </c>
      <c r="M3435" s="2" t="s">
        <v>1027</v>
      </c>
      <c r="N3435" s="2" t="s">
        <v>26094</v>
      </c>
      <c r="O3435" s="2"/>
      <c r="P3435" s="2" t="s">
        <v>37</v>
      </c>
      <c r="Q3435" s="4" t="n">
        <v>3999</v>
      </c>
      <c r="R3435" s="2" t="s">
        <v>56</v>
      </c>
      <c r="S3435" s="2" t="s">
        <v>80</v>
      </c>
      <c r="T3435" s="2" t="s">
        <v>40</v>
      </c>
      <c r="U3435" s="2" t="s">
        <v>26095</v>
      </c>
      <c r="V3435" s="2"/>
      <c r="W3435" s="2" t="s">
        <v>24648</v>
      </c>
      <c r="X3435" s="2" t="s">
        <v>43</v>
      </c>
      <c r="Y3435" s="2" t="s">
        <v>37</v>
      </c>
      <c r="Z3435" s="2" t="s">
        <v>44</v>
      </c>
      <c r="AA3435" s="2"/>
      <c r="AB3435" s="2"/>
      <c r="AC3435" s="2" t="s">
        <v>26096</v>
      </c>
      <c r="AD3435" s="2" t="s">
        <v>46</v>
      </c>
    </row>
    <row r="3436" customFormat="false" ht="15.7" hidden="false" customHeight="true" outlineLevel="0" collapsed="false">
      <c r="A3436" s="2"/>
      <c r="B3436" s="3" t="n">
        <f aca="false">DATE(2018,1,3)</f>
        <v>0</v>
      </c>
      <c r="C3436" s="3" t="n">
        <v>43103</v>
      </c>
      <c r="D3436" s="2" t="s">
        <v>26097</v>
      </c>
      <c r="F3436" s="2" t="s">
        <v>14130</v>
      </c>
      <c r="G3436" s="2" t="s">
        <v>26098</v>
      </c>
      <c r="H3436" s="2" t="s">
        <v>170</v>
      </c>
      <c r="I3436" s="2" t="s">
        <v>51</v>
      </c>
      <c r="J3436" s="2" t="s">
        <v>2873</v>
      </c>
      <c r="K3436" s="2" t="s">
        <v>26097</v>
      </c>
      <c r="L3436" s="2" t="s">
        <v>51</v>
      </c>
      <c r="M3436" s="2" t="s">
        <v>170</v>
      </c>
      <c r="N3436" s="2" t="s">
        <v>26099</v>
      </c>
      <c r="O3436" s="2"/>
      <c r="P3436" s="2" t="s">
        <v>37</v>
      </c>
      <c r="Q3436" s="4" t="n">
        <v>8731</v>
      </c>
      <c r="R3436" s="2" t="s">
        <v>56</v>
      </c>
      <c r="S3436" s="2" t="s">
        <v>92</v>
      </c>
      <c r="T3436" s="2" t="s">
        <v>403</v>
      </c>
      <c r="U3436" s="2" t="s">
        <v>26100</v>
      </c>
      <c r="V3436" s="2"/>
      <c r="W3436" s="2" t="s">
        <v>344</v>
      </c>
      <c r="X3436" s="2" t="s">
        <v>43</v>
      </c>
      <c r="Y3436" s="2" t="s">
        <v>37</v>
      </c>
      <c r="Z3436" s="2" t="s">
        <v>44</v>
      </c>
      <c r="AA3436" s="2"/>
      <c r="AB3436" s="2"/>
      <c r="AC3436" s="2" t="s">
        <v>26101</v>
      </c>
      <c r="AD3436" s="2" t="s">
        <v>46</v>
      </c>
    </row>
    <row r="3437" customFormat="false" ht="15.7" hidden="false" customHeight="true" outlineLevel="0" collapsed="false">
      <c r="A3437" s="2"/>
      <c r="B3437" s="3" t="n">
        <f aca="false">DATE(2018,1,3)</f>
        <v>0</v>
      </c>
      <c r="C3437" s="3" t="n">
        <v>43103</v>
      </c>
      <c r="D3437" s="2" t="s">
        <v>26102</v>
      </c>
      <c r="F3437" s="2" t="s">
        <v>14319</v>
      </c>
      <c r="G3437" s="2" t="s">
        <v>26103</v>
      </c>
      <c r="H3437" s="2" t="s">
        <v>130</v>
      </c>
      <c r="I3437" s="2" t="s">
        <v>51</v>
      </c>
      <c r="J3437" s="2" t="s">
        <v>9038</v>
      </c>
      <c r="K3437" s="2" t="s">
        <v>26102</v>
      </c>
      <c r="L3437" s="2" t="s">
        <v>51</v>
      </c>
      <c r="M3437" s="2" t="s">
        <v>130</v>
      </c>
      <c r="N3437" s="2" t="s">
        <v>26104</v>
      </c>
      <c r="O3437" s="2"/>
      <c r="P3437" s="2" t="s">
        <v>37</v>
      </c>
      <c r="Q3437" s="4" t="n">
        <v>8731</v>
      </c>
      <c r="R3437" s="2" t="s">
        <v>56</v>
      </c>
      <c r="S3437" s="2" t="s">
        <v>788</v>
      </c>
      <c r="T3437" s="2" t="s">
        <v>40</v>
      </c>
      <c r="U3437" s="2" t="s">
        <v>26105</v>
      </c>
      <c r="V3437" s="2"/>
      <c r="W3437" s="2" t="s">
        <v>2056</v>
      </c>
      <c r="X3437" s="2" t="s">
        <v>43</v>
      </c>
      <c r="Y3437" s="2" t="s">
        <v>37</v>
      </c>
      <c r="Z3437" s="2" t="s">
        <v>44</v>
      </c>
      <c r="AA3437" s="2"/>
      <c r="AB3437" s="2"/>
      <c r="AC3437" s="2" t="s">
        <v>26106</v>
      </c>
      <c r="AD3437" s="2" t="s">
        <v>46</v>
      </c>
    </row>
    <row r="3438" customFormat="false" ht="15.7" hidden="false" customHeight="true" outlineLevel="0" collapsed="false">
      <c r="A3438" s="2"/>
      <c r="B3438" s="3" t="n">
        <f aca="false">DATE(2018,1,3)</f>
        <v>0</v>
      </c>
      <c r="C3438" s="3" t="n">
        <v>43103</v>
      </c>
      <c r="D3438" s="2" t="s">
        <v>26107</v>
      </c>
      <c r="F3438" s="2" t="s">
        <v>26108</v>
      </c>
      <c r="G3438" s="2" t="s">
        <v>26109</v>
      </c>
      <c r="H3438" s="2" t="s">
        <v>26110</v>
      </c>
      <c r="I3438" s="2" t="s">
        <v>487</v>
      </c>
      <c r="J3438" s="2" t="s">
        <v>795</v>
      </c>
      <c r="K3438" s="2" t="s">
        <v>26107</v>
      </c>
      <c r="L3438" s="2" t="s">
        <v>487</v>
      </c>
      <c r="M3438" s="2" t="s">
        <v>26110</v>
      </c>
      <c r="N3438" s="2" t="s">
        <v>26111</v>
      </c>
      <c r="O3438" s="2"/>
      <c r="P3438" s="2" t="s">
        <v>37</v>
      </c>
      <c r="Q3438" s="4" t="n">
        <v>8731</v>
      </c>
      <c r="R3438" s="2" t="s">
        <v>56</v>
      </c>
      <c r="S3438" s="2" t="s">
        <v>507</v>
      </c>
      <c r="T3438" s="2" t="s">
        <v>40</v>
      </c>
      <c r="U3438" s="2" t="s">
        <v>26112</v>
      </c>
      <c r="V3438" s="2"/>
      <c r="W3438" s="2" t="s">
        <v>24948</v>
      </c>
      <c r="X3438" s="2" t="s">
        <v>43</v>
      </c>
      <c r="Y3438" s="2" t="s">
        <v>37</v>
      </c>
      <c r="Z3438" s="2" t="s">
        <v>44</v>
      </c>
      <c r="AA3438" s="2"/>
      <c r="AB3438" s="2"/>
      <c r="AC3438" s="2" t="s">
        <v>26113</v>
      </c>
      <c r="AD3438" s="2" t="s">
        <v>46</v>
      </c>
    </row>
    <row r="3439" customFormat="false" ht="15.7" hidden="false" customHeight="true" outlineLevel="0" collapsed="false">
      <c r="A3439" s="2"/>
      <c r="B3439" s="3" t="n">
        <f aca="false">DATE(2018,1,3)</f>
        <v>0</v>
      </c>
      <c r="C3439" s="3" t="n">
        <v>43103</v>
      </c>
      <c r="D3439" s="2" t="s">
        <v>26114</v>
      </c>
      <c r="F3439" s="2" t="s">
        <v>26115</v>
      </c>
      <c r="G3439" s="2" t="s">
        <v>26116</v>
      </c>
      <c r="H3439" s="2" t="s">
        <v>551</v>
      </c>
      <c r="I3439" s="2" t="s">
        <v>51</v>
      </c>
      <c r="J3439" s="2" t="s">
        <v>171</v>
      </c>
      <c r="K3439" s="2" t="s">
        <v>26114</v>
      </c>
      <c r="L3439" s="2" t="s">
        <v>51</v>
      </c>
      <c r="M3439" s="2" t="s">
        <v>551</v>
      </c>
      <c r="N3439" s="2" t="s">
        <v>26117</v>
      </c>
      <c r="O3439" s="2"/>
      <c r="P3439" s="2" t="s">
        <v>37</v>
      </c>
      <c r="Q3439" s="4" t="n">
        <v>8731</v>
      </c>
      <c r="R3439" s="2" t="s">
        <v>56</v>
      </c>
      <c r="S3439" s="2" t="s">
        <v>92</v>
      </c>
      <c r="T3439" s="2" t="s">
        <v>403</v>
      </c>
      <c r="U3439" s="2" t="s">
        <v>26118</v>
      </c>
      <c r="V3439" s="2"/>
      <c r="W3439" s="2" t="s">
        <v>16412</v>
      </c>
      <c r="X3439" s="2" t="s">
        <v>43</v>
      </c>
      <c r="Y3439" s="2" t="s">
        <v>37</v>
      </c>
      <c r="Z3439" s="2" t="s">
        <v>44</v>
      </c>
      <c r="AA3439" s="2"/>
      <c r="AB3439" s="2"/>
      <c r="AC3439" s="2" t="s">
        <v>26119</v>
      </c>
      <c r="AD3439" s="2" t="s">
        <v>46</v>
      </c>
    </row>
    <row r="3440" customFormat="false" ht="15.7" hidden="false" customHeight="true" outlineLevel="0" collapsed="false">
      <c r="A3440" s="2"/>
      <c r="B3440" s="3" t="n">
        <f aca="false">DATE(2018,1,3)</f>
        <v>0</v>
      </c>
      <c r="C3440" s="3" t="n">
        <v>43103</v>
      </c>
      <c r="D3440" s="2" t="s">
        <v>26120</v>
      </c>
      <c r="F3440" s="2" t="s">
        <v>26121</v>
      </c>
      <c r="G3440" s="2" t="s">
        <v>26122</v>
      </c>
      <c r="H3440" s="2" t="s">
        <v>26123</v>
      </c>
      <c r="I3440" s="2" t="s">
        <v>965</v>
      </c>
      <c r="J3440" s="2" t="s">
        <v>132</v>
      </c>
      <c r="K3440" s="2" t="s">
        <v>26120</v>
      </c>
      <c r="L3440" s="2" t="s">
        <v>965</v>
      </c>
      <c r="M3440" s="2" t="s">
        <v>26123</v>
      </c>
      <c r="N3440" s="2" t="s">
        <v>26124</v>
      </c>
      <c r="O3440" s="2"/>
      <c r="P3440" s="2" t="s">
        <v>37</v>
      </c>
      <c r="Q3440" s="4" t="n">
        <v>6794</v>
      </c>
      <c r="R3440" s="2" t="s">
        <v>136</v>
      </c>
      <c r="S3440" s="2" t="s">
        <v>39</v>
      </c>
      <c r="T3440" s="2" t="s">
        <v>40</v>
      </c>
      <c r="U3440" s="2" t="s">
        <v>26125</v>
      </c>
      <c r="V3440" s="2"/>
      <c r="W3440" s="2" t="s">
        <v>206</v>
      </c>
      <c r="X3440" s="2" t="s">
        <v>43</v>
      </c>
      <c r="Y3440" s="2" t="s">
        <v>37</v>
      </c>
      <c r="Z3440" s="2" t="s">
        <v>44</v>
      </c>
      <c r="AA3440" s="2"/>
      <c r="AB3440" s="2"/>
      <c r="AC3440" s="2" t="s">
        <v>26126</v>
      </c>
      <c r="AD3440" s="2" t="s">
        <v>46</v>
      </c>
    </row>
    <row r="3441" customFormat="false" ht="15.7" hidden="false" customHeight="true" outlineLevel="0" collapsed="false">
      <c r="A3441" s="2"/>
      <c r="B3441" s="3" t="n">
        <f aca="false">DATE(2018,1,3)</f>
        <v>0</v>
      </c>
      <c r="C3441" s="3" t="n">
        <v>43103</v>
      </c>
      <c r="D3441" s="2" t="s">
        <v>26127</v>
      </c>
      <c r="F3441" s="2" t="s">
        <v>26128</v>
      </c>
      <c r="G3441" s="2" t="s">
        <v>26129</v>
      </c>
      <c r="H3441" s="2" t="s">
        <v>26130</v>
      </c>
      <c r="I3441" s="2" t="s">
        <v>25148</v>
      </c>
      <c r="J3441" s="2" t="s">
        <v>35</v>
      </c>
      <c r="K3441" s="2" t="s">
        <v>26127</v>
      </c>
      <c r="L3441" s="2" t="s">
        <v>25148</v>
      </c>
      <c r="M3441" s="2" t="s">
        <v>26130</v>
      </c>
      <c r="N3441" s="2" t="s">
        <v>26131</v>
      </c>
      <c r="O3441" s="2"/>
      <c r="P3441" s="2" t="s">
        <v>37</v>
      </c>
      <c r="Q3441" s="4" t="n">
        <v>8731</v>
      </c>
      <c r="R3441" s="2" t="s">
        <v>136</v>
      </c>
      <c r="S3441" s="2" t="s">
        <v>39</v>
      </c>
      <c r="T3441" s="2" t="s">
        <v>40</v>
      </c>
      <c r="U3441" s="2" t="s">
        <v>26132</v>
      </c>
      <c r="V3441" s="2"/>
      <c r="W3441" s="2" t="s">
        <v>26064</v>
      </c>
      <c r="X3441" s="2" t="s">
        <v>43</v>
      </c>
      <c r="Y3441" s="2" t="s">
        <v>37</v>
      </c>
      <c r="Z3441" s="2" t="s">
        <v>44</v>
      </c>
      <c r="AA3441" s="2"/>
      <c r="AB3441" s="2"/>
      <c r="AC3441" s="2" t="s">
        <v>26133</v>
      </c>
      <c r="AD3441" s="2" t="s">
        <v>46</v>
      </c>
    </row>
    <row r="3442" customFormat="false" ht="15.7" hidden="false" customHeight="true" outlineLevel="0" collapsed="false">
      <c r="A3442" s="2"/>
      <c r="B3442" s="3" t="n">
        <f aca="false">DATE(2018,1,4)</f>
        <v>0</v>
      </c>
      <c r="C3442" s="3" t="n">
        <v>43104</v>
      </c>
      <c r="D3442" s="2" t="s">
        <v>26134</v>
      </c>
      <c r="F3442" s="2" t="s">
        <v>26135</v>
      </c>
      <c r="G3442" s="2" t="s">
        <v>26136</v>
      </c>
      <c r="H3442" s="2" t="s">
        <v>523</v>
      </c>
      <c r="I3442" s="2" t="s">
        <v>51</v>
      </c>
      <c r="J3442" s="2" t="s">
        <v>2338</v>
      </c>
      <c r="K3442" s="2" t="s">
        <v>26134</v>
      </c>
      <c r="L3442" s="2" t="s">
        <v>51</v>
      </c>
      <c r="M3442" s="2" t="s">
        <v>16218</v>
      </c>
      <c r="N3442" s="2" t="s">
        <v>26137</v>
      </c>
      <c r="O3442" s="2"/>
      <c r="P3442" s="2" t="s">
        <v>79</v>
      </c>
      <c r="Q3442" s="4" t="n">
        <v>6794</v>
      </c>
      <c r="R3442" s="2" t="s">
        <v>56</v>
      </c>
      <c r="S3442" s="2" t="s">
        <v>7553</v>
      </c>
      <c r="T3442" s="2" t="s">
        <v>40</v>
      </c>
      <c r="U3442" s="2" t="s">
        <v>26138</v>
      </c>
      <c r="V3442" s="2"/>
      <c r="W3442" s="2" t="s">
        <v>82</v>
      </c>
      <c r="X3442" s="2" t="s">
        <v>43</v>
      </c>
      <c r="Y3442" s="2" t="s">
        <v>37</v>
      </c>
      <c r="Z3442" s="2" t="s">
        <v>44</v>
      </c>
      <c r="AA3442" s="2"/>
      <c r="AB3442" s="2"/>
      <c r="AC3442" s="2" t="s">
        <v>26139</v>
      </c>
      <c r="AD3442" s="2" t="s">
        <v>46</v>
      </c>
    </row>
    <row r="3443" customFormat="false" ht="15.7" hidden="false" customHeight="true" outlineLevel="0" collapsed="false">
      <c r="A3443" s="2"/>
      <c r="B3443" s="3" t="n">
        <f aca="false">DATE(2018,1,4)</f>
        <v>0</v>
      </c>
      <c r="C3443" s="3" t="n">
        <v>43104</v>
      </c>
      <c r="D3443" s="2" t="s">
        <v>26140</v>
      </c>
      <c r="F3443" s="2" t="s">
        <v>26141</v>
      </c>
      <c r="G3443" s="2" t="s">
        <v>26142</v>
      </c>
      <c r="H3443" s="2" t="s">
        <v>26143</v>
      </c>
      <c r="I3443" s="2" t="s">
        <v>15494</v>
      </c>
      <c r="J3443" s="2" t="s">
        <v>1983</v>
      </c>
      <c r="K3443" s="2" t="s">
        <v>26144</v>
      </c>
      <c r="L3443" s="2" t="s">
        <v>100</v>
      </c>
      <c r="M3443" s="2" t="s">
        <v>26143</v>
      </c>
      <c r="N3443" s="2" t="s">
        <v>26145</v>
      </c>
      <c r="O3443" s="2"/>
      <c r="P3443" s="2" t="s">
        <v>37</v>
      </c>
      <c r="Q3443" s="4" t="n">
        <v>8731</v>
      </c>
      <c r="R3443" s="2" t="s">
        <v>56</v>
      </c>
      <c r="S3443" s="2" t="s">
        <v>360</v>
      </c>
      <c r="T3443" s="2" t="s">
        <v>40</v>
      </c>
      <c r="U3443" s="2" t="s">
        <v>26146</v>
      </c>
      <c r="V3443" s="2"/>
      <c r="W3443" s="2" t="s">
        <v>26147</v>
      </c>
      <c r="X3443" s="2" t="s">
        <v>43</v>
      </c>
      <c r="Y3443" s="2" t="s">
        <v>37</v>
      </c>
      <c r="Z3443" s="2" t="s">
        <v>44</v>
      </c>
      <c r="AA3443" s="2"/>
      <c r="AB3443" s="2"/>
      <c r="AC3443" s="2" t="s">
        <v>26148</v>
      </c>
      <c r="AD3443" s="2" t="s">
        <v>46</v>
      </c>
    </row>
    <row r="3444" customFormat="false" ht="15.7" hidden="false" customHeight="true" outlineLevel="0" collapsed="false">
      <c r="A3444" s="2"/>
      <c r="B3444" s="3" t="n">
        <f aca="false">DATE(2018,1,4)</f>
        <v>0</v>
      </c>
      <c r="C3444" s="3" t="n">
        <v>43104</v>
      </c>
      <c r="D3444" s="2" t="s">
        <v>26149</v>
      </c>
      <c r="F3444" s="2" t="s">
        <v>26150</v>
      </c>
      <c r="G3444" s="2" t="s">
        <v>26151</v>
      </c>
      <c r="H3444" s="2" t="s">
        <v>2918</v>
      </c>
      <c r="I3444" s="2" t="s">
        <v>10853</v>
      </c>
      <c r="J3444" s="2" t="s">
        <v>26152</v>
      </c>
      <c r="K3444" s="2" t="s">
        <v>26153</v>
      </c>
      <c r="L3444" s="2" t="s">
        <v>10856</v>
      </c>
      <c r="M3444" s="2" t="s">
        <v>2918</v>
      </c>
      <c r="N3444" s="2" t="s">
        <v>26154</v>
      </c>
      <c r="O3444" s="2"/>
      <c r="P3444" s="2" t="s">
        <v>79</v>
      </c>
      <c r="Q3444" s="4" t="n">
        <v>6794</v>
      </c>
      <c r="R3444" s="2" t="s">
        <v>136</v>
      </c>
      <c r="S3444" s="2" t="s">
        <v>39</v>
      </c>
      <c r="T3444" s="2" t="s">
        <v>40</v>
      </c>
      <c r="U3444" s="2" t="s">
        <v>26155</v>
      </c>
      <c r="V3444" s="2"/>
      <c r="W3444" s="2" t="s">
        <v>15545</v>
      </c>
      <c r="X3444" s="2" t="s">
        <v>43</v>
      </c>
      <c r="Y3444" s="2" t="s">
        <v>37</v>
      </c>
      <c r="Z3444" s="2" t="s">
        <v>916</v>
      </c>
      <c r="AA3444" s="2"/>
      <c r="AB3444" s="2"/>
      <c r="AC3444" s="2" t="s">
        <v>26156</v>
      </c>
      <c r="AD3444" s="2" t="s">
        <v>46</v>
      </c>
    </row>
    <row r="3445" customFormat="false" ht="15.7" hidden="false" customHeight="true" outlineLevel="0" collapsed="false">
      <c r="A3445" s="2"/>
      <c r="B3445" s="3" t="n">
        <f aca="false">DATE(2018,1,4)</f>
        <v>0</v>
      </c>
      <c r="C3445" s="3" t="n">
        <v>43104</v>
      </c>
      <c r="D3445" s="2" t="s">
        <v>26157</v>
      </c>
      <c r="F3445" s="2" t="s">
        <v>26158</v>
      </c>
      <c r="G3445" s="2" t="s">
        <v>26159</v>
      </c>
      <c r="H3445" s="2" t="s">
        <v>240</v>
      </c>
      <c r="I3445" s="2" t="s">
        <v>51</v>
      </c>
      <c r="J3445" s="2" t="s">
        <v>1466</v>
      </c>
      <c r="K3445" s="2" t="s">
        <v>26157</v>
      </c>
      <c r="L3445" s="2" t="s">
        <v>51</v>
      </c>
      <c r="M3445" s="2" t="s">
        <v>240</v>
      </c>
      <c r="N3445" s="2" t="s">
        <v>26160</v>
      </c>
      <c r="O3445" s="2"/>
      <c r="P3445" s="2" t="s">
        <v>37</v>
      </c>
      <c r="Q3445" s="4" t="n">
        <v>8731</v>
      </c>
      <c r="R3445" s="2" t="s">
        <v>56</v>
      </c>
      <c r="S3445" s="2" t="s">
        <v>1226</v>
      </c>
      <c r="T3445" s="2" t="s">
        <v>403</v>
      </c>
      <c r="U3445" s="2" t="s">
        <v>26161</v>
      </c>
      <c r="V3445" s="2"/>
      <c r="W3445" s="2" t="s">
        <v>344</v>
      </c>
      <c r="X3445" s="2" t="s">
        <v>43</v>
      </c>
      <c r="Y3445" s="2" t="s">
        <v>37</v>
      </c>
      <c r="Z3445" s="2" t="s">
        <v>44</v>
      </c>
      <c r="AA3445" s="2"/>
      <c r="AB3445" s="2"/>
      <c r="AC3445" s="2" t="s">
        <v>26162</v>
      </c>
      <c r="AD3445" s="2" t="s">
        <v>46</v>
      </c>
    </row>
    <row r="3446" customFormat="false" ht="15.7" hidden="false" customHeight="true" outlineLevel="0" collapsed="false">
      <c r="A3446" s="2"/>
      <c r="B3446" s="3" t="n">
        <f aca="false">DATE(2018,1,4)</f>
        <v>0</v>
      </c>
      <c r="C3446" s="3" t="n">
        <v>43104</v>
      </c>
      <c r="D3446" s="2" t="s">
        <v>26163</v>
      </c>
      <c r="F3446" s="2" t="s">
        <v>26164</v>
      </c>
      <c r="G3446" s="2" t="s">
        <v>26165</v>
      </c>
      <c r="H3446" s="2" t="s">
        <v>4803</v>
      </c>
      <c r="I3446" s="2" t="s">
        <v>219</v>
      </c>
      <c r="J3446" s="2" t="s">
        <v>671</v>
      </c>
      <c r="K3446" s="2" t="s">
        <v>26166</v>
      </c>
      <c r="L3446" s="2" t="s">
        <v>219</v>
      </c>
      <c r="M3446" s="2" t="s">
        <v>3384</v>
      </c>
      <c r="N3446" s="2" t="s">
        <v>26167</v>
      </c>
      <c r="O3446" s="2"/>
      <c r="P3446" s="2" t="s">
        <v>37</v>
      </c>
      <c r="Q3446" s="4" t="n">
        <v>8731</v>
      </c>
      <c r="R3446" s="2" t="s">
        <v>38</v>
      </c>
      <c r="S3446" s="2" t="s">
        <v>39</v>
      </c>
      <c r="T3446" s="2" t="s">
        <v>40</v>
      </c>
      <c r="U3446" s="2" t="s">
        <v>26168</v>
      </c>
      <c r="V3446" s="2"/>
      <c r="W3446" s="2" t="s">
        <v>42</v>
      </c>
      <c r="X3446" s="2" t="s">
        <v>43</v>
      </c>
      <c r="Y3446" s="2" t="s">
        <v>37</v>
      </c>
      <c r="Z3446" s="2" t="s">
        <v>44</v>
      </c>
      <c r="AA3446" s="2"/>
      <c r="AB3446" s="2"/>
      <c r="AC3446" s="2" t="s">
        <v>26169</v>
      </c>
      <c r="AD3446" s="2" t="s">
        <v>46</v>
      </c>
    </row>
    <row r="3447" customFormat="false" ht="15.7" hidden="false" customHeight="true" outlineLevel="0" collapsed="false">
      <c r="A3447" s="2"/>
      <c r="B3447" s="3" t="n">
        <f aca="false">DATE(2018,1,4)</f>
        <v>0</v>
      </c>
      <c r="C3447" s="3" t="n">
        <v>43104</v>
      </c>
      <c r="D3447" s="2" t="s">
        <v>26170</v>
      </c>
      <c r="F3447" s="2" t="s">
        <v>26171</v>
      </c>
      <c r="G3447" s="2" t="s">
        <v>26172</v>
      </c>
      <c r="H3447" s="2" t="s">
        <v>26173</v>
      </c>
      <c r="I3447" s="2" t="s">
        <v>51</v>
      </c>
      <c r="J3447" s="2" t="s">
        <v>26174</v>
      </c>
      <c r="K3447" s="2" t="s">
        <v>26170</v>
      </c>
      <c r="L3447" s="2" t="s">
        <v>51</v>
      </c>
      <c r="M3447" s="2" t="s">
        <v>26173</v>
      </c>
      <c r="N3447" s="2" t="s">
        <v>26175</v>
      </c>
      <c r="O3447" s="2"/>
      <c r="P3447" s="2" t="s">
        <v>37</v>
      </c>
      <c r="Q3447" s="4" t="n">
        <v>6794</v>
      </c>
      <c r="R3447" s="2" t="s">
        <v>56</v>
      </c>
      <c r="S3447" s="2" t="s">
        <v>92</v>
      </c>
      <c r="T3447" s="2" t="s">
        <v>403</v>
      </c>
      <c r="U3447" s="2" t="s">
        <v>26176</v>
      </c>
      <c r="V3447" s="2"/>
      <c r="W3447" s="2" t="s">
        <v>15545</v>
      </c>
      <c r="X3447" s="2" t="s">
        <v>43</v>
      </c>
      <c r="Y3447" s="2" t="s">
        <v>37</v>
      </c>
      <c r="Z3447" s="2" t="s">
        <v>44</v>
      </c>
      <c r="AA3447" s="2"/>
      <c r="AB3447" s="2"/>
      <c r="AC3447" s="2" t="s">
        <v>26177</v>
      </c>
      <c r="AD3447" s="2" t="s">
        <v>46</v>
      </c>
    </row>
    <row r="3448" customFormat="false" ht="15.7" hidden="false" customHeight="true" outlineLevel="0" collapsed="false">
      <c r="A3448" s="2"/>
      <c r="B3448" s="3" t="n">
        <f aca="false">DATE(2018,1,5)</f>
        <v>0</v>
      </c>
      <c r="C3448" s="3" t="n">
        <v>43105</v>
      </c>
      <c r="D3448" s="2" t="s">
        <v>26178</v>
      </c>
      <c r="F3448" s="2" t="s">
        <v>1138</v>
      </c>
      <c r="G3448" s="2" t="s">
        <v>26179</v>
      </c>
      <c r="H3448" s="2" t="s">
        <v>305</v>
      </c>
      <c r="I3448" s="2" t="s">
        <v>26180</v>
      </c>
      <c r="J3448" s="2" t="s">
        <v>35</v>
      </c>
      <c r="K3448" s="2" t="s">
        <v>26178</v>
      </c>
      <c r="L3448" s="2" t="s">
        <v>26180</v>
      </c>
      <c r="M3448" s="2" t="s">
        <v>305</v>
      </c>
      <c r="N3448" s="2" t="s">
        <v>26181</v>
      </c>
      <c r="O3448" s="2"/>
      <c r="P3448" s="2" t="s">
        <v>37</v>
      </c>
      <c r="Q3448" s="4" t="n">
        <v>2836</v>
      </c>
      <c r="R3448" s="2"/>
      <c r="S3448" s="2"/>
      <c r="T3448" s="2" t="s">
        <v>403</v>
      </c>
      <c r="U3448" s="2" t="s">
        <v>26182</v>
      </c>
      <c r="V3448" s="2"/>
      <c r="W3448" s="2" t="s">
        <v>138</v>
      </c>
      <c r="X3448" s="2" t="s">
        <v>43</v>
      </c>
      <c r="Y3448" s="2" t="s">
        <v>37</v>
      </c>
      <c r="Z3448" s="2" t="s">
        <v>44</v>
      </c>
      <c r="AA3448" s="2"/>
      <c r="AB3448" s="2"/>
      <c r="AC3448" s="2" t="s">
        <v>26183</v>
      </c>
      <c r="AD3448" s="2" t="s">
        <v>46</v>
      </c>
    </row>
    <row r="3449" customFormat="false" ht="15.7" hidden="false" customHeight="true" outlineLevel="0" collapsed="false">
      <c r="A3449" s="2"/>
      <c r="B3449" s="3" t="n">
        <f aca="false">DATE(2018,1,5)</f>
        <v>0</v>
      </c>
      <c r="C3449" s="3" t="n">
        <v>43105</v>
      </c>
      <c r="D3449" s="2" t="s">
        <v>26184</v>
      </c>
      <c r="F3449" s="2" t="s">
        <v>5969</v>
      </c>
      <c r="G3449" s="2" t="s">
        <v>26185</v>
      </c>
      <c r="H3449" s="2" t="s">
        <v>3500</v>
      </c>
      <c r="I3449" s="2" t="s">
        <v>4325</v>
      </c>
      <c r="J3449" s="2" t="s">
        <v>35</v>
      </c>
      <c r="K3449" s="2" t="s">
        <v>26186</v>
      </c>
      <c r="L3449" s="2" t="s">
        <v>4325</v>
      </c>
      <c r="M3449" s="2" t="s">
        <v>3500</v>
      </c>
      <c r="N3449" s="2" t="s">
        <v>26187</v>
      </c>
      <c r="O3449" s="2"/>
      <c r="P3449" s="2" t="s">
        <v>37</v>
      </c>
      <c r="Q3449" s="4" t="n">
        <v>3711</v>
      </c>
      <c r="R3449" s="2"/>
      <c r="S3449" s="2"/>
      <c r="T3449" s="2" t="s">
        <v>40</v>
      </c>
      <c r="U3449" s="2" t="s">
        <v>26188</v>
      </c>
      <c r="V3449" s="2"/>
      <c r="W3449" s="2" t="s">
        <v>744</v>
      </c>
      <c r="X3449" s="2" t="s">
        <v>43</v>
      </c>
      <c r="Y3449" s="2" t="s">
        <v>37</v>
      </c>
      <c r="Z3449" s="2" t="s">
        <v>44</v>
      </c>
      <c r="AA3449" s="2"/>
      <c r="AB3449" s="2"/>
      <c r="AC3449" s="2" t="s">
        <v>26189</v>
      </c>
      <c r="AD3449" s="2" t="s">
        <v>46</v>
      </c>
    </row>
    <row r="3450" customFormat="false" ht="15.7" hidden="false" customHeight="true" outlineLevel="0" collapsed="false">
      <c r="A3450" s="2"/>
      <c r="B3450" s="3" t="n">
        <f aca="false">DATE(2018,1,5)</f>
        <v>0</v>
      </c>
      <c r="C3450" s="3" t="n">
        <v>43105</v>
      </c>
      <c r="D3450" s="2" t="s">
        <v>26190</v>
      </c>
      <c r="F3450" s="2" t="s">
        <v>26191</v>
      </c>
      <c r="G3450" s="2" t="s">
        <v>26192</v>
      </c>
      <c r="H3450" s="2" t="s">
        <v>368</v>
      </c>
      <c r="I3450" s="2" t="s">
        <v>899</v>
      </c>
      <c r="J3450" s="2" t="s">
        <v>3492</v>
      </c>
      <c r="K3450" s="2" t="s">
        <v>26193</v>
      </c>
      <c r="L3450" s="2" t="s">
        <v>899</v>
      </c>
      <c r="M3450" s="2" t="s">
        <v>368</v>
      </c>
      <c r="N3450" s="2" t="s">
        <v>26194</v>
      </c>
      <c r="O3450" s="2"/>
      <c r="P3450" s="2" t="s">
        <v>79</v>
      </c>
      <c r="Q3450" s="4" t="n">
        <v>6794</v>
      </c>
      <c r="R3450" s="2" t="s">
        <v>136</v>
      </c>
      <c r="S3450" s="2" t="s">
        <v>39</v>
      </c>
      <c r="T3450" s="2" t="s">
        <v>40</v>
      </c>
      <c r="U3450" s="2" t="s">
        <v>26195</v>
      </c>
      <c r="V3450" s="2"/>
      <c r="W3450" s="2" t="s">
        <v>206</v>
      </c>
      <c r="X3450" s="2" t="s">
        <v>43</v>
      </c>
      <c r="Y3450" s="2" t="s">
        <v>37</v>
      </c>
      <c r="Z3450" s="2" t="s">
        <v>44</v>
      </c>
      <c r="AA3450" s="2"/>
      <c r="AB3450" s="2"/>
      <c r="AC3450" s="2" t="s">
        <v>26196</v>
      </c>
      <c r="AD3450" s="2" t="s">
        <v>46</v>
      </c>
    </row>
    <row r="3451" customFormat="false" ht="15.7" hidden="false" customHeight="true" outlineLevel="0" collapsed="false">
      <c r="A3451" s="2"/>
      <c r="B3451" s="3" t="n">
        <f aca="false">DATE(2018,1,7)</f>
        <v>0</v>
      </c>
      <c r="C3451" s="3" t="n">
        <v>43107</v>
      </c>
      <c r="D3451" s="2" t="s">
        <v>15926</v>
      </c>
      <c r="F3451" s="2" t="s">
        <v>26197</v>
      </c>
      <c r="G3451" s="2" t="s">
        <v>26198</v>
      </c>
      <c r="H3451" s="2" t="s">
        <v>63</v>
      </c>
      <c r="I3451" s="2" t="s">
        <v>568</v>
      </c>
      <c r="J3451" s="2" t="s">
        <v>625</v>
      </c>
      <c r="K3451" s="2" t="s">
        <v>15926</v>
      </c>
      <c r="L3451" s="2" t="s">
        <v>568</v>
      </c>
      <c r="M3451" s="2" t="s">
        <v>63</v>
      </c>
      <c r="N3451" s="2" t="s">
        <v>26199</v>
      </c>
      <c r="O3451" s="2"/>
      <c r="P3451" s="2" t="s">
        <v>37</v>
      </c>
      <c r="Q3451" s="4" t="n">
        <v>8731</v>
      </c>
      <c r="R3451" s="2" t="s">
        <v>136</v>
      </c>
      <c r="S3451" s="2" t="s">
        <v>39</v>
      </c>
      <c r="T3451" s="2" t="s">
        <v>40</v>
      </c>
      <c r="U3451" s="2" t="s">
        <v>26200</v>
      </c>
      <c r="V3451" s="2"/>
      <c r="W3451" s="2" t="s">
        <v>344</v>
      </c>
      <c r="X3451" s="2" t="s">
        <v>43</v>
      </c>
      <c r="Y3451" s="2" t="s">
        <v>37</v>
      </c>
      <c r="Z3451" s="2" t="s">
        <v>44</v>
      </c>
      <c r="AA3451" s="2"/>
      <c r="AB3451" s="2"/>
      <c r="AC3451" s="2" t="s">
        <v>26201</v>
      </c>
      <c r="AD3451" s="2" t="s">
        <v>46</v>
      </c>
    </row>
    <row r="3452" customFormat="false" ht="15.7" hidden="false" customHeight="true" outlineLevel="0" collapsed="false">
      <c r="A3452" s="2"/>
      <c r="B3452" s="3" t="n">
        <f aca="false">DATE(2018,1,7)</f>
        <v>0</v>
      </c>
      <c r="C3452" s="3" t="n">
        <v>43107</v>
      </c>
      <c r="D3452" s="2" t="s">
        <v>26202</v>
      </c>
      <c r="F3452" s="2" t="s">
        <v>23707</v>
      </c>
      <c r="G3452" s="2" t="s">
        <v>26203</v>
      </c>
      <c r="H3452" s="2" t="s">
        <v>1101</v>
      </c>
      <c r="I3452" s="2" t="s">
        <v>4325</v>
      </c>
      <c r="J3452" s="2" t="s">
        <v>35</v>
      </c>
      <c r="K3452" s="2" t="s">
        <v>26202</v>
      </c>
      <c r="L3452" s="2" t="s">
        <v>4325</v>
      </c>
      <c r="M3452" s="2" t="s">
        <v>1101</v>
      </c>
      <c r="N3452" s="2" t="s">
        <v>26204</v>
      </c>
      <c r="O3452" s="2"/>
      <c r="P3452" s="2" t="s">
        <v>79</v>
      </c>
      <c r="Q3452" s="4" t="n">
        <v>8731</v>
      </c>
      <c r="R3452" s="2" t="s">
        <v>402</v>
      </c>
      <c r="S3452" s="2" t="s">
        <v>39</v>
      </c>
      <c r="T3452" s="2" t="s">
        <v>40</v>
      </c>
      <c r="U3452" s="2" t="s">
        <v>26205</v>
      </c>
      <c r="V3452" s="2"/>
      <c r="W3452" s="2" t="s">
        <v>82</v>
      </c>
      <c r="X3452" s="2" t="s">
        <v>43</v>
      </c>
      <c r="Y3452" s="2" t="s">
        <v>37</v>
      </c>
      <c r="Z3452" s="2" t="s">
        <v>44</v>
      </c>
      <c r="AA3452" s="2"/>
      <c r="AB3452" s="2"/>
      <c r="AC3452" s="2" t="s">
        <v>26206</v>
      </c>
      <c r="AD3452" s="2" t="s">
        <v>46</v>
      </c>
    </row>
    <row r="3453" customFormat="false" ht="15.7" hidden="false" customHeight="true" outlineLevel="0" collapsed="false">
      <c r="A3453" s="2"/>
      <c r="B3453" s="3" t="n">
        <f aca="false">DATE(2018,1,8)</f>
        <v>0</v>
      </c>
      <c r="C3453" s="3" t="n">
        <v>43108</v>
      </c>
      <c r="D3453" s="2" t="s">
        <v>26207</v>
      </c>
      <c r="F3453" s="2" t="s">
        <v>26208</v>
      </c>
      <c r="G3453" s="2" t="s">
        <v>26209</v>
      </c>
      <c r="H3453" s="2" t="s">
        <v>130</v>
      </c>
      <c r="I3453" s="2" t="s">
        <v>180</v>
      </c>
      <c r="J3453" s="2" t="s">
        <v>1891</v>
      </c>
      <c r="K3453" s="2" t="s">
        <v>26210</v>
      </c>
      <c r="L3453" s="2" t="s">
        <v>4179</v>
      </c>
      <c r="M3453" s="2" t="s">
        <v>130</v>
      </c>
      <c r="N3453" s="2" t="s">
        <v>26211</v>
      </c>
      <c r="O3453" s="2"/>
      <c r="P3453" s="2" t="s">
        <v>37</v>
      </c>
      <c r="Q3453" s="4" t="n">
        <v>4412</v>
      </c>
      <c r="R3453" s="2" t="s">
        <v>136</v>
      </c>
      <c r="S3453" s="2" t="s">
        <v>39</v>
      </c>
      <c r="T3453" s="2" t="s">
        <v>40</v>
      </c>
      <c r="U3453" s="2" t="s">
        <v>26212</v>
      </c>
      <c r="V3453" s="2"/>
      <c r="W3453" s="2" t="s">
        <v>26213</v>
      </c>
      <c r="X3453" s="2" t="s">
        <v>43</v>
      </c>
      <c r="Y3453" s="2" t="s">
        <v>37</v>
      </c>
      <c r="Z3453" s="2" t="s">
        <v>44</v>
      </c>
      <c r="AA3453" s="2"/>
      <c r="AB3453" s="2"/>
      <c r="AC3453" s="2" t="s">
        <v>26214</v>
      </c>
      <c r="AD3453" s="2" t="s">
        <v>46</v>
      </c>
    </row>
    <row r="3454" customFormat="false" ht="15.7" hidden="false" customHeight="true" outlineLevel="0" collapsed="false">
      <c r="A3454" s="2"/>
      <c r="B3454" s="3" t="n">
        <f aca="false">DATE(2018,1,8)</f>
        <v>0</v>
      </c>
      <c r="C3454" s="3" t="n">
        <v>43108</v>
      </c>
      <c r="D3454" s="2" t="s">
        <v>26215</v>
      </c>
      <c r="F3454" s="2" t="s">
        <v>26216</v>
      </c>
      <c r="G3454" s="2" t="s">
        <v>26217</v>
      </c>
      <c r="H3454" s="2" t="s">
        <v>2319</v>
      </c>
      <c r="I3454" s="2" t="s">
        <v>670</v>
      </c>
      <c r="J3454" s="2" t="s">
        <v>65</v>
      </c>
      <c r="K3454" s="2" t="s">
        <v>26218</v>
      </c>
      <c r="L3454" s="2" t="s">
        <v>670</v>
      </c>
      <c r="M3454" s="2" t="s">
        <v>26219</v>
      </c>
      <c r="N3454" s="2" t="s">
        <v>26220</v>
      </c>
      <c r="O3454" s="2"/>
      <c r="P3454" s="2" t="s">
        <v>79</v>
      </c>
      <c r="Q3454" s="4" t="n">
        <v>8099</v>
      </c>
      <c r="R3454" s="2" t="s">
        <v>402</v>
      </c>
      <c r="S3454" s="2" t="s">
        <v>39</v>
      </c>
      <c r="T3454" s="2" t="s">
        <v>40</v>
      </c>
      <c r="U3454" s="2" t="s">
        <v>26221</v>
      </c>
      <c r="V3454" s="2"/>
      <c r="W3454" s="2" t="s">
        <v>26222</v>
      </c>
      <c r="X3454" s="2" t="s">
        <v>43</v>
      </c>
      <c r="Y3454" s="2" t="s">
        <v>37</v>
      </c>
      <c r="Z3454" s="2" t="s">
        <v>44</v>
      </c>
      <c r="AA3454" s="2"/>
      <c r="AB3454" s="2"/>
      <c r="AC3454" s="2" t="s">
        <v>26223</v>
      </c>
      <c r="AD3454" s="2" t="s">
        <v>46</v>
      </c>
    </row>
    <row r="3455" customFormat="false" ht="15.7" hidden="false" customHeight="true" outlineLevel="0" collapsed="false">
      <c r="A3455" s="2"/>
      <c r="B3455" s="3" t="n">
        <f aca="false">DATE(2018,1,8)</f>
        <v>0</v>
      </c>
      <c r="C3455" s="3" t="n">
        <v>43108</v>
      </c>
      <c r="D3455" s="2" t="s">
        <v>26224</v>
      </c>
      <c r="F3455" s="2" t="s">
        <v>26225</v>
      </c>
      <c r="G3455" s="2" t="s">
        <v>26226</v>
      </c>
      <c r="H3455" s="2" t="s">
        <v>26227</v>
      </c>
      <c r="I3455" s="2" t="s">
        <v>51</v>
      </c>
      <c r="J3455" s="2" t="s">
        <v>8040</v>
      </c>
      <c r="K3455" s="2" t="s">
        <v>26228</v>
      </c>
      <c r="L3455" s="2" t="s">
        <v>88</v>
      </c>
      <c r="M3455" s="2" t="s">
        <v>26229</v>
      </c>
      <c r="N3455" s="2" t="s">
        <v>26230</v>
      </c>
      <c r="O3455" s="2"/>
      <c r="P3455" s="2" t="s">
        <v>37</v>
      </c>
      <c r="Q3455" s="4" t="n">
        <v>8731</v>
      </c>
      <c r="R3455" s="2" t="s">
        <v>56</v>
      </c>
      <c r="S3455" s="2"/>
      <c r="T3455" s="2" t="s">
        <v>40</v>
      </c>
      <c r="U3455" s="2" t="s">
        <v>26231</v>
      </c>
      <c r="V3455" s="2"/>
      <c r="W3455" s="2" t="s">
        <v>23324</v>
      </c>
      <c r="X3455" s="2" t="s">
        <v>43</v>
      </c>
      <c r="Y3455" s="2" t="s">
        <v>37</v>
      </c>
      <c r="Z3455" s="2" t="s">
        <v>44</v>
      </c>
      <c r="AA3455" s="2"/>
      <c r="AB3455" s="2"/>
      <c r="AC3455" s="2" t="s">
        <v>26232</v>
      </c>
      <c r="AD3455" s="2" t="s">
        <v>46</v>
      </c>
    </row>
    <row r="3456" customFormat="false" ht="15.7" hidden="false" customHeight="true" outlineLevel="0" collapsed="false">
      <c r="A3456" s="2"/>
      <c r="B3456" s="3" t="n">
        <f aca="false">DATE(2018,1,8)</f>
        <v>0</v>
      </c>
      <c r="C3456" s="3" t="n">
        <v>43108</v>
      </c>
      <c r="D3456" s="2" t="s">
        <v>26233</v>
      </c>
      <c r="F3456" s="2" t="s">
        <v>18436</v>
      </c>
      <c r="G3456" s="2" t="s">
        <v>26234</v>
      </c>
      <c r="H3456" s="2" t="s">
        <v>762</v>
      </c>
      <c r="I3456" s="2" t="s">
        <v>51</v>
      </c>
      <c r="J3456" s="2" t="s">
        <v>496</v>
      </c>
      <c r="K3456" s="2" t="s">
        <v>26233</v>
      </c>
      <c r="L3456" s="2" t="s">
        <v>51</v>
      </c>
      <c r="M3456" s="2" t="s">
        <v>762</v>
      </c>
      <c r="N3456" s="2" t="s">
        <v>26235</v>
      </c>
      <c r="O3456" s="2"/>
      <c r="P3456" s="2" t="s">
        <v>37</v>
      </c>
      <c r="Q3456" s="4" t="n">
        <v>8731</v>
      </c>
      <c r="R3456" s="2" t="s">
        <v>56</v>
      </c>
      <c r="S3456" s="2" t="s">
        <v>92</v>
      </c>
      <c r="T3456" s="2" t="s">
        <v>403</v>
      </c>
      <c r="U3456" s="2" t="s">
        <v>26236</v>
      </c>
      <c r="V3456" s="2"/>
      <c r="W3456" s="2" t="s">
        <v>42</v>
      </c>
      <c r="X3456" s="2" t="s">
        <v>43</v>
      </c>
      <c r="Y3456" s="2" t="s">
        <v>37</v>
      </c>
      <c r="Z3456" s="2" t="s">
        <v>44</v>
      </c>
      <c r="AA3456" s="2"/>
      <c r="AB3456" s="2"/>
      <c r="AC3456" s="2" t="s">
        <v>26237</v>
      </c>
      <c r="AD3456" s="2" t="s">
        <v>46</v>
      </c>
    </row>
    <row r="3457" customFormat="false" ht="15.7" hidden="false" customHeight="true" outlineLevel="0" collapsed="false">
      <c r="A3457" s="2"/>
      <c r="B3457" s="3" t="n">
        <f aca="false">DATE(2018,1,8)</f>
        <v>0</v>
      </c>
      <c r="C3457" s="3" t="n">
        <v>43108</v>
      </c>
      <c r="D3457" s="2" t="s">
        <v>26238</v>
      </c>
      <c r="F3457" s="2" t="s">
        <v>256</v>
      </c>
      <c r="G3457" s="2" t="s">
        <v>26239</v>
      </c>
      <c r="H3457" s="2" t="s">
        <v>170</v>
      </c>
      <c r="I3457" s="2" t="s">
        <v>330</v>
      </c>
      <c r="J3457" s="2" t="s">
        <v>132</v>
      </c>
      <c r="K3457" s="2" t="s">
        <v>26238</v>
      </c>
      <c r="L3457" s="2" t="s">
        <v>330</v>
      </c>
      <c r="M3457" s="2" t="s">
        <v>170</v>
      </c>
      <c r="N3457" s="2" t="s">
        <v>26240</v>
      </c>
      <c r="O3457" s="2"/>
      <c r="P3457" s="2" t="s">
        <v>37</v>
      </c>
      <c r="Q3457" s="4" t="n">
        <v>8731</v>
      </c>
      <c r="R3457" s="2" t="s">
        <v>2201</v>
      </c>
      <c r="S3457" s="2" t="s">
        <v>39</v>
      </c>
      <c r="T3457" s="2" t="s">
        <v>40</v>
      </c>
      <c r="U3457" s="2" t="s">
        <v>26241</v>
      </c>
      <c r="V3457" s="2"/>
      <c r="W3457" s="2" t="s">
        <v>42</v>
      </c>
      <c r="X3457" s="2" t="s">
        <v>43</v>
      </c>
      <c r="Y3457" s="2" t="s">
        <v>37</v>
      </c>
      <c r="Z3457" s="2" t="s">
        <v>44</v>
      </c>
      <c r="AA3457" s="2"/>
      <c r="AB3457" s="2"/>
      <c r="AC3457" s="2" t="s">
        <v>26242</v>
      </c>
      <c r="AD3457" s="2" t="s">
        <v>46</v>
      </c>
    </row>
    <row r="3458" customFormat="false" ht="15.7" hidden="false" customHeight="true" outlineLevel="0" collapsed="false">
      <c r="A3458" s="2"/>
      <c r="B3458" s="3" t="n">
        <f aca="false">DATE(2018,1,8)</f>
        <v>0</v>
      </c>
      <c r="C3458" s="3" t="n">
        <v>43108</v>
      </c>
      <c r="D3458" s="2" t="s">
        <v>26243</v>
      </c>
      <c r="F3458" s="2" t="s">
        <v>26244</v>
      </c>
      <c r="G3458" s="2" t="s">
        <v>26245</v>
      </c>
      <c r="H3458" s="2" t="s">
        <v>26246</v>
      </c>
      <c r="I3458" s="2" t="s">
        <v>51</v>
      </c>
      <c r="J3458" s="2" t="s">
        <v>24003</v>
      </c>
      <c r="K3458" s="2" t="s">
        <v>26243</v>
      </c>
      <c r="L3458" s="2" t="s">
        <v>51</v>
      </c>
      <c r="M3458" s="2" t="s">
        <v>26246</v>
      </c>
      <c r="N3458" s="2" t="s">
        <v>26247</v>
      </c>
      <c r="O3458" s="2"/>
      <c r="P3458" s="2" t="s">
        <v>37</v>
      </c>
      <c r="Q3458" s="4" t="n">
        <v>8731</v>
      </c>
      <c r="R3458" s="2"/>
      <c r="S3458" s="2"/>
      <c r="T3458" s="2" t="s">
        <v>403</v>
      </c>
      <c r="U3458" s="2" t="s">
        <v>26248</v>
      </c>
      <c r="V3458" s="2"/>
      <c r="W3458" s="2" t="s">
        <v>42</v>
      </c>
      <c r="X3458" s="2" t="s">
        <v>43</v>
      </c>
      <c r="Y3458" s="2" t="s">
        <v>37</v>
      </c>
      <c r="Z3458" s="2" t="s">
        <v>44</v>
      </c>
      <c r="AA3458" s="2"/>
      <c r="AB3458" s="2"/>
      <c r="AC3458" s="2" t="s">
        <v>26249</v>
      </c>
      <c r="AD3458" s="2" t="s">
        <v>46</v>
      </c>
    </row>
    <row r="3459" customFormat="false" ht="15.7" hidden="false" customHeight="true" outlineLevel="0" collapsed="false">
      <c r="A3459" s="2"/>
      <c r="B3459" s="3" t="n">
        <f aca="false">DATE(2018,1,8)</f>
        <v>0</v>
      </c>
      <c r="C3459" s="3" t="n">
        <v>43108</v>
      </c>
      <c r="D3459" s="2" t="s">
        <v>26250</v>
      </c>
      <c r="F3459" s="2" t="s">
        <v>26251</v>
      </c>
      <c r="G3459" s="2" t="s">
        <v>26252</v>
      </c>
      <c r="H3459" s="2" t="s">
        <v>26253</v>
      </c>
      <c r="I3459" s="2" t="s">
        <v>4325</v>
      </c>
      <c r="J3459" s="2" t="s">
        <v>35</v>
      </c>
      <c r="K3459" s="2" t="s">
        <v>26250</v>
      </c>
      <c r="L3459" s="2" t="s">
        <v>4325</v>
      </c>
      <c r="M3459" s="2" t="s">
        <v>26253</v>
      </c>
      <c r="N3459" s="2" t="s">
        <v>26254</v>
      </c>
      <c r="O3459" s="2" t="s">
        <v>26255</v>
      </c>
      <c r="P3459" s="2" t="s">
        <v>37</v>
      </c>
      <c r="Q3459" s="4" t="n">
        <v>5084</v>
      </c>
      <c r="R3459" s="2" t="s">
        <v>402</v>
      </c>
      <c r="S3459" s="2" t="s">
        <v>39</v>
      </c>
      <c r="T3459" s="2" t="s">
        <v>40</v>
      </c>
      <c r="U3459" s="2" t="s">
        <v>26256</v>
      </c>
      <c r="V3459" s="2"/>
      <c r="W3459" s="2" t="s">
        <v>14244</v>
      </c>
      <c r="X3459" s="2" t="s">
        <v>46</v>
      </c>
      <c r="Y3459" s="2" t="s">
        <v>37</v>
      </c>
      <c r="Z3459" s="2" t="s">
        <v>2732</v>
      </c>
      <c r="AA3459" s="2"/>
      <c r="AB3459" s="2" t="s">
        <v>26257</v>
      </c>
      <c r="AC3459" s="2" t="s">
        <v>26258</v>
      </c>
      <c r="AD3459" s="2" t="s">
        <v>46</v>
      </c>
    </row>
    <row r="3460" customFormat="false" ht="15.7" hidden="false" customHeight="true" outlineLevel="0" collapsed="false">
      <c r="A3460" s="2"/>
      <c r="B3460" s="3" t="n">
        <f aca="false">DATE(2018,1,9)</f>
        <v>0</v>
      </c>
      <c r="C3460" s="3" t="n">
        <v>43109</v>
      </c>
      <c r="D3460" s="2" t="s">
        <v>26259</v>
      </c>
      <c r="F3460" s="2" t="s">
        <v>26260</v>
      </c>
      <c r="G3460" s="2" t="s">
        <v>26261</v>
      </c>
      <c r="H3460" s="2" t="s">
        <v>26262</v>
      </c>
      <c r="I3460" s="2" t="s">
        <v>540</v>
      </c>
      <c r="J3460" s="2" t="s">
        <v>35</v>
      </c>
      <c r="K3460" s="2" t="s">
        <v>26263</v>
      </c>
      <c r="L3460" s="2" t="s">
        <v>540</v>
      </c>
      <c r="M3460" s="2" t="s">
        <v>2779</v>
      </c>
      <c r="N3460" s="2" t="s">
        <v>26264</v>
      </c>
      <c r="O3460" s="2"/>
      <c r="P3460" s="2" t="s">
        <v>37</v>
      </c>
      <c r="Q3460" s="4" t="n">
        <v>8099</v>
      </c>
      <c r="R3460" s="2" t="s">
        <v>1448</v>
      </c>
      <c r="S3460" s="2" t="s">
        <v>39</v>
      </c>
      <c r="T3460" s="2" t="s">
        <v>40</v>
      </c>
      <c r="U3460" s="2" t="s">
        <v>26265</v>
      </c>
      <c r="V3460" s="2"/>
      <c r="W3460" s="2" t="s">
        <v>4487</v>
      </c>
      <c r="X3460" s="2" t="s">
        <v>43</v>
      </c>
      <c r="Y3460" s="2" t="s">
        <v>37</v>
      </c>
      <c r="Z3460" s="2" t="s">
        <v>44</v>
      </c>
      <c r="AA3460" s="2"/>
      <c r="AB3460" s="2"/>
      <c r="AC3460" s="2" t="s">
        <v>26266</v>
      </c>
      <c r="AD3460" s="2" t="s">
        <v>46</v>
      </c>
    </row>
    <row r="3461" customFormat="false" ht="15.7" hidden="false" customHeight="true" outlineLevel="0" collapsed="false">
      <c r="A3461" s="2"/>
      <c r="B3461" s="3" t="n">
        <f aca="false">DATE(2018,1,9)</f>
        <v>0</v>
      </c>
      <c r="C3461" s="3" t="n">
        <v>43109</v>
      </c>
      <c r="D3461" s="2" t="s">
        <v>26267</v>
      </c>
      <c r="F3461" s="2" t="s">
        <v>26268</v>
      </c>
      <c r="G3461" s="2" t="s">
        <v>26269</v>
      </c>
      <c r="H3461" s="2" t="s">
        <v>26270</v>
      </c>
      <c r="I3461" s="2" t="s">
        <v>51</v>
      </c>
      <c r="J3461" s="2" t="s">
        <v>378</v>
      </c>
      <c r="K3461" s="2" t="s">
        <v>26271</v>
      </c>
      <c r="L3461" s="2" t="s">
        <v>51</v>
      </c>
      <c r="M3461" s="2" t="s">
        <v>26270</v>
      </c>
      <c r="N3461" s="2" t="s">
        <v>26272</v>
      </c>
      <c r="O3461" s="2"/>
      <c r="P3461" s="2" t="s">
        <v>37</v>
      </c>
      <c r="Q3461" s="4" t="n">
        <v>8731</v>
      </c>
      <c r="R3461" s="2" t="s">
        <v>56</v>
      </c>
      <c r="S3461" s="2" t="s">
        <v>380</v>
      </c>
      <c r="T3461" s="2" t="s">
        <v>403</v>
      </c>
      <c r="U3461" s="2" t="s">
        <v>26273</v>
      </c>
      <c r="V3461" s="2"/>
      <c r="W3461" s="2" t="s">
        <v>42</v>
      </c>
      <c r="X3461" s="2" t="s">
        <v>43</v>
      </c>
      <c r="Y3461" s="2" t="s">
        <v>37</v>
      </c>
      <c r="Z3461" s="2" t="s">
        <v>44</v>
      </c>
      <c r="AA3461" s="2"/>
      <c r="AB3461" s="2"/>
      <c r="AC3461" s="2" t="s">
        <v>26274</v>
      </c>
      <c r="AD3461" s="2" t="s">
        <v>46</v>
      </c>
    </row>
    <row r="3462" customFormat="false" ht="15.7" hidden="false" customHeight="true" outlineLevel="0" collapsed="false">
      <c r="A3462" s="2"/>
      <c r="B3462" s="3" t="n">
        <f aca="false">DATE(2018,1,9)</f>
        <v>0</v>
      </c>
      <c r="C3462" s="3" t="n">
        <v>43109</v>
      </c>
      <c r="D3462" s="2" t="s">
        <v>26275</v>
      </c>
      <c r="F3462" s="2" t="s">
        <v>26276</v>
      </c>
      <c r="G3462" s="2" t="s">
        <v>26277</v>
      </c>
      <c r="H3462" s="2" t="s">
        <v>26278</v>
      </c>
      <c r="I3462" s="2" t="s">
        <v>2530</v>
      </c>
      <c r="J3462" s="2" t="s">
        <v>26279</v>
      </c>
      <c r="K3462" s="2" t="s">
        <v>26280</v>
      </c>
      <c r="L3462" s="2" t="s">
        <v>2530</v>
      </c>
      <c r="M3462" s="2" t="s">
        <v>26281</v>
      </c>
      <c r="N3462" s="2" t="s">
        <v>26282</v>
      </c>
      <c r="O3462" s="2"/>
      <c r="P3462" s="2" t="s">
        <v>37</v>
      </c>
      <c r="Q3462" s="4" t="n">
        <v>8731</v>
      </c>
      <c r="R3462" s="2" t="s">
        <v>56</v>
      </c>
      <c r="S3462" s="2" t="s">
        <v>26283</v>
      </c>
      <c r="T3462" s="2" t="s">
        <v>403</v>
      </c>
      <c r="U3462" s="2" t="s">
        <v>26284</v>
      </c>
      <c r="V3462" s="2"/>
      <c r="W3462" s="2" t="s">
        <v>13346</v>
      </c>
      <c r="X3462" s="2" t="s">
        <v>43</v>
      </c>
      <c r="Y3462" s="2" t="s">
        <v>37</v>
      </c>
      <c r="Z3462" s="2" t="s">
        <v>916</v>
      </c>
      <c r="AA3462" s="2"/>
      <c r="AB3462" s="2"/>
      <c r="AC3462" s="2" t="s">
        <v>26285</v>
      </c>
      <c r="AD3462" s="2" t="s">
        <v>46</v>
      </c>
    </row>
    <row r="3463" customFormat="false" ht="15.7" hidden="false" customHeight="true" outlineLevel="0" collapsed="false">
      <c r="A3463" s="2"/>
      <c r="B3463" s="3" t="n">
        <f aca="false">DATE(2018,1,9)</f>
        <v>0</v>
      </c>
      <c r="C3463" s="3" t="n">
        <v>43109</v>
      </c>
      <c r="D3463" s="2" t="s">
        <v>26286</v>
      </c>
      <c r="F3463" s="2" t="s">
        <v>26287</v>
      </c>
      <c r="G3463" s="2" t="s">
        <v>26288</v>
      </c>
      <c r="H3463" s="2" t="s">
        <v>26289</v>
      </c>
      <c r="I3463" s="2" t="s">
        <v>821</v>
      </c>
      <c r="J3463" s="2" t="s">
        <v>1983</v>
      </c>
      <c r="K3463" s="2" t="s">
        <v>26286</v>
      </c>
      <c r="L3463" s="2" t="s">
        <v>821</v>
      </c>
      <c r="M3463" s="2" t="s">
        <v>26289</v>
      </c>
      <c r="N3463" s="2" t="s">
        <v>26290</v>
      </c>
      <c r="O3463" s="2"/>
      <c r="P3463" s="2" t="s">
        <v>37</v>
      </c>
      <c r="Q3463" s="4" t="n">
        <v>8731</v>
      </c>
      <c r="R3463" s="2" t="s">
        <v>450</v>
      </c>
      <c r="S3463" s="2" t="s">
        <v>39</v>
      </c>
      <c r="T3463" s="2" t="s">
        <v>40</v>
      </c>
      <c r="U3463" s="2" t="s">
        <v>26291</v>
      </c>
      <c r="V3463" s="2"/>
      <c r="W3463" s="2" t="s">
        <v>344</v>
      </c>
      <c r="X3463" s="2" t="s">
        <v>43</v>
      </c>
      <c r="Y3463" s="2" t="s">
        <v>37</v>
      </c>
      <c r="Z3463" s="2" t="s">
        <v>44</v>
      </c>
      <c r="AA3463" s="2"/>
      <c r="AB3463" s="2"/>
      <c r="AC3463" s="2" t="s">
        <v>26292</v>
      </c>
      <c r="AD3463" s="2" t="s">
        <v>46</v>
      </c>
    </row>
    <row r="3464" customFormat="false" ht="15.7" hidden="false" customHeight="true" outlineLevel="0" collapsed="false">
      <c r="A3464" s="2"/>
      <c r="B3464" s="3" t="n">
        <f aca="false">DATE(2018,1,9)</f>
        <v>0</v>
      </c>
      <c r="C3464" s="3" t="n">
        <v>43109</v>
      </c>
      <c r="D3464" s="2" t="s">
        <v>26293</v>
      </c>
      <c r="F3464" s="2" t="s">
        <v>26294</v>
      </c>
      <c r="G3464" s="2" t="s">
        <v>26295</v>
      </c>
      <c r="H3464" s="2" t="s">
        <v>26296</v>
      </c>
      <c r="I3464" s="2" t="s">
        <v>26297</v>
      </c>
      <c r="J3464" s="2" t="s">
        <v>26298</v>
      </c>
      <c r="K3464" s="2" t="s">
        <v>26293</v>
      </c>
      <c r="L3464" s="2" t="s">
        <v>26297</v>
      </c>
      <c r="M3464" s="2" t="s">
        <v>26296</v>
      </c>
      <c r="N3464" s="2" t="s">
        <v>26299</v>
      </c>
      <c r="O3464" s="2"/>
      <c r="P3464" s="2" t="s">
        <v>37</v>
      </c>
      <c r="Q3464" s="4" t="n">
        <v>8731</v>
      </c>
      <c r="R3464" s="2" t="s">
        <v>26300</v>
      </c>
      <c r="S3464" s="2" t="s">
        <v>26301</v>
      </c>
      <c r="T3464" s="2" t="s">
        <v>403</v>
      </c>
      <c r="U3464" s="2" t="s">
        <v>26302</v>
      </c>
      <c r="V3464" s="2"/>
      <c r="W3464" s="2" t="s">
        <v>344</v>
      </c>
      <c r="X3464" s="2" t="s">
        <v>43</v>
      </c>
      <c r="Y3464" s="2" t="s">
        <v>37</v>
      </c>
      <c r="Z3464" s="2" t="s">
        <v>916</v>
      </c>
      <c r="AA3464" s="2"/>
      <c r="AB3464" s="2"/>
      <c r="AC3464" s="2" t="s">
        <v>26303</v>
      </c>
      <c r="AD3464" s="2" t="s">
        <v>46</v>
      </c>
    </row>
    <row r="3465" customFormat="false" ht="15.7" hidden="false" customHeight="true" outlineLevel="0" collapsed="false">
      <c r="A3465" s="2"/>
      <c r="B3465" s="3" t="n">
        <f aca="false">DATE(2018,1,9)</f>
        <v>0</v>
      </c>
      <c r="C3465" s="3" t="n">
        <v>43109</v>
      </c>
      <c r="D3465" s="2" t="s">
        <v>26304</v>
      </c>
      <c r="F3465" s="2" t="s">
        <v>26305</v>
      </c>
      <c r="G3465" s="2" t="s">
        <v>26306</v>
      </c>
      <c r="H3465" s="2" t="s">
        <v>6585</v>
      </c>
      <c r="I3465" s="2" t="s">
        <v>568</v>
      </c>
      <c r="J3465" s="2" t="s">
        <v>1983</v>
      </c>
      <c r="K3465" s="2" t="s">
        <v>26304</v>
      </c>
      <c r="L3465" s="2" t="s">
        <v>568</v>
      </c>
      <c r="M3465" s="2" t="s">
        <v>6585</v>
      </c>
      <c r="N3465" s="2" t="s">
        <v>26307</v>
      </c>
      <c r="O3465" s="2"/>
      <c r="P3465" s="2" t="s">
        <v>37</v>
      </c>
      <c r="Q3465" s="4" t="n">
        <v>6794</v>
      </c>
      <c r="R3465" s="2" t="s">
        <v>296</v>
      </c>
      <c r="S3465" s="2" t="s">
        <v>26308</v>
      </c>
      <c r="T3465" s="2" t="s">
        <v>40</v>
      </c>
      <c r="U3465" s="2" t="s">
        <v>26309</v>
      </c>
      <c r="V3465" s="2"/>
      <c r="W3465" s="2" t="s">
        <v>15545</v>
      </c>
      <c r="X3465" s="2" t="s">
        <v>43</v>
      </c>
      <c r="Y3465" s="2" t="s">
        <v>79</v>
      </c>
      <c r="Z3465" s="2" t="s">
        <v>44</v>
      </c>
      <c r="AA3465" s="2"/>
      <c r="AB3465" s="2"/>
      <c r="AC3465" s="2" t="s">
        <v>26310</v>
      </c>
      <c r="AD3465" s="2" t="s">
        <v>46</v>
      </c>
    </row>
    <row r="3466" customFormat="false" ht="15.7" hidden="false" customHeight="true" outlineLevel="0" collapsed="false">
      <c r="A3466" s="2"/>
      <c r="B3466" s="3" t="n">
        <f aca="false">DATE(2018,1,9)</f>
        <v>0</v>
      </c>
      <c r="C3466" s="3" t="n">
        <v>43109</v>
      </c>
      <c r="D3466" s="2" t="s">
        <v>26311</v>
      </c>
      <c r="F3466" s="2" t="s">
        <v>22407</v>
      </c>
      <c r="G3466" s="2" t="s">
        <v>26312</v>
      </c>
      <c r="H3466" s="2" t="s">
        <v>762</v>
      </c>
      <c r="I3466" s="2" t="s">
        <v>219</v>
      </c>
      <c r="J3466" s="2" t="s">
        <v>625</v>
      </c>
      <c r="K3466" s="2" t="s">
        <v>26313</v>
      </c>
      <c r="L3466" s="2" t="s">
        <v>219</v>
      </c>
      <c r="M3466" s="2" t="s">
        <v>63</v>
      </c>
      <c r="N3466" s="2" t="s">
        <v>26314</v>
      </c>
      <c r="O3466" s="2"/>
      <c r="P3466" s="2" t="s">
        <v>79</v>
      </c>
      <c r="Q3466" s="4" t="n">
        <v>6794</v>
      </c>
      <c r="R3466" s="2" t="s">
        <v>219</v>
      </c>
      <c r="S3466" s="2" t="s">
        <v>24876</v>
      </c>
      <c r="T3466" s="2" t="s">
        <v>40</v>
      </c>
      <c r="U3466" s="2" t="s">
        <v>26315</v>
      </c>
      <c r="V3466" s="2"/>
      <c r="W3466" s="2" t="s">
        <v>15545</v>
      </c>
      <c r="X3466" s="2" t="s">
        <v>43</v>
      </c>
      <c r="Y3466" s="2" t="s">
        <v>79</v>
      </c>
      <c r="Z3466" s="2" t="s">
        <v>44</v>
      </c>
      <c r="AA3466" s="2"/>
      <c r="AB3466" s="2"/>
      <c r="AC3466" s="2" t="s">
        <v>26316</v>
      </c>
      <c r="AD3466" s="2" t="s">
        <v>46</v>
      </c>
    </row>
    <row r="3467" customFormat="false" ht="15.7" hidden="false" customHeight="true" outlineLevel="0" collapsed="false">
      <c r="A3467" s="2"/>
      <c r="B3467" s="3" t="n">
        <f aca="false">DATE(2018,1,9)</f>
        <v>0</v>
      </c>
      <c r="C3467" s="3" t="n">
        <v>43109</v>
      </c>
      <c r="D3467" s="2" t="s">
        <v>26317</v>
      </c>
      <c r="F3467" s="2" t="s">
        <v>26318</v>
      </c>
      <c r="G3467" s="2" t="s">
        <v>26319</v>
      </c>
      <c r="H3467" s="2" t="s">
        <v>26320</v>
      </c>
      <c r="I3467" s="2" t="s">
        <v>51</v>
      </c>
      <c r="J3467" s="2" t="s">
        <v>3653</v>
      </c>
      <c r="K3467" s="2" t="s">
        <v>26317</v>
      </c>
      <c r="L3467" s="2" t="s">
        <v>51</v>
      </c>
      <c r="M3467" s="2" t="s">
        <v>26320</v>
      </c>
      <c r="N3467" s="2" t="s">
        <v>26321</v>
      </c>
      <c r="O3467" s="2"/>
      <c r="P3467" s="2" t="s">
        <v>37</v>
      </c>
      <c r="Q3467" s="4" t="n">
        <v>8731</v>
      </c>
      <c r="R3467" s="2" t="s">
        <v>51</v>
      </c>
      <c r="S3467" s="2" t="s">
        <v>26322</v>
      </c>
      <c r="T3467" s="2" t="s">
        <v>403</v>
      </c>
      <c r="U3467" s="2" t="s">
        <v>26323</v>
      </c>
      <c r="V3467" s="2"/>
      <c r="W3467" s="2" t="s">
        <v>42</v>
      </c>
      <c r="X3467" s="2" t="s">
        <v>43</v>
      </c>
      <c r="Y3467" s="2" t="s">
        <v>37</v>
      </c>
      <c r="Z3467" s="2" t="s">
        <v>44</v>
      </c>
      <c r="AA3467" s="2"/>
      <c r="AB3467" s="2"/>
      <c r="AC3467" s="2" t="s">
        <v>26324</v>
      </c>
      <c r="AD3467" s="2" t="s">
        <v>46</v>
      </c>
    </row>
    <row r="3468" customFormat="false" ht="15.7" hidden="false" customHeight="true" outlineLevel="0" collapsed="false">
      <c r="A3468" s="2"/>
      <c r="B3468" s="3" t="n">
        <f aca="false">DATE(2018,1,9)</f>
        <v>0</v>
      </c>
      <c r="C3468" s="3" t="n">
        <v>43109</v>
      </c>
      <c r="D3468" s="2" t="s">
        <v>26325</v>
      </c>
      <c r="F3468" s="2" t="s">
        <v>26326</v>
      </c>
      <c r="G3468" s="2" t="s">
        <v>26327</v>
      </c>
      <c r="H3468" s="2" t="s">
        <v>24093</v>
      </c>
      <c r="I3468" s="2" t="s">
        <v>13937</v>
      </c>
      <c r="J3468" s="2" t="s">
        <v>132</v>
      </c>
      <c r="K3468" s="2" t="s">
        <v>26325</v>
      </c>
      <c r="L3468" s="2" t="s">
        <v>13937</v>
      </c>
      <c r="M3468" s="2" t="s">
        <v>24093</v>
      </c>
      <c r="N3468" s="2" t="s">
        <v>26328</v>
      </c>
      <c r="O3468" s="2"/>
      <c r="P3468" s="2" t="s">
        <v>37</v>
      </c>
      <c r="Q3468" s="4" t="n">
        <v>8731</v>
      </c>
      <c r="R3468" s="2" t="s">
        <v>136</v>
      </c>
      <c r="S3468" s="2" t="s">
        <v>39</v>
      </c>
      <c r="T3468" s="2" t="s">
        <v>40</v>
      </c>
      <c r="U3468" s="2" t="s">
        <v>26329</v>
      </c>
      <c r="V3468" s="2"/>
      <c r="W3468" s="2" t="s">
        <v>42</v>
      </c>
      <c r="X3468" s="2" t="s">
        <v>43</v>
      </c>
      <c r="Y3468" s="2" t="s">
        <v>37</v>
      </c>
      <c r="Z3468" s="2" t="s">
        <v>44</v>
      </c>
      <c r="AA3468" s="2"/>
      <c r="AB3468" s="2"/>
      <c r="AC3468" s="2" t="s">
        <v>26330</v>
      </c>
      <c r="AD3468" s="2" t="s">
        <v>46</v>
      </c>
    </row>
    <row r="3469" customFormat="false" ht="15.7" hidden="false" customHeight="true" outlineLevel="0" collapsed="false">
      <c r="A3469" s="2"/>
      <c r="B3469" s="3" t="n">
        <f aca="false">DATE(2018,1,10)</f>
        <v>0</v>
      </c>
      <c r="C3469" s="3" t="n">
        <v>43110</v>
      </c>
      <c r="D3469" s="2" t="s">
        <v>26331</v>
      </c>
      <c r="F3469" s="2" t="s">
        <v>26332</v>
      </c>
      <c r="G3469" s="2" t="s">
        <v>26333</v>
      </c>
      <c r="H3469" s="2" t="s">
        <v>63</v>
      </c>
      <c r="I3469" s="2" t="s">
        <v>100</v>
      </c>
      <c r="J3469" s="2" t="s">
        <v>15829</v>
      </c>
      <c r="K3469" s="2" t="s">
        <v>26334</v>
      </c>
      <c r="L3469" s="2" t="s">
        <v>100</v>
      </c>
      <c r="M3469" s="2" t="s">
        <v>63</v>
      </c>
      <c r="N3469" s="2" t="s">
        <v>26335</v>
      </c>
      <c r="O3469" s="2"/>
      <c r="P3469" s="2" t="s">
        <v>37</v>
      </c>
      <c r="Q3469" s="4" t="n">
        <v>8099</v>
      </c>
      <c r="R3469" s="2" t="s">
        <v>136</v>
      </c>
      <c r="S3469" s="2" t="s">
        <v>39</v>
      </c>
      <c r="T3469" s="2" t="s">
        <v>403</v>
      </c>
      <c r="U3469" s="2" t="s">
        <v>26336</v>
      </c>
      <c r="V3469" s="2"/>
      <c r="W3469" s="2" t="s">
        <v>4487</v>
      </c>
      <c r="X3469" s="2" t="s">
        <v>43</v>
      </c>
      <c r="Y3469" s="2" t="s">
        <v>37</v>
      </c>
      <c r="Z3469" s="2" t="s">
        <v>44</v>
      </c>
      <c r="AA3469" s="2"/>
      <c r="AB3469" s="2"/>
      <c r="AC3469" s="2" t="s">
        <v>26337</v>
      </c>
      <c r="AD3469" s="2" t="s">
        <v>46</v>
      </c>
    </row>
    <row r="3470" customFormat="false" ht="15.7" hidden="false" customHeight="true" outlineLevel="0" collapsed="false">
      <c r="A3470" s="2"/>
      <c r="B3470" s="3" t="n">
        <f aca="false">DATE(2018,1,10)</f>
        <v>0</v>
      </c>
      <c r="C3470" s="3" t="n">
        <v>43110</v>
      </c>
      <c r="D3470" s="2" t="s">
        <v>26338</v>
      </c>
      <c r="F3470" s="2" t="s">
        <v>25024</v>
      </c>
      <c r="G3470" s="2" t="s">
        <v>26339</v>
      </c>
      <c r="H3470" s="2" t="s">
        <v>25026</v>
      </c>
      <c r="I3470" s="2" t="s">
        <v>88</v>
      </c>
      <c r="J3470" s="2" t="s">
        <v>313</v>
      </c>
      <c r="K3470" s="2" t="s">
        <v>26338</v>
      </c>
      <c r="L3470" s="2" t="s">
        <v>88</v>
      </c>
      <c r="M3470" s="2" t="s">
        <v>25026</v>
      </c>
      <c r="N3470" s="2" t="s">
        <v>26340</v>
      </c>
      <c r="O3470" s="2"/>
      <c r="P3470" s="2" t="s">
        <v>37</v>
      </c>
      <c r="Q3470" s="4" t="n">
        <v>8731</v>
      </c>
      <c r="R3470" s="2" t="s">
        <v>56</v>
      </c>
      <c r="S3470" s="2" t="s">
        <v>7553</v>
      </c>
      <c r="T3470" s="2" t="s">
        <v>40</v>
      </c>
      <c r="U3470" s="2" t="s">
        <v>26341</v>
      </c>
      <c r="V3470" s="2"/>
      <c r="W3470" s="2" t="s">
        <v>42</v>
      </c>
      <c r="X3470" s="2" t="s">
        <v>43</v>
      </c>
      <c r="Y3470" s="2" t="s">
        <v>37</v>
      </c>
      <c r="Z3470" s="2" t="s">
        <v>44</v>
      </c>
      <c r="AA3470" s="2"/>
      <c r="AB3470" s="2"/>
      <c r="AC3470" s="2" t="s">
        <v>26342</v>
      </c>
      <c r="AD3470" s="2" t="s">
        <v>46</v>
      </c>
    </row>
    <row r="3471" customFormat="false" ht="15.7" hidden="false" customHeight="true" outlineLevel="0" collapsed="false">
      <c r="A3471" s="2"/>
      <c r="B3471" s="3" t="n">
        <f aca="false">DATE(2018,1,11)</f>
        <v>0</v>
      </c>
      <c r="C3471" s="3" t="n">
        <v>43111</v>
      </c>
      <c r="D3471" s="2" t="s">
        <v>26343</v>
      </c>
      <c r="F3471" s="2" t="s">
        <v>26344</v>
      </c>
      <c r="G3471" s="2" t="s">
        <v>26345</v>
      </c>
      <c r="H3471" s="2" t="s">
        <v>130</v>
      </c>
      <c r="I3471" s="2" t="s">
        <v>821</v>
      </c>
      <c r="J3471" s="2" t="s">
        <v>65</v>
      </c>
      <c r="K3471" s="2" t="s">
        <v>26343</v>
      </c>
      <c r="L3471" s="2" t="s">
        <v>821</v>
      </c>
      <c r="M3471" s="2" t="s">
        <v>130</v>
      </c>
      <c r="N3471" s="2" t="s">
        <v>26346</v>
      </c>
      <c r="O3471" s="2"/>
      <c r="P3471" s="2" t="s">
        <v>79</v>
      </c>
      <c r="Q3471" s="4" t="n">
        <v>6794</v>
      </c>
      <c r="R3471" s="2" t="s">
        <v>136</v>
      </c>
      <c r="S3471" s="2" t="s">
        <v>39</v>
      </c>
      <c r="T3471" s="2" t="s">
        <v>40</v>
      </c>
      <c r="U3471" s="2" t="s">
        <v>26347</v>
      </c>
      <c r="V3471" s="2"/>
      <c r="W3471" s="2" t="s">
        <v>15545</v>
      </c>
      <c r="X3471" s="2" t="s">
        <v>43</v>
      </c>
      <c r="Y3471" s="2" t="s">
        <v>37</v>
      </c>
      <c r="Z3471" s="2" t="s">
        <v>44</v>
      </c>
      <c r="AA3471" s="2"/>
      <c r="AB3471" s="2"/>
      <c r="AC3471" s="2" t="s">
        <v>26348</v>
      </c>
      <c r="AD3471" s="2" t="s">
        <v>46</v>
      </c>
    </row>
    <row r="3472" customFormat="false" ht="15.7" hidden="false" customHeight="true" outlineLevel="0" collapsed="false">
      <c r="A3472" s="2"/>
      <c r="B3472" s="3" t="n">
        <f aca="false">DATE(2018,1,11)</f>
        <v>0</v>
      </c>
      <c r="C3472" s="3" t="n">
        <v>43111</v>
      </c>
      <c r="D3472" s="2" t="s">
        <v>26349</v>
      </c>
      <c r="F3472" s="2" t="s">
        <v>26350</v>
      </c>
      <c r="G3472" s="2" t="s">
        <v>26351</v>
      </c>
      <c r="H3472" s="2" t="s">
        <v>26352</v>
      </c>
      <c r="I3472" s="2" t="s">
        <v>12602</v>
      </c>
      <c r="J3472" s="2" t="s">
        <v>35</v>
      </c>
      <c r="K3472" s="2" t="s">
        <v>26349</v>
      </c>
      <c r="L3472" s="2" t="s">
        <v>12602</v>
      </c>
      <c r="M3472" s="2" t="s">
        <v>26352</v>
      </c>
      <c r="N3472" s="2" t="s">
        <v>26353</v>
      </c>
      <c r="O3472" s="2"/>
      <c r="P3472" s="2" t="s">
        <v>37</v>
      </c>
      <c r="Q3472" s="4" t="n">
        <v>8731</v>
      </c>
      <c r="R3472" s="2" t="s">
        <v>402</v>
      </c>
      <c r="S3472" s="2" t="s">
        <v>39</v>
      </c>
      <c r="T3472" s="2" t="s">
        <v>403</v>
      </c>
      <c r="U3472" s="2" t="s">
        <v>26354</v>
      </c>
      <c r="V3472" s="2"/>
      <c r="W3472" s="2" t="s">
        <v>2209</v>
      </c>
      <c r="X3472" s="2" t="s">
        <v>46</v>
      </c>
      <c r="Y3472" s="2" t="s">
        <v>37</v>
      </c>
      <c r="Z3472" s="2" t="s">
        <v>2732</v>
      </c>
      <c r="AA3472" s="2" t="s">
        <v>26355</v>
      </c>
      <c r="AB3472" s="2"/>
      <c r="AC3472" s="2" t="s">
        <v>26356</v>
      </c>
      <c r="AD3472" s="2" t="s">
        <v>46</v>
      </c>
    </row>
    <row r="3473" customFormat="false" ht="15.7" hidden="false" customHeight="true" outlineLevel="0" collapsed="false">
      <c r="A3473" s="2"/>
      <c r="B3473" s="3" t="n">
        <f aca="false">DATE(2018,1,11)</f>
        <v>0</v>
      </c>
      <c r="C3473" s="3" t="n">
        <v>43111</v>
      </c>
      <c r="D3473" s="2" t="s">
        <v>26357</v>
      </c>
      <c r="F3473" s="2" t="s">
        <v>26358</v>
      </c>
      <c r="G3473" s="2" t="s">
        <v>26359</v>
      </c>
      <c r="H3473" s="2" t="s">
        <v>26360</v>
      </c>
      <c r="I3473" s="2" t="s">
        <v>330</v>
      </c>
      <c r="J3473" s="2" t="s">
        <v>3906</v>
      </c>
      <c r="K3473" s="2" t="s">
        <v>26361</v>
      </c>
      <c r="L3473" s="2" t="s">
        <v>330</v>
      </c>
      <c r="M3473" s="2" t="s">
        <v>26362</v>
      </c>
      <c r="N3473" s="2" t="s">
        <v>26363</v>
      </c>
      <c r="O3473" s="2"/>
      <c r="P3473" s="2" t="s">
        <v>37</v>
      </c>
      <c r="Q3473" s="4" t="n">
        <v>8742</v>
      </c>
      <c r="R3473" s="2" t="s">
        <v>136</v>
      </c>
      <c r="S3473" s="2" t="s">
        <v>39</v>
      </c>
      <c r="T3473" s="2" t="s">
        <v>40</v>
      </c>
      <c r="U3473" s="2" t="s">
        <v>26364</v>
      </c>
      <c r="V3473" s="2"/>
      <c r="W3473" s="2" t="s">
        <v>7958</v>
      </c>
      <c r="X3473" s="2" t="s">
        <v>43</v>
      </c>
      <c r="Y3473" s="2" t="s">
        <v>37</v>
      </c>
      <c r="Z3473" s="2" t="s">
        <v>44</v>
      </c>
      <c r="AA3473" s="2"/>
      <c r="AB3473" s="2"/>
      <c r="AC3473" s="2" t="s">
        <v>26365</v>
      </c>
      <c r="AD3473" s="2" t="s">
        <v>46</v>
      </c>
    </row>
    <row r="3474" customFormat="false" ht="15.7" hidden="false" customHeight="true" outlineLevel="0" collapsed="false">
      <c r="A3474" s="2"/>
      <c r="B3474" s="3" t="n">
        <f aca="false">DATE(2018,1,11)</f>
        <v>0</v>
      </c>
      <c r="C3474" s="3" t="n">
        <v>43111</v>
      </c>
      <c r="D3474" s="2" t="s">
        <v>26349</v>
      </c>
      <c r="F3474" s="2" t="s">
        <v>26350</v>
      </c>
      <c r="G3474" s="2" t="s">
        <v>26351</v>
      </c>
      <c r="H3474" s="2" t="s">
        <v>26352</v>
      </c>
      <c r="I3474" s="2" t="s">
        <v>12602</v>
      </c>
      <c r="J3474" s="2" t="s">
        <v>35</v>
      </c>
      <c r="K3474" s="2" t="s">
        <v>26349</v>
      </c>
      <c r="L3474" s="2" t="s">
        <v>12602</v>
      </c>
      <c r="M3474" s="2" t="s">
        <v>26352</v>
      </c>
      <c r="N3474" s="2" t="s">
        <v>26353</v>
      </c>
      <c r="O3474" s="2"/>
      <c r="P3474" s="2" t="s">
        <v>37</v>
      </c>
      <c r="Q3474" s="4" t="n">
        <v>8731</v>
      </c>
      <c r="R3474" s="2" t="s">
        <v>402</v>
      </c>
      <c r="S3474" s="2" t="s">
        <v>39</v>
      </c>
      <c r="T3474" s="2" t="s">
        <v>403</v>
      </c>
      <c r="U3474" s="2" t="s">
        <v>26366</v>
      </c>
      <c r="V3474" s="2"/>
      <c r="W3474" s="2" t="s">
        <v>2209</v>
      </c>
      <c r="X3474" s="2" t="s">
        <v>46</v>
      </c>
      <c r="Y3474" s="2" t="s">
        <v>37</v>
      </c>
      <c r="Z3474" s="2" t="s">
        <v>12970</v>
      </c>
      <c r="AA3474" s="2" t="s">
        <v>26367</v>
      </c>
      <c r="AB3474" s="2"/>
      <c r="AC3474" s="2" t="s">
        <v>26356</v>
      </c>
      <c r="AD3474" s="2" t="s">
        <v>46</v>
      </c>
    </row>
    <row r="3475" customFormat="false" ht="15.7" hidden="false" customHeight="true" outlineLevel="0" collapsed="false">
      <c r="A3475" s="2"/>
      <c r="B3475" s="3" t="n">
        <f aca="false">DATE(2018,1,12)</f>
        <v>0</v>
      </c>
      <c r="C3475" s="3" t="n">
        <v>43112</v>
      </c>
      <c r="D3475" s="2" t="s">
        <v>26368</v>
      </c>
      <c r="F3475" s="2" t="s">
        <v>26369</v>
      </c>
      <c r="G3475" s="2" t="s">
        <v>26370</v>
      </c>
      <c r="H3475" s="2" t="s">
        <v>1101</v>
      </c>
      <c r="I3475" s="2" t="s">
        <v>4788</v>
      </c>
      <c r="J3475" s="2" t="s">
        <v>35</v>
      </c>
      <c r="K3475" s="2" t="s">
        <v>26368</v>
      </c>
      <c r="L3475" s="2" t="s">
        <v>4788</v>
      </c>
      <c r="M3475" s="2" t="s">
        <v>1101</v>
      </c>
      <c r="N3475" s="2" t="s">
        <v>26371</v>
      </c>
      <c r="O3475" s="2"/>
      <c r="P3475" s="2" t="s">
        <v>37</v>
      </c>
      <c r="Q3475" s="4" t="n">
        <v>3999</v>
      </c>
      <c r="R3475" s="2" t="s">
        <v>136</v>
      </c>
      <c r="S3475" s="2" t="s">
        <v>39</v>
      </c>
      <c r="T3475" s="2" t="s">
        <v>40</v>
      </c>
      <c r="U3475" s="2" t="s">
        <v>26372</v>
      </c>
      <c r="V3475" s="2"/>
      <c r="W3475" s="2" t="s">
        <v>2056</v>
      </c>
      <c r="X3475" s="2" t="s">
        <v>43</v>
      </c>
      <c r="Y3475" s="2" t="s">
        <v>37</v>
      </c>
      <c r="Z3475" s="2" t="s">
        <v>44</v>
      </c>
      <c r="AA3475" s="2"/>
      <c r="AB3475" s="2"/>
      <c r="AC3475" s="2" t="s">
        <v>26373</v>
      </c>
      <c r="AD3475" s="2" t="s">
        <v>46</v>
      </c>
    </row>
    <row r="3476" customFormat="false" ht="15.7" hidden="false" customHeight="true" outlineLevel="0" collapsed="false">
      <c r="A3476" s="2"/>
      <c r="B3476" s="3" t="n">
        <f aca="false">DATE(2018,1,12)</f>
        <v>0</v>
      </c>
      <c r="C3476" s="3" t="n">
        <v>43112</v>
      </c>
      <c r="D3476" s="2" t="s">
        <v>26374</v>
      </c>
      <c r="F3476" s="2" t="s">
        <v>26375</v>
      </c>
      <c r="G3476" s="2" t="s">
        <v>26376</v>
      </c>
      <c r="H3476" s="2" t="s">
        <v>26377</v>
      </c>
      <c r="I3476" s="2" t="s">
        <v>410</v>
      </c>
      <c r="J3476" s="2" t="s">
        <v>228</v>
      </c>
      <c r="K3476" s="2" t="s">
        <v>26378</v>
      </c>
      <c r="L3476" s="2" t="s">
        <v>410</v>
      </c>
      <c r="M3476" s="2" t="s">
        <v>19781</v>
      </c>
      <c r="N3476" s="2" t="s">
        <v>26379</v>
      </c>
      <c r="O3476" s="2"/>
      <c r="P3476" s="2" t="s">
        <v>37</v>
      </c>
      <c r="Q3476" s="4" t="n">
        <v>8731</v>
      </c>
      <c r="R3476" s="2" t="s">
        <v>136</v>
      </c>
      <c r="S3476" s="2" t="s">
        <v>39</v>
      </c>
      <c r="T3476" s="2" t="s">
        <v>40</v>
      </c>
      <c r="U3476" s="2" t="s">
        <v>26380</v>
      </c>
      <c r="V3476" s="2"/>
      <c r="W3476" s="2" t="s">
        <v>344</v>
      </c>
      <c r="X3476" s="2" t="s">
        <v>43</v>
      </c>
      <c r="Y3476" s="2" t="s">
        <v>37</v>
      </c>
      <c r="Z3476" s="2" t="s">
        <v>44</v>
      </c>
      <c r="AA3476" s="2"/>
      <c r="AB3476" s="2"/>
      <c r="AC3476" s="2" t="s">
        <v>26381</v>
      </c>
      <c r="AD3476" s="2" t="s">
        <v>46</v>
      </c>
    </row>
    <row r="3477" customFormat="false" ht="15.7" hidden="false" customHeight="true" outlineLevel="0" collapsed="false">
      <c r="A3477" s="2"/>
      <c r="B3477" s="3" t="n">
        <f aca="false">DATE(2018,1,15)</f>
        <v>0</v>
      </c>
      <c r="C3477" s="3" t="n">
        <v>43115</v>
      </c>
      <c r="D3477" s="2" t="s">
        <v>26382</v>
      </c>
      <c r="F3477" s="2" t="s">
        <v>26383</v>
      </c>
      <c r="G3477" s="2" t="s">
        <v>26384</v>
      </c>
      <c r="H3477" s="2" t="s">
        <v>26385</v>
      </c>
      <c r="I3477" s="2" t="s">
        <v>321</v>
      </c>
      <c r="J3477" s="2" t="s">
        <v>35</v>
      </c>
      <c r="K3477" s="2" t="s">
        <v>26382</v>
      </c>
      <c r="L3477" s="2" t="s">
        <v>321</v>
      </c>
      <c r="M3477" s="2" t="s">
        <v>26385</v>
      </c>
      <c r="N3477" s="2" t="s">
        <v>26386</v>
      </c>
      <c r="O3477" s="2"/>
      <c r="P3477" s="2" t="s">
        <v>37</v>
      </c>
      <c r="Q3477" s="4" t="n">
        <v>6794</v>
      </c>
      <c r="R3477" s="2" t="s">
        <v>2201</v>
      </c>
      <c r="S3477" s="2" t="s">
        <v>39</v>
      </c>
      <c r="T3477" s="2" t="s">
        <v>40</v>
      </c>
      <c r="U3477" s="2" t="s">
        <v>26387</v>
      </c>
      <c r="V3477" s="2"/>
      <c r="W3477" s="2" t="s">
        <v>82</v>
      </c>
      <c r="X3477" s="2" t="s">
        <v>43</v>
      </c>
      <c r="Y3477" s="2" t="s">
        <v>37</v>
      </c>
      <c r="Z3477" s="2" t="s">
        <v>44</v>
      </c>
      <c r="AA3477" s="2"/>
      <c r="AB3477" s="2"/>
      <c r="AC3477" s="2" t="s">
        <v>26388</v>
      </c>
      <c r="AD3477" s="2" t="s">
        <v>46</v>
      </c>
    </row>
    <row r="3478" customFormat="false" ht="15.7" hidden="false" customHeight="true" outlineLevel="0" collapsed="false">
      <c r="A3478" s="2"/>
      <c r="B3478" s="3" t="n">
        <f aca="false">DATE(2018,1,16)</f>
        <v>0</v>
      </c>
      <c r="C3478" s="3" t="n">
        <v>43116</v>
      </c>
      <c r="D3478" s="2" t="s">
        <v>26389</v>
      </c>
      <c r="F3478" s="2" t="s">
        <v>26390</v>
      </c>
      <c r="G3478" s="2" t="s">
        <v>26391</v>
      </c>
      <c r="H3478" s="2" t="s">
        <v>6563</v>
      </c>
      <c r="I3478" s="2" t="s">
        <v>388</v>
      </c>
      <c r="J3478" s="2" t="s">
        <v>625</v>
      </c>
      <c r="K3478" s="2" t="s">
        <v>26392</v>
      </c>
      <c r="L3478" s="2" t="s">
        <v>388</v>
      </c>
      <c r="M3478" s="2" t="s">
        <v>26393</v>
      </c>
      <c r="N3478" s="2" t="s">
        <v>26394</v>
      </c>
      <c r="O3478" s="2"/>
      <c r="P3478" s="2" t="s">
        <v>37</v>
      </c>
      <c r="Q3478" s="4" t="n">
        <v>8731</v>
      </c>
      <c r="R3478" s="2" t="s">
        <v>136</v>
      </c>
      <c r="S3478" s="2" t="s">
        <v>39</v>
      </c>
      <c r="T3478" s="2" t="s">
        <v>403</v>
      </c>
      <c r="U3478" s="2" t="s">
        <v>26395</v>
      </c>
      <c r="V3478" s="2"/>
      <c r="W3478" s="2" t="s">
        <v>42</v>
      </c>
      <c r="X3478" s="2" t="s">
        <v>43</v>
      </c>
      <c r="Y3478" s="2" t="s">
        <v>37</v>
      </c>
      <c r="Z3478" s="2" t="s">
        <v>44</v>
      </c>
      <c r="AA3478" s="2"/>
      <c r="AB3478" s="2"/>
      <c r="AC3478" s="2" t="s">
        <v>26396</v>
      </c>
      <c r="AD3478" s="2" t="s">
        <v>46</v>
      </c>
    </row>
    <row r="3479" customFormat="false" ht="15.7" hidden="false" customHeight="true" outlineLevel="0" collapsed="false">
      <c r="A3479" s="2"/>
      <c r="B3479" s="3" t="n">
        <f aca="false">DATE(2018,1,17)</f>
        <v>0</v>
      </c>
      <c r="C3479" s="3" t="n">
        <v>43117</v>
      </c>
      <c r="D3479" s="2" t="s">
        <v>26397</v>
      </c>
      <c r="F3479" s="2" t="s">
        <v>26398</v>
      </c>
      <c r="G3479" s="2" t="s">
        <v>26399</v>
      </c>
      <c r="H3479" s="2" t="s">
        <v>1943</v>
      </c>
      <c r="I3479" s="2" t="s">
        <v>487</v>
      </c>
      <c r="J3479" s="2" t="s">
        <v>1891</v>
      </c>
      <c r="K3479" s="2" t="s">
        <v>26397</v>
      </c>
      <c r="L3479" s="2" t="s">
        <v>487</v>
      </c>
      <c r="M3479" s="2" t="s">
        <v>1943</v>
      </c>
      <c r="N3479" s="2" t="s">
        <v>26400</v>
      </c>
      <c r="O3479" s="2"/>
      <c r="P3479" s="2" t="s">
        <v>79</v>
      </c>
      <c r="Q3479" s="4" t="n">
        <v>6794</v>
      </c>
      <c r="R3479" s="2" t="s">
        <v>56</v>
      </c>
      <c r="S3479" s="2" t="s">
        <v>1226</v>
      </c>
      <c r="T3479" s="2" t="s">
        <v>40</v>
      </c>
      <c r="U3479" s="2" t="s">
        <v>26401</v>
      </c>
      <c r="V3479" s="2"/>
      <c r="W3479" s="2" t="s">
        <v>26402</v>
      </c>
      <c r="X3479" s="2" t="s">
        <v>43</v>
      </c>
      <c r="Y3479" s="2" t="s">
        <v>37</v>
      </c>
      <c r="Z3479" s="2" t="s">
        <v>44</v>
      </c>
      <c r="AA3479" s="2"/>
      <c r="AB3479" s="2"/>
      <c r="AC3479" s="2" t="s">
        <v>26403</v>
      </c>
      <c r="AD3479" s="2" t="s">
        <v>46</v>
      </c>
    </row>
    <row r="3480" customFormat="false" ht="15.7" hidden="false" customHeight="true" outlineLevel="0" collapsed="false">
      <c r="A3480" s="2"/>
      <c r="B3480" s="3" t="n">
        <f aca="false">DATE(2018,1,17)</f>
        <v>0</v>
      </c>
      <c r="C3480" s="3" t="n">
        <v>43117</v>
      </c>
      <c r="D3480" s="2" t="s">
        <v>26404</v>
      </c>
      <c r="F3480" s="2" t="s">
        <v>26405</v>
      </c>
      <c r="G3480" s="2" t="s">
        <v>26406</v>
      </c>
      <c r="H3480" s="2" t="s">
        <v>24367</v>
      </c>
      <c r="I3480" s="2" t="s">
        <v>51</v>
      </c>
      <c r="J3480" s="2" t="s">
        <v>3854</v>
      </c>
      <c r="K3480" s="2" t="s">
        <v>26407</v>
      </c>
      <c r="L3480" s="2" t="s">
        <v>388</v>
      </c>
      <c r="M3480" s="2" t="s">
        <v>26408</v>
      </c>
      <c r="N3480" s="2" t="s">
        <v>26409</v>
      </c>
      <c r="O3480" s="2"/>
      <c r="P3480" s="2" t="s">
        <v>37</v>
      </c>
      <c r="Q3480" s="4" t="n">
        <v>8731</v>
      </c>
      <c r="R3480" s="2" t="s">
        <v>56</v>
      </c>
      <c r="S3480" s="2" t="s">
        <v>92</v>
      </c>
      <c r="T3480" s="2" t="s">
        <v>40</v>
      </c>
      <c r="U3480" s="2" t="s">
        <v>26410</v>
      </c>
      <c r="V3480" s="2"/>
      <c r="W3480" s="2" t="s">
        <v>138</v>
      </c>
      <c r="X3480" s="2" t="s">
        <v>43</v>
      </c>
      <c r="Y3480" s="2" t="s">
        <v>37</v>
      </c>
      <c r="Z3480" s="2" t="s">
        <v>44</v>
      </c>
      <c r="AA3480" s="2"/>
      <c r="AB3480" s="2"/>
      <c r="AC3480" s="2" t="s">
        <v>26411</v>
      </c>
      <c r="AD3480" s="2" t="s">
        <v>46</v>
      </c>
    </row>
    <row r="3481" customFormat="false" ht="15.7" hidden="false" customHeight="true" outlineLevel="0" collapsed="false">
      <c r="A3481" s="2"/>
      <c r="B3481" s="3" t="n">
        <f aca="false">DATE(2018,1,17)</f>
        <v>0</v>
      </c>
      <c r="C3481" s="3" t="n">
        <v>43117</v>
      </c>
      <c r="D3481" s="2" t="s">
        <v>26412</v>
      </c>
      <c r="F3481" s="2" t="s">
        <v>26413</v>
      </c>
      <c r="G3481" s="2" t="s">
        <v>26414</v>
      </c>
      <c r="H3481" s="2" t="s">
        <v>26415</v>
      </c>
      <c r="I3481" s="2" t="s">
        <v>5930</v>
      </c>
      <c r="J3481" s="2" t="s">
        <v>35</v>
      </c>
      <c r="K3481" s="2" t="s">
        <v>26412</v>
      </c>
      <c r="L3481" s="2" t="s">
        <v>5930</v>
      </c>
      <c r="M3481" s="2" t="s">
        <v>26415</v>
      </c>
      <c r="N3481" s="2" t="s">
        <v>26416</v>
      </c>
      <c r="O3481" s="2"/>
      <c r="P3481" s="2" t="s">
        <v>37</v>
      </c>
      <c r="Q3481" s="4" t="n">
        <v>5099</v>
      </c>
      <c r="R3481" s="2" t="s">
        <v>136</v>
      </c>
      <c r="S3481" s="2" t="s">
        <v>39</v>
      </c>
      <c r="T3481" s="2" t="s">
        <v>40</v>
      </c>
      <c r="U3481" s="2" t="s">
        <v>26417</v>
      </c>
      <c r="V3481" s="2"/>
      <c r="W3481" s="2" t="s">
        <v>26418</v>
      </c>
      <c r="X3481" s="2" t="s">
        <v>43</v>
      </c>
      <c r="Y3481" s="2" t="s">
        <v>37</v>
      </c>
      <c r="Z3481" s="2" t="s">
        <v>44</v>
      </c>
      <c r="AA3481" s="2"/>
      <c r="AB3481" s="2"/>
      <c r="AC3481" s="2" t="s">
        <v>26419</v>
      </c>
      <c r="AD3481" s="2" t="s">
        <v>46</v>
      </c>
    </row>
    <row r="3482" customFormat="false" ht="15.7" hidden="false" customHeight="true" outlineLevel="0" collapsed="false">
      <c r="A3482" s="2"/>
      <c r="B3482" s="3" t="n">
        <f aca="false">DATE(2018,1,18)</f>
        <v>0</v>
      </c>
      <c r="C3482" s="3" t="n">
        <v>43118</v>
      </c>
      <c r="D3482" s="2" t="s">
        <v>26420</v>
      </c>
      <c r="F3482" s="2" t="s">
        <v>26421</v>
      </c>
      <c r="G3482" s="2" t="s">
        <v>26422</v>
      </c>
      <c r="H3482" s="2" t="s">
        <v>26423</v>
      </c>
      <c r="I3482" s="2" t="s">
        <v>51</v>
      </c>
      <c r="J3482" s="2" t="s">
        <v>171</v>
      </c>
      <c r="K3482" s="2" t="s">
        <v>26420</v>
      </c>
      <c r="L3482" s="2" t="s">
        <v>51</v>
      </c>
      <c r="M3482" s="2" t="s">
        <v>26423</v>
      </c>
      <c r="N3482" s="2" t="s">
        <v>26424</v>
      </c>
      <c r="O3482" s="2"/>
      <c r="P3482" s="2" t="s">
        <v>37</v>
      </c>
      <c r="Q3482" s="4" t="n">
        <v>7372</v>
      </c>
      <c r="R3482" s="2" t="s">
        <v>56</v>
      </c>
      <c r="S3482" s="2"/>
      <c r="T3482" s="2" t="s">
        <v>403</v>
      </c>
      <c r="U3482" s="2" t="s">
        <v>26425</v>
      </c>
      <c r="V3482" s="2"/>
      <c r="W3482" s="2" t="s">
        <v>6066</v>
      </c>
      <c r="X3482" s="2" t="s">
        <v>43</v>
      </c>
      <c r="Y3482" s="2" t="s">
        <v>37</v>
      </c>
      <c r="Z3482" s="2" t="s">
        <v>44</v>
      </c>
      <c r="AA3482" s="2"/>
      <c r="AB3482" s="2"/>
      <c r="AC3482" s="2" t="s">
        <v>26426</v>
      </c>
      <c r="AD3482" s="2" t="s">
        <v>46</v>
      </c>
    </row>
    <row r="3483" customFormat="false" ht="15.7" hidden="false" customHeight="true" outlineLevel="0" collapsed="false">
      <c r="A3483" s="2"/>
      <c r="B3483" s="3" t="n">
        <f aca="false">DATE(2018,1,18)</f>
        <v>0</v>
      </c>
      <c r="C3483" s="3" t="n">
        <v>43118</v>
      </c>
      <c r="D3483" s="2" t="s">
        <v>26427</v>
      </c>
      <c r="F3483" s="2" t="s">
        <v>26428</v>
      </c>
      <c r="G3483" s="2" t="s">
        <v>26429</v>
      </c>
      <c r="H3483" s="2" t="s">
        <v>928</v>
      </c>
      <c r="I3483" s="2" t="s">
        <v>26430</v>
      </c>
      <c r="J3483" s="2" t="s">
        <v>35</v>
      </c>
      <c r="K3483" s="2" t="s">
        <v>26427</v>
      </c>
      <c r="L3483" s="2" t="s">
        <v>26430</v>
      </c>
      <c r="M3483" s="2" t="s">
        <v>928</v>
      </c>
      <c r="N3483" s="2" t="s">
        <v>26431</v>
      </c>
      <c r="O3483" s="2"/>
      <c r="P3483" s="2" t="s">
        <v>37</v>
      </c>
      <c r="Q3483" s="4" t="n">
        <v>8099</v>
      </c>
      <c r="R3483" s="2" t="s">
        <v>136</v>
      </c>
      <c r="S3483" s="2" t="s">
        <v>39</v>
      </c>
      <c r="T3483" s="2" t="s">
        <v>40</v>
      </c>
      <c r="U3483" s="2" t="s">
        <v>26432</v>
      </c>
      <c r="V3483" s="2"/>
      <c r="W3483" s="2" t="s">
        <v>4487</v>
      </c>
      <c r="X3483" s="2" t="s">
        <v>43</v>
      </c>
      <c r="Y3483" s="2" t="s">
        <v>37</v>
      </c>
      <c r="Z3483" s="2" t="s">
        <v>44</v>
      </c>
      <c r="AA3483" s="2"/>
      <c r="AB3483" s="2"/>
      <c r="AC3483" s="2" t="s">
        <v>26433</v>
      </c>
      <c r="AD3483" s="2" t="s">
        <v>46</v>
      </c>
    </row>
    <row r="3484" customFormat="false" ht="15.7" hidden="false" customHeight="true" outlineLevel="0" collapsed="false">
      <c r="A3484" s="2"/>
      <c r="B3484" s="3" t="n">
        <f aca="false">DATE(2018,1,18)</f>
        <v>0</v>
      </c>
      <c r="C3484" s="3" t="n">
        <v>43118</v>
      </c>
      <c r="D3484" s="2" t="s">
        <v>26434</v>
      </c>
      <c r="F3484" s="2" t="s">
        <v>20591</v>
      </c>
      <c r="G3484" s="2" t="s">
        <v>26435</v>
      </c>
      <c r="H3484" s="2" t="s">
        <v>305</v>
      </c>
      <c r="I3484" s="2" t="s">
        <v>5647</v>
      </c>
      <c r="J3484" s="2" t="s">
        <v>35</v>
      </c>
      <c r="K3484" s="2" t="s">
        <v>26436</v>
      </c>
      <c r="L3484" s="2" t="s">
        <v>17302</v>
      </c>
      <c r="M3484" s="2" t="s">
        <v>305</v>
      </c>
      <c r="N3484" s="2" t="s">
        <v>26437</v>
      </c>
      <c r="O3484" s="2"/>
      <c r="P3484" s="2" t="s">
        <v>37</v>
      </c>
      <c r="Q3484" s="4" t="n">
        <v>2834</v>
      </c>
      <c r="R3484" s="2" t="s">
        <v>136</v>
      </c>
      <c r="S3484" s="2" t="s">
        <v>39</v>
      </c>
      <c r="T3484" s="2" t="s">
        <v>40</v>
      </c>
      <c r="U3484" s="2" t="s">
        <v>26438</v>
      </c>
      <c r="V3484" s="2"/>
      <c r="W3484" s="2" t="s">
        <v>23349</v>
      </c>
      <c r="X3484" s="2" t="s">
        <v>43</v>
      </c>
      <c r="Y3484" s="2" t="s">
        <v>37</v>
      </c>
      <c r="Z3484" s="2" t="s">
        <v>44</v>
      </c>
      <c r="AA3484" s="2"/>
      <c r="AB3484" s="2"/>
      <c r="AC3484" s="2" t="s">
        <v>26439</v>
      </c>
      <c r="AD3484" s="2" t="s">
        <v>46</v>
      </c>
    </row>
    <row r="3485" customFormat="false" ht="15.7" hidden="false" customHeight="true" outlineLevel="0" collapsed="false">
      <c r="A3485" s="2"/>
      <c r="B3485" s="3" t="n">
        <f aca="false">DATE(2018,1,19)</f>
        <v>0</v>
      </c>
      <c r="C3485" s="3" t="n">
        <v>43119</v>
      </c>
      <c r="D3485" s="2" t="s">
        <v>26440</v>
      </c>
      <c r="F3485" s="2" t="s">
        <v>26441</v>
      </c>
      <c r="G3485" s="2" t="s">
        <v>26442</v>
      </c>
      <c r="H3485" s="2" t="s">
        <v>4803</v>
      </c>
      <c r="I3485" s="2" t="s">
        <v>487</v>
      </c>
      <c r="J3485" s="2" t="s">
        <v>966</v>
      </c>
      <c r="K3485" s="2" t="s">
        <v>26440</v>
      </c>
      <c r="L3485" s="2" t="s">
        <v>487</v>
      </c>
      <c r="M3485" s="2" t="s">
        <v>4803</v>
      </c>
      <c r="N3485" s="2" t="s">
        <v>26443</v>
      </c>
      <c r="O3485" s="2"/>
      <c r="P3485" s="2" t="s">
        <v>37</v>
      </c>
      <c r="Q3485" s="4" t="n">
        <v>8731</v>
      </c>
      <c r="R3485" s="2" t="s">
        <v>56</v>
      </c>
      <c r="S3485" s="2"/>
      <c r="T3485" s="2" t="s">
        <v>403</v>
      </c>
      <c r="U3485" s="2" t="s">
        <v>26444</v>
      </c>
      <c r="V3485" s="2"/>
      <c r="W3485" s="2" t="s">
        <v>344</v>
      </c>
      <c r="X3485" s="2" t="s">
        <v>43</v>
      </c>
      <c r="Y3485" s="2" t="s">
        <v>37</v>
      </c>
      <c r="Z3485" s="2" t="s">
        <v>44</v>
      </c>
      <c r="AA3485" s="2"/>
      <c r="AB3485" s="2"/>
      <c r="AC3485" s="2" t="s">
        <v>26445</v>
      </c>
      <c r="AD3485" s="2" t="s">
        <v>46</v>
      </c>
    </row>
    <row r="3486" customFormat="false" ht="15.7" hidden="false" customHeight="true" outlineLevel="0" collapsed="false">
      <c r="A3486" s="2"/>
      <c r="B3486" s="3" t="n">
        <f aca="false">DATE(2018,1,19)</f>
        <v>0</v>
      </c>
      <c r="C3486" s="3" t="n">
        <v>43119</v>
      </c>
      <c r="D3486" s="2" t="s">
        <v>26446</v>
      </c>
      <c r="F3486" s="2" t="s">
        <v>26447</v>
      </c>
      <c r="G3486" s="2" t="s">
        <v>26448</v>
      </c>
      <c r="H3486" s="2" t="s">
        <v>26449</v>
      </c>
      <c r="I3486" s="2" t="s">
        <v>26450</v>
      </c>
      <c r="J3486" s="2" t="s">
        <v>1983</v>
      </c>
      <c r="K3486" s="2" t="s">
        <v>26446</v>
      </c>
      <c r="L3486" s="2" t="s">
        <v>26450</v>
      </c>
      <c r="M3486" s="2" t="s">
        <v>26449</v>
      </c>
      <c r="N3486" s="2" t="s">
        <v>26451</v>
      </c>
      <c r="O3486" s="2"/>
      <c r="P3486" s="2" t="s">
        <v>37</v>
      </c>
      <c r="Q3486" s="4" t="n">
        <v>8731</v>
      </c>
      <c r="R3486" s="2" t="s">
        <v>26450</v>
      </c>
      <c r="S3486" s="2" t="s">
        <v>26308</v>
      </c>
      <c r="T3486" s="2" t="s">
        <v>403</v>
      </c>
      <c r="U3486" s="2" t="s">
        <v>26452</v>
      </c>
      <c r="V3486" s="2"/>
      <c r="W3486" s="2" t="s">
        <v>42</v>
      </c>
      <c r="X3486" s="2" t="s">
        <v>43</v>
      </c>
      <c r="Y3486" s="2" t="s">
        <v>79</v>
      </c>
      <c r="Z3486" s="2" t="s">
        <v>44</v>
      </c>
      <c r="AA3486" s="2"/>
      <c r="AB3486" s="2"/>
      <c r="AC3486" s="2" t="s">
        <v>26453</v>
      </c>
      <c r="AD3486" s="2" t="s">
        <v>46</v>
      </c>
    </row>
    <row r="3487" customFormat="false" ht="15.7" hidden="false" customHeight="true" outlineLevel="0" collapsed="false">
      <c r="A3487" s="2"/>
      <c r="B3487" s="3" t="n">
        <f aca="false">DATE(2018,1,22)</f>
        <v>0</v>
      </c>
      <c r="C3487" s="3" t="n">
        <v>43122</v>
      </c>
      <c r="D3487" s="2" t="s">
        <v>26454</v>
      </c>
      <c r="F3487" s="2" t="s">
        <v>26455</v>
      </c>
      <c r="G3487" s="2" t="s">
        <v>26456</v>
      </c>
      <c r="H3487" s="2" t="s">
        <v>26457</v>
      </c>
      <c r="I3487" s="2" t="s">
        <v>540</v>
      </c>
      <c r="J3487" s="2" t="s">
        <v>35</v>
      </c>
      <c r="K3487" s="2" t="s">
        <v>26454</v>
      </c>
      <c r="L3487" s="2" t="s">
        <v>540</v>
      </c>
      <c r="M3487" s="2" t="s">
        <v>26457</v>
      </c>
      <c r="N3487" s="2" t="s">
        <v>26458</v>
      </c>
      <c r="O3487" s="2"/>
      <c r="P3487" s="2" t="s">
        <v>37</v>
      </c>
      <c r="Q3487" s="4" t="n">
        <v>8731</v>
      </c>
      <c r="R3487" s="2" t="s">
        <v>1448</v>
      </c>
      <c r="S3487" s="2" t="s">
        <v>39</v>
      </c>
      <c r="T3487" s="2" t="s">
        <v>40</v>
      </c>
      <c r="U3487" s="2" t="s">
        <v>26459</v>
      </c>
      <c r="V3487" s="2"/>
      <c r="W3487" s="2" t="s">
        <v>42</v>
      </c>
      <c r="X3487" s="2" t="s">
        <v>43</v>
      </c>
      <c r="Y3487" s="2" t="s">
        <v>37</v>
      </c>
      <c r="Z3487" s="2" t="s">
        <v>44</v>
      </c>
      <c r="AA3487" s="2"/>
      <c r="AB3487" s="2"/>
      <c r="AC3487" s="2" t="s">
        <v>26460</v>
      </c>
      <c r="AD3487" s="2" t="s">
        <v>46</v>
      </c>
    </row>
    <row r="3488" customFormat="false" ht="15.7" hidden="false" customHeight="true" outlineLevel="0" collapsed="false">
      <c r="A3488" s="2"/>
      <c r="B3488" s="3" t="n">
        <f aca="false">DATE(2018,1,23)</f>
        <v>0</v>
      </c>
      <c r="C3488" s="3" t="n">
        <v>43123</v>
      </c>
      <c r="D3488" s="2" t="s">
        <v>26461</v>
      </c>
      <c r="F3488" s="2" t="s">
        <v>26462</v>
      </c>
      <c r="G3488" s="2" t="s">
        <v>26463</v>
      </c>
      <c r="H3488" s="2" t="s">
        <v>26464</v>
      </c>
      <c r="I3488" s="2" t="s">
        <v>26465</v>
      </c>
      <c r="J3488" s="2" t="s">
        <v>575</v>
      </c>
      <c r="K3488" s="2" t="s">
        <v>26466</v>
      </c>
      <c r="L3488" s="2" t="s">
        <v>26467</v>
      </c>
      <c r="M3488" s="2" t="s">
        <v>240</v>
      </c>
      <c r="N3488" s="2" t="s">
        <v>26468</v>
      </c>
      <c r="O3488" s="2" t="s">
        <v>26469</v>
      </c>
      <c r="P3488" s="2" t="s">
        <v>79</v>
      </c>
      <c r="Q3488" s="4" t="n">
        <v>7373</v>
      </c>
      <c r="R3488" s="2" t="s">
        <v>56</v>
      </c>
      <c r="S3488" s="2" t="s">
        <v>507</v>
      </c>
      <c r="T3488" s="2" t="s">
        <v>40</v>
      </c>
      <c r="U3488" s="2" t="s">
        <v>26470</v>
      </c>
      <c r="V3488" s="2"/>
      <c r="W3488" s="2" t="s">
        <v>6330</v>
      </c>
      <c r="X3488" s="2" t="s">
        <v>46</v>
      </c>
      <c r="Y3488" s="2" t="s">
        <v>37</v>
      </c>
      <c r="Z3488" s="2" t="s">
        <v>362</v>
      </c>
      <c r="AA3488" s="2" t="s">
        <v>26471</v>
      </c>
      <c r="AB3488" s="2" t="s">
        <v>26472</v>
      </c>
      <c r="AC3488" s="2" t="s">
        <v>26473</v>
      </c>
      <c r="AD3488" s="2" t="s">
        <v>46</v>
      </c>
    </row>
    <row r="3489" customFormat="false" ht="15.7" hidden="false" customHeight="true" outlineLevel="0" collapsed="false">
      <c r="A3489" s="2"/>
      <c r="B3489" s="3" t="n">
        <f aca="false">DATE(2018,1,24)</f>
        <v>0</v>
      </c>
      <c r="C3489" s="3" t="n">
        <v>43124</v>
      </c>
      <c r="D3489" s="2" t="s">
        <v>26474</v>
      </c>
      <c r="F3489" s="2" t="s">
        <v>23707</v>
      </c>
      <c r="G3489" s="2" t="s">
        <v>26475</v>
      </c>
      <c r="H3489" s="2" t="s">
        <v>1101</v>
      </c>
      <c r="I3489" s="2" t="s">
        <v>296</v>
      </c>
      <c r="J3489" s="2" t="s">
        <v>65</v>
      </c>
      <c r="K3489" s="2" t="s">
        <v>26474</v>
      </c>
      <c r="L3489" s="2" t="s">
        <v>296</v>
      </c>
      <c r="M3489" s="2" t="s">
        <v>1101</v>
      </c>
      <c r="N3489" s="2" t="s">
        <v>26476</v>
      </c>
      <c r="O3489" s="2"/>
      <c r="P3489" s="2" t="s">
        <v>37</v>
      </c>
      <c r="Q3489" s="4" t="n">
        <v>8099</v>
      </c>
      <c r="R3489" s="2" t="s">
        <v>136</v>
      </c>
      <c r="S3489" s="2" t="s">
        <v>39</v>
      </c>
      <c r="T3489" s="2" t="s">
        <v>403</v>
      </c>
      <c r="U3489" s="2" t="s">
        <v>26477</v>
      </c>
      <c r="V3489" s="2"/>
      <c r="W3489" s="2" t="s">
        <v>4487</v>
      </c>
      <c r="X3489" s="2" t="s">
        <v>43</v>
      </c>
      <c r="Y3489" s="2" t="s">
        <v>37</v>
      </c>
      <c r="Z3489" s="2" t="s">
        <v>44</v>
      </c>
      <c r="AA3489" s="2"/>
      <c r="AB3489" s="2"/>
      <c r="AC3489" s="2" t="s">
        <v>26478</v>
      </c>
      <c r="AD3489" s="2" t="s">
        <v>46</v>
      </c>
    </row>
    <row r="3490" customFormat="false" ht="15.7" hidden="false" customHeight="true" outlineLevel="0" collapsed="false">
      <c r="A3490" s="2"/>
      <c r="B3490" s="3" t="n">
        <f aca="false">DATE(2018,1,24)</f>
        <v>0</v>
      </c>
      <c r="C3490" s="3" t="n">
        <v>43124</v>
      </c>
      <c r="D3490" s="2" t="s">
        <v>26479</v>
      </c>
      <c r="F3490" s="2" t="s">
        <v>26480</v>
      </c>
      <c r="G3490" s="2" t="s">
        <v>26481</v>
      </c>
      <c r="H3490" s="2" t="s">
        <v>26482</v>
      </c>
      <c r="I3490" s="2" t="s">
        <v>26483</v>
      </c>
      <c r="J3490" s="2" t="s">
        <v>35</v>
      </c>
      <c r="K3490" s="2" t="s">
        <v>26484</v>
      </c>
      <c r="L3490" s="2" t="s">
        <v>6134</v>
      </c>
      <c r="M3490" s="2" t="s">
        <v>26485</v>
      </c>
      <c r="N3490" s="2" t="s">
        <v>26486</v>
      </c>
      <c r="O3490" s="2"/>
      <c r="P3490" s="2" t="s">
        <v>37</v>
      </c>
      <c r="Q3490" s="4" t="n">
        <v>8731</v>
      </c>
      <c r="R3490" s="2" t="s">
        <v>26483</v>
      </c>
      <c r="S3490" s="2" t="s">
        <v>5334</v>
      </c>
      <c r="T3490" s="2" t="s">
        <v>40</v>
      </c>
      <c r="U3490" s="2" t="s">
        <v>26487</v>
      </c>
      <c r="V3490" s="2"/>
      <c r="W3490" s="2" t="s">
        <v>2367</v>
      </c>
      <c r="X3490" s="2" t="s">
        <v>43</v>
      </c>
      <c r="Y3490" s="2" t="s">
        <v>79</v>
      </c>
      <c r="Z3490" s="2" t="s">
        <v>44</v>
      </c>
      <c r="AA3490" s="2"/>
      <c r="AB3490" s="2"/>
      <c r="AC3490" s="2" t="s">
        <v>26488</v>
      </c>
      <c r="AD3490" s="2" t="s">
        <v>46</v>
      </c>
    </row>
    <row r="3491" customFormat="false" ht="15.7" hidden="false" customHeight="true" outlineLevel="0" collapsed="false">
      <c r="A3491" s="2"/>
      <c r="B3491" s="3" t="n">
        <f aca="false">DATE(2018,1,24)</f>
        <v>0</v>
      </c>
      <c r="C3491" s="3" t="n">
        <v>43124</v>
      </c>
      <c r="D3491" s="2" t="s">
        <v>26489</v>
      </c>
      <c r="F3491" s="2" t="s">
        <v>26490</v>
      </c>
      <c r="G3491" s="2" t="s">
        <v>26491</v>
      </c>
      <c r="H3491" s="2" t="s">
        <v>2959</v>
      </c>
      <c r="I3491" s="2" t="s">
        <v>257</v>
      </c>
      <c r="J3491" s="2" t="s">
        <v>1891</v>
      </c>
      <c r="K3491" s="2" t="s">
        <v>26489</v>
      </c>
      <c r="L3491" s="2" t="s">
        <v>257</v>
      </c>
      <c r="M3491" s="2" t="s">
        <v>2959</v>
      </c>
      <c r="N3491" s="2" t="s">
        <v>26492</v>
      </c>
      <c r="O3491" s="2"/>
      <c r="P3491" s="2" t="s">
        <v>37</v>
      </c>
      <c r="Q3491" s="4" t="n">
        <v>8731</v>
      </c>
      <c r="R3491" s="2" t="s">
        <v>56</v>
      </c>
      <c r="S3491" s="2"/>
      <c r="T3491" s="2" t="s">
        <v>403</v>
      </c>
      <c r="U3491" s="2" t="s">
        <v>26493</v>
      </c>
      <c r="V3491" s="2"/>
      <c r="W3491" s="2" t="s">
        <v>42</v>
      </c>
      <c r="X3491" s="2" t="s">
        <v>43</v>
      </c>
      <c r="Y3491" s="2" t="s">
        <v>37</v>
      </c>
      <c r="Z3491" s="2" t="s">
        <v>44</v>
      </c>
      <c r="AA3491" s="2"/>
      <c r="AB3491" s="2"/>
      <c r="AC3491" s="2" t="s">
        <v>26494</v>
      </c>
      <c r="AD3491" s="2" t="s">
        <v>46</v>
      </c>
    </row>
    <row r="3492" customFormat="false" ht="15.7" hidden="false" customHeight="true" outlineLevel="0" collapsed="false">
      <c r="A3492" s="2"/>
      <c r="B3492" s="3" t="n">
        <f aca="false">DATE(2018,1,25)</f>
        <v>0</v>
      </c>
      <c r="C3492" s="3" t="n">
        <v>43125</v>
      </c>
      <c r="D3492" s="2" t="s">
        <v>26495</v>
      </c>
      <c r="F3492" s="2" t="s">
        <v>26496</v>
      </c>
      <c r="G3492" s="2" t="s">
        <v>26497</v>
      </c>
      <c r="H3492" s="2" t="s">
        <v>26498</v>
      </c>
      <c r="I3492" s="2" t="s">
        <v>5990</v>
      </c>
      <c r="J3492" s="2" t="s">
        <v>35</v>
      </c>
      <c r="K3492" s="2" t="s">
        <v>26499</v>
      </c>
      <c r="L3492" s="2" t="s">
        <v>26500</v>
      </c>
      <c r="M3492" s="2" t="s">
        <v>26501</v>
      </c>
      <c r="N3492" s="2" t="s">
        <v>26502</v>
      </c>
      <c r="O3492" s="2"/>
      <c r="P3492" s="2" t="s">
        <v>37</v>
      </c>
      <c r="Q3492" s="4" t="n">
        <v>8731</v>
      </c>
      <c r="R3492" s="2" t="s">
        <v>3154</v>
      </c>
      <c r="S3492" s="2" t="s">
        <v>39</v>
      </c>
      <c r="T3492" s="2" t="s">
        <v>40</v>
      </c>
      <c r="U3492" s="2" t="s">
        <v>26503</v>
      </c>
      <c r="V3492" s="2"/>
      <c r="W3492" s="2" t="s">
        <v>138</v>
      </c>
      <c r="X3492" s="2" t="s">
        <v>43</v>
      </c>
      <c r="Y3492" s="2" t="s">
        <v>37</v>
      </c>
      <c r="Z3492" s="2" t="s">
        <v>44</v>
      </c>
      <c r="AA3492" s="2"/>
      <c r="AB3492" s="2"/>
      <c r="AC3492" s="2" t="s">
        <v>26504</v>
      </c>
      <c r="AD3492" s="2" t="s">
        <v>46</v>
      </c>
    </row>
    <row r="3493" customFormat="false" ht="15.7" hidden="false" customHeight="true" outlineLevel="0" collapsed="false">
      <c r="A3493" s="2"/>
      <c r="B3493" s="3" t="n">
        <f aca="false">DATE(2018,1,25)</f>
        <v>0</v>
      </c>
      <c r="C3493" s="3" t="n">
        <v>43125</v>
      </c>
      <c r="D3493" s="2" t="s">
        <v>26505</v>
      </c>
      <c r="F3493" s="2" t="s">
        <v>26506</v>
      </c>
      <c r="G3493" s="2" t="s">
        <v>26507</v>
      </c>
      <c r="H3493" s="2" t="s">
        <v>523</v>
      </c>
      <c r="I3493" s="2" t="s">
        <v>1508</v>
      </c>
      <c r="J3493" s="2" t="s">
        <v>900</v>
      </c>
      <c r="K3493" s="2" t="s">
        <v>26508</v>
      </c>
      <c r="L3493" s="2" t="s">
        <v>26509</v>
      </c>
      <c r="M3493" s="2" t="s">
        <v>523</v>
      </c>
      <c r="N3493" s="2" t="s">
        <v>26510</v>
      </c>
      <c r="O3493" s="2"/>
      <c r="P3493" s="2" t="s">
        <v>79</v>
      </c>
      <c r="Q3493" s="4" t="n">
        <v>6794</v>
      </c>
      <c r="R3493" s="2" t="s">
        <v>56</v>
      </c>
      <c r="S3493" s="2"/>
      <c r="T3493" s="2" t="s">
        <v>40</v>
      </c>
      <c r="U3493" s="2" t="s">
        <v>26511</v>
      </c>
      <c r="V3493" s="2"/>
      <c r="W3493" s="2" t="s">
        <v>206</v>
      </c>
      <c r="X3493" s="2" t="s">
        <v>43</v>
      </c>
      <c r="Y3493" s="2" t="s">
        <v>37</v>
      </c>
      <c r="Z3493" s="2" t="s">
        <v>44</v>
      </c>
      <c r="AA3493" s="2"/>
      <c r="AB3493" s="2"/>
      <c r="AC3493" s="2" t="s">
        <v>26512</v>
      </c>
      <c r="AD3493" s="2" t="s">
        <v>46</v>
      </c>
    </row>
    <row r="3494" customFormat="false" ht="15.7" hidden="false" customHeight="true" outlineLevel="0" collapsed="false">
      <c r="A3494" s="2"/>
      <c r="B3494" s="3" t="n">
        <f aca="false">DATE(2018,1,25)</f>
        <v>0</v>
      </c>
      <c r="C3494" s="3" t="n">
        <v>43125</v>
      </c>
      <c r="D3494" s="2" t="s">
        <v>26513</v>
      </c>
      <c r="F3494" s="2" t="s">
        <v>26514</v>
      </c>
      <c r="G3494" s="2" t="s">
        <v>26515</v>
      </c>
      <c r="H3494" s="2" t="s">
        <v>26516</v>
      </c>
      <c r="I3494" s="2" t="s">
        <v>540</v>
      </c>
      <c r="J3494" s="2" t="s">
        <v>35</v>
      </c>
      <c r="K3494" s="2" t="s">
        <v>26513</v>
      </c>
      <c r="L3494" s="2" t="s">
        <v>540</v>
      </c>
      <c r="M3494" s="2" t="s">
        <v>26516</v>
      </c>
      <c r="N3494" s="2" t="s">
        <v>26517</v>
      </c>
      <c r="O3494" s="2"/>
      <c r="P3494" s="2" t="s">
        <v>37</v>
      </c>
      <c r="Q3494" s="4" t="n">
        <v>8731</v>
      </c>
      <c r="R3494" s="2" t="s">
        <v>1448</v>
      </c>
      <c r="S3494" s="2" t="s">
        <v>39</v>
      </c>
      <c r="T3494" s="2" t="s">
        <v>403</v>
      </c>
      <c r="U3494" s="2" t="s">
        <v>26518</v>
      </c>
      <c r="V3494" s="2"/>
      <c r="W3494" s="2" t="s">
        <v>42</v>
      </c>
      <c r="X3494" s="2" t="s">
        <v>46</v>
      </c>
      <c r="Y3494" s="2" t="s">
        <v>37</v>
      </c>
      <c r="Z3494" s="2" t="s">
        <v>362</v>
      </c>
      <c r="AA3494" s="2"/>
      <c r="AB3494" s="2"/>
      <c r="AC3494" s="2" t="s">
        <v>26519</v>
      </c>
      <c r="AD3494" s="2" t="s">
        <v>46</v>
      </c>
    </row>
    <row r="3495" customFormat="false" ht="15.7" hidden="false" customHeight="true" outlineLevel="0" collapsed="false">
      <c r="A3495" s="2"/>
      <c r="B3495" s="3" t="n">
        <f aca="false">DATE(2018,1,25)</f>
        <v>0</v>
      </c>
      <c r="C3495" s="3" t="n">
        <v>43125</v>
      </c>
      <c r="D3495" s="2" t="s">
        <v>26520</v>
      </c>
      <c r="F3495" s="2" t="s">
        <v>26521</v>
      </c>
      <c r="G3495" s="2" t="s">
        <v>26522</v>
      </c>
      <c r="H3495" s="2" t="s">
        <v>26523</v>
      </c>
      <c r="I3495" s="2" t="s">
        <v>51</v>
      </c>
      <c r="J3495" s="2" t="s">
        <v>26524</v>
      </c>
      <c r="K3495" s="2" t="s">
        <v>26525</v>
      </c>
      <c r="L3495" s="2" t="s">
        <v>51</v>
      </c>
      <c r="M3495" s="2" t="s">
        <v>26523</v>
      </c>
      <c r="N3495" s="2" t="s">
        <v>26526</v>
      </c>
      <c r="O3495" s="2"/>
      <c r="P3495" s="2" t="s">
        <v>79</v>
      </c>
      <c r="Q3495" s="4" t="n">
        <v>6794</v>
      </c>
      <c r="R3495" s="2" t="s">
        <v>56</v>
      </c>
      <c r="S3495" s="2"/>
      <c r="T3495" s="2" t="s">
        <v>40</v>
      </c>
      <c r="U3495" s="2" t="s">
        <v>26527</v>
      </c>
      <c r="V3495" s="2"/>
      <c r="W3495" s="2" t="s">
        <v>82</v>
      </c>
      <c r="X3495" s="2" t="s">
        <v>43</v>
      </c>
      <c r="Y3495" s="2" t="s">
        <v>37</v>
      </c>
      <c r="Z3495" s="2" t="s">
        <v>44</v>
      </c>
      <c r="AA3495" s="2"/>
      <c r="AB3495" s="2"/>
      <c r="AC3495" s="2" t="s">
        <v>26528</v>
      </c>
      <c r="AD3495" s="2" t="s">
        <v>46</v>
      </c>
    </row>
    <row r="3496" customFormat="false" ht="15.7" hidden="false" customHeight="true" outlineLevel="0" collapsed="false">
      <c r="A3496" s="3" t="n">
        <f aca="false">DATE(2018,1,25)</f>
        <v>0</v>
      </c>
      <c r="B3496" s="3" t="n">
        <f aca="false">DATE(2018,1,25)</f>
        <v>0</v>
      </c>
      <c r="C3496" s="3" t="n">
        <v>43125</v>
      </c>
      <c r="D3496" s="2" t="s">
        <v>26529</v>
      </c>
      <c r="F3496" s="2" t="s">
        <v>26530</v>
      </c>
      <c r="G3496" s="2" t="s">
        <v>26531</v>
      </c>
      <c r="H3496" s="2" t="s">
        <v>26532</v>
      </c>
      <c r="I3496" s="2" t="s">
        <v>4317</v>
      </c>
      <c r="J3496" s="2" t="s">
        <v>35</v>
      </c>
      <c r="K3496" s="2" t="s">
        <v>26529</v>
      </c>
      <c r="L3496" s="2" t="s">
        <v>4317</v>
      </c>
      <c r="M3496" s="2" t="s">
        <v>26532</v>
      </c>
      <c r="N3496" s="2" t="s">
        <v>26533</v>
      </c>
      <c r="O3496" s="2"/>
      <c r="P3496" s="2" t="s">
        <v>37</v>
      </c>
      <c r="Q3496" s="4" t="n">
        <v>3821</v>
      </c>
      <c r="R3496" s="2" t="s">
        <v>38</v>
      </c>
      <c r="S3496" s="2" t="s">
        <v>39</v>
      </c>
      <c r="T3496" s="2" t="s">
        <v>40</v>
      </c>
      <c r="U3496" s="2" t="s">
        <v>26534</v>
      </c>
      <c r="V3496" s="2"/>
      <c r="W3496" s="2" t="s">
        <v>4487</v>
      </c>
      <c r="X3496" s="2" t="s">
        <v>43</v>
      </c>
      <c r="Y3496" s="2" t="s">
        <v>37</v>
      </c>
      <c r="Z3496" s="2" t="s">
        <v>44</v>
      </c>
      <c r="AA3496" s="2"/>
      <c r="AB3496" s="2"/>
      <c r="AC3496" s="2" t="s">
        <v>26535</v>
      </c>
      <c r="AD3496" s="2" t="s">
        <v>46</v>
      </c>
    </row>
    <row r="3497" customFormat="false" ht="15.7" hidden="false" customHeight="true" outlineLevel="0" collapsed="false">
      <c r="A3497" s="2"/>
      <c r="B3497" s="3" t="n">
        <f aca="false">DATE(2018,1,25)</f>
        <v>0</v>
      </c>
      <c r="C3497" s="3" t="n">
        <v>43125</v>
      </c>
      <c r="D3497" s="2" t="s">
        <v>26536</v>
      </c>
      <c r="F3497" s="2" t="s">
        <v>26537</v>
      </c>
      <c r="G3497" s="2" t="s">
        <v>26538</v>
      </c>
      <c r="H3497" s="2" t="s">
        <v>523</v>
      </c>
      <c r="I3497" s="2" t="s">
        <v>51</v>
      </c>
      <c r="J3497" s="2" t="s">
        <v>306</v>
      </c>
      <c r="K3497" s="2" t="s">
        <v>26536</v>
      </c>
      <c r="L3497" s="2" t="s">
        <v>51</v>
      </c>
      <c r="M3497" s="2" t="s">
        <v>523</v>
      </c>
      <c r="N3497" s="2" t="s">
        <v>26539</v>
      </c>
      <c r="O3497" s="2"/>
      <c r="P3497" s="2" t="s">
        <v>79</v>
      </c>
      <c r="Q3497" s="4" t="n">
        <v>6794</v>
      </c>
      <c r="R3497" s="2" t="s">
        <v>56</v>
      </c>
      <c r="S3497" s="2"/>
      <c r="T3497" s="2" t="s">
        <v>40</v>
      </c>
      <c r="U3497" s="2" t="s">
        <v>26540</v>
      </c>
      <c r="V3497" s="2"/>
      <c r="W3497" s="2" t="s">
        <v>82</v>
      </c>
      <c r="X3497" s="2" t="s">
        <v>43</v>
      </c>
      <c r="Y3497" s="2" t="s">
        <v>37</v>
      </c>
      <c r="Z3497" s="2" t="s">
        <v>44</v>
      </c>
      <c r="AA3497" s="2"/>
      <c r="AB3497" s="2"/>
      <c r="AC3497" s="2" t="s">
        <v>26541</v>
      </c>
      <c r="AD3497" s="2" t="s">
        <v>46</v>
      </c>
    </row>
    <row r="3498" customFormat="false" ht="15.7" hidden="false" customHeight="true" outlineLevel="0" collapsed="false">
      <c r="A3498" s="2"/>
      <c r="B3498" s="3" t="n">
        <f aca="false">DATE(2018,1,26)</f>
        <v>0</v>
      </c>
      <c r="C3498" s="3" t="n">
        <v>43126</v>
      </c>
      <c r="D3498" s="2" t="s">
        <v>26542</v>
      </c>
      <c r="F3498" s="2" t="s">
        <v>26543</v>
      </c>
      <c r="G3498" s="2" t="s">
        <v>26544</v>
      </c>
      <c r="H3498" s="2" t="s">
        <v>26545</v>
      </c>
      <c r="I3498" s="2" t="s">
        <v>12752</v>
      </c>
      <c r="J3498" s="2" t="s">
        <v>1983</v>
      </c>
      <c r="K3498" s="2" t="s">
        <v>26546</v>
      </c>
      <c r="L3498" s="2" t="s">
        <v>12752</v>
      </c>
      <c r="M3498" s="2" t="s">
        <v>26143</v>
      </c>
      <c r="N3498" s="2" t="s">
        <v>26547</v>
      </c>
      <c r="O3498" s="2"/>
      <c r="P3498" s="2" t="s">
        <v>37</v>
      </c>
      <c r="Q3498" s="4" t="n">
        <v>8731</v>
      </c>
      <c r="R3498" s="2" t="s">
        <v>56</v>
      </c>
      <c r="S3498" s="2" t="s">
        <v>1484</v>
      </c>
      <c r="T3498" s="2" t="s">
        <v>403</v>
      </c>
      <c r="U3498" s="2" t="s">
        <v>26548</v>
      </c>
      <c r="V3498" s="2"/>
      <c r="W3498" s="2" t="s">
        <v>42</v>
      </c>
      <c r="X3498" s="2" t="s">
        <v>43</v>
      </c>
      <c r="Y3498" s="2" t="s">
        <v>37</v>
      </c>
      <c r="Z3498" s="2" t="s">
        <v>44</v>
      </c>
      <c r="AA3498" s="2"/>
      <c r="AB3498" s="2"/>
      <c r="AC3498" s="2" t="s">
        <v>26549</v>
      </c>
      <c r="AD3498" s="2" t="s">
        <v>46</v>
      </c>
    </row>
    <row r="3499" customFormat="false" ht="15.7" hidden="false" customHeight="true" outlineLevel="0" collapsed="false">
      <c r="A3499" s="2"/>
      <c r="B3499" s="3" t="n">
        <f aca="false">DATE(2018,1,29)</f>
        <v>0</v>
      </c>
      <c r="C3499" s="3" t="n">
        <v>43129</v>
      </c>
      <c r="D3499" s="2" t="s">
        <v>26550</v>
      </c>
      <c r="F3499" s="2" t="s">
        <v>26551</v>
      </c>
      <c r="G3499" s="2" t="s">
        <v>26552</v>
      </c>
      <c r="H3499" s="2" t="s">
        <v>9924</v>
      </c>
      <c r="I3499" s="2" t="s">
        <v>1779</v>
      </c>
      <c r="J3499" s="2" t="s">
        <v>35</v>
      </c>
      <c r="K3499" s="2" t="s">
        <v>26550</v>
      </c>
      <c r="L3499" s="2" t="s">
        <v>1779</v>
      </c>
      <c r="M3499" s="2" t="s">
        <v>9924</v>
      </c>
      <c r="N3499" s="2" t="s">
        <v>26553</v>
      </c>
      <c r="O3499" s="2"/>
      <c r="P3499" s="2" t="s">
        <v>37</v>
      </c>
      <c r="Q3499" s="4" t="n">
        <v>8731</v>
      </c>
      <c r="R3499" s="2" t="s">
        <v>402</v>
      </c>
      <c r="S3499" s="2" t="s">
        <v>39</v>
      </c>
      <c r="T3499" s="2" t="s">
        <v>403</v>
      </c>
      <c r="U3499" s="2" t="s">
        <v>26554</v>
      </c>
      <c r="V3499" s="2"/>
      <c r="W3499" s="2" t="s">
        <v>42</v>
      </c>
      <c r="X3499" s="2" t="s">
        <v>46</v>
      </c>
      <c r="Y3499" s="2" t="s">
        <v>37</v>
      </c>
      <c r="Z3499" s="2" t="s">
        <v>26555</v>
      </c>
      <c r="AA3499" s="2"/>
      <c r="AB3499" s="2"/>
      <c r="AC3499" s="2" t="s">
        <v>26556</v>
      </c>
      <c r="AD3499" s="2" t="s">
        <v>46</v>
      </c>
    </row>
    <row r="3500" customFormat="false" ht="15.7" hidden="false" customHeight="true" outlineLevel="0" collapsed="false">
      <c r="A3500" s="2"/>
      <c r="B3500" s="3" t="n">
        <f aca="false">DATE(2018,1,30)</f>
        <v>0</v>
      </c>
      <c r="C3500" s="3" t="n">
        <v>43130</v>
      </c>
      <c r="D3500" s="2" t="s">
        <v>26557</v>
      </c>
      <c r="F3500" s="2" t="s">
        <v>26558</v>
      </c>
      <c r="G3500" s="2" t="s">
        <v>26559</v>
      </c>
      <c r="H3500" s="2" t="s">
        <v>523</v>
      </c>
      <c r="I3500" s="2" t="s">
        <v>227</v>
      </c>
      <c r="J3500" s="2" t="s">
        <v>331</v>
      </c>
      <c r="K3500" s="2" t="s">
        <v>26557</v>
      </c>
      <c r="L3500" s="2" t="s">
        <v>227</v>
      </c>
      <c r="M3500" s="2" t="s">
        <v>523</v>
      </c>
      <c r="N3500" s="2" t="s">
        <v>26560</v>
      </c>
      <c r="O3500" s="2"/>
      <c r="P3500" s="2" t="s">
        <v>79</v>
      </c>
      <c r="Q3500" s="4" t="n">
        <v>6794</v>
      </c>
      <c r="R3500" s="2" t="s">
        <v>136</v>
      </c>
      <c r="S3500" s="2" t="s">
        <v>39</v>
      </c>
      <c r="T3500" s="2" t="s">
        <v>40</v>
      </c>
      <c r="U3500" s="2" t="s">
        <v>26561</v>
      </c>
      <c r="V3500" s="2"/>
      <c r="W3500" s="2" t="s">
        <v>22714</v>
      </c>
      <c r="X3500" s="2" t="s">
        <v>43</v>
      </c>
      <c r="Y3500" s="2" t="s">
        <v>37</v>
      </c>
      <c r="Z3500" s="2" t="s">
        <v>44</v>
      </c>
      <c r="AA3500" s="2"/>
      <c r="AB3500" s="2"/>
      <c r="AC3500" s="2" t="s">
        <v>26562</v>
      </c>
      <c r="AD3500" s="2" t="s">
        <v>46</v>
      </c>
    </row>
    <row r="3501" customFormat="false" ht="15.7" hidden="false" customHeight="true" outlineLevel="0" collapsed="false">
      <c r="A3501" s="2"/>
      <c r="B3501" s="3" t="n">
        <f aca="false">DATE(2018,1,30)</f>
        <v>0</v>
      </c>
      <c r="C3501" s="3" t="n">
        <v>43130</v>
      </c>
      <c r="D3501" s="2" t="s">
        <v>26563</v>
      </c>
      <c r="F3501" s="2" t="s">
        <v>26564</v>
      </c>
      <c r="G3501" s="2" t="s">
        <v>26565</v>
      </c>
      <c r="H3501" s="2" t="s">
        <v>26566</v>
      </c>
      <c r="I3501" s="2" t="s">
        <v>459</v>
      </c>
      <c r="J3501" s="2" t="s">
        <v>35</v>
      </c>
      <c r="K3501" s="2" t="s">
        <v>26567</v>
      </c>
      <c r="L3501" s="2" t="s">
        <v>459</v>
      </c>
      <c r="M3501" s="2" t="s">
        <v>14920</v>
      </c>
      <c r="N3501" s="2" t="s">
        <v>26568</v>
      </c>
      <c r="O3501" s="2" t="s">
        <v>26569</v>
      </c>
      <c r="P3501" s="2" t="s">
        <v>37</v>
      </c>
      <c r="Q3501" s="4" t="n">
        <v>3999</v>
      </c>
      <c r="R3501" s="2" t="s">
        <v>461</v>
      </c>
      <c r="S3501" s="2" t="s">
        <v>39</v>
      </c>
      <c r="T3501" s="2" t="s">
        <v>40</v>
      </c>
      <c r="U3501" s="2" t="s">
        <v>26570</v>
      </c>
      <c r="V3501" s="2"/>
      <c r="W3501" s="2" t="s">
        <v>107</v>
      </c>
      <c r="X3501" s="2" t="s">
        <v>46</v>
      </c>
      <c r="Y3501" s="2" t="s">
        <v>37</v>
      </c>
      <c r="Z3501" s="2" t="s">
        <v>44</v>
      </c>
      <c r="AA3501" s="2"/>
      <c r="AB3501" s="2" t="s">
        <v>26571</v>
      </c>
      <c r="AC3501" s="2" t="s">
        <v>26572</v>
      </c>
      <c r="AD3501" s="2" t="s">
        <v>46</v>
      </c>
    </row>
    <row r="3502" customFormat="false" ht="15.7" hidden="false" customHeight="true" outlineLevel="0" collapsed="false">
      <c r="A3502" s="2"/>
      <c r="B3502" s="3" t="n">
        <f aca="false">DATE(2018,1,30)</f>
        <v>0</v>
      </c>
      <c r="C3502" s="3" t="n">
        <v>43130</v>
      </c>
      <c r="D3502" s="2" t="s">
        <v>26573</v>
      </c>
      <c r="F3502" s="2" t="s">
        <v>26574</v>
      </c>
      <c r="G3502" s="2" t="s">
        <v>26575</v>
      </c>
      <c r="H3502" s="2" t="s">
        <v>26576</v>
      </c>
      <c r="I3502" s="2" t="s">
        <v>1437</v>
      </c>
      <c r="J3502" s="2" t="s">
        <v>35</v>
      </c>
      <c r="K3502" s="2" t="s">
        <v>26573</v>
      </c>
      <c r="L3502" s="2" t="s">
        <v>1437</v>
      </c>
      <c r="M3502" s="2" t="s">
        <v>26576</v>
      </c>
      <c r="N3502" s="2" t="s">
        <v>26577</v>
      </c>
      <c r="O3502" s="2"/>
      <c r="P3502" s="2" t="s">
        <v>37</v>
      </c>
      <c r="Q3502" s="4" t="n">
        <v>8731</v>
      </c>
      <c r="R3502" s="2" t="s">
        <v>1441</v>
      </c>
      <c r="S3502" s="2" t="s">
        <v>39</v>
      </c>
      <c r="T3502" s="2" t="s">
        <v>40</v>
      </c>
      <c r="U3502" s="2" t="s">
        <v>26578</v>
      </c>
      <c r="V3502" s="2"/>
      <c r="W3502" s="2" t="s">
        <v>697</v>
      </c>
      <c r="X3502" s="2" t="s">
        <v>43</v>
      </c>
      <c r="Y3502" s="2" t="s">
        <v>37</v>
      </c>
      <c r="Z3502" s="2" t="s">
        <v>44</v>
      </c>
      <c r="AA3502" s="2"/>
      <c r="AB3502" s="2"/>
      <c r="AC3502" s="2" t="s">
        <v>26579</v>
      </c>
      <c r="AD3502" s="2" t="s">
        <v>46</v>
      </c>
    </row>
    <row r="3503" customFormat="false" ht="15.7" hidden="false" customHeight="true" outlineLevel="0" collapsed="false">
      <c r="A3503" s="2"/>
      <c r="B3503" s="3" t="n">
        <f aca="false">DATE(2018,1,30)</f>
        <v>0</v>
      </c>
      <c r="C3503" s="3" t="n">
        <v>43130</v>
      </c>
      <c r="D3503" s="2" t="s">
        <v>26580</v>
      </c>
      <c r="F3503" s="2" t="s">
        <v>347</v>
      </c>
      <c r="G3503" s="2" t="s">
        <v>26581</v>
      </c>
      <c r="H3503" s="2" t="s">
        <v>63</v>
      </c>
      <c r="I3503" s="2" t="s">
        <v>685</v>
      </c>
      <c r="J3503" s="2" t="s">
        <v>35</v>
      </c>
      <c r="K3503" s="2" t="s">
        <v>26582</v>
      </c>
      <c r="L3503" s="2" t="s">
        <v>965</v>
      </c>
      <c r="M3503" s="2" t="s">
        <v>1181</v>
      </c>
      <c r="N3503" s="2" t="s">
        <v>26583</v>
      </c>
      <c r="O3503" s="2"/>
      <c r="P3503" s="2" t="s">
        <v>37</v>
      </c>
      <c r="Q3503" s="4" t="n">
        <v>8731</v>
      </c>
      <c r="R3503" s="2" t="s">
        <v>688</v>
      </c>
      <c r="S3503" s="2" t="s">
        <v>39</v>
      </c>
      <c r="T3503" s="2" t="s">
        <v>40</v>
      </c>
      <c r="U3503" s="2" t="s">
        <v>26584</v>
      </c>
      <c r="V3503" s="2"/>
      <c r="W3503" s="2" t="s">
        <v>42</v>
      </c>
      <c r="X3503" s="2" t="s">
        <v>43</v>
      </c>
      <c r="Y3503" s="2" t="s">
        <v>37</v>
      </c>
      <c r="Z3503" s="2" t="s">
        <v>44</v>
      </c>
      <c r="AA3503" s="2"/>
      <c r="AB3503" s="2"/>
      <c r="AC3503" s="2" t="s">
        <v>26585</v>
      </c>
      <c r="AD3503" s="2" t="s">
        <v>46</v>
      </c>
    </row>
    <row r="3504" customFormat="false" ht="15.7" hidden="false" customHeight="true" outlineLevel="0" collapsed="false">
      <c r="A3504" s="2"/>
      <c r="B3504" s="3" t="n">
        <f aca="false">DATE(2018,1,30)</f>
        <v>0</v>
      </c>
      <c r="C3504" s="3" t="n">
        <v>43130</v>
      </c>
      <c r="D3504" s="2" t="s">
        <v>26586</v>
      </c>
      <c r="F3504" s="2" t="s">
        <v>26587</v>
      </c>
      <c r="G3504" s="2" t="s">
        <v>26588</v>
      </c>
      <c r="H3504" s="2" t="s">
        <v>17631</v>
      </c>
      <c r="I3504" s="2" t="s">
        <v>26589</v>
      </c>
      <c r="J3504" s="2" t="s">
        <v>35</v>
      </c>
      <c r="K3504" s="2" t="s">
        <v>26586</v>
      </c>
      <c r="L3504" s="2" t="s">
        <v>26589</v>
      </c>
      <c r="M3504" s="2" t="s">
        <v>17631</v>
      </c>
      <c r="N3504" s="2" t="s">
        <v>26590</v>
      </c>
      <c r="O3504" s="2"/>
      <c r="P3504" s="2" t="s">
        <v>79</v>
      </c>
      <c r="Q3504" s="4" t="n">
        <v>6794</v>
      </c>
      <c r="R3504" s="2" t="s">
        <v>136</v>
      </c>
      <c r="S3504" s="2" t="s">
        <v>39</v>
      </c>
      <c r="T3504" s="2" t="s">
        <v>40</v>
      </c>
      <c r="U3504" s="2" t="s">
        <v>26591</v>
      </c>
      <c r="V3504" s="2"/>
      <c r="W3504" s="2" t="s">
        <v>206</v>
      </c>
      <c r="X3504" s="2" t="s">
        <v>43</v>
      </c>
      <c r="Y3504" s="2" t="s">
        <v>37</v>
      </c>
      <c r="Z3504" s="2" t="s">
        <v>44</v>
      </c>
      <c r="AA3504" s="2"/>
      <c r="AB3504" s="2"/>
      <c r="AC3504" s="2" t="s">
        <v>26592</v>
      </c>
      <c r="AD3504" s="2" t="s">
        <v>46</v>
      </c>
    </row>
    <row r="3505" customFormat="false" ht="15.7" hidden="false" customHeight="true" outlineLevel="0" collapsed="false">
      <c r="A3505" s="2"/>
      <c r="B3505" s="3" t="n">
        <f aca="false">DATE(2018,1,30)</f>
        <v>0</v>
      </c>
      <c r="C3505" s="3" t="n">
        <v>43130</v>
      </c>
      <c r="D3505" s="2" t="s">
        <v>26593</v>
      </c>
      <c r="F3505" s="2" t="s">
        <v>26594</v>
      </c>
      <c r="G3505" s="2" t="s">
        <v>26595</v>
      </c>
      <c r="H3505" s="2" t="s">
        <v>20964</v>
      </c>
      <c r="I3505" s="2" t="s">
        <v>26596</v>
      </c>
      <c r="J3505" s="2" t="s">
        <v>35</v>
      </c>
      <c r="K3505" s="2" t="s">
        <v>26597</v>
      </c>
      <c r="L3505" s="2" t="s">
        <v>670</v>
      </c>
      <c r="M3505" s="2" t="s">
        <v>26032</v>
      </c>
      <c r="N3505" s="2" t="s">
        <v>26598</v>
      </c>
      <c r="O3505" s="2"/>
      <c r="P3505" s="2" t="s">
        <v>37</v>
      </c>
      <c r="Q3505" s="4" t="n">
        <v>7374</v>
      </c>
      <c r="R3505" s="2" t="s">
        <v>402</v>
      </c>
      <c r="S3505" s="2" t="s">
        <v>39</v>
      </c>
      <c r="T3505" s="2" t="s">
        <v>40</v>
      </c>
      <c r="U3505" s="2" t="s">
        <v>26599</v>
      </c>
      <c r="V3505" s="2"/>
      <c r="W3505" s="2" t="s">
        <v>18441</v>
      </c>
      <c r="X3505" s="2" t="s">
        <v>43</v>
      </c>
      <c r="Y3505" s="2" t="s">
        <v>37</v>
      </c>
      <c r="Z3505" s="2" t="s">
        <v>44</v>
      </c>
      <c r="AA3505" s="2"/>
      <c r="AB3505" s="2"/>
      <c r="AC3505" s="2" t="s">
        <v>26600</v>
      </c>
      <c r="AD3505" s="2" t="s">
        <v>46</v>
      </c>
    </row>
    <row r="3506" customFormat="false" ht="15.7" hidden="false" customHeight="true" outlineLevel="0" collapsed="false">
      <c r="A3506" s="2"/>
      <c r="B3506" s="3" t="n">
        <f aca="false">DATE(2018,1,30)</f>
        <v>0</v>
      </c>
      <c r="C3506" s="3" t="n">
        <v>43130</v>
      </c>
      <c r="D3506" s="2" t="s">
        <v>26601</v>
      </c>
      <c r="F3506" s="2" t="s">
        <v>26602</v>
      </c>
      <c r="G3506" s="2" t="s">
        <v>26603</v>
      </c>
      <c r="H3506" s="2" t="s">
        <v>1020</v>
      </c>
      <c r="I3506" s="2" t="s">
        <v>487</v>
      </c>
      <c r="J3506" s="2" t="s">
        <v>132</v>
      </c>
      <c r="K3506" s="2" t="s">
        <v>26601</v>
      </c>
      <c r="L3506" s="2" t="s">
        <v>487</v>
      </c>
      <c r="M3506" s="2" t="s">
        <v>1020</v>
      </c>
      <c r="N3506" s="2" t="s">
        <v>26604</v>
      </c>
      <c r="O3506" s="2"/>
      <c r="P3506" s="2" t="s">
        <v>79</v>
      </c>
      <c r="Q3506" s="4" t="n">
        <v>6794</v>
      </c>
      <c r="R3506" s="2" t="s">
        <v>136</v>
      </c>
      <c r="S3506" s="2" t="s">
        <v>39</v>
      </c>
      <c r="T3506" s="2" t="s">
        <v>40</v>
      </c>
      <c r="U3506" s="2" t="s">
        <v>26605</v>
      </c>
      <c r="V3506" s="2"/>
      <c r="W3506" s="2" t="s">
        <v>26606</v>
      </c>
      <c r="X3506" s="2" t="s">
        <v>43</v>
      </c>
      <c r="Y3506" s="2" t="s">
        <v>37</v>
      </c>
      <c r="Z3506" s="2" t="s">
        <v>44</v>
      </c>
      <c r="AA3506" s="2"/>
      <c r="AB3506" s="2"/>
      <c r="AC3506" s="2" t="s">
        <v>26607</v>
      </c>
      <c r="AD3506" s="2" t="s">
        <v>46</v>
      </c>
    </row>
    <row r="3507" customFormat="false" ht="15.7" hidden="false" customHeight="true" outlineLevel="0" collapsed="false">
      <c r="A3507" s="3" t="n">
        <f aca="false">DATE(2018,1,30)</f>
        <v>0</v>
      </c>
      <c r="B3507" s="3" t="n">
        <f aca="false">DATE(2018,1,30)</f>
        <v>0</v>
      </c>
      <c r="C3507" s="3" t="n">
        <v>43130</v>
      </c>
      <c r="D3507" s="2" t="s">
        <v>26608</v>
      </c>
      <c r="F3507" s="2" t="s">
        <v>26609</v>
      </c>
      <c r="G3507" s="2" t="s">
        <v>26610</v>
      </c>
      <c r="H3507" s="2" t="s">
        <v>26611</v>
      </c>
      <c r="I3507" s="2" t="s">
        <v>26612</v>
      </c>
      <c r="J3507" s="2" t="s">
        <v>26613</v>
      </c>
      <c r="K3507" s="2" t="s">
        <v>26608</v>
      </c>
      <c r="L3507" s="2" t="s">
        <v>26612</v>
      </c>
      <c r="M3507" s="2" t="s">
        <v>26611</v>
      </c>
      <c r="N3507" s="2" t="s">
        <v>26614</v>
      </c>
      <c r="O3507" s="2"/>
      <c r="P3507" s="2" t="s">
        <v>37</v>
      </c>
      <c r="Q3507" s="4" t="n">
        <v>8731</v>
      </c>
      <c r="R3507" s="2" t="s">
        <v>56</v>
      </c>
      <c r="S3507" s="2"/>
      <c r="T3507" s="2" t="s">
        <v>40</v>
      </c>
      <c r="U3507" s="2" t="s">
        <v>26615</v>
      </c>
      <c r="V3507" s="2"/>
      <c r="W3507" s="2" t="s">
        <v>42</v>
      </c>
      <c r="X3507" s="2" t="s">
        <v>43</v>
      </c>
      <c r="Y3507" s="2" t="s">
        <v>37</v>
      </c>
      <c r="Z3507" s="2" t="s">
        <v>916</v>
      </c>
      <c r="AA3507" s="2"/>
      <c r="AB3507" s="2"/>
      <c r="AC3507" s="2" t="s">
        <v>26616</v>
      </c>
      <c r="AD3507" s="2" t="s">
        <v>46</v>
      </c>
    </row>
    <row r="3508" customFormat="false" ht="15.7" hidden="false" customHeight="true" outlineLevel="0" collapsed="false">
      <c r="A3508" s="2"/>
      <c r="B3508" s="3" t="n">
        <f aca="false">DATE(2018,1,30)</f>
        <v>0</v>
      </c>
      <c r="C3508" s="3" t="n">
        <v>43130</v>
      </c>
      <c r="D3508" s="2" t="s">
        <v>26617</v>
      </c>
      <c r="F3508" s="2" t="s">
        <v>26618</v>
      </c>
      <c r="G3508" s="2" t="s">
        <v>26619</v>
      </c>
      <c r="H3508" s="2" t="s">
        <v>26620</v>
      </c>
      <c r="I3508" s="2" t="s">
        <v>34</v>
      </c>
      <c r="J3508" s="2" t="s">
        <v>35</v>
      </c>
      <c r="K3508" s="2" t="s">
        <v>26617</v>
      </c>
      <c r="L3508" s="2" t="s">
        <v>34</v>
      </c>
      <c r="M3508" s="2" t="s">
        <v>26620</v>
      </c>
      <c r="N3508" s="2" t="s">
        <v>26621</v>
      </c>
      <c r="O3508" s="2"/>
      <c r="P3508" s="2" t="s">
        <v>79</v>
      </c>
      <c r="Q3508" s="4" t="n">
        <v>6794</v>
      </c>
      <c r="R3508" s="2" t="s">
        <v>38</v>
      </c>
      <c r="S3508" s="2" t="s">
        <v>39</v>
      </c>
      <c r="T3508" s="2" t="s">
        <v>40</v>
      </c>
      <c r="U3508" s="2" t="s">
        <v>26622</v>
      </c>
      <c r="V3508" s="2"/>
      <c r="W3508" s="2" t="s">
        <v>26623</v>
      </c>
      <c r="X3508" s="2" t="s">
        <v>43</v>
      </c>
      <c r="Y3508" s="2" t="s">
        <v>37</v>
      </c>
      <c r="Z3508" s="2" t="s">
        <v>44</v>
      </c>
      <c r="AA3508" s="2"/>
      <c r="AB3508" s="2"/>
      <c r="AC3508" s="2" t="s">
        <v>26624</v>
      </c>
      <c r="AD3508" s="2" t="s">
        <v>46</v>
      </c>
    </row>
    <row r="3509" customFormat="false" ht="15.7" hidden="false" customHeight="true" outlineLevel="0" collapsed="false">
      <c r="A3509" s="2"/>
      <c r="B3509" s="3" t="n">
        <f aca="false">DATE(2018,1,30)</f>
        <v>0</v>
      </c>
      <c r="C3509" s="3" t="n">
        <v>43130</v>
      </c>
      <c r="D3509" s="2" t="s">
        <v>26625</v>
      </c>
      <c r="F3509" s="2" t="s">
        <v>26626</v>
      </c>
      <c r="G3509" s="2" t="s">
        <v>26627</v>
      </c>
      <c r="H3509" s="2" t="s">
        <v>26628</v>
      </c>
      <c r="I3509" s="2" t="s">
        <v>487</v>
      </c>
      <c r="J3509" s="2" t="s">
        <v>12583</v>
      </c>
      <c r="K3509" s="2" t="s">
        <v>26625</v>
      </c>
      <c r="L3509" s="2" t="s">
        <v>487</v>
      </c>
      <c r="M3509" s="2" t="s">
        <v>26628</v>
      </c>
      <c r="N3509" s="2" t="s">
        <v>26629</v>
      </c>
      <c r="O3509" s="2"/>
      <c r="P3509" s="2" t="s">
        <v>37</v>
      </c>
      <c r="Q3509" s="4" t="n">
        <v>8731</v>
      </c>
      <c r="R3509" s="2" t="s">
        <v>1448</v>
      </c>
      <c r="S3509" s="2" t="s">
        <v>39</v>
      </c>
      <c r="T3509" s="2" t="s">
        <v>40</v>
      </c>
      <c r="U3509" s="2" t="s">
        <v>26630</v>
      </c>
      <c r="V3509" s="2"/>
      <c r="W3509" s="2" t="s">
        <v>1693</v>
      </c>
      <c r="X3509" s="2" t="s">
        <v>43</v>
      </c>
      <c r="Y3509" s="2" t="s">
        <v>37</v>
      </c>
      <c r="Z3509" s="2" t="s">
        <v>44</v>
      </c>
      <c r="AA3509" s="2"/>
      <c r="AB3509" s="2"/>
      <c r="AC3509" s="2" t="s">
        <v>26631</v>
      </c>
      <c r="AD3509" s="2" t="s">
        <v>46</v>
      </c>
    </row>
    <row r="3510" customFormat="false" ht="15.7" hidden="false" customHeight="true" outlineLevel="0" collapsed="false">
      <c r="A3510" s="2"/>
      <c r="B3510" s="3" t="n">
        <f aca="false">DATE(2018,1,31)</f>
        <v>0</v>
      </c>
      <c r="C3510" s="3" t="n">
        <v>43131</v>
      </c>
      <c r="D3510" s="2" t="s">
        <v>26632</v>
      </c>
      <c r="F3510" s="2" t="s">
        <v>26633</v>
      </c>
      <c r="G3510" s="2" t="s">
        <v>26634</v>
      </c>
      <c r="H3510" s="2" t="s">
        <v>26635</v>
      </c>
      <c r="I3510" s="2" t="s">
        <v>26636</v>
      </c>
      <c r="J3510" s="2" t="s">
        <v>35</v>
      </c>
      <c r="K3510" s="2" t="s">
        <v>26632</v>
      </c>
      <c r="L3510" s="2" t="s">
        <v>26636</v>
      </c>
      <c r="M3510" s="2" t="s">
        <v>26635</v>
      </c>
      <c r="N3510" s="2" t="s">
        <v>26637</v>
      </c>
      <c r="O3510" s="2"/>
      <c r="P3510" s="2" t="s">
        <v>37</v>
      </c>
      <c r="Q3510" s="4" t="n">
        <v>8731</v>
      </c>
      <c r="R3510" s="2" t="s">
        <v>2508</v>
      </c>
      <c r="S3510" s="2" t="s">
        <v>39</v>
      </c>
      <c r="T3510" s="2" t="s">
        <v>403</v>
      </c>
      <c r="U3510" s="2" t="s">
        <v>26638</v>
      </c>
      <c r="V3510" s="2"/>
      <c r="W3510" s="2" t="s">
        <v>42</v>
      </c>
      <c r="X3510" s="2" t="s">
        <v>43</v>
      </c>
      <c r="Y3510" s="2" t="s">
        <v>37</v>
      </c>
      <c r="Z3510" s="2" t="s">
        <v>44</v>
      </c>
      <c r="AA3510" s="2"/>
      <c r="AB3510" s="2"/>
      <c r="AC3510" s="2" t="s">
        <v>26639</v>
      </c>
      <c r="AD3510" s="2" t="s">
        <v>46</v>
      </c>
    </row>
    <row r="3511" customFormat="false" ht="15.7" hidden="false" customHeight="true" outlineLevel="0" collapsed="false">
      <c r="A3511" s="2"/>
      <c r="B3511" s="3" t="n">
        <f aca="false">DATE(2018,2,2)</f>
        <v>0</v>
      </c>
      <c r="C3511" s="3" t="n">
        <v>43133</v>
      </c>
      <c r="D3511" s="2" t="s">
        <v>26640</v>
      </c>
      <c r="F3511" s="2" t="s">
        <v>26641</v>
      </c>
      <c r="G3511" s="2" t="s">
        <v>26642</v>
      </c>
      <c r="H3511" s="2" t="s">
        <v>130</v>
      </c>
      <c r="I3511" s="2" t="s">
        <v>670</v>
      </c>
      <c r="J3511" s="2" t="s">
        <v>65</v>
      </c>
      <c r="K3511" s="2" t="s">
        <v>26640</v>
      </c>
      <c r="L3511" s="2" t="s">
        <v>670</v>
      </c>
      <c r="M3511" s="2" t="s">
        <v>130</v>
      </c>
      <c r="N3511" s="2" t="s">
        <v>26643</v>
      </c>
      <c r="O3511" s="2"/>
      <c r="P3511" s="2" t="s">
        <v>79</v>
      </c>
      <c r="Q3511" s="4" t="n">
        <v>6794</v>
      </c>
      <c r="R3511" s="2" t="s">
        <v>24269</v>
      </c>
      <c r="S3511" s="2" t="s">
        <v>24270</v>
      </c>
      <c r="T3511" s="2" t="s">
        <v>40</v>
      </c>
      <c r="U3511" s="2" t="s">
        <v>26644</v>
      </c>
      <c r="V3511" s="2"/>
      <c r="W3511" s="2" t="s">
        <v>26606</v>
      </c>
      <c r="X3511" s="2" t="s">
        <v>43</v>
      </c>
      <c r="Y3511" s="2" t="s">
        <v>79</v>
      </c>
      <c r="Z3511" s="2" t="s">
        <v>44</v>
      </c>
      <c r="AA3511" s="2"/>
      <c r="AB3511" s="2"/>
      <c r="AC3511" s="2" t="s">
        <v>26645</v>
      </c>
      <c r="AD3511" s="2" t="s">
        <v>46</v>
      </c>
    </row>
    <row r="3512" customFormat="false" ht="15.7" hidden="false" customHeight="true" outlineLevel="0" collapsed="false">
      <c r="A3512" s="2"/>
      <c r="B3512" s="3" t="n">
        <f aca="false">DATE(2018,2,2)</f>
        <v>0</v>
      </c>
      <c r="C3512" s="3" t="n">
        <v>43133</v>
      </c>
      <c r="D3512" s="2" t="s">
        <v>26646</v>
      </c>
      <c r="F3512" s="2" t="s">
        <v>26647</v>
      </c>
      <c r="G3512" s="2" t="s">
        <v>26648</v>
      </c>
      <c r="H3512" s="2" t="s">
        <v>9318</v>
      </c>
      <c r="I3512" s="2" t="s">
        <v>11584</v>
      </c>
      <c r="J3512" s="2" t="s">
        <v>35</v>
      </c>
      <c r="K3512" s="2" t="s">
        <v>26649</v>
      </c>
      <c r="L3512" s="2" t="s">
        <v>11584</v>
      </c>
      <c r="M3512" s="2" t="s">
        <v>9318</v>
      </c>
      <c r="N3512" s="2" t="s">
        <v>26650</v>
      </c>
      <c r="O3512" s="2" t="s">
        <v>26651</v>
      </c>
      <c r="P3512" s="2" t="s">
        <v>37</v>
      </c>
      <c r="Q3512" s="4" t="n">
        <v>8731</v>
      </c>
      <c r="R3512" s="2" t="s">
        <v>2201</v>
      </c>
      <c r="S3512" s="2" t="s">
        <v>39</v>
      </c>
      <c r="T3512" s="2" t="s">
        <v>40</v>
      </c>
      <c r="U3512" s="2" t="s">
        <v>26652</v>
      </c>
      <c r="V3512" s="2"/>
      <c r="W3512" s="2" t="s">
        <v>4487</v>
      </c>
      <c r="X3512" s="2" t="s">
        <v>46</v>
      </c>
      <c r="Y3512" s="2" t="s">
        <v>37</v>
      </c>
      <c r="Z3512" s="2" t="s">
        <v>44</v>
      </c>
      <c r="AA3512" s="2"/>
      <c r="AB3512" s="2" t="s">
        <v>26653</v>
      </c>
      <c r="AC3512" s="2" t="s">
        <v>26654</v>
      </c>
      <c r="AD3512" s="2" t="s">
        <v>46</v>
      </c>
    </row>
    <row r="3513" customFormat="false" ht="15.7" hidden="false" customHeight="true" outlineLevel="0" collapsed="false">
      <c r="A3513" s="2"/>
      <c r="B3513" s="3" t="n">
        <f aca="false">DATE(2018,2,2)</f>
        <v>0</v>
      </c>
      <c r="C3513" s="3" t="n">
        <v>43133</v>
      </c>
      <c r="D3513" s="2" t="s">
        <v>26655</v>
      </c>
      <c r="F3513" s="2" t="s">
        <v>26656</v>
      </c>
      <c r="G3513" s="2" t="s">
        <v>26657</v>
      </c>
      <c r="H3513" s="2" t="s">
        <v>9924</v>
      </c>
      <c r="I3513" s="2" t="s">
        <v>1645</v>
      </c>
      <c r="J3513" s="2" t="s">
        <v>35</v>
      </c>
      <c r="K3513" s="2" t="s">
        <v>26655</v>
      </c>
      <c r="L3513" s="2" t="s">
        <v>1645</v>
      </c>
      <c r="M3513" s="2" t="s">
        <v>9924</v>
      </c>
      <c r="N3513" s="2" t="s">
        <v>26658</v>
      </c>
      <c r="O3513" s="2"/>
      <c r="P3513" s="2" t="s">
        <v>37</v>
      </c>
      <c r="Q3513" s="4" t="n">
        <v>8731</v>
      </c>
      <c r="R3513" s="2" t="s">
        <v>1402</v>
      </c>
      <c r="S3513" s="2" t="s">
        <v>39</v>
      </c>
      <c r="T3513" s="2" t="s">
        <v>40</v>
      </c>
      <c r="U3513" s="2" t="s">
        <v>26659</v>
      </c>
      <c r="V3513" s="2"/>
      <c r="W3513" s="2" t="s">
        <v>42</v>
      </c>
      <c r="X3513" s="2" t="s">
        <v>43</v>
      </c>
      <c r="Y3513" s="2" t="s">
        <v>37</v>
      </c>
      <c r="Z3513" s="2" t="s">
        <v>44</v>
      </c>
      <c r="AA3513" s="2"/>
      <c r="AB3513" s="2"/>
      <c r="AC3513" s="2" t="s">
        <v>26660</v>
      </c>
      <c r="AD3513" s="2" t="s">
        <v>46</v>
      </c>
    </row>
    <row r="3514" customFormat="false" ht="15.7" hidden="false" customHeight="true" outlineLevel="0" collapsed="false">
      <c r="A3514" s="2"/>
      <c r="B3514" s="3" t="n">
        <f aca="false">DATE(2018,2,3)</f>
        <v>0</v>
      </c>
      <c r="C3514" s="3" t="n">
        <v>43134</v>
      </c>
      <c r="D3514" s="2" t="s">
        <v>26661</v>
      </c>
      <c r="F3514" s="2" t="s">
        <v>26662</v>
      </c>
      <c r="G3514" s="2" t="s">
        <v>26663</v>
      </c>
      <c r="H3514" s="2" t="s">
        <v>551</v>
      </c>
      <c r="I3514" s="2" t="s">
        <v>7014</v>
      </c>
      <c r="J3514" s="2" t="s">
        <v>35</v>
      </c>
      <c r="K3514" s="2" t="s">
        <v>26664</v>
      </c>
      <c r="L3514" s="2" t="s">
        <v>7014</v>
      </c>
      <c r="M3514" s="2" t="s">
        <v>551</v>
      </c>
      <c r="N3514" s="2" t="s">
        <v>26665</v>
      </c>
      <c r="O3514" s="2"/>
      <c r="P3514" s="2" t="s">
        <v>37</v>
      </c>
      <c r="Q3514" s="4" t="n">
        <v>8731</v>
      </c>
      <c r="R3514" s="2" t="s">
        <v>1448</v>
      </c>
      <c r="S3514" s="2" t="s">
        <v>39</v>
      </c>
      <c r="T3514" s="2" t="s">
        <v>40</v>
      </c>
      <c r="U3514" s="2" t="s">
        <v>26666</v>
      </c>
      <c r="V3514" s="2"/>
      <c r="W3514" s="2" t="s">
        <v>344</v>
      </c>
      <c r="X3514" s="2" t="s">
        <v>46</v>
      </c>
      <c r="Y3514" s="2" t="s">
        <v>37</v>
      </c>
      <c r="Z3514" s="2" t="s">
        <v>44</v>
      </c>
      <c r="AA3514" s="2"/>
      <c r="AB3514" s="2"/>
      <c r="AC3514" s="2" t="s">
        <v>26667</v>
      </c>
      <c r="AD3514" s="2" t="s">
        <v>46</v>
      </c>
    </row>
    <row r="3515" customFormat="false" ht="15.7" hidden="false" customHeight="true" outlineLevel="0" collapsed="false">
      <c r="A3515" s="2"/>
      <c r="B3515" s="3" t="n">
        <f aca="false">DATE(2018,2,5)</f>
        <v>0</v>
      </c>
      <c r="C3515" s="3" t="n">
        <v>43136</v>
      </c>
      <c r="D3515" s="2" t="s">
        <v>26668</v>
      </c>
      <c r="F3515" s="2" t="s">
        <v>26669</v>
      </c>
      <c r="G3515" s="2" t="s">
        <v>26670</v>
      </c>
      <c r="H3515" s="2" t="s">
        <v>21833</v>
      </c>
      <c r="I3515" s="2" t="s">
        <v>1953</v>
      </c>
      <c r="J3515" s="2" t="s">
        <v>35</v>
      </c>
      <c r="K3515" s="2" t="s">
        <v>26668</v>
      </c>
      <c r="L3515" s="2" t="s">
        <v>1953</v>
      </c>
      <c r="M3515" s="2" t="s">
        <v>21833</v>
      </c>
      <c r="N3515" s="2" t="s">
        <v>26671</v>
      </c>
      <c r="O3515" s="2" t="s">
        <v>26672</v>
      </c>
      <c r="P3515" s="2" t="s">
        <v>37</v>
      </c>
      <c r="Q3515" s="4" t="n">
        <v>8099</v>
      </c>
      <c r="R3515" s="2" t="s">
        <v>1402</v>
      </c>
      <c r="S3515" s="2" t="s">
        <v>39</v>
      </c>
      <c r="T3515" s="2" t="s">
        <v>40</v>
      </c>
      <c r="U3515" s="2" t="s">
        <v>26673</v>
      </c>
      <c r="V3515" s="2"/>
      <c r="W3515" s="2" t="s">
        <v>4487</v>
      </c>
      <c r="X3515" s="2" t="s">
        <v>46</v>
      </c>
      <c r="Y3515" s="2" t="s">
        <v>37</v>
      </c>
      <c r="Z3515" s="2" t="s">
        <v>362</v>
      </c>
      <c r="AA3515" s="2"/>
      <c r="AB3515" s="2" t="s">
        <v>26674</v>
      </c>
      <c r="AC3515" s="2" t="s">
        <v>26675</v>
      </c>
      <c r="AD3515" s="2" t="s">
        <v>46</v>
      </c>
    </row>
    <row r="3516" customFormat="false" ht="15.7" hidden="false" customHeight="true" outlineLevel="0" collapsed="false">
      <c r="A3516" s="2"/>
      <c r="B3516" s="3" t="n">
        <f aca="false">DATE(2018,2,6)</f>
        <v>0</v>
      </c>
      <c r="C3516" s="3" t="n">
        <v>43137</v>
      </c>
      <c r="D3516" s="2" t="s">
        <v>26676</v>
      </c>
      <c r="F3516" s="2" t="s">
        <v>25041</v>
      </c>
      <c r="G3516" s="2" t="s">
        <v>26677</v>
      </c>
      <c r="H3516" s="2" t="s">
        <v>1020</v>
      </c>
      <c r="I3516" s="2" t="s">
        <v>51</v>
      </c>
      <c r="J3516" s="2" t="s">
        <v>2190</v>
      </c>
      <c r="K3516" s="2" t="s">
        <v>26676</v>
      </c>
      <c r="L3516" s="2" t="s">
        <v>51</v>
      </c>
      <c r="M3516" s="2" t="s">
        <v>1020</v>
      </c>
      <c r="N3516" s="2" t="s">
        <v>26678</v>
      </c>
      <c r="O3516" s="2"/>
      <c r="P3516" s="2" t="s">
        <v>37</v>
      </c>
      <c r="Q3516" s="4" t="n">
        <v>8731</v>
      </c>
      <c r="R3516" s="2" t="s">
        <v>56</v>
      </c>
      <c r="S3516" s="2" t="s">
        <v>80</v>
      </c>
      <c r="T3516" s="2" t="s">
        <v>40</v>
      </c>
      <c r="U3516" s="2" t="s">
        <v>26679</v>
      </c>
      <c r="V3516" s="2"/>
      <c r="W3516" s="2" t="s">
        <v>42</v>
      </c>
      <c r="X3516" s="2" t="s">
        <v>43</v>
      </c>
      <c r="Y3516" s="2" t="s">
        <v>37</v>
      </c>
      <c r="Z3516" s="2" t="s">
        <v>44</v>
      </c>
      <c r="AA3516" s="2"/>
      <c r="AB3516" s="2"/>
      <c r="AC3516" s="2" t="s">
        <v>26680</v>
      </c>
      <c r="AD3516" s="2" t="s">
        <v>46</v>
      </c>
    </row>
    <row r="3517" customFormat="false" ht="15.7" hidden="false" customHeight="true" outlineLevel="0" collapsed="false">
      <c r="A3517" s="2"/>
      <c r="B3517" s="3" t="n">
        <f aca="false">DATE(2018,2,6)</f>
        <v>0</v>
      </c>
      <c r="C3517" s="3" t="n">
        <v>43137</v>
      </c>
      <c r="D3517" s="2" t="s">
        <v>26681</v>
      </c>
      <c r="F3517" s="2" t="s">
        <v>26682</v>
      </c>
      <c r="G3517" s="2" t="s">
        <v>26683</v>
      </c>
      <c r="H3517" s="2" t="s">
        <v>26684</v>
      </c>
      <c r="I3517" s="2" t="s">
        <v>1437</v>
      </c>
      <c r="J3517" s="2" t="s">
        <v>35</v>
      </c>
      <c r="K3517" s="2" t="s">
        <v>26681</v>
      </c>
      <c r="L3517" s="2" t="s">
        <v>1437</v>
      </c>
      <c r="M3517" s="2" t="s">
        <v>26684</v>
      </c>
      <c r="N3517" s="2" t="s">
        <v>26685</v>
      </c>
      <c r="O3517" s="2"/>
      <c r="P3517" s="2" t="s">
        <v>37</v>
      </c>
      <c r="Q3517" s="4" t="n">
        <v>8731</v>
      </c>
      <c r="R3517" s="2" t="s">
        <v>1441</v>
      </c>
      <c r="S3517" s="2" t="s">
        <v>39</v>
      </c>
      <c r="T3517" s="2" t="s">
        <v>40</v>
      </c>
      <c r="U3517" s="2" t="s">
        <v>26686</v>
      </c>
      <c r="V3517" s="2"/>
      <c r="W3517" s="2" t="s">
        <v>42</v>
      </c>
      <c r="X3517" s="2" t="s">
        <v>43</v>
      </c>
      <c r="Y3517" s="2" t="s">
        <v>37</v>
      </c>
      <c r="Z3517" s="2" t="s">
        <v>44</v>
      </c>
      <c r="AA3517" s="2"/>
      <c r="AB3517" s="2"/>
      <c r="AC3517" s="2" t="s">
        <v>26687</v>
      </c>
      <c r="AD3517" s="2" t="s">
        <v>46</v>
      </c>
    </row>
    <row r="3518" customFormat="false" ht="15.7" hidden="false" customHeight="true" outlineLevel="0" collapsed="false">
      <c r="A3518" s="2"/>
      <c r="B3518" s="3" t="n">
        <f aca="false">DATE(2018,2,6)</f>
        <v>0</v>
      </c>
      <c r="C3518" s="3" t="n">
        <v>43137</v>
      </c>
      <c r="D3518" s="2" t="s">
        <v>26688</v>
      </c>
      <c r="F3518" s="2" t="s">
        <v>26689</v>
      </c>
      <c r="G3518" s="2" t="s">
        <v>26690</v>
      </c>
      <c r="H3518" s="2" t="s">
        <v>26691</v>
      </c>
      <c r="I3518" s="2" t="s">
        <v>369</v>
      </c>
      <c r="J3518" s="2" t="s">
        <v>35</v>
      </c>
      <c r="K3518" s="2" t="s">
        <v>26692</v>
      </c>
      <c r="L3518" s="2" t="s">
        <v>369</v>
      </c>
      <c r="M3518" s="2" t="s">
        <v>26691</v>
      </c>
      <c r="N3518" s="2" t="s">
        <v>26693</v>
      </c>
      <c r="O3518" s="2" t="s">
        <v>26694</v>
      </c>
      <c r="P3518" s="2" t="s">
        <v>37</v>
      </c>
      <c r="Q3518" s="4" t="n">
        <v>8731</v>
      </c>
      <c r="R3518" s="2" t="s">
        <v>56</v>
      </c>
      <c r="S3518" s="2" t="s">
        <v>2265</v>
      </c>
      <c r="T3518" s="2" t="s">
        <v>40</v>
      </c>
      <c r="U3518" s="2" t="s">
        <v>26695</v>
      </c>
      <c r="V3518" s="2"/>
      <c r="W3518" s="2" t="s">
        <v>344</v>
      </c>
      <c r="X3518" s="2" t="s">
        <v>46</v>
      </c>
      <c r="Y3518" s="2" t="s">
        <v>37</v>
      </c>
      <c r="Z3518" s="2" t="s">
        <v>362</v>
      </c>
      <c r="AA3518" s="2"/>
      <c r="AB3518" s="2" t="s">
        <v>26696</v>
      </c>
      <c r="AC3518" s="2" t="s">
        <v>26697</v>
      </c>
      <c r="AD3518" s="2" t="s">
        <v>46</v>
      </c>
    </row>
    <row r="3519" customFormat="false" ht="15.7" hidden="false" customHeight="true" outlineLevel="0" collapsed="false">
      <c r="A3519" s="2"/>
      <c r="B3519" s="3" t="n">
        <f aca="false">DATE(2018,2,7)</f>
        <v>0</v>
      </c>
      <c r="C3519" s="3" t="n">
        <v>43138</v>
      </c>
      <c r="D3519" s="2" t="s">
        <v>26698</v>
      </c>
      <c r="F3519" s="2" t="s">
        <v>26699</v>
      </c>
      <c r="G3519" s="2" t="s">
        <v>26700</v>
      </c>
      <c r="H3519" s="2" t="s">
        <v>26701</v>
      </c>
      <c r="I3519" s="2" t="s">
        <v>1904</v>
      </c>
      <c r="J3519" s="2" t="s">
        <v>3231</v>
      </c>
      <c r="K3519" s="2" t="s">
        <v>26698</v>
      </c>
      <c r="L3519" s="2" t="s">
        <v>1904</v>
      </c>
      <c r="M3519" s="2" t="s">
        <v>26701</v>
      </c>
      <c r="N3519" s="2" t="s">
        <v>26702</v>
      </c>
      <c r="O3519" s="2"/>
      <c r="P3519" s="2" t="s">
        <v>37</v>
      </c>
      <c r="Q3519" s="4" t="n">
        <v>8731</v>
      </c>
      <c r="R3519" s="2" t="s">
        <v>26703</v>
      </c>
      <c r="S3519" s="2" t="s">
        <v>5334</v>
      </c>
      <c r="T3519" s="2" t="s">
        <v>40</v>
      </c>
      <c r="U3519" s="2" t="s">
        <v>26704</v>
      </c>
      <c r="V3519" s="2"/>
      <c r="W3519" s="2" t="s">
        <v>42</v>
      </c>
      <c r="X3519" s="2" t="s">
        <v>43</v>
      </c>
      <c r="Y3519" s="2" t="s">
        <v>79</v>
      </c>
      <c r="Z3519" s="2" t="s">
        <v>44</v>
      </c>
      <c r="AA3519" s="2"/>
      <c r="AB3519" s="2"/>
      <c r="AC3519" s="2" t="s">
        <v>26705</v>
      </c>
      <c r="AD3519" s="2" t="s">
        <v>46</v>
      </c>
    </row>
    <row r="3520" customFormat="false" ht="15.7" hidden="false" customHeight="true" outlineLevel="0" collapsed="false">
      <c r="A3520" s="2"/>
      <c r="B3520" s="3" t="n">
        <f aca="false">DATE(2018,2,7)</f>
        <v>0</v>
      </c>
      <c r="C3520" s="3" t="n">
        <v>43138</v>
      </c>
      <c r="D3520" s="2" t="s">
        <v>26706</v>
      </c>
      <c r="F3520" s="2" t="s">
        <v>347</v>
      </c>
      <c r="G3520" s="2" t="s">
        <v>26707</v>
      </c>
      <c r="H3520" s="2" t="s">
        <v>63</v>
      </c>
      <c r="I3520" s="2" t="s">
        <v>17584</v>
      </c>
      <c r="J3520" s="2" t="s">
        <v>35</v>
      </c>
      <c r="K3520" s="2" t="s">
        <v>26708</v>
      </c>
      <c r="L3520" s="2" t="s">
        <v>26636</v>
      </c>
      <c r="M3520" s="2" t="s">
        <v>130</v>
      </c>
      <c r="N3520" s="2" t="s">
        <v>26709</v>
      </c>
      <c r="O3520" s="2"/>
      <c r="P3520" s="2" t="s">
        <v>37</v>
      </c>
      <c r="Q3520" s="4" t="n">
        <v>8731</v>
      </c>
      <c r="R3520" s="2" t="s">
        <v>17612</v>
      </c>
      <c r="S3520" s="2" t="s">
        <v>5334</v>
      </c>
      <c r="T3520" s="2" t="s">
        <v>40</v>
      </c>
      <c r="U3520" s="2" t="s">
        <v>26710</v>
      </c>
      <c r="V3520" s="2"/>
      <c r="W3520" s="2" t="s">
        <v>42</v>
      </c>
      <c r="X3520" s="2" t="s">
        <v>43</v>
      </c>
      <c r="Y3520" s="2" t="s">
        <v>79</v>
      </c>
      <c r="Z3520" s="2" t="s">
        <v>44</v>
      </c>
      <c r="AA3520" s="2"/>
      <c r="AB3520" s="2"/>
      <c r="AC3520" s="2" t="s">
        <v>26711</v>
      </c>
      <c r="AD3520" s="2" t="s">
        <v>46</v>
      </c>
    </row>
    <row r="3521" customFormat="false" ht="15.7" hidden="false" customHeight="true" outlineLevel="0" collapsed="false">
      <c r="A3521" s="2"/>
      <c r="B3521" s="3" t="n">
        <f aca="false">DATE(2018,2,8)</f>
        <v>0</v>
      </c>
      <c r="C3521" s="3" t="n">
        <v>43139</v>
      </c>
      <c r="D3521" s="2" t="s">
        <v>26712</v>
      </c>
      <c r="F3521" s="2" t="s">
        <v>26713</v>
      </c>
      <c r="G3521" s="2" t="s">
        <v>26714</v>
      </c>
      <c r="H3521" s="2" t="s">
        <v>9318</v>
      </c>
      <c r="I3521" s="2" t="s">
        <v>4325</v>
      </c>
      <c r="J3521" s="2" t="s">
        <v>35</v>
      </c>
      <c r="K3521" s="2" t="s">
        <v>26712</v>
      </c>
      <c r="L3521" s="2" t="s">
        <v>4325</v>
      </c>
      <c r="M3521" s="2" t="s">
        <v>9318</v>
      </c>
      <c r="N3521" s="2" t="s">
        <v>26715</v>
      </c>
      <c r="O3521" s="2"/>
      <c r="P3521" s="2" t="s">
        <v>37</v>
      </c>
      <c r="Q3521" s="4" t="n">
        <v>8731</v>
      </c>
      <c r="R3521" s="2" t="s">
        <v>402</v>
      </c>
      <c r="S3521" s="2" t="s">
        <v>39</v>
      </c>
      <c r="T3521" s="2" t="s">
        <v>40</v>
      </c>
      <c r="U3521" s="2" t="s">
        <v>26716</v>
      </c>
      <c r="V3521" s="2"/>
      <c r="W3521" s="2" t="s">
        <v>344</v>
      </c>
      <c r="X3521" s="2" t="s">
        <v>43</v>
      </c>
      <c r="Y3521" s="2" t="s">
        <v>37</v>
      </c>
      <c r="Z3521" s="2" t="s">
        <v>44</v>
      </c>
      <c r="AA3521" s="2"/>
      <c r="AB3521" s="2"/>
      <c r="AC3521" s="2" t="s">
        <v>26717</v>
      </c>
      <c r="AD3521" s="2" t="s">
        <v>46</v>
      </c>
    </row>
    <row r="3522" customFormat="false" ht="15.7" hidden="false" customHeight="true" outlineLevel="0" collapsed="false">
      <c r="A3522" s="2"/>
      <c r="B3522" s="3" t="n">
        <f aca="false">DATE(2018,2,8)</f>
        <v>0</v>
      </c>
      <c r="C3522" s="3" t="n">
        <v>43139</v>
      </c>
      <c r="D3522" s="2" t="s">
        <v>26718</v>
      </c>
      <c r="F3522" s="2" t="s">
        <v>15541</v>
      </c>
      <c r="G3522" s="2" t="s">
        <v>26719</v>
      </c>
      <c r="H3522" s="2" t="s">
        <v>170</v>
      </c>
      <c r="I3522" s="2" t="s">
        <v>88</v>
      </c>
      <c r="J3522" s="2" t="s">
        <v>65</v>
      </c>
      <c r="K3522" s="2" t="s">
        <v>26720</v>
      </c>
      <c r="L3522" s="2" t="s">
        <v>88</v>
      </c>
      <c r="M3522" s="2" t="s">
        <v>170</v>
      </c>
      <c r="N3522" s="2" t="s">
        <v>26721</v>
      </c>
      <c r="O3522" s="2"/>
      <c r="P3522" s="2" t="s">
        <v>37</v>
      </c>
      <c r="Q3522" s="4" t="n">
        <v>8731</v>
      </c>
      <c r="R3522" s="2" t="s">
        <v>136</v>
      </c>
      <c r="S3522" s="2" t="s">
        <v>39</v>
      </c>
      <c r="T3522" s="2" t="s">
        <v>40</v>
      </c>
      <c r="U3522" s="2" t="s">
        <v>26722</v>
      </c>
      <c r="V3522" s="2"/>
      <c r="W3522" s="2" t="s">
        <v>24450</v>
      </c>
      <c r="X3522" s="2" t="s">
        <v>43</v>
      </c>
      <c r="Y3522" s="2" t="s">
        <v>37</v>
      </c>
      <c r="Z3522" s="2" t="s">
        <v>44</v>
      </c>
      <c r="AA3522" s="2"/>
      <c r="AB3522" s="2"/>
      <c r="AC3522" s="2" t="s">
        <v>26723</v>
      </c>
      <c r="AD3522" s="2" t="s">
        <v>46</v>
      </c>
    </row>
    <row r="3523" customFormat="false" ht="15.7" hidden="false" customHeight="true" outlineLevel="0" collapsed="false">
      <c r="A3523" s="2"/>
      <c r="B3523" s="3" t="n">
        <f aca="false">DATE(2018,2,8)</f>
        <v>0</v>
      </c>
      <c r="C3523" s="3" t="n">
        <v>43139</v>
      </c>
      <c r="D3523" s="2" t="s">
        <v>26724</v>
      </c>
      <c r="F3523" s="2" t="s">
        <v>26725</v>
      </c>
      <c r="G3523" s="2" t="s">
        <v>26726</v>
      </c>
      <c r="H3523" s="2" t="s">
        <v>26727</v>
      </c>
      <c r="I3523" s="2" t="s">
        <v>51</v>
      </c>
      <c r="J3523" s="2" t="s">
        <v>378</v>
      </c>
      <c r="K3523" s="2" t="s">
        <v>26724</v>
      </c>
      <c r="L3523" s="2" t="s">
        <v>51</v>
      </c>
      <c r="M3523" s="2" t="s">
        <v>26727</v>
      </c>
      <c r="N3523" s="2" t="s">
        <v>26728</v>
      </c>
      <c r="O3523" s="2"/>
      <c r="P3523" s="2" t="s">
        <v>37</v>
      </c>
      <c r="Q3523" s="4" t="n">
        <v>3999</v>
      </c>
      <c r="R3523" s="2" t="s">
        <v>56</v>
      </c>
      <c r="S3523" s="2" t="s">
        <v>7553</v>
      </c>
      <c r="T3523" s="2" t="s">
        <v>40</v>
      </c>
      <c r="U3523" s="2" t="s">
        <v>26729</v>
      </c>
      <c r="V3523" s="2"/>
      <c r="W3523" s="2" t="s">
        <v>107</v>
      </c>
      <c r="X3523" s="2" t="s">
        <v>43</v>
      </c>
      <c r="Y3523" s="2" t="s">
        <v>37</v>
      </c>
      <c r="Z3523" s="2" t="s">
        <v>44</v>
      </c>
      <c r="AA3523" s="2"/>
      <c r="AB3523" s="2"/>
      <c r="AC3523" s="2" t="s">
        <v>26730</v>
      </c>
      <c r="AD3523" s="2" t="s">
        <v>46</v>
      </c>
    </row>
    <row r="3524" customFormat="false" ht="15.7" hidden="false" customHeight="true" outlineLevel="0" collapsed="false">
      <c r="A3524" s="2"/>
      <c r="B3524" s="3" t="n">
        <f aca="false">DATE(2018,2,9)</f>
        <v>0</v>
      </c>
      <c r="C3524" s="3" t="n">
        <v>43140</v>
      </c>
      <c r="D3524" s="2" t="s">
        <v>26731</v>
      </c>
      <c r="F3524" s="2" t="s">
        <v>26732</v>
      </c>
      <c r="G3524" s="2" t="s">
        <v>26733</v>
      </c>
      <c r="H3524" s="2" t="s">
        <v>1271</v>
      </c>
      <c r="I3524" s="2" t="s">
        <v>202</v>
      </c>
      <c r="J3524" s="2" t="s">
        <v>7963</v>
      </c>
      <c r="K3524" s="2" t="s">
        <v>26734</v>
      </c>
      <c r="L3524" s="2" t="s">
        <v>10247</v>
      </c>
      <c r="M3524" s="2" t="s">
        <v>523</v>
      </c>
      <c r="N3524" s="2" t="s">
        <v>26735</v>
      </c>
      <c r="O3524" s="2"/>
      <c r="P3524" s="2" t="s">
        <v>37</v>
      </c>
      <c r="Q3524" s="4" t="n">
        <v>5099</v>
      </c>
      <c r="R3524" s="2" t="s">
        <v>136</v>
      </c>
      <c r="S3524" s="2" t="s">
        <v>39</v>
      </c>
      <c r="T3524" s="2" t="s">
        <v>40</v>
      </c>
      <c r="U3524" s="2" t="s">
        <v>26736</v>
      </c>
      <c r="V3524" s="2"/>
      <c r="W3524" s="2" t="s">
        <v>23349</v>
      </c>
      <c r="X3524" s="2" t="s">
        <v>43</v>
      </c>
      <c r="Y3524" s="2" t="s">
        <v>37</v>
      </c>
      <c r="Z3524" s="2" t="s">
        <v>44</v>
      </c>
      <c r="AA3524" s="2"/>
      <c r="AB3524" s="2"/>
      <c r="AC3524" s="2" t="s">
        <v>26737</v>
      </c>
      <c r="AD3524" s="2" t="s">
        <v>46</v>
      </c>
    </row>
    <row r="3525" customFormat="false" ht="15.7" hidden="false" customHeight="true" outlineLevel="0" collapsed="false">
      <c r="A3525" s="2"/>
      <c r="B3525" s="3" t="n">
        <f aca="false">DATE(2018,2,9)</f>
        <v>0</v>
      </c>
      <c r="C3525" s="3" t="n">
        <v>43140</v>
      </c>
      <c r="D3525" s="2" t="s">
        <v>26738</v>
      </c>
      <c r="F3525" s="2" t="s">
        <v>26739</v>
      </c>
      <c r="G3525" s="2" t="s">
        <v>26740</v>
      </c>
      <c r="H3525" s="2" t="s">
        <v>305</v>
      </c>
      <c r="I3525" s="2" t="s">
        <v>670</v>
      </c>
      <c r="J3525" s="2" t="s">
        <v>203</v>
      </c>
      <c r="K3525" s="2" t="s">
        <v>26738</v>
      </c>
      <c r="L3525" s="2" t="s">
        <v>670</v>
      </c>
      <c r="M3525" s="2" t="s">
        <v>305</v>
      </c>
      <c r="N3525" s="2" t="s">
        <v>26741</v>
      </c>
      <c r="O3525" s="2"/>
      <c r="P3525" s="2" t="s">
        <v>37</v>
      </c>
      <c r="Q3525" s="4" t="n">
        <v>8731</v>
      </c>
      <c r="R3525" s="2" t="s">
        <v>402</v>
      </c>
      <c r="S3525" s="2" t="s">
        <v>39</v>
      </c>
      <c r="T3525" s="2" t="s">
        <v>40</v>
      </c>
      <c r="U3525" s="2" t="s">
        <v>26742</v>
      </c>
      <c r="V3525" s="2"/>
      <c r="W3525" s="2" t="s">
        <v>344</v>
      </c>
      <c r="X3525" s="2" t="s">
        <v>43</v>
      </c>
      <c r="Y3525" s="2" t="s">
        <v>37</v>
      </c>
      <c r="Z3525" s="2" t="s">
        <v>44</v>
      </c>
      <c r="AA3525" s="2"/>
      <c r="AB3525" s="2"/>
      <c r="AC3525" s="2" t="s">
        <v>26743</v>
      </c>
      <c r="AD3525" s="2" t="s">
        <v>46</v>
      </c>
    </row>
    <row r="3526" customFormat="false" ht="15.7" hidden="false" customHeight="true" outlineLevel="0" collapsed="false">
      <c r="A3526" s="2"/>
      <c r="B3526" s="3" t="n">
        <f aca="false">DATE(2018,2,12)</f>
        <v>0</v>
      </c>
      <c r="C3526" s="3" t="n">
        <v>43143</v>
      </c>
      <c r="D3526" s="2" t="s">
        <v>26744</v>
      </c>
      <c r="F3526" s="2" t="s">
        <v>26745</v>
      </c>
      <c r="G3526" s="2" t="s">
        <v>26746</v>
      </c>
      <c r="H3526" s="2" t="s">
        <v>4122</v>
      </c>
      <c r="I3526" s="2" t="s">
        <v>51</v>
      </c>
      <c r="J3526" s="2" t="s">
        <v>178</v>
      </c>
      <c r="K3526" s="2" t="s">
        <v>26747</v>
      </c>
      <c r="L3526" s="2" t="s">
        <v>664</v>
      </c>
      <c r="M3526" s="2" t="s">
        <v>4122</v>
      </c>
      <c r="N3526" s="2" t="s">
        <v>26748</v>
      </c>
      <c r="O3526" s="2"/>
      <c r="P3526" s="2" t="s">
        <v>37</v>
      </c>
      <c r="Q3526" s="4" t="n">
        <v>8731</v>
      </c>
      <c r="R3526" s="2" t="s">
        <v>56</v>
      </c>
      <c r="S3526" s="2"/>
      <c r="T3526" s="2" t="s">
        <v>40</v>
      </c>
      <c r="U3526" s="2" t="s">
        <v>26749</v>
      </c>
      <c r="V3526" s="2"/>
      <c r="W3526" s="2" t="s">
        <v>42</v>
      </c>
      <c r="X3526" s="2" t="s">
        <v>43</v>
      </c>
      <c r="Y3526" s="2" t="s">
        <v>37</v>
      </c>
      <c r="Z3526" s="2" t="s">
        <v>44</v>
      </c>
      <c r="AA3526" s="2"/>
      <c r="AB3526" s="2"/>
      <c r="AC3526" s="2" t="s">
        <v>26750</v>
      </c>
      <c r="AD3526" s="2" t="s">
        <v>46</v>
      </c>
    </row>
    <row r="3527" customFormat="false" ht="15.7" hidden="false" customHeight="true" outlineLevel="0" collapsed="false">
      <c r="A3527" s="2"/>
      <c r="B3527" s="3" t="n">
        <f aca="false">DATE(2018,2,12)</f>
        <v>0</v>
      </c>
      <c r="C3527" s="3" t="n">
        <v>43143</v>
      </c>
      <c r="D3527" s="2" t="s">
        <v>26751</v>
      </c>
      <c r="F3527" s="2" t="s">
        <v>26752</v>
      </c>
      <c r="G3527" s="2" t="s">
        <v>26753</v>
      </c>
      <c r="H3527" s="2" t="s">
        <v>26754</v>
      </c>
      <c r="I3527" s="2" t="s">
        <v>1431</v>
      </c>
      <c r="J3527" s="2" t="s">
        <v>22864</v>
      </c>
      <c r="K3527" s="2" t="s">
        <v>26755</v>
      </c>
      <c r="L3527" s="2" t="s">
        <v>12283</v>
      </c>
      <c r="M3527" s="2" t="s">
        <v>26756</v>
      </c>
      <c r="N3527" s="2" t="s">
        <v>26757</v>
      </c>
      <c r="O3527" s="2"/>
      <c r="P3527" s="2" t="s">
        <v>37</v>
      </c>
      <c r="Q3527" s="4" t="n">
        <v>8731</v>
      </c>
      <c r="R3527" s="2" t="s">
        <v>136</v>
      </c>
      <c r="S3527" s="2" t="s">
        <v>39</v>
      </c>
      <c r="T3527" s="2" t="s">
        <v>40</v>
      </c>
      <c r="U3527" s="2" t="s">
        <v>26758</v>
      </c>
      <c r="V3527" s="2"/>
      <c r="W3527" s="2" t="s">
        <v>26759</v>
      </c>
      <c r="X3527" s="2" t="s">
        <v>43</v>
      </c>
      <c r="Y3527" s="2" t="s">
        <v>37</v>
      </c>
      <c r="Z3527" s="2" t="s">
        <v>44</v>
      </c>
      <c r="AA3527" s="2"/>
      <c r="AB3527" s="2"/>
      <c r="AC3527" s="2" t="s">
        <v>26760</v>
      </c>
      <c r="AD3527" s="2" t="s">
        <v>46</v>
      </c>
    </row>
    <row r="3528" customFormat="false" ht="15.7" hidden="false" customHeight="true" outlineLevel="0" collapsed="false">
      <c r="A3528" s="2"/>
      <c r="B3528" s="3" t="n">
        <f aca="false">DATE(2018,2,12)</f>
        <v>0</v>
      </c>
      <c r="C3528" s="3" t="n">
        <v>43143</v>
      </c>
      <c r="D3528" s="2" t="s">
        <v>26761</v>
      </c>
      <c r="F3528" s="2" t="s">
        <v>26762</v>
      </c>
      <c r="G3528" s="2" t="s">
        <v>26763</v>
      </c>
      <c r="H3528" s="2" t="s">
        <v>7288</v>
      </c>
      <c r="I3528" s="2" t="s">
        <v>3265</v>
      </c>
      <c r="J3528" s="2" t="s">
        <v>132</v>
      </c>
      <c r="K3528" s="2" t="s">
        <v>26761</v>
      </c>
      <c r="L3528" s="2" t="s">
        <v>3265</v>
      </c>
      <c r="M3528" s="2" t="s">
        <v>7288</v>
      </c>
      <c r="N3528" s="2" t="s">
        <v>26764</v>
      </c>
      <c r="O3528" s="2"/>
      <c r="P3528" s="2" t="s">
        <v>37</v>
      </c>
      <c r="Q3528" s="4" t="n">
        <v>8099</v>
      </c>
      <c r="R3528" s="2" t="s">
        <v>402</v>
      </c>
      <c r="S3528" s="2" t="s">
        <v>39</v>
      </c>
      <c r="T3528" s="2" t="s">
        <v>11074</v>
      </c>
      <c r="U3528" s="2" t="s">
        <v>26765</v>
      </c>
      <c r="V3528" s="2"/>
      <c r="W3528" s="2" t="s">
        <v>4487</v>
      </c>
      <c r="X3528" s="2" t="s">
        <v>46</v>
      </c>
      <c r="Y3528" s="2" t="s">
        <v>37</v>
      </c>
      <c r="Z3528" s="2" t="s">
        <v>44</v>
      </c>
      <c r="AA3528" s="2"/>
      <c r="AB3528" s="2"/>
      <c r="AC3528" s="2" t="s">
        <v>26766</v>
      </c>
      <c r="AD3528" s="2" t="s">
        <v>46</v>
      </c>
    </row>
    <row r="3529" customFormat="false" ht="15.7" hidden="false" customHeight="true" outlineLevel="0" collapsed="false">
      <c r="A3529" s="2"/>
      <c r="B3529" s="3" t="n">
        <f aca="false">DATE(2018,2,12)</f>
        <v>0</v>
      </c>
      <c r="C3529" s="3" t="n">
        <v>43143</v>
      </c>
      <c r="D3529" s="2" t="s">
        <v>26767</v>
      </c>
      <c r="F3529" s="2" t="s">
        <v>17277</v>
      </c>
      <c r="G3529" s="2" t="s">
        <v>26768</v>
      </c>
      <c r="H3529" s="2" t="s">
        <v>523</v>
      </c>
      <c r="I3529" s="2" t="s">
        <v>965</v>
      </c>
      <c r="J3529" s="2" t="s">
        <v>1891</v>
      </c>
      <c r="K3529" s="2" t="s">
        <v>26769</v>
      </c>
      <c r="L3529" s="2" t="s">
        <v>180</v>
      </c>
      <c r="M3529" s="2" t="s">
        <v>523</v>
      </c>
      <c r="N3529" s="2" t="s">
        <v>26770</v>
      </c>
      <c r="O3529" s="2"/>
      <c r="P3529" s="2" t="s">
        <v>37</v>
      </c>
      <c r="Q3529" s="4" t="n">
        <v>8099</v>
      </c>
      <c r="R3529" s="2" t="s">
        <v>136</v>
      </c>
      <c r="S3529" s="2" t="s">
        <v>39</v>
      </c>
      <c r="T3529" s="2" t="s">
        <v>40</v>
      </c>
      <c r="U3529" s="2" t="s">
        <v>26771</v>
      </c>
      <c r="V3529" s="2"/>
      <c r="W3529" s="2" t="s">
        <v>4487</v>
      </c>
      <c r="X3529" s="2" t="s">
        <v>43</v>
      </c>
      <c r="Y3529" s="2" t="s">
        <v>37</v>
      </c>
      <c r="Z3529" s="2" t="s">
        <v>44</v>
      </c>
      <c r="AA3529" s="2"/>
      <c r="AB3529" s="2"/>
      <c r="AC3529" s="2" t="s">
        <v>26772</v>
      </c>
      <c r="AD3529" s="2" t="s">
        <v>46</v>
      </c>
    </row>
    <row r="3530" customFormat="false" ht="15.7" hidden="false" customHeight="true" outlineLevel="0" collapsed="false">
      <c r="A3530" s="2"/>
      <c r="B3530" s="3" t="n">
        <f aca="false">DATE(2018,2,12)</f>
        <v>0</v>
      </c>
      <c r="C3530" s="3" t="n">
        <v>43143</v>
      </c>
      <c r="D3530" s="2" t="s">
        <v>26773</v>
      </c>
      <c r="F3530" s="2" t="s">
        <v>26774</v>
      </c>
      <c r="G3530" s="2" t="s">
        <v>26775</v>
      </c>
      <c r="H3530" s="2" t="s">
        <v>26776</v>
      </c>
      <c r="I3530" s="2" t="s">
        <v>6838</v>
      </c>
      <c r="J3530" s="2" t="s">
        <v>35</v>
      </c>
      <c r="K3530" s="2" t="s">
        <v>26773</v>
      </c>
      <c r="L3530" s="2" t="s">
        <v>6838</v>
      </c>
      <c r="M3530" s="2" t="s">
        <v>26776</v>
      </c>
      <c r="N3530" s="2" t="s">
        <v>26777</v>
      </c>
      <c r="O3530" s="2"/>
      <c r="P3530" s="2" t="s">
        <v>37</v>
      </c>
      <c r="Q3530" s="4" t="n">
        <v>8731</v>
      </c>
      <c r="R3530" s="2" t="s">
        <v>402</v>
      </c>
      <c r="S3530" s="2" t="s">
        <v>39</v>
      </c>
      <c r="T3530" s="2" t="s">
        <v>40</v>
      </c>
      <c r="U3530" s="2" t="s">
        <v>26778</v>
      </c>
      <c r="V3530" s="2"/>
      <c r="W3530" s="2" t="s">
        <v>42</v>
      </c>
      <c r="X3530" s="2" t="s">
        <v>43</v>
      </c>
      <c r="Y3530" s="2" t="s">
        <v>37</v>
      </c>
      <c r="Z3530" s="2" t="s">
        <v>44</v>
      </c>
      <c r="AA3530" s="2"/>
      <c r="AB3530" s="2"/>
      <c r="AC3530" s="2" t="s">
        <v>26779</v>
      </c>
      <c r="AD3530" s="2" t="s">
        <v>46</v>
      </c>
    </row>
    <row r="3531" customFormat="false" ht="15.7" hidden="false" customHeight="true" outlineLevel="0" collapsed="false">
      <c r="A3531" s="2"/>
      <c r="B3531" s="3" t="n">
        <f aca="false">DATE(2018,2,13)</f>
        <v>0</v>
      </c>
      <c r="C3531" s="3" t="n">
        <v>43144</v>
      </c>
      <c r="D3531" s="2" t="s">
        <v>26780</v>
      </c>
      <c r="F3531" s="2" t="s">
        <v>1138</v>
      </c>
      <c r="G3531" s="2" t="s">
        <v>26781</v>
      </c>
      <c r="H3531" s="2" t="s">
        <v>305</v>
      </c>
      <c r="I3531" s="2" t="s">
        <v>100</v>
      </c>
      <c r="J3531" s="2" t="s">
        <v>625</v>
      </c>
      <c r="K3531" s="2" t="s">
        <v>26780</v>
      </c>
      <c r="L3531" s="2" t="s">
        <v>100</v>
      </c>
      <c r="M3531" s="2" t="s">
        <v>305</v>
      </c>
      <c r="N3531" s="2" t="s">
        <v>26782</v>
      </c>
      <c r="O3531" s="2"/>
      <c r="P3531" s="2" t="s">
        <v>37</v>
      </c>
      <c r="Q3531" s="4" t="n">
        <v>6794</v>
      </c>
      <c r="R3531" s="2" t="s">
        <v>136</v>
      </c>
      <c r="S3531" s="2" t="s">
        <v>39</v>
      </c>
      <c r="T3531" s="2" t="s">
        <v>40</v>
      </c>
      <c r="U3531" s="2" t="s">
        <v>26783</v>
      </c>
      <c r="V3531" s="2"/>
      <c r="W3531" s="2" t="s">
        <v>26089</v>
      </c>
      <c r="X3531" s="2" t="s">
        <v>43</v>
      </c>
      <c r="Y3531" s="2" t="s">
        <v>37</v>
      </c>
      <c r="Z3531" s="2" t="s">
        <v>44</v>
      </c>
      <c r="AA3531" s="2"/>
      <c r="AB3531" s="2"/>
      <c r="AC3531" s="2" t="s">
        <v>26784</v>
      </c>
      <c r="AD3531" s="2" t="s">
        <v>46</v>
      </c>
    </row>
    <row r="3532" customFormat="false" ht="15.7" hidden="false" customHeight="true" outlineLevel="0" collapsed="false">
      <c r="A3532" s="2"/>
      <c r="B3532" s="3" t="n">
        <f aca="false">DATE(2018,2,15)</f>
        <v>0</v>
      </c>
      <c r="C3532" s="3" t="n">
        <v>43146</v>
      </c>
      <c r="D3532" s="2" t="s">
        <v>26785</v>
      </c>
      <c r="F3532" s="2" t="s">
        <v>26786</v>
      </c>
      <c r="G3532" s="2" t="s">
        <v>26787</v>
      </c>
      <c r="H3532" s="2" t="s">
        <v>26788</v>
      </c>
      <c r="I3532" s="2" t="s">
        <v>4325</v>
      </c>
      <c r="J3532" s="2" t="s">
        <v>35</v>
      </c>
      <c r="K3532" s="2" t="s">
        <v>26785</v>
      </c>
      <c r="L3532" s="2" t="s">
        <v>4325</v>
      </c>
      <c r="M3532" s="2" t="s">
        <v>26788</v>
      </c>
      <c r="N3532" s="2" t="s">
        <v>26789</v>
      </c>
      <c r="O3532" s="2"/>
      <c r="P3532" s="2" t="s">
        <v>37</v>
      </c>
      <c r="Q3532" s="4" t="n">
        <v>8731</v>
      </c>
      <c r="R3532" s="2" t="s">
        <v>402</v>
      </c>
      <c r="S3532" s="2" t="s">
        <v>39</v>
      </c>
      <c r="T3532" s="2" t="s">
        <v>40</v>
      </c>
      <c r="U3532" s="2" t="s">
        <v>26790</v>
      </c>
      <c r="V3532" s="2"/>
      <c r="W3532" s="2" t="s">
        <v>6901</v>
      </c>
      <c r="X3532" s="2" t="s">
        <v>43</v>
      </c>
      <c r="Y3532" s="2" t="s">
        <v>37</v>
      </c>
      <c r="Z3532" s="2" t="s">
        <v>44</v>
      </c>
      <c r="AA3532" s="2"/>
      <c r="AB3532" s="2"/>
      <c r="AC3532" s="2" t="s">
        <v>26791</v>
      </c>
      <c r="AD3532" s="2" t="s">
        <v>46</v>
      </c>
    </row>
    <row r="3533" customFormat="false" ht="15.7" hidden="false" customHeight="true" outlineLevel="0" collapsed="false">
      <c r="A3533" s="2"/>
      <c r="B3533" s="3" t="n">
        <f aca="false">DATE(2018,2,15)</f>
        <v>0</v>
      </c>
      <c r="C3533" s="3" t="n">
        <v>43146</v>
      </c>
      <c r="D3533" s="2" t="s">
        <v>26792</v>
      </c>
      <c r="F3533" s="2" t="s">
        <v>26793</v>
      </c>
      <c r="G3533" s="2" t="s">
        <v>26794</v>
      </c>
      <c r="H3533" s="2" t="s">
        <v>130</v>
      </c>
      <c r="I3533" s="2" t="s">
        <v>2103</v>
      </c>
      <c r="J3533" s="2" t="s">
        <v>35</v>
      </c>
      <c r="K3533" s="2" t="s">
        <v>26792</v>
      </c>
      <c r="L3533" s="2" t="s">
        <v>2103</v>
      </c>
      <c r="M3533" s="2" t="s">
        <v>130</v>
      </c>
      <c r="N3533" s="2" t="s">
        <v>26795</v>
      </c>
      <c r="O3533" s="2"/>
      <c r="P3533" s="2" t="s">
        <v>37</v>
      </c>
      <c r="Q3533" s="4" t="n">
        <v>8731</v>
      </c>
      <c r="R3533" s="2" t="s">
        <v>136</v>
      </c>
      <c r="S3533" s="2" t="s">
        <v>39</v>
      </c>
      <c r="T3533" s="2" t="s">
        <v>40</v>
      </c>
      <c r="U3533" s="2" t="s">
        <v>26796</v>
      </c>
      <c r="V3533" s="2"/>
      <c r="W3533" s="2" t="s">
        <v>138</v>
      </c>
      <c r="X3533" s="2" t="s">
        <v>43</v>
      </c>
      <c r="Y3533" s="2" t="s">
        <v>37</v>
      </c>
      <c r="Z3533" s="2" t="s">
        <v>44</v>
      </c>
      <c r="AA3533" s="2"/>
      <c r="AB3533" s="2"/>
      <c r="AC3533" s="2" t="s">
        <v>26797</v>
      </c>
      <c r="AD3533" s="2" t="s">
        <v>46</v>
      </c>
    </row>
    <row r="3534" customFormat="false" ht="15.7" hidden="false" customHeight="true" outlineLevel="0" collapsed="false">
      <c r="A3534" s="2"/>
      <c r="B3534" s="3" t="n">
        <f aca="false">DATE(2018,2,16)</f>
        <v>0</v>
      </c>
      <c r="C3534" s="3" t="n">
        <v>43147</v>
      </c>
      <c r="D3534" s="2" t="s">
        <v>26798</v>
      </c>
      <c r="F3534" s="2" t="s">
        <v>26799</v>
      </c>
      <c r="G3534" s="2" t="s">
        <v>26800</v>
      </c>
      <c r="H3534" s="2" t="s">
        <v>26801</v>
      </c>
      <c r="I3534" s="2" t="s">
        <v>26802</v>
      </c>
      <c r="J3534" s="2" t="s">
        <v>35</v>
      </c>
      <c r="K3534" s="2" t="s">
        <v>26798</v>
      </c>
      <c r="L3534" s="2" t="s">
        <v>26802</v>
      </c>
      <c r="M3534" s="2" t="s">
        <v>26801</v>
      </c>
      <c r="N3534" s="2" t="s">
        <v>26803</v>
      </c>
      <c r="O3534" s="2"/>
      <c r="P3534" s="2" t="s">
        <v>37</v>
      </c>
      <c r="Q3534" s="4" t="n">
        <v>8731</v>
      </c>
      <c r="R3534" s="2" t="s">
        <v>1195</v>
      </c>
      <c r="S3534" s="2" t="s">
        <v>39</v>
      </c>
      <c r="T3534" s="2" t="s">
        <v>40</v>
      </c>
      <c r="U3534" s="2" t="s">
        <v>26804</v>
      </c>
      <c r="V3534" s="2"/>
      <c r="W3534" s="2" t="s">
        <v>26805</v>
      </c>
      <c r="X3534" s="2" t="s">
        <v>43</v>
      </c>
      <c r="Y3534" s="2" t="s">
        <v>37</v>
      </c>
      <c r="Z3534" s="2" t="s">
        <v>44</v>
      </c>
      <c r="AA3534" s="2"/>
      <c r="AB3534" s="2"/>
      <c r="AC3534" s="2" t="s">
        <v>26806</v>
      </c>
      <c r="AD3534" s="2" t="s">
        <v>46</v>
      </c>
    </row>
    <row r="3535" customFormat="false" ht="15.7" hidden="false" customHeight="true" outlineLevel="0" collapsed="false">
      <c r="A3535" s="2"/>
      <c r="B3535" s="3" t="n">
        <f aca="false">DATE(2018,2,20)</f>
        <v>0</v>
      </c>
      <c r="C3535" s="3" t="n">
        <v>43151</v>
      </c>
      <c r="D3535" s="2" t="s">
        <v>26807</v>
      </c>
      <c r="F3535" s="2" t="s">
        <v>26808</v>
      </c>
      <c r="G3535" s="2" t="s">
        <v>26809</v>
      </c>
      <c r="H3535" s="2" t="s">
        <v>26810</v>
      </c>
      <c r="I3535" s="2" t="s">
        <v>1544</v>
      </c>
      <c r="J3535" s="2" t="s">
        <v>488</v>
      </c>
      <c r="K3535" s="2" t="s">
        <v>26807</v>
      </c>
      <c r="L3535" s="2" t="s">
        <v>1544</v>
      </c>
      <c r="M3535" s="2" t="s">
        <v>26810</v>
      </c>
      <c r="N3535" s="2" t="s">
        <v>26811</v>
      </c>
      <c r="O3535" s="2"/>
      <c r="P3535" s="2" t="s">
        <v>79</v>
      </c>
      <c r="Q3535" s="4" t="n">
        <v>6794</v>
      </c>
      <c r="R3535" s="2" t="s">
        <v>136</v>
      </c>
      <c r="S3535" s="2" t="s">
        <v>39</v>
      </c>
      <c r="T3535" s="2" t="s">
        <v>40</v>
      </c>
      <c r="U3535" s="2" t="s">
        <v>26812</v>
      </c>
      <c r="V3535" s="2"/>
      <c r="W3535" s="2" t="s">
        <v>13670</v>
      </c>
      <c r="X3535" s="2" t="s">
        <v>43</v>
      </c>
      <c r="Y3535" s="2" t="s">
        <v>37</v>
      </c>
      <c r="Z3535" s="2" t="s">
        <v>44</v>
      </c>
      <c r="AA3535" s="2"/>
      <c r="AB3535" s="2"/>
      <c r="AC3535" s="2" t="s">
        <v>26813</v>
      </c>
      <c r="AD3535" s="2" t="s">
        <v>46</v>
      </c>
    </row>
    <row r="3536" customFormat="false" ht="15.7" hidden="false" customHeight="true" outlineLevel="0" collapsed="false">
      <c r="A3536" s="2"/>
      <c r="B3536" s="3" t="n">
        <f aca="false">DATE(2018,2,20)</f>
        <v>0</v>
      </c>
      <c r="C3536" s="3" t="n">
        <v>43151</v>
      </c>
      <c r="D3536" s="2" t="s">
        <v>26814</v>
      </c>
      <c r="F3536" s="2" t="s">
        <v>26815</v>
      </c>
      <c r="G3536" s="2" t="s">
        <v>26816</v>
      </c>
      <c r="H3536" s="2" t="s">
        <v>26817</v>
      </c>
      <c r="I3536" s="2" t="s">
        <v>1645</v>
      </c>
      <c r="J3536" s="2" t="s">
        <v>35</v>
      </c>
      <c r="K3536" s="2" t="s">
        <v>26814</v>
      </c>
      <c r="L3536" s="2" t="s">
        <v>1645</v>
      </c>
      <c r="M3536" s="2" t="s">
        <v>26817</v>
      </c>
      <c r="N3536" s="2" t="s">
        <v>26818</v>
      </c>
      <c r="O3536" s="2"/>
      <c r="P3536" s="2" t="s">
        <v>37</v>
      </c>
      <c r="Q3536" s="4" t="n">
        <v>8731</v>
      </c>
      <c r="R3536" s="2" t="s">
        <v>1402</v>
      </c>
      <c r="S3536" s="2" t="s">
        <v>39</v>
      </c>
      <c r="T3536" s="2" t="s">
        <v>40</v>
      </c>
      <c r="U3536" s="2" t="s">
        <v>26819</v>
      </c>
      <c r="V3536" s="2"/>
      <c r="W3536" s="2" t="s">
        <v>2056</v>
      </c>
      <c r="X3536" s="2" t="s">
        <v>43</v>
      </c>
      <c r="Y3536" s="2" t="s">
        <v>37</v>
      </c>
      <c r="Z3536" s="2" t="s">
        <v>44</v>
      </c>
      <c r="AA3536" s="2"/>
      <c r="AB3536" s="2"/>
      <c r="AC3536" s="2" t="s">
        <v>26820</v>
      </c>
      <c r="AD3536" s="2" t="s">
        <v>46</v>
      </c>
    </row>
    <row r="3537" customFormat="false" ht="15.7" hidden="false" customHeight="true" outlineLevel="0" collapsed="false">
      <c r="A3537" s="2"/>
      <c r="B3537" s="3" t="n">
        <f aca="false">DATE(2018,2,21)</f>
        <v>0</v>
      </c>
      <c r="C3537" s="3" t="n">
        <v>43152</v>
      </c>
      <c r="D3537" s="2" t="s">
        <v>26821</v>
      </c>
      <c r="F3537" s="2" t="s">
        <v>22407</v>
      </c>
      <c r="G3537" s="2" t="s">
        <v>26822</v>
      </c>
      <c r="H3537" s="2" t="s">
        <v>762</v>
      </c>
      <c r="I3537" s="2" t="s">
        <v>51</v>
      </c>
      <c r="J3537" s="2" t="s">
        <v>4723</v>
      </c>
      <c r="K3537" s="2" t="s">
        <v>26821</v>
      </c>
      <c r="L3537" s="2" t="s">
        <v>51</v>
      </c>
      <c r="M3537" s="2" t="s">
        <v>762</v>
      </c>
      <c r="N3537" s="2" t="s">
        <v>26823</v>
      </c>
      <c r="O3537" s="2"/>
      <c r="P3537" s="2" t="s">
        <v>37</v>
      </c>
      <c r="Q3537" s="4" t="n">
        <v>8731</v>
      </c>
      <c r="R3537" s="2" t="s">
        <v>56</v>
      </c>
      <c r="S3537" s="2" t="s">
        <v>1226</v>
      </c>
      <c r="T3537" s="2" t="s">
        <v>40</v>
      </c>
      <c r="U3537" s="2" t="s">
        <v>26824</v>
      </c>
      <c r="V3537" s="2"/>
      <c r="W3537" s="2" t="s">
        <v>42</v>
      </c>
      <c r="X3537" s="2" t="s">
        <v>43</v>
      </c>
      <c r="Y3537" s="2" t="s">
        <v>37</v>
      </c>
      <c r="Z3537" s="2" t="s">
        <v>44</v>
      </c>
      <c r="AA3537" s="2"/>
      <c r="AB3537" s="2"/>
      <c r="AC3537" s="2" t="s">
        <v>26825</v>
      </c>
      <c r="AD3537" s="2" t="s">
        <v>46</v>
      </c>
    </row>
    <row r="3538" customFormat="false" ht="15.7" hidden="false" customHeight="true" outlineLevel="0" collapsed="false">
      <c r="A3538" s="2"/>
      <c r="B3538" s="3" t="n">
        <f aca="false">DATE(2018,2,22)</f>
        <v>0</v>
      </c>
      <c r="C3538" s="3" t="n">
        <v>43153</v>
      </c>
      <c r="D3538" s="2" t="s">
        <v>26826</v>
      </c>
      <c r="F3538" s="2" t="s">
        <v>26827</v>
      </c>
      <c r="G3538" s="2" t="s">
        <v>26828</v>
      </c>
      <c r="H3538" s="2" t="s">
        <v>170</v>
      </c>
      <c r="I3538" s="2" t="s">
        <v>51</v>
      </c>
      <c r="J3538" s="2" t="s">
        <v>171</v>
      </c>
      <c r="K3538" s="2" t="s">
        <v>26829</v>
      </c>
      <c r="L3538" s="2" t="s">
        <v>51</v>
      </c>
      <c r="M3538" s="2" t="s">
        <v>170</v>
      </c>
      <c r="N3538" s="2" t="s">
        <v>26830</v>
      </c>
      <c r="O3538" s="2"/>
      <c r="P3538" s="2" t="s">
        <v>37</v>
      </c>
      <c r="Q3538" s="4" t="n">
        <v>8099</v>
      </c>
      <c r="R3538" s="2" t="s">
        <v>56</v>
      </c>
      <c r="S3538" s="2" t="s">
        <v>7553</v>
      </c>
      <c r="T3538" s="2" t="s">
        <v>40</v>
      </c>
      <c r="U3538" s="2" t="s">
        <v>26831</v>
      </c>
      <c r="V3538" s="2"/>
      <c r="W3538" s="2" t="s">
        <v>4487</v>
      </c>
      <c r="X3538" s="2" t="s">
        <v>43</v>
      </c>
      <c r="Y3538" s="2" t="s">
        <v>37</v>
      </c>
      <c r="Z3538" s="2" t="s">
        <v>44</v>
      </c>
      <c r="AA3538" s="2"/>
      <c r="AB3538" s="2"/>
      <c r="AC3538" s="2" t="s">
        <v>26832</v>
      </c>
      <c r="AD3538" s="2" t="s">
        <v>46</v>
      </c>
    </row>
    <row r="3539" customFormat="false" ht="15.7" hidden="false" customHeight="true" outlineLevel="0" collapsed="false">
      <c r="A3539" s="2"/>
      <c r="B3539" s="3" t="n">
        <f aca="false">DATE(2018,2,26)</f>
        <v>0</v>
      </c>
      <c r="C3539" s="3" t="n">
        <v>43157</v>
      </c>
      <c r="D3539" s="2" t="s">
        <v>26833</v>
      </c>
      <c r="F3539" s="2" t="s">
        <v>26834</v>
      </c>
      <c r="G3539" s="2" t="s">
        <v>26835</v>
      </c>
      <c r="H3539" s="2" t="s">
        <v>1925</v>
      </c>
      <c r="I3539" s="2" t="s">
        <v>51</v>
      </c>
      <c r="J3539" s="2" t="s">
        <v>3653</v>
      </c>
      <c r="K3539" s="2" t="s">
        <v>26836</v>
      </c>
      <c r="L3539" s="2" t="s">
        <v>51</v>
      </c>
      <c r="M3539" s="2" t="s">
        <v>247</v>
      </c>
      <c r="N3539" s="2" t="s">
        <v>26837</v>
      </c>
      <c r="O3539" s="2"/>
      <c r="P3539" s="2" t="s">
        <v>37</v>
      </c>
      <c r="Q3539" s="4" t="n">
        <v>8731</v>
      </c>
      <c r="R3539" s="2" t="s">
        <v>56</v>
      </c>
      <c r="S3539" s="2" t="s">
        <v>1622</v>
      </c>
      <c r="T3539" s="2" t="s">
        <v>40</v>
      </c>
      <c r="U3539" s="2" t="s">
        <v>26838</v>
      </c>
      <c r="V3539" s="2"/>
      <c r="W3539" s="2" t="s">
        <v>13889</v>
      </c>
      <c r="X3539" s="2" t="s">
        <v>43</v>
      </c>
      <c r="Y3539" s="2" t="s">
        <v>37</v>
      </c>
      <c r="Z3539" s="2" t="s">
        <v>44</v>
      </c>
      <c r="AA3539" s="2"/>
      <c r="AB3539" s="2"/>
      <c r="AC3539" s="2" t="s">
        <v>26839</v>
      </c>
      <c r="AD3539" s="2" t="s">
        <v>46</v>
      </c>
    </row>
    <row r="3540" customFormat="false" ht="15.7" hidden="false" customHeight="true" outlineLevel="0" collapsed="false">
      <c r="A3540" s="2"/>
      <c r="B3540" s="3" t="n">
        <f aca="false">DATE(2018,2,28)</f>
        <v>0</v>
      </c>
      <c r="C3540" s="3" t="n">
        <v>43159</v>
      </c>
      <c r="D3540" s="2" t="s">
        <v>26840</v>
      </c>
      <c r="F3540" s="2" t="s">
        <v>26841</v>
      </c>
      <c r="G3540" s="2" t="s">
        <v>26842</v>
      </c>
      <c r="H3540" s="2" t="s">
        <v>26843</v>
      </c>
      <c r="I3540" s="2" t="s">
        <v>51</v>
      </c>
      <c r="J3540" s="2" t="s">
        <v>26844</v>
      </c>
      <c r="K3540" s="2" t="s">
        <v>26840</v>
      </c>
      <c r="L3540" s="2" t="s">
        <v>51</v>
      </c>
      <c r="M3540" s="2" t="s">
        <v>26843</v>
      </c>
      <c r="N3540" s="2" t="s">
        <v>26845</v>
      </c>
      <c r="O3540" s="2"/>
      <c r="P3540" s="2" t="s">
        <v>37</v>
      </c>
      <c r="Q3540" s="4" t="n">
        <v>8731</v>
      </c>
      <c r="R3540" s="2" t="s">
        <v>56</v>
      </c>
      <c r="S3540" s="2" t="s">
        <v>3429</v>
      </c>
      <c r="T3540" s="2" t="s">
        <v>40</v>
      </c>
      <c r="U3540" s="2" t="s">
        <v>26846</v>
      </c>
      <c r="V3540" s="2"/>
      <c r="W3540" s="2" t="s">
        <v>42</v>
      </c>
      <c r="X3540" s="2" t="s">
        <v>43</v>
      </c>
      <c r="Y3540" s="2" t="s">
        <v>37</v>
      </c>
      <c r="Z3540" s="2" t="s">
        <v>44</v>
      </c>
      <c r="AA3540" s="2"/>
      <c r="AB3540" s="2"/>
      <c r="AC3540" s="2" t="s">
        <v>26847</v>
      </c>
      <c r="AD3540" s="2" t="s">
        <v>46</v>
      </c>
    </row>
    <row r="3541" customFormat="false" ht="15.7" hidden="false" customHeight="true" outlineLevel="0" collapsed="false">
      <c r="A3541" s="2"/>
      <c r="B3541" s="3" t="n">
        <f aca="false">DATE(2018,3,2)</f>
        <v>0</v>
      </c>
      <c r="C3541" s="3" t="n">
        <v>43161</v>
      </c>
      <c r="D3541" s="2" t="s">
        <v>26848</v>
      </c>
      <c r="F3541" s="2" t="s">
        <v>26849</v>
      </c>
      <c r="G3541" s="2" t="s">
        <v>26850</v>
      </c>
      <c r="H3541" s="2" t="s">
        <v>26851</v>
      </c>
      <c r="I3541" s="2" t="s">
        <v>51</v>
      </c>
      <c r="J3541" s="2" t="s">
        <v>26852</v>
      </c>
      <c r="K3541" s="2" t="s">
        <v>26848</v>
      </c>
      <c r="L3541" s="2" t="s">
        <v>51</v>
      </c>
      <c r="M3541" s="2" t="s">
        <v>26851</v>
      </c>
      <c r="N3541" s="2" t="s">
        <v>26853</v>
      </c>
      <c r="O3541" s="2"/>
      <c r="P3541" s="2" t="s">
        <v>37</v>
      </c>
      <c r="Q3541" s="4" t="n">
        <v>8731</v>
      </c>
      <c r="R3541" s="2" t="s">
        <v>56</v>
      </c>
      <c r="S3541" s="2" t="s">
        <v>753</v>
      </c>
      <c r="T3541" s="2" t="s">
        <v>40</v>
      </c>
      <c r="U3541" s="2" t="s">
        <v>26854</v>
      </c>
      <c r="V3541" s="2"/>
      <c r="W3541" s="2" t="s">
        <v>42</v>
      </c>
      <c r="X3541" s="2" t="s">
        <v>43</v>
      </c>
      <c r="Y3541" s="2" t="s">
        <v>37</v>
      </c>
      <c r="Z3541" s="2" t="s">
        <v>44</v>
      </c>
      <c r="AA3541" s="2"/>
      <c r="AB3541" s="2"/>
      <c r="AC3541" s="2" t="s">
        <v>26855</v>
      </c>
      <c r="AD3541" s="2" t="s">
        <v>46</v>
      </c>
    </row>
    <row r="3542" customFormat="false" ht="15.7" hidden="false" customHeight="true" outlineLevel="0" collapsed="false">
      <c r="A3542" s="2"/>
      <c r="B3542" s="3" t="n">
        <f aca="false">DATE(2018,3,5)</f>
        <v>0</v>
      </c>
      <c r="C3542" s="3" t="n">
        <v>43164</v>
      </c>
      <c r="D3542" s="2" t="s">
        <v>26856</v>
      </c>
      <c r="F3542" s="2" t="s">
        <v>26857</v>
      </c>
      <c r="G3542" s="2" t="s">
        <v>26858</v>
      </c>
      <c r="H3542" s="2" t="s">
        <v>26859</v>
      </c>
      <c r="I3542" s="2" t="s">
        <v>26860</v>
      </c>
      <c r="J3542" s="2" t="s">
        <v>116</v>
      </c>
      <c r="K3542" s="2" t="s">
        <v>26861</v>
      </c>
      <c r="L3542" s="2" t="s">
        <v>26860</v>
      </c>
      <c r="M3542" s="2" t="s">
        <v>26859</v>
      </c>
      <c r="N3542" s="2" t="s">
        <v>26862</v>
      </c>
      <c r="O3542" s="2"/>
      <c r="P3542" s="2" t="s">
        <v>37</v>
      </c>
      <c r="Q3542" s="4" t="n">
        <v>8731</v>
      </c>
      <c r="R3542" s="2" t="s">
        <v>402</v>
      </c>
      <c r="S3542" s="2" t="s">
        <v>39</v>
      </c>
      <c r="T3542" s="2" t="s">
        <v>40</v>
      </c>
      <c r="U3542" s="2" t="s">
        <v>26863</v>
      </c>
      <c r="V3542" s="2"/>
      <c r="W3542" s="2" t="s">
        <v>42</v>
      </c>
      <c r="X3542" s="2" t="s">
        <v>46</v>
      </c>
      <c r="Y3542" s="2" t="s">
        <v>37</v>
      </c>
      <c r="Z3542" s="2" t="s">
        <v>26864</v>
      </c>
      <c r="AA3542" s="2"/>
      <c r="AB3542" s="2"/>
      <c r="AC3542" s="2" t="s">
        <v>26865</v>
      </c>
      <c r="AD3542" s="2" t="s">
        <v>46</v>
      </c>
    </row>
    <row r="3543" customFormat="false" ht="15.7" hidden="false" customHeight="true" outlineLevel="0" collapsed="false">
      <c r="A3543" s="2"/>
      <c r="B3543" s="3" t="n">
        <f aca="false">DATE(2018,3,6)</f>
        <v>0</v>
      </c>
      <c r="C3543" s="3" t="n">
        <v>43165</v>
      </c>
      <c r="D3543" s="2" t="s">
        <v>26866</v>
      </c>
      <c r="F3543" s="2" t="s">
        <v>26867</v>
      </c>
      <c r="G3543" s="2" t="s">
        <v>26868</v>
      </c>
      <c r="H3543" s="2" t="s">
        <v>368</v>
      </c>
      <c r="I3543" s="2" t="s">
        <v>34</v>
      </c>
      <c r="J3543" s="2" t="s">
        <v>35</v>
      </c>
      <c r="K3543" s="2" t="s">
        <v>26866</v>
      </c>
      <c r="L3543" s="2" t="s">
        <v>34</v>
      </c>
      <c r="M3543" s="2" t="s">
        <v>368</v>
      </c>
      <c r="N3543" s="2" t="s">
        <v>26869</v>
      </c>
      <c r="O3543" s="2"/>
      <c r="P3543" s="2" t="s">
        <v>37</v>
      </c>
      <c r="Q3543" s="4" t="n">
        <v>8731</v>
      </c>
      <c r="R3543" s="2"/>
      <c r="S3543" s="2"/>
      <c r="T3543" s="2" t="s">
        <v>40</v>
      </c>
      <c r="U3543" s="2" t="s">
        <v>26870</v>
      </c>
      <c r="V3543" s="2"/>
      <c r="W3543" s="2" t="s">
        <v>42</v>
      </c>
      <c r="X3543" s="2" t="s">
        <v>43</v>
      </c>
      <c r="Y3543" s="2" t="s">
        <v>37</v>
      </c>
      <c r="Z3543" s="2" t="s">
        <v>44</v>
      </c>
      <c r="AA3543" s="2"/>
      <c r="AB3543" s="2"/>
      <c r="AC3543" s="2" t="s">
        <v>26871</v>
      </c>
      <c r="AD3543" s="2" t="s">
        <v>46</v>
      </c>
    </row>
    <row r="3544" customFormat="false" ht="15.7" hidden="false" customHeight="true" outlineLevel="0" collapsed="false">
      <c r="A3544" s="2"/>
      <c r="B3544" s="3" t="n">
        <f aca="false">DATE(2018,3,7)</f>
        <v>0</v>
      </c>
      <c r="C3544" s="3" t="n">
        <v>43166</v>
      </c>
      <c r="D3544" s="2" t="s">
        <v>26872</v>
      </c>
      <c r="F3544" s="2" t="s">
        <v>26873</v>
      </c>
      <c r="G3544" s="2" t="s">
        <v>26874</v>
      </c>
      <c r="H3544" s="2" t="s">
        <v>8167</v>
      </c>
      <c r="I3544" s="2" t="s">
        <v>296</v>
      </c>
      <c r="J3544" s="2" t="s">
        <v>7963</v>
      </c>
      <c r="K3544" s="2" t="s">
        <v>26875</v>
      </c>
      <c r="L3544" s="2" t="s">
        <v>296</v>
      </c>
      <c r="M3544" s="2" t="s">
        <v>9040</v>
      </c>
      <c r="N3544" s="2" t="s">
        <v>26876</v>
      </c>
      <c r="O3544" s="2"/>
      <c r="P3544" s="2" t="s">
        <v>37</v>
      </c>
      <c r="Q3544" s="4" t="n">
        <v>8221</v>
      </c>
      <c r="R3544" s="2" t="s">
        <v>487</v>
      </c>
      <c r="S3544" s="2" t="s">
        <v>39</v>
      </c>
      <c r="T3544" s="2" t="s">
        <v>403</v>
      </c>
      <c r="U3544" s="2" t="s">
        <v>26877</v>
      </c>
      <c r="V3544" s="2"/>
      <c r="W3544" s="2" t="s">
        <v>344</v>
      </c>
      <c r="X3544" s="2" t="s">
        <v>43</v>
      </c>
      <c r="Y3544" s="2" t="s">
        <v>79</v>
      </c>
      <c r="Z3544" s="2" t="s">
        <v>44</v>
      </c>
      <c r="AA3544" s="2"/>
      <c r="AB3544" s="2"/>
      <c r="AC3544" s="2" t="s">
        <v>26878</v>
      </c>
      <c r="AD3544" s="2" t="s">
        <v>46</v>
      </c>
    </row>
    <row r="3545" customFormat="false" ht="15.7" hidden="false" customHeight="true" outlineLevel="0" collapsed="false">
      <c r="A3545" s="2"/>
      <c r="B3545" s="3" t="n">
        <f aca="false">DATE(2018,3,7)</f>
        <v>0</v>
      </c>
      <c r="C3545" s="3" t="n">
        <v>43166</v>
      </c>
      <c r="D3545" s="2" t="s">
        <v>26879</v>
      </c>
      <c r="F3545" s="2" t="s">
        <v>26880</v>
      </c>
      <c r="G3545" s="2" t="s">
        <v>26881</v>
      </c>
      <c r="H3545" s="2" t="s">
        <v>7288</v>
      </c>
      <c r="I3545" s="2" t="s">
        <v>219</v>
      </c>
      <c r="J3545" s="2" t="s">
        <v>1520</v>
      </c>
      <c r="K3545" s="2" t="s">
        <v>26879</v>
      </c>
      <c r="L3545" s="2" t="s">
        <v>219</v>
      </c>
      <c r="M3545" s="2" t="s">
        <v>7288</v>
      </c>
      <c r="N3545" s="2" t="s">
        <v>26882</v>
      </c>
      <c r="O3545" s="2"/>
      <c r="P3545" s="2" t="s">
        <v>79</v>
      </c>
      <c r="Q3545" s="4" t="n">
        <v>6794</v>
      </c>
      <c r="R3545" s="2" t="s">
        <v>38</v>
      </c>
      <c r="S3545" s="2" t="s">
        <v>39</v>
      </c>
      <c r="T3545" s="2" t="s">
        <v>2444</v>
      </c>
      <c r="U3545" s="2" t="s">
        <v>26883</v>
      </c>
      <c r="V3545" s="2"/>
      <c r="W3545" s="2" t="s">
        <v>15545</v>
      </c>
      <c r="X3545" s="2" t="s">
        <v>43</v>
      </c>
      <c r="Y3545" s="2" t="s">
        <v>37</v>
      </c>
      <c r="Z3545" s="2" t="s">
        <v>44</v>
      </c>
      <c r="AA3545" s="2"/>
      <c r="AB3545" s="2"/>
      <c r="AC3545" s="2" t="s">
        <v>26884</v>
      </c>
      <c r="AD3545" s="2" t="s">
        <v>46</v>
      </c>
    </row>
    <row r="3546" customFormat="false" ht="15.7" hidden="false" customHeight="true" outlineLevel="0" collapsed="false">
      <c r="A3546" s="2"/>
      <c r="B3546" s="3" t="n">
        <f aca="false">DATE(2018,3,7)</f>
        <v>0</v>
      </c>
      <c r="C3546" s="3" t="n">
        <v>43166</v>
      </c>
      <c r="D3546" s="2" t="s">
        <v>26885</v>
      </c>
      <c r="F3546" s="2" t="s">
        <v>20591</v>
      </c>
      <c r="G3546" s="2" t="s">
        <v>26886</v>
      </c>
      <c r="H3546" s="2" t="s">
        <v>305</v>
      </c>
      <c r="I3546" s="2" t="s">
        <v>296</v>
      </c>
      <c r="J3546" s="2" t="s">
        <v>65</v>
      </c>
      <c r="K3546" s="2" t="s">
        <v>26885</v>
      </c>
      <c r="L3546" s="2" t="s">
        <v>296</v>
      </c>
      <c r="M3546" s="2" t="s">
        <v>305</v>
      </c>
      <c r="N3546" s="2" t="s">
        <v>26887</v>
      </c>
      <c r="O3546" s="2"/>
      <c r="P3546" s="2" t="s">
        <v>37</v>
      </c>
      <c r="Q3546" s="4" t="n">
        <v>6794</v>
      </c>
      <c r="R3546" s="2" t="s">
        <v>56</v>
      </c>
      <c r="S3546" s="2"/>
      <c r="T3546" s="2" t="s">
        <v>40</v>
      </c>
      <c r="U3546" s="2" t="s">
        <v>26888</v>
      </c>
      <c r="V3546" s="2"/>
      <c r="W3546" s="2" t="s">
        <v>82</v>
      </c>
      <c r="X3546" s="2" t="s">
        <v>43</v>
      </c>
      <c r="Y3546" s="2" t="s">
        <v>37</v>
      </c>
      <c r="Z3546" s="2" t="s">
        <v>44</v>
      </c>
      <c r="AA3546" s="2"/>
      <c r="AB3546" s="2"/>
      <c r="AC3546" s="2" t="s">
        <v>26889</v>
      </c>
      <c r="AD3546" s="2" t="s">
        <v>46</v>
      </c>
    </row>
    <row r="3547" customFormat="false" ht="15.7" hidden="false" customHeight="true" outlineLevel="0" collapsed="false">
      <c r="A3547" s="2"/>
      <c r="B3547" s="3" t="n">
        <f aca="false">DATE(2018,3,8)</f>
        <v>0</v>
      </c>
      <c r="C3547" s="3" t="n">
        <v>43167</v>
      </c>
      <c r="D3547" s="2" t="s">
        <v>26890</v>
      </c>
      <c r="F3547" s="2" t="s">
        <v>26891</v>
      </c>
      <c r="G3547" s="2" t="s">
        <v>26892</v>
      </c>
      <c r="H3547" s="2" t="s">
        <v>26893</v>
      </c>
      <c r="I3547" s="2" t="s">
        <v>26894</v>
      </c>
      <c r="J3547" s="2" t="s">
        <v>35</v>
      </c>
      <c r="K3547" s="2" t="s">
        <v>26890</v>
      </c>
      <c r="L3547" s="2" t="s">
        <v>26894</v>
      </c>
      <c r="M3547" s="2" t="s">
        <v>26893</v>
      </c>
      <c r="N3547" s="2" t="s">
        <v>26895</v>
      </c>
      <c r="O3547" s="2"/>
      <c r="P3547" s="2" t="s">
        <v>37</v>
      </c>
      <c r="Q3547" s="4" t="n">
        <v>8731</v>
      </c>
      <c r="R3547" s="2" t="s">
        <v>402</v>
      </c>
      <c r="S3547" s="2" t="s">
        <v>39</v>
      </c>
      <c r="T3547" s="2" t="s">
        <v>403</v>
      </c>
      <c r="U3547" s="2" t="s">
        <v>26896</v>
      </c>
      <c r="V3547" s="2"/>
      <c r="W3547" s="2" t="s">
        <v>42</v>
      </c>
      <c r="X3547" s="2" t="s">
        <v>46</v>
      </c>
      <c r="Y3547" s="2" t="s">
        <v>37</v>
      </c>
      <c r="Z3547" s="2" t="s">
        <v>44</v>
      </c>
      <c r="AA3547" s="2"/>
      <c r="AB3547" s="2"/>
      <c r="AC3547" s="2" t="s">
        <v>26897</v>
      </c>
      <c r="AD3547" s="2" t="s">
        <v>46</v>
      </c>
    </row>
    <row r="3548" customFormat="false" ht="15.7" hidden="false" customHeight="true" outlineLevel="0" collapsed="false">
      <c r="A3548" s="2"/>
      <c r="B3548" s="3" t="n">
        <f aca="false">DATE(2018,3,8)</f>
        <v>0</v>
      </c>
      <c r="C3548" s="3" t="n">
        <v>43167</v>
      </c>
      <c r="D3548" s="2" t="s">
        <v>26898</v>
      </c>
      <c r="F3548" s="2" t="s">
        <v>26899</v>
      </c>
      <c r="G3548" s="2" t="s">
        <v>26900</v>
      </c>
      <c r="H3548" s="2" t="s">
        <v>3313</v>
      </c>
      <c r="I3548" s="2" t="s">
        <v>540</v>
      </c>
      <c r="J3548" s="2" t="s">
        <v>35</v>
      </c>
      <c r="K3548" s="2" t="s">
        <v>26898</v>
      </c>
      <c r="L3548" s="2" t="s">
        <v>540</v>
      </c>
      <c r="M3548" s="2" t="s">
        <v>3313</v>
      </c>
      <c r="N3548" s="2" t="s">
        <v>26901</v>
      </c>
      <c r="O3548" s="2"/>
      <c r="P3548" s="2" t="s">
        <v>37</v>
      </c>
      <c r="Q3548" s="4" t="n">
        <v>8731</v>
      </c>
      <c r="R3548" s="2" t="s">
        <v>1448</v>
      </c>
      <c r="S3548" s="2" t="s">
        <v>39</v>
      </c>
      <c r="T3548" s="2" t="s">
        <v>403</v>
      </c>
      <c r="U3548" s="2" t="s">
        <v>26902</v>
      </c>
      <c r="V3548" s="2"/>
      <c r="W3548" s="2" t="s">
        <v>42</v>
      </c>
      <c r="X3548" s="2" t="s">
        <v>46</v>
      </c>
      <c r="Y3548" s="2" t="s">
        <v>37</v>
      </c>
      <c r="Z3548" s="2" t="s">
        <v>362</v>
      </c>
      <c r="AA3548" s="2"/>
      <c r="AB3548" s="2"/>
      <c r="AC3548" s="2" t="s">
        <v>26903</v>
      </c>
      <c r="AD3548" s="2" t="s">
        <v>46</v>
      </c>
    </row>
    <row r="3549" customFormat="false" ht="15.7" hidden="false" customHeight="true" outlineLevel="0" collapsed="false">
      <c r="A3549" s="2"/>
      <c r="B3549" s="3" t="n">
        <f aca="false">DATE(2018,3,8)</f>
        <v>0</v>
      </c>
      <c r="C3549" s="3" t="n">
        <v>43167</v>
      </c>
      <c r="D3549" s="2" t="s">
        <v>26904</v>
      </c>
      <c r="F3549" s="2" t="s">
        <v>26905</v>
      </c>
      <c r="G3549" s="2" t="s">
        <v>26906</v>
      </c>
      <c r="H3549" s="2" t="s">
        <v>130</v>
      </c>
      <c r="I3549" s="2" t="s">
        <v>13417</v>
      </c>
      <c r="J3549" s="2" t="s">
        <v>35</v>
      </c>
      <c r="K3549" s="2" t="s">
        <v>26904</v>
      </c>
      <c r="L3549" s="2" t="s">
        <v>13417</v>
      </c>
      <c r="M3549" s="2" t="s">
        <v>130</v>
      </c>
      <c r="N3549" s="2" t="s">
        <v>26907</v>
      </c>
      <c r="O3549" s="2"/>
      <c r="P3549" s="2" t="s">
        <v>37</v>
      </c>
      <c r="Q3549" s="4" t="n">
        <v>8731</v>
      </c>
      <c r="R3549" s="2" t="s">
        <v>688</v>
      </c>
      <c r="S3549" s="2" t="s">
        <v>39</v>
      </c>
      <c r="T3549" s="2" t="s">
        <v>40</v>
      </c>
      <c r="U3549" s="2" t="s">
        <v>26908</v>
      </c>
      <c r="V3549" s="2"/>
      <c r="W3549" s="2" t="s">
        <v>42</v>
      </c>
      <c r="X3549" s="2" t="s">
        <v>43</v>
      </c>
      <c r="Y3549" s="2" t="s">
        <v>37</v>
      </c>
      <c r="Z3549" s="2" t="s">
        <v>44</v>
      </c>
      <c r="AA3549" s="2"/>
      <c r="AB3549" s="2"/>
      <c r="AC3549" s="2" t="s">
        <v>26909</v>
      </c>
      <c r="AD3549" s="2" t="s">
        <v>46</v>
      </c>
    </row>
    <row r="3550" customFormat="false" ht="15.7" hidden="false" customHeight="true" outlineLevel="0" collapsed="false">
      <c r="A3550" s="2"/>
      <c r="B3550" s="3" t="n">
        <f aca="false">DATE(2018,3,8)</f>
        <v>0</v>
      </c>
      <c r="C3550" s="3" t="n">
        <v>43167</v>
      </c>
      <c r="D3550" s="2" t="s">
        <v>26910</v>
      </c>
      <c r="F3550" s="2" t="s">
        <v>26911</v>
      </c>
      <c r="G3550" s="2" t="s">
        <v>26912</v>
      </c>
      <c r="H3550" s="2" t="s">
        <v>26913</v>
      </c>
      <c r="I3550" s="2" t="s">
        <v>26914</v>
      </c>
      <c r="J3550" s="2" t="s">
        <v>116</v>
      </c>
      <c r="K3550" s="2" t="s">
        <v>26910</v>
      </c>
      <c r="L3550" s="2" t="s">
        <v>26914</v>
      </c>
      <c r="M3550" s="2" t="s">
        <v>26913</v>
      </c>
      <c r="N3550" s="2" t="s">
        <v>26915</v>
      </c>
      <c r="O3550" s="2"/>
      <c r="P3550" s="2" t="s">
        <v>37</v>
      </c>
      <c r="Q3550" s="4" t="n">
        <v>8733</v>
      </c>
      <c r="R3550" s="2" t="s">
        <v>450</v>
      </c>
      <c r="S3550" s="2" t="s">
        <v>39</v>
      </c>
      <c r="T3550" s="2" t="s">
        <v>403</v>
      </c>
      <c r="U3550" s="2" t="s">
        <v>26916</v>
      </c>
      <c r="V3550" s="2"/>
      <c r="W3550" s="2" t="s">
        <v>42</v>
      </c>
      <c r="X3550" s="2" t="s">
        <v>43</v>
      </c>
      <c r="Y3550" s="2" t="s">
        <v>37</v>
      </c>
      <c r="Z3550" s="2" t="s">
        <v>916</v>
      </c>
      <c r="AA3550" s="2"/>
      <c r="AB3550" s="2"/>
      <c r="AC3550" s="2" t="s">
        <v>26917</v>
      </c>
      <c r="AD3550" s="2" t="s">
        <v>46</v>
      </c>
    </row>
    <row r="3551" customFormat="false" ht="15.7" hidden="false" customHeight="true" outlineLevel="0" collapsed="false">
      <c r="A3551" s="2"/>
      <c r="B3551" s="3" t="n">
        <f aca="false">DATE(2018,3,9)</f>
        <v>0</v>
      </c>
      <c r="C3551" s="3" t="n">
        <v>43168</v>
      </c>
      <c r="D3551" s="2" t="s">
        <v>26918</v>
      </c>
      <c r="F3551" s="2" t="s">
        <v>18520</v>
      </c>
      <c r="G3551" s="2" t="s">
        <v>26919</v>
      </c>
      <c r="H3551" s="2" t="s">
        <v>1027</v>
      </c>
      <c r="I3551" s="2" t="s">
        <v>4325</v>
      </c>
      <c r="J3551" s="2" t="s">
        <v>35</v>
      </c>
      <c r="K3551" s="2" t="s">
        <v>26920</v>
      </c>
      <c r="L3551" s="2" t="s">
        <v>4325</v>
      </c>
      <c r="M3551" s="2" t="s">
        <v>3840</v>
      </c>
      <c r="N3551" s="2" t="s">
        <v>26921</v>
      </c>
      <c r="O3551" s="2"/>
      <c r="P3551" s="2" t="s">
        <v>37</v>
      </c>
      <c r="Q3551" s="4" t="n">
        <v>8099</v>
      </c>
      <c r="R3551" s="2" t="s">
        <v>402</v>
      </c>
      <c r="S3551" s="2" t="s">
        <v>39</v>
      </c>
      <c r="T3551" s="2" t="s">
        <v>40</v>
      </c>
      <c r="U3551" s="2" t="s">
        <v>26922</v>
      </c>
      <c r="V3551" s="2"/>
      <c r="W3551" s="2" t="s">
        <v>18707</v>
      </c>
      <c r="X3551" s="2" t="s">
        <v>43</v>
      </c>
      <c r="Y3551" s="2" t="s">
        <v>37</v>
      </c>
      <c r="Z3551" s="2" t="s">
        <v>44</v>
      </c>
      <c r="AA3551" s="2"/>
      <c r="AB3551" s="2"/>
      <c r="AC3551" s="2" t="s">
        <v>26923</v>
      </c>
      <c r="AD3551" s="2" t="s">
        <v>46</v>
      </c>
    </row>
    <row r="3552" customFormat="false" ht="15.7" hidden="false" customHeight="true" outlineLevel="0" collapsed="false">
      <c r="A3552" s="2"/>
      <c r="B3552" s="3" t="n">
        <f aca="false">DATE(2018,3,11)</f>
        <v>0</v>
      </c>
      <c r="C3552" s="3" t="n">
        <v>43170</v>
      </c>
      <c r="D3552" s="2" t="s">
        <v>26924</v>
      </c>
      <c r="F3552" s="2" t="s">
        <v>26925</v>
      </c>
      <c r="G3552" s="2" t="s">
        <v>26926</v>
      </c>
      <c r="H3552" s="2" t="s">
        <v>63</v>
      </c>
      <c r="I3552" s="2" t="s">
        <v>435</v>
      </c>
      <c r="J3552" s="2" t="s">
        <v>966</v>
      </c>
      <c r="K3552" s="2" t="s">
        <v>26924</v>
      </c>
      <c r="L3552" s="2" t="s">
        <v>435</v>
      </c>
      <c r="M3552" s="2" t="s">
        <v>63</v>
      </c>
      <c r="N3552" s="2" t="s">
        <v>26927</v>
      </c>
      <c r="O3552" s="2"/>
      <c r="P3552" s="2" t="s">
        <v>37</v>
      </c>
      <c r="Q3552" s="4" t="n">
        <v>8099</v>
      </c>
      <c r="R3552" s="2"/>
      <c r="S3552" s="2"/>
      <c r="T3552" s="2" t="s">
        <v>40</v>
      </c>
      <c r="U3552" s="2" t="s">
        <v>26928</v>
      </c>
      <c r="V3552" s="2"/>
      <c r="W3552" s="2" t="s">
        <v>4487</v>
      </c>
      <c r="X3552" s="2" t="s">
        <v>43</v>
      </c>
      <c r="Y3552" s="2" t="s">
        <v>37</v>
      </c>
      <c r="Z3552" s="2" t="s">
        <v>44</v>
      </c>
      <c r="AA3552" s="2"/>
      <c r="AB3552" s="2"/>
      <c r="AC3552" s="2" t="s">
        <v>26929</v>
      </c>
      <c r="AD3552" s="2" t="s">
        <v>46</v>
      </c>
    </row>
    <row r="3553" customFormat="false" ht="15.7" hidden="false" customHeight="true" outlineLevel="0" collapsed="false">
      <c r="A3553" s="2"/>
      <c r="B3553" s="3" t="n">
        <f aca="false">DATE(2018,3,12)</f>
        <v>0</v>
      </c>
      <c r="C3553" s="3" t="n">
        <v>43171</v>
      </c>
      <c r="D3553" s="2" t="s">
        <v>26930</v>
      </c>
      <c r="F3553" s="2" t="s">
        <v>20591</v>
      </c>
      <c r="G3553" s="2" t="s">
        <v>26931</v>
      </c>
      <c r="H3553" s="2" t="s">
        <v>305</v>
      </c>
      <c r="I3553" s="2" t="s">
        <v>51</v>
      </c>
      <c r="J3553" s="2" t="s">
        <v>26932</v>
      </c>
      <c r="K3553" s="2" t="s">
        <v>26930</v>
      </c>
      <c r="L3553" s="2" t="s">
        <v>51</v>
      </c>
      <c r="M3553" s="2" t="s">
        <v>305</v>
      </c>
      <c r="N3553" s="2" t="s">
        <v>26933</v>
      </c>
      <c r="O3553" s="2"/>
      <c r="P3553" s="2" t="s">
        <v>37</v>
      </c>
      <c r="Q3553" s="4" t="n">
        <v>8731</v>
      </c>
      <c r="R3553" s="2" t="s">
        <v>56</v>
      </c>
      <c r="S3553" s="2" t="s">
        <v>2743</v>
      </c>
      <c r="T3553" s="2" t="s">
        <v>40</v>
      </c>
      <c r="U3553" s="2" t="s">
        <v>26934</v>
      </c>
      <c r="V3553" s="2"/>
      <c r="W3553" s="2" t="s">
        <v>42</v>
      </c>
      <c r="X3553" s="2" t="s">
        <v>43</v>
      </c>
      <c r="Y3553" s="2" t="s">
        <v>37</v>
      </c>
      <c r="Z3553" s="2" t="s">
        <v>44</v>
      </c>
      <c r="AA3553" s="2"/>
      <c r="AB3553" s="2"/>
      <c r="AC3553" s="2" t="s">
        <v>26935</v>
      </c>
      <c r="AD3553" s="2" t="s">
        <v>46</v>
      </c>
    </row>
    <row r="3554" customFormat="false" ht="15.7" hidden="false" customHeight="true" outlineLevel="0" collapsed="false">
      <c r="A3554" s="2"/>
      <c r="B3554" s="3" t="n">
        <f aca="false">DATE(2018,3,12)</f>
        <v>0</v>
      </c>
      <c r="C3554" s="3" t="n">
        <v>43171</v>
      </c>
      <c r="D3554" s="2" t="s">
        <v>26936</v>
      </c>
      <c r="F3554" s="2" t="s">
        <v>23409</v>
      </c>
      <c r="G3554" s="2" t="s">
        <v>26937</v>
      </c>
      <c r="H3554" s="2" t="s">
        <v>26938</v>
      </c>
      <c r="I3554" s="2" t="s">
        <v>180</v>
      </c>
      <c r="J3554" s="2" t="s">
        <v>132</v>
      </c>
      <c r="K3554" s="2" t="s">
        <v>26936</v>
      </c>
      <c r="L3554" s="2" t="s">
        <v>180</v>
      </c>
      <c r="M3554" s="2" t="s">
        <v>26938</v>
      </c>
      <c r="N3554" s="2" t="s">
        <v>26939</v>
      </c>
      <c r="O3554" s="2"/>
      <c r="P3554" s="2" t="s">
        <v>37</v>
      </c>
      <c r="Q3554" s="4" t="n">
        <v>8731</v>
      </c>
      <c r="R3554" s="2" t="s">
        <v>56</v>
      </c>
      <c r="S3554" s="2"/>
      <c r="T3554" s="2" t="s">
        <v>403</v>
      </c>
      <c r="U3554" s="2" t="s">
        <v>26940</v>
      </c>
      <c r="V3554" s="2"/>
      <c r="W3554" s="2" t="s">
        <v>344</v>
      </c>
      <c r="X3554" s="2" t="s">
        <v>43</v>
      </c>
      <c r="Y3554" s="2" t="s">
        <v>37</v>
      </c>
      <c r="Z3554" s="2" t="s">
        <v>44</v>
      </c>
      <c r="AA3554" s="2"/>
      <c r="AB3554" s="2"/>
      <c r="AC3554" s="2" t="s">
        <v>26941</v>
      </c>
      <c r="AD3554" s="2" t="s">
        <v>46</v>
      </c>
    </row>
    <row r="3555" customFormat="false" ht="15.7" hidden="false" customHeight="true" outlineLevel="0" collapsed="false">
      <c r="A3555" s="2"/>
      <c r="B3555" s="3" t="n">
        <f aca="false">DATE(2018,3,12)</f>
        <v>0</v>
      </c>
      <c r="C3555" s="3" t="n">
        <v>43171</v>
      </c>
      <c r="D3555" s="2" t="s">
        <v>26942</v>
      </c>
      <c r="F3555" s="2" t="s">
        <v>26943</v>
      </c>
      <c r="G3555" s="2" t="s">
        <v>26944</v>
      </c>
      <c r="H3555" s="2" t="s">
        <v>20167</v>
      </c>
      <c r="I3555" s="2" t="s">
        <v>51</v>
      </c>
      <c r="J3555" s="2" t="s">
        <v>22118</v>
      </c>
      <c r="K3555" s="2" t="s">
        <v>26942</v>
      </c>
      <c r="L3555" s="2" t="s">
        <v>51</v>
      </c>
      <c r="M3555" s="2" t="s">
        <v>20167</v>
      </c>
      <c r="N3555" s="2" t="s">
        <v>26945</v>
      </c>
      <c r="O3555" s="2"/>
      <c r="P3555" s="2" t="s">
        <v>37</v>
      </c>
      <c r="Q3555" s="4" t="n">
        <v>8731</v>
      </c>
      <c r="R3555" s="2" t="s">
        <v>56</v>
      </c>
      <c r="S3555" s="2" t="s">
        <v>277</v>
      </c>
      <c r="T3555" s="2" t="s">
        <v>40</v>
      </c>
      <c r="U3555" s="2" t="s">
        <v>26946</v>
      </c>
      <c r="V3555" s="2"/>
      <c r="W3555" s="2" t="s">
        <v>3235</v>
      </c>
      <c r="X3555" s="2" t="s">
        <v>43</v>
      </c>
      <c r="Y3555" s="2" t="s">
        <v>37</v>
      </c>
      <c r="Z3555" s="2" t="s">
        <v>44</v>
      </c>
      <c r="AA3555" s="2"/>
      <c r="AB3555" s="2"/>
      <c r="AC3555" s="2" t="s">
        <v>26947</v>
      </c>
      <c r="AD3555" s="2" t="s">
        <v>46</v>
      </c>
    </row>
    <row r="3556" customFormat="false" ht="15.7" hidden="false" customHeight="true" outlineLevel="0" collapsed="false">
      <c r="A3556" s="2"/>
      <c r="B3556" s="3" t="n">
        <f aca="false">DATE(2018,3,13)</f>
        <v>0</v>
      </c>
      <c r="C3556" s="3" t="n">
        <v>43172</v>
      </c>
      <c r="D3556" s="2" t="s">
        <v>26948</v>
      </c>
      <c r="F3556" s="2" t="s">
        <v>26949</v>
      </c>
      <c r="G3556" s="2" t="s">
        <v>26950</v>
      </c>
      <c r="H3556" s="2" t="s">
        <v>762</v>
      </c>
      <c r="I3556" s="2" t="s">
        <v>568</v>
      </c>
      <c r="J3556" s="2" t="s">
        <v>1983</v>
      </c>
      <c r="K3556" s="2" t="s">
        <v>26948</v>
      </c>
      <c r="L3556" s="2" t="s">
        <v>568</v>
      </c>
      <c r="M3556" s="2" t="s">
        <v>762</v>
      </c>
      <c r="N3556" s="2" t="s">
        <v>26951</v>
      </c>
      <c r="O3556" s="2"/>
      <c r="P3556" s="2" t="s">
        <v>37</v>
      </c>
      <c r="Q3556" s="4" t="n">
        <v>8099</v>
      </c>
      <c r="R3556" s="2" t="s">
        <v>688</v>
      </c>
      <c r="S3556" s="2" t="s">
        <v>39</v>
      </c>
      <c r="T3556" s="2" t="s">
        <v>40</v>
      </c>
      <c r="U3556" s="2" t="s">
        <v>26952</v>
      </c>
      <c r="V3556" s="2"/>
      <c r="W3556" s="2" t="s">
        <v>4487</v>
      </c>
      <c r="X3556" s="2" t="s">
        <v>43</v>
      </c>
      <c r="Y3556" s="2" t="s">
        <v>37</v>
      </c>
      <c r="Z3556" s="2" t="s">
        <v>44</v>
      </c>
      <c r="AA3556" s="2"/>
      <c r="AB3556" s="2"/>
      <c r="AC3556" s="2" t="s">
        <v>26953</v>
      </c>
      <c r="AD3556" s="2" t="s">
        <v>46</v>
      </c>
    </row>
    <row r="3557" customFormat="false" ht="15.7" hidden="false" customHeight="true" outlineLevel="0" collapsed="false">
      <c r="A3557" s="2"/>
      <c r="B3557" s="3" t="n">
        <f aca="false">DATE(2018,3,13)</f>
        <v>0</v>
      </c>
      <c r="C3557" s="3" t="n">
        <v>43172</v>
      </c>
      <c r="D3557" s="2" t="s">
        <v>26954</v>
      </c>
      <c r="F3557" s="2" t="s">
        <v>17957</v>
      </c>
      <c r="G3557" s="2" t="s">
        <v>26955</v>
      </c>
      <c r="H3557" s="2" t="s">
        <v>1020</v>
      </c>
      <c r="I3557" s="2" t="s">
        <v>51</v>
      </c>
      <c r="J3557" s="2" t="s">
        <v>17952</v>
      </c>
      <c r="K3557" s="2" t="s">
        <v>26956</v>
      </c>
      <c r="L3557" s="2" t="s">
        <v>51</v>
      </c>
      <c r="M3557" s="2" t="s">
        <v>26893</v>
      </c>
      <c r="N3557" s="2" t="s">
        <v>26957</v>
      </c>
      <c r="O3557" s="2"/>
      <c r="P3557" s="2" t="s">
        <v>79</v>
      </c>
      <c r="Q3557" s="4" t="n">
        <v>6794</v>
      </c>
      <c r="R3557" s="2" t="s">
        <v>56</v>
      </c>
      <c r="S3557" s="2" t="s">
        <v>7553</v>
      </c>
      <c r="T3557" s="2" t="s">
        <v>40</v>
      </c>
      <c r="U3557" s="2" t="s">
        <v>26958</v>
      </c>
      <c r="V3557" s="2"/>
      <c r="W3557" s="2" t="s">
        <v>15545</v>
      </c>
      <c r="X3557" s="2" t="s">
        <v>43</v>
      </c>
      <c r="Y3557" s="2" t="s">
        <v>37</v>
      </c>
      <c r="Z3557" s="2" t="s">
        <v>44</v>
      </c>
      <c r="AA3557" s="2"/>
      <c r="AB3557" s="2"/>
      <c r="AC3557" s="2" t="s">
        <v>26959</v>
      </c>
      <c r="AD3557" s="2" t="s">
        <v>46</v>
      </c>
    </row>
    <row r="3558" customFormat="false" ht="15.7" hidden="false" customHeight="true" outlineLevel="0" collapsed="false">
      <c r="A3558" s="2"/>
      <c r="B3558" s="3" t="n">
        <f aca="false">DATE(2018,3,14)</f>
        <v>0</v>
      </c>
      <c r="C3558" s="3" t="n">
        <v>43173</v>
      </c>
      <c r="D3558" s="2" t="s">
        <v>26960</v>
      </c>
      <c r="F3558" s="2" t="s">
        <v>26961</v>
      </c>
      <c r="G3558" s="2" t="s">
        <v>26962</v>
      </c>
      <c r="H3558" s="2" t="s">
        <v>130</v>
      </c>
      <c r="I3558" s="2" t="s">
        <v>1904</v>
      </c>
      <c r="J3558" s="2" t="s">
        <v>966</v>
      </c>
      <c r="K3558" s="2" t="s">
        <v>26960</v>
      </c>
      <c r="L3558" s="2" t="s">
        <v>1904</v>
      </c>
      <c r="M3558" s="2" t="s">
        <v>130</v>
      </c>
      <c r="N3558" s="2" t="s">
        <v>26963</v>
      </c>
      <c r="O3558" s="2"/>
      <c r="P3558" s="2" t="s">
        <v>37</v>
      </c>
      <c r="Q3558" s="4" t="n">
        <v>8731</v>
      </c>
      <c r="R3558" s="2" t="s">
        <v>450</v>
      </c>
      <c r="S3558" s="2" t="s">
        <v>39</v>
      </c>
      <c r="T3558" s="2" t="s">
        <v>11074</v>
      </c>
      <c r="U3558" s="2" t="s">
        <v>26964</v>
      </c>
      <c r="V3558" s="2"/>
      <c r="W3558" s="2" t="s">
        <v>42</v>
      </c>
      <c r="X3558" s="2" t="s">
        <v>43</v>
      </c>
      <c r="Y3558" s="2" t="s">
        <v>37</v>
      </c>
      <c r="Z3558" s="2" t="s">
        <v>44</v>
      </c>
      <c r="AA3558" s="2"/>
      <c r="AB3558" s="2"/>
      <c r="AC3558" s="2" t="s">
        <v>26965</v>
      </c>
      <c r="AD3558" s="2" t="s">
        <v>46</v>
      </c>
    </row>
    <row r="3559" customFormat="false" ht="15.7" hidden="false" customHeight="true" outlineLevel="0" collapsed="false">
      <c r="A3559" s="2"/>
      <c r="B3559" s="3" t="n">
        <f aca="false">DATE(2018,3,14)</f>
        <v>0</v>
      </c>
      <c r="C3559" s="3" t="n">
        <v>43173</v>
      </c>
      <c r="D3559" s="2" t="s">
        <v>26966</v>
      </c>
      <c r="F3559" s="2" t="s">
        <v>20650</v>
      </c>
      <c r="G3559" s="2" t="s">
        <v>26967</v>
      </c>
      <c r="H3559" s="2" t="s">
        <v>130</v>
      </c>
      <c r="I3559" s="2" t="s">
        <v>3336</v>
      </c>
      <c r="J3559" s="2" t="s">
        <v>35</v>
      </c>
      <c r="K3559" s="2" t="s">
        <v>26968</v>
      </c>
      <c r="L3559" s="2" t="s">
        <v>3336</v>
      </c>
      <c r="M3559" s="2" t="s">
        <v>130</v>
      </c>
      <c r="N3559" s="2" t="s">
        <v>26969</v>
      </c>
      <c r="O3559" s="2"/>
      <c r="P3559" s="2" t="s">
        <v>37</v>
      </c>
      <c r="Q3559" s="4" t="n">
        <v>8099</v>
      </c>
      <c r="R3559" s="2" t="s">
        <v>136</v>
      </c>
      <c r="S3559" s="2" t="s">
        <v>39</v>
      </c>
      <c r="T3559" s="2" t="s">
        <v>40</v>
      </c>
      <c r="U3559" s="2" t="s">
        <v>26970</v>
      </c>
      <c r="V3559" s="2"/>
      <c r="W3559" s="2" t="s">
        <v>4487</v>
      </c>
      <c r="X3559" s="2" t="s">
        <v>43</v>
      </c>
      <c r="Y3559" s="2" t="s">
        <v>37</v>
      </c>
      <c r="Z3559" s="2" t="s">
        <v>44</v>
      </c>
      <c r="AA3559" s="2"/>
      <c r="AB3559" s="2"/>
      <c r="AC3559" s="2" t="s">
        <v>26971</v>
      </c>
      <c r="AD3559" s="2" t="s">
        <v>46</v>
      </c>
    </row>
    <row r="3560" customFormat="false" ht="15.7" hidden="false" customHeight="true" outlineLevel="0" collapsed="false">
      <c r="A3560" s="2"/>
      <c r="B3560" s="3" t="n">
        <f aca="false">DATE(2018,3,14)</f>
        <v>0</v>
      </c>
      <c r="C3560" s="3" t="n">
        <v>43173</v>
      </c>
      <c r="D3560" s="2" t="s">
        <v>26972</v>
      </c>
      <c r="F3560" s="2" t="s">
        <v>25238</v>
      </c>
      <c r="G3560" s="2" t="s">
        <v>26973</v>
      </c>
      <c r="H3560" s="2" t="s">
        <v>387</v>
      </c>
      <c r="I3560" s="2" t="s">
        <v>51</v>
      </c>
      <c r="J3560" s="2" t="s">
        <v>2980</v>
      </c>
      <c r="K3560" s="2" t="s">
        <v>26972</v>
      </c>
      <c r="L3560" s="2" t="s">
        <v>51</v>
      </c>
      <c r="M3560" s="2" t="s">
        <v>387</v>
      </c>
      <c r="N3560" s="2" t="s">
        <v>26974</v>
      </c>
      <c r="O3560" s="2"/>
      <c r="P3560" s="2" t="s">
        <v>79</v>
      </c>
      <c r="Q3560" s="4" t="n">
        <v>6794</v>
      </c>
      <c r="R3560" s="2" t="s">
        <v>56</v>
      </c>
      <c r="S3560" s="2" t="s">
        <v>7553</v>
      </c>
      <c r="T3560" s="2" t="s">
        <v>40</v>
      </c>
      <c r="U3560" s="2" t="s">
        <v>26975</v>
      </c>
      <c r="V3560" s="2"/>
      <c r="W3560" s="2" t="s">
        <v>26606</v>
      </c>
      <c r="X3560" s="2" t="s">
        <v>43</v>
      </c>
      <c r="Y3560" s="2" t="s">
        <v>37</v>
      </c>
      <c r="Z3560" s="2" t="s">
        <v>44</v>
      </c>
      <c r="AA3560" s="2"/>
      <c r="AB3560" s="2"/>
      <c r="AC3560" s="2" t="s">
        <v>26976</v>
      </c>
      <c r="AD3560" s="2" t="s">
        <v>46</v>
      </c>
    </row>
    <row r="3561" customFormat="false" ht="15.7" hidden="false" customHeight="true" outlineLevel="0" collapsed="false">
      <c r="A3561" s="2"/>
      <c r="B3561" s="3" t="n">
        <f aca="false">DATE(2018,3,15)</f>
        <v>0</v>
      </c>
      <c r="C3561" s="3" t="n">
        <v>43174</v>
      </c>
      <c r="D3561" s="2" t="s">
        <v>26977</v>
      </c>
      <c r="F3561" s="2" t="s">
        <v>26978</v>
      </c>
      <c r="G3561" s="2" t="s">
        <v>26979</v>
      </c>
      <c r="H3561" s="2" t="s">
        <v>5883</v>
      </c>
      <c r="I3561" s="2" t="s">
        <v>11584</v>
      </c>
      <c r="J3561" s="2" t="s">
        <v>35</v>
      </c>
      <c r="K3561" s="2" t="s">
        <v>26977</v>
      </c>
      <c r="L3561" s="2" t="s">
        <v>11584</v>
      </c>
      <c r="M3561" s="2" t="s">
        <v>5883</v>
      </c>
      <c r="N3561" s="2" t="s">
        <v>26980</v>
      </c>
      <c r="O3561" s="2"/>
      <c r="P3561" s="2" t="s">
        <v>37</v>
      </c>
      <c r="Q3561" s="4" t="n">
        <v>4899</v>
      </c>
      <c r="R3561" s="2" t="s">
        <v>136</v>
      </c>
      <c r="S3561" s="2" t="s">
        <v>39</v>
      </c>
      <c r="T3561" s="2" t="s">
        <v>40</v>
      </c>
      <c r="U3561" s="2" t="s">
        <v>26981</v>
      </c>
      <c r="V3561" s="2"/>
      <c r="W3561" s="2" t="s">
        <v>26982</v>
      </c>
      <c r="X3561" s="2" t="s">
        <v>43</v>
      </c>
      <c r="Y3561" s="2" t="s">
        <v>37</v>
      </c>
      <c r="Z3561" s="2" t="s">
        <v>44</v>
      </c>
      <c r="AA3561" s="2"/>
      <c r="AB3561" s="2"/>
      <c r="AC3561" s="2" t="s">
        <v>26983</v>
      </c>
      <c r="AD3561" s="2" t="s">
        <v>46</v>
      </c>
    </row>
    <row r="3562" customFormat="false" ht="15.7" hidden="false" customHeight="true" outlineLevel="0" collapsed="false">
      <c r="A3562" s="2"/>
      <c r="B3562" s="3" t="n">
        <f aca="false">DATE(2018,3,19)</f>
        <v>0</v>
      </c>
      <c r="C3562" s="3" t="n">
        <v>43178</v>
      </c>
      <c r="D3562" s="2" t="s">
        <v>26984</v>
      </c>
      <c r="F3562" s="2" t="s">
        <v>26985</v>
      </c>
      <c r="G3562" s="2" t="s">
        <v>26986</v>
      </c>
      <c r="H3562" s="2" t="s">
        <v>7329</v>
      </c>
      <c r="I3562" s="2" t="s">
        <v>51</v>
      </c>
      <c r="J3562" s="2" t="s">
        <v>504</v>
      </c>
      <c r="K3562" s="2" t="s">
        <v>26984</v>
      </c>
      <c r="L3562" s="2" t="s">
        <v>51</v>
      </c>
      <c r="M3562" s="2" t="s">
        <v>7329</v>
      </c>
      <c r="N3562" s="2" t="s">
        <v>26987</v>
      </c>
      <c r="O3562" s="2"/>
      <c r="P3562" s="2" t="s">
        <v>37</v>
      </c>
      <c r="Q3562" s="4" t="n">
        <v>8731</v>
      </c>
      <c r="R3562" s="2" t="s">
        <v>56</v>
      </c>
      <c r="S3562" s="2" t="s">
        <v>92</v>
      </c>
      <c r="T3562" s="2" t="s">
        <v>40</v>
      </c>
      <c r="U3562" s="2" t="s">
        <v>26988</v>
      </c>
      <c r="V3562" s="2"/>
      <c r="W3562" s="2" t="s">
        <v>42</v>
      </c>
      <c r="X3562" s="2" t="s">
        <v>43</v>
      </c>
      <c r="Y3562" s="2" t="s">
        <v>37</v>
      </c>
      <c r="Z3562" s="2" t="s">
        <v>44</v>
      </c>
      <c r="AA3562" s="2"/>
      <c r="AB3562" s="2"/>
      <c r="AC3562" s="2" t="s">
        <v>26989</v>
      </c>
      <c r="AD3562" s="2" t="s">
        <v>46</v>
      </c>
    </row>
    <row r="3563" customFormat="false" ht="15.7" hidden="false" customHeight="true" outlineLevel="0" collapsed="false">
      <c r="A3563" s="2"/>
      <c r="B3563" s="3" t="n">
        <f aca="false">DATE(2018,3,20)</f>
        <v>0</v>
      </c>
      <c r="C3563" s="3" t="n">
        <v>43179</v>
      </c>
      <c r="D3563" s="2" t="s">
        <v>26990</v>
      </c>
      <c r="F3563" s="2" t="s">
        <v>26991</v>
      </c>
      <c r="G3563" s="2" t="s">
        <v>26992</v>
      </c>
      <c r="H3563" s="2" t="s">
        <v>26993</v>
      </c>
      <c r="I3563" s="2" t="s">
        <v>51</v>
      </c>
      <c r="J3563" s="2" t="s">
        <v>171</v>
      </c>
      <c r="K3563" s="2" t="s">
        <v>26990</v>
      </c>
      <c r="L3563" s="2" t="s">
        <v>51</v>
      </c>
      <c r="M3563" s="2" t="s">
        <v>26993</v>
      </c>
      <c r="N3563" s="2" t="s">
        <v>26994</v>
      </c>
      <c r="O3563" s="2"/>
      <c r="P3563" s="2" t="s">
        <v>37</v>
      </c>
      <c r="Q3563" s="4" t="n">
        <v>3999</v>
      </c>
      <c r="R3563" s="2" t="s">
        <v>56</v>
      </c>
      <c r="S3563" s="2" t="s">
        <v>7553</v>
      </c>
      <c r="T3563" s="2" t="s">
        <v>40</v>
      </c>
      <c r="U3563" s="2" t="s">
        <v>26995</v>
      </c>
      <c r="V3563" s="2"/>
      <c r="W3563" s="2" t="s">
        <v>107</v>
      </c>
      <c r="X3563" s="2" t="s">
        <v>43</v>
      </c>
      <c r="Y3563" s="2" t="s">
        <v>37</v>
      </c>
      <c r="Z3563" s="2" t="s">
        <v>44</v>
      </c>
      <c r="AA3563" s="2"/>
      <c r="AB3563" s="2"/>
      <c r="AC3563" s="2" t="s">
        <v>26996</v>
      </c>
      <c r="AD3563" s="2" t="s">
        <v>46</v>
      </c>
    </row>
    <row r="3564" customFormat="false" ht="15.7" hidden="false" customHeight="true" outlineLevel="0" collapsed="false">
      <c r="A3564" s="2"/>
      <c r="B3564" s="3" t="n">
        <f aca="false">DATE(2018,3,21)</f>
        <v>0</v>
      </c>
      <c r="C3564" s="3" t="n">
        <v>43180</v>
      </c>
      <c r="D3564" s="2" t="s">
        <v>26997</v>
      </c>
      <c r="F3564" s="2" t="s">
        <v>8181</v>
      </c>
      <c r="G3564" s="2" t="s">
        <v>26998</v>
      </c>
      <c r="H3564" s="2" t="s">
        <v>8183</v>
      </c>
      <c r="I3564" s="2" t="s">
        <v>51</v>
      </c>
      <c r="J3564" s="2" t="s">
        <v>26999</v>
      </c>
      <c r="K3564" s="2" t="s">
        <v>26997</v>
      </c>
      <c r="L3564" s="2" t="s">
        <v>51</v>
      </c>
      <c r="M3564" s="2" t="s">
        <v>8183</v>
      </c>
      <c r="N3564" s="2" t="s">
        <v>27000</v>
      </c>
      <c r="O3564" s="2"/>
      <c r="P3564" s="2" t="s">
        <v>37</v>
      </c>
      <c r="Q3564" s="4" t="n">
        <v>8731</v>
      </c>
      <c r="R3564" s="2" t="s">
        <v>136</v>
      </c>
      <c r="S3564" s="2" t="s">
        <v>39</v>
      </c>
      <c r="T3564" s="2" t="s">
        <v>40</v>
      </c>
      <c r="U3564" s="2" t="s">
        <v>27001</v>
      </c>
      <c r="V3564" s="2"/>
      <c r="W3564" s="2" t="s">
        <v>42</v>
      </c>
      <c r="X3564" s="2" t="s">
        <v>43</v>
      </c>
      <c r="Y3564" s="2" t="s">
        <v>37</v>
      </c>
      <c r="Z3564" s="2" t="s">
        <v>44</v>
      </c>
      <c r="AA3564" s="2"/>
      <c r="AB3564" s="2"/>
      <c r="AC3564" s="2" t="s">
        <v>27002</v>
      </c>
      <c r="AD3564" s="2" t="s">
        <v>46</v>
      </c>
    </row>
    <row r="3565" customFormat="false" ht="15.7" hidden="false" customHeight="true" outlineLevel="0" collapsed="false">
      <c r="A3565" s="2"/>
      <c r="B3565" s="3" t="n">
        <f aca="false">DATE(2018,3,21)</f>
        <v>0</v>
      </c>
      <c r="C3565" s="3" t="n">
        <v>43180</v>
      </c>
      <c r="D3565" s="2" t="s">
        <v>27003</v>
      </c>
      <c r="F3565" s="2" t="s">
        <v>27004</v>
      </c>
      <c r="G3565" s="2" t="s">
        <v>27005</v>
      </c>
      <c r="H3565" s="2" t="s">
        <v>27006</v>
      </c>
      <c r="I3565" s="2" t="s">
        <v>51</v>
      </c>
      <c r="J3565" s="2" t="s">
        <v>27007</v>
      </c>
      <c r="K3565" s="2" t="s">
        <v>27003</v>
      </c>
      <c r="L3565" s="2" t="s">
        <v>51</v>
      </c>
      <c r="M3565" s="2" t="s">
        <v>27006</v>
      </c>
      <c r="N3565" s="2" t="s">
        <v>27008</v>
      </c>
      <c r="O3565" s="2"/>
      <c r="P3565" s="2" t="s">
        <v>37</v>
      </c>
      <c r="Q3565" s="4" t="n">
        <v>7375</v>
      </c>
      <c r="R3565" s="2" t="s">
        <v>56</v>
      </c>
      <c r="S3565" s="2" t="s">
        <v>7942</v>
      </c>
      <c r="T3565" s="2" t="s">
        <v>403</v>
      </c>
      <c r="U3565" s="2" t="s">
        <v>27009</v>
      </c>
      <c r="V3565" s="2"/>
      <c r="W3565" s="2" t="s">
        <v>563</v>
      </c>
      <c r="X3565" s="2" t="s">
        <v>46</v>
      </c>
      <c r="Y3565" s="2" t="s">
        <v>37</v>
      </c>
      <c r="Z3565" s="2" t="s">
        <v>44</v>
      </c>
      <c r="AA3565" s="2"/>
      <c r="AB3565" s="2"/>
      <c r="AC3565" s="2" t="s">
        <v>27010</v>
      </c>
      <c r="AD3565" s="2" t="s">
        <v>46</v>
      </c>
    </row>
    <row r="3566" customFormat="false" ht="15.7" hidden="false" customHeight="true" outlineLevel="0" collapsed="false">
      <c r="A3566" s="2"/>
      <c r="B3566" s="3" t="n">
        <f aca="false">DATE(2018,3,26)</f>
        <v>0</v>
      </c>
      <c r="C3566" s="3" t="n">
        <v>43185</v>
      </c>
      <c r="D3566" s="2" t="s">
        <v>27011</v>
      </c>
      <c r="F3566" s="2" t="s">
        <v>27012</v>
      </c>
      <c r="G3566" s="2" t="s">
        <v>27013</v>
      </c>
      <c r="H3566" s="2" t="s">
        <v>2553</v>
      </c>
      <c r="I3566" s="2" t="s">
        <v>27014</v>
      </c>
      <c r="J3566" s="2" t="s">
        <v>35</v>
      </c>
      <c r="K3566" s="2" t="s">
        <v>27015</v>
      </c>
      <c r="L3566" s="2" t="s">
        <v>27016</v>
      </c>
      <c r="M3566" s="2" t="s">
        <v>27017</v>
      </c>
      <c r="N3566" s="2" t="s">
        <v>27018</v>
      </c>
      <c r="O3566" s="2"/>
      <c r="P3566" s="2" t="s">
        <v>37</v>
      </c>
      <c r="Q3566" s="4" t="n">
        <v>8731</v>
      </c>
      <c r="R3566" s="2" t="s">
        <v>16340</v>
      </c>
      <c r="S3566" s="2" t="s">
        <v>39</v>
      </c>
      <c r="T3566" s="2" t="s">
        <v>40</v>
      </c>
      <c r="U3566" s="2" t="s">
        <v>27019</v>
      </c>
      <c r="V3566" s="2"/>
      <c r="W3566" s="2" t="s">
        <v>42</v>
      </c>
      <c r="X3566" s="2" t="s">
        <v>43</v>
      </c>
      <c r="Y3566" s="2" t="s">
        <v>37</v>
      </c>
      <c r="Z3566" s="2" t="s">
        <v>44</v>
      </c>
      <c r="AA3566" s="2"/>
      <c r="AB3566" s="2"/>
      <c r="AC3566" s="2" t="s">
        <v>27020</v>
      </c>
      <c r="AD3566" s="2" t="s">
        <v>46</v>
      </c>
    </row>
    <row r="3567" customFormat="false" ht="15.7" hidden="false" customHeight="true" outlineLevel="0" collapsed="false">
      <c r="A3567" s="2"/>
      <c r="B3567" s="3" t="n">
        <f aca="false">DATE(2018,4,10)</f>
        <v>0</v>
      </c>
      <c r="C3567" s="3" t="n">
        <v>43200</v>
      </c>
      <c r="D3567" s="2" t="s">
        <v>27021</v>
      </c>
      <c r="F3567" s="2" t="s">
        <v>27022</v>
      </c>
      <c r="G3567" s="2" t="s">
        <v>27023</v>
      </c>
      <c r="H3567" s="2" t="s">
        <v>27024</v>
      </c>
      <c r="I3567" s="2" t="s">
        <v>51</v>
      </c>
      <c r="J3567" s="2" t="s">
        <v>27025</v>
      </c>
      <c r="K3567" s="2" t="s">
        <v>27021</v>
      </c>
      <c r="L3567" s="2" t="s">
        <v>51</v>
      </c>
      <c r="M3567" s="2" t="s">
        <v>27024</v>
      </c>
      <c r="N3567" s="2" t="s">
        <v>27026</v>
      </c>
      <c r="O3567" s="2"/>
      <c r="P3567" s="2" t="s">
        <v>37</v>
      </c>
      <c r="Q3567" s="4" t="n">
        <v>8731</v>
      </c>
      <c r="R3567" s="2" t="s">
        <v>56</v>
      </c>
      <c r="S3567" s="2" t="s">
        <v>80</v>
      </c>
      <c r="T3567" s="2" t="s">
        <v>40</v>
      </c>
      <c r="U3567" s="2" t="s">
        <v>27027</v>
      </c>
      <c r="V3567" s="2"/>
      <c r="W3567" s="2" t="s">
        <v>42</v>
      </c>
      <c r="X3567" s="2" t="s">
        <v>43</v>
      </c>
      <c r="Y3567" s="2" t="s">
        <v>37</v>
      </c>
      <c r="Z3567" s="2" t="s">
        <v>44</v>
      </c>
      <c r="AA3567" s="2"/>
      <c r="AB3567" s="2"/>
      <c r="AC3567" s="2" t="s">
        <v>27028</v>
      </c>
      <c r="AD3567" s="2" t="s">
        <v>46</v>
      </c>
    </row>
    <row r="3568" customFormat="false" ht="15.7" hidden="false" customHeight="true" outlineLevel="0" collapsed="false">
      <c r="A3568" s="2"/>
      <c r="B3568" s="3" t="n">
        <f aca="false">DATE(2018,4,12)</f>
        <v>0</v>
      </c>
      <c r="C3568" s="3" t="n">
        <v>43202</v>
      </c>
      <c r="D3568" s="2" t="s">
        <v>27029</v>
      </c>
      <c r="F3568" s="2" t="s">
        <v>27030</v>
      </c>
      <c r="G3568" s="2" t="s">
        <v>27031</v>
      </c>
      <c r="H3568" s="2" t="s">
        <v>4501</v>
      </c>
      <c r="I3568" s="2" t="s">
        <v>27032</v>
      </c>
      <c r="J3568" s="2" t="s">
        <v>35</v>
      </c>
      <c r="K3568" s="2" t="s">
        <v>27029</v>
      </c>
      <c r="L3568" s="2" t="s">
        <v>27032</v>
      </c>
      <c r="M3568" s="2" t="s">
        <v>4501</v>
      </c>
      <c r="N3568" s="2" t="s">
        <v>27033</v>
      </c>
      <c r="O3568" s="2"/>
      <c r="P3568" s="2" t="s">
        <v>37</v>
      </c>
      <c r="Q3568" s="4" t="n">
        <v>1081</v>
      </c>
      <c r="R3568" s="2" t="s">
        <v>2225</v>
      </c>
      <c r="S3568" s="2" t="s">
        <v>39</v>
      </c>
      <c r="T3568" s="2" t="s">
        <v>40</v>
      </c>
      <c r="U3568" s="2" t="s">
        <v>27034</v>
      </c>
      <c r="V3568" s="2"/>
      <c r="W3568" s="2" t="s">
        <v>27035</v>
      </c>
      <c r="X3568" s="2" t="s">
        <v>43</v>
      </c>
      <c r="Y3568" s="2" t="s">
        <v>37</v>
      </c>
      <c r="Z3568" s="2" t="s">
        <v>44</v>
      </c>
      <c r="AA3568" s="2"/>
      <c r="AB3568" s="2"/>
      <c r="AC3568" s="2" t="s">
        <v>27036</v>
      </c>
      <c r="AD3568" s="2" t="s">
        <v>46</v>
      </c>
    </row>
    <row r="3569" customFormat="false" ht="15.7" hidden="false" customHeight="true" outlineLevel="0" collapsed="false">
      <c r="A3569" s="2"/>
      <c r="B3569" s="3" t="n">
        <f aca="false">DATE(2018,4,13)</f>
        <v>0</v>
      </c>
      <c r="C3569" s="3" t="n">
        <v>43203</v>
      </c>
      <c r="D3569" s="2" t="s">
        <v>27037</v>
      </c>
      <c r="F3569" s="2" t="s">
        <v>27038</v>
      </c>
      <c r="G3569" s="2" t="s">
        <v>27039</v>
      </c>
      <c r="H3569" s="2" t="s">
        <v>16218</v>
      </c>
      <c r="I3569" s="2" t="s">
        <v>51</v>
      </c>
      <c r="J3569" s="2" t="s">
        <v>2338</v>
      </c>
      <c r="K3569" s="2" t="s">
        <v>27037</v>
      </c>
      <c r="L3569" s="2" t="s">
        <v>51</v>
      </c>
      <c r="M3569" s="2" t="s">
        <v>16218</v>
      </c>
      <c r="N3569" s="2" t="s">
        <v>27040</v>
      </c>
      <c r="O3569" s="2"/>
      <c r="P3569" s="2" t="s">
        <v>37</v>
      </c>
      <c r="Q3569" s="4" t="n">
        <v>8099</v>
      </c>
      <c r="R3569" s="2" t="s">
        <v>136</v>
      </c>
      <c r="S3569" s="2" t="s">
        <v>39</v>
      </c>
      <c r="T3569" s="2" t="s">
        <v>40</v>
      </c>
      <c r="U3569" s="2" t="s">
        <v>27041</v>
      </c>
      <c r="V3569" s="2"/>
      <c r="W3569" s="2" t="s">
        <v>4487</v>
      </c>
      <c r="X3569" s="2" t="s">
        <v>43</v>
      </c>
      <c r="Y3569" s="2" t="s">
        <v>37</v>
      </c>
      <c r="Z3569" s="2" t="s">
        <v>44</v>
      </c>
      <c r="AA3569" s="2"/>
      <c r="AB3569" s="2"/>
      <c r="AC3569" s="2" t="s">
        <v>27042</v>
      </c>
      <c r="AD3569" s="2" t="s">
        <v>46</v>
      </c>
    </row>
    <row r="3570" customFormat="false" ht="15.7" hidden="false" customHeight="true" outlineLevel="0" collapsed="false">
      <c r="A3570" s="3" t="n">
        <f aca="false">DATE(2018,4,15)</f>
        <v>0</v>
      </c>
      <c r="B3570" s="3" t="n">
        <f aca="false">DATE(2018,4,16)</f>
        <v>0</v>
      </c>
      <c r="C3570" s="3" t="n">
        <v>43206</v>
      </c>
      <c r="D3570" s="2" t="s">
        <v>27043</v>
      </c>
      <c r="F3570" s="2" t="s">
        <v>27044</v>
      </c>
      <c r="G3570" s="2" t="s">
        <v>27045</v>
      </c>
      <c r="H3570" s="2" t="s">
        <v>27046</v>
      </c>
      <c r="I3570" s="2" t="s">
        <v>51</v>
      </c>
      <c r="J3570" s="2" t="s">
        <v>3176</v>
      </c>
      <c r="K3570" s="2" t="s">
        <v>27047</v>
      </c>
      <c r="L3570" s="2" t="s">
        <v>51</v>
      </c>
      <c r="M3570" s="2" t="s">
        <v>27048</v>
      </c>
      <c r="N3570" s="2" t="s">
        <v>27049</v>
      </c>
      <c r="O3570" s="2" t="s">
        <v>27050</v>
      </c>
      <c r="P3570" s="2" t="s">
        <v>37</v>
      </c>
      <c r="Q3570" s="4" t="n">
        <v>1382</v>
      </c>
      <c r="R3570" s="2" t="s">
        <v>56</v>
      </c>
      <c r="S3570" s="2" t="s">
        <v>788</v>
      </c>
      <c r="T3570" s="2" t="s">
        <v>14101</v>
      </c>
      <c r="U3570" s="2" t="s">
        <v>27051</v>
      </c>
      <c r="V3570" s="2"/>
      <c r="W3570" s="2" t="s">
        <v>3182</v>
      </c>
      <c r="X3570" s="2" t="s">
        <v>46</v>
      </c>
      <c r="Y3570" s="2" t="s">
        <v>37</v>
      </c>
      <c r="Z3570" s="2" t="s">
        <v>44</v>
      </c>
      <c r="AA3570" s="2"/>
      <c r="AB3570" s="2" t="s">
        <v>27052</v>
      </c>
      <c r="AC3570" s="2" t="s">
        <v>27053</v>
      </c>
      <c r="AD3570" s="2" t="s">
        <v>46</v>
      </c>
    </row>
    <row r="3571" customFormat="false" ht="15.7" hidden="false" customHeight="true" outlineLevel="0" collapsed="false">
      <c r="A3571" s="2"/>
      <c r="B3571" s="3" t="n">
        <f aca="false">DATE(2018,4,17)</f>
        <v>0</v>
      </c>
      <c r="C3571" s="3" t="n">
        <v>43207</v>
      </c>
      <c r="D3571" s="2" t="s">
        <v>27054</v>
      </c>
      <c r="F3571" s="2" t="s">
        <v>27055</v>
      </c>
      <c r="G3571" s="2" t="s">
        <v>27056</v>
      </c>
      <c r="H3571" s="2" t="s">
        <v>27057</v>
      </c>
      <c r="I3571" s="2" t="s">
        <v>27058</v>
      </c>
      <c r="J3571" s="2" t="s">
        <v>35</v>
      </c>
      <c r="K3571" s="2" t="s">
        <v>27059</v>
      </c>
      <c r="L3571" s="2" t="s">
        <v>27058</v>
      </c>
      <c r="M3571" s="2" t="s">
        <v>27057</v>
      </c>
      <c r="N3571" s="2" t="s">
        <v>27060</v>
      </c>
      <c r="O3571" s="2"/>
      <c r="P3571" s="2" t="s">
        <v>37</v>
      </c>
      <c r="Q3571" s="4" t="n">
        <v>8731</v>
      </c>
      <c r="R3571" s="2" t="s">
        <v>450</v>
      </c>
      <c r="S3571" s="2" t="s">
        <v>39</v>
      </c>
      <c r="T3571" s="2" t="s">
        <v>40</v>
      </c>
      <c r="U3571" s="2" t="s">
        <v>27061</v>
      </c>
      <c r="V3571" s="2"/>
      <c r="W3571" s="2" t="s">
        <v>2475</v>
      </c>
      <c r="X3571" s="2" t="s">
        <v>43</v>
      </c>
      <c r="Y3571" s="2" t="s">
        <v>37</v>
      </c>
      <c r="Z3571" s="2" t="s">
        <v>44</v>
      </c>
      <c r="AA3571" s="2"/>
      <c r="AB3571" s="2"/>
      <c r="AC3571" s="2" t="s">
        <v>27062</v>
      </c>
      <c r="AD3571" s="2" t="s">
        <v>46</v>
      </c>
    </row>
    <row r="3572" customFormat="false" ht="15.7" hidden="false" customHeight="true" outlineLevel="0" collapsed="false">
      <c r="A3572" s="2"/>
      <c r="B3572" s="3" t="n">
        <f aca="false">DATE(2018,4,18)</f>
        <v>0</v>
      </c>
      <c r="C3572" s="3" t="n">
        <v>43208</v>
      </c>
      <c r="D3572" s="2" t="s">
        <v>27063</v>
      </c>
      <c r="F3572" s="2" t="s">
        <v>10369</v>
      </c>
      <c r="G3572" s="2" t="s">
        <v>27064</v>
      </c>
      <c r="H3572" s="2" t="s">
        <v>1101</v>
      </c>
      <c r="I3572" s="2" t="s">
        <v>7737</v>
      </c>
      <c r="J3572" s="2" t="s">
        <v>35</v>
      </c>
      <c r="K3572" s="2" t="s">
        <v>27063</v>
      </c>
      <c r="L3572" s="2" t="s">
        <v>7737</v>
      </c>
      <c r="M3572" s="2" t="s">
        <v>1101</v>
      </c>
      <c r="N3572" s="2" t="s">
        <v>27065</v>
      </c>
      <c r="O3572" s="2"/>
      <c r="P3572" s="2" t="s">
        <v>37</v>
      </c>
      <c r="Q3572" s="4" t="n">
        <v>8731</v>
      </c>
      <c r="R3572" s="2" t="s">
        <v>136</v>
      </c>
      <c r="S3572" s="2" t="s">
        <v>39</v>
      </c>
      <c r="T3572" s="2" t="s">
        <v>40</v>
      </c>
      <c r="U3572" s="2" t="s">
        <v>27066</v>
      </c>
      <c r="V3572" s="2"/>
      <c r="W3572" s="2" t="s">
        <v>42</v>
      </c>
      <c r="X3572" s="2" t="s">
        <v>43</v>
      </c>
      <c r="Y3572" s="2" t="s">
        <v>37</v>
      </c>
      <c r="Z3572" s="2" t="s">
        <v>44</v>
      </c>
      <c r="AA3572" s="2"/>
      <c r="AB3572" s="2"/>
      <c r="AC3572" s="2" t="s">
        <v>27067</v>
      </c>
      <c r="AD3572" s="2" t="s">
        <v>46</v>
      </c>
    </row>
    <row r="3573" customFormat="false" ht="15.7" hidden="false" customHeight="true" outlineLevel="0" collapsed="false">
      <c r="A3573" s="2"/>
      <c r="B3573" s="3" t="n">
        <f aca="false">DATE(2018,4,18)</f>
        <v>0</v>
      </c>
      <c r="C3573" s="3" t="n">
        <v>43208</v>
      </c>
      <c r="D3573" s="2" t="s">
        <v>27068</v>
      </c>
      <c r="F3573" s="2" t="s">
        <v>25041</v>
      </c>
      <c r="G3573" s="2" t="s">
        <v>27069</v>
      </c>
      <c r="H3573" s="2" t="s">
        <v>3036</v>
      </c>
      <c r="I3573" s="2" t="s">
        <v>51</v>
      </c>
      <c r="J3573" s="2" t="s">
        <v>2338</v>
      </c>
      <c r="K3573" s="2" t="s">
        <v>27070</v>
      </c>
      <c r="L3573" s="2" t="s">
        <v>51</v>
      </c>
      <c r="M3573" s="2" t="s">
        <v>3823</v>
      </c>
      <c r="N3573" s="2" t="s">
        <v>27071</v>
      </c>
      <c r="O3573" s="2"/>
      <c r="P3573" s="2" t="s">
        <v>37</v>
      </c>
      <c r="Q3573" s="4" t="n">
        <v>8099</v>
      </c>
      <c r="R3573" s="2" t="s">
        <v>56</v>
      </c>
      <c r="S3573" s="2" t="s">
        <v>92</v>
      </c>
      <c r="T3573" s="2" t="s">
        <v>2444</v>
      </c>
      <c r="U3573" s="2" t="s">
        <v>27072</v>
      </c>
      <c r="V3573" s="2"/>
      <c r="W3573" s="2" t="s">
        <v>20757</v>
      </c>
      <c r="X3573" s="2" t="s">
        <v>43</v>
      </c>
      <c r="Y3573" s="2" t="s">
        <v>37</v>
      </c>
      <c r="Z3573" s="2" t="s">
        <v>44</v>
      </c>
      <c r="AA3573" s="2"/>
      <c r="AB3573" s="2"/>
      <c r="AC3573" s="2" t="s">
        <v>27073</v>
      </c>
      <c r="AD3573" s="2" t="s">
        <v>46</v>
      </c>
    </row>
    <row r="3574" customFormat="false" ht="15.7" hidden="false" customHeight="true" outlineLevel="0" collapsed="false">
      <c r="A3574" s="2"/>
      <c r="B3574" s="3" t="n">
        <f aca="false">DATE(2018,4,24)</f>
        <v>0</v>
      </c>
      <c r="C3574" s="3" t="n">
        <v>43214</v>
      </c>
      <c r="D3574" s="2" t="s">
        <v>27074</v>
      </c>
      <c r="F3574" s="2" t="s">
        <v>27075</v>
      </c>
      <c r="G3574" s="2" t="s">
        <v>27076</v>
      </c>
      <c r="H3574" s="2" t="s">
        <v>27077</v>
      </c>
      <c r="I3574" s="2" t="s">
        <v>51</v>
      </c>
      <c r="J3574" s="2" t="s">
        <v>27078</v>
      </c>
      <c r="K3574" s="2" t="s">
        <v>27074</v>
      </c>
      <c r="L3574" s="2" t="s">
        <v>51</v>
      </c>
      <c r="M3574" s="2" t="s">
        <v>27077</v>
      </c>
      <c r="N3574" s="2" t="s">
        <v>27079</v>
      </c>
      <c r="O3574" s="2"/>
      <c r="P3574" s="2" t="s">
        <v>37</v>
      </c>
      <c r="Q3574" s="4" t="n">
        <v>8731</v>
      </c>
      <c r="R3574" s="2"/>
      <c r="S3574" s="2"/>
      <c r="T3574" s="2" t="s">
        <v>2444</v>
      </c>
      <c r="U3574" s="2" t="s">
        <v>27080</v>
      </c>
      <c r="V3574" s="2"/>
      <c r="W3574" s="2" t="s">
        <v>42</v>
      </c>
      <c r="X3574" s="2" t="s">
        <v>43</v>
      </c>
      <c r="Y3574" s="2" t="s">
        <v>37</v>
      </c>
      <c r="Z3574" s="2" t="s">
        <v>44</v>
      </c>
      <c r="AA3574" s="2"/>
      <c r="AB3574" s="2"/>
      <c r="AC3574" s="2" t="s">
        <v>27081</v>
      </c>
      <c r="AD3574" s="2" t="s">
        <v>46</v>
      </c>
    </row>
    <row r="3575" customFormat="false" ht="15.7" hidden="false" customHeight="true" outlineLevel="0" collapsed="false">
      <c r="A3575" s="2"/>
      <c r="B3575" s="3" t="n">
        <f aca="false">DATE(2018,5,2)</f>
        <v>0</v>
      </c>
      <c r="C3575" s="3" t="n">
        <v>43222</v>
      </c>
      <c r="D3575" s="2" t="s">
        <v>27082</v>
      </c>
      <c r="F3575" s="2" t="s">
        <v>27083</v>
      </c>
      <c r="G3575" s="2" t="s">
        <v>27084</v>
      </c>
      <c r="H3575" s="2" t="s">
        <v>25870</v>
      </c>
      <c r="I3575" s="2" t="s">
        <v>4325</v>
      </c>
      <c r="J3575" s="2" t="s">
        <v>35</v>
      </c>
      <c r="K3575" s="2" t="s">
        <v>27085</v>
      </c>
      <c r="L3575" s="2" t="s">
        <v>4325</v>
      </c>
      <c r="M3575" s="2" t="s">
        <v>25870</v>
      </c>
      <c r="N3575" s="2" t="s">
        <v>27086</v>
      </c>
      <c r="O3575" s="2"/>
      <c r="P3575" s="2" t="s">
        <v>37</v>
      </c>
      <c r="Q3575" s="4" t="n">
        <v>8731</v>
      </c>
      <c r="R3575" s="2" t="s">
        <v>402</v>
      </c>
      <c r="S3575" s="2" t="s">
        <v>39</v>
      </c>
      <c r="T3575" s="2" t="s">
        <v>2444</v>
      </c>
      <c r="U3575" s="2" t="s">
        <v>27087</v>
      </c>
      <c r="V3575" s="2"/>
      <c r="W3575" s="2" t="s">
        <v>10912</v>
      </c>
      <c r="X3575" s="2" t="s">
        <v>43</v>
      </c>
      <c r="Y3575" s="2" t="s">
        <v>37</v>
      </c>
      <c r="Z3575" s="2" t="s">
        <v>44</v>
      </c>
      <c r="AA3575" s="2"/>
      <c r="AB3575" s="2"/>
      <c r="AC3575" s="2" t="s">
        <v>27088</v>
      </c>
      <c r="AD3575" s="2" t="s">
        <v>46</v>
      </c>
    </row>
    <row r="3576" customFormat="false" ht="15.7" hidden="false" customHeight="true" outlineLevel="0" collapsed="false">
      <c r="A3576" s="2"/>
      <c r="B3576" s="3" t="n">
        <f aca="false">DATE(2018,5,2)</f>
        <v>0</v>
      </c>
      <c r="C3576" s="3" t="n">
        <v>43222</v>
      </c>
      <c r="D3576" s="2" t="s">
        <v>27089</v>
      </c>
      <c r="F3576" s="2" t="s">
        <v>15541</v>
      </c>
      <c r="G3576" s="2" t="s">
        <v>27090</v>
      </c>
      <c r="H3576" s="2" t="s">
        <v>170</v>
      </c>
      <c r="I3576" s="2" t="s">
        <v>296</v>
      </c>
      <c r="J3576" s="2" t="s">
        <v>1456</v>
      </c>
      <c r="K3576" s="2" t="s">
        <v>27089</v>
      </c>
      <c r="L3576" s="2" t="s">
        <v>296</v>
      </c>
      <c r="M3576" s="2" t="s">
        <v>170</v>
      </c>
      <c r="N3576" s="2" t="s">
        <v>27091</v>
      </c>
      <c r="O3576" s="2"/>
      <c r="P3576" s="2" t="s">
        <v>37</v>
      </c>
      <c r="Q3576" s="4" t="n">
        <v>8731</v>
      </c>
      <c r="R3576" s="2" t="s">
        <v>296</v>
      </c>
      <c r="S3576" s="2" t="s">
        <v>24516</v>
      </c>
      <c r="T3576" s="2" t="s">
        <v>403</v>
      </c>
      <c r="U3576" s="2" t="s">
        <v>27092</v>
      </c>
      <c r="V3576" s="2"/>
      <c r="W3576" s="2" t="s">
        <v>344</v>
      </c>
      <c r="X3576" s="2" t="s">
        <v>43</v>
      </c>
      <c r="Y3576" s="2" t="s">
        <v>79</v>
      </c>
      <c r="Z3576" s="2" t="s">
        <v>44</v>
      </c>
      <c r="AA3576" s="2"/>
      <c r="AB3576" s="2"/>
      <c r="AC3576" s="2" t="s">
        <v>27093</v>
      </c>
      <c r="AD3576" s="2" t="s">
        <v>46</v>
      </c>
    </row>
    <row r="3577" customFormat="false" ht="15.7" hidden="false" customHeight="true" outlineLevel="0" collapsed="false">
      <c r="A3577" s="2"/>
      <c r="B3577" s="3" t="n">
        <f aca="false">DATE(2018,5,4)</f>
        <v>0</v>
      </c>
      <c r="C3577" s="3" t="n">
        <v>43224</v>
      </c>
      <c r="D3577" s="2" t="s">
        <v>27094</v>
      </c>
      <c r="F3577" s="2" t="s">
        <v>27095</v>
      </c>
      <c r="G3577" s="2" t="s">
        <v>27096</v>
      </c>
      <c r="H3577" s="2" t="s">
        <v>2361</v>
      </c>
      <c r="I3577" s="2" t="s">
        <v>21484</v>
      </c>
      <c r="J3577" s="2" t="s">
        <v>35</v>
      </c>
      <c r="K3577" s="2" t="s">
        <v>27094</v>
      </c>
      <c r="L3577" s="2" t="s">
        <v>21484</v>
      </c>
      <c r="M3577" s="2" t="s">
        <v>2361</v>
      </c>
      <c r="N3577" s="2" t="s">
        <v>27097</v>
      </c>
      <c r="O3577" s="2"/>
      <c r="P3577" s="2" t="s">
        <v>37</v>
      </c>
      <c r="Q3577" s="4" t="n">
        <v>7372</v>
      </c>
      <c r="R3577" s="2" t="s">
        <v>121</v>
      </c>
      <c r="S3577" s="2" t="s">
        <v>39</v>
      </c>
      <c r="T3577" s="2" t="s">
        <v>40</v>
      </c>
      <c r="U3577" s="2" t="s">
        <v>27098</v>
      </c>
      <c r="V3577" s="2"/>
      <c r="W3577" s="2" t="s">
        <v>27099</v>
      </c>
      <c r="X3577" s="2" t="s">
        <v>46</v>
      </c>
      <c r="Y3577" s="2" t="s">
        <v>37</v>
      </c>
      <c r="Z3577" s="2" t="s">
        <v>44</v>
      </c>
      <c r="AA3577" s="2"/>
      <c r="AB3577" s="2"/>
      <c r="AC3577" s="2" t="s">
        <v>27100</v>
      </c>
      <c r="AD3577" s="2" t="s">
        <v>46</v>
      </c>
    </row>
    <row r="3578" customFormat="false" ht="15.7" hidden="false" customHeight="true" outlineLevel="0" collapsed="false">
      <c r="A3578" s="2"/>
      <c r="B3578" s="3" t="n">
        <f aca="false">DATE(2018,5,4)</f>
        <v>0</v>
      </c>
      <c r="C3578" s="3" t="n">
        <v>43224</v>
      </c>
      <c r="D3578" s="2" t="s">
        <v>27101</v>
      </c>
      <c r="F3578" s="2" t="s">
        <v>27102</v>
      </c>
      <c r="G3578" s="2" t="s">
        <v>27103</v>
      </c>
      <c r="H3578" s="2" t="s">
        <v>19779</v>
      </c>
      <c r="I3578" s="2" t="s">
        <v>1080</v>
      </c>
      <c r="J3578" s="2" t="s">
        <v>35</v>
      </c>
      <c r="K3578" s="2" t="s">
        <v>27104</v>
      </c>
      <c r="L3578" s="2" t="s">
        <v>1080</v>
      </c>
      <c r="M3578" s="2" t="s">
        <v>19779</v>
      </c>
      <c r="N3578" s="2" t="s">
        <v>27105</v>
      </c>
      <c r="O3578" s="2"/>
      <c r="P3578" s="2" t="s">
        <v>37</v>
      </c>
      <c r="Q3578" s="4" t="n">
        <v>7371</v>
      </c>
      <c r="R3578" s="2" t="s">
        <v>2201</v>
      </c>
      <c r="S3578" s="2" t="s">
        <v>39</v>
      </c>
      <c r="T3578" s="2" t="s">
        <v>40</v>
      </c>
      <c r="U3578" s="2" t="s">
        <v>27106</v>
      </c>
      <c r="V3578" s="2"/>
      <c r="W3578" s="2" t="s">
        <v>21049</v>
      </c>
      <c r="X3578" s="2" t="s">
        <v>43</v>
      </c>
      <c r="Y3578" s="2" t="s">
        <v>37</v>
      </c>
      <c r="Z3578" s="2" t="s">
        <v>44</v>
      </c>
      <c r="AA3578" s="2"/>
      <c r="AB3578" s="2"/>
      <c r="AC3578" s="2" t="s">
        <v>27107</v>
      </c>
      <c r="AD3578" s="2" t="s">
        <v>46</v>
      </c>
    </row>
    <row r="3579" customFormat="false" ht="15.7" hidden="false" customHeight="true" outlineLevel="0" collapsed="false">
      <c r="A3579" s="2"/>
      <c r="B3579" s="3" t="n">
        <f aca="false">DATE(2018,5,7)</f>
        <v>0</v>
      </c>
      <c r="C3579" s="3" t="n">
        <v>43227</v>
      </c>
      <c r="D3579" s="2" t="s">
        <v>27108</v>
      </c>
      <c r="F3579" s="2" t="s">
        <v>27109</v>
      </c>
      <c r="G3579" s="2" t="s">
        <v>27110</v>
      </c>
      <c r="H3579" s="2" t="s">
        <v>2385</v>
      </c>
      <c r="I3579" s="2" t="s">
        <v>296</v>
      </c>
      <c r="J3579" s="2" t="s">
        <v>155</v>
      </c>
      <c r="K3579" s="2" t="s">
        <v>27111</v>
      </c>
      <c r="L3579" s="2" t="s">
        <v>8351</v>
      </c>
      <c r="M3579" s="2" t="s">
        <v>20401</v>
      </c>
      <c r="N3579" s="2" t="s">
        <v>27112</v>
      </c>
      <c r="O3579" s="2"/>
      <c r="P3579" s="2" t="s">
        <v>37</v>
      </c>
      <c r="Q3579" s="4" t="n">
        <v>6799</v>
      </c>
      <c r="R3579" s="2" t="s">
        <v>487</v>
      </c>
      <c r="S3579" s="2" t="s">
        <v>27113</v>
      </c>
      <c r="T3579" s="2" t="s">
        <v>40</v>
      </c>
      <c r="U3579" s="2" t="s">
        <v>27114</v>
      </c>
      <c r="V3579" s="2"/>
      <c r="W3579" s="2" t="s">
        <v>27115</v>
      </c>
      <c r="X3579" s="2" t="s">
        <v>43</v>
      </c>
      <c r="Y3579" s="2" t="s">
        <v>79</v>
      </c>
      <c r="Z3579" s="2" t="s">
        <v>44</v>
      </c>
      <c r="AA3579" s="2"/>
      <c r="AB3579" s="2"/>
      <c r="AC3579" s="2" t="s">
        <v>27116</v>
      </c>
      <c r="AD3579" s="2" t="s">
        <v>46</v>
      </c>
    </row>
    <row r="3580" customFormat="false" ht="15.7" hidden="false" customHeight="true" outlineLevel="0" collapsed="false">
      <c r="A3580" s="2"/>
      <c r="B3580" s="3" t="n">
        <f aca="false">DATE(2018,5,8)</f>
        <v>0</v>
      </c>
      <c r="C3580" s="3" t="n">
        <v>43228</v>
      </c>
      <c r="D3580" s="2" t="s">
        <v>27117</v>
      </c>
      <c r="F3580" s="2" t="s">
        <v>27118</v>
      </c>
      <c r="G3580" s="2" t="s">
        <v>27119</v>
      </c>
      <c r="H3580" s="2" t="s">
        <v>27120</v>
      </c>
      <c r="I3580" s="2" t="s">
        <v>664</v>
      </c>
      <c r="J3580" s="2" t="s">
        <v>132</v>
      </c>
      <c r="K3580" s="2" t="s">
        <v>27117</v>
      </c>
      <c r="L3580" s="2" t="s">
        <v>664</v>
      </c>
      <c r="M3580" s="2" t="s">
        <v>27120</v>
      </c>
      <c r="N3580" s="2" t="s">
        <v>27121</v>
      </c>
      <c r="O3580" s="2"/>
      <c r="P3580" s="2" t="s">
        <v>37</v>
      </c>
      <c r="Q3580" s="4" t="n">
        <v>8731</v>
      </c>
      <c r="R3580" s="2" t="s">
        <v>136</v>
      </c>
      <c r="S3580" s="2" t="s">
        <v>39</v>
      </c>
      <c r="T3580" s="2" t="s">
        <v>403</v>
      </c>
      <c r="U3580" s="2" t="s">
        <v>27122</v>
      </c>
      <c r="V3580" s="2"/>
      <c r="W3580" s="2" t="s">
        <v>27123</v>
      </c>
      <c r="X3580" s="2" t="s">
        <v>43</v>
      </c>
      <c r="Y3580" s="2" t="s">
        <v>37</v>
      </c>
      <c r="Z3580" s="2" t="s">
        <v>44</v>
      </c>
      <c r="AA3580" s="2"/>
      <c r="AB3580" s="2"/>
      <c r="AC3580" s="2" t="s">
        <v>27124</v>
      </c>
      <c r="AD3580" s="2" t="s">
        <v>46</v>
      </c>
    </row>
    <row r="3581" customFormat="false" ht="15.7" hidden="false" customHeight="true" outlineLevel="0" collapsed="false">
      <c r="A3581" s="2"/>
      <c r="B3581" s="3" t="n">
        <f aca="false">DATE(2018,5,8)</f>
        <v>0</v>
      </c>
      <c r="C3581" s="3" t="n">
        <v>43228</v>
      </c>
      <c r="D3581" s="2" t="s">
        <v>27125</v>
      </c>
      <c r="F3581" s="2" t="s">
        <v>27126</v>
      </c>
      <c r="G3581" s="2" t="s">
        <v>27127</v>
      </c>
      <c r="H3581" s="2" t="s">
        <v>1027</v>
      </c>
      <c r="I3581" s="2" t="s">
        <v>22666</v>
      </c>
      <c r="J3581" s="2" t="s">
        <v>35</v>
      </c>
      <c r="K3581" s="2" t="s">
        <v>27125</v>
      </c>
      <c r="L3581" s="2" t="s">
        <v>22666</v>
      </c>
      <c r="M3581" s="2" t="s">
        <v>1027</v>
      </c>
      <c r="N3581" s="2" t="s">
        <v>27128</v>
      </c>
      <c r="O3581" s="2"/>
      <c r="P3581" s="2" t="s">
        <v>37</v>
      </c>
      <c r="Q3581" s="4" t="n">
        <v>6794</v>
      </c>
      <c r="R3581" s="2" t="s">
        <v>22666</v>
      </c>
      <c r="S3581" s="2" t="s">
        <v>5334</v>
      </c>
      <c r="T3581" s="2" t="s">
        <v>40</v>
      </c>
      <c r="U3581" s="2" t="s">
        <v>27129</v>
      </c>
      <c r="V3581" s="2"/>
      <c r="W3581" s="2" t="s">
        <v>26089</v>
      </c>
      <c r="X3581" s="2" t="s">
        <v>43</v>
      </c>
      <c r="Y3581" s="2" t="s">
        <v>79</v>
      </c>
      <c r="Z3581" s="2" t="s">
        <v>44</v>
      </c>
      <c r="AA3581" s="2"/>
      <c r="AB3581" s="2"/>
      <c r="AC3581" s="2" t="s">
        <v>27130</v>
      </c>
      <c r="AD3581" s="2" t="s">
        <v>46</v>
      </c>
    </row>
    <row r="3582" customFormat="false" ht="15.7" hidden="false" customHeight="true" outlineLevel="0" collapsed="false">
      <c r="A3582" s="2"/>
      <c r="B3582" s="3" t="n">
        <f aca="false">DATE(2018,5,8)</f>
        <v>0</v>
      </c>
      <c r="C3582" s="3" t="n">
        <v>43228</v>
      </c>
      <c r="D3582" s="2" t="s">
        <v>27131</v>
      </c>
      <c r="F3582" s="2" t="s">
        <v>27132</v>
      </c>
      <c r="G3582" s="2" t="s">
        <v>27133</v>
      </c>
      <c r="H3582" s="2" t="s">
        <v>27134</v>
      </c>
      <c r="I3582" s="2" t="s">
        <v>51</v>
      </c>
      <c r="J3582" s="2" t="s">
        <v>171</v>
      </c>
      <c r="K3582" s="2" t="s">
        <v>27131</v>
      </c>
      <c r="L3582" s="2" t="s">
        <v>51</v>
      </c>
      <c r="M3582" s="2" t="s">
        <v>27134</v>
      </c>
      <c r="N3582" s="2" t="s">
        <v>27135</v>
      </c>
      <c r="O3582" s="2"/>
      <c r="P3582" s="2" t="s">
        <v>37</v>
      </c>
      <c r="Q3582" s="4" t="n">
        <v>6799</v>
      </c>
      <c r="R3582" s="2" t="s">
        <v>56</v>
      </c>
      <c r="S3582" s="2" t="s">
        <v>92</v>
      </c>
      <c r="T3582" s="2" t="s">
        <v>40</v>
      </c>
      <c r="U3582" s="2" t="s">
        <v>27136</v>
      </c>
      <c r="V3582" s="2"/>
      <c r="W3582" s="2" t="s">
        <v>9493</v>
      </c>
      <c r="X3582" s="2" t="s">
        <v>43</v>
      </c>
      <c r="Y3582" s="2" t="s">
        <v>37</v>
      </c>
      <c r="Z3582" s="2" t="s">
        <v>44</v>
      </c>
      <c r="AA3582" s="2"/>
      <c r="AB3582" s="2"/>
      <c r="AC3582" s="2" t="s">
        <v>27137</v>
      </c>
      <c r="AD3582" s="2" t="s">
        <v>46</v>
      </c>
    </row>
    <row r="3583" customFormat="false" ht="15.7" hidden="false" customHeight="true" outlineLevel="0" collapsed="false">
      <c r="A3583" s="2"/>
      <c r="B3583" s="3" t="n">
        <f aca="false">DATE(2018,5,9)</f>
        <v>0</v>
      </c>
      <c r="C3583" s="3" t="n">
        <v>43229</v>
      </c>
      <c r="D3583" s="2" t="s">
        <v>27138</v>
      </c>
      <c r="F3583" s="2" t="s">
        <v>27139</v>
      </c>
      <c r="G3583" s="2" t="s">
        <v>27140</v>
      </c>
      <c r="H3583" s="2" t="s">
        <v>27141</v>
      </c>
      <c r="I3583" s="2" t="s">
        <v>3795</v>
      </c>
      <c r="J3583" s="2" t="s">
        <v>132</v>
      </c>
      <c r="K3583" s="2" t="s">
        <v>27138</v>
      </c>
      <c r="L3583" s="2" t="s">
        <v>3795</v>
      </c>
      <c r="M3583" s="2" t="s">
        <v>27141</v>
      </c>
      <c r="N3583" s="2" t="s">
        <v>27142</v>
      </c>
      <c r="O3583" s="2"/>
      <c r="P3583" s="2" t="s">
        <v>37</v>
      </c>
      <c r="Q3583" s="4" t="n">
        <v>8731</v>
      </c>
      <c r="R3583" s="2" t="s">
        <v>56</v>
      </c>
      <c r="S3583" s="2" t="s">
        <v>92</v>
      </c>
      <c r="T3583" s="2" t="s">
        <v>40</v>
      </c>
      <c r="U3583" s="2" t="s">
        <v>27143</v>
      </c>
      <c r="V3583" s="2"/>
      <c r="W3583" s="2" t="s">
        <v>344</v>
      </c>
      <c r="X3583" s="2" t="s">
        <v>43</v>
      </c>
      <c r="Y3583" s="2" t="s">
        <v>37</v>
      </c>
      <c r="Z3583" s="2" t="s">
        <v>44</v>
      </c>
      <c r="AA3583" s="2"/>
      <c r="AB3583" s="2"/>
      <c r="AC3583" s="2" t="s">
        <v>27144</v>
      </c>
      <c r="AD3583" s="2" t="s">
        <v>46</v>
      </c>
    </row>
    <row r="3584" customFormat="false" ht="15.7" hidden="false" customHeight="true" outlineLevel="0" collapsed="false">
      <c r="A3584" s="2"/>
      <c r="B3584" s="3" t="n">
        <f aca="false">DATE(2018,5,9)</f>
        <v>0</v>
      </c>
      <c r="C3584" s="3" t="n">
        <v>43229</v>
      </c>
      <c r="D3584" s="2" t="s">
        <v>27145</v>
      </c>
      <c r="F3584" s="2" t="s">
        <v>22407</v>
      </c>
      <c r="G3584" s="2" t="s">
        <v>27146</v>
      </c>
      <c r="H3584" s="2" t="s">
        <v>523</v>
      </c>
      <c r="I3584" s="2" t="s">
        <v>410</v>
      </c>
      <c r="J3584" s="2" t="s">
        <v>132</v>
      </c>
      <c r="K3584" s="2" t="s">
        <v>27147</v>
      </c>
      <c r="L3584" s="2" t="s">
        <v>410</v>
      </c>
      <c r="M3584" s="2" t="s">
        <v>387</v>
      </c>
      <c r="N3584" s="2" t="s">
        <v>27148</v>
      </c>
      <c r="O3584" s="2"/>
      <c r="P3584" s="2" t="s">
        <v>37</v>
      </c>
      <c r="Q3584" s="4" t="n">
        <v>8731</v>
      </c>
      <c r="R3584" s="2" t="s">
        <v>56</v>
      </c>
      <c r="S3584" s="2" t="s">
        <v>92</v>
      </c>
      <c r="T3584" s="2" t="s">
        <v>403</v>
      </c>
      <c r="U3584" s="2" t="s">
        <v>27149</v>
      </c>
      <c r="V3584" s="2"/>
      <c r="W3584" s="2" t="s">
        <v>344</v>
      </c>
      <c r="X3584" s="2" t="s">
        <v>43</v>
      </c>
      <c r="Y3584" s="2" t="s">
        <v>37</v>
      </c>
      <c r="Z3584" s="2" t="s">
        <v>44</v>
      </c>
      <c r="AA3584" s="2"/>
      <c r="AB3584" s="2"/>
      <c r="AC3584" s="2" t="s">
        <v>27150</v>
      </c>
      <c r="AD3584" s="2" t="s">
        <v>46</v>
      </c>
    </row>
    <row r="3585" customFormat="false" ht="15.7" hidden="false" customHeight="true" outlineLevel="0" collapsed="false">
      <c r="A3585" s="2"/>
      <c r="B3585" s="3" t="n">
        <f aca="false">DATE(2018,5,9)</f>
        <v>0</v>
      </c>
      <c r="C3585" s="3" t="n">
        <v>43229</v>
      </c>
      <c r="D3585" s="2" t="s">
        <v>27151</v>
      </c>
      <c r="F3585" s="2" t="s">
        <v>27152</v>
      </c>
      <c r="G3585" s="2" t="s">
        <v>27153</v>
      </c>
      <c r="H3585" s="2" t="s">
        <v>27154</v>
      </c>
      <c r="I3585" s="2" t="s">
        <v>8326</v>
      </c>
      <c r="J3585" s="2" t="s">
        <v>35</v>
      </c>
      <c r="K3585" s="2" t="s">
        <v>27151</v>
      </c>
      <c r="L3585" s="2" t="s">
        <v>8326</v>
      </c>
      <c r="M3585" s="2" t="s">
        <v>27154</v>
      </c>
      <c r="N3585" s="2" t="s">
        <v>27155</v>
      </c>
      <c r="O3585" s="2"/>
      <c r="P3585" s="2" t="s">
        <v>37</v>
      </c>
      <c r="Q3585" s="4" t="n">
        <v>8221</v>
      </c>
      <c r="R3585" s="2" t="s">
        <v>121</v>
      </c>
      <c r="S3585" s="2" t="s">
        <v>39</v>
      </c>
      <c r="T3585" s="2" t="s">
        <v>40</v>
      </c>
      <c r="U3585" s="2" t="s">
        <v>27156</v>
      </c>
      <c r="V3585" s="2"/>
      <c r="W3585" s="2" t="s">
        <v>42</v>
      </c>
      <c r="X3585" s="2" t="s">
        <v>43</v>
      </c>
      <c r="Y3585" s="2" t="s">
        <v>37</v>
      </c>
      <c r="Z3585" s="2" t="s">
        <v>44</v>
      </c>
      <c r="AA3585" s="2"/>
      <c r="AB3585" s="2"/>
      <c r="AC3585" s="2" t="s">
        <v>27157</v>
      </c>
      <c r="AD3585" s="2" t="s">
        <v>46</v>
      </c>
    </row>
    <row r="3586" customFormat="false" ht="15.7" hidden="false" customHeight="true" outlineLevel="0" collapsed="false">
      <c r="A3586" s="2"/>
      <c r="B3586" s="3" t="n">
        <f aca="false">DATE(2018,5,9)</f>
        <v>0</v>
      </c>
      <c r="C3586" s="3" t="n">
        <v>43229</v>
      </c>
      <c r="D3586" s="2" t="s">
        <v>27158</v>
      </c>
      <c r="F3586" s="2" t="s">
        <v>7325</v>
      </c>
      <c r="G3586" s="2" t="s">
        <v>27159</v>
      </c>
      <c r="H3586" s="2" t="s">
        <v>1473</v>
      </c>
      <c r="I3586" s="2" t="s">
        <v>388</v>
      </c>
      <c r="J3586" s="2" t="s">
        <v>625</v>
      </c>
      <c r="K3586" s="2" t="s">
        <v>27158</v>
      </c>
      <c r="L3586" s="2" t="s">
        <v>388</v>
      </c>
      <c r="M3586" s="2" t="s">
        <v>1473</v>
      </c>
      <c r="N3586" s="2" t="s">
        <v>27160</v>
      </c>
      <c r="O3586" s="2"/>
      <c r="P3586" s="2" t="s">
        <v>37</v>
      </c>
      <c r="Q3586" s="4" t="n">
        <v>6794</v>
      </c>
      <c r="R3586" s="2" t="s">
        <v>136</v>
      </c>
      <c r="S3586" s="2" t="s">
        <v>39</v>
      </c>
      <c r="T3586" s="2" t="s">
        <v>40</v>
      </c>
      <c r="U3586" s="2" t="s">
        <v>27161</v>
      </c>
      <c r="V3586" s="2"/>
      <c r="W3586" s="2" t="s">
        <v>15545</v>
      </c>
      <c r="X3586" s="2" t="s">
        <v>43</v>
      </c>
      <c r="Y3586" s="2" t="s">
        <v>37</v>
      </c>
      <c r="Z3586" s="2" t="s">
        <v>44</v>
      </c>
      <c r="AA3586" s="2"/>
      <c r="AB3586" s="2"/>
      <c r="AC3586" s="2" t="s">
        <v>27162</v>
      </c>
      <c r="AD3586" s="2" t="s">
        <v>46</v>
      </c>
    </row>
    <row r="3587" customFormat="false" ht="15.7" hidden="false" customHeight="true" outlineLevel="0" collapsed="false">
      <c r="A3587" s="2"/>
      <c r="B3587" s="3" t="n">
        <f aca="false">DATE(2018,5,9)</f>
        <v>0</v>
      </c>
      <c r="C3587" s="3" t="n">
        <v>43229</v>
      </c>
      <c r="D3587" s="2" t="s">
        <v>27163</v>
      </c>
      <c r="F3587" s="2" t="s">
        <v>27164</v>
      </c>
      <c r="G3587" s="2" t="s">
        <v>27165</v>
      </c>
      <c r="H3587" s="2" t="s">
        <v>3761</v>
      </c>
      <c r="I3587" s="2" t="s">
        <v>51</v>
      </c>
      <c r="J3587" s="2" t="s">
        <v>171</v>
      </c>
      <c r="K3587" s="2" t="s">
        <v>27163</v>
      </c>
      <c r="L3587" s="2" t="s">
        <v>51</v>
      </c>
      <c r="M3587" s="2" t="s">
        <v>3761</v>
      </c>
      <c r="N3587" s="2" t="s">
        <v>27166</v>
      </c>
      <c r="O3587" s="2"/>
      <c r="P3587" s="2" t="s">
        <v>79</v>
      </c>
      <c r="Q3587" s="4" t="n">
        <v>6794</v>
      </c>
      <c r="R3587" s="2" t="s">
        <v>56</v>
      </c>
      <c r="S3587" s="2" t="s">
        <v>507</v>
      </c>
      <c r="T3587" s="2" t="s">
        <v>40</v>
      </c>
      <c r="U3587" s="2" t="s">
        <v>27167</v>
      </c>
      <c r="V3587" s="2"/>
      <c r="W3587" s="2" t="s">
        <v>27168</v>
      </c>
      <c r="X3587" s="2" t="s">
        <v>43</v>
      </c>
      <c r="Y3587" s="2" t="s">
        <v>37</v>
      </c>
      <c r="Z3587" s="2" t="s">
        <v>44</v>
      </c>
      <c r="AA3587" s="2"/>
      <c r="AB3587" s="2"/>
      <c r="AC3587" s="2" t="s">
        <v>27169</v>
      </c>
      <c r="AD3587" s="2" t="s">
        <v>46</v>
      </c>
    </row>
    <row r="3588" customFormat="false" ht="15.7" hidden="false" customHeight="true" outlineLevel="0" collapsed="false">
      <c r="A3588" s="2"/>
      <c r="B3588" s="3" t="n">
        <f aca="false">DATE(2018,5,11)</f>
        <v>0</v>
      </c>
      <c r="C3588" s="3" t="n">
        <v>43231</v>
      </c>
      <c r="D3588" s="2" t="s">
        <v>27170</v>
      </c>
      <c r="F3588" s="2" t="s">
        <v>27171</v>
      </c>
      <c r="G3588" s="2" t="s">
        <v>27172</v>
      </c>
      <c r="H3588" s="2" t="s">
        <v>27173</v>
      </c>
      <c r="I3588" s="2" t="s">
        <v>1904</v>
      </c>
      <c r="J3588" s="2" t="s">
        <v>132</v>
      </c>
      <c r="K3588" s="2" t="s">
        <v>27170</v>
      </c>
      <c r="L3588" s="2" t="s">
        <v>1904</v>
      </c>
      <c r="M3588" s="2" t="s">
        <v>27173</v>
      </c>
      <c r="N3588" s="2" t="s">
        <v>27174</v>
      </c>
      <c r="O3588" s="2"/>
      <c r="P3588" s="2" t="s">
        <v>37</v>
      </c>
      <c r="Q3588" s="4" t="n">
        <v>3999</v>
      </c>
      <c r="R3588" s="2" t="s">
        <v>450</v>
      </c>
      <c r="S3588" s="2" t="s">
        <v>39</v>
      </c>
      <c r="T3588" s="2" t="s">
        <v>40</v>
      </c>
      <c r="U3588" s="2" t="s">
        <v>27175</v>
      </c>
      <c r="V3588" s="2"/>
      <c r="W3588" s="2" t="s">
        <v>18540</v>
      </c>
      <c r="X3588" s="2" t="s">
        <v>43</v>
      </c>
      <c r="Y3588" s="2" t="s">
        <v>37</v>
      </c>
      <c r="Z3588" s="2" t="s">
        <v>44</v>
      </c>
      <c r="AA3588" s="2"/>
      <c r="AB3588" s="2"/>
      <c r="AC3588" s="2" t="s">
        <v>27176</v>
      </c>
      <c r="AD3588" s="2" t="s">
        <v>46</v>
      </c>
    </row>
    <row r="3589" customFormat="false" ht="15.7" hidden="false" customHeight="true" outlineLevel="0" collapsed="false">
      <c r="A3589" s="2"/>
      <c r="B3589" s="3" t="n">
        <f aca="false">DATE(2018,5,11)</f>
        <v>0</v>
      </c>
      <c r="C3589" s="3" t="n">
        <v>43231</v>
      </c>
      <c r="D3589" s="2" t="s">
        <v>27177</v>
      </c>
      <c r="F3589" s="2" t="s">
        <v>27178</v>
      </c>
      <c r="G3589" s="2" t="s">
        <v>27179</v>
      </c>
      <c r="H3589" s="2" t="s">
        <v>7311</v>
      </c>
      <c r="I3589" s="2" t="s">
        <v>6838</v>
      </c>
      <c r="J3589" s="2" t="s">
        <v>35</v>
      </c>
      <c r="K3589" s="2" t="s">
        <v>27177</v>
      </c>
      <c r="L3589" s="2" t="s">
        <v>6838</v>
      </c>
      <c r="M3589" s="2" t="s">
        <v>7311</v>
      </c>
      <c r="N3589" s="2" t="s">
        <v>27180</v>
      </c>
      <c r="O3589" s="2"/>
      <c r="P3589" s="2" t="s">
        <v>37</v>
      </c>
      <c r="Q3589" s="4" t="n">
        <v>8731</v>
      </c>
      <c r="R3589" s="2" t="s">
        <v>402</v>
      </c>
      <c r="S3589" s="2" t="s">
        <v>39</v>
      </c>
      <c r="T3589" s="2" t="s">
        <v>14101</v>
      </c>
      <c r="U3589" s="2" t="s">
        <v>27181</v>
      </c>
      <c r="V3589" s="2"/>
      <c r="W3589" s="2" t="s">
        <v>10841</v>
      </c>
      <c r="X3589" s="2" t="s">
        <v>46</v>
      </c>
      <c r="Y3589" s="2" t="s">
        <v>37</v>
      </c>
      <c r="Z3589" s="2" t="s">
        <v>2732</v>
      </c>
      <c r="AA3589" s="2" t="s">
        <v>27182</v>
      </c>
      <c r="AB3589" s="2"/>
      <c r="AC3589" s="2" t="s">
        <v>27183</v>
      </c>
      <c r="AD3589" s="2" t="s">
        <v>46</v>
      </c>
    </row>
    <row r="3590" customFormat="false" ht="15.7" hidden="false" customHeight="true" outlineLevel="0" collapsed="false">
      <c r="A3590" s="2"/>
      <c r="B3590" s="3" t="n">
        <f aca="false">DATE(2018,5,14)</f>
        <v>0</v>
      </c>
      <c r="C3590" s="3" t="n">
        <v>43234</v>
      </c>
      <c r="D3590" s="2" t="s">
        <v>27184</v>
      </c>
      <c r="F3590" s="2" t="s">
        <v>27185</v>
      </c>
      <c r="G3590" s="2" t="s">
        <v>27186</v>
      </c>
      <c r="H3590" s="2" t="s">
        <v>523</v>
      </c>
      <c r="I3590" s="2" t="s">
        <v>88</v>
      </c>
      <c r="J3590" s="2" t="s">
        <v>514</v>
      </c>
      <c r="K3590" s="2" t="s">
        <v>27187</v>
      </c>
      <c r="L3590" s="2" t="s">
        <v>88</v>
      </c>
      <c r="M3590" s="2" t="s">
        <v>523</v>
      </c>
      <c r="N3590" s="2" t="s">
        <v>27188</v>
      </c>
      <c r="O3590" s="2"/>
      <c r="P3590" s="2" t="s">
        <v>37</v>
      </c>
      <c r="Q3590" s="4" t="n">
        <v>8731</v>
      </c>
      <c r="R3590" s="2" t="s">
        <v>56</v>
      </c>
      <c r="S3590" s="2"/>
      <c r="T3590" s="2" t="s">
        <v>40</v>
      </c>
      <c r="U3590" s="2" t="s">
        <v>27189</v>
      </c>
      <c r="V3590" s="2"/>
      <c r="W3590" s="2" t="s">
        <v>42</v>
      </c>
      <c r="X3590" s="2" t="s">
        <v>43</v>
      </c>
      <c r="Y3590" s="2" t="s">
        <v>37</v>
      </c>
      <c r="Z3590" s="2" t="s">
        <v>44</v>
      </c>
      <c r="AA3590" s="2"/>
      <c r="AB3590" s="2"/>
      <c r="AC3590" s="2" t="s">
        <v>27190</v>
      </c>
      <c r="AD3590" s="2" t="s">
        <v>46</v>
      </c>
    </row>
    <row r="3591" customFormat="false" ht="15.7" hidden="false" customHeight="true" outlineLevel="0" collapsed="false">
      <c r="A3591" s="2"/>
      <c r="B3591" s="3" t="n">
        <f aca="false">DATE(2018,5,14)</f>
        <v>0</v>
      </c>
      <c r="C3591" s="3" t="n">
        <v>43234</v>
      </c>
      <c r="D3591" s="2" t="s">
        <v>27191</v>
      </c>
      <c r="F3591" s="2" t="s">
        <v>12609</v>
      </c>
      <c r="G3591" s="2" t="s">
        <v>27192</v>
      </c>
      <c r="H3591" s="2" t="s">
        <v>3913</v>
      </c>
      <c r="I3591" s="2" t="s">
        <v>227</v>
      </c>
      <c r="J3591" s="2" t="s">
        <v>3906</v>
      </c>
      <c r="K3591" s="2" t="s">
        <v>27191</v>
      </c>
      <c r="L3591" s="2" t="s">
        <v>227</v>
      </c>
      <c r="M3591" s="2" t="s">
        <v>3913</v>
      </c>
      <c r="N3591" s="2" t="s">
        <v>27193</v>
      </c>
      <c r="O3591" s="2"/>
      <c r="P3591" s="2" t="s">
        <v>37</v>
      </c>
      <c r="Q3591" s="4" t="n">
        <v>8099</v>
      </c>
      <c r="R3591" s="2" t="s">
        <v>56</v>
      </c>
      <c r="S3591" s="2"/>
      <c r="T3591" s="2" t="s">
        <v>403</v>
      </c>
      <c r="U3591" s="2" t="s">
        <v>27194</v>
      </c>
      <c r="V3591" s="2"/>
      <c r="W3591" s="2" t="s">
        <v>4487</v>
      </c>
      <c r="X3591" s="2" t="s">
        <v>43</v>
      </c>
      <c r="Y3591" s="2" t="s">
        <v>37</v>
      </c>
      <c r="Z3591" s="2" t="s">
        <v>44</v>
      </c>
      <c r="AA3591" s="2"/>
      <c r="AB3591" s="2"/>
      <c r="AC3591" s="2" t="s">
        <v>27195</v>
      </c>
      <c r="AD3591" s="2" t="s">
        <v>46</v>
      </c>
    </row>
    <row r="3592" customFormat="false" ht="15.7" hidden="false" customHeight="true" outlineLevel="0" collapsed="false">
      <c r="A3592" s="2"/>
      <c r="B3592" s="3" t="n">
        <f aca="false">DATE(2018,5,15)</f>
        <v>0</v>
      </c>
      <c r="C3592" s="3" t="n">
        <v>43235</v>
      </c>
      <c r="D3592" s="2" t="s">
        <v>27196</v>
      </c>
      <c r="F3592" s="2" t="s">
        <v>27197</v>
      </c>
      <c r="G3592" s="2" t="s">
        <v>27198</v>
      </c>
      <c r="H3592" s="2" t="s">
        <v>1101</v>
      </c>
      <c r="I3592" s="2" t="s">
        <v>4317</v>
      </c>
      <c r="J3592" s="2" t="s">
        <v>35</v>
      </c>
      <c r="K3592" s="2" t="s">
        <v>27196</v>
      </c>
      <c r="L3592" s="2" t="s">
        <v>4317</v>
      </c>
      <c r="M3592" s="2" t="s">
        <v>1101</v>
      </c>
      <c r="N3592" s="2" t="s">
        <v>27199</v>
      </c>
      <c r="O3592" s="2"/>
      <c r="P3592" s="2" t="s">
        <v>37</v>
      </c>
      <c r="Q3592" s="4" t="n">
        <v>6794</v>
      </c>
      <c r="R3592" s="2"/>
      <c r="S3592" s="2"/>
      <c r="T3592" s="2" t="s">
        <v>40</v>
      </c>
      <c r="U3592" s="2" t="s">
        <v>27200</v>
      </c>
      <c r="V3592" s="2"/>
      <c r="W3592" s="2" t="s">
        <v>20757</v>
      </c>
      <c r="X3592" s="2" t="s">
        <v>43</v>
      </c>
      <c r="Y3592" s="2" t="s">
        <v>37</v>
      </c>
      <c r="Z3592" s="2" t="s">
        <v>44</v>
      </c>
      <c r="AA3592" s="2"/>
      <c r="AB3592" s="2"/>
      <c r="AC3592" s="2" t="s">
        <v>27201</v>
      </c>
      <c r="AD3592" s="2" t="s">
        <v>46</v>
      </c>
    </row>
    <row r="3593" customFormat="false" ht="15.7" hidden="false" customHeight="true" outlineLevel="0" collapsed="false">
      <c r="A3593" s="2"/>
      <c r="B3593" s="3" t="n">
        <f aca="false">DATE(2018,5,16)</f>
        <v>0</v>
      </c>
      <c r="C3593" s="3" t="n">
        <v>43236</v>
      </c>
      <c r="D3593" s="2" t="s">
        <v>27202</v>
      </c>
      <c r="F3593" s="2" t="s">
        <v>27203</v>
      </c>
      <c r="G3593" s="2" t="s">
        <v>27204</v>
      </c>
      <c r="H3593" s="2" t="s">
        <v>14749</v>
      </c>
      <c r="I3593" s="2" t="s">
        <v>27205</v>
      </c>
      <c r="J3593" s="2" t="s">
        <v>35</v>
      </c>
      <c r="K3593" s="2" t="s">
        <v>27206</v>
      </c>
      <c r="L3593" s="2" t="s">
        <v>27205</v>
      </c>
      <c r="M3593" s="2" t="s">
        <v>14751</v>
      </c>
      <c r="N3593" s="2" t="s">
        <v>27207</v>
      </c>
      <c r="O3593" s="2"/>
      <c r="P3593" s="2" t="s">
        <v>37</v>
      </c>
      <c r="Q3593" s="4" t="n">
        <v>8099</v>
      </c>
      <c r="R3593" s="2" t="s">
        <v>136</v>
      </c>
      <c r="S3593" s="2" t="s">
        <v>39</v>
      </c>
      <c r="T3593" s="2" t="s">
        <v>40</v>
      </c>
      <c r="U3593" s="2" t="s">
        <v>27208</v>
      </c>
      <c r="V3593" s="2"/>
      <c r="W3593" s="2" t="s">
        <v>19532</v>
      </c>
      <c r="X3593" s="2" t="s">
        <v>43</v>
      </c>
      <c r="Y3593" s="2" t="s">
        <v>37</v>
      </c>
      <c r="Z3593" s="2" t="s">
        <v>44</v>
      </c>
      <c r="AA3593" s="2"/>
      <c r="AB3593" s="2"/>
      <c r="AC3593" s="2" t="s">
        <v>27209</v>
      </c>
      <c r="AD3593" s="2" t="s">
        <v>46</v>
      </c>
    </row>
    <row r="3594" customFormat="false" ht="15.7" hidden="false" customHeight="true" outlineLevel="0" collapsed="false">
      <c r="A3594" s="2"/>
      <c r="B3594" s="3" t="n">
        <f aca="false">DATE(2018,5,16)</f>
        <v>0</v>
      </c>
      <c r="C3594" s="3" t="n">
        <v>43236</v>
      </c>
      <c r="D3594" s="2" t="s">
        <v>27210</v>
      </c>
      <c r="F3594" s="2" t="s">
        <v>27211</v>
      </c>
      <c r="G3594" s="2" t="s">
        <v>27212</v>
      </c>
      <c r="H3594" s="2" t="s">
        <v>27213</v>
      </c>
      <c r="I3594" s="2" t="s">
        <v>27214</v>
      </c>
      <c r="J3594" s="2" t="s">
        <v>35</v>
      </c>
      <c r="K3594" s="2" t="s">
        <v>27210</v>
      </c>
      <c r="L3594" s="2" t="s">
        <v>27214</v>
      </c>
      <c r="M3594" s="2" t="s">
        <v>27213</v>
      </c>
      <c r="N3594" s="2" t="s">
        <v>27215</v>
      </c>
      <c r="O3594" s="2"/>
      <c r="P3594" s="2" t="s">
        <v>37</v>
      </c>
      <c r="Q3594" s="4" t="n">
        <v>1081</v>
      </c>
      <c r="R3594" s="2" t="s">
        <v>9292</v>
      </c>
      <c r="S3594" s="2" t="s">
        <v>39</v>
      </c>
      <c r="T3594" s="2" t="s">
        <v>40</v>
      </c>
      <c r="U3594" s="2" t="s">
        <v>27216</v>
      </c>
      <c r="V3594" s="2"/>
      <c r="W3594" s="2" t="s">
        <v>27217</v>
      </c>
      <c r="X3594" s="2" t="s">
        <v>43</v>
      </c>
      <c r="Y3594" s="2" t="s">
        <v>37</v>
      </c>
      <c r="Z3594" s="2" t="s">
        <v>44</v>
      </c>
      <c r="AA3594" s="2"/>
      <c r="AB3594" s="2"/>
      <c r="AC3594" s="2" t="s">
        <v>27218</v>
      </c>
      <c r="AD3594" s="2" t="s">
        <v>46</v>
      </c>
    </row>
    <row r="3595" customFormat="false" ht="15.7" hidden="false" customHeight="true" outlineLevel="0" collapsed="false">
      <c r="A3595" s="2"/>
      <c r="B3595" s="3" t="n">
        <f aca="false">DATE(2018,5,16)</f>
        <v>0</v>
      </c>
      <c r="C3595" s="3" t="n">
        <v>43236</v>
      </c>
      <c r="D3595" s="2" t="s">
        <v>27219</v>
      </c>
      <c r="F3595" s="2" t="s">
        <v>27220</v>
      </c>
      <c r="G3595" s="2" t="s">
        <v>27221</v>
      </c>
      <c r="H3595" s="2" t="s">
        <v>9667</v>
      </c>
      <c r="I3595" s="2" t="s">
        <v>2294</v>
      </c>
      <c r="J3595" s="2" t="s">
        <v>35</v>
      </c>
      <c r="K3595" s="2" t="s">
        <v>27219</v>
      </c>
      <c r="L3595" s="2" t="s">
        <v>2294</v>
      </c>
      <c r="M3595" s="2" t="s">
        <v>9667</v>
      </c>
      <c r="N3595" s="2" t="s">
        <v>27222</v>
      </c>
      <c r="O3595" s="2"/>
      <c r="P3595" s="2" t="s">
        <v>37</v>
      </c>
      <c r="Q3595" s="4" t="n">
        <v>8731</v>
      </c>
      <c r="R3595" s="2" t="s">
        <v>450</v>
      </c>
      <c r="S3595" s="2" t="s">
        <v>39</v>
      </c>
      <c r="T3595" s="2" t="s">
        <v>403</v>
      </c>
      <c r="U3595" s="2" t="s">
        <v>27223</v>
      </c>
      <c r="V3595" s="2"/>
      <c r="W3595" s="2" t="s">
        <v>42</v>
      </c>
      <c r="X3595" s="2" t="s">
        <v>43</v>
      </c>
      <c r="Y3595" s="2" t="s">
        <v>37</v>
      </c>
      <c r="Z3595" s="2" t="s">
        <v>44</v>
      </c>
      <c r="AA3595" s="2"/>
      <c r="AB3595" s="2"/>
      <c r="AC3595" s="2" t="s">
        <v>27224</v>
      </c>
      <c r="AD3595" s="2" t="s">
        <v>46</v>
      </c>
    </row>
    <row r="3596" customFormat="false" ht="15.7" hidden="false" customHeight="true" outlineLevel="0" collapsed="false">
      <c r="A3596" s="2"/>
      <c r="B3596" s="3" t="n">
        <f aca="false">DATE(2018,5,16)</f>
        <v>0</v>
      </c>
      <c r="C3596" s="3" t="n">
        <v>43236</v>
      </c>
      <c r="D3596" s="2" t="s">
        <v>27225</v>
      </c>
      <c r="F3596" s="2" t="s">
        <v>23234</v>
      </c>
      <c r="G3596" s="2" t="s">
        <v>27226</v>
      </c>
      <c r="H3596" s="2" t="s">
        <v>12871</v>
      </c>
      <c r="I3596" s="2" t="s">
        <v>23537</v>
      </c>
      <c r="J3596" s="2" t="s">
        <v>35</v>
      </c>
      <c r="K3596" s="2" t="s">
        <v>27227</v>
      </c>
      <c r="L3596" s="2" t="s">
        <v>23537</v>
      </c>
      <c r="M3596" s="2" t="s">
        <v>3069</v>
      </c>
      <c r="N3596" s="2" t="s">
        <v>27228</v>
      </c>
      <c r="O3596" s="2"/>
      <c r="P3596" s="2" t="s">
        <v>37</v>
      </c>
      <c r="Q3596" s="4" t="n">
        <v>3999</v>
      </c>
      <c r="R3596" s="2" t="s">
        <v>1441</v>
      </c>
      <c r="S3596" s="2" t="s">
        <v>39</v>
      </c>
      <c r="T3596" s="2" t="s">
        <v>403</v>
      </c>
      <c r="U3596" s="2" t="s">
        <v>27229</v>
      </c>
      <c r="V3596" s="2"/>
      <c r="W3596" s="2" t="s">
        <v>24648</v>
      </c>
      <c r="X3596" s="2" t="s">
        <v>43</v>
      </c>
      <c r="Y3596" s="2" t="s">
        <v>37</v>
      </c>
      <c r="Z3596" s="2" t="s">
        <v>44</v>
      </c>
      <c r="AA3596" s="2"/>
      <c r="AB3596" s="2"/>
      <c r="AC3596" s="2" t="s">
        <v>27230</v>
      </c>
      <c r="AD3596" s="2" t="s">
        <v>46</v>
      </c>
    </row>
    <row r="3597" customFormat="false" ht="15.7" hidden="false" customHeight="true" outlineLevel="0" collapsed="false">
      <c r="A3597" s="2"/>
      <c r="B3597" s="3" t="n">
        <f aca="false">DATE(2018,5,17)</f>
        <v>0</v>
      </c>
      <c r="C3597" s="3" t="n">
        <v>43237</v>
      </c>
      <c r="D3597" s="2" t="s">
        <v>27231</v>
      </c>
      <c r="F3597" s="2" t="s">
        <v>27232</v>
      </c>
      <c r="G3597" s="2" t="s">
        <v>27233</v>
      </c>
      <c r="H3597" s="2" t="s">
        <v>27234</v>
      </c>
      <c r="I3597" s="2" t="s">
        <v>51</v>
      </c>
      <c r="J3597" s="2" t="s">
        <v>27235</v>
      </c>
      <c r="K3597" s="2" t="s">
        <v>27231</v>
      </c>
      <c r="L3597" s="2" t="s">
        <v>51</v>
      </c>
      <c r="M3597" s="2" t="s">
        <v>27234</v>
      </c>
      <c r="N3597" s="2" t="s">
        <v>27236</v>
      </c>
      <c r="O3597" s="2"/>
      <c r="P3597" s="2" t="s">
        <v>37</v>
      </c>
      <c r="Q3597" s="4" t="n">
        <v>8099</v>
      </c>
      <c r="R3597" s="2" t="s">
        <v>56</v>
      </c>
      <c r="S3597" s="2" t="s">
        <v>977</v>
      </c>
      <c r="T3597" s="2" t="s">
        <v>40</v>
      </c>
      <c r="U3597" s="2" t="s">
        <v>27237</v>
      </c>
      <c r="V3597" s="2"/>
      <c r="W3597" s="2" t="s">
        <v>27238</v>
      </c>
      <c r="X3597" s="2" t="s">
        <v>43</v>
      </c>
      <c r="Y3597" s="2" t="s">
        <v>37</v>
      </c>
      <c r="Z3597" s="2" t="s">
        <v>44</v>
      </c>
      <c r="AA3597" s="2"/>
      <c r="AB3597" s="2"/>
      <c r="AC3597" s="2" t="s">
        <v>27239</v>
      </c>
      <c r="AD3597" s="2" t="s">
        <v>46</v>
      </c>
    </row>
    <row r="3598" customFormat="false" ht="15.7" hidden="false" customHeight="true" outlineLevel="0" collapsed="false">
      <c r="A3598" s="2"/>
      <c r="B3598" s="3" t="n">
        <f aca="false">DATE(2018,5,17)</f>
        <v>0</v>
      </c>
      <c r="C3598" s="3" t="n">
        <v>43237</v>
      </c>
      <c r="D3598" s="2" t="s">
        <v>27240</v>
      </c>
      <c r="F3598" s="2" t="s">
        <v>27241</v>
      </c>
      <c r="G3598" s="2" t="s">
        <v>27242</v>
      </c>
      <c r="H3598" s="2" t="s">
        <v>27243</v>
      </c>
      <c r="I3598" s="2" t="s">
        <v>2590</v>
      </c>
      <c r="J3598" s="2" t="s">
        <v>35</v>
      </c>
      <c r="K3598" s="2" t="s">
        <v>27240</v>
      </c>
      <c r="L3598" s="2" t="s">
        <v>2590</v>
      </c>
      <c r="M3598" s="2" t="s">
        <v>27243</v>
      </c>
      <c r="N3598" s="2" t="s">
        <v>27244</v>
      </c>
      <c r="O3598" s="2"/>
      <c r="P3598" s="2" t="s">
        <v>37</v>
      </c>
      <c r="Q3598" s="4" t="n">
        <v>1382</v>
      </c>
      <c r="R3598" s="2" t="s">
        <v>2201</v>
      </c>
      <c r="S3598" s="2" t="s">
        <v>39</v>
      </c>
      <c r="T3598" s="2" t="s">
        <v>403</v>
      </c>
      <c r="U3598" s="2" t="s">
        <v>27245</v>
      </c>
      <c r="V3598" s="2"/>
      <c r="W3598" s="2" t="s">
        <v>3182</v>
      </c>
      <c r="X3598" s="2" t="s">
        <v>43</v>
      </c>
      <c r="Y3598" s="2" t="s">
        <v>37</v>
      </c>
      <c r="Z3598" s="2" t="s">
        <v>44</v>
      </c>
      <c r="AA3598" s="2"/>
      <c r="AB3598" s="2"/>
      <c r="AC3598" s="2" t="s">
        <v>27246</v>
      </c>
      <c r="AD3598" s="2" t="s">
        <v>46</v>
      </c>
    </row>
    <row r="3599" customFormat="false" ht="15.7" hidden="false" customHeight="true" outlineLevel="0" collapsed="false">
      <c r="A3599" s="2"/>
      <c r="B3599" s="3" t="n">
        <f aca="false">DATE(2018,5,17)</f>
        <v>0</v>
      </c>
      <c r="C3599" s="3" t="n">
        <v>43237</v>
      </c>
      <c r="D3599" s="2" t="s">
        <v>27247</v>
      </c>
      <c r="F3599" s="2" t="s">
        <v>27248</v>
      </c>
      <c r="G3599" s="2" t="s">
        <v>27249</v>
      </c>
      <c r="H3599" s="2" t="s">
        <v>15854</v>
      </c>
      <c r="I3599" s="2" t="s">
        <v>51</v>
      </c>
      <c r="J3599" s="2" t="s">
        <v>2633</v>
      </c>
      <c r="K3599" s="2" t="s">
        <v>27247</v>
      </c>
      <c r="L3599" s="2" t="s">
        <v>51</v>
      </c>
      <c r="M3599" s="2" t="s">
        <v>15854</v>
      </c>
      <c r="N3599" s="2" t="s">
        <v>27250</v>
      </c>
      <c r="O3599" s="2"/>
      <c r="P3599" s="2" t="s">
        <v>37</v>
      </c>
      <c r="Q3599" s="4" t="n">
        <v>8731</v>
      </c>
      <c r="R3599" s="2" t="s">
        <v>56</v>
      </c>
      <c r="S3599" s="2" t="s">
        <v>39</v>
      </c>
      <c r="T3599" s="2" t="s">
        <v>403</v>
      </c>
      <c r="U3599" s="2" t="s">
        <v>27251</v>
      </c>
      <c r="V3599" s="2"/>
      <c r="W3599" s="2" t="s">
        <v>3235</v>
      </c>
      <c r="X3599" s="2" t="s">
        <v>43</v>
      </c>
      <c r="Y3599" s="2" t="s">
        <v>37</v>
      </c>
      <c r="Z3599" s="2" t="s">
        <v>44</v>
      </c>
      <c r="AA3599" s="2"/>
      <c r="AB3599" s="2"/>
      <c r="AC3599" s="2" t="s">
        <v>27252</v>
      </c>
      <c r="AD3599" s="2" t="s">
        <v>46</v>
      </c>
    </row>
    <row r="3600" customFormat="false" ht="15.7" hidden="false" customHeight="true" outlineLevel="0" collapsed="false">
      <c r="A3600" s="2"/>
      <c r="B3600" s="3" t="n">
        <f aca="false">DATE(2018,5,17)</f>
        <v>0</v>
      </c>
      <c r="C3600" s="3" t="n">
        <v>43237</v>
      </c>
      <c r="D3600" s="2" t="s">
        <v>27253</v>
      </c>
      <c r="F3600" s="2" t="s">
        <v>27254</v>
      </c>
      <c r="G3600" s="2" t="s">
        <v>27255</v>
      </c>
      <c r="H3600" s="2" t="s">
        <v>27256</v>
      </c>
      <c r="I3600" s="2" t="s">
        <v>27257</v>
      </c>
      <c r="J3600" s="2" t="s">
        <v>35</v>
      </c>
      <c r="K3600" s="2" t="s">
        <v>27258</v>
      </c>
      <c r="L3600" s="2" t="s">
        <v>27257</v>
      </c>
      <c r="M3600" s="2" t="s">
        <v>27259</v>
      </c>
      <c r="N3600" s="2" t="s">
        <v>27260</v>
      </c>
      <c r="O3600" s="2"/>
      <c r="P3600" s="2" t="s">
        <v>37</v>
      </c>
      <c r="Q3600" s="4" t="n">
        <v>8731</v>
      </c>
      <c r="R3600" s="2" t="s">
        <v>136</v>
      </c>
      <c r="S3600" s="2" t="s">
        <v>39</v>
      </c>
      <c r="T3600" s="2" t="s">
        <v>40</v>
      </c>
      <c r="U3600" s="2" t="s">
        <v>27261</v>
      </c>
      <c r="V3600" s="2"/>
      <c r="W3600" s="2" t="s">
        <v>42</v>
      </c>
      <c r="X3600" s="2" t="s">
        <v>43</v>
      </c>
      <c r="Y3600" s="2" t="s">
        <v>37</v>
      </c>
      <c r="Z3600" s="2" t="s">
        <v>44</v>
      </c>
      <c r="AA3600" s="2"/>
      <c r="AB3600" s="2"/>
      <c r="AC3600" s="2" t="s">
        <v>27262</v>
      </c>
      <c r="AD3600" s="2" t="s">
        <v>46</v>
      </c>
    </row>
    <row r="3601" customFormat="false" ht="15.7" hidden="false" customHeight="true" outlineLevel="0" collapsed="false">
      <c r="A3601" s="2"/>
      <c r="B3601" s="3" t="n">
        <f aca="false">DATE(2018,5,17)</f>
        <v>0</v>
      </c>
      <c r="C3601" s="3" t="n">
        <v>43237</v>
      </c>
      <c r="D3601" s="2" t="s">
        <v>27263</v>
      </c>
      <c r="F3601" s="2" t="s">
        <v>27264</v>
      </c>
      <c r="G3601" s="2" t="s">
        <v>27265</v>
      </c>
      <c r="H3601" s="2" t="s">
        <v>27266</v>
      </c>
      <c r="I3601" s="2" t="s">
        <v>540</v>
      </c>
      <c r="J3601" s="2" t="s">
        <v>35</v>
      </c>
      <c r="K3601" s="2" t="s">
        <v>27267</v>
      </c>
      <c r="L3601" s="2" t="s">
        <v>540</v>
      </c>
      <c r="M3601" s="2" t="s">
        <v>27268</v>
      </c>
      <c r="N3601" s="2" t="s">
        <v>27269</v>
      </c>
      <c r="O3601" s="2"/>
      <c r="P3601" s="2" t="s">
        <v>37</v>
      </c>
      <c r="Q3601" s="4" t="n">
        <v>1221</v>
      </c>
      <c r="R3601" s="2" t="s">
        <v>136</v>
      </c>
      <c r="S3601" s="2" t="s">
        <v>39</v>
      </c>
      <c r="T3601" s="2" t="s">
        <v>40</v>
      </c>
      <c r="U3601" s="2" t="s">
        <v>27270</v>
      </c>
      <c r="V3601" s="2"/>
      <c r="W3601" s="2" t="s">
        <v>27271</v>
      </c>
      <c r="X3601" s="2" t="s">
        <v>43</v>
      </c>
      <c r="Y3601" s="2" t="s">
        <v>37</v>
      </c>
      <c r="Z3601" s="2" t="s">
        <v>44</v>
      </c>
      <c r="AA3601" s="2"/>
      <c r="AB3601" s="2"/>
      <c r="AC3601" s="2" t="s">
        <v>27272</v>
      </c>
      <c r="AD3601" s="2" t="s">
        <v>46</v>
      </c>
    </row>
    <row r="3602" customFormat="false" ht="15.7" hidden="false" customHeight="true" outlineLevel="0" collapsed="false">
      <c r="A3602" s="2"/>
      <c r="B3602" s="3" t="n">
        <f aca="false">DATE(2018,5,18)</f>
        <v>0</v>
      </c>
      <c r="C3602" s="3" t="n">
        <v>43238</v>
      </c>
      <c r="D3602" s="2" t="s">
        <v>27273</v>
      </c>
      <c r="F3602" s="2" t="s">
        <v>27274</v>
      </c>
      <c r="G3602" s="2" t="s">
        <v>27275</v>
      </c>
      <c r="H3602" s="2" t="s">
        <v>27276</v>
      </c>
      <c r="I3602" s="2" t="s">
        <v>1080</v>
      </c>
      <c r="J3602" s="2" t="s">
        <v>35</v>
      </c>
      <c r="K3602" s="2" t="s">
        <v>27273</v>
      </c>
      <c r="L3602" s="2" t="s">
        <v>1080</v>
      </c>
      <c r="M3602" s="2" t="s">
        <v>27276</v>
      </c>
      <c r="N3602" s="2" t="s">
        <v>27277</v>
      </c>
      <c r="O3602" s="2"/>
      <c r="P3602" s="2" t="s">
        <v>37</v>
      </c>
      <c r="Q3602" s="4" t="n">
        <v>1522</v>
      </c>
      <c r="R3602" s="2" t="s">
        <v>2201</v>
      </c>
      <c r="S3602" s="2" t="s">
        <v>39</v>
      </c>
      <c r="T3602" s="2" t="s">
        <v>40</v>
      </c>
      <c r="U3602" s="2" t="s">
        <v>27278</v>
      </c>
      <c r="V3602" s="2"/>
      <c r="W3602" s="2" t="s">
        <v>27279</v>
      </c>
      <c r="X3602" s="2" t="s">
        <v>43</v>
      </c>
      <c r="Y3602" s="2" t="s">
        <v>37</v>
      </c>
      <c r="Z3602" s="2" t="s">
        <v>44</v>
      </c>
      <c r="AA3602" s="2"/>
      <c r="AB3602" s="2"/>
      <c r="AC3602" s="2" t="s">
        <v>27280</v>
      </c>
      <c r="AD3602" s="2" t="s">
        <v>46</v>
      </c>
    </row>
    <row r="3603" customFormat="false" ht="15.7" hidden="false" customHeight="true" outlineLevel="0" collapsed="false">
      <c r="A3603" s="2"/>
      <c r="B3603" s="3" t="n">
        <f aca="false">DATE(2018,5,18)</f>
        <v>0</v>
      </c>
      <c r="C3603" s="3" t="n">
        <v>43238</v>
      </c>
      <c r="D3603" s="2" t="s">
        <v>27281</v>
      </c>
      <c r="F3603" s="2" t="s">
        <v>27282</v>
      </c>
      <c r="G3603" s="2" t="s">
        <v>27283</v>
      </c>
      <c r="H3603" s="2" t="s">
        <v>582</v>
      </c>
      <c r="I3603" s="2" t="s">
        <v>540</v>
      </c>
      <c r="J3603" s="2" t="s">
        <v>35</v>
      </c>
      <c r="K3603" s="2" t="s">
        <v>27284</v>
      </c>
      <c r="L3603" s="2" t="s">
        <v>540</v>
      </c>
      <c r="M3603" s="2" t="s">
        <v>27285</v>
      </c>
      <c r="N3603" s="2" t="s">
        <v>27286</v>
      </c>
      <c r="O3603" s="2"/>
      <c r="P3603" s="2" t="s">
        <v>37</v>
      </c>
      <c r="Q3603" s="4" t="n">
        <v>1221</v>
      </c>
      <c r="R3603" s="2" t="s">
        <v>1448</v>
      </c>
      <c r="S3603" s="2" t="s">
        <v>39</v>
      </c>
      <c r="T3603" s="2" t="s">
        <v>40</v>
      </c>
      <c r="U3603" s="2" t="s">
        <v>27287</v>
      </c>
      <c r="V3603" s="2"/>
      <c r="W3603" s="2" t="s">
        <v>5039</v>
      </c>
      <c r="X3603" s="2" t="s">
        <v>43</v>
      </c>
      <c r="Y3603" s="2" t="s">
        <v>37</v>
      </c>
      <c r="Z3603" s="2" t="s">
        <v>44</v>
      </c>
      <c r="AA3603" s="2"/>
      <c r="AB3603" s="2"/>
      <c r="AC3603" s="2" t="s">
        <v>27288</v>
      </c>
      <c r="AD3603" s="2" t="s">
        <v>46</v>
      </c>
    </row>
    <row r="3604" customFormat="false" ht="15.7" hidden="false" customHeight="true" outlineLevel="0" collapsed="false">
      <c r="A3604" s="2"/>
      <c r="B3604" s="3" t="n">
        <f aca="false">DATE(2018,5,21)</f>
        <v>0</v>
      </c>
      <c r="C3604" s="3" t="n">
        <v>43241</v>
      </c>
      <c r="D3604" s="2" t="s">
        <v>27289</v>
      </c>
      <c r="F3604" s="2" t="s">
        <v>27290</v>
      </c>
      <c r="G3604" s="2" t="s">
        <v>27291</v>
      </c>
      <c r="H3604" s="2" t="s">
        <v>27292</v>
      </c>
      <c r="I3604" s="2" t="s">
        <v>11415</v>
      </c>
      <c r="J3604" s="2" t="s">
        <v>35</v>
      </c>
      <c r="K3604" s="2" t="s">
        <v>27289</v>
      </c>
      <c r="L3604" s="2" t="s">
        <v>11415</v>
      </c>
      <c r="M3604" s="2" t="s">
        <v>27292</v>
      </c>
      <c r="N3604" s="2" t="s">
        <v>27293</v>
      </c>
      <c r="O3604" s="2"/>
      <c r="P3604" s="2" t="s">
        <v>37</v>
      </c>
      <c r="Q3604" s="4" t="n">
        <v>6798</v>
      </c>
      <c r="R3604" s="2" t="s">
        <v>136</v>
      </c>
      <c r="S3604" s="2" t="s">
        <v>39</v>
      </c>
      <c r="T3604" s="2" t="s">
        <v>40</v>
      </c>
      <c r="U3604" s="2" t="s">
        <v>27294</v>
      </c>
      <c r="V3604" s="2"/>
      <c r="W3604" s="2" t="s">
        <v>27295</v>
      </c>
      <c r="X3604" s="2" t="s">
        <v>43</v>
      </c>
      <c r="Y3604" s="2" t="s">
        <v>37</v>
      </c>
      <c r="Z3604" s="2" t="s">
        <v>44</v>
      </c>
      <c r="AA3604" s="2"/>
      <c r="AB3604" s="2"/>
      <c r="AC3604" s="2" t="s">
        <v>27296</v>
      </c>
      <c r="AD3604" s="2" t="s">
        <v>46</v>
      </c>
    </row>
    <row r="3605" customFormat="false" ht="15.7" hidden="false" customHeight="true" outlineLevel="0" collapsed="false">
      <c r="A3605" s="2"/>
      <c r="B3605" s="3" t="n">
        <f aca="false">DATE(2018,5,22)</f>
        <v>0</v>
      </c>
      <c r="C3605" s="3" t="n">
        <v>43242</v>
      </c>
      <c r="D3605" s="2" t="s">
        <v>27297</v>
      </c>
      <c r="F3605" s="2" t="s">
        <v>27298</v>
      </c>
      <c r="G3605" s="2" t="s">
        <v>27299</v>
      </c>
      <c r="H3605" s="2" t="s">
        <v>27300</v>
      </c>
      <c r="I3605" s="2" t="s">
        <v>27301</v>
      </c>
      <c r="J3605" s="2" t="s">
        <v>4399</v>
      </c>
      <c r="K3605" s="2" t="s">
        <v>27302</v>
      </c>
      <c r="L3605" s="2" t="s">
        <v>27301</v>
      </c>
      <c r="M3605" s="2" t="s">
        <v>20524</v>
      </c>
      <c r="N3605" s="2" t="s">
        <v>27303</v>
      </c>
      <c r="O3605" s="2"/>
      <c r="P3605" s="2" t="s">
        <v>37</v>
      </c>
      <c r="Q3605" s="4" t="n">
        <v>8731</v>
      </c>
      <c r="R3605" s="2" t="s">
        <v>136</v>
      </c>
      <c r="S3605" s="2" t="s">
        <v>39</v>
      </c>
      <c r="T3605" s="2" t="s">
        <v>40</v>
      </c>
      <c r="U3605" s="2" t="s">
        <v>27304</v>
      </c>
      <c r="V3605" s="2"/>
      <c r="W3605" s="2" t="s">
        <v>4505</v>
      </c>
      <c r="X3605" s="2" t="s">
        <v>43</v>
      </c>
      <c r="Y3605" s="2" t="s">
        <v>37</v>
      </c>
      <c r="Z3605" s="2" t="s">
        <v>44</v>
      </c>
      <c r="AA3605" s="2"/>
      <c r="AB3605" s="2"/>
      <c r="AC3605" s="2" t="s">
        <v>27305</v>
      </c>
      <c r="AD3605" s="2" t="s">
        <v>46</v>
      </c>
    </row>
    <row r="3606" customFormat="false" ht="15.7" hidden="false" customHeight="true" outlineLevel="0" collapsed="false">
      <c r="A3606" s="2"/>
      <c r="B3606" s="3" t="n">
        <f aca="false">DATE(2018,5,22)</f>
        <v>0</v>
      </c>
      <c r="C3606" s="3" t="n">
        <v>43242</v>
      </c>
      <c r="D3606" s="2" t="s">
        <v>27306</v>
      </c>
      <c r="F3606" s="2" t="s">
        <v>27307</v>
      </c>
      <c r="G3606" s="2" t="s">
        <v>27308</v>
      </c>
      <c r="H3606" s="2" t="s">
        <v>130</v>
      </c>
      <c r="I3606" s="2" t="s">
        <v>131</v>
      </c>
      <c r="J3606" s="2" t="s">
        <v>966</v>
      </c>
      <c r="K3606" s="2" t="s">
        <v>27306</v>
      </c>
      <c r="L3606" s="2" t="s">
        <v>131</v>
      </c>
      <c r="M3606" s="2" t="s">
        <v>130</v>
      </c>
      <c r="N3606" s="2" t="s">
        <v>27309</v>
      </c>
      <c r="O3606" s="2"/>
      <c r="P3606" s="2" t="s">
        <v>37</v>
      </c>
      <c r="Q3606" s="4" t="n">
        <v>8731</v>
      </c>
      <c r="R3606" s="2" t="s">
        <v>56</v>
      </c>
      <c r="S3606" s="2" t="s">
        <v>57</v>
      </c>
      <c r="T3606" s="2" t="s">
        <v>2444</v>
      </c>
      <c r="U3606" s="2" t="s">
        <v>27310</v>
      </c>
      <c r="V3606" s="2"/>
      <c r="W3606" s="2" t="s">
        <v>344</v>
      </c>
      <c r="X3606" s="2" t="s">
        <v>43</v>
      </c>
      <c r="Y3606" s="2" t="s">
        <v>37</v>
      </c>
      <c r="Z3606" s="2" t="s">
        <v>44</v>
      </c>
      <c r="AA3606" s="2"/>
      <c r="AB3606" s="2"/>
      <c r="AC3606" s="2" t="s">
        <v>27311</v>
      </c>
      <c r="AD3606" s="2" t="s">
        <v>46</v>
      </c>
    </row>
    <row r="3607" customFormat="false" ht="15.7" hidden="false" customHeight="true" outlineLevel="0" collapsed="false">
      <c r="A3607" s="2"/>
      <c r="B3607" s="3" t="n">
        <f aca="false">DATE(2018,5,22)</f>
        <v>0</v>
      </c>
      <c r="C3607" s="3" t="n">
        <v>43242</v>
      </c>
      <c r="D3607" s="2" t="s">
        <v>27312</v>
      </c>
      <c r="F3607" s="2" t="s">
        <v>27313</v>
      </c>
      <c r="G3607" s="2" t="s">
        <v>27314</v>
      </c>
      <c r="H3607" s="2" t="s">
        <v>27315</v>
      </c>
      <c r="I3607" s="2" t="s">
        <v>568</v>
      </c>
      <c r="J3607" s="2" t="s">
        <v>8175</v>
      </c>
      <c r="K3607" s="2" t="s">
        <v>27312</v>
      </c>
      <c r="L3607" s="2" t="s">
        <v>568</v>
      </c>
      <c r="M3607" s="2" t="s">
        <v>27315</v>
      </c>
      <c r="N3607" s="2" t="s">
        <v>27316</v>
      </c>
      <c r="O3607" s="2"/>
      <c r="P3607" s="2" t="s">
        <v>37</v>
      </c>
      <c r="Q3607" s="4" t="n">
        <v>8731</v>
      </c>
      <c r="R3607" s="2" t="s">
        <v>136</v>
      </c>
      <c r="S3607" s="2" t="s">
        <v>39</v>
      </c>
      <c r="T3607" s="2" t="s">
        <v>403</v>
      </c>
      <c r="U3607" s="2" t="s">
        <v>27317</v>
      </c>
      <c r="V3607" s="2"/>
      <c r="W3607" s="2" t="s">
        <v>42</v>
      </c>
      <c r="X3607" s="2" t="s">
        <v>43</v>
      </c>
      <c r="Y3607" s="2" t="s">
        <v>37</v>
      </c>
      <c r="Z3607" s="2" t="s">
        <v>44</v>
      </c>
      <c r="AA3607" s="2"/>
      <c r="AB3607" s="2"/>
      <c r="AC3607" s="2" t="s">
        <v>27318</v>
      </c>
      <c r="AD3607" s="2" t="s">
        <v>46</v>
      </c>
    </row>
    <row r="3608" customFormat="false" ht="15.7" hidden="false" customHeight="true" outlineLevel="0" collapsed="false">
      <c r="A3608" s="2"/>
      <c r="B3608" s="3" t="n">
        <f aca="false">DATE(2018,5,24)</f>
        <v>0</v>
      </c>
      <c r="C3608" s="3" t="n">
        <v>43244</v>
      </c>
      <c r="D3608" s="2" t="s">
        <v>27319</v>
      </c>
      <c r="F3608" s="2" t="s">
        <v>27320</v>
      </c>
      <c r="G3608" s="2" t="s">
        <v>27321</v>
      </c>
      <c r="H3608" s="2" t="s">
        <v>27322</v>
      </c>
      <c r="I3608" s="2" t="s">
        <v>330</v>
      </c>
      <c r="J3608" s="2" t="s">
        <v>228</v>
      </c>
      <c r="K3608" s="2" t="s">
        <v>27319</v>
      </c>
      <c r="L3608" s="2" t="s">
        <v>330</v>
      </c>
      <c r="M3608" s="2" t="s">
        <v>27322</v>
      </c>
      <c r="N3608" s="2" t="s">
        <v>27323</v>
      </c>
      <c r="O3608" s="2"/>
      <c r="P3608" s="2" t="s">
        <v>37</v>
      </c>
      <c r="Q3608" s="4" t="n">
        <v>8099</v>
      </c>
      <c r="R3608" s="2" t="s">
        <v>2201</v>
      </c>
      <c r="S3608" s="2" t="s">
        <v>39</v>
      </c>
      <c r="T3608" s="2" t="s">
        <v>40</v>
      </c>
      <c r="U3608" s="2" t="s">
        <v>27324</v>
      </c>
      <c r="V3608" s="2"/>
      <c r="W3608" s="2" t="s">
        <v>4487</v>
      </c>
      <c r="X3608" s="2" t="s">
        <v>43</v>
      </c>
      <c r="Y3608" s="2" t="s">
        <v>37</v>
      </c>
      <c r="Z3608" s="2" t="s">
        <v>44</v>
      </c>
      <c r="AA3608" s="2"/>
      <c r="AB3608" s="2"/>
      <c r="AC3608" s="2" t="s">
        <v>27325</v>
      </c>
      <c r="AD3608" s="2" t="s">
        <v>46</v>
      </c>
    </row>
    <row r="3609" customFormat="false" ht="15.7" hidden="false" customHeight="true" outlineLevel="0" collapsed="false">
      <c r="A3609" s="2"/>
      <c r="B3609" s="3" t="n">
        <f aca="false">DATE(2018,5,24)</f>
        <v>0</v>
      </c>
      <c r="C3609" s="3" t="n">
        <v>43244</v>
      </c>
      <c r="D3609" s="2" t="s">
        <v>27326</v>
      </c>
      <c r="F3609" s="2" t="s">
        <v>27327</v>
      </c>
      <c r="G3609" s="2" t="s">
        <v>27328</v>
      </c>
      <c r="H3609" s="2" t="s">
        <v>27329</v>
      </c>
      <c r="I3609" s="2" t="s">
        <v>51</v>
      </c>
      <c r="J3609" s="2" t="s">
        <v>1474</v>
      </c>
      <c r="K3609" s="2" t="s">
        <v>27330</v>
      </c>
      <c r="L3609" s="2" t="s">
        <v>549</v>
      </c>
      <c r="M3609" s="2" t="s">
        <v>27331</v>
      </c>
      <c r="N3609" s="2" t="s">
        <v>27332</v>
      </c>
      <c r="O3609" s="2"/>
      <c r="P3609" s="2" t="s">
        <v>37</v>
      </c>
      <c r="Q3609" s="4" t="n">
        <v>8731</v>
      </c>
      <c r="R3609" s="2" t="s">
        <v>56</v>
      </c>
      <c r="S3609" s="2" t="s">
        <v>507</v>
      </c>
      <c r="T3609" s="2" t="s">
        <v>403</v>
      </c>
      <c r="U3609" s="2" t="s">
        <v>27333</v>
      </c>
      <c r="V3609" s="2"/>
      <c r="W3609" s="2" t="s">
        <v>42</v>
      </c>
      <c r="X3609" s="2" t="s">
        <v>43</v>
      </c>
      <c r="Y3609" s="2" t="s">
        <v>37</v>
      </c>
      <c r="Z3609" s="2" t="s">
        <v>44</v>
      </c>
      <c r="AA3609" s="2"/>
      <c r="AB3609" s="2"/>
      <c r="AC3609" s="2" t="s">
        <v>27334</v>
      </c>
      <c r="AD3609" s="2" t="s">
        <v>46</v>
      </c>
    </row>
    <row r="3610" customFormat="false" ht="15.7" hidden="false" customHeight="true" outlineLevel="0" collapsed="false">
      <c r="A3610" s="2"/>
      <c r="B3610" s="3" t="n">
        <f aca="false">DATE(2018,5,24)</f>
        <v>0</v>
      </c>
      <c r="C3610" s="3" t="n">
        <v>43244</v>
      </c>
      <c r="D3610" s="2" t="s">
        <v>27335</v>
      </c>
      <c r="F3610" s="2" t="s">
        <v>27336</v>
      </c>
      <c r="G3610" s="2" t="s">
        <v>27337</v>
      </c>
      <c r="H3610" s="2" t="s">
        <v>27338</v>
      </c>
      <c r="I3610" s="2" t="s">
        <v>27339</v>
      </c>
      <c r="J3610" s="2" t="s">
        <v>35</v>
      </c>
      <c r="K3610" s="2" t="s">
        <v>27335</v>
      </c>
      <c r="L3610" s="2" t="s">
        <v>27339</v>
      </c>
      <c r="M3610" s="2" t="s">
        <v>27338</v>
      </c>
      <c r="N3610" s="2" t="s">
        <v>27340</v>
      </c>
      <c r="O3610" s="2"/>
      <c r="P3610" s="2" t="s">
        <v>37</v>
      </c>
      <c r="Q3610" s="4" t="n">
        <v>3571</v>
      </c>
      <c r="R3610" s="2"/>
      <c r="S3610" s="2"/>
      <c r="T3610" s="2" t="s">
        <v>40</v>
      </c>
      <c r="U3610" s="2" t="s">
        <v>27341</v>
      </c>
      <c r="V3610" s="2"/>
      <c r="W3610" s="2" t="s">
        <v>19648</v>
      </c>
      <c r="X3610" s="2" t="s">
        <v>46</v>
      </c>
      <c r="Y3610" s="2" t="s">
        <v>37</v>
      </c>
      <c r="Z3610" s="2" t="s">
        <v>44</v>
      </c>
      <c r="AA3610" s="2"/>
      <c r="AB3610" s="2"/>
      <c r="AC3610" s="2" t="s">
        <v>27342</v>
      </c>
      <c r="AD3610" s="2" t="s">
        <v>46</v>
      </c>
    </row>
    <row r="3611" customFormat="false" ht="15.7" hidden="false" customHeight="true" outlineLevel="0" collapsed="false">
      <c r="A3611" s="2"/>
      <c r="B3611" s="3" t="n">
        <f aca="false">DATE(2018,5,28)</f>
        <v>0</v>
      </c>
      <c r="C3611" s="3" t="n">
        <v>43248</v>
      </c>
      <c r="D3611" s="2" t="s">
        <v>27343</v>
      </c>
      <c r="F3611" s="2" t="s">
        <v>27344</v>
      </c>
      <c r="G3611" s="2" t="s">
        <v>27345</v>
      </c>
      <c r="H3611" s="2" t="s">
        <v>27346</v>
      </c>
      <c r="I3611" s="2" t="s">
        <v>3103</v>
      </c>
      <c r="J3611" s="2" t="s">
        <v>1456</v>
      </c>
      <c r="K3611" s="2" t="s">
        <v>27343</v>
      </c>
      <c r="L3611" s="2" t="s">
        <v>3103</v>
      </c>
      <c r="M3611" s="2" t="s">
        <v>27346</v>
      </c>
      <c r="N3611" s="2" t="s">
        <v>27347</v>
      </c>
      <c r="O3611" s="2"/>
      <c r="P3611" s="2" t="s">
        <v>79</v>
      </c>
      <c r="Q3611" s="4" t="n">
        <v>6794</v>
      </c>
      <c r="R3611" s="2" t="s">
        <v>56</v>
      </c>
      <c r="S3611" s="2" t="s">
        <v>788</v>
      </c>
      <c r="T3611" s="2" t="s">
        <v>40</v>
      </c>
      <c r="U3611" s="2" t="s">
        <v>27348</v>
      </c>
      <c r="V3611" s="2"/>
      <c r="W3611" s="2" t="s">
        <v>22456</v>
      </c>
      <c r="X3611" s="2" t="s">
        <v>43</v>
      </c>
      <c r="Y3611" s="2" t="s">
        <v>37</v>
      </c>
      <c r="Z3611" s="2" t="s">
        <v>44</v>
      </c>
      <c r="AA3611" s="2"/>
      <c r="AB3611" s="2"/>
      <c r="AC3611" s="2" t="s">
        <v>27349</v>
      </c>
      <c r="AD3611" s="2" t="s">
        <v>46</v>
      </c>
    </row>
    <row r="3612" customFormat="false" ht="15.7" hidden="false" customHeight="true" outlineLevel="0" collapsed="false">
      <c r="A3612" s="2"/>
      <c r="B3612" s="3" t="n">
        <f aca="false">DATE(2018,5,31)</f>
        <v>0</v>
      </c>
      <c r="C3612" s="3" t="n">
        <v>43251</v>
      </c>
      <c r="D3612" s="2" t="s">
        <v>27350</v>
      </c>
      <c r="F3612" s="2" t="s">
        <v>1052</v>
      </c>
      <c r="G3612" s="2" t="s">
        <v>27351</v>
      </c>
      <c r="H3612" s="2" t="s">
        <v>63</v>
      </c>
      <c r="I3612" s="2" t="s">
        <v>568</v>
      </c>
      <c r="J3612" s="2" t="s">
        <v>1456</v>
      </c>
      <c r="K3612" s="2" t="s">
        <v>27352</v>
      </c>
      <c r="L3612" s="2" t="s">
        <v>6673</v>
      </c>
      <c r="M3612" s="2" t="s">
        <v>63</v>
      </c>
      <c r="N3612" s="2" t="s">
        <v>27353</v>
      </c>
      <c r="O3612" s="2"/>
      <c r="P3612" s="2" t="s">
        <v>37</v>
      </c>
      <c r="Q3612" s="4" t="n">
        <v>3999</v>
      </c>
      <c r="R3612" s="2" t="s">
        <v>56</v>
      </c>
      <c r="S3612" s="2"/>
      <c r="T3612" s="2" t="s">
        <v>40</v>
      </c>
      <c r="U3612" s="2" t="s">
        <v>27354</v>
      </c>
      <c r="V3612" s="2"/>
      <c r="W3612" s="2" t="s">
        <v>107</v>
      </c>
      <c r="X3612" s="2" t="s">
        <v>43</v>
      </c>
      <c r="Y3612" s="2" t="s">
        <v>37</v>
      </c>
      <c r="Z3612" s="2" t="s">
        <v>44</v>
      </c>
      <c r="AA3612" s="2"/>
      <c r="AB3612" s="2"/>
      <c r="AC3612" s="2" t="s">
        <v>27355</v>
      </c>
      <c r="AD3612" s="2" t="s">
        <v>46</v>
      </c>
    </row>
    <row r="3613" customFormat="false" ht="15.7" hidden="false" customHeight="true" outlineLevel="0" collapsed="false">
      <c r="A3613" s="2"/>
      <c r="B3613" s="3" t="n">
        <f aca="false">DATE(2018,5,31)</f>
        <v>0</v>
      </c>
      <c r="C3613" s="3" t="n">
        <v>43251</v>
      </c>
      <c r="D3613" s="2" t="s">
        <v>27356</v>
      </c>
      <c r="F3613" s="2" t="s">
        <v>27357</v>
      </c>
      <c r="G3613" s="2" t="s">
        <v>27358</v>
      </c>
      <c r="H3613" s="2" t="s">
        <v>13491</v>
      </c>
      <c r="I3613" s="2" t="s">
        <v>7737</v>
      </c>
      <c r="J3613" s="2" t="s">
        <v>35</v>
      </c>
      <c r="K3613" s="2" t="s">
        <v>27359</v>
      </c>
      <c r="L3613" s="2" t="s">
        <v>7737</v>
      </c>
      <c r="M3613" s="2" t="s">
        <v>27360</v>
      </c>
      <c r="N3613" s="2" t="s">
        <v>27361</v>
      </c>
      <c r="O3613" s="2"/>
      <c r="P3613" s="2" t="s">
        <v>37</v>
      </c>
      <c r="Q3613" s="4" t="n">
        <v>8731</v>
      </c>
      <c r="R3613" s="2"/>
      <c r="S3613" s="2"/>
      <c r="T3613" s="2" t="s">
        <v>40</v>
      </c>
      <c r="U3613" s="2" t="s">
        <v>27362</v>
      </c>
      <c r="V3613" s="2"/>
      <c r="W3613" s="2" t="s">
        <v>42</v>
      </c>
      <c r="X3613" s="2" t="s">
        <v>43</v>
      </c>
      <c r="Y3613" s="2" t="s">
        <v>37</v>
      </c>
      <c r="Z3613" s="2" t="s">
        <v>44</v>
      </c>
      <c r="AA3613" s="2"/>
      <c r="AB3613" s="2"/>
      <c r="AC3613" s="2" t="s">
        <v>27363</v>
      </c>
      <c r="AD3613" s="2" t="s">
        <v>46</v>
      </c>
    </row>
    <row r="3614" customFormat="false" ht="15.7" hidden="false" customHeight="true" outlineLevel="0" collapsed="false">
      <c r="A3614" s="2"/>
      <c r="B3614" s="3" t="n">
        <f aca="false">DATE(2018,5,31)</f>
        <v>0</v>
      </c>
      <c r="C3614" s="3" t="n">
        <v>43251</v>
      </c>
      <c r="D3614" s="2" t="s">
        <v>27364</v>
      </c>
      <c r="F3614" s="2" t="s">
        <v>27365</v>
      </c>
      <c r="G3614" s="2" t="s">
        <v>27366</v>
      </c>
      <c r="H3614" s="2" t="s">
        <v>27367</v>
      </c>
      <c r="I3614" s="2" t="s">
        <v>27368</v>
      </c>
      <c r="J3614" s="2" t="s">
        <v>26613</v>
      </c>
      <c r="K3614" s="2" t="s">
        <v>27364</v>
      </c>
      <c r="L3614" s="2" t="s">
        <v>27368</v>
      </c>
      <c r="M3614" s="2" t="s">
        <v>27367</v>
      </c>
      <c r="N3614" s="2" t="s">
        <v>27369</v>
      </c>
      <c r="O3614" s="2"/>
      <c r="P3614" s="2" t="s">
        <v>37</v>
      </c>
      <c r="Q3614" s="4" t="n">
        <v>8731</v>
      </c>
      <c r="R3614" s="2" t="s">
        <v>27368</v>
      </c>
      <c r="S3614" s="2" t="s">
        <v>27370</v>
      </c>
      <c r="T3614" s="2" t="s">
        <v>40</v>
      </c>
      <c r="U3614" s="2" t="s">
        <v>27371</v>
      </c>
      <c r="V3614" s="2"/>
      <c r="W3614" s="2" t="s">
        <v>42</v>
      </c>
      <c r="X3614" s="2" t="s">
        <v>43</v>
      </c>
      <c r="Y3614" s="2" t="s">
        <v>79</v>
      </c>
      <c r="Z3614" s="2" t="s">
        <v>916</v>
      </c>
      <c r="AA3614" s="2"/>
      <c r="AB3614" s="2"/>
      <c r="AC3614" s="2" t="s">
        <v>27372</v>
      </c>
      <c r="AD3614" s="2" t="s">
        <v>46</v>
      </c>
    </row>
    <row r="3615" customFormat="false" ht="15.7" hidden="false" customHeight="true" outlineLevel="0" collapsed="false">
      <c r="A3615" s="2"/>
      <c r="B3615" s="3" t="n">
        <f aca="false">DATE(2018,5,31)</f>
        <v>0</v>
      </c>
      <c r="C3615" s="3" t="n">
        <v>43251</v>
      </c>
      <c r="D3615" s="2" t="s">
        <v>27373</v>
      </c>
      <c r="F3615" s="2" t="s">
        <v>27374</v>
      </c>
      <c r="G3615" s="2" t="s">
        <v>27375</v>
      </c>
      <c r="H3615" s="2" t="s">
        <v>27376</v>
      </c>
      <c r="I3615" s="2" t="s">
        <v>51</v>
      </c>
      <c r="J3615" s="2" t="s">
        <v>3258</v>
      </c>
      <c r="K3615" s="2" t="s">
        <v>27373</v>
      </c>
      <c r="L3615" s="2" t="s">
        <v>51</v>
      </c>
      <c r="M3615" s="2" t="s">
        <v>27376</v>
      </c>
      <c r="N3615" s="2" t="s">
        <v>27377</v>
      </c>
      <c r="O3615" s="2"/>
      <c r="P3615" s="2" t="s">
        <v>37</v>
      </c>
      <c r="Q3615" s="4" t="n">
        <v>8731</v>
      </c>
      <c r="R3615" s="2" t="s">
        <v>51</v>
      </c>
      <c r="S3615" s="2" t="s">
        <v>1576</v>
      </c>
      <c r="T3615" s="2" t="s">
        <v>403</v>
      </c>
      <c r="U3615" s="2" t="s">
        <v>27378</v>
      </c>
      <c r="V3615" s="2"/>
      <c r="W3615" s="2" t="s">
        <v>42</v>
      </c>
      <c r="X3615" s="2" t="s">
        <v>43</v>
      </c>
      <c r="Y3615" s="2" t="s">
        <v>37</v>
      </c>
      <c r="Z3615" s="2" t="s">
        <v>44</v>
      </c>
      <c r="AA3615" s="2"/>
      <c r="AB3615" s="2"/>
      <c r="AC3615" s="2" t="s">
        <v>27379</v>
      </c>
      <c r="AD3615" s="2" t="s">
        <v>46</v>
      </c>
    </row>
    <row r="3616" customFormat="false" ht="15.7" hidden="false" customHeight="true" outlineLevel="0" collapsed="false">
      <c r="A3616" s="2"/>
      <c r="B3616" s="3" t="n">
        <f aca="false">DATE(2018,5,31)</f>
        <v>0</v>
      </c>
      <c r="C3616" s="3" t="n">
        <v>43251</v>
      </c>
      <c r="D3616" s="2" t="s">
        <v>27380</v>
      </c>
      <c r="F3616" s="2" t="s">
        <v>20280</v>
      </c>
      <c r="G3616" s="2" t="s">
        <v>27381</v>
      </c>
      <c r="H3616" s="2" t="s">
        <v>1101</v>
      </c>
      <c r="I3616" s="2" t="s">
        <v>670</v>
      </c>
      <c r="J3616" s="2" t="s">
        <v>625</v>
      </c>
      <c r="K3616" s="2" t="s">
        <v>27380</v>
      </c>
      <c r="L3616" s="2" t="s">
        <v>670</v>
      </c>
      <c r="M3616" s="2" t="s">
        <v>1101</v>
      </c>
      <c r="N3616" s="2" t="s">
        <v>27382</v>
      </c>
      <c r="O3616" s="2"/>
      <c r="P3616" s="2" t="s">
        <v>37</v>
      </c>
      <c r="Q3616" s="4" t="n">
        <v>8731</v>
      </c>
      <c r="R3616" s="2" t="s">
        <v>1448</v>
      </c>
      <c r="S3616" s="2" t="s">
        <v>39</v>
      </c>
      <c r="T3616" s="2" t="s">
        <v>403</v>
      </c>
      <c r="U3616" s="2" t="s">
        <v>27383</v>
      </c>
      <c r="V3616" s="2"/>
      <c r="W3616" s="2" t="s">
        <v>1050</v>
      </c>
      <c r="X3616" s="2" t="s">
        <v>43</v>
      </c>
      <c r="Y3616" s="2" t="s">
        <v>37</v>
      </c>
      <c r="Z3616" s="2" t="s">
        <v>44</v>
      </c>
      <c r="AA3616" s="2"/>
      <c r="AB3616" s="2"/>
      <c r="AC3616" s="2" t="s">
        <v>27384</v>
      </c>
      <c r="AD3616" s="2" t="s">
        <v>46</v>
      </c>
    </row>
    <row r="3617" customFormat="false" ht="15.7" hidden="false" customHeight="true" outlineLevel="0" collapsed="false">
      <c r="A3617" s="2"/>
      <c r="B3617" s="3" t="n">
        <f aca="false">DATE(2018,6,1)</f>
        <v>0</v>
      </c>
      <c r="C3617" s="3" t="n">
        <v>43252</v>
      </c>
      <c r="D3617" s="2" t="s">
        <v>27385</v>
      </c>
      <c r="F3617" s="2" t="s">
        <v>27386</v>
      </c>
      <c r="G3617" s="2" t="s">
        <v>27387</v>
      </c>
      <c r="H3617" s="2" t="s">
        <v>63</v>
      </c>
      <c r="I3617" s="2" t="s">
        <v>12475</v>
      </c>
      <c r="J3617" s="2" t="s">
        <v>35</v>
      </c>
      <c r="K3617" s="2" t="s">
        <v>27388</v>
      </c>
      <c r="L3617" s="2" t="s">
        <v>10624</v>
      </c>
      <c r="M3617" s="2" t="s">
        <v>1027</v>
      </c>
      <c r="N3617" s="2" t="s">
        <v>27389</v>
      </c>
      <c r="O3617" s="2"/>
      <c r="P3617" s="2" t="s">
        <v>37</v>
      </c>
      <c r="Q3617" s="4" t="n">
        <v>8731</v>
      </c>
      <c r="R3617" s="2" t="s">
        <v>12475</v>
      </c>
      <c r="S3617" s="2" t="s">
        <v>5334</v>
      </c>
      <c r="T3617" s="2" t="s">
        <v>403</v>
      </c>
      <c r="U3617" s="2" t="s">
        <v>27390</v>
      </c>
      <c r="V3617" s="2"/>
      <c r="W3617" s="2" t="s">
        <v>697</v>
      </c>
      <c r="X3617" s="2" t="s">
        <v>43</v>
      </c>
      <c r="Y3617" s="2" t="s">
        <v>79</v>
      </c>
      <c r="Z3617" s="2" t="s">
        <v>44</v>
      </c>
      <c r="AA3617" s="2"/>
      <c r="AB3617" s="2"/>
      <c r="AC3617" s="2" t="s">
        <v>27391</v>
      </c>
      <c r="AD3617" s="2" t="s">
        <v>46</v>
      </c>
    </row>
    <row r="3618" customFormat="false" ht="15.7" hidden="false" customHeight="true" outlineLevel="0" collapsed="false">
      <c r="A3618" s="2"/>
      <c r="B3618" s="3" t="n">
        <f aca="false">DATE(2018,6,1)</f>
        <v>0</v>
      </c>
      <c r="C3618" s="3" t="n">
        <v>43252</v>
      </c>
      <c r="D3618" s="2" t="s">
        <v>27392</v>
      </c>
      <c r="F3618" s="2" t="s">
        <v>27393</v>
      </c>
      <c r="G3618" s="2" t="s">
        <v>27394</v>
      </c>
      <c r="H3618" s="2" t="s">
        <v>27395</v>
      </c>
      <c r="I3618" s="2" t="s">
        <v>2294</v>
      </c>
      <c r="J3618" s="2" t="s">
        <v>35</v>
      </c>
      <c r="K3618" s="2" t="s">
        <v>27392</v>
      </c>
      <c r="L3618" s="2" t="s">
        <v>2294</v>
      </c>
      <c r="M3618" s="2" t="s">
        <v>27395</v>
      </c>
      <c r="N3618" s="2" t="s">
        <v>27396</v>
      </c>
      <c r="O3618" s="2"/>
      <c r="P3618" s="2" t="s">
        <v>37</v>
      </c>
      <c r="Q3618" s="4" t="n">
        <v>8731</v>
      </c>
      <c r="R3618" s="2"/>
      <c r="S3618" s="2"/>
      <c r="T3618" s="2" t="s">
        <v>40</v>
      </c>
      <c r="U3618" s="2" t="s">
        <v>27397</v>
      </c>
      <c r="V3618" s="2"/>
      <c r="W3618" s="2" t="s">
        <v>1693</v>
      </c>
      <c r="X3618" s="2" t="s">
        <v>43</v>
      </c>
      <c r="Y3618" s="2" t="s">
        <v>37</v>
      </c>
      <c r="Z3618" s="2" t="s">
        <v>44</v>
      </c>
      <c r="AA3618" s="2"/>
      <c r="AB3618" s="2"/>
      <c r="AC3618" s="2" t="s">
        <v>27398</v>
      </c>
      <c r="AD3618" s="2" t="s">
        <v>46</v>
      </c>
    </row>
    <row r="3619" customFormat="false" ht="15.7" hidden="false" customHeight="true" outlineLevel="0" collapsed="false">
      <c r="A3619" s="2"/>
      <c r="B3619" s="3" t="n">
        <f aca="false">DATE(2018,6,1)</f>
        <v>0</v>
      </c>
      <c r="C3619" s="3" t="n">
        <v>43252</v>
      </c>
      <c r="D3619" s="2" t="s">
        <v>27399</v>
      </c>
      <c r="F3619" s="2" t="s">
        <v>27400</v>
      </c>
      <c r="G3619" s="2" t="s">
        <v>27401</v>
      </c>
      <c r="H3619" s="2" t="s">
        <v>1101</v>
      </c>
      <c r="I3619" s="2" t="s">
        <v>51</v>
      </c>
      <c r="J3619" s="2" t="s">
        <v>27402</v>
      </c>
      <c r="K3619" s="2" t="s">
        <v>27403</v>
      </c>
      <c r="L3619" s="2" t="s">
        <v>51</v>
      </c>
      <c r="M3619" s="2" t="s">
        <v>1101</v>
      </c>
      <c r="N3619" s="2" t="s">
        <v>27404</v>
      </c>
      <c r="O3619" s="2"/>
      <c r="P3619" s="2" t="s">
        <v>37</v>
      </c>
      <c r="Q3619" s="4" t="n">
        <v>8731</v>
      </c>
      <c r="R3619" s="2" t="s">
        <v>56</v>
      </c>
      <c r="S3619" s="2" t="s">
        <v>977</v>
      </c>
      <c r="T3619" s="2" t="s">
        <v>403</v>
      </c>
      <c r="U3619" s="2" t="s">
        <v>27405</v>
      </c>
      <c r="V3619" s="2"/>
      <c r="W3619" s="2" t="s">
        <v>18966</v>
      </c>
      <c r="X3619" s="2" t="s">
        <v>43</v>
      </c>
      <c r="Y3619" s="2" t="s">
        <v>37</v>
      </c>
      <c r="Z3619" s="2" t="s">
        <v>44</v>
      </c>
      <c r="AA3619" s="2"/>
      <c r="AB3619" s="2"/>
      <c r="AC3619" s="2" t="s">
        <v>27406</v>
      </c>
      <c r="AD3619" s="2" t="s">
        <v>46</v>
      </c>
    </row>
    <row r="3620" customFormat="false" ht="15.7" hidden="false" customHeight="true" outlineLevel="0" collapsed="false">
      <c r="A3620" s="2"/>
      <c r="B3620" s="3" t="n">
        <f aca="false">DATE(2018,6,4)</f>
        <v>0</v>
      </c>
      <c r="C3620" s="3" t="n">
        <v>43255</v>
      </c>
      <c r="D3620" s="2" t="s">
        <v>27407</v>
      </c>
      <c r="F3620" s="2" t="s">
        <v>20650</v>
      </c>
      <c r="G3620" s="2" t="s">
        <v>27408</v>
      </c>
      <c r="H3620" s="2" t="s">
        <v>130</v>
      </c>
      <c r="I3620" s="2" t="s">
        <v>724</v>
      </c>
      <c r="J3620" s="2" t="s">
        <v>155</v>
      </c>
      <c r="K3620" s="2" t="s">
        <v>27407</v>
      </c>
      <c r="L3620" s="2" t="s">
        <v>724</v>
      </c>
      <c r="M3620" s="2" t="s">
        <v>130</v>
      </c>
      <c r="N3620" s="2" t="s">
        <v>27409</v>
      </c>
      <c r="O3620" s="2"/>
      <c r="P3620" s="2" t="s">
        <v>37</v>
      </c>
      <c r="Q3620" s="4" t="n">
        <v>6794</v>
      </c>
      <c r="R3620" s="2" t="s">
        <v>56</v>
      </c>
      <c r="S3620" s="2" t="s">
        <v>251</v>
      </c>
      <c r="T3620" s="2" t="s">
        <v>40</v>
      </c>
      <c r="U3620" s="2" t="s">
        <v>27410</v>
      </c>
      <c r="V3620" s="2"/>
      <c r="W3620" s="2" t="s">
        <v>15545</v>
      </c>
      <c r="X3620" s="2" t="s">
        <v>43</v>
      </c>
      <c r="Y3620" s="2" t="s">
        <v>37</v>
      </c>
      <c r="Z3620" s="2" t="s">
        <v>44</v>
      </c>
      <c r="AA3620" s="2"/>
      <c r="AB3620" s="2"/>
      <c r="AC3620" s="2" t="s">
        <v>27411</v>
      </c>
      <c r="AD3620" s="2" t="s">
        <v>46</v>
      </c>
    </row>
    <row r="3621" customFormat="false" ht="15.7" hidden="false" customHeight="true" outlineLevel="0" collapsed="false">
      <c r="A3621" s="2"/>
      <c r="B3621" s="3" t="n">
        <f aca="false">DATE(2018,6,4)</f>
        <v>0</v>
      </c>
      <c r="C3621" s="3" t="n">
        <v>43255</v>
      </c>
      <c r="D3621" s="2" t="s">
        <v>27412</v>
      </c>
      <c r="F3621" s="2" t="s">
        <v>15541</v>
      </c>
      <c r="G3621" s="2" t="s">
        <v>27413</v>
      </c>
      <c r="H3621" s="2" t="s">
        <v>170</v>
      </c>
      <c r="I3621" s="2" t="s">
        <v>3668</v>
      </c>
      <c r="J3621" s="2" t="s">
        <v>35</v>
      </c>
      <c r="K3621" s="2" t="s">
        <v>27414</v>
      </c>
      <c r="L3621" s="2" t="s">
        <v>3668</v>
      </c>
      <c r="M3621" s="2" t="s">
        <v>170</v>
      </c>
      <c r="N3621" s="2" t="s">
        <v>27415</v>
      </c>
      <c r="O3621" s="2"/>
      <c r="P3621" s="2" t="s">
        <v>37</v>
      </c>
      <c r="Q3621" s="4" t="n">
        <v>8731</v>
      </c>
      <c r="R3621" s="2" t="s">
        <v>3668</v>
      </c>
      <c r="S3621" s="2" t="s">
        <v>5334</v>
      </c>
      <c r="T3621" s="2" t="s">
        <v>403</v>
      </c>
      <c r="U3621" s="2" t="s">
        <v>27416</v>
      </c>
      <c r="V3621" s="2"/>
      <c r="W3621" s="2" t="s">
        <v>18774</v>
      </c>
      <c r="X3621" s="2" t="s">
        <v>43</v>
      </c>
      <c r="Y3621" s="2" t="s">
        <v>79</v>
      </c>
      <c r="Z3621" s="2" t="s">
        <v>44</v>
      </c>
      <c r="AA3621" s="2"/>
      <c r="AB3621" s="2"/>
      <c r="AC3621" s="2" t="s">
        <v>27417</v>
      </c>
      <c r="AD3621" s="2" t="s">
        <v>46</v>
      </c>
    </row>
    <row r="3622" customFormat="false" ht="15.7" hidden="false" customHeight="true" outlineLevel="0" collapsed="false">
      <c r="A3622" s="2"/>
      <c r="B3622" s="3" t="n">
        <f aca="false">DATE(2018,6,4)</f>
        <v>0</v>
      </c>
      <c r="C3622" s="3" t="n">
        <v>43255</v>
      </c>
      <c r="D3622" s="2" t="s">
        <v>27418</v>
      </c>
      <c r="F3622" s="2" t="s">
        <v>27419</v>
      </c>
      <c r="G3622" s="2" t="s">
        <v>27420</v>
      </c>
      <c r="H3622" s="2" t="s">
        <v>19238</v>
      </c>
      <c r="I3622" s="2" t="s">
        <v>27421</v>
      </c>
      <c r="J3622" s="2" t="s">
        <v>35</v>
      </c>
      <c r="K3622" s="2" t="s">
        <v>27418</v>
      </c>
      <c r="L3622" s="2" t="s">
        <v>27421</v>
      </c>
      <c r="M3622" s="2" t="s">
        <v>19238</v>
      </c>
      <c r="N3622" s="2" t="s">
        <v>27422</v>
      </c>
      <c r="O3622" s="2"/>
      <c r="P3622" s="2" t="s">
        <v>37</v>
      </c>
      <c r="Q3622" s="4" t="n">
        <v>8731</v>
      </c>
      <c r="R3622" s="2" t="s">
        <v>24961</v>
      </c>
      <c r="S3622" s="2" t="s">
        <v>39</v>
      </c>
      <c r="T3622" s="2" t="s">
        <v>40</v>
      </c>
      <c r="U3622" s="2" t="s">
        <v>27423</v>
      </c>
      <c r="V3622" s="2"/>
      <c r="W3622" s="2" t="s">
        <v>27424</v>
      </c>
      <c r="X3622" s="2" t="s">
        <v>43</v>
      </c>
      <c r="Y3622" s="2" t="s">
        <v>37</v>
      </c>
      <c r="Z3622" s="2" t="s">
        <v>44</v>
      </c>
      <c r="AA3622" s="2"/>
      <c r="AB3622" s="2"/>
      <c r="AC3622" s="2" t="s">
        <v>27425</v>
      </c>
      <c r="AD3622" s="2" t="s">
        <v>46</v>
      </c>
    </row>
    <row r="3623" customFormat="false" ht="15.7" hidden="false" customHeight="true" outlineLevel="0" collapsed="false">
      <c r="A3623" s="2"/>
      <c r="B3623" s="3" t="n">
        <f aca="false">DATE(2018,6,4)</f>
        <v>0</v>
      </c>
      <c r="C3623" s="3" t="n">
        <v>43255</v>
      </c>
      <c r="D3623" s="2" t="s">
        <v>27426</v>
      </c>
      <c r="F3623" s="2" t="s">
        <v>27427</v>
      </c>
      <c r="G3623" s="2" t="s">
        <v>27428</v>
      </c>
      <c r="H3623" s="2" t="s">
        <v>27429</v>
      </c>
      <c r="I3623" s="2" t="s">
        <v>51</v>
      </c>
      <c r="J3623" s="2" t="s">
        <v>25911</v>
      </c>
      <c r="K3623" s="2" t="s">
        <v>27430</v>
      </c>
      <c r="L3623" s="2" t="s">
        <v>88</v>
      </c>
      <c r="M3623" s="2" t="s">
        <v>27431</v>
      </c>
      <c r="N3623" s="2" t="s">
        <v>27432</v>
      </c>
      <c r="O3623" s="2"/>
      <c r="P3623" s="2" t="s">
        <v>37</v>
      </c>
      <c r="Q3623" s="4" t="n">
        <v>8731</v>
      </c>
      <c r="R3623" s="2" t="s">
        <v>56</v>
      </c>
      <c r="S3623" s="2" t="s">
        <v>3510</v>
      </c>
      <c r="T3623" s="2" t="s">
        <v>40</v>
      </c>
      <c r="U3623" s="2" t="s">
        <v>27433</v>
      </c>
      <c r="V3623" s="2"/>
      <c r="W3623" s="2" t="s">
        <v>24948</v>
      </c>
      <c r="X3623" s="2" t="s">
        <v>43</v>
      </c>
      <c r="Y3623" s="2" t="s">
        <v>37</v>
      </c>
      <c r="Z3623" s="2" t="s">
        <v>44</v>
      </c>
      <c r="AA3623" s="2"/>
      <c r="AB3623" s="2"/>
      <c r="AC3623" s="2" t="s">
        <v>27434</v>
      </c>
      <c r="AD3623" s="2" t="s">
        <v>46</v>
      </c>
    </row>
    <row r="3624" customFormat="false" ht="15.7" hidden="false" customHeight="true" outlineLevel="0" collapsed="false">
      <c r="A3624" s="2"/>
      <c r="B3624" s="3" t="n">
        <f aca="false">DATE(2018,6,5)</f>
        <v>0</v>
      </c>
      <c r="C3624" s="3" t="n">
        <v>43256</v>
      </c>
      <c r="D3624" s="2" t="s">
        <v>27435</v>
      </c>
      <c r="F3624" s="2" t="s">
        <v>27436</v>
      </c>
      <c r="G3624" s="2" t="s">
        <v>27437</v>
      </c>
      <c r="H3624" s="2" t="s">
        <v>27438</v>
      </c>
      <c r="I3624" s="2" t="s">
        <v>27439</v>
      </c>
      <c r="J3624" s="2" t="s">
        <v>35</v>
      </c>
      <c r="K3624" s="2" t="s">
        <v>27435</v>
      </c>
      <c r="L3624" s="2" t="s">
        <v>27439</v>
      </c>
      <c r="M3624" s="2" t="s">
        <v>27438</v>
      </c>
      <c r="N3624" s="2" t="s">
        <v>27440</v>
      </c>
      <c r="O3624" s="2"/>
      <c r="P3624" s="2" t="s">
        <v>37</v>
      </c>
      <c r="Q3624" s="4" t="n">
        <v>6799</v>
      </c>
      <c r="R3624" s="2" t="s">
        <v>8685</v>
      </c>
      <c r="S3624" s="2" t="s">
        <v>39</v>
      </c>
      <c r="T3624" s="2" t="s">
        <v>403</v>
      </c>
      <c r="U3624" s="2" t="s">
        <v>27441</v>
      </c>
      <c r="V3624" s="2"/>
      <c r="W3624" s="2" t="s">
        <v>9493</v>
      </c>
      <c r="X3624" s="2" t="s">
        <v>46</v>
      </c>
      <c r="Y3624" s="2" t="s">
        <v>37</v>
      </c>
      <c r="Z3624" s="2" t="s">
        <v>44</v>
      </c>
      <c r="AA3624" s="2"/>
      <c r="AB3624" s="2"/>
      <c r="AC3624" s="2" t="s">
        <v>27442</v>
      </c>
      <c r="AD3624" s="2" t="s">
        <v>46</v>
      </c>
    </row>
    <row r="3625" customFormat="false" ht="15.7" hidden="false" customHeight="true" outlineLevel="0" collapsed="false">
      <c r="A3625" s="2"/>
      <c r="B3625" s="3" t="n">
        <f aca="false">DATE(2018,6,5)</f>
        <v>0</v>
      </c>
      <c r="C3625" s="3" t="n">
        <v>43256</v>
      </c>
      <c r="D3625" s="2" t="s">
        <v>27443</v>
      </c>
      <c r="F3625" s="2" t="s">
        <v>16012</v>
      </c>
      <c r="G3625" s="2" t="s">
        <v>27444</v>
      </c>
      <c r="H3625" s="2" t="s">
        <v>551</v>
      </c>
      <c r="I3625" s="2" t="s">
        <v>7116</v>
      </c>
      <c r="J3625" s="2" t="s">
        <v>575</v>
      </c>
      <c r="K3625" s="2" t="s">
        <v>27443</v>
      </c>
      <c r="L3625" s="2" t="s">
        <v>7116</v>
      </c>
      <c r="M3625" s="2" t="s">
        <v>551</v>
      </c>
      <c r="N3625" s="2" t="s">
        <v>27445</v>
      </c>
      <c r="O3625" s="2"/>
      <c r="P3625" s="2" t="s">
        <v>37</v>
      </c>
      <c r="Q3625" s="4" t="n">
        <v>8731</v>
      </c>
      <c r="R3625" s="2" t="s">
        <v>56</v>
      </c>
      <c r="S3625" s="2"/>
      <c r="T3625" s="2" t="s">
        <v>40</v>
      </c>
      <c r="U3625" s="2" t="s">
        <v>27446</v>
      </c>
      <c r="V3625" s="2"/>
      <c r="W3625" s="2" t="s">
        <v>42</v>
      </c>
      <c r="X3625" s="2" t="s">
        <v>43</v>
      </c>
      <c r="Y3625" s="2" t="s">
        <v>37</v>
      </c>
      <c r="Z3625" s="2" t="s">
        <v>44</v>
      </c>
      <c r="AA3625" s="2"/>
      <c r="AB3625" s="2"/>
      <c r="AC3625" s="2" t="s">
        <v>27447</v>
      </c>
      <c r="AD3625" s="2" t="s">
        <v>46</v>
      </c>
    </row>
    <row r="3626" customFormat="false" ht="15.7" hidden="false" customHeight="true" outlineLevel="0" collapsed="false">
      <c r="A3626" s="2"/>
      <c r="B3626" s="3" t="n">
        <f aca="false">DATE(2018,6,5)</f>
        <v>0</v>
      </c>
      <c r="C3626" s="3" t="n">
        <v>43256</v>
      </c>
      <c r="D3626" s="2" t="s">
        <v>27448</v>
      </c>
      <c r="F3626" s="2" t="s">
        <v>27449</v>
      </c>
      <c r="G3626" s="2" t="s">
        <v>27450</v>
      </c>
      <c r="H3626" s="2" t="s">
        <v>21794</v>
      </c>
      <c r="I3626" s="2" t="s">
        <v>7114</v>
      </c>
      <c r="J3626" s="2" t="s">
        <v>35</v>
      </c>
      <c r="K3626" s="2" t="s">
        <v>27448</v>
      </c>
      <c r="L3626" s="2" t="s">
        <v>7114</v>
      </c>
      <c r="M3626" s="2" t="s">
        <v>21794</v>
      </c>
      <c r="N3626" s="2" t="s">
        <v>27451</v>
      </c>
      <c r="O3626" s="2"/>
      <c r="P3626" s="2" t="s">
        <v>37</v>
      </c>
      <c r="Q3626" s="4" t="n">
        <v>8099</v>
      </c>
      <c r="R3626" s="2" t="s">
        <v>530</v>
      </c>
      <c r="S3626" s="2" t="s">
        <v>5334</v>
      </c>
      <c r="T3626" s="2" t="s">
        <v>403</v>
      </c>
      <c r="U3626" s="2" t="s">
        <v>27452</v>
      </c>
      <c r="V3626" s="2"/>
      <c r="W3626" s="2" t="s">
        <v>4487</v>
      </c>
      <c r="X3626" s="2" t="s">
        <v>43</v>
      </c>
      <c r="Y3626" s="2" t="s">
        <v>79</v>
      </c>
      <c r="Z3626" s="2" t="s">
        <v>44</v>
      </c>
      <c r="AA3626" s="2"/>
      <c r="AB3626" s="2"/>
      <c r="AC3626" s="2" t="s">
        <v>27453</v>
      </c>
      <c r="AD3626" s="2" t="s">
        <v>46</v>
      </c>
    </row>
    <row r="3627" customFormat="false" ht="15.7" hidden="false" customHeight="true" outlineLevel="0" collapsed="false">
      <c r="A3627" s="2"/>
      <c r="B3627" s="3" t="n">
        <f aca="false">DATE(2018,6,5)</f>
        <v>0</v>
      </c>
      <c r="C3627" s="3" t="n">
        <v>43256</v>
      </c>
      <c r="D3627" s="2" t="s">
        <v>27454</v>
      </c>
      <c r="F3627" s="2" t="s">
        <v>14130</v>
      </c>
      <c r="G3627" s="2" t="s">
        <v>27455</v>
      </c>
      <c r="H3627" s="2" t="s">
        <v>170</v>
      </c>
      <c r="I3627" s="2" t="s">
        <v>1508</v>
      </c>
      <c r="J3627" s="2" t="s">
        <v>132</v>
      </c>
      <c r="K3627" s="2" t="s">
        <v>27454</v>
      </c>
      <c r="L3627" s="2" t="s">
        <v>1508</v>
      </c>
      <c r="M3627" s="2" t="s">
        <v>170</v>
      </c>
      <c r="N3627" s="2" t="s">
        <v>27456</v>
      </c>
      <c r="O3627" s="2"/>
      <c r="P3627" s="2" t="s">
        <v>79</v>
      </c>
      <c r="Q3627" s="4" t="n">
        <v>8731</v>
      </c>
      <c r="R3627" s="2" t="s">
        <v>662</v>
      </c>
      <c r="S3627" s="2" t="s">
        <v>3000</v>
      </c>
      <c r="T3627" s="2" t="s">
        <v>40</v>
      </c>
      <c r="U3627" s="2" t="s">
        <v>27457</v>
      </c>
      <c r="V3627" s="2"/>
      <c r="W3627" s="2" t="s">
        <v>15545</v>
      </c>
      <c r="X3627" s="2" t="s">
        <v>43</v>
      </c>
      <c r="Y3627" s="2" t="s">
        <v>79</v>
      </c>
      <c r="Z3627" s="2" t="s">
        <v>44</v>
      </c>
      <c r="AA3627" s="2"/>
      <c r="AB3627" s="2"/>
      <c r="AC3627" s="2" t="s">
        <v>27458</v>
      </c>
      <c r="AD3627" s="2" t="s">
        <v>46</v>
      </c>
    </row>
    <row r="3628" customFormat="false" ht="15.7" hidden="false" customHeight="true" outlineLevel="0" collapsed="false">
      <c r="A3628" s="2"/>
      <c r="B3628" s="3" t="n">
        <f aca="false">DATE(2018,6,6)</f>
        <v>0</v>
      </c>
      <c r="C3628" s="3" t="n">
        <v>43257</v>
      </c>
      <c r="D3628" s="2" t="s">
        <v>27459</v>
      </c>
      <c r="F3628" s="2" t="s">
        <v>27460</v>
      </c>
      <c r="G3628" s="2" t="s">
        <v>27461</v>
      </c>
      <c r="H3628" s="2" t="s">
        <v>27462</v>
      </c>
      <c r="I3628" s="2" t="s">
        <v>27463</v>
      </c>
      <c r="J3628" s="2" t="s">
        <v>35</v>
      </c>
      <c r="K3628" s="2" t="s">
        <v>27459</v>
      </c>
      <c r="L3628" s="2" t="s">
        <v>27463</v>
      </c>
      <c r="M3628" s="2" t="s">
        <v>27462</v>
      </c>
      <c r="N3628" s="2" t="s">
        <v>27464</v>
      </c>
      <c r="O3628" s="2"/>
      <c r="P3628" s="2" t="s">
        <v>37</v>
      </c>
      <c r="Q3628" s="4" t="n">
        <v>8731</v>
      </c>
      <c r="R3628" s="2" t="s">
        <v>10825</v>
      </c>
      <c r="S3628" s="2" t="s">
        <v>39</v>
      </c>
      <c r="T3628" s="2" t="s">
        <v>40</v>
      </c>
      <c r="U3628" s="2" t="s">
        <v>27465</v>
      </c>
      <c r="V3628" s="2"/>
      <c r="W3628" s="2" t="s">
        <v>7275</v>
      </c>
      <c r="X3628" s="2" t="s">
        <v>43</v>
      </c>
      <c r="Y3628" s="2" t="s">
        <v>37</v>
      </c>
      <c r="Z3628" s="2" t="s">
        <v>44</v>
      </c>
      <c r="AA3628" s="2"/>
      <c r="AB3628" s="2"/>
      <c r="AC3628" s="2" t="s">
        <v>27466</v>
      </c>
      <c r="AD3628" s="2" t="s">
        <v>46</v>
      </c>
    </row>
    <row r="3629" customFormat="false" ht="15.7" hidden="false" customHeight="true" outlineLevel="0" collapsed="false">
      <c r="A3629" s="2"/>
      <c r="B3629" s="3" t="n">
        <f aca="false">DATE(2018,6,6)</f>
        <v>0</v>
      </c>
      <c r="C3629" s="3" t="n">
        <v>43257</v>
      </c>
      <c r="D3629" s="2" t="s">
        <v>27467</v>
      </c>
      <c r="F3629" s="2" t="s">
        <v>27468</v>
      </c>
      <c r="G3629" s="2" t="s">
        <v>27469</v>
      </c>
      <c r="H3629" s="2" t="s">
        <v>27470</v>
      </c>
      <c r="I3629" s="2" t="s">
        <v>1953</v>
      </c>
      <c r="J3629" s="2" t="s">
        <v>35</v>
      </c>
      <c r="K3629" s="2" t="s">
        <v>27467</v>
      </c>
      <c r="L3629" s="2" t="s">
        <v>1953</v>
      </c>
      <c r="M3629" s="2" t="s">
        <v>27470</v>
      </c>
      <c r="N3629" s="2" t="s">
        <v>27471</v>
      </c>
      <c r="O3629" s="2"/>
      <c r="P3629" s="2" t="s">
        <v>37</v>
      </c>
      <c r="Q3629" s="4" t="n">
        <v>8731</v>
      </c>
      <c r="R3629" s="2"/>
      <c r="S3629" s="2"/>
      <c r="T3629" s="2" t="s">
        <v>40</v>
      </c>
      <c r="U3629" s="2" t="s">
        <v>27472</v>
      </c>
      <c r="V3629" s="2"/>
      <c r="W3629" s="2" t="s">
        <v>11084</v>
      </c>
      <c r="X3629" s="2" t="s">
        <v>46</v>
      </c>
      <c r="Y3629" s="2" t="s">
        <v>37</v>
      </c>
      <c r="Z3629" s="2" t="s">
        <v>44</v>
      </c>
      <c r="AA3629" s="2"/>
      <c r="AB3629" s="2"/>
      <c r="AC3629" s="2" t="s">
        <v>27473</v>
      </c>
      <c r="AD3629" s="2" t="s">
        <v>46</v>
      </c>
    </row>
    <row r="3630" customFormat="false" ht="15.7" hidden="false" customHeight="true" outlineLevel="0" collapsed="false">
      <c r="A3630" s="2"/>
      <c r="B3630" s="3" t="n">
        <f aca="false">DATE(2018,6,6)</f>
        <v>0</v>
      </c>
      <c r="C3630" s="3" t="n">
        <v>43257</v>
      </c>
      <c r="D3630" s="2" t="s">
        <v>27474</v>
      </c>
      <c r="F3630" s="2" t="s">
        <v>27475</v>
      </c>
      <c r="G3630" s="2" t="s">
        <v>27476</v>
      </c>
      <c r="H3630" s="2" t="s">
        <v>15530</v>
      </c>
      <c r="I3630" s="2" t="s">
        <v>202</v>
      </c>
      <c r="J3630" s="2" t="s">
        <v>65</v>
      </c>
      <c r="K3630" s="2" t="s">
        <v>27477</v>
      </c>
      <c r="L3630" s="2" t="s">
        <v>202</v>
      </c>
      <c r="M3630" s="2" t="s">
        <v>27478</v>
      </c>
      <c r="N3630" s="2" t="s">
        <v>27479</v>
      </c>
      <c r="O3630" s="2"/>
      <c r="P3630" s="2" t="s">
        <v>37</v>
      </c>
      <c r="Q3630" s="4" t="n">
        <v>8731</v>
      </c>
      <c r="R3630" s="2" t="s">
        <v>202</v>
      </c>
      <c r="S3630" s="2" t="s">
        <v>3000</v>
      </c>
      <c r="T3630" s="2" t="s">
        <v>40</v>
      </c>
      <c r="U3630" s="2" t="s">
        <v>27480</v>
      </c>
      <c r="V3630" s="2"/>
      <c r="W3630" s="2" t="s">
        <v>2056</v>
      </c>
      <c r="X3630" s="2" t="s">
        <v>43</v>
      </c>
      <c r="Y3630" s="2" t="s">
        <v>79</v>
      </c>
      <c r="Z3630" s="2" t="s">
        <v>44</v>
      </c>
      <c r="AA3630" s="2"/>
      <c r="AB3630" s="2"/>
      <c r="AC3630" s="2" t="s">
        <v>27481</v>
      </c>
      <c r="AD3630" s="2" t="s">
        <v>46</v>
      </c>
    </row>
    <row r="3631" customFormat="false" ht="15.7" hidden="false" customHeight="true" outlineLevel="0" collapsed="false">
      <c r="A3631" s="2"/>
      <c r="B3631" s="3" t="n">
        <f aca="false">DATE(2018,6,6)</f>
        <v>0</v>
      </c>
      <c r="C3631" s="3" t="n">
        <v>43257</v>
      </c>
      <c r="D3631" s="2" t="s">
        <v>27482</v>
      </c>
      <c r="F3631" s="2" t="s">
        <v>27483</v>
      </c>
      <c r="G3631" s="2" t="s">
        <v>27484</v>
      </c>
      <c r="H3631" s="2" t="s">
        <v>27485</v>
      </c>
      <c r="I3631" s="2" t="s">
        <v>27486</v>
      </c>
      <c r="J3631" s="2" t="s">
        <v>35</v>
      </c>
      <c r="K3631" s="2" t="s">
        <v>27482</v>
      </c>
      <c r="L3631" s="2" t="s">
        <v>27486</v>
      </c>
      <c r="M3631" s="2" t="s">
        <v>27485</v>
      </c>
      <c r="N3631" s="2" t="s">
        <v>27487</v>
      </c>
      <c r="O3631" s="2"/>
      <c r="P3631" s="2" t="s">
        <v>37</v>
      </c>
      <c r="Q3631" s="4" t="n">
        <v>8731</v>
      </c>
      <c r="R3631" s="2" t="s">
        <v>1441</v>
      </c>
      <c r="S3631" s="2" t="s">
        <v>39</v>
      </c>
      <c r="T3631" s="2" t="s">
        <v>40</v>
      </c>
      <c r="U3631" s="2" t="s">
        <v>27488</v>
      </c>
      <c r="V3631" s="2"/>
      <c r="W3631" s="2" t="s">
        <v>382</v>
      </c>
      <c r="X3631" s="2" t="s">
        <v>43</v>
      </c>
      <c r="Y3631" s="2" t="s">
        <v>37</v>
      </c>
      <c r="Z3631" s="2" t="s">
        <v>44</v>
      </c>
      <c r="AA3631" s="2"/>
      <c r="AB3631" s="2"/>
      <c r="AC3631" s="2" t="s">
        <v>27489</v>
      </c>
      <c r="AD3631" s="2" t="s">
        <v>46</v>
      </c>
    </row>
    <row r="3632" customFormat="false" ht="15.7" hidden="false" customHeight="true" outlineLevel="0" collapsed="false">
      <c r="A3632" s="2"/>
      <c r="B3632" s="3" t="n">
        <f aca="false">DATE(2018,6,7)</f>
        <v>0</v>
      </c>
      <c r="C3632" s="3" t="n">
        <v>43258</v>
      </c>
      <c r="D3632" s="2" t="s">
        <v>27490</v>
      </c>
      <c r="F3632" s="2" t="s">
        <v>27491</v>
      </c>
      <c r="G3632" s="2" t="s">
        <v>27492</v>
      </c>
      <c r="H3632" s="2" t="s">
        <v>27493</v>
      </c>
      <c r="I3632" s="2" t="s">
        <v>1080</v>
      </c>
      <c r="J3632" s="2" t="s">
        <v>35</v>
      </c>
      <c r="K3632" s="2" t="s">
        <v>27490</v>
      </c>
      <c r="L3632" s="2" t="s">
        <v>1080</v>
      </c>
      <c r="M3632" s="2" t="s">
        <v>27493</v>
      </c>
      <c r="N3632" s="2" t="s">
        <v>27494</v>
      </c>
      <c r="O3632" s="2"/>
      <c r="P3632" s="2" t="s">
        <v>37</v>
      </c>
      <c r="Q3632" s="4" t="n">
        <v>8099</v>
      </c>
      <c r="R3632" s="2" t="s">
        <v>2201</v>
      </c>
      <c r="S3632" s="2" t="s">
        <v>39</v>
      </c>
      <c r="T3632" s="2" t="s">
        <v>403</v>
      </c>
      <c r="U3632" s="2" t="s">
        <v>27495</v>
      </c>
      <c r="V3632" s="2"/>
      <c r="W3632" s="2" t="s">
        <v>4487</v>
      </c>
      <c r="X3632" s="2" t="s">
        <v>43</v>
      </c>
      <c r="Y3632" s="2" t="s">
        <v>37</v>
      </c>
      <c r="Z3632" s="2" t="s">
        <v>44</v>
      </c>
      <c r="AA3632" s="2"/>
      <c r="AB3632" s="2"/>
      <c r="AC3632" s="2" t="s">
        <v>27496</v>
      </c>
      <c r="AD3632" s="2" t="s">
        <v>46</v>
      </c>
    </row>
    <row r="3633" customFormat="false" ht="15.7" hidden="false" customHeight="true" outlineLevel="0" collapsed="false">
      <c r="A3633" s="2"/>
      <c r="B3633" s="3" t="n">
        <f aca="false">DATE(2018,6,7)</f>
        <v>0</v>
      </c>
      <c r="C3633" s="3" t="n">
        <v>43258</v>
      </c>
      <c r="D3633" s="2" t="s">
        <v>27497</v>
      </c>
      <c r="F3633" s="2" t="s">
        <v>27498</v>
      </c>
      <c r="G3633" s="2" t="s">
        <v>27499</v>
      </c>
      <c r="H3633" s="2" t="s">
        <v>27500</v>
      </c>
      <c r="I3633" s="2" t="s">
        <v>540</v>
      </c>
      <c r="J3633" s="2" t="s">
        <v>35</v>
      </c>
      <c r="K3633" s="2" t="s">
        <v>27497</v>
      </c>
      <c r="L3633" s="2" t="s">
        <v>540</v>
      </c>
      <c r="M3633" s="2" t="s">
        <v>27500</v>
      </c>
      <c r="N3633" s="2" t="s">
        <v>27501</v>
      </c>
      <c r="O3633" s="2"/>
      <c r="P3633" s="2" t="s">
        <v>37</v>
      </c>
      <c r="Q3633" s="4" t="n">
        <v>8731</v>
      </c>
      <c r="R3633" s="2" t="s">
        <v>1448</v>
      </c>
      <c r="S3633" s="2" t="s">
        <v>39</v>
      </c>
      <c r="T3633" s="2" t="s">
        <v>40</v>
      </c>
      <c r="U3633" s="2" t="s">
        <v>27502</v>
      </c>
      <c r="V3633" s="2"/>
      <c r="W3633" s="2" t="s">
        <v>344</v>
      </c>
      <c r="X3633" s="2" t="s">
        <v>43</v>
      </c>
      <c r="Y3633" s="2" t="s">
        <v>37</v>
      </c>
      <c r="Z3633" s="2" t="s">
        <v>44</v>
      </c>
      <c r="AA3633" s="2"/>
      <c r="AB3633" s="2"/>
      <c r="AC3633" s="2" t="s">
        <v>27503</v>
      </c>
      <c r="AD3633" s="2" t="s">
        <v>46</v>
      </c>
    </row>
    <row r="3634" customFormat="false" ht="15.7" hidden="false" customHeight="true" outlineLevel="0" collapsed="false">
      <c r="A3634" s="2"/>
      <c r="B3634" s="3" t="n">
        <f aca="false">DATE(2018,6,7)</f>
        <v>0</v>
      </c>
      <c r="C3634" s="3" t="n">
        <v>43258</v>
      </c>
      <c r="D3634" s="2" t="s">
        <v>27504</v>
      </c>
      <c r="F3634" s="2" t="s">
        <v>20650</v>
      </c>
      <c r="G3634" s="2" t="s">
        <v>27505</v>
      </c>
      <c r="H3634" s="2" t="s">
        <v>130</v>
      </c>
      <c r="I3634" s="2" t="s">
        <v>3265</v>
      </c>
      <c r="J3634" s="2" t="s">
        <v>331</v>
      </c>
      <c r="K3634" s="2" t="s">
        <v>27504</v>
      </c>
      <c r="L3634" s="2" t="s">
        <v>3265</v>
      </c>
      <c r="M3634" s="2" t="s">
        <v>130</v>
      </c>
      <c r="N3634" s="2" t="s">
        <v>27506</v>
      </c>
      <c r="O3634" s="2"/>
      <c r="P3634" s="2" t="s">
        <v>37</v>
      </c>
      <c r="Q3634" s="4" t="n">
        <v>6794</v>
      </c>
      <c r="R3634" s="2" t="s">
        <v>402</v>
      </c>
      <c r="S3634" s="2" t="s">
        <v>39</v>
      </c>
      <c r="T3634" s="2" t="s">
        <v>40</v>
      </c>
      <c r="U3634" s="2" t="s">
        <v>27507</v>
      </c>
      <c r="V3634" s="2"/>
      <c r="W3634" s="2" t="s">
        <v>15545</v>
      </c>
      <c r="X3634" s="2" t="s">
        <v>43</v>
      </c>
      <c r="Y3634" s="2" t="s">
        <v>37</v>
      </c>
      <c r="Z3634" s="2" t="s">
        <v>44</v>
      </c>
      <c r="AA3634" s="2"/>
      <c r="AB3634" s="2"/>
      <c r="AC3634" s="2" t="s">
        <v>27508</v>
      </c>
      <c r="AD3634" s="2" t="s">
        <v>46</v>
      </c>
    </row>
    <row r="3635" customFormat="false" ht="15.7" hidden="false" customHeight="true" outlineLevel="0" collapsed="false">
      <c r="A3635" s="2"/>
      <c r="B3635" s="3" t="n">
        <f aca="false">DATE(2018,6,7)</f>
        <v>0</v>
      </c>
      <c r="C3635" s="3" t="n">
        <v>43258</v>
      </c>
      <c r="D3635" s="2" t="s">
        <v>27509</v>
      </c>
      <c r="F3635" s="2" t="s">
        <v>27510</v>
      </c>
      <c r="G3635" s="2" t="s">
        <v>27511</v>
      </c>
      <c r="H3635" s="2" t="s">
        <v>27512</v>
      </c>
      <c r="I3635" s="2" t="s">
        <v>51</v>
      </c>
      <c r="J3635" s="2" t="s">
        <v>27513</v>
      </c>
      <c r="K3635" s="2" t="s">
        <v>27514</v>
      </c>
      <c r="L3635" s="2" t="s">
        <v>51</v>
      </c>
      <c r="M3635" s="2" t="s">
        <v>27512</v>
      </c>
      <c r="N3635" s="2" t="s">
        <v>27515</v>
      </c>
      <c r="O3635" s="2"/>
      <c r="P3635" s="2" t="s">
        <v>37</v>
      </c>
      <c r="Q3635" s="4" t="n">
        <v>8731</v>
      </c>
      <c r="R3635" s="2" t="s">
        <v>56</v>
      </c>
      <c r="S3635" s="2" t="s">
        <v>360</v>
      </c>
      <c r="T3635" s="2" t="s">
        <v>403</v>
      </c>
      <c r="U3635" s="2" t="s">
        <v>27516</v>
      </c>
      <c r="V3635" s="2"/>
      <c r="W3635" s="2" t="s">
        <v>6901</v>
      </c>
      <c r="X3635" s="2" t="s">
        <v>43</v>
      </c>
      <c r="Y3635" s="2" t="s">
        <v>37</v>
      </c>
      <c r="Z3635" s="2" t="s">
        <v>44</v>
      </c>
      <c r="AA3635" s="2"/>
      <c r="AB3635" s="2"/>
      <c r="AC3635" s="2" t="s">
        <v>27517</v>
      </c>
      <c r="AD3635" s="2" t="s">
        <v>46</v>
      </c>
    </row>
    <row r="3636" customFormat="false" ht="15.7" hidden="false" customHeight="true" outlineLevel="0" collapsed="false">
      <c r="A3636" s="2"/>
      <c r="B3636" s="3" t="n">
        <f aca="false">DATE(2018,6,8)</f>
        <v>0</v>
      </c>
      <c r="C3636" s="3" t="n">
        <v>43259</v>
      </c>
      <c r="D3636" s="2" t="s">
        <v>27518</v>
      </c>
      <c r="F3636" s="2" t="s">
        <v>27519</v>
      </c>
      <c r="G3636" s="2" t="s">
        <v>27520</v>
      </c>
      <c r="H3636" s="2" t="s">
        <v>27521</v>
      </c>
      <c r="I3636" s="2" t="s">
        <v>27522</v>
      </c>
      <c r="J3636" s="2" t="s">
        <v>35</v>
      </c>
      <c r="K3636" s="2" t="s">
        <v>27523</v>
      </c>
      <c r="L3636" s="2" t="s">
        <v>27522</v>
      </c>
      <c r="M3636" s="2" t="s">
        <v>27524</v>
      </c>
      <c r="N3636" s="2" t="s">
        <v>27525</v>
      </c>
      <c r="O3636" s="2"/>
      <c r="P3636" s="2" t="s">
        <v>37</v>
      </c>
      <c r="Q3636" s="4" t="n">
        <v>8731</v>
      </c>
      <c r="R3636" s="2" t="s">
        <v>2165</v>
      </c>
      <c r="S3636" s="2" t="s">
        <v>39</v>
      </c>
      <c r="T3636" s="2" t="s">
        <v>40</v>
      </c>
      <c r="U3636" s="2" t="s">
        <v>27526</v>
      </c>
      <c r="V3636" s="2"/>
      <c r="W3636" s="2" t="s">
        <v>7275</v>
      </c>
      <c r="X3636" s="2" t="s">
        <v>43</v>
      </c>
      <c r="Y3636" s="2" t="s">
        <v>37</v>
      </c>
      <c r="Z3636" s="2" t="s">
        <v>44</v>
      </c>
      <c r="AA3636" s="2"/>
      <c r="AB3636" s="2"/>
      <c r="AC3636" s="2" t="s">
        <v>27527</v>
      </c>
      <c r="AD3636" s="2" t="s">
        <v>46</v>
      </c>
    </row>
    <row r="3637" customFormat="false" ht="15.7" hidden="false" customHeight="true" outlineLevel="0" collapsed="false">
      <c r="A3637" s="2"/>
      <c r="B3637" s="3" t="n">
        <f aca="false">DATE(2018,6,11)</f>
        <v>0</v>
      </c>
      <c r="C3637" s="3" t="n">
        <v>43262</v>
      </c>
      <c r="D3637" s="2" t="s">
        <v>27528</v>
      </c>
      <c r="F3637" s="2" t="s">
        <v>27529</v>
      </c>
      <c r="G3637" s="2" t="s">
        <v>27530</v>
      </c>
      <c r="H3637" s="2" t="s">
        <v>11338</v>
      </c>
      <c r="I3637" s="2" t="s">
        <v>4325</v>
      </c>
      <c r="J3637" s="2" t="s">
        <v>35</v>
      </c>
      <c r="K3637" s="2" t="s">
        <v>27528</v>
      </c>
      <c r="L3637" s="2" t="s">
        <v>4325</v>
      </c>
      <c r="M3637" s="2" t="s">
        <v>11338</v>
      </c>
      <c r="N3637" s="2" t="s">
        <v>27531</v>
      </c>
      <c r="O3637" s="2" t="s">
        <v>27532</v>
      </c>
      <c r="P3637" s="2" t="s">
        <v>37</v>
      </c>
      <c r="Q3637" s="4" t="n">
        <v>8731</v>
      </c>
      <c r="R3637" s="2" t="s">
        <v>402</v>
      </c>
      <c r="S3637" s="2" t="s">
        <v>39</v>
      </c>
      <c r="T3637" s="2" t="s">
        <v>403</v>
      </c>
      <c r="U3637" s="2" t="s">
        <v>27533</v>
      </c>
      <c r="V3637" s="2"/>
      <c r="W3637" s="2" t="s">
        <v>344</v>
      </c>
      <c r="X3637" s="2" t="s">
        <v>46</v>
      </c>
      <c r="Y3637" s="2" t="s">
        <v>37</v>
      </c>
      <c r="Z3637" s="2" t="s">
        <v>44</v>
      </c>
      <c r="AA3637" s="2"/>
      <c r="AB3637" s="2" t="s">
        <v>27534</v>
      </c>
      <c r="AC3637" s="2" t="s">
        <v>27535</v>
      </c>
      <c r="AD3637" s="2" t="s">
        <v>46</v>
      </c>
    </row>
    <row r="3638" customFormat="false" ht="15.7" hidden="false" customHeight="true" outlineLevel="0" collapsed="false">
      <c r="A3638" s="2"/>
      <c r="B3638" s="3" t="n">
        <f aca="false">DATE(2018,6,13)</f>
        <v>0</v>
      </c>
      <c r="C3638" s="3" t="n">
        <v>43264</v>
      </c>
      <c r="D3638" s="2" t="s">
        <v>27536</v>
      </c>
      <c r="F3638" s="2" t="s">
        <v>11708</v>
      </c>
      <c r="G3638" s="2" t="s">
        <v>27537</v>
      </c>
      <c r="H3638" s="2" t="s">
        <v>130</v>
      </c>
      <c r="I3638" s="2" t="s">
        <v>51</v>
      </c>
      <c r="J3638" s="2" t="s">
        <v>7462</v>
      </c>
      <c r="K3638" s="2" t="s">
        <v>27538</v>
      </c>
      <c r="L3638" s="2" t="s">
        <v>51</v>
      </c>
      <c r="M3638" s="2" t="s">
        <v>551</v>
      </c>
      <c r="N3638" s="2" t="s">
        <v>27539</v>
      </c>
      <c r="O3638" s="2"/>
      <c r="P3638" s="2" t="s">
        <v>37</v>
      </c>
      <c r="Q3638" s="4" t="n">
        <v>8099</v>
      </c>
      <c r="R3638" s="2" t="s">
        <v>56</v>
      </c>
      <c r="S3638" s="2" t="s">
        <v>57</v>
      </c>
      <c r="T3638" s="2" t="s">
        <v>673</v>
      </c>
      <c r="U3638" s="2" t="s">
        <v>27540</v>
      </c>
      <c r="V3638" s="2"/>
      <c r="W3638" s="2" t="s">
        <v>4487</v>
      </c>
      <c r="X3638" s="2" t="s">
        <v>43</v>
      </c>
      <c r="Y3638" s="2" t="s">
        <v>37</v>
      </c>
      <c r="Z3638" s="2" t="s">
        <v>44</v>
      </c>
      <c r="AA3638" s="2"/>
      <c r="AB3638" s="2"/>
      <c r="AC3638" s="2" t="s">
        <v>27541</v>
      </c>
      <c r="AD3638" s="2" t="s">
        <v>46</v>
      </c>
    </row>
    <row r="3639" customFormat="false" ht="15.7" hidden="false" customHeight="true" outlineLevel="0" collapsed="false">
      <c r="A3639" s="3" t="n">
        <f aca="false">DATE(2018,6,12)</f>
        <v>0</v>
      </c>
      <c r="B3639" s="3" t="n">
        <f aca="false">DATE(2018,6,13)</f>
        <v>0</v>
      </c>
      <c r="C3639" s="3" t="n">
        <v>43264</v>
      </c>
      <c r="D3639" s="2" t="s">
        <v>27542</v>
      </c>
      <c r="F3639" s="2" t="s">
        <v>27543</v>
      </c>
      <c r="G3639" s="2" t="s">
        <v>27544</v>
      </c>
      <c r="H3639" s="2" t="s">
        <v>523</v>
      </c>
      <c r="I3639" s="2" t="s">
        <v>540</v>
      </c>
      <c r="J3639" s="2" t="s">
        <v>35</v>
      </c>
      <c r="K3639" s="2" t="s">
        <v>27542</v>
      </c>
      <c r="L3639" s="2" t="s">
        <v>540</v>
      </c>
      <c r="M3639" s="2" t="s">
        <v>523</v>
      </c>
      <c r="N3639" s="2" t="s">
        <v>27545</v>
      </c>
      <c r="O3639" s="2"/>
      <c r="P3639" s="2" t="s">
        <v>37</v>
      </c>
      <c r="Q3639" s="4" t="n">
        <v>8731</v>
      </c>
      <c r="R3639" s="2" t="s">
        <v>1448</v>
      </c>
      <c r="S3639" s="2" t="s">
        <v>39</v>
      </c>
      <c r="T3639" s="2" t="s">
        <v>14101</v>
      </c>
      <c r="U3639" s="2" t="s">
        <v>27546</v>
      </c>
      <c r="V3639" s="2"/>
      <c r="W3639" s="2" t="s">
        <v>42</v>
      </c>
      <c r="X3639" s="2" t="s">
        <v>43</v>
      </c>
      <c r="Y3639" s="2" t="s">
        <v>37</v>
      </c>
      <c r="Z3639" s="2" t="s">
        <v>44</v>
      </c>
      <c r="AA3639" s="2"/>
      <c r="AB3639" s="2"/>
      <c r="AC3639" s="2" t="s">
        <v>27547</v>
      </c>
      <c r="AD3639" s="2" t="s">
        <v>46</v>
      </c>
    </row>
    <row r="3640" customFormat="false" ht="15.7" hidden="false" customHeight="true" outlineLevel="0" collapsed="false">
      <c r="A3640" s="2"/>
      <c r="B3640" s="3" t="n">
        <f aca="false">DATE(2018,6,18)</f>
        <v>0</v>
      </c>
      <c r="C3640" s="3" t="n">
        <v>43269</v>
      </c>
      <c r="D3640" s="2" t="s">
        <v>27548</v>
      </c>
      <c r="F3640" s="2" t="s">
        <v>27549</v>
      </c>
      <c r="G3640" s="2" t="s">
        <v>27550</v>
      </c>
      <c r="H3640" s="2" t="s">
        <v>387</v>
      </c>
      <c r="I3640" s="2" t="s">
        <v>17769</v>
      </c>
      <c r="J3640" s="2" t="s">
        <v>35</v>
      </c>
      <c r="K3640" s="2" t="s">
        <v>27551</v>
      </c>
      <c r="L3640" s="2" t="s">
        <v>3103</v>
      </c>
      <c r="M3640" s="2" t="s">
        <v>1473</v>
      </c>
      <c r="N3640" s="2" t="s">
        <v>27552</v>
      </c>
      <c r="O3640" s="2"/>
      <c r="P3640" s="2" t="s">
        <v>37</v>
      </c>
      <c r="Q3640" s="4" t="n">
        <v>8731</v>
      </c>
      <c r="R3640" s="2" t="s">
        <v>1402</v>
      </c>
      <c r="S3640" s="2" t="s">
        <v>39</v>
      </c>
      <c r="T3640" s="2" t="s">
        <v>40</v>
      </c>
      <c r="U3640" s="2" t="s">
        <v>27553</v>
      </c>
      <c r="V3640" s="2"/>
      <c r="W3640" s="2" t="s">
        <v>42</v>
      </c>
      <c r="X3640" s="2" t="s">
        <v>43</v>
      </c>
      <c r="Y3640" s="2" t="s">
        <v>37</v>
      </c>
      <c r="Z3640" s="2" t="s">
        <v>44</v>
      </c>
      <c r="AA3640" s="2"/>
      <c r="AB3640" s="2"/>
      <c r="AC3640" s="2" t="s">
        <v>27554</v>
      </c>
      <c r="AD3640" s="2" t="s">
        <v>46</v>
      </c>
    </row>
    <row r="3641" customFormat="false" ht="15.7" hidden="false" customHeight="true" outlineLevel="0" collapsed="false">
      <c r="A3641" s="2"/>
      <c r="B3641" s="3" t="n">
        <f aca="false">DATE(2018,6,19)</f>
        <v>0</v>
      </c>
      <c r="C3641" s="3" t="n">
        <v>43270</v>
      </c>
      <c r="D3641" s="2" t="s">
        <v>27555</v>
      </c>
      <c r="F3641" s="2" t="s">
        <v>20656</v>
      </c>
      <c r="G3641" s="2" t="s">
        <v>27556</v>
      </c>
      <c r="H3641" s="2" t="s">
        <v>762</v>
      </c>
      <c r="I3641" s="2" t="s">
        <v>27557</v>
      </c>
      <c r="J3641" s="2" t="s">
        <v>35</v>
      </c>
      <c r="K3641" s="2" t="s">
        <v>27555</v>
      </c>
      <c r="L3641" s="2" t="s">
        <v>27557</v>
      </c>
      <c r="M3641" s="2" t="s">
        <v>762</v>
      </c>
      <c r="N3641" s="2" t="s">
        <v>27558</v>
      </c>
      <c r="O3641" s="2"/>
      <c r="P3641" s="2" t="s">
        <v>37</v>
      </c>
      <c r="Q3641" s="4" t="n">
        <v>8731</v>
      </c>
      <c r="R3641" s="2" t="s">
        <v>3825</v>
      </c>
      <c r="S3641" s="2" t="s">
        <v>39</v>
      </c>
      <c r="T3641" s="2" t="s">
        <v>40</v>
      </c>
      <c r="U3641" s="2" t="s">
        <v>27559</v>
      </c>
      <c r="V3641" s="2"/>
      <c r="W3641" s="2" t="s">
        <v>344</v>
      </c>
      <c r="X3641" s="2" t="s">
        <v>43</v>
      </c>
      <c r="Y3641" s="2" t="s">
        <v>37</v>
      </c>
      <c r="Z3641" s="2" t="s">
        <v>44</v>
      </c>
      <c r="AA3641" s="2"/>
      <c r="AB3641" s="2"/>
      <c r="AC3641" s="2" t="s">
        <v>27560</v>
      </c>
      <c r="AD3641" s="2" t="s">
        <v>46</v>
      </c>
    </row>
    <row r="3642" customFormat="false" ht="15.7" hidden="false" customHeight="true" outlineLevel="0" collapsed="false">
      <c r="A3642" s="2"/>
      <c r="B3642" s="3" t="n">
        <f aca="false">DATE(2018,6,19)</f>
        <v>0</v>
      </c>
      <c r="C3642" s="3" t="n">
        <v>43270</v>
      </c>
      <c r="D3642" s="2" t="s">
        <v>27561</v>
      </c>
      <c r="F3642" s="2" t="s">
        <v>27562</v>
      </c>
      <c r="G3642" s="2" t="s">
        <v>27563</v>
      </c>
      <c r="H3642" s="2" t="s">
        <v>27564</v>
      </c>
      <c r="I3642" s="2" t="s">
        <v>14963</v>
      </c>
      <c r="J3642" s="2" t="s">
        <v>27565</v>
      </c>
      <c r="K3642" s="2" t="s">
        <v>27566</v>
      </c>
      <c r="L3642" s="2" t="s">
        <v>14963</v>
      </c>
      <c r="M3642" s="2" t="s">
        <v>27567</v>
      </c>
      <c r="N3642" s="2" t="s">
        <v>27568</v>
      </c>
      <c r="O3642" s="2"/>
      <c r="P3642" s="2" t="s">
        <v>37</v>
      </c>
      <c r="Q3642" s="4" t="n">
        <v>7372</v>
      </c>
      <c r="R3642" s="2" t="s">
        <v>56</v>
      </c>
      <c r="S3642" s="2"/>
      <c r="T3642" s="2" t="s">
        <v>403</v>
      </c>
      <c r="U3642" s="2" t="s">
        <v>27569</v>
      </c>
      <c r="V3642" s="2"/>
      <c r="W3642" s="2" t="s">
        <v>6066</v>
      </c>
      <c r="X3642" s="2" t="s">
        <v>43</v>
      </c>
      <c r="Y3642" s="2" t="s">
        <v>37</v>
      </c>
      <c r="Z3642" s="2" t="s">
        <v>11148</v>
      </c>
      <c r="AA3642" s="2"/>
      <c r="AB3642" s="2"/>
      <c r="AC3642" s="2" t="s">
        <v>27570</v>
      </c>
      <c r="AD3642" s="2" t="s">
        <v>46</v>
      </c>
    </row>
    <row r="3643" customFormat="false" ht="15.7" hidden="false" customHeight="true" outlineLevel="0" collapsed="false">
      <c r="A3643" s="2"/>
      <c r="B3643" s="3" t="n">
        <f aca="false">DATE(2018,6,19)</f>
        <v>0</v>
      </c>
      <c r="C3643" s="3" t="n">
        <v>43270</v>
      </c>
      <c r="D3643" s="2" t="s">
        <v>27571</v>
      </c>
      <c r="F3643" s="2" t="s">
        <v>27572</v>
      </c>
      <c r="G3643" s="2" t="s">
        <v>27573</v>
      </c>
      <c r="H3643" s="2" t="s">
        <v>27574</v>
      </c>
      <c r="I3643" s="2" t="s">
        <v>51</v>
      </c>
      <c r="J3643" s="2" t="s">
        <v>171</v>
      </c>
      <c r="K3643" s="2" t="s">
        <v>27571</v>
      </c>
      <c r="L3643" s="2" t="s">
        <v>51</v>
      </c>
      <c r="M3643" s="2" t="s">
        <v>27574</v>
      </c>
      <c r="N3643" s="2" t="s">
        <v>27575</v>
      </c>
      <c r="O3643" s="2"/>
      <c r="P3643" s="2" t="s">
        <v>37</v>
      </c>
      <c r="Q3643" s="4" t="n">
        <v>7372</v>
      </c>
      <c r="R3643" s="2" t="s">
        <v>56</v>
      </c>
      <c r="S3643" s="2"/>
      <c r="T3643" s="2" t="s">
        <v>403</v>
      </c>
      <c r="U3643" s="2" t="s">
        <v>27576</v>
      </c>
      <c r="V3643" s="2"/>
      <c r="W3643" s="2" t="s">
        <v>6066</v>
      </c>
      <c r="X3643" s="2" t="s">
        <v>43</v>
      </c>
      <c r="Y3643" s="2" t="s">
        <v>37</v>
      </c>
      <c r="Z3643" s="2" t="s">
        <v>44</v>
      </c>
      <c r="AA3643" s="2"/>
      <c r="AB3643" s="2"/>
      <c r="AC3643" s="2" t="s">
        <v>27577</v>
      </c>
      <c r="AD3643" s="2" t="s">
        <v>46</v>
      </c>
    </row>
    <row r="3644" customFormat="false" ht="15.7" hidden="false" customHeight="true" outlineLevel="0" collapsed="false">
      <c r="A3644" s="2"/>
      <c r="B3644" s="3" t="n">
        <f aca="false">DATE(2018,6,20)</f>
        <v>0</v>
      </c>
      <c r="C3644" s="3" t="n">
        <v>43271</v>
      </c>
      <c r="D3644" s="2" t="s">
        <v>27578</v>
      </c>
      <c r="F3644" s="2" t="s">
        <v>27579</v>
      </c>
      <c r="G3644" s="2" t="s">
        <v>27580</v>
      </c>
      <c r="H3644" s="2" t="s">
        <v>368</v>
      </c>
      <c r="I3644" s="2" t="s">
        <v>3320</v>
      </c>
      <c r="J3644" s="2" t="s">
        <v>35</v>
      </c>
      <c r="K3644" s="2" t="s">
        <v>27578</v>
      </c>
      <c r="L3644" s="2" t="s">
        <v>3320</v>
      </c>
      <c r="M3644" s="2" t="s">
        <v>368</v>
      </c>
      <c r="N3644" s="2" t="s">
        <v>27581</v>
      </c>
      <c r="O3644" s="2"/>
      <c r="P3644" s="2" t="s">
        <v>37</v>
      </c>
      <c r="Q3644" s="4" t="n">
        <v>8731</v>
      </c>
      <c r="R3644" s="2" t="s">
        <v>136</v>
      </c>
      <c r="S3644" s="2" t="s">
        <v>39</v>
      </c>
      <c r="T3644" s="2" t="s">
        <v>40</v>
      </c>
      <c r="U3644" s="2" t="s">
        <v>27582</v>
      </c>
      <c r="V3644" s="2"/>
      <c r="W3644" s="2" t="s">
        <v>42</v>
      </c>
      <c r="X3644" s="2" t="s">
        <v>43</v>
      </c>
      <c r="Y3644" s="2" t="s">
        <v>37</v>
      </c>
      <c r="Z3644" s="2" t="s">
        <v>44</v>
      </c>
      <c r="AA3644" s="2"/>
      <c r="AB3644" s="2"/>
      <c r="AC3644" s="2" t="s">
        <v>27583</v>
      </c>
      <c r="AD3644" s="2" t="s">
        <v>46</v>
      </c>
    </row>
    <row r="3645" customFormat="false" ht="15.7" hidden="false" customHeight="true" outlineLevel="0" collapsed="false">
      <c r="A3645" s="2"/>
      <c r="B3645" s="3" t="n">
        <f aca="false">DATE(2018,6,20)</f>
        <v>0</v>
      </c>
      <c r="C3645" s="3" t="n">
        <v>43271</v>
      </c>
      <c r="D3645" s="2" t="s">
        <v>27584</v>
      </c>
      <c r="F3645" s="2" t="s">
        <v>27585</v>
      </c>
      <c r="G3645" s="2" t="s">
        <v>27586</v>
      </c>
      <c r="H3645" s="2" t="s">
        <v>17703</v>
      </c>
      <c r="I3645" s="2" t="s">
        <v>51</v>
      </c>
      <c r="J3645" s="2" t="s">
        <v>2816</v>
      </c>
      <c r="K3645" s="2" t="s">
        <v>27587</v>
      </c>
      <c r="L3645" s="2" t="s">
        <v>1412</v>
      </c>
      <c r="M3645" s="2" t="s">
        <v>27588</v>
      </c>
      <c r="N3645" s="2" t="s">
        <v>27589</v>
      </c>
      <c r="O3645" s="2"/>
      <c r="P3645" s="2" t="s">
        <v>37</v>
      </c>
      <c r="Q3645" s="4" t="n">
        <v>3999</v>
      </c>
      <c r="R3645" s="2" t="s">
        <v>56</v>
      </c>
      <c r="S3645" s="2"/>
      <c r="T3645" s="2" t="s">
        <v>40</v>
      </c>
      <c r="U3645" s="2" t="s">
        <v>27590</v>
      </c>
      <c r="V3645" s="2"/>
      <c r="W3645" s="2" t="s">
        <v>21624</v>
      </c>
      <c r="X3645" s="2" t="s">
        <v>43</v>
      </c>
      <c r="Y3645" s="2" t="s">
        <v>37</v>
      </c>
      <c r="Z3645" s="2" t="s">
        <v>44</v>
      </c>
      <c r="AA3645" s="2"/>
      <c r="AB3645" s="2"/>
      <c r="AC3645" s="2" t="s">
        <v>27591</v>
      </c>
      <c r="AD3645" s="2" t="s">
        <v>46</v>
      </c>
    </row>
    <row r="3646" customFormat="false" ht="15.7" hidden="false" customHeight="true" outlineLevel="0" collapsed="false">
      <c r="A3646" s="2"/>
      <c r="B3646" s="3" t="n">
        <f aca="false">DATE(2018,6,20)</f>
        <v>0</v>
      </c>
      <c r="C3646" s="3" t="n">
        <v>43271</v>
      </c>
      <c r="D3646" s="2" t="s">
        <v>27592</v>
      </c>
      <c r="F3646" s="2" t="s">
        <v>27593</v>
      </c>
      <c r="G3646" s="2" t="s">
        <v>27594</v>
      </c>
      <c r="H3646" s="2" t="s">
        <v>16829</v>
      </c>
      <c r="I3646" s="2" t="s">
        <v>51</v>
      </c>
      <c r="J3646" s="2" t="s">
        <v>27595</v>
      </c>
      <c r="K3646" s="2" t="s">
        <v>27592</v>
      </c>
      <c r="L3646" s="2" t="s">
        <v>51</v>
      </c>
      <c r="M3646" s="2" t="s">
        <v>16829</v>
      </c>
      <c r="N3646" s="2" t="s">
        <v>27596</v>
      </c>
      <c r="O3646" s="2"/>
      <c r="P3646" s="2" t="s">
        <v>37</v>
      </c>
      <c r="Q3646" s="4" t="n">
        <v>8731</v>
      </c>
      <c r="R3646" s="2" t="s">
        <v>56</v>
      </c>
      <c r="S3646" s="2" t="s">
        <v>39</v>
      </c>
      <c r="T3646" s="2" t="s">
        <v>403</v>
      </c>
      <c r="U3646" s="2" t="s">
        <v>27597</v>
      </c>
      <c r="V3646" s="2"/>
      <c r="W3646" s="2" t="s">
        <v>344</v>
      </c>
      <c r="X3646" s="2" t="s">
        <v>43</v>
      </c>
      <c r="Y3646" s="2" t="s">
        <v>37</v>
      </c>
      <c r="Z3646" s="2" t="s">
        <v>44</v>
      </c>
      <c r="AA3646" s="2"/>
      <c r="AB3646" s="2"/>
      <c r="AC3646" s="2" t="s">
        <v>27598</v>
      </c>
      <c r="AD3646" s="2" t="s">
        <v>46</v>
      </c>
    </row>
    <row r="3647" customFormat="false" ht="15.7" hidden="false" customHeight="true" outlineLevel="0" collapsed="false">
      <c r="A3647" s="2"/>
      <c r="B3647" s="3" t="n">
        <f aca="false">DATE(2018,6,21)</f>
        <v>0</v>
      </c>
      <c r="C3647" s="3" t="n">
        <v>43272</v>
      </c>
      <c r="D3647" s="2" t="s">
        <v>27599</v>
      </c>
      <c r="F3647" s="2" t="s">
        <v>27600</v>
      </c>
      <c r="G3647" s="2" t="s">
        <v>27601</v>
      </c>
      <c r="H3647" s="2" t="s">
        <v>27602</v>
      </c>
      <c r="I3647" s="2" t="s">
        <v>921</v>
      </c>
      <c r="J3647" s="2" t="s">
        <v>35</v>
      </c>
      <c r="K3647" s="2" t="s">
        <v>27603</v>
      </c>
      <c r="L3647" s="2" t="s">
        <v>921</v>
      </c>
      <c r="M3647" s="2" t="s">
        <v>27604</v>
      </c>
      <c r="N3647" s="2" t="s">
        <v>27605</v>
      </c>
      <c r="O3647" s="2"/>
      <c r="P3647" s="2" t="s">
        <v>37</v>
      </c>
      <c r="Q3647" s="4" t="n">
        <v>8742</v>
      </c>
      <c r="R3647" s="2" t="s">
        <v>105</v>
      </c>
      <c r="S3647" s="2" t="s">
        <v>39</v>
      </c>
      <c r="T3647" s="2" t="s">
        <v>40</v>
      </c>
      <c r="U3647" s="2" t="s">
        <v>27606</v>
      </c>
      <c r="V3647" s="2"/>
      <c r="W3647" s="2" t="s">
        <v>7958</v>
      </c>
      <c r="X3647" s="2" t="s">
        <v>43</v>
      </c>
      <c r="Y3647" s="2" t="s">
        <v>37</v>
      </c>
      <c r="Z3647" s="2" t="s">
        <v>44</v>
      </c>
      <c r="AA3647" s="2"/>
      <c r="AB3647" s="2"/>
      <c r="AC3647" s="2" t="s">
        <v>27607</v>
      </c>
      <c r="AD3647" s="2" t="s">
        <v>46</v>
      </c>
    </row>
    <row r="3648" customFormat="false" ht="15.7" hidden="false" customHeight="true" outlineLevel="0" collapsed="false">
      <c r="A3648" s="2"/>
      <c r="B3648" s="3" t="n">
        <f aca="false">DATE(2018,6,21)</f>
        <v>0</v>
      </c>
      <c r="C3648" s="3" t="n">
        <v>43272</v>
      </c>
      <c r="D3648" s="2" t="s">
        <v>27608</v>
      </c>
      <c r="F3648" s="2" t="s">
        <v>27609</v>
      </c>
      <c r="G3648" s="2" t="s">
        <v>27610</v>
      </c>
      <c r="H3648" s="2" t="s">
        <v>27611</v>
      </c>
      <c r="I3648" s="2" t="s">
        <v>51</v>
      </c>
      <c r="J3648" s="2" t="s">
        <v>27612</v>
      </c>
      <c r="K3648" s="2" t="s">
        <v>27608</v>
      </c>
      <c r="L3648" s="2" t="s">
        <v>51</v>
      </c>
      <c r="M3648" s="2" t="s">
        <v>27611</v>
      </c>
      <c r="N3648" s="2" t="s">
        <v>27613</v>
      </c>
      <c r="O3648" s="2"/>
      <c r="P3648" s="2" t="s">
        <v>37</v>
      </c>
      <c r="Q3648" s="4" t="n">
        <v>8731</v>
      </c>
      <c r="R3648" s="2" t="s">
        <v>56</v>
      </c>
      <c r="S3648" s="2" t="s">
        <v>80</v>
      </c>
      <c r="T3648" s="2" t="s">
        <v>403</v>
      </c>
      <c r="U3648" s="2" t="s">
        <v>27614</v>
      </c>
      <c r="V3648" s="2"/>
      <c r="W3648" s="2" t="s">
        <v>18966</v>
      </c>
      <c r="X3648" s="2" t="s">
        <v>43</v>
      </c>
      <c r="Y3648" s="2" t="s">
        <v>37</v>
      </c>
      <c r="Z3648" s="2" t="s">
        <v>44</v>
      </c>
      <c r="AA3648" s="2"/>
      <c r="AB3648" s="2"/>
      <c r="AC3648" s="2" t="s">
        <v>27615</v>
      </c>
      <c r="AD3648" s="2" t="s">
        <v>46</v>
      </c>
    </row>
    <row r="3649" customFormat="false" ht="15.7" hidden="false" customHeight="true" outlineLevel="0" collapsed="false">
      <c r="A3649" s="2"/>
      <c r="B3649" s="3" t="n">
        <f aca="false">DATE(2018,6,24)</f>
        <v>0</v>
      </c>
      <c r="C3649" s="3" t="n">
        <v>43275</v>
      </c>
      <c r="D3649" s="2" t="s">
        <v>27616</v>
      </c>
      <c r="F3649" s="2" t="s">
        <v>17277</v>
      </c>
      <c r="G3649" s="2" t="s">
        <v>27617</v>
      </c>
      <c r="H3649" s="2" t="s">
        <v>523</v>
      </c>
      <c r="I3649" s="2" t="s">
        <v>4325</v>
      </c>
      <c r="J3649" s="2" t="s">
        <v>35</v>
      </c>
      <c r="K3649" s="2" t="s">
        <v>27618</v>
      </c>
      <c r="L3649" s="2" t="s">
        <v>4325</v>
      </c>
      <c r="M3649" s="2" t="s">
        <v>2832</v>
      </c>
      <c r="N3649" s="2" t="s">
        <v>27619</v>
      </c>
      <c r="O3649" s="2"/>
      <c r="P3649" s="2" t="s">
        <v>37</v>
      </c>
      <c r="Q3649" s="4" t="n">
        <v>8731</v>
      </c>
      <c r="R3649" s="2" t="s">
        <v>136</v>
      </c>
      <c r="S3649" s="2" t="s">
        <v>39</v>
      </c>
      <c r="T3649" s="2" t="s">
        <v>403</v>
      </c>
      <c r="U3649" s="2" t="s">
        <v>27620</v>
      </c>
      <c r="V3649" s="2"/>
      <c r="W3649" s="2" t="s">
        <v>2056</v>
      </c>
      <c r="X3649" s="2" t="s">
        <v>43</v>
      </c>
      <c r="Y3649" s="2" t="s">
        <v>37</v>
      </c>
      <c r="Z3649" s="2" t="s">
        <v>44</v>
      </c>
      <c r="AA3649" s="2"/>
      <c r="AB3649" s="2"/>
      <c r="AC3649" s="2" t="s">
        <v>27621</v>
      </c>
      <c r="AD3649" s="2" t="s">
        <v>46</v>
      </c>
    </row>
    <row r="3650" customFormat="false" ht="15.7" hidden="false" customHeight="true" outlineLevel="0" collapsed="false">
      <c r="A3650" s="2"/>
      <c r="B3650" s="3" t="n">
        <f aca="false">DATE(2018,6,25)</f>
        <v>0</v>
      </c>
      <c r="C3650" s="3" t="n">
        <v>43276</v>
      </c>
      <c r="D3650" s="2" t="s">
        <v>27622</v>
      </c>
      <c r="F3650" s="2" t="s">
        <v>27623</v>
      </c>
      <c r="G3650" s="2" t="s">
        <v>27624</v>
      </c>
      <c r="H3650" s="2" t="s">
        <v>2667</v>
      </c>
      <c r="I3650" s="2" t="s">
        <v>4417</v>
      </c>
      <c r="J3650" s="2" t="s">
        <v>35</v>
      </c>
      <c r="K3650" s="2" t="s">
        <v>27622</v>
      </c>
      <c r="L3650" s="2" t="s">
        <v>4417</v>
      </c>
      <c r="M3650" s="2" t="s">
        <v>2667</v>
      </c>
      <c r="N3650" s="2" t="s">
        <v>27625</v>
      </c>
      <c r="O3650" s="2"/>
      <c r="P3650" s="2" t="s">
        <v>37</v>
      </c>
      <c r="Q3650" s="4" t="n">
        <v>8731</v>
      </c>
      <c r="R3650" s="2" t="s">
        <v>2225</v>
      </c>
      <c r="S3650" s="2" t="s">
        <v>39</v>
      </c>
      <c r="T3650" s="2" t="s">
        <v>40</v>
      </c>
      <c r="U3650" s="2" t="s">
        <v>27626</v>
      </c>
      <c r="V3650" s="2"/>
      <c r="W3650" s="2" t="s">
        <v>3235</v>
      </c>
      <c r="X3650" s="2" t="s">
        <v>43</v>
      </c>
      <c r="Y3650" s="2" t="s">
        <v>37</v>
      </c>
      <c r="Z3650" s="2" t="s">
        <v>44</v>
      </c>
      <c r="AA3650" s="2"/>
      <c r="AB3650" s="2"/>
      <c r="AC3650" s="2" t="s">
        <v>27627</v>
      </c>
      <c r="AD3650" s="2" t="s">
        <v>46</v>
      </c>
    </row>
    <row r="3651" customFormat="false" ht="15.7" hidden="false" customHeight="true" outlineLevel="0" collapsed="false">
      <c r="A3651" s="2"/>
      <c r="B3651" s="3" t="n">
        <f aca="false">DATE(2018,6,25)</f>
        <v>0</v>
      </c>
      <c r="C3651" s="3" t="n">
        <v>43276</v>
      </c>
      <c r="D3651" s="2" t="s">
        <v>27628</v>
      </c>
      <c r="F3651" s="2" t="s">
        <v>1138</v>
      </c>
      <c r="G3651" s="2" t="s">
        <v>27629</v>
      </c>
      <c r="H3651" s="2" t="s">
        <v>130</v>
      </c>
      <c r="I3651" s="2" t="s">
        <v>227</v>
      </c>
      <c r="J3651" s="2" t="s">
        <v>132</v>
      </c>
      <c r="K3651" s="2" t="s">
        <v>27630</v>
      </c>
      <c r="L3651" s="2" t="s">
        <v>3265</v>
      </c>
      <c r="M3651" s="2" t="s">
        <v>230</v>
      </c>
      <c r="N3651" s="2" t="s">
        <v>27631</v>
      </c>
      <c r="O3651" s="2"/>
      <c r="P3651" s="2" t="s">
        <v>79</v>
      </c>
      <c r="Q3651" s="4" t="n">
        <v>6794</v>
      </c>
      <c r="R3651" s="2" t="s">
        <v>2052</v>
      </c>
      <c r="S3651" s="2" t="s">
        <v>3000</v>
      </c>
      <c r="T3651" s="2" t="s">
        <v>40</v>
      </c>
      <c r="U3651" s="2" t="s">
        <v>27632</v>
      </c>
      <c r="V3651" s="2"/>
      <c r="W3651" s="2" t="s">
        <v>15545</v>
      </c>
      <c r="X3651" s="2" t="s">
        <v>43</v>
      </c>
      <c r="Y3651" s="2" t="s">
        <v>79</v>
      </c>
      <c r="Z3651" s="2" t="s">
        <v>44</v>
      </c>
      <c r="AA3651" s="2" t="s">
        <v>27633</v>
      </c>
      <c r="AB3651" s="2"/>
      <c r="AC3651" s="2" t="s">
        <v>27634</v>
      </c>
      <c r="AD3651" s="2" t="s">
        <v>46</v>
      </c>
    </row>
    <row r="3652" customFormat="false" ht="15.7" hidden="false" customHeight="true" outlineLevel="0" collapsed="false">
      <c r="A3652" s="2"/>
      <c r="B3652" s="3" t="n">
        <f aca="false">DATE(2018,6,25)</f>
        <v>0</v>
      </c>
      <c r="C3652" s="3" t="n">
        <v>43276</v>
      </c>
      <c r="D3652" s="2" t="s">
        <v>27635</v>
      </c>
      <c r="F3652" s="2" t="s">
        <v>27636</v>
      </c>
      <c r="G3652" s="2" t="s">
        <v>27637</v>
      </c>
      <c r="H3652" s="2" t="s">
        <v>27638</v>
      </c>
      <c r="I3652" s="2" t="s">
        <v>4834</v>
      </c>
      <c r="J3652" s="2" t="s">
        <v>35</v>
      </c>
      <c r="K3652" s="2" t="s">
        <v>27639</v>
      </c>
      <c r="L3652" s="2" t="s">
        <v>4834</v>
      </c>
      <c r="M3652" s="2" t="s">
        <v>27638</v>
      </c>
      <c r="N3652" s="2" t="s">
        <v>27640</v>
      </c>
      <c r="O3652" s="2"/>
      <c r="P3652" s="2" t="s">
        <v>37</v>
      </c>
      <c r="Q3652" s="4" t="n">
        <v>8731</v>
      </c>
      <c r="R3652" s="2" t="s">
        <v>4834</v>
      </c>
      <c r="S3652" s="2" t="s">
        <v>5334</v>
      </c>
      <c r="T3652" s="2" t="s">
        <v>40</v>
      </c>
      <c r="U3652" s="2" t="s">
        <v>27641</v>
      </c>
      <c r="V3652" s="2"/>
      <c r="W3652" s="2" t="s">
        <v>42</v>
      </c>
      <c r="X3652" s="2" t="s">
        <v>43</v>
      </c>
      <c r="Y3652" s="2" t="s">
        <v>79</v>
      </c>
      <c r="Z3652" s="2" t="s">
        <v>44</v>
      </c>
      <c r="AA3652" s="2"/>
      <c r="AB3652" s="2"/>
      <c r="AC3652" s="2" t="s">
        <v>27642</v>
      </c>
      <c r="AD3652" s="2" t="s">
        <v>46</v>
      </c>
    </row>
    <row r="3653" customFormat="false" ht="15.7" hidden="false" customHeight="true" outlineLevel="0" collapsed="false">
      <c r="A3653" s="2"/>
      <c r="B3653" s="3" t="n">
        <f aca="false">DATE(2018,6,27)</f>
        <v>0</v>
      </c>
      <c r="C3653" s="3" t="n">
        <v>43278</v>
      </c>
      <c r="D3653" s="2" t="s">
        <v>27643</v>
      </c>
      <c r="F3653" s="2" t="s">
        <v>27644</v>
      </c>
      <c r="G3653" s="2" t="s">
        <v>27645</v>
      </c>
      <c r="H3653" s="2" t="s">
        <v>27646</v>
      </c>
      <c r="I3653" s="2" t="s">
        <v>1191</v>
      </c>
      <c r="J3653" s="2" t="s">
        <v>35</v>
      </c>
      <c r="K3653" s="2" t="s">
        <v>27643</v>
      </c>
      <c r="L3653" s="2" t="s">
        <v>1191</v>
      </c>
      <c r="M3653" s="2" t="s">
        <v>27646</v>
      </c>
      <c r="N3653" s="2" t="s">
        <v>27647</v>
      </c>
      <c r="O3653" s="2"/>
      <c r="P3653" s="2" t="s">
        <v>37</v>
      </c>
      <c r="Q3653" s="4" t="n">
        <v>8731</v>
      </c>
      <c r="R3653" s="2"/>
      <c r="S3653" s="2"/>
      <c r="T3653" s="2" t="s">
        <v>40</v>
      </c>
      <c r="U3653" s="2" t="s">
        <v>27648</v>
      </c>
      <c r="V3653" s="2"/>
      <c r="W3653" s="2" t="s">
        <v>42</v>
      </c>
      <c r="X3653" s="2" t="s">
        <v>43</v>
      </c>
      <c r="Y3653" s="2" t="s">
        <v>37</v>
      </c>
      <c r="Z3653" s="2" t="s">
        <v>44</v>
      </c>
      <c r="AA3653" s="2"/>
      <c r="AB3653" s="2"/>
      <c r="AC3653" s="2" t="s">
        <v>27649</v>
      </c>
      <c r="AD3653" s="2" t="s">
        <v>46</v>
      </c>
    </row>
    <row r="3654" customFormat="false" ht="15.7" hidden="false" customHeight="true" outlineLevel="0" collapsed="false">
      <c r="A3654" s="2"/>
      <c r="B3654" s="3" t="n">
        <f aca="false">DATE(2018,6,28)</f>
        <v>0</v>
      </c>
      <c r="C3654" s="3" t="n">
        <v>43279</v>
      </c>
      <c r="D3654" s="2" t="s">
        <v>27650</v>
      </c>
      <c r="F3654" s="2" t="s">
        <v>27651</v>
      </c>
      <c r="G3654" s="2" t="s">
        <v>27652</v>
      </c>
      <c r="H3654" s="2" t="s">
        <v>27653</v>
      </c>
      <c r="I3654" s="2" t="s">
        <v>51</v>
      </c>
      <c r="J3654" s="2" t="s">
        <v>4520</v>
      </c>
      <c r="K3654" s="2" t="s">
        <v>27650</v>
      </c>
      <c r="L3654" s="2" t="s">
        <v>51</v>
      </c>
      <c r="M3654" s="2" t="s">
        <v>27653</v>
      </c>
      <c r="N3654" s="2" t="s">
        <v>27654</v>
      </c>
      <c r="O3654" s="2"/>
      <c r="P3654" s="2" t="s">
        <v>37</v>
      </c>
      <c r="Q3654" s="4" t="n">
        <v>8731</v>
      </c>
      <c r="R3654" s="2"/>
      <c r="S3654" s="2"/>
      <c r="T3654" s="2" t="s">
        <v>40</v>
      </c>
      <c r="U3654" s="2" t="s">
        <v>27655</v>
      </c>
      <c r="V3654" s="2"/>
      <c r="W3654" s="2" t="s">
        <v>42</v>
      </c>
      <c r="X3654" s="2" t="s">
        <v>46</v>
      </c>
      <c r="Y3654" s="2" t="s">
        <v>37</v>
      </c>
      <c r="Z3654" s="2" t="s">
        <v>44</v>
      </c>
      <c r="AA3654" s="2"/>
      <c r="AB3654" s="2"/>
      <c r="AC3654" s="2" t="s">
        <v>27656</v>
      </c>
      <c r="AD3654" s="2" t="s">
        <v>46</v>
      </c>
    </row>
    <row r="3655" customFormat="false" ht="15.7" hidden="false" customHeight="true" outlineLevel="0" collapsed="false">
      <c r="A3655" s="2"/>
      <c r="B3655" s="3" t="n">
        <f aca="false">DATE(2018,6,28)</f>
        <v>0</v>
      </c>
      <c r="C3655" s="3" t="n">
        <v>43279</v>
      </c>
      <c r="D3655" s="2" t="s">
        <v>27657</v>
      </c>
      <c r="F3655" s="2" t="s">
        <v>27658</v>
      </c>
      <c r="G3655" s="2" t="s">
        <v>27659</v>
      </c>
      <c r="H3655" s="2" t="s">
        <v>26449</v>
      </c>
      <c r="I3655" s="2" t="s">
        <v>568</v>
      </c>
      <c r="J3655" s="2" t="s">
        <v>2088</v>
      </c>
      <c r="K3655" s="2" t="s">
        <v>27657</v>
      </c>
      <c r="L3655" s="2" t="s">
        <v>568</v>
      </c>
      <c r="M3655" s="2" t="s">
        <v>26449</v>
      </c>
      <c r="N3655" s="2" t="s">
        <v>27660</v>
      </c>
      <c r="O3655" s="2"/>
      <c r="P3655" s="2" t="s">
        <v>37</v>
      </c>
      <c r="Q3655" s="4" t="n">
        <v>8731</v>
      </c>
      <c r="R3655" s="2"/>
      <c r="S3655" s="2"/>
      <c r="T3655" s="2" t="s">
        <v>40</v>
      </c>
      <c r="U3655" s="2" t="s">
        <v>27661</v>
      </c>
      <c r="V3655" s="2"/>
      <c r="W3655" s="2" t="s">
        <v>42</v>
      </c>
      <c r="X3655" s="2" t="s">
        <v>43</v>
      </c>
      <c r="Y3655" s="2" t="s">
        <v>37</v>
      </c>
      <c r="Z3655" s="2" t="s">
        <v>44</v>
      </c>
      <c r="AA3655" s="2"/>
      <c r="AB3655" s="2"/>
      <c r="AC3655" s="2" t="s">
        <v>27662</v>
      </c>
      <c r="AD3655" s="2" t="s">
        <v>46</v>
      </c>
    </row>
    <row r="3656" customFormat="false" ht="15.7" hidden="false" customHeight="true" outlineLevel="0" collapsed="false">
      <c r="A3656" s="2"/>
      <c r="B3656" s="3" t="n">
        <f aca="false">DATE(2018,6,29)</f>
        <v>0</v>
      </c>
      <c r="C3656" s="3" t="n">
        <v>43280</v>
      </c>
      <c r="D3656" s="2" t="s">
        <v>27663</v>
      </c>
      <c r="F3656" s="2" t="s">
        <v>27664</v>
      </c>
      <c r="G3656" s="2" t="s">
        <v>27665</v>
      </c>
      <c r="H3656" s="2" t="s">
        <v>27666</v>
      </c>
      <c r="I3656" s="2" t="s">
        <v>27667</v>
      </c>
      <c r="J3656" s="2" t="s">
        <v>27668</v>
      </c>
      <c r="K3656" s="2" t="s">
        <v>27669</v>
      </c>
      <c r="L3656" s="2" t="s">
        <v>27667</v>
      </c>
      <c r="M3656" s="2" t="s">
        <v>27670</v>
      </c>
      <c r="N3656" s="2" t="s">
        <v>27671</v>
      </c>
      <c r="O3656" s="2"/>
      <c r="P3656" s="2" t="s">
        <v>37</v>
      </c>
      <c r="Q3656" s="4" t="n">
        <v>8731</v>
      </c>
      <c r="R3656" s="2" t="s">
        <v>688</v>
      </c>
      <c r="S3656" s="2" t="s">
        <v>39</v>
      </c>
      <c r="T3656" s="2" t="s">
        <v>40</v>
      </c>
      <c r="U3656" s="2" t="s">
        <v>27672</v>
      </c>
      <c r="V3656" s="2"/>
      <c r="W3656" s="2" t="s">
        <v>4505</v>
      </c>
      <c r="X3656" s="2" t="s">
        <v>43</v>
      </c>
      <c r="Y3656" s="2" t="s">
        <v>37</v>
      </c>
      <c r="Z3656" s="2" t="s">
        <v>11148</v>
      </c>
      <c r="AA3656" s="2"/>
      <c r="AB3656" s="2"/>
      <c r="AC3656" s="2" t="s">
        <v>27673</v>
      </c>
      <c r="AD3656" s="2" t="s">
        <v>46</v>
      </c>
    </row>
    <row r="3657" customFormat="false" ht="15.7" hidden="false" customHeight="true" outlineLevel="0" collapsed="false">
      <c r="A3657" s="2"/>
      <c r="B3657" s="3" t="n">
        <f aca="false">DATE(2018,6,29)</f>
        <v>0</v>
      </c>
      <c r="C3657" s="3" t="n">
        <v>43280</v>
      </c>
      <c r="D3657" s="2" t="s">
        <v>27674</v>
      </c>
      <c r="F3657" s="2" t="s">
        <v>27675</v>
      </c>
      <c r="G3657" s="2" t="s">
        <v>27676</v>
      </c>
      <c r="H3657" s="2" t="s">
        <v>1770</v>
      </c>
      <c r="I3657" s="2" t="s">
        <v>51</v>
      </c>
      <c r="J3657" s="2" t="s">
        <v>27677</v>
      </c>
      <c r="K3657" s="2" t="s">
        <v>27674</v>
      </c>
      <c r="L3657" s="2" t="s">
        <v>51</v>
      </c>
      <c r="M3657" s="2" t="s">
        <v>1770</v>
      </c>
      <c r="N3657" s="2" t="s">
        <v>27678</v>
      </c>
      <c r="O3657" s="2"/>
      <c r="P3657" s="2" t="s">
        <v>37</v>
      </c>
      <c r="Q3657" s="4" t="n">
        <v>8731</v>
      </c>
      <c r="R3657" s="2"/>
      <c r="S3657" s="2"/>
      <c r="T3657" s="2" t="s">
        <v>40</v>
      </c>
      <c r="U3657" s="2" t="s">
        <v>27679</v>
      </c>
      <c r="V3657" s="2"/>
      <c r="W3657" s="2" t="s">
        <v>2056</v>
      </c>
      <c r="X3657" s="2" t="s">
        <v>43</v>
      </c>
      <c r="Y3657" s="2" t="s">
        <v>37</v>
      </c>
      <c r="Z3657" s="2" t="s">
        <v>44</v>
      </c>
      <c r="AA3657" s="2"/>
      <c r="AB3657" s="2"/>
      <c r="AC3657" s="2" t="s">
        <v>27680</v>
      </c>
      <c r="AD3657" s="2" t="s">
        <v>46</v>
      </c>
    </row>
    <row r="3658" customFormat="false" ht="15.7" hidden="false" customHeight="true" outlineLevel="0" collapsed="false">
      <c r="A3658" s="2"/>
      <c r="B3658" s="3" t="n">
        <f aca="false">DATE(2018,6,29)</f>
        <v>0</v>
      </c>
      <c r="C3658" s="3" t="n">
        <v>43280</v>
      </c>
      <c r="D3658" s="2" t="s">
        <v>27681</v>
      </c>
      <c r="F3658" s="2" t="s">
        <v>27682</v>
      </c>
      <c r="G3658" s="2" t="s">
        <v>27683</v>
      </c>
      <c r="H3658" s="2" t="s">
        <v>27684</v>
      </c>
      <c r="I3658" s="2" t="s">
        <v>51</v>
      </c>
      <c r="J3658" s="2" t="s">
        <v>15570</v>
      </c>
      <c r="K3658" s="2" t="s">
        <v>27681</v>
      </c>
      <c r="L3658" s="2" t="s">
        <v>51</v>
      </c>
      <c r="M3658" s="2" t="s">
        <v>27684</v>
      </c>
      <c r="N3658" s="2" t="s">
        <v>27685</v>
      </c>
      <c r="O3658" s="2"/>
      <c r="P3658" s="2" t="s">
        <v>37</v>
      </c>
      <c r="Q3658" s="4" t="n">
        <v>1522</v>
      </c>
      <c r="R3658" s="2"/>
      <c r="S3658" s="2"/>
      <c r="T3658" s="2" t="s">
        <v>40</v>
      </c>
      <c r="U3658" s="2" t="s">
        <v>27686</v>
      </c>
      <c r="V3658" s="2"/>
      <c r="W3658" s="2" t="s">
        <v>18958</v>
      </c>
      <c r="X3658" s="2" t="s">
        <v>46</v>
      </c>
      <c r="Y3658" s="2" t="s">
        <v>37</v>
      </c>
      <c r="Z3658" s="2" t="s">
        <v>44</v>
      </c>
      <c r="AA3658" s="2"/>
      <c r="AB3658" s="2"/>
      <c r="AC3658" s="2" t="s">
        <v>27687</v>
      </c>
      <c r="AD3658" s="2" t="s">
        <v>46</v>
      </c>
    </row>
    <row r="3659" customFormat="false" ht="15.7" hidden="false" customHeight="true" outlineLevel="0" collapsed="false">
      <c r="A3659" s="2"/>
      <c r="B3659" s="3" t="n">
        <f aca="false">DATE(2018,6,30)</f>
        <v>0</v>
      </c>
      <c r="C3659" s="3" t="n">
        <v>43281</v>
      </c>
      <c r="D3659" s="2" t="s">
        <v>27688</v>
      </c>
      <c r="F3659" s="2" t="s">
        <v>27689</v>
      </c>
      <c r="G3659" s="2" t="s">
        <v>27690</v>
      </c>
      <c r="H3659" s="2" t="s">
        <v>27691</v>
      </c>
      <c r="I3659" s="2" t="s">
        <v>670</v>
      </c>
      <c r="J3659" s="2" t="s">
        <v>220</v>
      </c>
      <c r="K3659" s="2" t="s">
        <v>27692</v>
      </c>
      <c r="L3659" s="2" t="s">
        <v>670</v>
      </c>
      <c r="M3659" s="2" t="s">
        <v>27693</v>
      </c>
      <c r="N3659" s="2" t="s">
        <v>27694</v>
      </c>
      <c r="O3659" s="2" t="s">
        <v>27695</v>
      </c>
      <c r="P3659" s="2" t="s">
        <v>37</v>
      </c>
      <c r="Q3659" s="4" t="n">
        <v>8731</v>
      </c>
      <c r="R3659" s="2" t="s">
        <v>402</v>
      </c>
      <c r="S3659" s="2" t="s">
        <v>39</v>
      </c>
      <c r="T3659" s="2" t="s">
        <v>40</v>
      </c>
      <c r="U3659" s="2" t="s">
        <v>27696</v>
      </c>
      <c r="V3659" s="2"/>
      <c r="W3659" s="2" t="s">
        <v>42</v>
      </c>
      <c r="X3659" s="2" t="s">
        <v>46</v>
      </c>
      <c r="Y3659" s="2" t="s">
        <v>37</v>
      </c>
      <c r="Z3659" s="2" t="s">
        <v>44</v>
      </c>
      <c r="AA3659" s="2"/>
      <c r="AB3659" s="2" t="s">
        <v>27697</v>
      </c>
      <c r="AC3659" s="2" t="s">
        <v>27698</v>
      </c>
      <c r="AD3659" s="2" t="s">
        <v>46</v>
      </c>
    </row>
    <row r="3660" customFormat="false" ht="15.7" hidden="false" customHeight="true" outlineLevel="0" collapsed="false">
      <c r="A3660" s="2"/>
      <c r="B3660" s="3" t="n">
        <f aca="false">DATE(2018,7,2)</f>
        <v>0</v>
      </c>
      <c r="C3660" s="3" t="n">
        <v>43283</v>
      </c>
      <c r="D3660" s="2" t="s">
        <v>27699</v>
      </c>
      <c r="F3660" s="2" t="s">
        <v>27700</v>
      </c>
      <c r="G3660" s="2" t="s">
        <v>27701</v>
      </c>
      <c r="H3660" s="2" t="s">
        <v>18985</v>
      </c>
      <c r="I3660" s="2" t="s">
        <v>540</v>
      </c>
      <c r="J3660" s="2" t="s">
        <v>35</v>
      </c>
      <c r="K3660" s="2" t="s">
        <v>27699</v>
      </c>
      <c r="L3660" s="2" t="s">
        <v>540</v>
      </c>
      <c r="M3660" s="2" t="s">
        <v>18985</v>
      </c>
      <c r="N3660" s="2" t="s">
        <v>27702</v>
      </c>
      <c r="O3660" s="2"/>
      <c r="P3660" s="2" t="s">
        <v>37</v>
      </c>
      <c r="Q3660" s="4" t="n">
        <v>8731</v>
      </c>
      <c r="R3660" s="2"/>
      <c r="S3660" s="2"/>
      <c r="T3660" s="2" t="s">
        <v>40</v>
      </c>
      <c r="U3660" s="2" t="s">
        <v>27703</v>
      </c>
      <c r="V3660" s="2"/>
      <c r="W3660" s="2" t="s">
        <v>27704</v>
      </c>
      <c r="X3660" s="2" t="s">
        <v>46</v>
      </c>
      <c r="Y3660" s="2" t="s">
        <v>37</v>
      </c>
      <c r="Z3660" s="2" t="s">
        <v>44</v>
      </c>
      <c r="AA3660" s="2"/>
      <c r="AB3660" s="2"/>
      <c r="AC3660" s="2" t="s">
        <v>27705</v>
      </c>
      <c r="AD3660" s="2" t="s">
        <v>46</v>
      </c>
    </row>
    <row r="3661" customFormat="false" ht="15.7" hidden="false" customHeight="true" outlineLevel="0" collapsed="false">
      <c r="A3661" s="2"/>
      <c r="B3661" s="3" t="n">
        <f aca="false">DATE(2018,7,2)</f>
        <v>0</v>
      </c>
      <c r="C3661" s="3" t="n">
        <v>43283</v>
      </c>
      <c r="D3661" s="2" t="s">
        <v>27706</v>
      </c>
      <c r="F3661" s="2" t="s">
        <v>27707</v>
      </c>
      <c r="G3661" s="2" t="s">
        <v>27708</v>
      </c>
      <c r="H3661" s="2" t="s">
        <v>762</v>
      </c>
      <c r="I3661" s="2" t="s">
        <v>51</v>
      </c>
      <c r="J3661" s="2" t="s">
        <v>504</v>
      </c>
      <c r="K3661" s="2" t="s">
        <v>27706</v>
      </c>
      <c r="L3661" s="2" t="s">
        <v>51</v>
      </c>
      <c r="M3661" s="2" t="s">
        <v>762</v>
      </c>
      <c r="N3661" s="2" t="s">
        <v>27709</v>
      </c>
      <c r="O3661" s="2"/>
      <c r="P3661" s="2" t="s">
        <v>37</v>
      </c>
      <c r="Q3661" s="4" t="n">
        <v>8099</v>
      </c>
      <c r="R3661" s="2" t="s">
        <v>56</v>
      </c>
      <c r="S3661" s="2" t="s">
        <v>80</v>
      </c>
      <c r="T3661" s="2" t="s">
        <v>403</v>
      </c>
      <c r="U3661" s="2" t="s">
        <v>27710</v>
      </c>
      <c r="V3661" s="2"/>
      <c r="W3661" s="2" t="s">
        <v>25722</v>
      </c>
      <c r="X3661" s="2" t="s">
        <v>43</v>
      </c>
      <c r="Y3661" s="2" t="s">
        <v>37</v>
      </c>
      <c r="Z3661" s="2" t="s">
        <v>44</v>
      </c>
      <c r="AA3661" s="2"/>
      <c r="AB3661" s="2"/>
      <c r="AC3661" s="2" t="s">
        <v>27711</v>
      </c>
      <c r="AD3661" s="2" t="s">
        <v>46</v>
      </c>
    </row>
    <row r="3662" customFormat="false" ht="15.7" hidden="false" customHeight="true" outlineLevel="0" collapsed="false">
      <c r="A3662" s="2"/>
      <c r="B3662" s="3" t="n">
        <f aca="false">DATE(2018,7,2)</f>
        <v>0</v>
      </c>
      <c r="C3662" s="3" t="n">
        <v>43283</v>
      </c>
      <c r="D3662" s="2" t="s">
        <v>27712</v>
      </c>
      <c r="F3662" s="2" t="s">
        <v>20650</v>
      </c>
      <c r="G3662" s="2" t="s">
        <v>27713</v>
      </c>
      <c r="H3662" s="2" t="s">
        <v>130</v>
      </c>
      <c r="I3662" s="2" t="s">
        <v>670</v>
      </c>
      <c r="J3662" s="2" t="s">
        <v>575</v>
      </c>
      <c r="K3662" s="2" t="s">
        <v>27714</v>
      </c>
      <c r="L3662" s="2" t="s">
        <v>670</v>
      </c>
      <c r="M3662" s="2" t="s">
        <v>130</v>
      </c>
      <c r="N3662" s="2" t="s">
        <v>27715</v>
      </c>
      <c r="O3662" s="2" t="s">
        <v>27716</v>
      </c>
      <c r="P3662" s="2" t="s">
        <v>37</v>
      </c>
      <c r="Q3662" s="4" t="n">
        <v>2834</v>
      </c>
      <c r="R3662" s="2" t="s">
        <v>2201</v>
      </c>
      <c r="S3662" s="2" t="s">
        <v>39</v>
      </c>
      <c r="T3662" s="2" t="s">
        <v>40</v>
      </c>
      <c r="U3662" s="2" t="s">
        <v>27717</v>
      </c>
      <c r="V3662" s="2"/>
      <c r="W3662" s="2" t="s">
        <v>4487</v>
      </c>
      <c r="X3662" s="2" t="s">
        <v>46</v>
      </c>
      <c r="Y3662" s="2" t="s">
        <v>37</v>
      </c>
      <c r="Z3662" s="2" t="s">
        <v>44</v>
      </c>
      <c r="AA3662" s="2"/>
      <c r="AB3662" s="2" t="s">
        <v>27718</v>
      </c>
      <c r="AC3662" s="2" t="s">
        <v>27719</v>
      </c>
      <c r="AD3662" s="2" t="s">
        <v>46</v>
      </c>
    </row>
    <row r="3663" customFormat="false" ht="15.7" hidden="false" customHeight="true" outlineLevel="0" collapsed="false">
      <c r="A3663" s="2"/>
      <c r="B3663" s="3" t="n">
        <f aca="false">DATE(2018,7,4)</f>
        <v>0</v>
      </c>
      <c r="C3663" s="3" t="n">
        <v>43285</v>
      </c>
      <c r="D3663" s="2" t="s">
        <v>27720</v>
      </c>
      <c r="F3663" s="2" t="s">
        <v>27721</v>
      </c>
      <c r="G3663" s="2" t="s">
        <v>27722</v>
      </c>
      <c r="H3663" s="2" t="s">
        <v>27723</v>
      </c>
      <c r="I3663" s="2" t="s">
        <v>27724</v>
      </c>
      <c r="J3663" s="2" t="s">
        <v>116</v>
      </c>
      <c r="K3663" s="2" t="s">
        <v>27725</v>
      </c>
      <c r="L3663" s="2" t="s">
        <v>27724</v>
      </c>
      <c r="M3663" s="2" t="s">
        <v>27726</v>
      </c>
      <c r="N3663" s="2" t="s">
        <v>27727</v>
      </c>
      <c r="O3663" s="2"/>
      <c r="P3663" s="2" t="s">
        <v>37</v>
      </c>
      <c r="Q3663" s="4" t="n">
        <v>8731</v>
      </c>
      <c r="R3663" s="2" t="s">
        <v>38</v>
      </c>
      <c r="S3663" s="2" t="s">
        <v>39</v>
      </c>
      <c r="T3663" s="2" t="s">
        <v>40</v>
      </c>
      <c r="U3663" s="2" t="s">
        <v>27728</v>
      </c>
      <c r="V3663" s="2"/>
      <c r="W3663" s="2" t="s">
        <v>27729</v>
      </c>
      <c r="X3663" s="2" t="s">
        <v>43</v>
      </c>
      <c r="Y3663" s="2" t="s">
        <v>37</v>
      </c>
      <c r="Z3663" s="2" t="s">
        <v>916</v>
      </c>
      <c r="AA3663" s="2"/>
      <c r="AB3663" s="2"/>
      <c r="AC3663" s="2" t="s">
        <v>27730</v>
      </c>
      <c r="AD3663" s="2" t="s">
        <v>46</v>
      </c>
    </row>
    <row r="3664" customFormat="false" ht="15.7" hidden="false" customHeight="true" outlineLevel="0" collapsed="false">
      <c r="A3664" s="2"/>
      <c r="B3664" s="3" t="n">
        <f aca="false">DATE(2018,7,5)</f>
        <v>0</v>
      </c>
      <c r="C3664" s="3" t="n">
        <v>43286</v>
      </c>
      <c r="D3664" s="2" t="s">
        <v>27731</v>
      </c>
      <c r="F3664" s="2" t="s">
        <v>17957</v>
      </c>
      <c r="G3664" s="2" t="s">
        <v>27732</v>
      </c>
      <c r="H3664" s="2" t="s">
        <v>1020</v>
      </c>
      <c r="I3664" s="2" t="s">
        <v>51</v>
      </c>
      <c r="J3664" s="2" t="s">
        <v>828</v>
      </c>
      <c r="K3664" s="2" t="s">
        <v>27731</v>
      </c>
      <c r="L3664" s="2" t="s">
        <v>51</v>
      </c>
      <c r="M3664" s="2" t="s">
        <v>1020</v>
      </c>
      <c r="N3664" s="2" t="s">
        <v>27733</v>
      </c>
      <c r="O3664" s="2"/>
      <c r="P3664" s="2" t="s">
        <v>37</v>
      </c>
      <c r="Q3664" s="4" t="n">
        <v>8731</v>
      </c>
      <c r="R3664" s="2" t="s">
        <v>56</v>
      </c>
      <c r="S3664" s="2"/>
      <c r="T3664" s="2" t="s">
        <v>40</v>
      </c>
      <c r="U3664" s="2" t="s">
        <v>27734</v>
      </c>
      <c r="V3664" s="2"/>
      <c r="W3664" s="2" t="s">
        <v>344</v>
      </c>
      <c r="X3664" s="2" t="s">
        <v>43</v>
      </c>
      <c r="Y3664" s="2" t="s">
        <v>37</v>
      </c>
      <c r="Z3664" s="2" t="s">
        <v>44</v>
      </c>
      <c r="AA3664" s="2"/>
      <c r="AB3664" s="2"/>
      <c r="AC3664" s="2" t="s">
        <v>27735</v>
      </c>
      <c r="AD3664" s="2" t="s">
        <v>46</v>
      </c>
    </row>
    <row r="3665" customFormat="false" ht="15.7" hidden="false" customHeight="true" outlineLevel="0" collapsed="false">
      <c r="A3665" s="2"/>
      <c r="B3665" s="3" t="n">
        <f aca="false">DATE(2018,7,5)</f>
        <v>0</v>
      </c>
      <c r="C3665" s="3" t="n">
        <v>43286</v>
      </c>
      <c r="D3665" s="2" t="s">
        <v>27736</v>
      </c>
      <c r="F3665" s="2" t="s">
        <v>22407</v>
      </c>
      <c r="G3665" s="2" t="s">
        <v>27737</v>
      </c>
      <c r="H3665" s="2" t="s">
        <v>762</v>
      </c>
      <c r="I3665" s="2" t="s">
        <v>17612</v>
      </c>
      <c r="J3665" s="2" t="s">
        <v>35</v>
      </c>
      <c r="K3665" s="2" t="s">
        <v>27736</v>
      </c>
      <c r="L3665" s="2" t="s">
        <v>17612</v>
      </c>
      <c r="M3665" s="2" t="s">
        <v>762</v>
      </c>
      <c r="N3665" s="2" t="s">
        <v>27738</v>
      </c>
      <c r="O3665" s="2"/>
      <c r="P3665" s="2" t="s">
        <v>37</v>
      </c>
      <c r="Q3665" s="4" t="n">
        <v>8731</v>
      </c>
      <c r="R3665" s="2" t="s">
        <v>136</v>
      </c>
      <c r="S3665" s="2" t="s">
        <v>39</v>
      </c>
      <c r="T3665" s="2" t="s">
        <v>40</v>
      </c>
      <c r="U3665" s="2" t="s">
        <v>27739</v>
      </c>
      <c r="V3665" s="2"/>
      <c r="W3665" s="2" t="s">
        <v>42</v>
      </c>
      <c r="X3665" s="2" t="s">
        <v>43</v>
      </c>
      <c r="Y3665" s="2" t="s">
        <v>37</v>
      </c>
      <c r="Z3665" s="2" t="s">
        <v>44</v>
      </c>
      <c r="AA3665" s="2"/>
      <c r="AB3665" s="2"/>
      <c r="AC3665" s="2" t="s">
        <v>27740</v>
      </c>
      <c r="AD3665" s="2" t="s">
        <v>46</v>
      </c>
    </row>
    <row r="3666" customFormat="false" ht="15.7" hidden="false" customHeight="true" outlineLevel="0" collapsed="false">
      <c r="A3666" s="2"/>
      <c r="B3666" s="3" t="n">
        <f aca="false">DATE(2018,7,9)</f>
        <v>0</v>
      </c>
      <c r="C3666" s="3" t="n">
        <v>43290</v>
      </c>
      <c r="D3666" s="2" t="s">
        <v>27741</v>
      </c>
      <c r="F3666" s="2" t="s">
        <v>20280</v>
      </c>
      <c r="G3666" s="2" t="s">
        <v>27742</v>
      </c>
      <c r="H3666" s="2" t="s">
        <v>762</v>
      </c>
      <c r="I3666" s="2" t="s">
        <v>23172</v>
      </c>
      <c r="J3666" s="2" t="s">
        <v>35</v>
      </c>
      <c r="K3666" s="2" t="s">
        <v>27741</v>
      </c>
      <c r="L3666" s="2" t="s">
        <v>23172</v>
      </c>
      <c r="M3666" s="2" t="s">
        <v>170</v>
      </c>
      <c r="N3666" s="2" t="s">
        <v>27743</v>
      </c>
      <c r="O3666" s="2"/>
      <c r="P3666" s="2" t="s">
        <v>37</v>
      </c>
      <c r="Q3666" s="4" t="n">
        <v>8099</v>
      </c>
      <c r="R3666" s="2" t="s">
        <v>105</v>
      </c>
      <c r="S3666" s="2" t="s">
        <v>39</v>
      </c>
      <c r="T3666" s="2" t="s">
        <v>673</v>
      </c>
      <c r="U3666" s="2" t="s">
        <v>27744</v>
      </c>
      <c r="V3666" s="2"/>
      <c r="W3666" s="2" t="s">
        <v>4487</v>
      </c>
      <c r="X3666" s="2" t="s">
        <v>43</v>
      </c>
      <c r="Y3666" s="2" t="s">
        <v>37</v>
      </c>
      <c r="Z3666" s="2" t="s">
        <v>44</v>
      </c>
      <c r="AA3666" s="2"/>
      <c r="AB3666" s="2"/>
      <c r="AC3666" s="2" t="s">
        <v>27745</v>
      </c>
      <c r="AD3666" s="2" t="s">
        <v>46</v>
      </c>
    </row>
    <row r="3667" customFormat="false" ht="15.7" hidden="false" customHeight="true" outlineLevel="0" collapsed="false">
      <c r="A3667" s="2"/>
      <c r="B3667" s="3" t="n">
        <f aca="false">DATE(2018,7,9)</f>
        <v>0</v>
      </c>
      <c r="C3667" s="3" t="n">
        <v>43290</v>
      </c>
      <c r="D3667" s="2" t="s">
        <v>27746</v>
      </c>
      <c r="F3667" s="2" t="s">
        <v>20591</v>
      </c>
      <c r="G3667" s="2" t="s">
        <v>27747</v>
      </c>
      <c r="H3667" s="2" t="s">
        <v>305</v>
      </c>
      <c r="I3667" s="2" t="s">
        <v>27748</v>
      </c>
      <c r="J3667" s="2" t="s">
        <v>35</v>
      </c>
      <c r="K3667" s="2" t="s">
        <v>27749</v>
      </c>
      <c r="L3667" s="2" t="s">
        <v>3103</v>
      </c>
      <c r="M3667" s="2" t="s">
        <v>305</v>
      </c>
      <c r="N3667" s="2" t="s">
        <v>27750</v>
      </c>
      <c r="O3667" s="2"/>
      <c r="P3667" s="2" t="s">
        <v>37</v>
      </c>
      <c r="Q3667" s="4" t="n">
        <v>8731</v>
      </c>
      <c r="R3667" s="2" t="s">
        <v>136</v>
      </c>
      <c r="S3667" s="2" t="s">
        <v>39</v>
      </c>
      <c r="T3667" s="2" t="s">
        <v>40</v>
      </c>
      <c r="U3667" s="2" t="s">
        <v>27751</v>
      </c>
      <c r="V3667" s="2"/>
      <c r="W3667" s="2" t="s">
        <v>1050</v>
      </c>
      <c r="X3667" s="2" t="s">
        <v>43</v>
      </c>
      <c r="Y3667" s="2" t="s">
        <v>37</v>
      </c>
      <c r="Z3667" s="2" t="s">
        <v>44</v>
      </c>
      <c r="AA3667" s="2"/>
      <c r="AB3667" s="2"/>
      <c r="AC3667" s="2" t="s">
        <v>27752</v>
      </c>
      <c r="AD3667" s="2" t="s">
        <v>46</v>
      </c>
    </row>
    <row r="3668" customFormat="false" ht="15.7" hidden="false" customHeight="true" outlineLevel="0" collapsed="false">
      <c r="A3668" s="2"/>
      <c r="B3668" s="3" t="n">
        <f aca="false">DATE(2018,7,11)</f>
        <v>0</v>
      </c>
      <c r="C3668" s="3" t="n">
        <v>43292</v>
      </c>
      <c r="D3668" s="2" t="s">
        <v>27753</v>
      </c>
      <c r="F3668" s="2" t="s">
        <v>27754</v>
      </c>
      <c r="G3668" s="2" t="s">
        <v>27755</v>
      </c>
      <c r="H3668" s="2" t="s">
        <v>27756</v>
      </c>
      <c r="I3668" s="2" t="s">
        <v>27757</v>
      </c>
      <c r="J3668" s="2" t="s">
        <v>966</v>
      </c>
      <c r="K3668" s="2" t="s">
        <v>27753</v>
      </c>
      <c r="L3668" s="2" t="s">
        <v>27757</v>
      </c>
      <c r="M3668" s="2" t="s">
        <v>27756</v>
      </c>
      <c r="N3668" s="2" t="s">
        <v>27758</v>
      </c>
      <c r="O3668" s="2"/>
      <c r="P3668" s="2" t="s">
        <v>37</v>
      </c>
      <c r="Q3668" s="4" t="n">
        <v>8731</v>
      </c>
      <c r="R3668" s="2"/>
      <c r="S3668" s="2"/>
      <c r="T3668" s="2" t="s">
        <v>40</v>
      </c>
      <c r="U3668" s="2" t="s">
        <v>27759</v>
      </c>
      <c r="V3668" s="2"/>
      <c r="W3668" s="2" t="s">
        <v>42</v>
      </c>
      <c r="X3668" s="2" t="s">
        <v>43</v>
      </c>
      <c r="Y3668" s="2" t="s">
        <v>37</v>
      </c>
      <c r="Z3668" s="2" t="s">
        <v>44</v>
      </c>
      <c r="AA3668" s="2"/>
      <c r="AB3668" s="2"/>
      <c r="AC3668" s="2" t="s">
        <v>27760</v>
      </c>
      <c r="AD3668" s="2" t="s">
        <v>46</v>
      </c>
    </row>
    <row r="3669" customFormat="false" ht="15.7" hidden="false" customHeight="true" outlineLevel="0" collapsed="false">
      <c r="A3669" s="2"/>
      <c r="B3669" s="3" t="n">
        <f aca="false">DATE(2018,7,11)</f>
        <v>0</v>
      </c>
      <c r="C3669" s="3" t="n">
        <v>43292</v>
      </c>
      <c r="D3669" s="2" t="s">
        <v>27761</v>
      </c>
      <c r="F3669" s="2" t="s">
        <v>27762</v>
      </c>
      <c r="G3669" s="2" t="s">
        <v>27763</v>
      </c>
      <c r="H3669" s="2" t="s">
        <v>4987</v>
      </c>
      <c r="I3669" s="2" t="s">
        <v>51</v>
      </c>
      <c r="J3669" s="2" t="s">
        <v>171</v>
      </c>
      <c r="K3669" s="2" t="s">
        <v>27764</v>
      </c>
      <c r="L3669" s="2" t="s">
        <v>51</v>
      </c>
      <c r="M3669" s="2" t="s">
        <v>23904</v>
      </c>
      <c r="N3669" s="2" t="s">
        <v>27765</v>
      </c>
      <c r="O3669" s="2"/>
      <c r="P3669" s="2" t="s">
        <v>37</v>
      </c>
      <c r="Q3669" s="4" t="n">
        <v>7372</v>
      </c>
      <c r="R3669" s="2" t="s">
        <v>56</v>
      </c>
      <c r="S3669" s="2" t="s">
        <v>507</v>
      </c>
      <c r="T3669" s="2" t="s">
        <v>40</v>
      </c>
      <c r="U3669" s="2" t="s">
        <v>27766</v>
      </c>
      <c r="V3669" s="2"/>
      <c r="W3669" s="2" t="s">
        <v>27767</v>
      </c>
      <c r="X3669" s="2" t="s">
        <v>46</v>
      </c>
      <c r="Y3669" s="2" t="s">
        <v>37</v>
      </c>
      <c r="Z3669" s="2" t="s">
        <v>44</v>
      </c>
      <c r="AA3669" s="2"/>
      <c r="AB3669" s="2"/>
      <c r="AC3669" s="2" t="s">
        <v>27768</v>
      </c>
      <c r="AD3669" s="2" t="s">
        <v>46</v>
      </c>
    </row>
    <row r="3670" customFormat="false" ht="15.7" hidden="false" customHeight="true" outlineLevel="0" collapsed="false">
      <c r="A3670" s="2"/>
      <c r="B3670" s="3" t="n">
        <f aca="false">DATE(2018,7,12)</f>
        <v>0</v>
      </c>
      <c r="C3670" s="3" t="n">
        <v>43293</v>
      </c>
      <c r="D3670" s="2" t="s">
        <v>27769</v>
      </c>
      <c r="F3670" s="2" t="s">
        <v>27770</v>
      </c>
      <c r="G3670" s="2" t="s">
        <v>27771</v>
      </c>
      <c r="H3670" s="2" t="s">
        <v>130</v>
      </c>
      <c r="I3670" s="2" t="s">
        <v>3320</v>
      </c>
      <c r="J3670" s="2" t="s">
        <v>35</v>
      </c>
      <c r="K3670" s="2" t="s">
        <v>27772</v>
      </c>
      <c r="L3670" s="2" t="s">
        <v>131</v>
      </c>
      <c r="M3670" s="2" t="s">
        <v>130</v>
      </c>
      <c r="N3670" s="2" t="s">
        <v>27773</v>
      </c>
      <c r="O3670" s="2"/>
      <c r="P3670" s="2" t="s">
        <v>37</v>
      </c>
      <c r="Q3670" s="4" t="n">
        <v>8731</v>
      </c>
      <c r="R3670" s="2" t="s">
        <v>402</v>
      </c>
      <c r="S3670" s="2" t="s">
        <v>39</v>
      </c>
      <c r="T3670" s="2" t="s">
        <v>40</v>
      </c>
      <c r="U3670" s="2" t="s">
        <v>27774</v>
      </c>
      <c r="V3670" s="2"/>
      <c r="W3670" s="2" t="s">
        <v>27775</v>
      </c>
      <c r="X3670" s="2" t="s">
        <v>43</v>
      </c>
      <c r="Y3670" s="2" t="s">
        <v>37</v>
      </c>
      <c r="Z3670" s="2" t="s">
        <v>44</v>
      </c>
      <c r="AA3670" s="2"/>
      <c r="AB3670" s="2"/>
      <c r="AC3670" s="2" t="s">
        <v>27776</v>
      </c>
      <c r="AD3670" s="2" t="s">
        <v>46</v>
      </c>
    </row>
    <row r="3671" customFormat="false" ht="15.7" hidden="false" customHeight="true" outlineLevel="0" collapsed="false">
      <c r="A3671" s="2"/>
      <c r="B3671" s="3" t="n">
        <f aca="false">DATE(2018,7,12)</f>
        <v>0</v>
      </c>
      <c r="C3671" s="3" t="n">
        <v>43293</v>
      </c>
      <c r="D3671" s="2" t="s">
        <v>27777</v>
      </c>
      <c r="F3671" s="2" t="s">
        <v>27778</v>
      </c>
      <c r="G3671" s="2" t="s">
        <v>27779</v>
      </c>
      <c r="H3671" s="2" t="s">
        <v>3008</v>
      </c>
      <c r="I3671" s="2" t="s">
        <v>88</v>
      </c>
      <c r="J3671" s="2" t="s">
        <v>1807</v>
      </c>
      <c r="K3671" s="2" t="s">
        <v>27780</v>
      </c>
      <c r="L3671" s="2" t="s">
        <v>88</v>
      </c>
      <c r="M3671" s="2" t="s">
        <v>27781</v>
      </c>
      <c r="N3671" s="2" t="s">
        <v>27782</v>
      </c>
      <c r="O3671" s="2"/>
      <c r="P3671" s="2" t="s">
        <v>37</v>
      </c>
      <c r="Q3671" s="4" t="n">
        <v>8731</v>
      </c>
      <c r="R3671" s="2" t="s">
        <v>136</v>
      </c>
      <c r="S3671" s="2" t="s">
        <v>39</v>
      </c>
      <c r="T3671" s="2" t="s">
        <v>403</v>
      </c>
      <c r="U3671" s="2" t="s">
        <v>27783</v>
      </c>
      <c r="V3671" s="2"/>
      <c r="W3671" s="2" t="s">
        <v>138</v>
      </c>
      <c r="X3671" s="2" t="s">
        <v>43</v>
      </c>
      <c r="Y3671" s="2" t="s">
        <v>37</v>
      </c>
      <c r="Z3671" s="2" t="s">
        <v>44</v>
      </c>
      <c r="AA3671" s="2"/>
      <c r="AB3671" s="2"/>
      <c r="AC3671" s="2" t="s">
        <v>27784</v>
      </c>
      <c r="AD3671" s="2" t="s">
        <v>46</v>
      </c>
    </row>
    <row r="3672" customFormat="false" ht="15.7" hidden="false" customHeight="true" outlineLevel="0" collapsed="false">
      <c r="A3672" s="2"/>
      <c r="B3672" s="3" t="n">
        <f aca="false">DATE(2018,7,12)</f>
        <v>0</v>
      </c>
      <c r="C3672" s="3" t="n">
        <v>43293</v>
      </c>
      <c r="D3672" s="2" t="s">
        <v>27785</v>
      </c>
      <c r="F3672" s="2" t="s">
        <v>21967</v>
      </c>
      <c r="G3672" s="2" t="s">
        <v>27786</v>
      </c>
      <c r="H3672" s="2" t="s">
        <v>368</v>
      </c>
      <c r="I3672" s="2" t="s">
        <v>330</v>
      </c>
      <c r="J3672" s="2" t="s">
        <v>966</v>
      </c>
      <c r="K3672" s="2" t="s">
        <v>27787</v>
      </c>
      <c r="L3672" s="2" t="s">
        <v>330</v>
      </c>
      <c r="M3672" s="2" t="s">
        <v>12041</v>
      </c>
      <c r="N3672" s="2" t="s">
        <v>27788</v>
      </c>
      <c r="O3672" s="2"/>
      <c r="P3672" s="2" t="s">
        <v>37</v>
      </c>
      <c r="Q3672" s="4" t="n">
        <v>6794</v>
      </c>
      <c r="R3672" s="2" t="s">
        <v>136</v>
      </c>
      <c r="S3672" s="2" t="s">
        <v>39</v>
      </c>
      <c r="T3672" s="2" t="s">
        <v>40</v>
      </c>
      <c r="U3672" s="2" t="s">
        <v>27789</v>
      </c>
      <c r="V3672" s="2"/>
      <c r="W3672" s="2" t="s">
        <v>15545</v>
      </c>
      <c r="X3672" s="2" t="s">
        <v>43</v>
      </c>
      <c r="Y3672" s="2" t="s">
        <v>37</v>
      </c>
      <c r="Z3672" s="2" t="s">
        <v>44</v>
      </c>
      <c r="AA3672" s="2"/>
      <c r="AB3672" s="2"/>
      <c r="AC3672" s="2" t="s">
        <v>27790</v>
      </c>
      <c r="AD3672" s="2" t="s">
        <v>46</v>
      </c>
    </row>
    <row r="3673" customFormat="false" ht="15.7" hidden="false" customHeight="true" outlineLevel="0" collapsed="false">
      <c r="A3673" s="2"/>
      <c r="B3673" s="3" t="n">
        <f aca="false">DATE(2018,7,12)</f>
        <v>0</v>
      </c>
      <c r="C3673" s="3" t="n">
        <v>43293</v>
      </c>
      <c r="D3673" s="2" t="s">
        <v>27791</v>
      </c>
      <c r="F3673" s="2" t="s">
        <v>27792</v>
      </c>
      <c r="G3673" s="2" t="s">
        <v>27793</v>
      </c>
      <c r="H3673" s="2" t="s">
        <v>27794</v>
      </c>
      <c r="I3673" s="2" t="s">
        <v>1779</v>
      </c>
      <c r="J3673" s="2" t="s">
        <v>35</v>
      </c>
      <c r="K3673" s="2" t="s">
        <v>27795</v>
      </c>
      <c r="L3673" s="2" t="s">
        <v>1779</v>
      </c>
      <c r="M3673" s="2" t="s">
        <v>27796</v>
      </c>
      <c r="N3673" s="2" t="s">
        <v>27797</v>
      </c>
      <c r="O3673" s="2"/>
      <c r="P3673" s="2" t="s">
        <v>37</v>
      </c>
      <c r="Q3673" s="4" t="n">
        <v>6799</v>
      </c>
      <c r="R3673" s="2" t="s">
        <v>402</v>
      </c>
      <c r="S3673" s="2" t="s">
        <v>39</v>
      </c>
      <c r="T3673" s="2" t="s">
        <v>40</v>
      </c>
      <c r="U3673" s="2" t="s">
        <v>27798</v>
      </c>
      <c r="V3673" s="2"/>
      <c r="W3673" s="2" t="s">
        <v>27799</v>
      </c>
      <c r="X3673" s="2" t="s">
        <v>43</v>
      </c>
      <c r="Y3673" s="2" t="s">
        <v>37</v>
      </c>
      <c r="Z3673" s="2" t="s">
        <v>44</v>
      </c>
      <c r="AA3673" s="2"/>
      <c r="AB3673" s="2"/>
      <c r="AC3673" s="2" t="s">
        <v>27800</v>
      </c>
      <c r="AD3673" s="2" t="s">
        <v>46</v>
      </c>
    </row>
    <row r="3674" customFormat="false" ht="15.7" hidden="false" customHeight="true" outlineLevel="0" collapsed="false">
      <c r="A3674" s="2"/>
      <c r="B3674" s="3" t="n">
        <f aca="false">DATE(2018,7,13)</f>
        <v>0</v>
      </c>
      <c r="C3674" s="3" t="n">
        <v>43294</v>
      </c>
      <c r="D3674" s="2" t="s">
        <v>27801</v>
      </c>
      <c r="F3674" s="2" t="s">
        <v>27802</v>
      </c>
      <c r="G3674" s="2" t="s">
        <v>27803</v>
      </c>
      <c r="H3674" s="2" t="s">
        <v>27804</v>
      </c>
      <c r="I3674" s="2" t="s">
        <v>6134</v>
      </c>
      <c r="J3674" s="2" t="s">
        <v>65</v>
      </c>
      <c r="K3674" s="2" t="s">
        <v>27801</v>
      </c>
      <c r="L3674" s="2" t="s">
        <v>6134</v>
      </c>
      <c r="M3674" s="2" t="s">
        <v>27804</v>
      </c>
      <c r="N3674" s="2" t="s">
        <v>27805</v>
      </c>
      <c r="O3674" s="2"/>
      <c r="P3674" s="2" t="s">
        <v>37</v>
      </c>
      <c r="Q3674" s="4" t="n">
        <v>8731</v>
      </c>
      <c r="R3674" s="2"/>
      <c r="S3674" s="2"/>
      <c r="T3674" s="2" t="s">
        <v>40</v>
      </c>
      <c r="U3674" s="2" t="s">
        <v>27806</v>
      </c>
      <c r="V3674" s="2"/>
      <c r="W3674" s="2" t="s">
        <v>3235</v>
      </c>
      <c r="X3674" s="2" t="s">
        <v>43</v>
      </c>
      <c r="Y3674" s="2" t="s">
        <v>37</v>
      </c>
      <c r="Z3674" s="2" t="s">
        <v>44</v>
      </c>
      <c r="AA3674" s="2"/>
      <c r="AB3674" s="2"/>
      <c r="AC3674" s="2" t="s">
        <v>27807</v>
      </c>
      <c r="AD3674" s="2" t="s">
        <v>46</v>
      </c>
    </row>
    <row r="3675" customFormat="false" ht="15.7" hidden="false" customHeight="true" outlineLevel="0" collapsed="false">
      <c r="A3675" s="2"/>
      <c r="B3675" s="3" t="n">
        <f aca="false">DATE(2018,7,13)</f>
        <v>0</v>
      </c>
      <c r="C3675" s="3" t="n">
        <v>43294</v>
      </c>
      <c r="D3675" s="2" t="s">
        <v>27808</v>
      </c>
      <c r="F3675" s="2" t="s">
        <v>347</v>
      </c>
      <c r="G3675" s="2" t="s">
        <v>27809</v>
      </c>
      <c r="H3675" s="2" t="s">
        <v>63</v>
      </c>
      <c r="I3675" s="2" t="s">
        <v>2803</v>
      </c>
      <c r="J3675" s="2" t="s">
        <v>35</v>
      </c>
      <c r="K3675" s="2" t="s">
        <v>27808</v>
      </c>
      <c r="L3675" s="2" t="s">
        <v>2803</v>
      </c>
      <c r="M3675" s="2" t="s">
        <v>63</v>
      </c>
      <c r="N3675" s="2" t="s">
        <v>27810</v>
      </c>
      <c r="O3675" s="2"/>
      <c r="P3675" s="2" t="s">
        <v>37</v>
      </c>
      <c r="Q3675" s="4" t="n">
        <v>8731</v>
      </c>
      <c r="R3675" s="2" t="s">
        <v>136</v>
      </c>
      <c r="S3675" s="2" t="s">
        <v>39</v>
      </c>
      <c r="T3675" s="2" t="s">
        <v>40</v>
      </c>
      <c r="U3675" s="2" t="s">
        <v>27811</v>
      </c>
      <c r="V3675" s="2"/>
      <c r="W3675" s="2" t="s">
        <v>24450</v>
      </c>
      <c r="X3675" s="2" t="s">
        <v>43</v>
      </c>
      <c r="Y3675" s="2" t="s">
        <v>37</v>
      </c>
      <c r="Z3675" s="2" t="s">
        <v>44</v>
      </c>
      <c r="AA3675" s="2"/>
      <c r="AB3675" s="2"/>
      <c r="AC3675" s="2" t="s">
        <v>27812</v>
      </c>
      <c r="AD3675" s="2" t="s">
        <v>46</v>
      </c>
    </row>
    <row r="3676" customFormat="false" ht="15.7" hidden="false" customHeight="true" outlineLevel="0" collapsed="false">
      <c r="A3676" s="2"/>
      <c r="B3676" s="3" t="n">
        <f aca="false">DATE(2018,7,13)</f>
        <v>0</v>
      </c>
      <c r="C3676" s="3" t="n">
        <v>43294</v>
      </c>
      <c r="D3676" s="2" t="s">
        <v>27813</v>
      </c>
      <c r="F3676" s="2" t="s">
        <v>27814</v>
      </c>
      <c r="G3676" s="2" t="s">
        <v>27815</v>
      </c>
      <c r="H3676" s="2" t="s">
        <v>27816</v>
      </c>
      <c r="I3676" s="2" t="s">
        <v>27817</v>
      </c>
      <c r="J3676" s="2" t="s">
        <v>35</v>
      </c>
      <c r="K3676" s="2" t="s">
        <v>27813</v>
      </c>
      <c r="L3676" s="2" t="s">
        <v>27817</v>
      </c>
      <c r="M3676" s="2" t="s">
        <v>27816</v>
      </c>
      <c r="N3676" s="2" t="s">
        <v>27818</v>
      </c>
      <c r="O3676" s="2"/>
      <c r="P3676" s="2" t="s">
        <v>37</v>
      </c>
      <c r="Q3676" s="4" t="n">
        <v>8731</v>
      </c>
      <c r="R3676" s="2"/>
      <c r="S3676" s="2"/>
      <c r="T3676" s="2" t="s">
        <v>40</v>
      </c>
      <c r="U3676" s="2" t="s">
        <v>27819</v>
      </c>
      <c r="V3676" s="2"/>
      <c r="W3676" s="2" t="s">
        <v>10841</v>
      </c>
      <c r="X3676" s="2" t="s">
        <v>43</v>
      </c>
      <c r="Y3676" s="2" t="s">
        <v>37</v>
      </c>
      <c r="Z3676" s="2" t="s">
        <v>44</v>
      </c>
      <c r="AA3676" s="2"/>
      <c r="AB3676" s="2"/>
      <c r="AC3676" s="2" t="s">
        <v>27820</v>
      </c>
      <c r="AD3676" s="2" t="s">
        <v>46</v>
      </c>
    </row>
    <row r="3677" customFormat="false" ht="15.7" hidden="false" customHeight="true" outlineLevel="0" collapsed="false">
      <c r="A3677" s="2"/>
      <c r="B3677" s="3" t="n">
        <f aca="false">DATE(2018,7,16)</f>
        <v>0</v>
      </c>
      <c r="C3677" s="3" t="n">
        <v>43297</v>
      </c>
      <c r="D3677" s="2" t="s">
        <v>27821</v>
      </c>
      <c r="F3677" s="2" t="s">
        <v>27822</v>
      </c>
      <c r="G3677" s="2" t="s">
        <v>27823</v>
      </c>
      <c r="H3677" s="2" t="s">
        <v>27824</v>
      </c>
      <c r="I3677" s="2" t="s">
        <v>51</v>
      </c>
      <c r="J3677" s="2" t="s">
        <v>2490</v>
      </c>
      <c r="K3677" s="2" t="s">
        <v>27821</v>
      </c>
      <c r="L3677" s="2" t="s">
        <v>51</v>
      </c>
      <c r="M3677" s="2" t="s">
        <v>27824</v>
      </c>
      <c r="N3677" s="2" t="s">
        <v>27825</v>
      </c>
      <c r="O3677" s="2"/>
      <c r="P3677" s="2" t="s">
        <v>37</v>
      </c>
      <c r="Q3677" s="4" t="n">
        <v>8731</v>
      </c>
      <c r="R3677" s="2" t="s">
        <v>56</v>
      </c>
      <c r="S3677" s="2" t="s">
        <v>507</v>
      </c>
      <c r="T3677" s="2" t="s">
        <v>40</v>
      </c>
      <c r="U3677" s="2" t="s">
        <v>27826</v>
      </c>
      <c r="V3677" s="2"/>
      <c r="W3677" s="2" t="s">
        <v>697</v>
      </c>
      <c r="X3677" s="2" t="s">
        <v>43</v>
      </c>
      <c r="Y3677" s="2" t="s">
        <v>37</v>
      </c>
      <c r="Z3677" s="2" t="s">
        <v>44</v>
      </c>
      <c r="AA3677" s="2"/>
      <c r="AB3677" s="2"/>
      <c r="AC3677" s="2" t="s">
        <v>27827</v>
      </c>
      <c r="AD3677" s="2" t="s">
        <v>46</v>
      </c>
    </row>
    <row r="3678" customFormat="false" ht="15.7" hidden="false" customHeight="true" outlineLevel="0" collapsed="false">
      <c r="A3678" s="2"/>
      <c r="B3678" s="3" t="n">
        <f aca="false">DATE(2018,7,17)</f>
        <v>0</v>
      </c>
      <c r="C3678" s="3" t="n">
        <v>43298</v>
      </c>
      <c r="D3678" s="2" t="s">
        <v>27828</v>
      </c>
      <c r="F3678" s="2" t="s">
        <v>17976</v>
      </c>
      <c r="G3678" s="2" t="s">
        <v>27829</v>
      </c>
      <c r="H3678" s="2" t="s">
        <v>1027</v>
      </c>
      <c r="I3678" s="2" t="s">
        <v>51</v>
      </c>
      <c r="J3678" s="2" t="s">
        <v>22905</v>
      </c>
      <c r="K3678" s="2" t="s">
        <v>27828</v>
      </c>
      <c r="L3678" s="2" t="s">
        <v>51</v>
      </c>
      <c r="M3678" s="2" t="s">
        <v>1027</v>
      </c>
      <c r="N3678" s="2" t="s">
        <v>27830</v>
      </c>
      <c r="O3678" s="2"/>
      <c r="P3678" s="2" t="s">
        <v>37</v>
      </c>
      <c r="Q3678" s="4" t="n">
        <v>8731</v>
      </c>
      <c r="R3678" s="2" t="s">
        <v>56</v>
      </c>
      <c r="S3678" s="2"/>
      <c r="T3678" s="2" t="s">
        <v>40</v>
      </c>
      <c r="U3678" s="2" t="s">
        <v>27831</v>
      </c>
      <c r="V3678" s="2"/>
      <c r="W3678" s="2" t="s">
        <v>15773</v>
      </c>
      <c r="X3678" s="2" t="s">
        <v>43</v>
      </c>
      <c r="Y3678" s="2" t="s">
        <v>37</v>
      </c>
      <c r="Z3678" s="2" t="s">
        <v>44</v>
      </c>
      <c r="AA3678" s="2"/>
      <c r="AB3678" s="2"/>
      <c r="AC3678" s="2" t="s">
        <v>27832</v>
      </c>
      <c r="AD3678" s="2" t="s">
        <v>46</v>
      </c>
    </row>
    <row r="3679" customFormat="false" ht="15.7" hidden="false" customHeight="true" outlineLevel="0" collapsed="false">
      <c r="A3679" s="2"/>
      <c r="B3679" s="3" t="n">
        <f aca="false">DATE(2018,7,17)</f>
        <v>0</v>
      </c>
      <c r="C3679" s="3" t="n">
        <v>43298</v>
      </c>
      <c r="D3679" s="2" t="s">
        <v>27833</v>
      </c>
      <c r="F3679" s="2" t="s">
        <v>27834</v>
      </c>
      <c r="G3679" s="2" t="s">
        <v>27835</v>
      </c>
      <c r="H3679" s="2" t="s">
        <v>27836</v>
      </c>
      <c r="I3679" s="2" t="s">
        <v>12299</v>
      </c>
      <c r="J3679" s="2" t="s">
        <v>35</v>
      </c>
      <c r="K3679" s="2" t="s">
        <v>27833</v>
      </c>
      <c r="L3679" s="2" t="s">
        <v>12299</v>
      </c>
      <c r="M3679" s="2" t="s">
        <v>27836</v>
      </c>
      <c r="N3679" s="2" t="s">
        <v>27837</v>
      </c>
      <c r="O3679" s="2"/>
      <c r="P3679" s="2" t="s">
        <v>37</v>
      </c>
      <c r="Q3679" s="4" t="n">
        <v>8731</v>
      </c>
      <c r="R3679" s="2"/>
      <c r="S3679" s="2"/>
      <c r="T3679" s="2" t="s">
        <v>40</v>
      </c>
      <c r="U3679" s="2" t="s">
        <v>27838</v>
      </c>
      <c r="V3679" s="2"/>
      <c r="W3679" s="2" t="s">
        <v>42</v>
      </c>
      <c r="X3679" s="2" t="s">
        <v>46</v>
      </c>
      <c r="Y3679" s="2" t="s">
        <v>37</v>
      </c>
      <c r="Z3679" s="2" t="s">
        <v>44</v>
      </c>
      <c r="AA3679" s="2"/>
      <c r="AB3679" s="2"/>
      <c r="AC3679" s="2" t="s">
        <v>27839</v>
      </c>
      <c r="AD3679" s="2" t="s">
        <v>46</v>
      </c>
    </row>
    <row r="3680" customFormat="false" ht="15.7" hidden="false" customHeight="true" outlineLevel="0" collapsed="false">
      <c r="A3680" s="2"/>
      <c r="B3680" s="3" t="n">
        <f aca="false">DATE(2018,7,17)</f>
        <v>0</v>
      </c>
      <c r="C3680" s="3" t="n">
        <v>43298</v>
      </c>
      <c r="D3680" s="2" t="s">
        <v>27840</v>
      </c>
      <c r="F3680" s="2" t="s">
        <v>27841</v>
      </c>
      <c r="G3680" s="2" t="s">
        <v>27842</v>
      </c>
      <c r="H3680" s="2" t="s">
        <v>27843</v>
      </c>
      <c r="I3680" s="2" t="s">
        <v>540</v>
      </c>
      <c r="J3680" s="2" t="s">
        <v>35</v>
      </c>
      <c r="K3680" s="2" t="s">
        <v>27844</v>
      </c>
      <c r="L3680" s="2" t="s">
        <v>487</v>
      </c>
      <c r="M3680" s="2" t="s">
        <v>20378</v>
      </c>
      <c r="N3680" s="2" t="s">
        <v>27845</v>
      </c>
      <c r="O3680" s="2"/>
      <c r="P3680" s="2" t="s">
        <v>37</v>
      </c>
      <c r="Q3680" s="4" t="n">
        <v>8731</v>
      </c>
      <c r="R3680" s="2"/>
      <c r="S3680" s="2"/>
      <c r="T3680" s="2" t="s">
        <v>40</v>
      </c>
      <c r="U3680" s="2" t="s">
        <v>27846</v>
      </c>
      <c r="V3680" s="2"/>
      <c r="W3680" s="2" t="s">
        <v>42</v>
      </c>
      <c r="X3680" s="2" t="s">
        <v>46</v>
      </c>
      <c r="Y3680" s="2" t="s">
        <v>37</v>
      </c>
      <c r="Z3680" s="2" t="s">
        <v>44</v>
      </c>
      <c r="AA3680" s="2"/>
      <c r="AB3680" s="2"/>
      <c r="AC3680" s="2" t="s">
        <v>27847</v>
      </c>
      <c r="AD3680" s="2" t="s">
        <v>46</v>
      </c>
    </row>
    <row r="3681" customFormat="false" ht="15.7" hidden="false" customHeight="true" outlineLevel="0" collapsed="false">
      <c r="A3681" s="2"/>
      <c r="B3681" s="3" t="n">
        <f aca="false">DATE(2018,7,18)</f>
        <v>0</v>
      </c>
      <c r="C3681" s="3" t="n">
        <v>43299</v>
      </c>
      <c r="D3681" s="2" t="s">
        <v>27848</v>
      </c>
      <c r="F3681" s="2" t="s">
        <v>27849</v>
      </c>
      <c r="G3681" s="2" t="s">
        <v>27850</v>
      </c>
      <c r="H3681" s="2" t="s">
        <v>368</v>
      </c>
      <c r="I3681" s="2" t="s">
        <v>27851</v>
      </c>
      <c r="J3681" s="2" t="s">
        <v>35</v>
      </c>
      <c r="K3681" s="2" t="s">
        <v>27852</v>
      </c>
      <c r="L3681" s="2" t="s">
        <v>5999</v>
      </c>
      <c r="M3681" s="2" t="s">
        <v>368</v>
      </c>
      <c r="N3681" s="2" t="s">
        <v>27853</v>
      </c>
      <c r="O3681" s="2"/>
      <c r="P3681" s="2" t="s">
        <v>37</v>
      </c>
      <c r="Q3681" s="4" t="n">
        <v>8099</v>
      </c>
      <c r="R3681" s="2" t="s">
        <v>121</v>
      </c>
      <c r="S3681" s="2" t="s">
        <v>39</v>
      </c>
      <c r="T3681" s="2" t="s">
        <v>40</v>
      </c>
      <c r="U3681" s="2" t="s">
        <v>27854</v>
      </c>
      <c r="V3681" s="2"/>
      <c r="W3681" s="2" t="s">
        <v>4487</v>
      </c>
      <c r="X3681" s="2" t="s">
        <v>43</v>
      </c>
      <c r="Y3681" s="2" t="s">
        <v>37</v>
      </c>
      <c r="Z3681" s="2" t="s">
        <v>44</v>
      </c>
      <c r="AA3681" s="2"/>
      <c r="AB3681" s="2"/>
      <c r="AC3681" s="2" t="s">
        <v>27855</v>
      </c>
      <c r="AD3681" s="2" t="s">
        <v>46</v>
      </c>
    </row>
    <row r="3682" customFormat="false" ht="15.7" hidden="false" customHeight="true" outlineLevel="0" collapsed="false">
      <c r="A3682" s="2"/>
      <c r="B3682" s="3" t="n">
        <f aca="false">DATE(2018,7,18)</f>
        <v>0</v>
      </c>
      <c r="C3682" s="3" t="n">
        <v>43299</v>
      </c>
      <c r="D3682" s="2" t="s">
        <v>27856</v>
      </c>
      <c r="F3682" s="2" t="s">
        <v>27857</v>
      </c>
      <c r="G3682" s="2" t="s">
        <v>27858</v>
      </c>
      <c r="H3682" s="2" t="s">
        <v>27859</v>
      </c>
      <c r="I3682" s="2" t="s">
        <v>4325</v>
      </c>
      <c r="J3682" s="2" t="s">
        <v>35</v>
      </c>
      <c r="K3682" s="2" t="s">
        <v>27860</v>
      </c>
      <c r="L3682" s="2" t="s">
        <v>4325</v>
      </c>
      <c r="M3682" s="2" t="s">
        <v>27861</v>
      </c>
      <c r="N3682" s="2" t="s">
        <v>27862</v>
      </c>
      <c r="O3682" s="2"/>
      <c r="P3682" s="2" t="s">
        <v>37</v>
      </c>
      <c r="Q3682" s="4" t="n">
        <v>3999</v>
      </c>
      <c r="R3682" s="2" t="s">
        <v>402</v>
      </c>
      <c r="S3682" s="2" t="s">
        <v>39</v>
      </c>
      <c r="T3682" s="2" t="s">
        <v>403</v>
      </c>
      <c r="U3682" s="2" t="s">
        <v>27863</v>
      </c>
      <c r="V3682" s="2"/>
      <c r="W3682" s="2" t="s">
        <v>107</v>
      </c>
      <c r="X3682" s="2" t="s">
        <v>43</v>
      </c>
      <c r="Y3682" s="2" t="s">
        <v>37</v>
      </c>
      <c r="Z3682" s="2" t="s">
        <v>44</v>
      </c>
      <c r="AA3682" s="2"/>
      <c r="AB3682" s="2"/>
      <c r="AC3682" s="2" t="s">
        <v>27864</v>
      </c>
      <c r="AD3682" s="2" t="s">
        <v>46</v>
      </c>
    </row>
    <row r="3683" customFormat="false" ht="15.7" hidden="false" customHeight="true" outlineLevel="0" collapsed="false">
      <c r="A3683" s="2"/>
      <c r="B3683" s="3" t="n">
        <f aca="false">DATE(2018,7,18)</f>
        <v>0</v>
      </c>
      <c r="C3683" s="3" t="n">
        <v>43299</v>
      </c>
      <c r="D3683" s="2" t="s">
        <v>27865</v>
      </c>
      <c r="F3683" s="2" t="s">
        <v>27866</v>
      </c>
      <c r="G3683" s="2" t="s">
        <v>27867</v>
      </c>
      <c r="H3683" s="2" t="s">
        <v>27868</v>
      </c>
      <c r="I3683" s="2" t="s">
        <v>4179</v>
      </c>
      <c r="J3683" s="2" t="s">
        <v>331</v>
      </c>
      <c r="K3683" s="2" t="s">
        <v>27869</v>
      </c>
      <c r="L3683" s="2" t="s">
        <v>51</v>
      </c>
      <c r="M3683" s="2" t="s">
        <v>27870</v>
      </c>
      <c r="N3683" s="2" t="s">
        <v>27871</v>
      </c>
      <c r="O3683" s="2"/>
      <c r="P3683" s="2" t="s">
        <v>37</v>
      </c>
      <c r="Q3683" s="4" t="n">
        <v>7372</v>
      </c>
      <c r="R3683" s="2" t="s">
        <v>56</v>
      </c>
      <c r="S3683" s="2" t="s">
        <v>80</v>
      </c>
      <c r="T3683" s="2" t="s">
        <v>403</v>
      </c>
      <c r="U3683" s="2" t="s">
        <v>27872</v>
      </c>
      <c r="V3683" s="2"/>
      <c r="W3683" s="2" t="s">
        <v>27873</v>
      </c>
      <c r="X3683" s="2" t="s">
        <v>43</v>
      </c>
      <c r="Y3683" s="2" t="s">
        <v>37</v>
      </c>
      <c r="Z3683" s="2" t="s">
        <v>44</v>
      </c>
      <c r="AA3683" s="2"/>
      <c r="AB3683" s="2"/>
      <c r="AC3683" s="2" t="s">
        <v>27874</v>
      </c>
      <c r="AD3683" s="2" t="s">
        <v>46</v>
      </c>
    </row>
    <row r="3684" customFormat="false" ht="15.7" hidden="false" customHeight="true" outlineLevel="0" collapsed="false">
      <c r="A3684" s="2"/>
      <c r="B3684" s="3" t="n">
        <f aca="false">DATE(2018,7,18)</f>
        <v>0</v>
      </c>
      <c r="C3684" s="3" t="n">
        <v>43299</v>
      </c>
      <c r="D3684" s="2" t="s">
        <v>27875</v>
      </c>
      <c r="F3684" s="2" t="s">
        <v>17957</v>
      </c>
      <c r="G3684" s="2" t="s">
        <v>27876</v>
      </c>
      <c r="H3684" s="2" t="s">
        <v>1020</v>
      </c>
      <c r="I3684" s="2" t="s">
        <v>163</v>
      </c>
      <c r="J3684" s="2" t="s">
        <v>35</v>
      </c>
      <c r="K3684" s="2" t="s">
        <v>27875</v>
      </c>
      <c r="L3684" s="2" t="s">
        <v>163</v>
      </c>
      <c r="M3684" s="2" t="s">
        <v>1020</v>
      </c>
      <c r="N3684" s="2" t="s">
        <v>27877</v>
      </c>
      <c r="O3684" s="2"/>
      <c r="P3684" s="2" t="s">
        <v>37</v>
      </c>
      <c r="Q3684" s="4" t="n">
        <v>6794</v>
      </c>
      <c r="R3684" s="2" t="s">
        <v>2508</v>
      </c>
      <c r="S3684" s="2" t="s">
        <v>39</v>
      </c>
      <c r="T3684" s="2" t="s">
        <v>40</v>
      </c>
      <c r="U3684" s="2" t="s">
        <v>27878</v>
      </c>
      <c r="V3684" s="2"/>
      <c r="W3684" s="2" t="s">
        <v>15545</v>
      </c>
      <c r="X3684" s="2" t="s">
        <v>43</v>
      </c>
      <c r="Y3684" s="2" t="s">
        <v>37</v>
      </c>
      <c r="Z3684" s="2" t="s">
        <v>44</v>
      </c>
      <c r="AA3684" s="2"/>
      <c r="AB3684" s="2"/>
      <c r="AC3684" s="2" t="s">
        <v>27879</v>
      </c>
      <c r="AD3684" s="2" t="s">
        <v>46</v>
      </c>
    </row>
    <row r="3685" customFormat="false" ht="15.7" hidden="false" customHeight="true" outlineLevel="0" collapsed="false">
      <c r="A3685" s="2"/>
      <c r="B3685" s="3" t="n">
        <f aca="false">DATE(2018,7,18)</f>
        <v>0</v>
      </c>
      <c r="C3685" s="3" t="n">
        <v>43299</v>
      </c>
      <c r="D3685" s="2" t="s">
        <v>27880</v>
      </c>
      <c r="F3685" s="2" t="s">
        <v>4971</v>
      </c>
      <c r="G3685" s="2" t="s">
        <v>27881</v>
      </c>
      <c r="H3685" s="2" t="s">
        <v>63</v>
      </c>
      <c r="I3685" s="2" t="s">
        <v>821</v>
      </c>
      <c r="J3685" s="2" t="s">
        <v>203</v>
      </c>
      <c r="K3685" s="2" t="s">
        <v>27880</v>
      </c>
      <c r="L3685" s="2" t="s">
        <v>821</v>
      </c>
      <c r="M3685" s="2" t="s">
        <v>63</v>
      </c>
      <c r="N3685" s="2" t="s">
        <v>10536</v>
      </c>
      <c r="O3685" s="2" t="s">
        <v>27882</v>
      </c>
      <c r="P3685" s="2" t="s">
        <v>37</v>
      </c>
      <c r="Q3685" s="4" t="n">
        <v>8099</v>
      </c>
      <c r="R3685" s="2" t="s">
        <v>450</v>
      </c>
      <c r="S3685" s="2" t="s">
        <v>39</v>
      </c>
      <c r="T3685" s="2" t="s">
        <v>40</v>
      </c>
      <c r="U3685" s="2" t="s">
        <v>27883</v>
      </c>
      <c r="V3685" s="2"/>
      <c r="W3685" s="2" t="s">
        <v>4487</v>
      </c>
      <c r="X3685" s="2" t="s">
        <v>46</v>
      </c>
      <c r="Y3685" s="2" t="s">
        <v>37</v>
      </c>
      <c r="Z3685" s="2" t="s">
        <v>44</v>
      </c>
      <c r="AA3685" s="2"/>
      <c r="AB3685" s="2" t="s">
        <v>27884</v>
      </c>
      <c r="AC3685" s="2" t="s">
        <v>27885</v>
      </c>
      <c r="AD3685" s="2" t="s">
        <v>46</v>
      </c>
    </row>
    <row r="3686" customFormat="false" ht="15.7" hidden="false" customHeight="true" outlineLevel="0" collapsed="false">
      <c r="A3686" s="2"/>
      <c r="B3686" s="3" t="n">
        <f aca="false">DATE(2018,7,18)</f>
        <v>0</v>
      </c>
      <c r="C3686" s="3" t="n">
        <v>43299</v>
      </c>
      <c r="D3686" s="2" t="s">
        <v>27886</v>
      </c>
      <c r="F3686" s="2" t="s">
        <v>27887</v>
      </c>
      <c r="G3686" s="2" t="s">
        <v>27888</v>
      </c>
      <c r="H3686" s="2" t="s">
        <v>19615</v>
      </c>
      <c r="I3686" s="2" t="s">
        <v>51</v>
      </c>
      <c r="J3686" s="2" t="s">
        <v>5565</v>
      </c>
      <c r="K3686" s="2" t="s">
        <v>27886</v>
      </c>
      <c r="L3686" s="2" t="s">
        <v>51</v>
      </c>
      <c r="M3686" s="2" t="s">
        <v>19615</v>
      </c>
      <c r="N3686" s="2" t="s">
        <v>27889</v>
      </c>
      <c r="O3686" s="2"/>
      <c r="P3686" s="2" t="s">
        <v>37</v>
      </c>
      <c r="Q3686" s="4" t="n">
        <v>8731</v>
      </c>
      <c r="R3686" s="2"/>
      <c r="S3686" s="2"/>
      <c r="T3686" s="2" t="s">
        <v>40</v>
      </c>
      <c r="U3686" s="2" t="s">
        <v>27890</v>
      </c>
      <c r="V3686" s="2"/>
      <c r="W3686" s="2" t="s">
        <v>42</v>
      </c>
      <c r="X3686" s="2" t="s">
        <v>43</v>
      </c>
      <c r="Y3686" s="2" t="s">
        <v>37</v>
      </c>
      <c r="Z3686" s="2" t="s">
        <v>44</v>
      </c>
      <c r="AA3686" s="2"/>
      <c r="AB3686" s="2"/>
      <c r="AC3686" s="2" t="s">
        <v>27891</v>
      </c>
      <c r="AD3686" s="2" t="s">
        <v>46</v>
      </c>
    </row>
    <row r="3687" customFormat="false" ht="15.7" hidden="false" customHeight="true" outlineLevel="0" collapsed="false">
      <c r="A3687" s="2"/>
      <c r="B3687" s="3" t="n">
        <f aca="false">DATE(2018,7,18)</f>
        <v>0</v>
      </c>
      <c r="C3687" s="3" t="n">
        <v>43299</v>
      </c>
      <c r="D3687" s="2" t="s">
        <v>27892</v>
      </c>
      <c r="F3687" s="2" t="s">
        <v>21144</v>
      </c>
      <c r="G3687" s="2" t="s">
        <v>27893</v>
      </c>
      <c r="H3687" s="2" t="s">
        <v>7181</v>
      </c>
      <c r="I3687" s="2" t="s">
        <v>6838</v>
      </c>
      <c r="J3687" s="2" t="s">
        <v>35</v>
      </c>
      <c r="K3687" s="2" t="s">
        <v>27892</v>
      </c>
      <c r="L3687" s="2" t="s">
        <v>6838</v>
      </c>
      <c r="M3687" s="2" t="s">
        <v>7181</v>
      </c>
      <c r="N3687" s="2" t="s">
        <v>27894</v>
      </c>
      <c r="O3687" s="2"/>
      <c r="P3687" s="2" t="s">
        <v>37</v>
      </c>
      <c r="Q3687" s="4" t="n">
        <v>8731</v>
      </c>
      <c r="R3687" s="2" t="s">
        <v>402</v>
      </c>
      <c r="S3687" s="2" t="s">
        <v>39</v>
      </c>
      <c r="T3687" s="2" t="s">
        <v>40</v>
      </c>
      <c r="U3687" s="2" t="s">
        <v>27895</v>
      </c>
      <c r="V3687" s="2"/>
      <c r="W3687" s="2" t="s">
        <v>697</v>
      </c>
      <c r="X3687" s="2" t="s">
        <v>46</v>
      </c>
      <c r="Y3687" s="2" t="s">
        <v>37</v>
      </c>
      <c r="Z3687" s="2" t="s">
        <v>44</v>
      </c>
      <c r="AA3687" s="2"/>
      <c r="AB3687" s="2"/>
      <c r="AC3687" s="2" t="s">
        <v>27896</v>
      </c>
      <c r="AD3687" s="2" t="s">
        <v>46</v>
      </c>
    </row>
    <row r="3688" customFormat="false" ht="15.7" hidden="false" customHeight="true" outlineLevel="0" collapsed="false">
      <c r="A3688" s="2"/>
      <c r="B3688" s="3" t="n">
        <f aca="false">DATE(2018,7,19)</f>
        <v>0</v>
      </c>
      <c r="C3688" s="3" t="n">
        <v>43300</v>
      </c>
      <c r="D3688" s="2" t="s">
        <v>27897</v>
      </c>
      <c r="F3688" s="2" t="s">
        <v>27898</v>
      </c>
      <c r="G3688" s="2" t="s">
        <v>27899</v>
      </c>
      <c r="H3688" s="2" t="s">
        <v>7948</v>
      </c>
      <c r="I3688" s="2" t="s">
        <v>51</v>
      </c>
      <c r="J3688" s="2" t="s">
        <v>171</v>
      </c>
      <c r="K3688" s="2" t="s">
        <v>27897</v>
      </c>
      <c r="L3688" s="2" t="s">
        <v>51</v>
      </c>
      <c r="M3688" s="2" t="s">
        <v>7948</v>
      </c>
      <c r="N3688" s="2" t="s">
        <v>27900</v>
      </c>
      <c r="O3688" s="2"/>
      <c r="P3688" s="2" t="s">
        <v>37</v>
      </c>
      <c r="Q3688" s="4" t="n">
        <v>8099</v>
      </c>
      <c r="R3688" s="2" t="s">
        <v>56</v>
      </c>
      <c r="S3688" s="2" t="s">
        <v>92</v>
      </c>
      <c r="T3688" s="2" t="s">
        <v>403</v>
      </c>
      <c r="U3688" s="2" t="s">
        <v>27901</v>
      </c>
      <c r="V3688" s="2"/>
      <c r="W3688" s="2" t="s">
        <v>4487</v>
      </c>
      <c r="X3688" s="2" t="s">
        <v>43</v>
      </c>
      <c r="Y3688" s="2" t="s">
        <v>37</v>
      </c>
      <c r="Z3688" s="2" t="s">
        <v>44</v>
      </c>
      <c r="AA3688" s="2"/>
      <c r="AB3688" s="2"/>
      <c r="AC3688" s="2" t="s">
        <v>27902</v>
      </c>
      <c r="AD3688" s="2" t="s">
        <v>46</v>
      </c>
    </row>
    <row r="3689" customFormat="false" ht="15.7" hidden="false" customHeight="true" outlineLevel="0" collapsed="false">
      <c r="A3689" s="2"/>
      <c r="B3689" s="3" t="n">
        <f aca="false">DATE(2018,7,20)</f>
        <v>0</v>
      </c>
      <c r="C3689" s="3" t="n">
        <v>43301</v>
      </c>
      <c r="D3689" s="2" t="s">
        <v>27903</v>
      </c>
      <c r="F3689" s="2" t="s">
        <v>27904</v>
      </c>
      <c r="G3689" s="2" t="s">
        <v>27905</v>
      </c>
      <c r="H3689" s="2" t="s">
        <v>12396</v>
      </c>
      <c r="I3689" s="2" t="s">
        <v>27906</v>
      </c>
      <c r="J3689" s="2" t="s">
        <v>35</v>
      </c>
      <c r="K3689" s="2" t="s">
        <v>27907</v>
      </c>
      <c r="L3689" s="2" t="s">
        <v>27906</v>
      </c>
      <c r="M3689" s="2" t="s">
        <v>6112</v>
      </c>
      <c r="N3689" s="2" t="s">
        <v>27908</v>
      </c>
      <c r="O3689" s="2"/>
      <c r="P3689" s="2" t="s">
        <v>37</v>
      </c>
      <c r="Q3689" s="4" t="n">
        <v>8099</v>
      </c>
      <c r="R3689" s="2" t="s">
        <v>14482</v>
      </c>
      <c r="S3689" s="2" t="s">
        <v>39</v>
      </c>
      <c r="T3689" s="2" t="s">
        <v>403</v>
      </c>
      <c r="U3689" s="2" t="s">
        <v>27909</v>
      </c>
      <c r="V3689" s="2"/>
      <c r="W3689" s="2" t="s">
        <v>4487</v>
      </c>
      <c r="X3689" s="2" t="s">
        <v>43</v>
      </c>
      <c r="Y3689" s="2" t="s">
        <v>37</v>
      </c>
      <c r="Z3689" s="2" t="s">
        <v>44</v>
      </c>
      <c r="AA3689" s="2"/>
      <c r="AB3689" s="2"/>
      <c r="AC3689" s="2" t="s">
        <v>27910</v>
      </c>
      <c r="AD3689" s="2" t="s">
        <v>46</v>
      </c>
    </row>
    <row r="3690" customFormat="false" ht="15.7" hidden="false" customHeight="true" outlineLevel="0" collapsed="false">
      <c r="A3690" s="2"/>
      <c r="B3690" s="3" t="n">
        <f aca="false">DATE(2018,7,20)</f>
        <v>0</v>
      </c>
      <c r="C3690" s="3" t="n">
        <v>43301</v>
      </c>
      <c r="D3690" s="2" t="s">
        <v>27911</v>
      </c>
      <c r="F3690" s="2" t="s">
        <v>24008</v>
      </c>
      <c r="G3690" s="2" t="s">
        <v>27912</v>
      </c>
      <c r="H3690" s="2" t="s">
        <v>1473</v>
      </c>
      <c r="I3690" s="2" t="s">
        <v>487</v>
      </c>
      <c r="J3690" s="2" t="s">
        <v>3303</v>
      </c>
      <c r="K3690" s="2" t="s">
        <v>27911</v>
      </c>
      <c r="L3690" s="2" t="s">
        <v>487</v>
      </c>
      <c r="M3690" s="2" t="s">
        <v>1473</v>
      </c>
      <c r="N3690" s="2" t="s">
        <v>27913</v>
      </c>
      <c r="O3690" s="2"/>
      <c r="P3690" s="2" t="s">
        <v>37</v>
      </c>
      <c r="Q3690" s="4" t="n">
        <v>8731</v>
      </c>
      <c r="R3690" s="2" t="s">
        <v>56</v>
      </c>
      <c r="S3690" s="2" t="s">
        <v>1576</v>
      </c>
      <c r="T3690" s="2" t="s">
        <v>40</v>
      </c>
      <c r="U3690" s="2" t="s">
        <v>27914</v>
      </c>
      <c r="V3690" s="2"/>
      <c r="W3690" s="2" t="s">
        <v>6344</v>
      </c>
      <c r="X3690" s="2" t="s">
        <v>43</v>
      </c>
      <c r="Y3690" s="2" t="s">
        <v>37</v>
      </c>
      <c r="Z3690" s="2" t="s">
        <v>44</v>
      </c>
      <c r="AA3690" s="2"/>
      <c r="AB3690" s="2"/>
      <c r="AC3690" s="2" t="s">
        <v>27915</v>
      </c>
      <c r="AD3690" s="2" t="s">
        <v>46</v>
      </c>
    </row>
    <row r="3691" customFormat="false" ht="15.7" hidden="false" customHeight="true" outlineLevel="0" collapsed="false">
      <c r="A3691" s="2"/>
      <c r="B3691" s="3" t="n">
        <f aca="false">DATE(2018,7,20)</f>
        <v>0</v>
      </c>
      <c r="C3691" s="3" t="n">
        <v>43301</v>
      </c>
      <c r="D3691" s="2" t="s">
        <v>27916</v>
      </c>
      <c r="F3691" s="2" t="s">
        <v>27917</v>
      </c>
      <c r="G3691" s="2" t="s">
        <v>27918</v>
      </c>
      <c r="H3691" s="2" t="s">
        <v>1943</v>
      </c>
      <c r="I3691" s="2" t="s">
        <v>4325</v>
      </c>
      <c r="J3691" s="2" t="s">
        <v>35</v>
      </c>
      <c r="K3691" s="2" t="s">
        <v>27919</v>
      </c>
      <c r="L3691" s="2" t="s">
        <v>4325</v>
      </c>
      <c r="M3691" s="2" t="s">
        <v>63</v>
      </c>
      <c r="N3691" s="2" t="s">
        <v>27920</v>
      </c>
      <c r="O3691" s="2"/>
      <c r="P3691" s="2" t="s">
        <v>37</v>
      </c>
      <c r="Q3691" s="4" t="n">
        <v>8099</v>
      </c>
      <c r="R3691" s="2" t="s">
        <v>402</v>
      </c>
      <c r="S3691" s="2" t="s">
        <v>39</v>
      </c>
      <c r="T3691" s="2" t="s">
        <v>403</v>
      </c>
      <c r="U3691" s="2" t="s">
        <v>27921</v>
      </c>
      <c r="V3691" s="2"/>
      <c r="W3691" s="2" t="s">
        <v>4487</v>
      </c>
      <c r="X3691" s="2" t="s">
        <v>43</v>
      </c>
      <c r="Y3691" s="2" t="s">
        <v>37</v>
      </c>
      <c r="Z3691" s="2" t="s">
        <v>44</v>
      </c>
      <c r="AA3691" s="2"/>
      <c r="AB3691" s="2"/>
      <c r="AC3691" s="2" t="s">
        <v>27922</v>
      </c>
      <c r="AD3691" s="2" t="s">
        <v>46</v>
      </c>
    </row>
    <row r="3692" customFormat="false" ht="15.7" hidden="false" customHeight="true" outlineLevel="0" collapsed="false">
      <c r="A3692" s="2"/>
      <c r="B3692" s="3" t="n">
        <f aca="false">DATE(2018,7,22)</f>
        <v>0</v>
      </c>
      <c r="C3692" s="3" t="n">
        <v>43303</v>
      </c>
      <c r="D3692" s="2" t="s">
        <v>27923</v>
      </c>
      <c r="F3692" s="2" t="s">
        <v>27924</v>
      </c>
      <c r="G3692" s="2" t="s">
        <v>27925</v>
      </c>
      <c r="H3692" s="2" t="s">
        <v>27926</v>
      </c>
      <c r="I3692" s="2" t="s">
        <v>27927</v>
      </c>
      <c r="J3692" s="2" t="s">
        <v>35</v>
      </c>
      <c r="K3692" s="2" t="s">
        <v>27923</v>
      </c>
      <c r="L3692" s="2" t="s">
        <v>27927</v>
      </c>
      <c r="M3692" s="2" t="s">
        <v>27926</v>
      </c>
      <c r="N3692" s="2" t="s">
        <v>27928</v>
      </c>
      <c r="O3692" s="2" t="s">
        <v>27929</v>
      </c>
      <c r="P3692" s="2" t="s">
        <v>37</v>
      </c>
      <c r="Q3692" s="4" t="n">
        <v>8731</v>
      </c>
      <c r="R3692" s="2" t="s">
        <v>16340</v>
      </c>
      <c r="S3692" s="2" t="s">
        <v>39</v>
      </c>
      <c r="T3692" s="2" t="s">
        <v>40</v>
      </c>
      <c r="U3692" s="2" t="s">
        <v>27930</v>
      </c>
      <c r="V3692" s="2"/>
      <c r="W3692" s="2" t="s">
        <v>10902</v>
      </c>
      <c r="X3692" s="2" t="s">
        <v>46</v>
      </c>
      <c r="Y3692" s="2" t="s">
        <v>37</v>
      </c>
      <c r="Z3692" s="2" t="s">
        <v>44</v>
      </c>
      <c r="AA3692" s="2"/>
      <c r="AB3692" s="2" t="s">
        <v>27931</v>
      </c>
      <c r="AC3692" s="2" t="s">
        <v>27932</v>
      </c>
      <c r="AD3692" s="2" t="s">
        <v>46</v>
      </c>
    </row>
    <row r="3693" customFormat="false" ht="15.7" hidden="false" customHeight="true" outlineLevel="0" collapsed="false">
      <c r="A3693" s="2"/>
      <c r="B3693" s="3" t="n">
        <f aca="false">DATE(2018,7,23)</f>
        <v>0</v>
      </c>
      <c r="C3693" s="3" t="n">
        <v>43304</v>
      </c>
      <c r="D3693" s="2" t="s">
        <v>27933</v>
      </c>
      <c r="F3693" s="2" t="s">
        <v>20280</v>
      </c>
      <c r="G3693" s="2" t="s">
        <v>27934</v>
      </c>
      <c r="H3693" s="2" t="s">
        <v>170</v>
      </c>
      <c r="I3693" s="2" t="s">
        <v>330</v>
      </c>
      <c r="J3693" s="2" t="s">
        <v>258</v>
      </c>
      <c r="K3693" s="2" t="s">
        <v>27933</v>
      </c>
      <c r="L3693" s="2" t="s">
        <v>330</v>
      </c>
      <c r="M3693" s="2" t="s">
        <v>170</v>
      </c>
      <c r="N3693" s="2" t="s">
        <v>27935</v>
      </c>
      <c r="O3693" s="2"/>
      <c r="P3693" s="2" t="s">
        <v>37</v>
      </c>
      <c r="Q3693" s="4" t="n">
        <v>8099</v>
      </c>
      <c r="R3693" s="2" t="s">
        <v>2201</v>
      </c>
      <c r="S3693" s="2" t="s">
        <v>39</v>
      </c>
      <c r="T3693" s="2" t="s">
        <v>40</v>
      </c>
      <c r="U3693" s="2" t="s">
        <v>27936</v>
      </c>
      <c r="V3693" s="2"/>
      <c r="W3693" s="2" t="s">
        <v>19532</v>
      </c>
      <c r="X3693" s="2" t="s">
        <v>43</v>
      </c>
      <c r="Y3693" s="2" t="s">
        <v>37</v>
      </c>
      <c r="Z3693" s="2" t="s">
        <v>44</v>
      </c>
      <c r="AA3693" s="2"/>
      <c r="AB3693" s="2"/>
      <c r="AC3693" s="2" t="s">
        <v>27937</v>
      </c>
      <c r="AD3693" s="2" t="s">
        <v>46</v>
      </c>
    </row>
    <row r="3694" customFormat="false" ht="15.7" hidden="false" customHeight="true" outlineLevel="0" collapsed="false">
      <c r="A3694" s="2"/>
      <c r="B3694" s="3" t="n">
        <f aca="false">DATE(2018,7,23)</f>
        <v>0</v>
      </c>
      <c r="C3694" s="3" t="n">
        <v>43304</v>
      </c>
      <c r="D3694" s="2" t="s">
        <v>27938</v>
      </c>
      <c r="F3694" s="2" t="s">
        <v>27939</v>
      </c>
      <c r="G3694" s="2" t="s">
        <v>27940</v>
      </c>
      <c r="H3694" s="2" t="s">
        <v>4926</v>
      </c>
      <c r="I3694" s="2" t="s">
        <v>51</v>
      </c>
      <c r="J3694" s="2" t="s">
        <v>3704</v>
      </c>
      <c r="K3694" s="2" t="s">
        <v>27938</v>
      </c>
      <c r="L3694" s="2" t="s">
        <v>51</v>
      </c>
      <c r="M3694" s="2" t="s">
        <v>4926</v>
      </c>
      <c r="N3694" s="2" t="s">
        <v>27941</v>
      </c>
      <c r="O3694" s="2"/>
      <c r="P3694" s="2" t="s">
        <v>37</v>
      </c>
      <c r="Q3694" s="4" t="n">
        <v>8731</v>
      </c>
      <c r="R3694" s="2" t="s">
        <v>56</v>
      </c>
      <c r="S3694" s="2" t="s">
        <v>315</v>
      </c>
      <c r="T3694" s="2" t="s">
        <v>403</v>
      </c>
      <c r="U3694" s="2" t="s">
        <v>27942</v>
      </c>
      <c r="V3694" s="2"/>
      <c r="W3694" s="2" t="s">
        <v>344</v>
      </c>
      <c r="X3694" s="2" t="s">
        <v>43</v>
      </c>
      <c r="Y3694" s="2" t="s">
        <v>37</v>
      </c>
      <c r="Z3694" s="2" t="s">
        <v>44</v>
      </c>
      <c r="AA3694" s="2"/>
      <c r="AB3694" s="2"/>
      <c r="AC3694" s="2" t="s">
        <v>27943</v>
      </c>
      <c r="AD3694" s="2" t="s">
        <v>46</v>
      </c>
    </row>
    <row r="3695" customFormat="false" ht="15.7" hidden="false" customHeight="true" outlineLevel="0" collapsed="false">
      <c r="A3695" s="2"/>
      <c r="B3695" s="3" t="n">
        <f aca="false">DATE(2018,7,24)</f>
        <v>0</v>
      </c>
      <c r="C3695" s="3" t="n">
        <v>43305</v>
      </c>
      <c r="D3695" s="2" t="s">
        <v>27944</v>
      </c>
      <c r="F3695" s="2" t="s">
        <v>27945</v>
      </c>
      <c r="G3695" s="2" t="s">
        <v>27946</v>
      </c>
      <c r="H3695" s="2" t="s">
        <v>63</v>
      </c>
      <c r="I3695" s="2" t="s">
        <v>51</v>
      </c>
      <c r="J3695" s="2" t="s">
        <v>1834</v>
      </c>
      <c r="K3695" s="2" t="s">
        <v>27944</v>
      </c>
      <c r="L3695" s="2" t="s">
        <v>51</v>
      </c>
      <c r="M3695" s="2" t="s">
        <v>1027</v>
      </c>
      <c r="N3695" s="2" t="s">
        <v>27947</v>
      </c>
      <c r="O3695" s="2"/>
      <c r="P3695" s="2" t="s">
        <v>79</v>
      </c>
      <c r="Q3695" s="4" t="n">
        <v>6794</v>
      </c>
      <c r="R3695" s="2" t="s">
        <v>56</v>
      </c>
      <c r="S3695" s="2" t="s">
        <v>57</v>
      </c>
      <c r="T3695" s="2" t="s">
        <v>40</v>
      </c>
      <c r="U3695" s="2" t="s">
        <v>27948</v>
      </c>
      <c r="V3695" s="2"/>
      <c r="W3695" s="2" t="s">
        <v>15545</v>
      </c>
      <c r="X3695" s="2" t="s">
        <v>43</v>
      </c>
      <c r="Y3695" s="2" t="s">
        <v>37</v>
      </c>
      <c r="Z3695" s="2" t="s">
        <v>44</v>
      </c>
      <c r="AA3695" s="2" t="s">
        <v>27949</v>
      </c>
      <c r="AB3695" s="2"/>
      <c r="AC3695" s="2" t="s">
        <v>27950</v>
      </c>
      <c r="AD3695" s="2" t="s">
        <v>46</v>
      </c>
    </row>
    <row r="3696" customFormat="false" ht="15.7" hidden="false" customHeight="true" outlineLevel="0" collapsed="false">
      <c r="A3696" s="2"/>
      <c r="B3696" s="3" t="n">
        <f aca="false">DATE(2018,7,24)</f>
        <v>0</v>
      </c>
      <c r="C3696" s="3" t="n">
        <v>43305</v>
      </c>
      <c r="D3696" s="2" t="s">
        <v>27951</v>
      </c>
      <c r="F3696" s="2" t="s">
        <v>27952</v>
      </c>
      <c r="G3696" s="2" t="s">
        <v>27953</v>
      </c>
      <c r="H3696" s="2" t="s">
        <v>1088</v>
      </c>
      <c r="I3696" s="2" t="s">
        <v>51</v>
      </c>
      <c r="J3696" s="2" t="s">
        <v>3135</v>
      </c>
      <c r="K3696" s="2" t="s">
        <v>27951</v>
      </c>
      <c r="L3696" s="2" t="s">
        <v>51</v>
      </c>
      <c r="M3696" s="2" t="s">
        <v>1088</v>
      </c>
      <c r="N3696" s="2" t="s">
        <v>27954</v>
      </c>
      <c r="O3696" s="2"/>
      <c r="P3696" s="2" t="s">
        <v>79</v>
      </c>
      <c r="Q3696" s="4" t="n">
        <v>6794</v>
      </c>
      <c r="R3696" s="2" t="s">
        <v>56</v>
      </c>
      <c r="S3696" s="2" t="s">
        <v>92</v>
      </c>
      <c r="T3696" s="2" t="s">
        <v>40</v>
      </c>
      <c r="U3696" s="2" t="s">
        <v>27955</v>
      </c>
      <c r="V3696" s="2"/>
      <c r="W3696" s="2" t="s">
        <v>15545</v>
      </c>
      <c r="X3696" s="2" t="s">
        <v>43</v>
      </c>
      <c r="Y3696" s="2" t="s">
        <v>37</v>
      </c>
      <c r="Z3696" s="2" t="s">
        <v>44</v>
      </c>
      <c r="AA3696" s="2"/>
      <c r="AB3696" s="2"/>
      <c r="AC3696" s="2" t="s">
        <v>27956</v>
      </c>
      <c r="AD3696" s="2" t="s">
        <v>46</v>
      </c>
    </row>
    <row r="3697" customFormat="false" ht="15.7" hidden="false" customHeight="true" outlineLevel="0" collapsed="false">
      <c r="A3697" s="2"/>
      <c r="B3697" s="3" t="n">
        <f aca="false">DATE(2018,7,24)</f>
        <v>0</v>
      </c>
      <c r="C3697" s="3" t="n">
        <v>43305</v>
      </c>
      <c r="D3697" s="2" t="s">
        <v>27957</v>
      </c>
      <c r="F3697" s="2" t="s">
        <v>27958</v>
      </c>
      <c r="G3697" s="2" t="s">
        <v>27959</v>
      </c>
      <c r="H3697" s="2" t="s">
        <v>230</v>
      </c>
      <c r="I3697" s="2" t="s">
        <v>540</v>
      </c>
      <c r="J3697" s="2" t="s">
        <v>35</v>
      </c>
      <c r="K3697" s="2" t="s">
        <v>27957</v>
      </c>
      <c r="L3697" s="2" t="s">
        <v>540</v>
      </c>
      <c r="M3697" s="2" t="s">
        <v>230</v>
      </c>
      <c r="N3697" s="2" t="s">
        <v>27960</v>
      </c>
      <c r="O3697" s="2"/>
      <c r="P3697" s="2" t="s">
        <v>37</v>
      </c>
      <c r="Q3697" s="4" t="n">
        <v>8731</v>
      </c>
      <c r="R3697" s="2" t="s">
        <v>1448</v>
      </c>
      <c r="S3697" s="2" t="s">
        <v>39</v>
      </c>
      <c r="T3697" s="2" t="s">
        <v>673</v>
      </c>
      <c r="U3697" s="2" t="s">
        <v>27961</v>
      </c>
      <c r="V3697" s="2"/>
      <c r="W3697" s="2" t="s">
        <v>27962</v>
      </c>
      <c r="X3697" s="2" t="s">
        <v>46</v>
      </c>
      <c r="Y3697" s="2" t="s">
        <v>37</v>
      </c>
      <c r="Z3697" s="2" t="s">
        <v>362</v>
      </c>
      <c r="AA3697" s="2"/>
      <c r="AB3697" s="2"/>
      <c r="AC3697" s="2" t="s">
        <v>27963</v>
      </c>
      <c r="AD3697" s="2" t="s">
        <v>46</v>
      </c>
    </row>
    <row r="3698" customFormat="false" ht="15.7" hidden="false" customHeight="true" outlineLevel="0" collapsed="false">
      <c r="A3698" s="2"/>
      <c r="B3698" s="3" t="n">
        <f aca="false">DATE(2018,7,24)</f>
        <v>0</v>
      </c>
      <c r="C3698" s="3" t="n">
        <v>43305</v>
      </c>
      <c r="D3698" s="2" t="s">
        <v>27964</v>
      </c>
      <c r="F3698" s="2" t="s">
        <v>27965</v>
      </c>
      <c r="G3698" s="2" t="s">
        <v>27966</v>
      </c>
      <c r="H3698" s="2" t="s">
        <v>27967</v>
      </c>
      <c r="I3698" s="2" t="s">
        <v>51</v>
      </c>
      <c r="J3698" s="2" t="s">
        <v>5470</v>
      </c>
      <c r="K3698" s="2" t="s">
        <v>27964</v>
      </c>
      <c r="L3698" s="2" t="s">
        <v>51</v>
      </c>
      <c r="M3698" s="2" t="s">
        <v>27967</v>
      </c>
      <c r="N3698" s="2" t="s">
        <v>27968</v>
      </c>
      <c r="O3698" s="2"/>
      <c r="P3698" s="2" t="s">
        <v>37</v>
      </c>
      <c r="Q3698" s="4" t="n">
        <v>7372</v>
      </c>
      <c r="R3698" s="2" t="s">
        <v>56</v>
      </c>
      <c r="S3698" s="2" t="s">
        <v>1226</v>
      </c>
      <c r="T3698" s="2" t="s">
        <v>40</v>
      </c>
      <c r="U3698" s="2" t="s">
        <v>27969</v>
      </c>
      <c r="V3698" s="2"/>
      <c r="W3698" s="2" t="s">
        <v>27099</v>
      </c>
      <c r="X3698" s="2" t="s">
        <v>43</v>
      </c>
      <c r="Y3698" s="2" t="s">
        <v>37</v>
      </c>
      <c r="Z3698" s="2" t="s">
        <v>44</v>
      </c>
      <c r="AA3698" s="2"/>
      <c r="AB3698" s="2"/>
      <c r="AC3698" s="2" t="s">
        <v>27970</v>
      </c>
      <c r="AD3698" s="2" t="s">
        <v>46</v>
      </c>
    </row>
    <row r="3699" customFormat="false" ht="15.7" hidden="false" customHeight="true" outlineLevel="0" collapsed="false">
      <c r="A3699" s="2"/>
      <c r="B3699" s="3" t="n">
        <f aca="false">DATE(2018,7,25)</f>
        <v>0</v>
      </c>
      <c r="C3699" s="3" t="n">
        <v>43306</v>
      </c>
      <c r="D3699" s="2" t="s">
        <v>27971</v>
      </c>
      <c r="F3699" s="2" t="s">
        <v>27972</v>
      </c>
      <c r="G3699" s="2" t="s">
        <v>27973</v>
      </c>
      <c r="H3699" s="2" t="s">
        <v>2361</v>
      </c>
      <c r="I3699" s="2" t="s">
        <v>388</v>
      </c>
      <c r="J3699" s="2" t="s">
        <v>155</v>
      </c>
      <c r="K3699" s="2" t="s">
        <v>27971</v>
      </c>
      <c r="L3699" s="2" t="s">
        <v>388</v>
      </c>
      <c r="M3699" s="2" t="s">
        <v>2361</v>
      </c>
      <c r="N3699" s="2" t="s">
        <v>27974</v>
      </c>
      <c r="O3699" s="2"/>
      <c r="P3699" s="2" t="s">
        <v>37</v>
      </c>
      <c r="Q3699" s="4" t="n">
        <v>7373</v>
      </c>
      <c r="R3699" s="2" t="s">
        <v>136</v>
      </c>
      <c r="S3699" s="2" t="s">
        <v>39</v>
      </c>
      <c r="T3699" s="2" t="s">
        <v>403</v>
      </c>
      <c r="U3699" s="2" t="s">
        <v>27975</v>
      </c>
      <c r="V3699" s="2"/>
      <c r="W3699" s="2" t="s">
        <v>2367</v>
      </c>
      <c r="X3699" s="2" t="s">
        <v>43</v>
      </c>
      <c r="Y3699" s="2" t="s">
        <v>37</v>
      </c>
      <c r="Z3699" s="2" t="s">
        <v>44</v>
      </c>
      <c r="AA3699" s="2"/>
      <c r="AB3699" s="2"/>
      <c r="AC3699" s="2" t="s">
        <v>27976</v>
      </c>
      <c r="AD3699" s="2" t="s">
        <v>46</v>
      </c>
    </row>
    <row r="3700" customFormat="false" ht="15.7" hidden="false" customHeight="true" outlineLevel="0" collapsed="false">
      <c r="A3700" s="2"/>
      <c r="B3700" s="3" t="n">
        <f aca="false">DATE(2018,7,26)</f>
        <v>0</v>
      </c>
      <c r="C3700" s="3" t="n">
        <v>43307</v>
      </c>
      <c r="D3700" s="2" t="s">
        <v>27977</v>
      </c>
      <c r="F3700" s="2" t="s">
        <v>27978</v>
      </c>
      <c r="G3700" s="2" t="s">
        <v>27979</v>
      </c>
      <c r="H3700" s="2" t="s">
        <v>22280</v>
      </c>
      <c r="I3700" s="2" t="s">
        <v>51</v>
      </c>
      <c r="J3700" s="2" t="s">
        <v>5565</v>
      </c>
      <c r="K3700" s="2" t="s">
        <v>27977</v>
      </c>
      <c r="L3700" s="2" t="s">
        <v>51</v>
      </c>
      <c r="M3700" s="2" t="s">
        <v>22280</v>
      </c>
      <c r="N3700" s="2" t="s">
        <v>27980</v>
      </c>
      <c r="O3700" s="2"/>
      <c r="P3700" s="2" t="s">
        <v>37</v>
      </c>
      <c r="Q3700" s="4" t="n">
        <v>8731</v>
      </c>
      <c r="R3700" s="2" t="s">
        <v>56</v>
      </c>
      <c r="S3700" s="2" t="s">
        <v>277</v>
      </c>
      <c r="T3700" s="2" t="s">
        <v>40</v>
      </c>
      <c r="U3700" s="2" t="s">
        <v>27981</v>
      </c>
      <c r="V3700" s="2"/>
      <c r="W3700" s="2" t="s">
        <v>27982</v>
      </c>
      <c r="X3700" s="2" t="s">
        <v>43</v>
      </c>
      <c r="Y3700" s="2" t="s">
        <v>37</v>
      </c>
      <c r="Z3700" s="2" t="s">
        <v>44</v>
      </c>
      <c r="AA3700" s="2"/>
      <c r="AB3700" s="2"/>
      <c r="AC3700" s="2" t="s">
        <v>27983</v>
      </c>
      <c r="AD3700" s="2" t="s">
        <v>46</v>
      </c>
    </row>
    <row r="3701" customFormat="false" ht="15.7" hidden="false" customHeight="true" outlineLevel="0" collapsed="false">
      <c r="A3701" s="2"/>
      <c r="B3701" s="3" t="n">
        <f aca="false">DATE(2018,7,26)</f>
        <v>0</v>
      </c>
      <c r="C3701" s="3" t="n">
        <v>43307</v>
      </c>
      <c r="D3701" s="2" t="s">
        <v>27984</v>
      </c>
      <c r="F3701" s="2" t="s">
        <v>27985</v>
      </c>
      <c r="G3701" s="2" t="s">
        <v>27986</v>
      </c>
      <c r="H3701" s="2" t="s">
        <v>11288</v>
      </c>
      <c r="I3701" s="2" t="s">
        <v>435</v>
      </c>
      <c r="J3701" s="2" t="s">
        <v>488</v>
      </c>
      <c r="K3701" s="2" t="s">
        <v>27984</v>
      </c>
      <c r="L3701" s="2" t="s">
        <v>435</v>
      </c>
      <c r="M3701" s="2" t="s">
        <v>11288</v>
      </c>
      <c r="N3701" s="2" t="s">
        <v>27987</v>
      </c>
      <c r="O3701" s="2"/>
      <c r="P3701" s="2" t="s">
        <v>37</v>
      </c>
      <c r="Q3701" s="4" t="n">
        <v>8742</v>
      </c>
      <c r="R3701" s="2" t="s">
        <v>136</v>
      </c>
      <c r="S3701" s="2" t="s">
        <v>39</v>
      </c>
      <c r="T3701" s="2" t="s">
        <v>40</v>
      </c>
      <c r="U3701" s="2" t="s">
        <v>27988</v>
      </c>
      <c r="V3701" s="2"/>
      <c r="W3701" s="2" t="s">
        <v>27989</v>
      </c>
      <c r="X3701" s="2" t="s">
        <v>43</v>
      </c>
      <c r="Y3701" s="2" t="s">
        <v>37</v>
      </c>
      <c r="Z3701" s="2" t="s">
        <v>44</v>
      </c>
      <c r="AA3701" s="2"/>
      <c r="AB3701" s="2"/>
      <c r="AC3701" s="2" t="s">
        <v>27990</v>
      </c>
      <c r="AD3701" s="2" t="s">
        <v>46</v>
      </c>
    </row>
    <row r="3702" customFormat="false" ht="15.7" hidden="false" customHeight="true" outlineLevel="0" collapsed="false">
      <c r="A3702" s="2"/>
      <c r="B3702" s="3" t="n">
        <f aca="false">DATE(2018,7,26)</f>
        <v>0</v>
      </c>
      <c r="C3702" s="3" t="n">
        <v>43307</v>
      </c>
      <c r="D3702" s="2" t="s">
        <v>27991</v>
      </c>
      <c r="F3702" s="2" t="s">
        <v>27992</v>
      </c>
      <c r="G3702" s="2" t="s">
        <v>27993</v>
      </c>
      <c r="H3702" s="2" t="s">
        <v>27994</v>
      </c>
      <c r="I3702" s="2" t="s">
        <v>51</v>
      </c>
      <c r="J3702" s="2" t="s">
        <v>27995</v>
      </c>
      <c r="K3702" s="2" t="s">
        <v>27996</v>
      </c>
      <c r="L3702" s="2" t="s">
        <v>664</v>
      </c>
      <c r="M3702" s="2" t="s">
        <v>27997</v>
      </c>
      <c r="N3702" s="2" t="s">
        <v>27998</v>
      </c>
      <c r="O3702" s="2"/>
      <c r="P3702" s="2" t="s">
        <v>37</v>
      </c>
      <c r="Q3702" s="4" t="n">
        <v>8748</v>
      </c>
      <c r="R3702" s="2" t="s">
        <v>56</v>
      </c>
      <c r="S3702" s="2" t="s">
        <v>1622</v>
      </c>
      <c r="T3702" s="2" t="s">
        <v>403</v>
      </c>
      <c r="U3702" s="2" t="s">
        <v>27999</v>
      </c>
      <c r="V3702" s="2"/>
      <c r="W3702" s="2" t="s">
        <v>3949</v>
      </c>
      <c r="X3702" s="2" t="s">
        <v>43</v>
      </c>
      <c r="Y3702" s="2" t="s">
        <v>37</v>
      </c>
      <c r="Z3702" s="2" t="s">
        <v>44</v>
      </c>
      <c r="AA3702" s="2"/>
      <c r="AB3702" s="2"/>
      <c r="AC3702" s="2" t="s">
        <v>28000</v>
      </c>
      <c r="AD3702" s="2" t="s">
        <v>46</v>
      </c>
    </row>
    <row r="3703" customFormat="false" ht="15.7" hidden="false" customHeight="true" outlineLevel="0" collapsed="false">
      <c r="A3703" s="2"/>
      <c r="B3703" s="3" t="n">
        <f aca="false">DATE(2018,7,26)</f>
        <v>0</v>
      </c>
      <c r="C3703" s="3" t="n">
        <v>43307</v>
      </c>
      <c r="D3703" s="2" t="s">
        <v>28001</v>
      </c>
      <c r="F3703" s="2" t="s">
        <v>28002</v>
      </c>
      <c r="G3703" s="2" t="s">
        <v>28003</v>
      </c>
      <c r="H3703" s="2" t="s">
        <v>28004</v>
      </c>
      <c r="I3703" s="2" t="s">
        <v>51</v>
      </c>
      <c r="J3703" s="2" t="s">
        <v>19701</v>
      </c>
      <c r="K3703" s="2" t="s">
        <v>28001</v>
      </c>
      <c r="L3703" s="2" t="s">
        <v>51</v>
      </c>
      <c r="M3703" s="2" t="s">
        <v>28004</v>
      </c>
      <c r="N3703" s="2" t="s">
        <v>28005</v>
      </c>
      <c r="O3703" s="2"/>
      <c r="P3703" s="2" t="s">
        <v>37</v>
      </c>
      <c r="Q3703" s="4" t="n">
        <v>8731</v>
      </c>
      <c r="R3703" s="2" t="s">
        <v>56</v>
      </c>
      <c r="S3703" s="2" t="s">
        <v>1484</v>
      </c>
      <c r="T3703" s="2" t="s">
        <v>403</v>
      </c>
      <c r="U3703" s="2" t="s">
        <v>28006</v>
      </c>
      <c r="V3703" s="2"/>
      <c r="W3703" s="2" t="s">
        <v>344</v>
      </c>
      <c r="X3703" s="2" t="s">
        <v>43</v>
      </c>
      <c r="Y3703" s="2" t="s">
        <v>37</v>
      </c>
      <c r="Z3703" s="2" t="s">
        <v>44</v>
      </c>
      <c r="AA3703" s="2"/>
      <c r="AB3703" s="2"/>
      <c r="AC3703" s="2" t="s">
        <v>28007</v>
      </c>
      <c r="AD3703" s="2" t="s">
        <v>46</v>
      </c>
    </row>
    <row r="3704" customFormat="false" ht="15.7" hidden="false" customHeight="true" outlineLevel="0" collapsed="false">
      <c r="A3704" s="2"/>
      <c r="B3704" s="3" t="n">
        <f aca="false">DATE(2018,7,26)</f>
        <v>0</v>
      </c>
      <c r="C3704" s="3" t="n">
        <v>43307</v>
      </c>
      <c r="D3704" s="2" t="s">
        <v>28008</v>
      </c>
      <c r="F3704" s="2" t="s">
        <v>28009</v>
      </c>
      <c r="G3704" s="2" t="s">
        <v>28010</v>
      </c>
      <c r="H3704" s="2" t="s">
        <v>28011</v>
      </c>
      <c r="I3704" s="2" t="s">
        <v>28012</v>
      </c>
      <c r="J3704" s="2" t="s">
        <v>35</v>
      </c>
      <c r="K3704" s="2" t="s">
        <v>28008</v>
      </c>
      <c r="L3704" s="2" t="s">
        <v>28012</v>
      </c>
      <c r="M3704" s="2" t="s">
        <v>28011</v>
      </c>
      <c r="N3704" s="2" t="s">
        <v>28013</v>
      </c>
      <c r="O3704" s="2"/>
      <c r="P3704" s="2" t="s">
        <v>37</v>
      </c>
      <c r="Q3704" s="4" t="n">
        <v>5099</v>
      </c>
      <c r="R3704" s="2" t="s">
        <v>2225</v>
      </c>
      <c r="S3704" s="2" t="s">
        <v>39</v>
      </c>
      <c r="T3704" s="2" t="s">
        <v>40</v>
      </c>
      <c r="U3704" s="2" t="s">
        <v>28014</v>
      </c>
      <c r="V3704" s="2"/>
      <c r="W3704" s="2" t="s">
        <v>28015</v>
      </c>
      <c r="X3704" s="2" t="s">
        <v>43</v>
      </c>
      <c r="Y3704" s="2" t="s">
        <v>37</v>
      </c>
      <c r="Z3704" s="2" t="s">
        <v>44</v>
      </c>
      <c r="AA3704" s="2"/>
      <c r="AB3704" s="2"/>
      <c r="AC3704" s="2" t="s">
        <v>28016</v>
      </c>
      <c r="AD3704" s="2" t="s">
        <v>46</v>
      </c>
    </row>
    <row r="3705" customFormat="false" ht="15.7" hidden="false" customHeight="true" outlineLevel="0" collapsed="false">
      <c r="A3705" s="2"/>
      <c r="B3705" s="3" t="n">
        <f aca="false">DATE(2018,7,27)</f>
        <v>0</v>
      </c>
      <c r="C3705" s="3" t="n">
        <v>43308</v>
      </c>
      <c r="D3705" s="2" t="s">
        <v>28017</v>
      </c>
      <c r="F3705" s="2" t="s">
        <v>28018</v>
      </c>
      <c r="G3705" s="2" t="s">
        <v>28019</v>
      </c>
      <c r="H3705" s="2" t="s">
        <v>3384</v>
      </c>
      <c r="I3705" s="2" t="s">
        <v>219</v>
      </c>
      <c r="J3705" s="2" t="s">
        <v>65</v>
      </c>
      <c r="K3705" s="2" t="s">
        <v>28020</v>
      </c>
      <c r="L3705" s="2" t="s">
        <v>219</v>
      </c>
      <c r="M3705" s="2" t="s">
        <v>28021</v>
      </c>
      <c r="N3705" s="2" t="s">
        <v>28022</v>
      </c>
      <c r="O3705" s="2"/>
      <c r="P3705" s="2" t="s">
        <v>37</v>
      </c>
      <c r="Q3705" s="4" t="n">
        <v>8099</v>
      </c>
      <c r="R3705" s="2" t="s">
        <v>56</v>
      </c>
      <c r="S3705" s="2"/>
      <c r="T3705" s="2" t="s">
        <v>403</v>
      </c>
      <c r="U3705" s="2" t="s">
        <v>28023</v>
      </c>
      <c r="V3705" s="2"/>
      <c r="W3705" s="2" t="s">
        <v>4487</v>
      </c>
      <c r="X3705" s="2" t="s">
        <v>43</v>
      </c>
      <c r="Y3705" s="2" t="s">
        <v>37</v>
      </c>
      <c r="Z3705" s="2" t="s">
        <v>44</v>
      </c>
      <c r="AA3705" s="2"/>
      <c r="AB3705" s="2"/>
      <c r="AC3705" s="2" t="s">
        <v>28024</v>
      </c>
      <c r="AD3705" s="2" t="s">
        <v>46</v>
      </c>
    </row>
    <row r="3706" customFormat="false" ht="15.7" hidden="false" customHeight="true" outlineLevel="0" collapsed="false">
      <c r="A3706" s="2"/>
      <c r="B3706" s="3" t="n">
        <f aca="false">DATE(2018,7,27)</f>
        <v>0</v>
      </c>
      <c r="C3706" s="3" t="n">
        <v>43308</v>
      </c>
      <c r="D3706" s="2" t="s">
        <v>28025</v>
      </c>
      <c r="F3706" s="2" t="s">
        <v>28026</v>
      </c>
      <c r="G3706" s="2" t="s">
        <v>28027</v>
      </c>
      <c r="H3706" s="2" t="s">
        <v>28028</v>
      </c>
      <c r="I3706" s="2" t="s">
        <v>51</v>
      </c>
      <c r="J3706" s="2" t="s">
        <v>28029</v>
      </c>
      <c r="K3706" s="2" t="s">
        <v>28025</v>
      </c>
      <c r="L3706" s="2" t="s">
        <v>51</v>
      </c>
      <c r="M3706" s="2" t="s">
        <v>28028</v>
      </c>
      <c r="N3706" s="2" t="s">
        <v>28030</v>
      </c>
      <c r="O3706" s="2"/>
      <c r="P3706" s="2" t="s">
        <v>37</v>
      </c>
      <c r="Q3706" s="4" t="n">
        <v>8731</v>
      </c>
      <c r="R3706" s="2" t="s">
        <v>56</v>
      </c>
      <c r="S3706" s="2"/>
      <c r="T3706" s="2" t="s">
        <v>403</v>
      </c>
      <c r="U3706" s="2" t="s">
        <v>28031</v>
      </c>
      <c r="V3706" s="2"/>
      <c r="W3706" s="2" t="s">
        <v>697</v>
      </c>
      <c r="X3706" s="2" t="s">
        <v>43</v>
      </c>
      <c r="Y3706" s="2" t="s">
        <v>37</v>
      </c>
      <c r="Z3706" s="2" t="s">
        <v>44</v>
      </c>
      <c r="AA3706" s="2"/>
      <c r="AB3706" s="2"/>
      <c r="AC3706" s="2" t="s">
        <v>28032</v>
      </c>
      <c r="AD3706" s="2" t="s">
        <v>46</v>
      </c>
    </row>
    <row r="3707" customFormat="false" ht="15.7" hidden="false" customHeight="true" outlineLevel="0" collapsed="false">
      <c r="A3707" s="2"/>
      <c r="B3707" s="3" t="n">
        <f aca="false">DATE(2018,7,31)</f>
        <v>0</v>
      </c>
      <c r="C3707" s="3" t="n">
        <v>43312</v>
      </c>
      <c r="D3707" s="2" t="s">
        <v>28033</v>
      </c>
      <c r="F3707" s="2" t="s">
        <v>6625</v>
      </c>
      <c r="G3707" s="2" t="s">
        <v>28034</v>
      </c>
      <c r="H3707" s="2" t="s">
        <v>130</v>
      </c>
      <c r="I3707" s="2" t="s">
        <v>4317</v>
      </c>
      <c r="J3707" s="2" t="s">
        <v>35</v>
      </c>
      <c r="K3707" s="2" t="s">
        <v>28033</v>
      </c>
      <c r="L3707" s="2" t="s">
        <v>4317</v>
      </c>
      <c r="M3707" s="2" t="s">
        <v>130</v>
      </c>
      <c r="N3707" s="2" t="s">
        <v>28035</v>
      </c>
      <c r="O3707" s="2"/>
      <c r="P3707" s="2" t="s">
        <v>37</v>
      </c>
      <c r="Q3707" s="4" t="n">
        <v>6794</v>
      </c>
      <c r="R3707" s="2" t="s">
        <v>16182</v>
      </c>
      <c r="S3707" s="2" t="s">
        <v>5334</v>
      </c>
      <c r="T3707" s="2" t="s">
        <v>40</v>
      </c>
      <c r="U3707" s="2" t="s">
        <v>28036</v>
      </c>
      <c r="V3707" s="2"/>
      <c r="W3707" s="2" t="s">
        <v>253</v>
      </c>
      <c r="X3707" s="2" t="s">
        <v>43</v>
      </c>
      <c r="Y3707" s="2" t="s">
        <v>79</v>
      </c>
      <c r="Z3707" s="2" t="s">
        <v>44</v>
      </c>
      <c r="AA3707" s="2"/>
      <c r="AB3707" s="2"/>
      <c r="AC3707" s="2" t="s">
        <v>28037</v>
      </c>
      <c r="AD3707" s="2" t="s">
        <v>46</v>
      </c>
    </row>
    <row r="3708" customFormat="false" ht="15.7" hidden="false" customHeight="true" outlineLevel="0" collapsed="false">
      <c r="A3708" s="2"/>
      <c r="B3708" s="3" t="n">
        <f aca="false">DATE(2018,7,31)</f>
        <v>0</v>
      </c>
      <c r="C3708" s="3" t="n">
        <v>43312</v>
      </c>
      <c r="D3708" s="2" t="s">
        <v>28038</v>
      </c>
      <c r="F3708" s="2" t="s">
        <v>28039</v>
      </c>
      <c r="G3708" s="2" t="s">
        <v>28040</v>
      </c>
      <c r="H3708" s="2" t="s">
        <v>28041</v>
      </c>
      <c r="I3708" s="2" t="s">
        <v>28042</v>
      </c>
      <c r="J3708" s="2" t="s">
        <v>28043</v>
      </c>
      <c r="K3708" s="2" t="s">
        <v>28044</v>
      </c>
      <c r="L3708" s="2" t="s">
        <v>28042</v>
      </c>
      <c r="M3708" s="2" t="s">
        <v>28045</v>
      </c>
      <c r="N3708" s="2" t="s">
        <v>28046</v>
      </c>
      <c r="O3708" s="2"/>
      <c r="P3708" s="2" t="s">
        <v>37</v>
      </c>
      <c r="Q3708" s="4" t="n">
        <v>8731</v>
      </c>
      <c r="R3708" s="2" t="s">
        <v>136</v>
      </c>
      <c r="S3708" s="2" t="s">
        <v>39</v>
      </c>
      <c r="T3708" s="2" t="s">
        <v>40</v>
      </c>
      <c r="U3708" s="2" t="s">
        <v>28047</v>
      </c>
      <c r="V3708" s="2"/>
      <c r="W3708" s="2" t="s">
        <v>28048</v>
      </c>
      <c r="X3708" s="2" t="s">
        <v>43</v>
      </c>
      <c r="Y3708" s="2" t="s">
        <v>37</v>
      </c>
      <c r="Z3708" s="2" t="s">
        <v>8596</v>
      </c>
      <c r="AA3708" s="2"/>
      <c r="AB3708" s="2"/>
      <c r="AC3708" s="2" t="s">
        <v>28049</v>
      </c>
      <c r="AD3708" s="2" t="s">
        <v>46</v>
      </c>
    </row>
    <row r="3709" customFormat="false" ht="15.7" hidden="false" customHeight="true" outlineLevel="0" collapsed="false">
      <c r="A3709" s="2"/>
      <c r="B3709" s="3" t="n">
        <f aca="false">DATE(2018,8,1)</f>
        <v>0</v>
      </c>
      <c r="C3709" s="3" t="n">
        <v>43313</v>
      </c>
      <c r="D3709" s="2" t="s">
        <v>28050</v>
      </c>
      <c r="F3709" s="2" t="s">
        <v>28051</v>
      </c>
      <c r="G3709" s="2" t="s">
        <v>28052</v>
      </c>
      <c r="H3709" s="2" t="s">
        <v>28053</v>
      </c>
      <c r="I3709" s="2" t="s">
        <v>540</v>
      </c>
      <c r="J3709" s="2" t="s">
        <v>35</v>
      </c>
      <c r="K3709" s="2" t="s">
        <v>28054</v>
      </c>
      <c r="L3709" s="2" t="s">
        <v>296</v>
      </c>
      <c r="M3709" s="2" t="s">
        <v>28053</v>
      </c>
      <c r="N3709" s="2" t="s">
        <v>28055</v>
      </c>
      <c r="O3709" s="2" t="s">
        <v>28056</v>
      </c>
      <c r="P3709" s="2" t="s">
        <v>37</v>
      </c>
      <c r="Q3709" s="4" t="n">
        <v>8731</v>
      </c>
      <c r="R3709" s="2" t="s">
        <v>1448</v>
      </c>
      <c r="S3709" s="2" t="s">
        <v>39</v>
      </c>
      <c r="T3709" s="2" t="s">
        <v>122</v>
      </c>
      <c r="U3709" s="2" t="s">
        <v>28057</v>
      </c>
      <c r="V3709" s="2"/>
      <c r="W3709" s="2" t="s">
        <v>42</v>
      </c>
      <c r="X3709" s="2" t="s">
        <v>46</v>
      </c>
      <c r="Y3709" s="2" t="s">
        <v>37</v>
      </c>
      <c r="Z3709" s="2" t="s">
        <v>28058</v>
      </c>
      <c r="AA3709" s="2"/>
      <c r="AB3709" s="2" t="s">
        <v>28059</v>
      </c>
      <c r="AC3709" s="2" t="s">
        <v>28060</v>
      </c>
      <c r="AD3709" s="2" t="s">
        <v>46</v>
      </c>
    </row>
    <row r="3710" customFormat="false" ht="15.7" hidden="false" customHeight="true" outlineLevel="0" collapsed="false">
      <c r="A3710" s="2"/>
      <c r="B3710" s="3" t="n">
        <f aca="false">DATE(2018,8,1)</f>
        <v>0</v>
      </c>
      <c r="C3710" s="3" t="n">
        <v>43313</v>
      </c>
      <c r="D3710" s="2" t="s">
        <v>28061</v>
      </c>
      <c r="F3710" s="2" t="s">
        <v>25771</v>
      </c>
      <c r="G3710" s="2" t="s">
        <v>28062</v>
      </c>
      <c r="H3710" s="2" t="s">
        <v>762</v>
      </c>
      <c r="I3710" s="2" t="s">
        <v>369</v>
      </c>
      <c r="J3710" s="2" t="s">
        <v>35</v>
      </c>
      <c r="K3710" s="2" t="s">
        <v>28061</v>
      </c>
      <c r="L3710" s="2" t="s">
        <v>369</v>
      </c>
      <c r="M3710" s="2" t="s">
        <v>762</v>
      </c>
      <c r="N3710" s="2" t="s">
        <v>28063</v>
      </c>
      <c r="O3710" s="2"/>
      <c r="P3710" s="2" t="s">
        <v>37</v>
      </c>
      <c r="Q3710" s="4" t="n">
        <v>6794</v>
      </c>
      <c r="R3710" s="2" t="s">
        <v>105</v>
      </c>
      <c r="S3710" s="2" t="s">
        <v>39</v>
      </c>
      <c r="T3710" s="2" t="s">
        <v>40</v>
      </c>
      <c r="U3710" s="2" t="s">
        <v>28064</v>
      </c>
      <c r="V3710" s="2"/>
      <c r="W3710" s="2" t="s">
        <v>206</v>
      </c>
      <c r="X3710" s="2" t="s">
        <v>43</v>
      </c>
      <c r="Y3710" s="2" t="s">
        <v>37</v>
      </c>
      <c r="Z3710" s="2" t="s">
        <v>44</v>
      </c>
      <c r="AA3710" s="2"/>
      <c r="AB3710" s="2"/>
      <c r="AC3710" s="2" t="s">
        <v>28065</v>
      </c>
      <c r="AD3710" s="2" t="s">
        <v>46</v>
      </c>
    </row>
    <row r="3711" customFormat="false" ht="15.7" hidden="false" customHeight="true" outlineLevel="0" collapsed="false">
      <c r="A3711" s="2"/>
      <c r="B3711" s="3" t="n">
        <f aca="false">DATE(2018,8,1)</f>
        <v>0</v>
      </c>
      <c r="C3711" s="3" t="n">
        <v>43313</v>
      </c>
      <c r="D3711" s="2" t="s">
        <v>28066</v>
      </c>
      <c r="F3711" s="2" t="s">
        <v>28067</v>
      </c>
      <c r="G3711" s="2" t="s">
        <v>28068</v>
      </c>
      <c r="H3711" s="2" t="s">
        <v>28069</v>
      </c>
      <c r="I3711" s="2" t="s">
        <v>540</v>
      </c>
      <c r="J3711" s="2" t="s">
        <v>35</v>
      </c>
      <c r="K3711" s="2" t="s">
        <v>28066</v>
      </c>
      <c r="L3711" s="2" t="s">
        <v>540</v>
      </c>
      <c r="M3711" s="2" t="s">
        <v>28069</v>
      </c>
      <c r="N3711" s="2" t="s">
        <v>28070</v>
      </c>
      <c r="O3711" s="2"/>
      <c r="P3711" s="2" t="s">
        <v>37</v>
      </c>
      <c r="Q3711" s="4" t="n">
        <v>8731</v>
      </c>
      <c r="R3711" s="2" t="s">
        <v>1448</v>
      </c>
      <c r="S3711" s="2" t="s">
        <v>39</v>
      </c>
      <c r="T3711" s="2" t="s">
        <v>403</v>
      </c>
      <c r="U3711" s="2" t="s">
        <v>28071</v>
      </c>
      <c r="V3711" s="2"/>
      <c r="W3711" s="2" t="s">
        <v>344</v>
      </c>
      <c r="X3711" s="2" t="s">
        <v>43</v>
      </c>
      <c r="Y3711" s="2" t="s">
        <v>37</v>
      </c>
      <c r="Z3711" s="2" t="s">
        <v>44</v>
      </c>
      <c r="AA3711" s="2"/>
      <c r="AB3711" s="2"/>
      <c r="AC3711" s="2" t="s">
        <v>28072</v>
      </c>
      <c r="AD3711" s="2" t="s">
        <v>46</v>
      </c>
    </row>
    <row r="3712" customFormat="false" ht="15.7" hidden="false" customHeight="true" outlineLevel="0" collapsed="false">
      <c r="A3712" s="2"/>
      <c r="B3712" s="3" t="n">
        <f aca="false">DATE(2018,8,1)</f>
        <v>0</v>
      </c>
      <c r="C3712" s="3" t="n">
        <v>43313</v>
      </c>
      <c r="D3712" s="2" t="s">
        <v>28073</v>
      </c>
      <c r="F3712" s="2" t="s">
        <v>28074</v>
      </c>
      <c r="G3712" s="2" t="s">
        <v>28075</v>
      </c>
      <c r="H3712" s="2" t="s">
        <v>21493</v>
      </c>
      <c r="I3712" s="2" t="s">
        <v>1904</v>
      </c>
      <c r="J3712" s="2" t="s">
        <v>132</v>
      </c>
      <c r="K3712" s="2" t="s">
        <v>28073</v>
      </c>
      <c r="L3712" s="2" t="s">
        <v>1904</v>
      </c>
      <c r="M3712" s="2" t="s">
        <v>21493</v>
      </c>
      <c r="N3712" s="2" t="s">
        <v>28076</v>
      </c>
      <c r="O3712" s="2"/>
      <c r="P3712" s="2" t="s">
        <v>37</v>
      </c>
      <c r="Q3712" s="4" t="n">
        <v>8731</v>
      </c>
      <c r="R3712" s="2" t="s">
        <v>450</v>
      </c>
      <c r="S3712" s="2" t="s">
        <v>39</v>
      </c>
      <c r="T3712" s="2" t="s">
        <v>403</v>
      </c>
      <c r="U3712" s="2" t="s">
        <v>28077</v>
      </c>
      <c r="V3712" s="2"/>
      <c r="W3712" s="2" t="s">
        <v>3235</v>
      </c>
      <c r="X3712" s="2" t="s">
        <v>43</v>
      </c>
      <c r="Y3712" s="2" t="s">
        <v>37</v>
      </c>
      <c r="Z3712" s="2" t="s">
        <v>44</v>
      </c>
      <c r="AA3712" s="2"/>
      <c r="AB3712" s="2"/>
      <c r="AC3712" s="2" t="s">
        <v>28078</v>
      </c>
      <c r="AD3712" s="2" t="s">
        <v>46</v>
      </c>
    </row>
    <row r="3713" customFormat="false" ht="15.7" hidden="false" customHeight="true" outlineLevel="0" collapsed="false">
      <c r="A3713" s="2"/>
      <c r="B3713" s="3" t="n">
        <f aca="false">DATE(2018,8,2)</f>
        <v>0</v>
      </c>
      <c r="C3713" s="3" t="n">
        <v>43314</v>
      </c>
      <c r="D3713" s="2" t="s">
        <v>28079</v>
      </c>
      <c r="F3713" s="2" t="s">
        <v>28080</v>
      </c>
      <c r="G3713" s="2" t="s">
        <v>28081</v>
      </c>
      <c r="H3713" s="2" t="s">
        <v>28082</v>
      </c>
      <c r="I3713" s="2" t="s">
        <v>9761</v>
      </c>
      <c r="J3713" s="2" t="s">
        <v>35</v>
      </c>
      <c r="K3713" s="2" t="s">
        <v>28079</v>
      </c>
      <c r="L3713" s="2" t="s">
        <v>9761</v>
      </c>
      <c r="M3713" s="2" t="s">
        <v>28082</v>
      </c>
      <c r="N3713" s="2" t="s">
        <v>28083</v>
      </c>
      <c r="O3713" s="2"/>
      <c r="P3713" s="2" t="s">
        <v>37</v>
      </c>
      <c r="Q3713" s="4" t="n">
        <v>8731</v>
      </c>
      <c r="R3713" s="2" t="s">
        <v>136</v>
      </c>
      <c r="S3713" s="2" t="s">
        <v>39</v>
      </c>
      <c r="T3713" s="2" t="s">
        <v>403</v>
      </c>
      <c r="U3713" s="2" t="s">
        <v>28084</v>
      </c>
      <c r="V3713" s="2"/>
      <c r="W3713" s="2" t="s">
        <v>42</v>
      </c>
      <c r="X3713" s="2" t="s">
        <v>43</v>
      </c>
      <c r="Y3713" s="2" t="s">
        <v>37</v>
      </c>
      <c r="Z3713" s="2" t="s">
        <v>44</v>
      </c>
      <c r="AA3713" s="2"/>
      <c r="AB3713" s="2"/>
      <c r="AC3713" s="2" t="s">
        <v>28085</v>
      </c>
      <c r="AD3713" s="2" t="s">
        <v>46</v>
      </c>
    </row>
    <row r="3714" customFormat="false" ht="15.7" hidden="false" customHeight="true" outlineLevel="0" collapsed="false">
      <c r="A3714" s="2"/>
      <c r="B3714" s="3" t="n">
        <f aca="false">DATE(2018,8,2)</f>
        <v>0</v>
      </c>
      <c r="C3714" s="3" t="n">
        <v>43314</v>
      </c>
      <c r="D3714" s="2" t="s">
        <v>28086</v>
      </c>
      <c r="F3714" s="2" t="s">
        <v>28087</v>
      </c>
      <c r="G3714" s="2" t="s">
        <v>28088</v>
      </c>
      <c r="H3714" s="2" t="s">
        <v>28089</v>
      </c>
      <c r="I3714" s="2" t="s">
        <v>1645</v>
      </c>
      <c r="J3714" s="2" t="s">
        <v>35</v>
      </c>
      <c r="K3714" s="2" t="s">
        <v>28086</v>
      </c>
      <c r="L3714" s="2" t="s">
        <v>1645</v>
      </c>
      <c r="M3714" s="2" t="s">
        <v>28089</v>
      </c>
      <c r="N3714" s="2" t="s">
        <v>28090</v>
      </c>
      <c r="O3714" s="2"/>
      <c r="P3714" s="2" t="s">
        <v>37</v>
      </c>
      <c r="Q3714" s="4" t="n">
        <v>8731</v>
      </c>
      <c r="R3714" s="2" t="s">
        <v>1645</v>
      </c>
      <c r="S3714" s="2" t="s">
        <v>5334</v>
      </c>
      <c r="T3714" s="2" t="s">
        <v>40</v>
      </c>
      <c r="U3714" s="2" t="s">
        <v>28091</v>
      </c>
      <c r="V3714" s="2"/>
      <c r="W3714" s="2" t="s">
        <v>42</v>
      </c>
      <c r="X3714" s="2" t="s">
        <v>43</v>
      </c>
      <c r="Y3714" s="2" t="s">
        <v>37</v>
      </c>
      <c r="Z3714" s="2" t="s">
        <v>44</v>
      </c>
      <c r="AA3714" s="2"/>
      <c r="AB3714" s="2"/>
      <c r="AC3714" s="2" t="s">
        <v>28092</v>
      </c>
      <c r="AD3714" s="2" t="s">
        <v>46</v>
      </c>
    </row>
    <row r="3715" customFormat="false" ht="15.7" hidden="false" customHeight="true" outlineLevel="0" collapsed="false">
      <c r="A3715" s="2"/>
      <c r="B3715" s="3" t="n">
        <f aca="false">DATE(2018,8,2)</f>
        <v>0</v>
      </c>
      <c r="C3715" s="3" t="n">
        <v>43314</v>
      </c>
      <c r="D3715" s="2" t="s">
        <v>28093</v>
      </c>
      <c r="F3715" s="2" t="s">
        <v>28094</v>
      </c>
      <c r="G3715" s="2" t="s">
        <v>28095</v>
      </c>
      <c r="H3715" s="2" t="s">
        <v>14007</v>
      </c>
      <c r="I3715" s="2" t="s">
        <v>51</v>
      </c>
      <c r="J3715" s="2" t="s">
        <v>171</v>
      </c>
      <c r="K3715" s="2" t="s">
        <v>28093</v>
      </c>
      <c r="L3715" s="2" t="s">
        <v>51</v>
      </c>
      <c r="M3715" s="2" t="s">
        <v>14007</v>
      </c>
      <c r="N3715" s="2" t="s">
        <v>28096</v>
      </c>
      <c r="O3715" s="2"/>
      <c r="P3715" s="2" t="s">
        <v>37</v>
      </c>
      <c r="Q3715" s="4" t="n">
        <v>8731</v>
      </c>
      <c r="R3715" s="2" t="s">
        <v>450</v>
      </c>
      <c r="S3715" s="2" t="s">
        <v>39</v>
      </c>
      <c r="T3715" s="2" t="s">
        <v>403</v>
      </c>
      <c r="U3715" s="2" t="s">
        <v>28097</v>
      </c>
      <c r="V3715" s="2"/>
      <c r="W3715" s="2" t="s">
        <v>42</v>
      </c>
      <c r="X3715" s="2" t="s">
        <v>43</v>
      </c>
      <c r="Y3715" s="2" t="s">
        <v>37</v>
      </c>
      <c r="Z3715" s="2" t="s">
        <v>44</v>
      </c>
      <c r="AA3715" s="2"/>
      <c r="AB3715" s="2"/>
      <c r="AC3715" s="2" t="s">
        <v>28098</v>
      </c>
      <c r="AD3715" s="2" t="s">
        <v>46</v>
      </c>
    </row>
    <row r="3716" customFormat="false" ht="15.7" hidden="false" customHeight="true" outlineLevel="0" collapsed="false">
      <c r="A3716" s="2"/>
      <c r="B3716" s="3" t="n">
        <f aca="false">DATE(2018,8,6)</f>
        <v>0</v>
      </c>
      <c r="C3716" s="3" t="n">
        <v>43318</v>
      </c>
      <c r="D3716" s="2" t="s">
        <v>28099</v>
      </c>
      <c r="F3716" s="2" t="s">
        <v>28100</v>
      </c>
      <c r="G3716" s="2" t="s">
        <v>28101</v>
      </c>
      <c r="H3716" s="2" t="s">
        <v>28102</v>
      </c>
      <c r="I3716" s="2" t="s">
        <v>21594</v>
      </c>
      <c r="J3716" s="2" t="s">
        <v>1305</v>
      </c>
      <c r="K3716" s="2" t="s">
        <v>28103</v>
      </c>
      <c r="L3716" s="2" t="s">
        <v>28104</v>
      </c>
      <c r="M3716" s="2" t="s">
        <v>28102</v>
      </c>
      <c r="N3716" s="2" t="s">
        <v>28105</v>
      </c>
      <c r="O3716" s="2"/>
      <c r="P3716" s="2" t="s">
        <v>79</v>
      </c>
      <c r="Q3716" s="4" t="n">
        <v>8099</v>
      </c>
      <c r="R3716" s="2" t="s">
        <v>2201</v>
      </c>
      <c r="S3716" s="2" t="s">
        <v>39</v>
      </c>
      <c r="T3716" s="2" t="s">
        <v>403</v>
      </c>
      <c r="U3716" s="2" t="s">
        <v>28106</v>
      </c>
      <c r="V3716" s="2"/>
      <c r="W3716" s="2" t="s">
        <v>344</v>
      </c>
      <c r="X3716" s="2" t="s">
        <v>43</v>
      </c>
      <c r="Y3716" s="2" t="s">
        <v>37</v>
      </c>
      <c r="Z3716" s="2" t="s">
        <v>11148</v>
      </c>
      <c r="AA3716" s="2"/>
      <c r="AB3716" s="2"/>
      <c r="AC3716" s="2" t="s">
        <v>28107</v>
      </c>
      <c r="AD3716" s="2" t="s">
        <v>46</v>
      </c>
    </row>
    <row r="3717" customFormat="false" ht="15.7" hidden="false" customHeight="true" outlineLevel="0" collapsed="false">
      <c r="A3717" s="2"/>
      <c r="B3717" s="3" t="n">
        <f aca="false">DATE(2018,8,6)</f>
        <v>0</v>
      </c>
      <c r="C3717" s="3" t="n">
        <v>43318</v>
      </c>
      <c r="D3717" s="2" t="s">
        <v>28108</v>
      </c>
      <c r="F3717" s="2" t="s">
        <v>28109</v>
      </c>
      <c r="G3717" s="2" t="s">
        <v>28110</v>
      </c>
      <c r="H3717" s="2" t="s">
        <v>28111</v>
      </c>
      <c r="I3717" s="2" t="s">
        <v>5268</v>
      </c>
      <c r="J3717" s="2" t="s">
        <v>116</v>
      </c>
      <c r="K3717" s="2" t="s">
        <v>28112</v>
      </c>
      <c r="L3717" s="2" t="s">
        <v>5268</v>
      </c>
      <c r="M3717" s="2" t="s">
        <v>28111</v>
      </c>
      <c r="N3717" s="2" t="s">
        <v>28113</v>
      </c>
      <c r="O3717" s="2"/>
      <c r="P3717" s="2" t="s">
        <v>37</v>
      </c>
      <c r="Q3717" s="4" t="n">
        <v>8731</v>
      </c>
      <c r="R3717" s="2" t="s">
        <v>2201</v>
      </c>
      <c r="S3717" s="2" t="s">
        <v>39</v>
      </c>
      <c r="T3717" s="2" t="s">
        <v>403</v>
      </c>
      <c r="U3717" s="2" t="s">
        <v>28114</v>
      </c>
      <c r="V3717" s="2"/>
      <c r="W3717" s="2" t="s">
        <v>344</v>
      </c>
      <c r="X3717" s="2" t="s">
        <v>43</v>
      </c>
      <c r="Y3717" s="2" t="s">
        <v>37</v>
      </c>
      <c r="Z3717" s="2" t="s">
        <v>916</v>
      </c>
      <c r="AA3717" s="2"/>
      <c r="AB3717" s="2"/>
      <c r="AC3717" s="2" t="s">
        <v>28115</v>
      </c>
      <c r="AD3717" s="2" t="s">
        <v>46</v>
      </c>
    </row>
    <row r="3718" customFormat="false" ht="15.7" hidden="false" customHeight="true" outlineLevel="0" collapsed="false">
      <c r="A3718" s="2"/>
      <c r="B3718" s="3" t="n">
        <f aca="false">DATE(2018,8,7)</f>
        <v>0</v>
      </c>
      <c r="C3718" s="3" t="n">
        <v>43319</v>
      </c>
      <c r="D3718" s="2" t="s">
        <v>28116</v>
      </c>
      <c r="F3718" s="2" t="s">
        <v>27327</v>
      </c>
      <c r="G3718" s="2" t="s">
        <v>28117</v>
      </c>
      <c r="H3718" s="2" t="s">
        <v>18221</v>
      </c>
      <c r="I3718" s="2" t="s">
        <v>51</v>
      </c>
      <c r="J3718" s="2" t="s">
        <v>2190</v>
      </c>
      <c r="K3718" s="2" t="s">
        <v>28116</v>
      </c>
      <c r="L3718" s="2" t="s">
        <v>51</v>
      </c>
      <c r="M3718" s="2" t="s">
        <v>18221</v>
      </c>
      <c r="N3718" s="2" t="s">
        <v>28118</v>
      </c>
      <c r="O3718" s="2"/>
      <c r="P3718" s="2" t="s">
        <v>37</v>
      </c>
      <c r="Q3718" s="4" t="n">
        <v>8731</v>
      </c>
      <c r="R3718" s="2" t="s">
        <v>56</v>
      </c>
      <c r="S3718" s="2" t="s">
        <v>80</v>
      </c>
      <c r="T3718" s="2" t="s">
        <v>403</v>
      </c>
      <c r="U3718" s="2" t="s">
        <v>28119</v>
      </c>
      <c r="V3718" s="2"/>
      <c r="W3718" s="2" t="s">
        <v>2367</v>
      </c>
      <c r="X3718" s="2" t="s">
        <v>43</v>
      </c>
      <c r="Y3718" s="2" t="s">
        <v>37</v>
      </c>
      <c r="Z3718" s="2" t="s">
        <v>44</v>
      </c>
      <c r="AA3718" s="2"/>
      <c r="AB3718" s="2"/>
      <c r="AC3718" s="2" t="s">
        <v>28120</v>
      </c>
      <c r="AD3718" s="2" t="s">
        <v>46</v>
      </c>
    </row>
    <row r="3719" customFormat="false" ht="15.7" hidden="false" customHeight="true" outlineLevel="0" collapsed="false">
      <c r="A3719" s="2"/>
      <c r="B3719" s="3" t="n">
        <f aca="false">DATE(2018,8,7)</f>
        <v>0</v>
      </c>
      <c r="C3719" s="3" t="n">
        <v>43319</v>
      </c>
      <c r="D3719" s="2" t="s">
        <v>28121</v>
      </c>
      <c r="F3719" s="2" t="s">
        <v>28122</v>
      </c>
      <c r="G3719" s="2" t="s">
        <v>28123</v>
      </c>
      <c r="H3719" s="2" t="s">
        <v>130</v>
      </c>
      <c r="I3719" s="2" t="s">
        <v>568</v>
      </c>
      <c r="J3719" s="2" t="s">
        <v>1456</v>
      </c>
      <c r="K3719" s="2" t="s">
        <v>28121</v>
      </c>
      <c r="L3719" s="2" t="s">
        <v>568</v>
      </c>
      <c r="M3719" s="2" t="s">
        <v>130</v>
      </c>
      <c r="N3719" s="2" t="s">
        <v>28124</v>
      </c>
      <c r="O3719" s="2"/>
      <c r="P3719" s="2" t="s">
        <v>37</v>
      </c>
      <c r="Q3719" s="4" t="n">
        <v>8099</v>
      </c>
      <c r="R3719" s="2" t="s">
        <v>688</v>
      </c>
      <c r="S3719" s="2" t="s">
        <v>39</v>
      </c>
      <c r="T3719" s="2" t="s">
        <v>40</v>
      </c>
      <c r="U3719" s="2" t="s">
        <v>28125</v>
      </c>
      <c r="V3719" s="2"/>
      <c r="W3719" s="2" t="s">
        <v>22701</v>
      </c>
      <c r="X3719" s="2" t="s">
        <v>43</v>
      </c>
      <c r="Y3719" s="2" t="s">
        <v>37</v>
      </c>
      <c r="Z3719" s="2" t="s">
        <v>44</v>
      </c>
      <c r="AA3719" s="2"/>
      <c r="AB3719" s="2"/>
      <c r="AC3719" s="2" t="s">
        <v>28126</v>
      </c>
      <c r="AD3719" s="2" t="s">
        <v>46</v>
      </c>
    </row>
    <row r="3720" customFormat="false" ht="15.7" hidden="false" customHeight="true" outlineLevel="0" collapsed="false">
      <c r="A3720" s="2"/>
      <c r="B3720" s="3" t="n">
        <f aca="false">DATE(2018,8,7)</f>
        <v>0</v>
      </c>
      <c r="C3720" s="3" t="n">
        <v>43319</v>
      </c>
      <c r="D3720" s="2" t="s">
        <v>28127</v>
      </c>
      <c r="F3720" s="2" t="s">
        <v>18436</v>
      </c>
      <c r="G3720" s="2" t="s">
        <v>28128</v>
      </c>
      <c r="H3720" s="2" t="s">
        <v>762</v>
      </c>
      <c r="I3720" s="2" t="s">
        <v>51</v>
      </c>
      <c r="J3720" s="2" t="s">
        <v>171</v>
      </c>
      <c r="K3720" s="2" t="s">
        <v>28127</v>
      </c>
      <c r="L3720" s="2" t="s">
        <v>51</v>
      </c>
      <c r="M3720" s="2" t="s">
        <v>762</v>
      </c>
      <c r="N3720" s="2" t="s">
        <v>28129</v>
      </c>
      <c r="O3720" s="2"/>
      <c r="P3720" s="2" t="s">
        <v>37</v>
      </c>
      <c r="Q3720" s="4" t="n">
        <v>6794</v>
      </c>
      <c r="R3720" s="2" t="s">
        <v>56</v>
      </c>
      <c r="S3720" s="2" t="s">
        <v>92</v>
      </c>
      <c r="T3720" s="2" t="s">
        <v>403</v>
      </c>
      <c r="U3720" s="2" t="s">
        <v>28130</v>
      </c>
      <c r="V3720" s="2"/>
      <c r="W3720" s="2" t="s">
        <v>15545</v>
      </c>
      <c r="X3720" s="2" t="s">
        <v>43</v>
      </c>
      <c r="Y3720" s="2" t="s">
        <v>37</v>
      </c>
      <c r="Z3720" s="2" t="s">
        <v>44</v>
      </c>
      <c r="AA3720" s="2"/>
      <c r="AB3720" s="2"/>
      <c r="AC3720" s="2" t="s">
        <v>28131</v>
      </c>
      <c r="AD3720" s="2" t="s">
        <v>46</v>
      </c>
    </row>
    <row r="3721" customFormat="false" ht="15.7" hidden="false" customHeight="true" outlineLevel="0" collapsed="false">
      <c r="A3721" s="2"/>
      <c r="B3721" s="3" t="n">
        <f aca="false">DATE(2018,8,8)</f>
        <v>0</v>
      </c>
      <c r="C3721" s="3" t="n">
        <v>43320</v>
      </c>
      <c r="D3721" s="2" t="s">
        <v>28132</v>
      </c>
      <c r="F3721" s="2" t="s">
        <v>28133</v>
      </c>
      <c r="G3721" s="2" t="s">
        <v>28134</v>
      </c>
      <c r="H3721" s="2" t="s">
        <v>15354</v>
      </c>
      <c r="I3721" s="2" t="s">
        <v>9761</v>
      </c>
      <c r="J3721" s="2" t="s">
        <v>35</v>
      </c>
      <c r="K3721" s="2" t="s">
        <v>28132</v>
      </c>
      <c r="L3721" s="2" t="s">
        <v>9761</v>
      </c>
      <c r="M3721" s="2" t="s">
        <v>15354</v>
      </c>
      <c r="N3721" s="2" t="s">
        <v>28135</v>
      </c>
      <c r="O3721" s="2"/>
      <c r="P3721" s="2" t="s">
        <v>37</v>
      </c>
      <c r="Q3721" s="4" t="n">
        <v>8099</v>
      </c>
      <c r="R3721" s="2" t="s">
        <v>2105</v>
      </c>
      <c r="S3721" s="2" t="s">
        <v>39</v>
      </c>
      <c r="T3721" s="2" t="s">
        <v>403</v>
      </c>
      <c r="U3721" s="2" t="s">
        <v>28136</v>
      </c>
      <c r="V3721" s="2"/>
      <c r="W3721" s="2" t="s">
        <v>4487</v>
      </c>
      <c r="X3721" s="2" t="s">
        <v>43</v>
      </c>
      <c r="Y3721" s="2" t="s">
        <v>37</v>
      </c>
      <c r="Z3721" s="2" t="s">
        <v>44</v>
      </c>
      <c r="AA3721" s="2"/>
      <c r="AB3721" s="2"/>
      <c r="AC3721" s="2" t="s">
        <v>28137</v>
      </c>
      <c r="AD3721" s="2" t="s">
        <v>46</v>
      </c>
    </row>
    <row r="3722" customFormat="false" ht="15.7" hidden="false" customHeight="true" outlineLevel="0" collapsed="false">
      <c r="A3722" s="2"/>
      <c r="B3722" s="3" t="n">
        <f aca="false">DATE(2018,8,8)</f>
        <v>0</v>
      </c>
      <c r="C3722" s="3" t="n">
        <v>43320</v>
      </c>
      <c r="D3722" s="2" t="s">
        <v>28138</v>
      </c>
      <c r="F3722" s="2" t="s">
        <v>28139</v>
      </c>
      <c r="G3722" s="2" t="s">
        <v>28140</v>
      </c>
      <c r="H3722" s="2" t="s">
        <v>19645</v>
      </c>
      <c r="I3722" s="2" t="s">
        <v>13937</v>
      </c>
      <c r="J3722" s="2" t="s">
        <v>4616</v>
      </c>
      <c r="K3722" s="2" t="s">
        <v>28138</v>
      </c>
      <c r="L3722" s="2" t="s">
        <v>13937</v>
      </c>
      <c r="M3722" s="2" t="s">
        <v>28141</v>
      </c>
      <c r="N3722" s="2" t="s">
        <v>28142</v>
      </c>
      <c r="O3722" s="2"/>
      <c r="P3722" s="2" t="s">
        <v>37</v>
      </c>
      <c r="Q3722" s="4" t="n">
        <v>8731</v>
      </c>
      <c r="R3722" s="2" t="s">
        <v>56</v>
      </c>
      <c r="S3722" s="2" t="s">
        <v>1484</v>
      </c>
      <c r="T3722" s="2" t="s">
        <v>40</v>
      </c>
      <c r="U3722" s="2" t="s">
        <v>28143</v>
      </c>
      <c r="V3722" s="2"/>
      <c r="W3722" s="2" t="s">
        <v>42</v>
      </c>
      <c r="X3722" s="2" t="s">
        <v>43</v>
      </c>
      <c r="Y3722" s="2" t="s">
        <v>37</v>
      </c>
      <c r="Z3722" s="2" t="s">
        <v>44</v>
      </c>
      <c r="AA3722" s="2"/>
      <c r="AB3722" s="2"/>
      <c r="AC3722" s="2" t="s">
        <v>28144</v>
      </c>
      <c r="AD3722" s="2" t="s">
        <v>46</v>
      </c>
    </row>
    <row r="3723" customFormat="false" ht="15.7" hidden="false" customHeight="true" outlineLevel="0" collapsed="false">
      <c r="A3723" s="2"/>
      <c r="B3723" s="3" t="n">
        <f aca="false">DATE(2018,8,9)</f>
        <v>0</v>
      </c>
      <c r="C3723" s="3" t="n">
        <v>43321</v>
      </c>
      <c r="D3723" s="2" t="s">
        <v>28145</v>
      </c>
      <c r="F3723" s="2" t="s">
        <v>2716</v>
      </c>
      <c r="G3723" s="2" t="s">
        <v>28146</v>
      </c>
      <c r="H3723" s="2" t="s">
        <v>1027</v>
      </c>
      <c r="I3723" s="2" t="s">
        <v>219</v>
      </c>
      <c r="J3723" s="2" t="s">
        <v>65</v>
      </c>
      <c r="K3723" s="2" t="s">
        <v>28145</v>
      </c>
      <c r="L3723" s="2" t="s">
        <v>219</v>
      </c>
      <c r="M3723" s="2" t="s">
        <v>1027</v>
      </c>
      <c r="N3723" s="2" t="s">
        <v>28147</v>
      </c>
      <c r="O3723" s="2"/>
      <c r="P3723" s="2" t="s">
        <v>37</v>
      </c>
      <c r="Q3723" s="4" t="n">
        <v>8099</v>
      </c>
      <c r="R3723" s="2" t="s">
        <v>56</v>
      </c>
      <c r="S3723" s="2" t="s">
        <v>92</v>
      </c>
      <c r="T3723" s="2" t="s">
        <v>40</v>
      </c>
      <c r="U3723" s="2" t="s">
        <v>28148</v>
      </c>
      <c r="V3723" s="2"/>
      <c r="W3723" s="2" t="s">
        <v>4487</v>
      </c>
      <c r="X3723" s="2" t="s">
        <v>43</v>
      </c>
      <c r="Y3723" s="2" t="s">
        <v>37</v>
      </c>
      <c r="Z3723" s="2" t="s">
        <v>44</v>
      </c>
      <c r="AA3723" s="2"/>
      <c r="AB3723" s="2"/>
      <c r="AC3723" s="2" t="s">
        <v>28149</v>
      </c>
      <c r="AD3723" s="2" t="s">
        <v>46</v>
      </c>
    </row>
    <row r="3724" customFormat="false" ht="15.7" hidden="false" customHeight="true" outlineLevel="0" collapsed="false">
      <c r="A3724" s="2"/>
      <c r="B3724" s="3" t="n">
        <f aca="false">DATE(2018,8,9)</f>
        <v>0</v>
      </c>
      <c r="C3724" s="3" t="n">
        <v>43321</v>
      </c>
      <c r="D3724" s="2" t="s">
        <v>28150</v>
      </c>
      <c r="F3724" s="2" t="s">
        <v>28151</v>
      </c>
      <c r="G3724" s="2" t="s">
        <v>28152</v>
      </c>
      <c r="H3724" s="2" t="s">
        <v>28153</v>
      </c>
      <c r="I3724" s="2" t="s">
        <v>3103</v>
      </c>
      <c r="J3724" s="2" t="s">
        <v>65</v>
      </c>
      <c r="K3724" s="2" t="s">
        <v>28150</v>
      </c>
      <c r="L3724" s="2" t="s">
        <v>3103</v>
      </c>
      <c r="M3724" s="2" t="s">
        <v>28153</v>
      </c>
      <c r="N3724" s="2" t="s">
        <v>28154</v>
      </c>
      <c r="O3724" s="2"/>
      <c r="P3724" s="2" t="s">
        <v>37</v>
      </c>
      <c r="Q3724" s="4" t="n">
        <v>3999</v>
      </c>
      <c r="R3724" s="2" t="s">
        <v>56</v>
      </c>
      <c r="S3724" s="2"/>
      <c r="T3724" s="2" t="s">
        <v>40</v>
      </c>
      <c r="U3724" s="2" t="s">
        <v>28155</v>
      </c>
      <c r="V3724" s="2"/>
      <c r="W3724" s="2" t="s">
        <v>23621</v>
      </c>
      <c r="X3724" s="2" t="s">
        <v>43</v>
      </c>
      <c r="Y3724" s="2" t="s">
        <v>37</v>
      </c>
      <c r="Z3724" s="2" t="s">
        <v>44</v>
      </c>
      <c r="AA3724" s="2"/>
      <c r="AB3724" s="2"/>
      <c r="AC3724" s="2" t="s">
        <v>28156</v>
      </c>
      <c r="AD3724" s="2" t="s">
        <v>46</v>
      </c>
    </row>
    <row r="3725" customFormat="false" ht="15.7" hidden="false" customHeight="true" outlineLevel="0" collapsed="false">
      <c r="A3725" s="2"/>
      <c r="B3725" s="3" t="n">
        <f aca="false">DATE(2018,8,13)</f>
        <v>0</v>
      </c>
      <c r="C3725" s="3" t="n">
        <v>43325</v>
      </c>
      <c r="D3725" s="2" t="s">
        <v>28157</v>
      </c>
      <c r="F3725" s="2" t="s">
        <v>28158</v>
      </c>
      <c r="G3725" s="2" t="s">
        <v>28159</v>
      </c>
      <c r="H3725" s="2" t="s">
        <v>26032</v>
      </c>
      <c r="I3725" s="2" t="s">
        <v>540</v>
      </c>
      <c r="J3725" s="2" t="s">
        <v>35</v>
      </c>
      <c r="K3725" s="2" t="s">
        <v>28157</v>
      </c>
      <c r="L3725" s="2" t="s">
        <v>540</v>
      </c>
      <c r="M3725" s="2" t="s">
        <v>26032</v>
      </c>
      <c r="N3725" s="2" t="s">
        <v>28160</v>
      </c>
      <c r="O3725" s="2"/>
      <c r="P3725" s="2" t="s">
        <v>37</v>
      </c>
      <c r="Q3725" s="4" t="n">
        <v>8731</v>
      </c>
      <c r="R3725" s="2"/>
      <c r="S3725" s="2"/>
      <c r="T3725" s="2" t="s">
        <v>40</v>
      </c>
      <c r="U3725" s="2" t="s">
        <v>28161</v>
      </c>
      <c r="V3725" s="2"/>
      <c r="W3725" s="2" t="s">
        <v>42</v>
      </c>
      <c r="X3725" s="2" t="s">
        <v>43</v>
      </c>
      <c r="Y3725" s="2" t="s">
        <v>37</v>
      </c>
      <c r="Z3725" s="2" t="s">
        <v>44</v>
      </c>
      <c r="AA3725" s="2"/>
      <c r="AB3725" s="2"/>
      <c r="AC3725" s="2" t="s">
        <v>28162</v>
      </c>
      <c r="AD3725" s="2" t="s">
        <v>46</v>
      </c>
    </row>
    <row r="3726" customFormat="false" ht="15.7" hidden="false" customHeight="true" outlineLevel="0" collapsed="false">
      <c r="A3726" s="2"/>
      <c r="B3726" s="3" t="n">
        <f aca="false">DATE(2018,8,14)</f>
        <v>0</v>
      </c>
      <c r="C3726" s="3" t="n">
        <v>43326</v>
      </c>
      <c r="D3726" s="2" t="s">
        <v>28163</v>
      </c>
      <c r="F3726" s="2" t="s">
        <v>28164</v>
      </c>
      <c r="G3726" s="2" t="s">
        <v>28165</v>
      </c>
      <c r="H3726" s="2" t="s">
        <v>15863</v>
      </c>
      <c r="I3726" s="2" t="s">
        <v>4325</v>
      </c>
      <c r="J3726" s="2" t="s">
        <v>35</v>
      </c>
      <c r="K3726" s="2" t="s">
        <v>28163</v>
      </c>
      <c r="L3726" s="2" t="s">
        <v>4325</v>
      </c>
      <c r="M3726" s="2" t="s">
        <v>15863</v>
      </c>
      <c r="N3726" s="2" t="s">
        <v>28166</v>
      </c>
      <c r="O3726" s="2"/>
      <c r="P3726" s="2" t="s">
        <v>37</v>
      </c>
      <c r="Q3726" s="4" t="n">
        <v>8742</v>
      </c>
      <c r="R3726" s="2" t="s">
        <v>136</v>
      </c>
      <c r="S3726" s="2" t="s">
        <v>39</v>
      </c>
      <c r="T3726" s="2" t="s">
        <v>40</v>
      </c>
      <c r="U3726" s="2" t="s">
        <v>28167</v>
      </c>
      <c r="V3726" s="2"/>
      <c r="W3726" s="2" t="s">
        <v>7958</v>
      </c>
      <c r="X3726" s="2" t="s">
        <v>43</v>
      </c>
      <c r="Y3726" s="2" t="s">
        <v>37</v>
      </c>
      <c r="Z3726" s="2" t="s">
        <v>44</v>
      </c>
      <c r="AA3726" s="2"/>
      <c r="AB3726" s="2"/>
      <c r="AC3726" s="2" t="s">
        <v>28168</v>
      </c>
      <c r="AD3726" s="2" t="s">
        <v>46</v>
      </c>
    </row>
    <row r="3727" customFormat="false" ht="15.7" hidden="false" customHeight="true" outlineLevel="0" collapsed="false">
      <c r="A3727" s="2"/>
      <c r="B3727" s="3" t="n">
        <f aca="false">DATE(2018,8,14)</f>
        <v>0</v>
      </c>
      <c r="C3727" s="3" t="n">
        <v>43326</v>
      </c>
      <c r="D3727" s="2" t="s">
        <v>28169</v>
      </c>
      <c r="F3727" s="2" t="s">
        <v>28170</v>
      </c>
      <c r="G3727" s="2" t="s">
        <v>28171</v>
      </c>
      <c r="H3727" s="2" t="s">
        <v>28172</v>
      </c>
      <c r="I3727" s="2" t="s">
        <v>540</v>
      </c>
      <c r="J3727" s="2" t="s">
        <v>35</v>
      </c>
      <c r="K3727" s="2" t="s">
        <v>28173</v>
      </c>
      <c r="L3727" s="2" t="s">
        <v>540</v>
      </c>
      <c r="M3727" s="2" t="s">
        <v>28174</v>
      </c>
      <c r="N3727" s="2" t="s">
        <v>28175</v>
      </c>
      <c r="O3727" s="2"/>
      <c r="P3727" s="2" t="s">
        <v>37</v>
      </c>
      <c r="Q3727" s="4" t="n">
        <v>8731</v>
      </c>
      <c r="R3727" s="2" t="s">
        <v>1448</v>
      </c>
      <c r="S3727" s="2" t="s">
        <v>39</v>
      </c>
      <c r="T3727" s="2" t="s">
        <v>40</v>
      </c>
      <c r="U3727" s="2" t="s">
        <v>28176</v>
      </c>
      <c r="V3727" s="2"/>
      <c r="W3727" s="2" t="s">
        <v>344</v>
      </c>
      <c r="X3727" s="2" t="s">
        <v>46</v>
      </c>
      <c r="Y3727" s="2" t="s">
        <v>37</v>
      </c>
      <c r="Z3727" s="2" t="s">
        <v>44</v>
      </c>
      <c r="AA3727" s="2"/>
      <c r="AB3727" s="2"/>
      <c r="AC3727" s="2" t="s">
        <v>28177</v>
      </c>
      <c r="AD3727" s="2" t="s">
        <v>46</v>
      </c>
    </row>
    <row r="3728" customFormat="false" ht="15.7" hidden="false" customHeight="true" outlineLevel="0" collapsed="false">
      <c r="A3728" s="2"/>
      <c r="B3728" s="3" t="n">
        <f aca="false">DATE(2018,8,14)</f>
        <v>0</v>
      </c>
      <c r="C3728" s="3" t="n">
        <v>43326</v>
      </c>
      <c r="D3728" s="2" t="s">
        <v>28178</v>
      </c>
      <c r="F3728" s="2" t="s">
        <v>28179</v>
      </c>
      <c r="G3728" s="2" t="s">
        <v>28180</v>
      </c>
      <c r="H3728" s="2" t="s">
        <v>8207</v>
      </c>
      <c r="I3728" s="2" t="s">
        <v>5102</v>
      </c>
      <c r="J3728" s="2" t="s">
        <v>35</v>
      </c>
      <c r="K3728" s="2" t="s">
        <v>28178</v>
      </c>
      <c r="L3728" s="2" t="s">
        <v>5102</v>
      </c>
      <c r="M3728" s="2" t="s">
        <v>8207</v>
      </c>
      <c r="N3728" s="2" t="s">
        <v>28181</v>
      </c>
      <c r="O3728" s="2"/>
      <c r="P3728" s="2" t="s">
        <v>37</v>
      </c>
      <c r="Q3728" s="4" t="n">
        <v>8731</v>
      </c>
      <c r="R3728" s="2" t="s">
        <v>70</v>
      </c>
      <c r="S3728" s="2" t="s">
        <v>39</v>
      </c>
      <c r="T3728" s="2" t="s">
        <v>40</v>
      </c>
      <c r="U3728" s="2" t="s">
        <v>28182</v>
      </c>
      <c r="V3728" s="2"/>
      <c r="W3728" s="2" t="s">
        <v>42</v>
      </c>
      <c r="X3728" s="2" t="s">
        <v>43</v>
      </c>
      <c r="Y3728" s="2" t="s">
        <v>37</v>
      </c>
      <c r="Z3728" s="2" t="s">
        <v>44</v>
      </c>
      <c r="AA3728" s="2"/>
      <c r="AB3728" s="2"/>
      <c r="AC3728" s="2" t="s">
        <v>28183</v>
      </c>
      <c r="AD3728" s="2" t="s">
        <v>46</v>
      </c>
    </row>
    <row r="3729" customFormat="false" ht="15.7" hidden="false" customHeight="true" outlineLevel="0" collapsed="false">
      <c r="A3729" s="2"/>
      <c r="B3729" s="3" t="n">
        <f aca="false">DATE(2018,8,14)</f>
        <v>0</v>
      </c>
      <c r="C3729" s="3" t="n">
        <v>43326</v>
      </c>
      <c r="D3729" s="2" t="s">
        <v>28184</v>
      </c>
      <c r="F3729" s="2" t="s">
        <v>28185</v>
      </c>
      <c r="G3729" s="2" t="s">
        <v>28186</v>
      </c>
      <c r="H3729" s="2" t="s">
        <v>28187</v>
      </c>
      <c r="I3729" s="2" t="s">
        <v>540</v>
      </c>
      <c r="J3729" s="2" t="s">
        <v>35</v>
      </c>
      <c r="K3729" s="2" t="s">
        <v>28173</v>
      </c>
      <c r="L3729" s="2" t="s">
        <v>540</v>
      </c>
      <c r="M3729" s="2" t="s">
        <v>28174</v>
      </c>
      <c r="N3729" s="2" t="s">
        <v>28188</v>
      </c>
      <c r="O3729" s="2"/>
      <c r="P3729" s="2" t="s">
        <v>37</v>
      </c>
      <c r="Q3729" s="4" t="n">
        <v>8099</v>
      </c>
      <c r="R3729" s="2" t="s">
        <v>1448</v>
      </c>
      <c r="S3729" s="2" t="s">
        <v>39</v>
      </c>
      <c r="T3729" s="2" t="s">
        <v>403</v>
      </c>
      <c r="U3729" s="2" t="s">
        <v>28189</v>
      </c>
      <c r="V3729" s="2"/>
      <c r="W3729" s="2" t="s">
        <v>4487</v>
      </c>
      <c r="X3729" s="2" t="s">
        <v>46</v>
      </c>
      <c r="Y3729" s="2" t="s">
        <v>37</v>
      </c>
      <c r="Z3729" s="2" t="s">
        <v>44</v>
      </c>
      <c r="AA3729" s="2"/>
      <c r="AB3729" s="2"/>
      <c r="AC3729" s="2" t="s">
        <v>28190</v>
      </c>
      <c r="AD3729" s="2" t="s">
        <v>46</v>
      </c>
    </row>
    <row r="3730" customFormat="false" ht="15.7" hidden="false" customHeight="true" outlineLevel="0" collapsed="false">
      <c r="A3730" s="2"/>
      <c r="B3730" s="3" t="n">
        <f aca="false">DATE(2018,8,14)</f>
        <v>0</v>
      </c>
      <c r="C3730" s="3" t="n">
        <v>43326</v>
      </c>
      <c r="D3730" s="2" t="s">
        <v>28191</v>
      </c>
      <c r="F3730" s="2" t="s">
        <v>18436</v>
      </c>
      <c r="G3730" s="2" t="s">
        <v>28192</v>
      </c>
      <c r="H3730" s="2" t="s">
        <v>762</v>
      </c>
      <c r="I3730" s="2" t="s">
        <v>670</v>
      </c>
      <c r="J3730" s="2" t="s">
        <v>65</v>
      </c>
      <c r="K3730" s="2" t="s">
        <v>28193</v>
      </c>
      <c r="L3730" s="2" t="s">
        <v>1779</v>
      </c>
      <c r="M3730" s="2" t="s">
        <v>17631</v>
      </c>
      <c r="N3730" s="2" t="s">
        <v>28194</v>
      </c>
      <c r="O3730" s="2"/>
      <c r="P3730" s="2" t="s">
        <v>37</v>
      </c>
      <c r="Q3730" s="4" t="n">
        <v>8731</v>
      </c>
      <c r="R3730" s="2" t="s">
        <v>3265</v>
      </c>
      <c r="S3730" s="2" t="s">
        <v>28195</v>
      </c>
      <c r="T3730" s="2" t="s">
        <v>40</v>
      </c>
      <c r="U3730" s="2" t="s">
        <v>28196</v>
      </c>
      <c r="V3730" s="2"/>
      <c r="W3730" s="2" t="s">
        <v>82</v>
      </c>
      <c r="X3730" s="2" t="s">
        <v>43</v>
      </c>
      <c r="Y3730" s="2" t="s">
        <v>79</v>
      </c>
      <c r="Z3730" s="2" t="s">
        <v>44</v>
      </c>
      <c r="AA3730" s="2"/>
      <c r="AB3730" s="2"/>
      <c r="AC3730" s="2" t="s">
        <v>28197</v>
      </c>
      <c r="AD3730" s="2" t="s">
        <v>46</v>
      </c>
    </row>
    <row r="3731" customFormat="false" ht="15.7" hidden="false" customHeight="true" outlineLevel="0" collapsed="false">
      <c r="A3731" s="2"/>
      <c r="B3731" s="3" t="n">
        <f aca="false">DATE(2018,8,15)</f>
        <v>0</v>
      </c>
      <c r="C3731" s="3" t="n">
        <v>43327</v>
      </c>
      <c r="D3731" s="2" t="s">
        <v>28198</v>
      </c>
      <c r="F3731" s="2" t="s">
        <v>28199</v>
      </c>
      <c r="G3731" s="2" t="s">
        <v>28200</v>
      </c>
      <c r="H3731" s="2" t="s">
        <v>28201</v>
      </c>
      <c r="I3731" s="2" t="s">
        <v>388</v>
      </c>
      <c r="J3731" s="2" t="s">
        <v>5725</v>
      </c>
      <c r="K3731" s="2" t="s">
        <v>28198</v>
      </c>
      <c r="L3731" s="2" t="s">
        <v>388</v>
      </c>
      <c r="M3731" s="2" t="s">
        <v>28201</v>
      </c>
      <c r="N3731" s="2" t="s">
        <v>28202</v>
      </c>
      <c r="O3731" s="2"/>
      <c r="P3731" s="2" t="s">
        <v>37</v>
      </c>
      <c r="Q3731" s="4" t="n">
        <v>8731</v>
      </c>
      <c r="R3731" s="2" t="s">
        <v>56</v>
      </c>
      <c r="S3731" s="2" t="s">
        <v>5846</v>
      </c>
      <c r="T3731" s="2" t="s">
        <v>40</v>
      </c>
      <c r="U3731" s="2" t="s">
        <v>28203</v>
      </c>
      <c r="V3731" s="2"/>
      <c r="W3731" s="2" t="s">
        <v>42</v>
      </c>
      <c r="X3731" s="2" t="s">
        <v>43</v>
      </c>
      <c r="Y3731" s="2" t="s">
        <v>37</v>
      </c>
      <c r="Z3731" s="2" t="s">
        <v>44</v>
      </c>
      <c r="AA3731" s="2"/>
      <c r="AB3731" s="2"/>
      <c r="AC3731" s="2" t="s">
        <v>28204</v>
      </c>
      <c r="AD3731" s="2" t="s">
        <v>46</v>
      </c>
    </row>
    <row r="3732" customFormat="false" ht="15.7" hidden="false" customHeight="true" outlineLevel="0" collapsed="false">
      <c r="A3732" s="2"/>
      <c r="B3732" s="3" t="n">
        <f aca="false">DATE(2018,8,16)</f>
        <v>0</v>
      </c>
      <c r="C3732" s="3" t="n">
        <v>43328</v>
      </c>
      <c r="D3732" s="2" t="s">
        <v>28205</v>
      </c>
      <c r="F3732" s="2" t="s">
        <v>28206</v>
      </c>
      <c r="G3732" s="2" t="s">
        <v>28207</v>
      </c>
      <c r="H3732" s="2" t="s">
        <v>5724</v>
      </c>
      <c r="I3732" s="2" t="s">
        <v>330</v>
      </c>
      <c r="J3732" s="2" t="s">
        <v>331</v>
      </c>
      <c r="K3732" s="2" t="s">
        <v>28208</v>
      </c>
      <c r="L3732" s="2" t="s">
        <v>330</v>
      </c>
      <c r="M3732" s="2" t="s">
        <v>11530</v>
      </c>
      <c r="N3732" s="2" t="s">
        <v>28209</v>
      </c>
      <c r="O3732" s="2"/>
      <c r="P3732" s="2" t="s">
        <v>37</v>
      </c>
      <c r="Q3732" s="4" t="n">
        <v>8731</v>
      </c>
      <c r="R3732" s="2" t="s">
        <v>56</v>
      </c>
      <c r="S3732" s="2" t="s">
        <v>80</v>
      </c>
      <c r="T3732" s="2" t="s">
        <v>403</v>
      </c>
      <c r="U3732" s="2" t="s">
        <v>28210</v>
      </c>
      <c r="V3732" s="2"/>
      <c r="W3732" s="2" t="s">
        <v>42</v>
      </c>
      <c r="X3732" s="2" t="s">
        <v>43</v>
      </c>
      <c r="Y3732" s="2" t="s">
        <v>37</v>
      </c>
      <c r="Z3732" s="2" t="s">
        <v>44</v>
      </c>
      <c r="AA3732" s="2"/>
      <c r="AB3732" s="2"/>
      <c r="AC3732" s="2" t="s">
        <v>28211</v>
      </c>
      <c r="AD3732" s="2" t="s">
        <v>46</v>
      </c>
    </row>
    <row r="3733" customFormat="false" ht="15.7" hidden="false" customHeight="true" outlineLevel="0" collapsed="false">
      <c r="A3733" s="2"/>
      <c r="B3733" s="3" t="n">
        <f aca="false">DATE(2018,8,17)</f>
        <v>0</v>
      </c>
      <c r="C3733" s="3" t="n">
        <v>43329</v>
      </c>
      <c r="D3733" s="2" t="s">
        <v>28212</v>
      </c>
      <c r="F3733" s="2" t="s">
        <v>28213</v>
      </c>
      <c r="G3733" s="2" t="s">
        <v>28214</v>
      </c>
      <c r="H3733" s="2" t="s">
        <v>2959</v>
      </c>
      <c r="I3733" s="2" t="s">
        <v>487</v>
      </c>
      <c r="J3733" s="2" t="s">
        <v>1891</v>
      </c>
      <c r="K3733" s="2" t="s">
        <v>28215</v>
      </c>
      <c r="L3733" s="2" t="s">
        <v>487</v>
      </c>
      <c r="M3733" s="2" t="s">
        <v>28216</v>
      </c>
      <c r="N3733" s="2" t="s">
        <v>28217</v>
      </c>
      <c r="O3733" s="2"/>
      <c r="P3733" s="2" t="s">
        <v>37</v>
      </c>
      <c r="Q3733" s="4" t="n">
        <v>8731</v>
      </c>
      <c r="R3733" s="2" t="s">
        <v>296</v>
      </c>
      <c r="S3733" s="2" t="s">
        <v>10771</v>
      </c>
      <c r="T3733" s="2" t="s">
        <v>40</v>
      </c>
      <c r="U3733" s="2" t="s">
        <v>28218</v>
      </c>
      <c r="V3733" s="2"/>
      <c r="W3733" s="2" t="s">
        <v>42</v>
      </c>
      <c r="X3733" s="2" t="s">
        <v>43</v>
      </c>
      <c r="Y3733" s="2" t="s">
        <v>79</v>
      </c>
      <c r="Z3733" s="2" t="s">
        <v>44</v>
      </c>
      <c r="AA3733" s="2"/>
      <c r="AB3733" s="2"/>
      <c r="AC3733" s="2" t="s">
        <v>28219</v>
      </c>
      <c r="AD3733" s="2" t="s">
        <v>46</v>
      </c>
    </row>
    <row r="3734" customFormat="false" ht="15.7" hidden="false" customHeight="true" outlineLevel="0" collapsed="false">
      <c r="A3734" s="2"/>
      <c r="B3734" s="3" t="n">
        <f aca="false">DATE(2018,8,18)</f>
        <v>0</v>
      </c>
      <c r="C3734" s="3" t="n">
        <v>43330</v>
      </c>
      <c r="D3734" s="2" t="s">
        <v>28220</v>
      </c>
      <c r="F3734" s="2" t="s">
        <v>28221</v>
      </c>
      <c r="G3734" s="2" t="s">
        <v>28222</v>
      </c>
      <c r="H3734" s="2" t="s">
        <v>28223</v>
      </c>
      <c r="I3734" s="2" t="s">
        <v>540</v>
      </c>
      <c r="J3734" s="2" t="s">
        <v>35</v>
      </c>
      <c r="K3734" s="2" t="s">
        <v>28220</v>
      </c>
      <c r="L3734" s="2" t="s">
        <v>540</v>
      </c>
      <c r="M3734" s="2" t="s">
        <v>28223</v>
      </c>
      <c r="N3734" s="2" t="s">
        <v>28224</v>
      </c>
      <c r="O3734" s="2"/>
      <c r="P3734" s="2" t="s">
        <v>37</v>
      </c>
      <c r="Q3734" s="4" t="n">
        <v>8731</v>
      </c>
      <c r="R3734" s="2" t="s">
        <v>1448</v>
      </c>
      <c r="S3734" s="2" t="s">
        <v>39</v>
      </c>
      <c r="T3734" s="2" t="s">
        <v>40</v>
      </c>
      <c r="U3734" s="2" t="s">
        <v>28225</v>
      </c>
      <c r="V3734" s="2"/>
      <c r="W3734" s="2" t="s">
        <v>42</v>
      </c>
      <c r="X3734" s="2" t="s">
        <v>43</v>
      </c>
      <c r="Y3734" s="2" t="s">
        <v>37</v>
      </c>
      <c r="Z3734" s="2" t="s">
        <v>44</v>
      </c>
      <c r="AA3734" s="2"/>
      <c r="AB3734" s="2"/>
      <c r="AC3734" s="2" t="s">
        <v>28226</v>
      </c>
      <c r="AD3734" s="2" t="s">
        <v>46</v>
      </c>
    </row>
    <row r="3735" customFormat="false" ht="15.7" hidden="false" customHeight="true" outlineLevel="0" collapsed="false">
      <c r="A3735" s="2"/>
      <c r="B3735" s="3" t="n">
        <f aca="false">DATE(2018,8,20)</f>
        <v>0</v>
      </c>
      <c r="C3735" s="3" t="n">
        <v>43332</v>
      </c>
      <c r="D3735" s="2" t="s">
        <v>28227</v>
      </c>
      <c r="F3735" s="2" t="s">
        <v>28228</v>
      </c>
      <c r="G3735" s="2" t="s">
        <v>28229</v>
      </c>
      <c r="H3735" s="2" t="s">
        <v>1101</v>
      </c>
      <c r="I3735" s="2" t="s">
        <v>4325</v>
      </c>
      <c r="J3735" s="2" t="s">
        <v>35</v>
      </c>
      <c r="K3735" s="2" t="s">
        <v>28230</v>
      </c>
      <c r="L3735" s="2" t="s">
        <v>3265</v>
      </c>
      <c r="M3735" s="2" t="s">
        <v>28231</v>
      </c>
      <c r="N3735" s="2" t="s">
        <v>28232</v>
      </c>
      <c r="O3735" s="2"/>
      <c r="P3735" s="2" t="s">
        <v>37</v>
      </c>
      <c r="Q3735" s="4" t="n">
        <v>8099</v>
      </c>
      <c r="R3735" s="2" t="s">
        <v>402</v>
      </c>
      <c r="S3735" s="2" t="s">
        <v>39</v>
      </c>
      <c r="T3735" s="2" t="s">
        <v>40</v>
      </c>
      <c r="U3735" s="2" t="s">
        <v>28233</v>
      </c>
      <c r="V3735" s="2"/>
      <c r="W3735" s="2" t="s">
        <v>28234</v>
      </c>
      <c r="X3735" s="2" t="s">
        <v>43</v>
      </c>
      <c r="Y3735" s="2" t="s">
        <v>37</v>
      </c>
      <c r="Z3735" s="2" t="s">
        <v>44</v>
      </c>
      <c r="AA3735" s="2"/>
      <c r="AB3735" s="2"/>
      <c r="AC3735" s="2" t="s">
        <v>28235</v>
      </c>
      <c r="AD3735" s="2" t="s">
        <v>46</v>
      </c>
    </row>
    <row r="3736" customFormat="false" ht="15.7" hidden="false" customHeight="true" outlineLevel="0" collapsed="false">
      <c r="A3736" s="2"/>
      <c r="B3736" s="3" t="n">
        <f aca="false">DATE(2018,8,20)</f>
        <v>0</v>
      </c>
      <c r="C3736" s="3" t="n">
        <v>43332</v>
      </c>
      <c r="D3736" s="2" t="s">
        <v>28236</v>
      </c>
      <c r="F3736" s="2" t="s">
        <v>28237</v>
      </c>
      <c r="G3736" s="2" t="s">
        <v>28238</v>
      </c>
      <c r="H3736" s="2" t="s">
        <v>28239</v>
      </c>
      <c r="I3736" s="2" t="s">
        <v>12894</v>
      </c>
      <c r="J3736" s="2" t="s">
        <v>35</v>
      </c>
      <c r="K3736" s="2" t="s">
        <v>28236</v>
      </c>
      <c r="L3736" s="2" t="s">
        <v>12894</v>
      </c>
      <c r="M3736" s="2" t="s">
        <v>28239</v>
      </c>
      <c r="N3736" s="2" t="s">
        <v>28240</v>
      </c>
      <c r="O3736" s="2"/>
      <c r="P3736" s="2" t="s">
        <v>37</v>
      </c>
      <c r="Q3736" s="4" t="n">
        <v>4812</v>
      </c>
      <c r="R3736" s="2" t="s">
        <v>12894</v>
      </c>
      <c r="S3736" s="2" t="s">
        <v>5334</v>
      </c>
      <c r="T3736" s="2" t="s">
        <v>40</v>
      </c>
      <c r="U3736" s="2" t="s">
        <v>28241</v>
      </c>
      <c r="V3736" s="2"/>
      <c r="W3736" s="2" t="s">
        <v>14079</v>
      </c>
      <c r="X3736" s="2" t="s">
        <v>43</v>
      </c>
      <c r="Y3736" s="2" t="s">
        <v>79</v>
      </c>
      <c r="Z3736" s="2" t="s">
        <v>44</v>
      </c>
      <c r="AA3736" s="2"/>
      <c r="AB3736" s="2"/>
      <c r="AC3736" s="2" t="s">
        <v>28242</v>
      </c>
      <c r="AD3736" s="2" t="s">
        <v>46</v>
      </c>
    </row>
    <row r="3737" customFormat="false" ht="15.7" hidden="false" customHeight="true" outlineLevel="0" collapsed="false">
      <c r="A3737" s="2"/>
      <c r="B3737" s="3" t="n">
        <f aca="false">DATE(2018,8,20)</f>
        <v>0</v>
      </c>
      <c r="C3737" s="3" t="n">
        <v>43332</v>
      </c>
      <c r="D3737" s="2" t="s">
        <v>28243</v>
      </c>
      <c r="F3737" s="2" t="s">
        <v>28244</v>
      </c>
      <c r="G3737" s="2" t="s">
        <v>28245</v>
      </c>
      <c r="H3737" s="2" t="s">
        <v>28246</v>
      </c>
      <c r="I3737" s="2" t="s">
        <v>487</v>
      </c>
      <c r="J3737" s="2" t="s">
        <v>132</v>
      </c>
      <c r="K3737" s="2" t="s">
        <v>28247</v>
      </c>
      <c r="L3737" s="2" t="s">
        <v>487</v>
      </c>
      <c r="M3737" s="2" t="s">
        <v>28248</v>
      </c>
      <c r="N3737" s="2" t="s">
        <v>28249</v>
      </c>
      <c r="O3737" s="2"/>
      <c r="P3737" s="2" t="s">
        <v>37</v>
      </c>
      <c r="Q3737" s="4" t="n">
        <v>6794</v>
      </c>
      <c r="R3737" s="2" t="s">
        <v>1448</v>
      </c>
      <c r="S3737" s="2" t="s">
        <v>39</v>
      </c>
      <c r="T3737" s="2" t="s">
        <v>40</v>
      </c>
      <c r="U3737" s="2" t="s">
        <v>28250</v>
      </c>
      <c r="V3737" s="2"/>
      <c r="W3737" s="2" t="s">
        <v>15545</v>
      </c>
      <c r="X3737" s="2" t="s">
        <v>43</v>
      </c>
      <c r="Y3737" s="2" t="s">
        <v>37</v>
      </c>
      <c r="Z3737" s="2" t="s">
        <v>44</v>
      </c>
      <c r="AA3737" s="2" t="s">
        <v>28251</v>
      </c>
      <c r="AB3737" s="2"/>
      <c r="AC3737" s="2" t="s">
        <v>28252</v>
      </c>
      <c r="AD3737" s="2" t="s">
        <v>46</v>
      </c>
    </row>
    <row r="3738" customFormat="false" ht="15.7" hidden="false" customHeight="true" outlineLevel="0" collapsed="false">
      <c r="A3738" s="2"/>
      <c r="B3738" s="3" t="n">
        <f aca="false">DATE(2018,8,21)</f>
        <v>0</v>
      </c>
      <c r="C3738" s="3" t="n">
        <v>43333</v>
      </c>
      <c r="D3738" s="2" t="s">
        <v>28253</v>
      </c>
      <c r="F3738" s="2" t="s">
        <v>10369</v>
      </c>
      <c r="G3738" s="2" t="s">
        <v>28254</v>
      </c>
      <c r="H3738" s="2" t="s">
        <v>1101</v>
      </c>
      <c r="I3738" s="2" t="s">
        <v>100</v>
      </c>
      <c r="J3738" s="2" t="s">
        <v>7963</v>
      </c>
      <c r="K3738" s="2" t="s">
        <v>28253</v>
      </c>
      <c r="L3738" s="2" t="s">
        <v>100</v>
      </c>
      <c r="M3738" s="2" t="s">
        <v>1101</v>
      </c>
      <c r="N3738" s="2" t="s">
        <v>28255</v>
      </c>
      <c r="O3738" s="2"/>
      <c r="P3738" s="2" t="s">
        <v>79</v>
      </c>
      <c r="Q3738" s="4" t="n">
        <v>8731</v>
      </c>
      <c r="R3738" s="2" t="s">
        <v>136</v>
      </c>
      <c r="S3738" s="2" t="s">
        <v>39</v>
      </c>
      <c r="T3738" s="2" t="s">
        <v>40</v>
      </c>
      <c r="U3738" s="2" t="s">
        <v>28256</v>
      </c>
      <c r="V3738" s="2"/>
      <c r="W3738" s="2" t="s">
        <v>27962</v>
      </c>
      <c r="X3738" s="2" t="s">
        <v>43</v>
      </c>
      <c r="Y3738" s="2" t="s">
        <v>37</v>
      </c>
      <c r="Z3738" s="2" t="s">
        <v>44</v>
      </c>
      <c r="AA3738" s="2"/>
      <c r="AB3738" s="2"/>
      <c r="AC3738" s="2" t="s">
        <v>28257</v>
      </c>
      <c r="AD3738" s="2" t="s">
        <v>46</v>
      </c>
    </row>
    <row r="3739" customFormat="false" ht="15.7" hidden="false" customHeight="true" outlineLevel="0" collapsed="false">
      <c r="A3739" s="2"/>
      <c r="B3739" s="3" t="n">
        <f aca="false">DATE(2018,8,21)</f>
        <v>0</v>
      </c>
      <c r="C3739" s="3" t="n">
        <v>43333</v>
      </c>
      <c r="D3739" s="2" t="s">
        <v>28258</v>
      </c>
      <c r="F3739" s="2" t="s">
        <v>28259</v>
      </c>
      <c r="G3739" s="2" t="s">
        <v>28260</v>
      </c>
      <c r="H3739" s="2" t="s">
        <v>28261</v>
      </c>
      <c r="I3739" s="2" t="s">
        <v>51</v>
      </c>
      <c r="J3739" s="2" t="s">
        <v>15800</v>
      </c>
      <c r="K3739" s="2" t="s">
        <v>28258</v>
      </c>
      <c r="L3739" s="2" t="s">
        <v>51</v>
      </c>
      <c r="M3739" s="2" t="s">
        <v>28261</v>
      </c>
      <c r="N3739" s="2" t="s">
        <v>28262</v>
      </c>
      <c r="O3739" s="2"/>
      <c r="P3739" s="2" t="s">
        <v>79</v>
      </c>
      <c r="Q3739" s="4" t="n">
        <v>6794</v>
      </c>
      <c r="R3739" s="2" t="s">
        <v>56</v>
      </c>
      <c r="S3739" s="2" t="s">
        <v>507</v>
      </c>
      <c r="T3739" s="2" t="s">
        <v>40</v>
      </c>
      <c r="U3739" s="2" t="s">
        <v>28263</v>
      </c>
      <c r="V3739" s="2"/>
      <c r="W3739" s="2" t="s">
        <v>15545</v>
      </c>
      <c r="X3739" s="2" t="s">
        <v>43</v>
      </c>
      <c r="Y3739" s="2" t="s">
        <v>37</v>
      </c>
      <c r="Z3739" s="2" t="s">
        <v>44</v>
      </c>
      <c r="AA3739" s="2"/>
      <c r="AB3739" s="2"/>
      <c r="AC3739" s="2" t="s">
        <v>28264</v>
      </c>
      <c r="AD3739" s="2" t="s">
        <v>46</v>
      </c>
    </row>
    <row r="3740" customFormat="false" ht="15.7" hidden="false" customHeight="true" outlineLevel="0" collapsed="false">
      <c r="A3740" s="2"/>
      <c r="B3740" s="3" t="n">
        <f aca="false">DATE(2018,8,22)</f>
        <v>0</v>
      </c>
      <c r="C3740" s="3" t="n">
        <v>43334</v>
      </c>
      <c r="D3740" s="2" t="s">
        <v>28265</v>
      </c>
      <c r="F3740" s="2" t="s">
        <v>28266</v>
      </c>
      <c r="G3740" s="2" t="s">
        <v>28267</v>
      </c>
      <c r="H3740" s="2" t="s">
        <v>28268</v>
      </c>
      <c r="I3740" s="2" t="s">
        <v>4744</v>
      </c>
      <c r="J3740" s="2" t="s">
        <v>35</v>
      </c>
      <c r="K3740" s="2" t="s">
        <v>28265</v>
      </c>
      <c r="L3740" s="2" t="s">
        <v>4744</v>
      </c>
      <c r="M3740" s="2" t="s">
        <v>28268</v>
      </c>
      <c r="N3740" s="2" t="s">
        <v>28269</v>
      </c>
      <c r="O3740" s="2"/>
      <c r="P3740" s="2" t="s">
        <v>37</v>
      </c>
      <c r="Q3740" s="4" t="n">
        <v>7374</v>
      </c>
      <c r="R3740" s="2" t="s">
        <v>2508</v>
      </c>
      <c r="S3740" s="2" t="s">
        <v>39</v>
      </c>
      <c r="T3740" s="2" t="s">
        <v>40</v>
      </c>
      <c r="U3740" s="2" t="s">
        <v>28270</v>
      </c>
      <c r="V3740" s="2"/>
      <c r="W3740" s="2" t="s">
        <v>6901</v>
      </c>
      <c r="X3740" s="2" t="s">
        <v>43</v>
      </c>
      <c r="Y3740" s="2" t="s">
        <v>37</v>
      </c>
      <c r="Z3740" s="2" t="s">
        <v>44</v>
      </c>
      <c r="AA3740" s="2"/>
      <c r="AB3740" s="2"/>
      <c r="AC3740" s="2" t="s">
        <v>28271</v>
      </c>
      <c r="AD3740" s="2" t="s">
        <v>46</v>
      </c>
    </row>
    <row r="3741" customFormat="false" ht="15.7" hidden="false" customHeight="true" outlineLevel="0" collapsed="false">
      <c r="A3741" s="2"/>
      <c r="B3741" s="3" t="n">
        <f aca="false">DATE(2018,8,22)</f>
        <v>0</v>
      </c>
      <c r="C3741" s="3" t="n">
        <v>43334</v>
      </c>
      <c r="D3741" s="2" t="s">
        <v>28272</v>
      </c>
      <c r="F3741" s="2" t="s">
        <v>28273</v>
      </c>
      <c r="G3741" s="2" t="s">
        <v>28274</v>
      </c>
      <c r="H3741" s="2" t="s">
        <v>28275</v>
      </c>
      <c r="I3741" s="2" t="s">
        <v>20997</v>
      </c>
      <c r="J3741" s="2" t="s">
        <v>35</v>
      </c>
      <c r="K3741" s="2" t="s">
        <v>28272</v>
      </c>
      <c r="L3741" s="2" t="s">
        <v>20997</v>
      </c>
      <c r="M3741" s="2" t="s">
        <v>28275</v>
      </c>
      <c r="N3741" s="2" t="s">
        <v>28276</v>
      </c>
      <c r="O3741" s="2"/>
      <c r="P3741" s="2" t="s">
        <v>37</v>
      </c>
      <c r="Q3741" s="4" t="n">
        <v>8731</v>
      </c>
      <c r="R3741" s="2" t="s">
        <v>2237</v>
      </c>
      <c r="S3741" s="2" t="s">
        <v>39</v>
      </c>
      <c r="T3741" s="2" t="s">
        <v>40</v>
      </c>
      <c r="U3741" s="2" t="s">
        <v>28277</v>
      </c>
      <c r="V3741" s="2"/>
      <c r="W3741" s="2" t="s">
        <v>28278</v>
      </c>
      <c r="X3741" s="2" t="s">
        <v>46</v>
      </c>
      <c r="Y3741" s="2" t="s">
        <v>37</v>
      </c>
      <c r="Z3741" s="2" t="s">
        <v>44</v>
      </c>
      <c r="AA3741" s="2"/>
      <c r="AB3741" s="2"/>
      <c r="AC3741" s="2" t="s">
        <v>28279</v>
      </c>
      <c r="AD3741" s="2" t="s">
        <v>46</v>
      </c>
    </row>
    <row r="3742" customFormat="false" ht="15.7" hidden="false" customHeight="true" outlineLevel="0" collapsed="false">
      <c r="A3742" s="2"/>
      <c r="B3742" s="3" t="n">
        <f aca="false">DATE(2018,8,22)</f>
        <v>0</v>
      </c>
      <c r="C3742" s="3" t="n">
        <v>43334</v>
      </c>
      <c r="D3742" s="2" t="s">
        <v>28280</v>
      </c>
      <c r="F3742" s="2" t="s">
        <v>24764</v>
      </c>
      <c r="G3742" s="2" t="s">
        <v>28281</v>
      </c>
      <c r="H3742" s="2" t="s">
        <v>523</v>
      </c>
      <c r="I3742" s="2" t="s">
        <v>154</v>
      </c>
      <c r="J3742" s="2" t="s">
        <v>1983</v>
      </c>
      <c r="K3742" s="2" t="s">
        <v>28280</v>
      </c>
      <c r="L3742" s="2" t="s">
        <v>154</v>
      </c>
      <c r="M3742" s="2" t="s">
        <v>523</v>
      </c>
      <c r="N3742" s="2" t="s">
        <v>28282</v>
      </c>
      <c r="O3742" s="2"/>
      <c r="P3742" s="2" t="s">
        <v>37</v>
      </c>
      <c r="Q3742" s="4" t="n">
        <v>6794</v>
      </c>
      <c r="R3742" s="2" t="s">
        <v>154</v>
      </c>
      <c r="S3742" s="2" t="s">
        <v>26308</v>
      </c>
      <c r="T3742" s="2" t="s">
        <v>40</v>
      </c>
      <c r="U3742" s="2" t="s">
        <v>28283</v>
      </c>
      <c r="V3742" s="2"/>
      <c r="W3742" s="2" t="s">
        <v>15545</v>
      </c>
      <c r="X3742" s="2" t="s">
        <v>43</v>
      </c>
      <c r="Y3742" s="2" t="s">
        <v>79</v>
      </c>
      <c r="Z3742" s="2" t="s">
        <v>44</v>
      </c>
      <c r="AA3742" s="2"/>
      <c r="AB3742" s="2"/>
      <c r="AC3742" s="2" t="s">
        <v>28284</v>
      </c>
      <c r="AD3742" s="2" t="s">
        <v>46</v>
      </c>
    </row>
    <row r="3743" customFormat="false" ht="15.7" hidden="false" customHeight="true" outlineLevel="0" collapsed="false">
      <c r="A3743" s="2"/>
      <c r="B3743" s="3" t="n">
        <f aca="false">DATE(2018,8,23)</f>
        <v>0</v>
      </c>
      <c r="C3743" s="3" t="n">
        <v>43335</v>
      </c>
      <c r="D3743" s="2" t="s">
        <v>28285</v>
      </c>
      <c r="F3743" s="2" t="s">
        <v>28286</v>
      </c>
      <c r="G3743" s="2" t="s">
        <v>28287</v>
      </c>
      <c r="H3743" s="2" t="s">
        <v>28288</v>
      </c>
      <c r="I3743" s="2" t="s">
        <v>28289</v>
      </c>
      <c r="J3743" s="2" t="s">
        <v>35</v>
      </c>
      <c r="K3743" s="2" t="s">
        <v>28285</v>
      </c>
      <c r="L3743" s="2" t="s">
        <v>28289</v>
      </c>
      <c r="M3743" s="2" t="s">
        <v>28288</v>
      </c>
      <c r="N3743" s="2" t="s">
        <v>28290</v>
      </c>
      <c r="O3743" s="2"/>
      <c r="P3743" s="2" t="s">
        <v>37</v>
      </c>
      <c r="Q3743" s="4" t="n">
        <v>8731</v>
      </c>
      <c r="R3743" s="2" t="s">
        <v>3154</v>
      </c>
      <c r="S3743" s="2" t="s">
        <v>39</v>
      </c>
      <c r="T3743" s="2" t="s">
        <v>403</v>
      </c>
      <c r="U3743" s="2" t="s">
        <v>28291</v>
      </c>
      <c r="V3743" s="2"/>
      <c r="W3743" s="2" t="s">
        <v>28292</v>
      </c>
      <c r="X3743" s="2" t="s">
        <v>43</v>
      </c>
      <c r="Y3743" s="2" t="s">
        <v>37</v>
      </c>
      <c r="Z3743" s="2" t="s">
        <v>44</v>
      </c>
      <c r="AA3743" s="2"/>
      <c r="AB3743" s="2"/>
      <c r="AC3743" s="2" t="s">
        <v>28293</v>
      </c>
      <c r="AD3743" s="2" t="s">
        <v>46</v>
      </c>
    </row>
    <row r="3744" customFormat="false" ht="15.7" hidden="false" customHeight="true" outlineLevel="0" collapsed="false">
      <c r="A3744" s="2"/>
      <c r="B3744" s="3" t="n">
        <f aca="false">DATE(2018,8,23)</f>
        <v>0</v>
      </c>
      <c r="C3744" s="3" t="n">
        <v>43335</v>
      </c>
      <c r="D3744" s="2" t="s">
        <v>28294</v>
      </c>
      <c r="F3744" s="2" t="s">
        <v>28295</v>
      </c>
      <c r="G3744" s="2" t="s">
        <v>28296</v>
      </c>
      <c r="H3744" s="2" t="s">
        <v>6296</v>
      </c>
      <c r="I3744" s="2" t="s">
        <v>8543</v>
      </c>
      <c r="J3744" s="2" t="s">
        <v>35</v>
      </c>
      <c r="K3744" s="2" t="s">
        <v>28297</v>
      </c>
      <c r="L3744" s="2" t="s">
        <v>8543</v>
      </c>
      <c r="M3744" s="2" t="s">
        <v>28298</v>
      </c>
      <c r="N3744" s="2" t="s">
        <v>28299</v>
      </c>
      <c r="O3744" s="2"/>
      <c r="P3744" s="2" t="s">
        <v>37</v>
      </c>
      <c r="Q3744" s="4" t="n">
        <v>8062</v>
      </c>
      <c r="R3744" s="2" t="s">
        <v>70</v>
      </c>
      <c r="S3744" s="2" t="s">
        <v>39</v>
      </c>
      <c r="T3744" s="2" t="s">
        <v>40</v>
      </c>
      <c r="U3744" s="2" t="s">
        <v>28300</v>
      </c>
      <c r="V3744" s="2"/>
      <c r="W3744" s="2" t="s">
        <v>15969</v>
      </c>
      <c r="X3744" s="2" t="s">
        <v>43</v>
      </c>
      <c r="Y3744" s="2" t="s">
        <v>37</v>
      </c>
      <c r="Z3744" s="2" t="s">
        <v>44</v>
      </c>
      <c r="AA3744" s="2"/>
      <c r="AB3744" s="2"/>
      <c r="AC3744" s="2" t="s">
        <v>28301</v>
      </c>
      <c r="AD3744" s="2" t="s">
        <v>46</v>
      </c>
    </row>
    <row r="3745" customFormat="false" ht="15.7" hidden="false" customHeight="true" outlineLevel="0" collapsed="false">
      <c r="A3745" s="2"/>
      <c r="B3745" s="3" t="n">
        <f aca="false">DATE(2018,8,23)</f>
        <v>0</v>
      </c>
      <c r="C3745" s="3" t="n">
        <v>43335</v>
      </c>
      <c r="D3745" s="2" t="s">
        <v>28302</v>
      </c>
      <c r="F3745" s="2" t="s">
        <v>28303</v>
      </c>
      <c r="G3745" s="2" t="s">
        <v>28304</v>
      </c>
      <c r="H3745" s="2" t="s">
        <v>28305</v>
      </c>
      <c r="I3745" s="2" t="s">
        <v>28306</v>
      </c>
      <c r="J3745" s="2" t="s">
        <v>28307</v>
      </c>
      <c r="K3745" s="2" t="s">
        <v>28308</v>
      </c>
      <c r="L3745" s="2" t="s">
        <v>28306</v>
      </c>
      <c r="M3745" s="2" t="s">
        <v>28309</v>
      </c>
      <c r="N3745" s="2" t="s">
        <v>28310</v>
      </c>
      <c r="O3745" s="2"/>
      <c r="P3745" s="2" t="s">
        <v>37</v>
      </c>
      <c r="Q3745" s="4" t="n">
        <v>8731</v>
      </c>
      <c r="R3745" s="2" t="s">
        <v>56</v>
      </c>
      <c r="S3745" s="2" t="s">
        <v>1226</v>
      </c>
      <c r="T3745" s="2" t="s">
        <v>403</v>
      </c>
      <c r="U3745" s="2" t="s">
        <v>28311</v>
      </c>
      <c r="V3745" s="2"/>
      <c r="W3745" s="2" t="s">
        <v>28312</v>
      </c>
      <c r="X3745" s="2" t="s">
        <v>43</v>
      </c>
      <c r="Y3745" s="2" t="s">
        <v>37</v>
      </c>
      <c r="Z3745" s="2" t="s">
        <v>916</v>
      </c>
      <c r="AA3745" s="2"/>
      <c r="AB3745" s="2"/>
      <c r="AC3745" s="2" t="s">
        <v>28313</v>
      </c>
      <c r="AD3745" s="2" t="s">
        <v>46</v>
      </c>
    </row>
    <row r="3746" customFormat="false" ht="15.7" hidden="false" customHeight="true" outlineLevel="0" collapsed="false">
      <c r="A3746" s="2"/>
      <c r="B3746" s="3" t="n">
        <f aca="false">DATE(2018,8,23)</f>
        <v>0</v>
      </c>
      <c r="C3746" s="3" t="n">
        <v>43335</v>
      </c>
      <c r="D3746" s="2" t="s">
        <v>28314</v>
      </c>
      <c r="F3746" s="2" t="s">
        <v>20650</v>
      </c>
      <c r="G3746" s="2" t="s">
        <v>28315</v>
      </c>
      <c r="H3746" s="2" t="s">
        <v>130</v>
      </c>
      <c r="I3746" s="2" t="s">
        <v>88</v>
      </c>
      <c r="J3746" s="2" t="s">
        <v>65</v>
      </c>
      <c r="K3746" s="2" t="s">
        <v>28316</v>
      </c>
      <c r="L3746" s="2" t="s">
        <v>88</v>
      </c>
      <c r="M3746" s="2" t="s">
        <v>230</v>
      </c>
      <c r="N3746" s="2" t="s">
        <v>28317</v>
      </c>
      <c r="O3746" s="2"/>
      <c r="P3746" s="2" t="s">
        <v>37</v>
      </c>
      <c r="Q3746" s="4" t="n">
        <v>6794</v>
      </c>
      <c r="R3746" s="2" t="s">
        <v>56</v>
      </c>
      <c r="S3746" s="2" t="s">
        <v>92</v>
      </c>
      <c r="T3746" s="2" t="s">
        <v>40</v>
      </c>
      <c r="U3746" s="2" t="s">
        <v>28318</v>
      </c>
      <c r="V3746" s="2"/>
      <c r="W3746" s="2" t="s">
        <v>26089</v>
      </c>
      <c r="X3746" s="2" t="s">
        <v>43</v>
      </c>
      <c r="Y3746" s="2" t="s">
        <v>37</v>
      </c>
      <c r="Z3746" s="2" t="s">
        <v>44</v>
      </c>
      <c r="AA3746" s="2"/>
      <c r="AB3746" s="2"/>
      <c r="AC3746" s="2" t="s">
        <v>28319</v>
      </c>
      <c r="AD3746" s="2" t="s">
        <v>46</v>
      </c>
    </row>
    <row r="3747" customFormat="false" ht="15.7" hidden="false" customHeight="true" outlineLevel="0" collapsed="false">
      <c r="A3747" s="2"/>
      <c r="B3747" s="3" t="n">
        <f aca="false">DATE(2018,8,23)</f>
        <v>0</v>
      </c>
      <c r="C3747" s="3" t="n">
        <v>43335</v>
      </c>
      <c r="D3747" s="2" t="s">
        <v>28320</v>
      </c>
      <c r="F3747" s="2" t="s">
        <v>28321</v>
      </c>
      <c r="G3747" s="2" t="s">
        <v>28322</v>
      </c>
      <c r="H3747" s="2" t="s">
        <v>28323</v>
      </c>
      <c r="I3747" s="2" t="s">
        <v>10332</v>
      </c>
      <c r="J3747" s="2" t="s">
        <v>35</v>
      </c>
      <c r="K3747" s="2" t="s">
        <v>28324</v>
      </c>
      <c r="L3747" s="2" t="s">
        <v>10332</v>
      </c>
      <c r="M3747" s="2" t="s">
        <v>28325</v>
      </c>
      <c r="N3747" s="2" t="s">
        <v>28326</v>
      </c>
      <c r="O3747" s="2"/>
      <c r="P3747" s="2" t="s">
        <v>37</v>
      </c>
      <c r="Q3747" s="4" t="n">
        <v>8731</v>
      </c>
      <c r="R3747" s="2" t="s">
        <v>10332</v>
      </c>
      <c r="S3747" s="2" t="s">
        <v>5334</v>
      </c>
      <c r="T3747" s="2" t="s">
        <v>40</v>
      </c>
      <c r="U3747" s="2" t="s">
        <v>28327</v>
      </c>
      <c r="V3747" s="2"/>
      <c r="W3747" s="2" t="s">
        <v>25385</v>
      </c>
      <c r="X3747" s="2" t="s">
        <v>43</v>
      </c>
      <c r="Y3747" s="2" t="s">
        <v>79</v>
      </c>
      <c r="Z3747" s="2" t="s">
        <v>44</v>
      </c>
      <c r="AA3747" s="2"/>
      <c r="AB3747" s="2"/>
      <c r="AC3747" s="2" t="s">
        <v>28328</v>
      </c>
      <c r="AD3747" s="2" t="s">
        <v>46</v>
      </c>
    </row>
    <row r="3748" customFormat="false" ht="15.7" hidden="false" customHeight="true" outlineLevel="0" collapsed="false">
      <c r="A3748" s="2"/>
      <c r="B3748" s="3" t="n">
        <f aca="false">DATE(2018,8,24)</f>
        <v>0</v>
      </c>
      <c r="C3748" s="3" t="n">
        <v>43336</v>
      </c>
      <c r="D3748" s="2" t="s">
        <v>28329</v>
      </c>
      <c r="F3748" s="2" t="s">
        <v>28330</v>
      </c>
      <c r="G3748" s="2" t="s">
        <v>28331</v>
      </c>
      <c r="H3748" s="2" t="s">
        <v>130</v>
      </c>
      <c r="I3748" s="2" t="s">
        <v>28332</v>
      </c>
      <c r="J3748" s="2" t="s">
        <v>35</v>
      </c>
      <c r="K3748" s="2" t="s">
        <v>28333</v>
      </c>
      <c r="L3748" s="2" t="s">
        <v>28332</v>
      </c>
      <c r="M3748" s="2" t="s">
        <v>230</v>
      </c>
      <c r="N3748" s="2" t="s">
        <v>28334</v>
      </c>
      <c r="O3748" s="2"/>
      <c r="P3748" s="2" t="s">
        <v>37</v>
      </c>
      <c r="Q3748" s="4" t="n">
        <v>6794</v>
      </c>
      <c r="R3748" s="2" t="s">
        <v>70</v>
      </c>
      <c r="S3748" s="2" t="s">
        <v>39</v>
      </c>
      <c r="T3748" s="2" t="s">
        <v>40</v>
      </c>
      <c r="U3748" s="2" t="s">
        <v>28335</v>
      </c>
      <c r="V3748" s="2"/>
      <c r="W3748" s="2" t="s">
        <v>24466</v>
      </c>
      <c r="X3748" s="2" t="s">
        <v>43</v>
      </c>
      <c r="Y3748" s="2" t="s">
        <v>37</v>
      </c>
      <c r="Z3748" s="2" t="s">
        <v>44</v>
      </c>
      <c r="AA3748" s="2" t="s">
        <v>28336</v>
      </c>
      <c r="AB3748" s="2"/>
      <c r="AC3748" s="2" t="s">
        <v>28337</v>
      </c>
      <c r="AD3748" s="2" t="s">
        <v>46</v>
      </c>
    </row>
    <row r="3749" customFormat="false" ht="15.7" hidden="false" customHeight="true" outlineLevel="0" collapsed="false">
      <c r="A3749" s="2"/>
      <c r="B3749" s="3" t="n">
        <f aca="false">DATE(2018,8,24)</f>
        <v>0</v>
      </c>
      <c r="C3749" s="3" t="n">
        <v>43336</v>
      </c>
      <c r="D3749" s="2" t="s">
        <v>28338</v>
      </c>
      <c r="F3749" s="2" t="s">
        <v>28339</v>
      </c>
      <c r="G3749" s="2" t="s">
        <v>28340</v>
      </c>
      <c r="H3749" s="2" t="s">
        <v>28341</v>
      </c>
      <c r="I3749" s="2" t="s">
        <v>12029</v>
      </c>
      <c r="J3749" s="2" t="s">
        <v>35</v>
      </c>
      <c r="K3749" s="2" t="s">
        <v>28342</v>
      </c>
      <c r="L3749" s="2" t="s">
        <v>12029</v>
      </c>
      <c r="M3749" s="2" t="s">
        <v>28343</v>
      </c>
      <c r="N3749" s="2" t="s">
        <v>28344</v>
      </c>
      <c r="O3749" s="2"/>
      <c r="P3749" s="2" t="s">
        <v>37</v>
      </c>
      <c r="Q3749" s="4" t="n">
        <v>8731</v>
      </c>
      <c r="R3749" s="2" t="s">
        <v>28345</v>
      </c>
      <c r="S3749" s="2" t="s">
        <v>5334</v>
      </c>
      <c r="T3749" s="2" t="s">
        <v>40</v>
      </c>
      <c r="U3749" s="2" t="s">
        <v>28346</v>
      </c>
      <c r="V3749" s="2"/>
      <c r="W3749" s="2" t="s">
        <v>28347</v>
      </c>
      <c r="X3749" s="2" t="s">
        <v>43</v>
      </c>
      <c r="Y3749" s="2" t="s">
        <v>79</v>
      </c>
      <c r="Z3749" s="2" t="s">
        <v>44</v>
      </c>
      <c r="AA3749" s="2"/>
      <c r="AB3749" s="2"/>
      <c r="AC3749" s="2" t="s">
        <v>28348</v>
      </c>
      <c r="AD3749" s="2" t="s">
        <v>46</v>
      </c>
    </row>
    <row r="3750" customFormat="false" ht="15.7" hidden="false" customHeight="true" outlineLevel="0" collapsed="false">
      <c r="A3750" s="2"/>
      <c r="B3750" s="3" t="n">
        <f aca="false">DATE(2018,8,24)</f>
        <v>0</v>
      </c>
      <c r="C3750" s="3" t="n">
        <v>43336</v>
      </c>
      <c r="D3750" s="2" t="s">
        <v>28349</v>
      </c>
      <c r="F3750" s="2" t="s">
        <v>28350</v>
      </c>
      <c r="G3750" s="2" t="s">
        <v>28351</v>
      </c>
      <c r="H3750" s="2" t="s">
        <v>10495</v>
      </c>
      <c r="I3750" s="2" t="s">
        <v>540</v>
      </c>
      <c r="J3750" s="2" t="s">
        <v>35</v>
      </c>
      <c r="K3750" s="2" t="s">
        <v>28349</v>
      </c>
      <c r="L3750" s="2" t="s">
        <v>540</v>
      </c>
      <c r="M3750" s="2" t="s">
        <v>10495</v>
      </c>
      <c r="N3750" s="2" t="s">
        <v>28352</v>
      </c>
      <c r="O3750" s="2"/>
      <c r="P3750" s="2" t="s">
        <v>37</v>
      </c>
      <c r="Q3750" s="4" t="n">
        <v>8731</v>
      </c>
      <c r="R3750" s="2" t="s">
        <v>1448</v>
      </c>
      <c r="S3750" s="2" t="s">
        <v>39</v>
      </c>
      <c r="T3750" s="2" t="s">
        <v>40</v>
      </c>
      <c r="U3750" s="2" t="s">
        <v>28353</v>
      </c>
      <c r="V3750" s="2"/>
      <c r="W3750" s="2" t="s">
        <v>344</v>
      </c>
      <c r="X3750" s="2" t="s">
        <v>43</v>
      </c>
      <c r="Y3750" s="2" t="s">
        <v>37</v>
      </c>
      <c r="Z3750" s="2" t="s">
        <v>44</v>
      </c>
      <c r="AA3750" s="2"/>
      <c r="AB3750" s="2"/>
      <c r="AC3750" s="2" t="s">
        <v>28354</v>
      </c>
      <c r="AD3750" s="2" t="s">
        <v>46</v>
      </c>
    </row>
    <row r="3751" customFormat="false" ht="15.7" hidden="false" customHeight="true" outlineLevel="0" collapsed="false">
      <c r="A3751" s="2"/>
      <c r="B3751" s="3" t="n">
        <f aca="false">DATE(2018,8,24)</f>
        <v>0</v>
      </c>
      <c r="C3751" s="3" t="n">
        <v>43336</v>
      </c>
      <c r="D3751" s="2" t="s">
        <v>28355</v>
      </c>
      <c r="F3751" s="2" t="s">
        <v>28356</v>
      </c>
      <c r="G3751" s="2" t="s">
        <v>28357</v>
      </c>
      <c r="H3751" s="2" t="s">
        <v>238</v>
      </c>
      <c r="I3751" s="2" t="s">
        <v>4325</v>
      </c>
      <c r="J3751" s="2" t="s">
        <v>35</v>
      </c>
      <c r="K3751" s="2" t="s">
        <v>28355</v>
      </c>
      <c r="L3751" s="2" t="s">
        <v>4325</v>
      </c>
      <c r="M3751" s="2" t="s">
        <v>238</v>
      </c>
      <c r="N3751" s="2" t="s">
        <v>28358</v>
      </c>
      <c r="O3751" s="2"/>
      <c r="P3751" s="2" t="s">
        <v>37</v>
      </c>
      <c r="Q3751" s="4" t="n">
        <v>8731</v>
      </c>
      <c r="R3751" s="2" t="s">
        <v>402</v>
      </c>
      <c r="S3751" s="2" t="s">
        <v>39</v>
      </c>
      <c r="T3751" s="2" t="s">
        <v>403</v>
      </c>
      <c r="U3751" s="2" t="s">
        <v>28359</v>
      </c>
      <c r="V3751" s="2"/>
      <c r="W3751" s="2" t="s">
        <v>25385</v>
      </c>
      <c r="X3751" s="2" t="s">
        <v>43</v>
      </c>
      <c r="Y3751" s="2" t="s">
        <v>37</v>
      </c>
      <c r="Z3751" s="2" t="s">
        <v>44</v>
      </c>
      <c r="AA3751" s="2"/>
      <c r="AB3751" s="2"/>
      <c r="AC3751" s="2" t="s">
        <v>28360</v>
      </c>
      <c r="AD3751" s="2" t="s">
        <v>46</v>
      </c>
    </row>
    <row r="3752" customFormat="false" ht="15.7" hidden="false" customHeight="true" outlineLevel="0" collapsed="false">
      <c r="A3752" s="2"/>
      <c r="B3752" s="3" t="n">
        <f aca="false">DATE(2018,8,27)</f>
        <v>0</v>
      </c>
      <c r="C3752" s="3" t="n">
        <v>43339</v>
      </c>
      <c r="D3752" s="2" t="s">
        <v>28361</v>
      </c>
      <c r="F3752" s="2" t="s">
        <v>28362</v>
      </c>
      <c r="G3752" s="2" t="s">
        <v>28363</v>
      </c>
      <c r="H3752" s="2" t="s">
        <v>1027</v>
      </c>
      <c r="I3752" s="2" t="s">
        <v>369</v>
      </c>
      <c r="J3752" s="2" t="s">
        <v>35</v>
      </c>
      <c r="K3752" s="2" t="s">
        <v>28361</v>
      </c>
      <c r="L3752" s="2" t="s">
        <v>369</v>
      </c>
      <c r="M3752" s="2" t="s">
        <v>1027</v>
      </c>
      <c r="N3752" s="2" t="s">
        <v>28364</v>
      </c>
      <c r="O3752" s="2"/>
      <c r="P3752" s="2" t="s">
        <v>37</v>
      </c>
      <c r="Q3752" s="4" t="n">
        <v>8731</v>
      </c>
      <c r="R3752" s="2" t="s">
        <v>105</v>
      </c>
      <c r="S3752" s="2" t="s">
        <v>39</v>
      </c>
      <c r="T3752" s="2" t="s">
        <v>403</v>
      </c>
      <c r="U3752" s="2" t="s">
        <v>28365</v>
      </c>
      <c r="V3752" s="2"/>
      <c r="W3752" s="2" t="s">
        <v>344</v>
      </c>
      <c r="X3752" s="2" t="s">
        <v>43</v>
      </c>
      <c r="Y3752" s="2" t="s">
        <v>37</v>
      </c>
      <c r="Z3752" s="2" t="s">
        <v>44</v>
      </c>
      <c r="AA3752" s="2"/>
      <c r="AB3752" s="2"/>
      <c r="AC3752" s="2" t="s">
        <v>28366</v>
      </c>
      <c r="AD3752" s="2" t="s">
        <v>46</v>
      </c>
    </row>
    <row r="3753" customFormat="false" ht="15.7" hidden="false" customHeight="true" outlineLevel="0" collapsed="false">
      <c r="A3753" s="2"/>
      <c r="B3753" s="3" t="n">
        <f aca="false">DATE(2018,8,27)</f>
        <v>0</v>
      </c>
      <c r="C3753" s="3" t="n">
        <v>43339</v>
      </c>
      <c r="D3753" s="2" t="s">
        <v>28367</v>
      </c>
      <c r="F3753" s="2" t="s">
        <v>28368</v>
      </c>
      <c r="G3753" s="2" t="s">
        <v>28369</v>
      </c>
      <c r="H3753" s="2" t="s">
        <v>1042</v>
      </c>
      <c r="I3753" s="2" t="s">
        <v>3265</v>
      </c>
      <c r="J3753" s="2" t="s">
        <v>331</v>
      </c>
      <c r="K3753" s="2" t="s">
        <v>28367</v>
      </c>
      <c r="L3753" s="2" t="s">
        <v>3265</v>
      </c>
      <c r="M3753" s="2" t="s">
        <v>1042</v>
      </c>
      <c r="N3753" s="2" t="s">
        <v>28370</v>
      </c>
      <c r="O3753" s="2"/>
      <c r="P3753" s="2" t="s">
        <v>37</v>
      </c>
      <c r="Q3753" s="4" t="n">
        <v>8731</v>
      </c>
      <c r="R3753" s="2" t="s">
        <v>402</v>
      </c>
      <c r="S3753" s="2" t="s">
        <v>39</v>
      </c>
      <c r="T3753" s="2" t="s">
        <v>40</v>
      </c>
      <c r="U3753" s="2" t="s">
        <v>28371</v>
      </c>
      <c r="V3753" s="2"/>
      <c r="W3753" s="2" t="s">
        <v>42</v>
      </c>
      <c r="X3753" s="2" t="s">
        <v>43</v>
      </c>
      <c r="Y3753" s="2" t="s">
        <v>37</v>
      </c>
      <c r="Z3753" s="2" t="s">
        <v>44</v>
      </c>
      <c r="AA3753" s="2"/>
      <c r="AB3753" s="2"/>
      <c r="AC3753" s="2" t="s">
        <v>28372</v>
      </c>
      <c r="AD3753" s="2" t="s">
        <v>46</v>
      </c>
    </row>
    <row r="3754" customFormat="false" ht="15.7" hidden="false" customHeight="true" outlineLevel="0" collapsed="false">
      <c r="A3754" s="2"/>
      <c r="B3754" s="3" t="n">
        <f aca="false">DATE(2018,8,27)</f>
        <v>0</v>
      </c>
      <c r="C3754" s="3" t="n">
        <v>43339</v>
      </c>
      <c r="D3754" s="2" t="s">
        <v>28373</v>
      </c>
      <c r="F3754" s="2" t="s">
        <v>28374</v>
      </c>
      <c r="G3754" s="2" t="s">
        <v>28375</v>
      </c>
      <c r="H3754" s="2" t="s">
        <v>28376</v>
      </c>
      <c r="I3754" s="2" t="s">
        <v>670</v>
      </c>
      <c r="J3754" s="2" t="s">
        <v>625</v>
      </c>
      <c r="K3754" s="2" t="s">
        <v>28373</v>
      </c>
      <c r="L3754" s="2" t="s">
        <v>670</v>
      </c>
      <c r="M3754" s="2" t="s">
        <v>28376</v>
      </c>
      <c r="N3754" s="2" t="s">
        <v>28377</v>
      </c>
      <c r="O3754" s="2"/>
      <c r="P3754" s="2" t="s">
        <v>37</v>
      </c>
      <c r="Q3754" s="4" t="n">
        <v>8099</v>
      </c>
      <c r="R3754" s="2" t="s">
        <v>402</v>
      </c>
      <c r="S3754" s="2" t="s">
        <v>39</v>
      </c>
      <c r="T3754" s="2" t="s">
        <v>403</v>
      </c>
      <c r="U3754" s="2" t="s">
        <v>28378</v>
      </c>
      <c r="V3754" s="2"/>
      <c r="W3754" s="2" t="s">
        <v>4487</v>
      </c>
      <c r="X3754" s="2" t="s">
        <v>43</v>
      </c>
      <c r="Y3754" s="2" t="s">
        <v>37</v>
      </c>
      <c r="Z3754" s="2" t="s">
        <v>44</v>
      </c>
      <c r="AA3754" s="2"/>
      <c r="AB3754" s="2"/>
      <c r="AC3754" s="2" t="s">
        <v>28379</v>
      </c>
      <c r="AD3754" s="2" t="s">
        <v>46</v>
      </c>
    </row>
    <row r="3755" customFormat="false" ht="15.7" hidden="false" customHeight="true" outlineLevel="0" collapsed="false">
      <c r="A3755" s="2"/>
      <c r="B3755" s="3" t="n">
        <f aca="false">DATE(2018,8,27)</f>
        <v>0</v>
      </c>
      <c r="C3755" s="3" t="n">
        <v>43339</v>
      </c>
      <c r="D3755" s="2" t="s">
        <v>28380</v>
      </c>
      <c r="F3755" s="2" t="s">
        <v>28381</v>
      </c>
      <c r="G3755" s="2" t="s">
        <v>28382</v>
      </c>
      <c r="H3755" s="2" t="s">
        <v>762</v>
      </c>
      <c r="I3755" s="2" t="s">
        <v>296</v>
      </c>
      <c r="J3755" s="2" t="s">
        <v>575</v>
      </c>
      <c r="K3755" s="2" t="s">
        <v>28380</v>
      </c>
      <c r="L3755" s="2" t="s">
        <v>296</v>
      </c>
      <c r="M3755" s="2" t="s">
        <v>762</v>
      </c>
      <c r="N3755" s="2" t="s">
        <v>28383</v>
      </c>
      <c r="O3755" s="2"/>
      <c r="P3755" s="2" t="s">
        <v>79</v>
      </c>
      <c r="Q3755" s="4" t="n">
        <v>5099</v>
      </c>
      <c r="R3755" s="2" t="s">
        <v>1448</v>
      </c>
      <c r="S3755" s="2" t="s">
        <v>39</v>
      </c>
      <c r="T3755" s="2" t="s">
        <v>40</v>
      </c>
      <c r="U3755" s="2" t="s">
        <v>28384</v>
      </c>
      <c r="V3755" s="2"/>
      <c r="W3755" s="2" t="s">
        <v>28385</v>
      </c>
      <c r="X3755" s="2" t="s">
        <v>43</v>
      </c>
      <c r="Y3755" s="2" t="s">
        <v>37</v>
      </c>
      <c r="Z3755" s="2" t="s">
        <v>44</v>
      </c>
      <c r="AA3755" s="2"/>
      <c r="AB3755" s="2"/>
      <c r="AC3755" s="2" t="s">
        <v>28386</v>
      </c>
      <c r="AD3755" s="2" t="s">
        <v>46</v>
      </c>
    </row>
    <row r="3756" customFormat="false" ht="15.7" hidden="false" customHeight="true" outlineLevel="0" collapsed="false">
      <c r="A3756" s="2"/>
      <c r="B3756" s="3" t="n">
        <f aca="false">DATE(2018,8,27)</f>
        <v>0</v>
      </c>
      <c r="C3756" s="3" t="n">
        <v>43339</v>
      </c>
      <c r="D3756" s="2" t="s">
        <v>28387</v>
      </c>
      <c r="F3756" s="2" t="s">
        <v>28388</v>
      </c>
      <c r="G3756" s="2" t="s">
        <v>28389</v>
      </c>
      <c r="H3756" s="2" t="s">
        <v>25034</v>
      </c>
      <c r="I3756" s="2" t="s">
        <v>131</v>
      </c>
      <c r="J3756" s="2" t="s">
        <v>24440</v>
      </c>
      <c r="K3756" s="2" t="s">
        <v>28390</v>
      </c>
      <c r="L3756" s="2" t="s">
        <v>131</v>
      </c>
      <c r="M3756" s="2" t="s">
        <v>8207</v>
      </c>
      <c r="N3756" s="2" t="s">
        <v>28391</v>
      </c>
      <c r="O3756" s="2"/>
      <c r="P3756" s="2" t="s">
        <v>79</v>
      </c>
      <c r="Q3756" s="4" t="n">
        <v>8099</v>
      </c>
      <c r="R3756" s="2" t="s">
        <v>136</v>
      </c>
      <c r="S3756" s="2" t="s">
        <v>39</v>
      </c>
      <c r="T3756" s="2" t="s">
        <v>40</v>
      </c>
      <c r="U3756" s="2" t="s">
        <v>28392</v>
      </c>
      <c r="V3756" s="2"/>
      <c r="W3756" s="2" t="s">
        <v>28393</v>
      </c>
      <c r="X3756" s="2" t="s">
        <v>43</v>
      </c>
      <c r="Y3756" s="2" t="s">
        <v>37</v>
      </c>
      <c r="Z3756" s="2" t="s">
        <v>44</v>
      </c>
      <c r="AA3756" s="2"/>
      <c r="AB3756" s="2"/>
      <c r="AC3756" s="2" t="s">
        <v>28394</v>
      </c>
      <c r="AD3756" s="2" t="s">
        <v>46</v>
      </c>
    </row>
    <row r="3757" customFormat="false" ht="15.7" hidden="false" customHeight="true" outlineLevel="0" collapsed="false">
      <c r="A3757" s="2"/>
      <c r="B3757" s="3" t="n">
        <f aca="false">DATE(2018,8,28)</f>
        <v>0</v>
      </c>
      <c r="C3757" s="3" t="n">
        <v>43340</v>
      </c>
      <c r="D3757" s="2" t="s">
        <v>28395</v>
      </c>
      <c r="F3757" s="2" t="s">
        <v>17277</v>
      </c>
      <c r="G3757" s="2" t="s">
        <v>28396</v>
      </c>
      <c r="H3757" s="2" t="s">
        <v>523</v>
      </c>
      <c r="I3757" s="2" t="s">
        <v>51</v>
      </c>
      <c r="J3757" s="2" t="s">
        <v>3854</v>
      </c>
      <c r="K3757" s="2" t="s">
        <v>28395</v>
      </c>
      <c r="L3757" s="2" t="s">
        <v>51</v>
      </c>
      <c r="M3757" s="2" t="s">
        <v>523</v>
      </c>
      <c r="N3757" s="2" t="s">
        <v>28397</v>
      </c>
      <c r="O3757" s="2"/>
      <c r="P3757" s="2" t="s">
        <v>37</v>
      </c>
      <c r="Q3757" s="4" t="n">
        <v>8731</v>
      </c>
      <c r="R3757" s="2"/>
      <c r="S3757" s="2"/>
      <c r="T3757" s="2" t="s">
        <v>40</v>
      </c>
      <c r="U3757" s="2" t="s">
        <v>28398</v>
      </c>
      <c r="V3757" s="2"/>
      <c r="W3757" s="2" t="s">
        <v>1050</v>
      </c>
      <c r="X3757" s="2" t="s">
        <v>43</v>
      </c>
      <c r="Y3757" s="2" t="s">
        <v>37</v>
      </c>
      <c r="Z3757" s="2" t="s">
        <v>44</v>
      </c>
      <c r="AA3757" s="2"/>
      <c r="AB3757" s="2"/>
      <c r="AC3757" s="2" t="s">
        <v>28399</v>
      </c>
      <c r="AD3757" s="2" t="s">
        <v>46</v>
      </c>
    </row>
    <row r="3758" customFormat="false" ht="15.7" hidden="false" customHeight="true" outlineLevel="0" collapsed="false">
      <c r="A3758" s="2"/>
      <c r="B3758" s="3" t="n">
        <f aca="false">DATE(2018,8,28)</f>
        <v>0</v>
      </c>
      <c r="C3758" s="3" t="n">
        <v>43340</v>
      </c>
      <c r="D3758" s="2" t="s">
        <v>28400</v>
      </c>
      <c r="F3758" s="2" t="s">
        <v>28401</v>
      </c>
      <c r="G3758" s="2" t="s">
        <v>28402</v>
      </c>
      <c r="H3758" s="2" t="s">
        <v>2361</v>
      </c>
      <c r="I3758" s="2" t="s">
        <v>51</v>
      </c>
      <c r="J3758" s="2" t="s">
        <v>9038</v>
      </c>
      <c r="K3758" s="2" t="s">
        <v>28400</v>
      </c>
      <c r="L3758" s="2" t="s">
        <v>51</v>
      </c>
      <c r="M3758" s="2" t="s">
        <v>2361</v>
      </c>
      <c r="N3758" s="2" t="s">
        <v>28403</v>
      </c>
      <c r="O3758" s="2"/>
      <c r="P3758" s="2" t="s">
        <v>37</v>
      </c>
      <c r="Q3758" s="4" t="n">
        <v>8731</v>
      </c>
      <c r="R3758" s="2" t="s">
        <v>56</v>
      </c>
      <c r="S3758" s="2"/>
      <c r="T3758" s="2" t="s">
        <v>40</v>
      </c>
      <c r="U3758" s="2" t="s">
        <v>28404</v>
      </c>
      <c r="V3758" s="2"/>
      <c r="W3758" s="2" t="s">
        <v>42</v>
      </c>
      <c r="X3758" s="2" t="s">
        <v>43</v>
      </c>
      <c r="Y3758" s="2" t="s">
        <v>37</v>
      </c>
      <c r="Z3758" s="2" t="s">
        <v>44</v>
      </c>
      <c r="AA3758" s="2"/>
      <c r="AB3758" s="2"/>
      <c r="AC3758" s="2" t="s">
        <v>28405</v>
      </c>
      <c r="AD3758" s="2" t="s">
        <v>46</v>
      </c>
    </row>
    <row r="3759" customFormat="false" ht="15.7" hidden="false" customHeight="true" outlineLevel="0" collapsed="false">
      <c r="A3759" s="2"/>
      <c r="B3759" s="3" t="n">
        <f aca="false">DATE(2018,8,28)</f>
        <v>0</v>
      </c>
      <c r="C3759" s="3" t="n">
        <v>43340</v>
      </c>
      <c r="D3759" s="2" t="s">
        <v>28406</v>
      </c>
      <c r="F3759" s="2" t="s">
        <v>28407</v>
      </c>
      <c r="G3759" s="2" t="s">
        <v>28408</v>
      </c>
      <c r="H3759" s="2" t="s">
        <v>2283</v>
      </c>
      <c r="I3759" s="2" t="s">
        <v>51</v>
      </c>
      <c r="J3759" s="2" t="s">
        <v>2873</v>
      </c>
      <c r="K3759" s="2" t="s">
        <v>28409</v>
      </c>
      <c r="L3759" s="2" t="s">
        <v>51</v>
      </c>
      <c r="M3759" s="2" t="s">
        <v>2832</v>
      </c>
      <c r="N3759" s="2" t="s">
        <v>28410</v>
      </c>
      <c r="O3759" s="2"/>
      <c r="P3759" s="2" t="s">
        <v>79</v>
      </c>
      <c r="Q3759" s="4" t="n">
        <v>8731</v>
      </c>
      <c r="R3759" s="2" t="s">
        <v>56</v>
      </c>
      <c r="S3759" s="2"/>
      <c r="T3759" s="2" t="s">
        <v>40</v>
      </c>
      <c r="U3759" s="2" t="s">
        <v>28411</v>
      </c>
      <c r="V3759" s="2"/>
      <c r="W3759" s="2" t="s">
        <v>28412</v>
      </c>
      <c r="X3759" s="2" t="s">
        <v>43</v>
      </c>
      <c r="Y3759" s="2" t="s">
        <v>37</v>
      </c>
      <c r="Z3759" s="2" t="s">
        <v>44</v>
      </c>
      <c r="AA3759" s="2"/>
      <c r="AB3759" s="2"/>
      <c r="AC3759" s="2" t="s">
        <v>28413</v>
      </c>
      <c r="AD3759" s="2" t="s">
        <v>46</v>
      </c>
    </row>
    <row r="3760" customFormat="false" ht="15.7" hidden="false" customHeight="true" outlineLevel="0" collapsed="false">
      <c r="A3760" s="2"/>
      <c r="B3760" s="3" t="n">
        <f aca="false">DATE(2018,8,29)</f>
        <v>0</v>
      </c>
      <c r="C3760" s="3" t="n">
        <v>43341</v>
      </c>
      <c r="D3760" s="2" t="s">
        <v>28414</v>
      </c>
      <c r="F3760" s="2" t="s">
        <v>28415</v>
      </c>
      <c r="G3760" s="2" t="s">
        <v>28416</v>
      </c>
      <c r="H3760" s="2" t="s">
        <v>28417</v>
      </c>
      <c r="I3760" s="2" t="s">
        <v>28418</v>
      </c>
      <c r="J3760" s="2" t="s">
        <v>35</v>
      </c>
      <c r="K3760" s="2" t="s">
        <v>28414</v>
      </c>
      <c r="L3760" s="2" t="s">
        <v>28418</v>
      </c>
      <c r="M3760" s="2" t="s">
        <v>28417</v>
      </c>
      <c r="N3760" s="2" t="s">
        <v>28419</v>
      </c>
      <c r="O3760" s="2" t="s">
        <v>28420</v>
      </c>
      <c r="P3760" s="2" t="s">
        <v>37</v>
      </c>
      <c r="Q3760" s="4" t="n">
        <v>3999</v>
      </c>
      <c r="R3760" s="2" t="s">
        <v>19198</v>
      </c>
      <c r="S3760" s="2" t="s">
        <v>39</v>
      </c>
      <c r="T3760" s="2" t="s">
        <v>40</v>
      </c>
      <c r="U3760" s="2" t="s">
        <v>28421</v>
      </c>
      <c r="V3760" s="2"/>
      <c r="W3760" s="2" t="s">
        <v>28422</v>
      </c>
      <c r="X3760" s="2" t="s">
        <v>46</v>
      </c>
      <c r="Y3760" s="2" t="s">
        <v>37</v>
      </c>
      <c r="Z3760" s="2" t="s">
        <v>44</v>
      </c>
      <c r="AA3760" s="2"/>
      <c r="AB3760" s="2" t="s">
        <v>28423</v>
      </c>
      <c r="AC3760" s="2" t="s">
        <v>28424</v>
      </c>
      <c r="AD3760" s="2" t="s">
        <v>46</v>
      </c>
    </row>
    <row r="3761" customFormat="false" ht="15.7" hidden="false" customHeight="true" outlineLevel="0" collapsed="false">
      <c r="A3761" s="2"/>
      <c r="B3761" s="3" t="n">
        <f aca="false">DATE(2018,8,30)</f>
        <v>0</v>
      </c>
      <c r="C3761" s="3" t="n">
        <v>43342</v>
      </c>
      <c r="D3761" s="2" t="s">
        <v>28425</v>
      </c>
      <c r="F3761" s="2" t="s">
        <v>28426</v>
      </c>
      <c r="G3761" s="2" t="s">
        <v>28427</v>
      </c>
      <c r="H3761" s="2" t="s">
        <v>28428</v>
      </c>
      <c r="I3761" s="2" t="s">
        <v>9635</v>
      </c>
      <c r="J3761" s="2" t="s">
        <v>132</v>
      </c>
      <c r="K3761" s="2" t="s">
        <v>28425</v>
      </c>
      <c r="L3761" s="2" t="s">
        <v>9635</v>
      </c>
      <c r="M3761" s="2" t="s">
        <v>28428</v>
      </c>
      <c r="N3761" s="2" t="s">
        <v>28429</v>
      </c>
      <c r="O3761" s="2"/>
      <c r="P3761" s="2" t="s">
        <v>37</v>
      </c>
      <c r="Q3761" s="4" t="n">
        <v>721</v>
      </c>
      <c r="R3761" s="2" t="s">
        <v>8174</v>
      </c>
      <c r="S3761" s="2" t="s">
        <v>39</v>
      </c>
      <c r="T3761" s="2" t="s">
        <v>40</v>
      </c>
      <c r="U3761" s="2" t="s">
        <v>28430</v>
      </c>
      <c r="V3761" s="2"/>
      <c r="W3761" s="2" t="s">
        <v>28431</v>
      </c>
      <c r="X3761" s="2" t="s">
        <v>43</v>
      </c>
      <c r="Y3761" s="2" t="s">
        <v>79</v>
      </c>
      <c r="Z3761" s="2" t="s">
        <v>44</v>
      </c>
      <c r="AA3761" s="2"/>
      <c r="AB3761" s="2"/>
      <c r="AC3761" s="2" t="s">
        <v>28432</v>
      </c>
      <c r="AD3761" s="2" t="s">
        <v>46</v>
      </c>
    </row>
    <row r="3762" customFormat="false" ht="15.7" hidden="false" customHeight="true" outlineLevel="0" collapsed="false">
      <c r="A3762" s="2"/>
      <c r="B3762" s="3" t="n">
        <f aca="false">DATE(2018,8,31)</f>
        <v>0</v>
      </c>
      <c r="C3762" s="3" t="n">
        <v>43343</v>
      </c>
      <c r="D3762" s="2" t="s">
        <v>28433</v>
      </c>
      <c r="F3762" s="2" t="s">
        <v>18520</v>
      </c>
      <c r="G3762" s="2" t="s">
        <v>28434</v>
      </c>
      <c r="H3762" s="2" t="s">
        <v>1027</v>
      </c>
      <c r="I3762" s="2" t="s">
        <v>670</v>
      </c>
      <c r="J3762" s="2" t="s">
        <v>65</v>
      </c>
      <c r="K3762" s="2" t="s">
        <v>28433</v>
      </c>
      <c r="L3762" s="2" t="s">
        <v>670</v>
      </c>
      <c r="M3762" s="2" t="s">
        <v>1027</v>
      </c>
      <c r="N3762" s="2" t="s">
        <v>28435</v>
      </c>
      <c r="O3762" s="2" t="s">
        <v>28436</v>
      </c>
      <c r="P3762" s="2" t="s">
        <v>37</v>
      </c>
      <c r="Q3762" s="4" t="n">
        <v>8099</v>
      </c>
      <c r="R3762" s="2" t="s">
        <v>402</v>
      </c>
      <c r="S3762" s="2" t="s">
        <v>39</v>
      </c>
      <c r="T3762" s="2" t="s">
        <v>40</v>
      </c>
      <c r="U3762" s="2" t="s">
        <v>28437</v>
      </c>
      <c r="V3762" s="2"/>
      <c r="W3762" s="2" t="s">
        <v>28438</v>
      </c>
      <c r="X3762" s="2" t="s">
        <v>46</v>
      </c>
      <c r="Y3762" s="2" t="s">
        <v>37</v>
      </c>
      <c r="Z3762" s="2" t="s">
        <v>44</v>
      </c>
      <c r="AA3762" s="2"/>
      <c r="AB3762" s="2" t="s">
        <v>28439</v>
      </c>
      <c r="AC3762" s="2" t="s">
        <v>28440</v>
      </c>
      <c r="AD3762" s="2" t="s">
        <v>46</v>
      </c>
    </row>
    <row r="3763" customFormat="false" ht="15.7" hidden="false" customHeight="true" outlineLevel="0" collapsed="false">
      <c r="A3763" s="2"/>
      <c r="B3763" s="3" t="n">
        <f aca="false">DATE(2018,8,31)</f>
        <v>0</v>
      </c>
      <c r="C3763" s="3" t="n">
        <v>43343</v>
      </c>
      <c r="D3763" s="2" t="s">
        <v>28441</v>
      </c>
      <c r="F3763" s="2" t="s">
        <v>28442</v>
      </c>
      <c r="G3763" s="2" t="s">
        <v>28443</v>
      </c>
      <c r="H3763" s="2" t="s">
        <v>25870</v>
      </c>
      <c r="I3763" s="2" t="s">
        <v>7272</v>
      </c>
      <c r="J3763" s="2" t="s">
        <v>35</v>
      </c>
      <c r="K3763" s="2" t="s">
        <v>28441</v>
      </c>
      <c r="L3763" s="2" t="s">
        <v>7272</v>
      </c>
      <c r="M3763" s="2" t="s">
        <v>25870</v>
      </c>
      <c r="N3763" s="2" t="s">
        <v>28444</v>
      </c>
      <c r="O3763" s="2"/>
      <c r="P3763" s="2" t="s">
        <v>37</v>
      </c>
      <c r="Q3763" s="4" t="n">
        <v>8731</v>
      </c>
      <c r="R3763" s="2" t="s">
        <v>7272</v>
      </c>
      <c r="S3763" s="2" t="s">
        <v>5334</v>
      </c>
      <c r="T3763" s="2" t="s">
        <v>403</v>
      </c>
      <c r="U3763" s="2" t="s">
        <v>28445</v>
      </c>
      <c r="V3763" s="2"/>
      <c r="W3763" s="2" t="s">
        <v>3235</v>
      </c>
      <c r="X3763" s="2" t="s">
        <v>43</v>
      </c>
      <c r="Y3763" s="2" t="s">
        <v>79</v>
      </c>
      <c r="Z3763" s="2" t="s">
        <v>44</v>
      </c>
      <c r="AA3763" s="2"/>
      <c r="AB3763" s="2"/>
      <c r="AC3763" s="2" t="s">
        <v>28446</v>
      </c>
      <c r="AD3763" s="2" t="s">
        <v>46</v>
      </c>
    </row>
    <row r="3764" customFormat="false" ht="15.7" hidden="false" customHeight="true" outlineLevel="0" collapsed="false">
      <c r="A3764" s="2"/>
      <c r="B3764" s="3" t="n">
        <f aca="false">DATE(2018,8,31)</f>
        <v>0</v>
      </c>
      <c r="C3764" s="3" t="n">
        <v>43343</v>
      </c>
      <c r="D3764" s="2" t="s">
        <v>28447</v>
      </c>
      <c r="F3764" s="2" t="s">
        <v>28448</v>
      </c>
      <c r="G3764" s="2" t="s">
        <v>28449</v>
      </c>
      <c r="H3764" s="2" t="s">
        <v>9667</v>
      </c>
      <c r="I3764" s="2" t="s">
        <v>51</v>
      </c>
      <c r="J3764" s="2" t="s">
        <v>2980</v>
      </c>
      <c r="K3764" s="2" t="s">
        <v>28450</v>
      </c>
      <c r="L3764" s="2" t="s">
        <v>51</v>
      </c>
      <c r="M3764" s="2" t="s">
        <v>28451</v>
      </c>
      <c r="N3764" s="2" t="s">
        <v>28452</v>
      </c>
      <c r="O3764" s="2"/>
      <c r="P3764" s="2" t="s">
        <v>37</v>
      </c>
      <c r="Q3764" s="4" t="n">
        <v>8731</v>
      </c>
      <c r="R3764" s="2" t="s">
        <v>56</v>
      </c>
      <c r="S3764" s="2"/>
      <c r="T3764" s="2" t="s">
        <v>40</v>
      </c>
      <c r="U3764" s="2" t="s">
        <v>28453</v>
      </c>
      <c r="V3764" s="2"/>
      <c r="W3764" s="2" t="s">
        <v>18966</v>
      </c>
      <c r="X3764" s="2" t="s">
        <v>43</v>
      </c>
      <c r="Y3764" s="2" t="s">
        <v>37</v>
      </c>
      <c r="Z3764" s="2" t="s">
        <v>44</v>
      </c>
      <c r="AA3764" s="2"/>
      <c r="AB3764" s="2"/>
      <c r="AC3764" s="2" t="s">
        <v>28454</v>
      </c>
      <c r="AD3764" s="2" t="s">
        <v>46</v>
      </c>
    </row>
    <row r="3765" customFormat="false" ht="15.7" hidden="false" customHeight="true" outlineLevel="0" collapsed="false">
      <c r="A3765" s="2"/>
      <c r="B3765" s="3" t="n">
        <f aca="false">DATE(2018,8,31)</f>
        <v>0</v>
      </c>
      <c r="C3765" s="3" t="n">
        <v>43343</v>
      </c>
      <c r="D3765" s="2" t="s">
        <v>28455</v>
      </c>
      <c r="F3765" s="2" t="s">
        <v>28456</v>
      </c>
      <c r="G3765" s="2" t="s">
        <v>28457</v>
      </c>
      <c r="H3765" s="2" t="s">
        <v>28458</v>
      </c>
      <c r="I3765" s="2" t="s">
        <v>34</v>
      </c>
      <c r="J3765" s="2" t="s">
        <v>35</v>
      </c>
      <c r="K3765" s="2" t="s">
        <v>28455</v>
      </c>
      <c r="L3765" s="2" t="s">
        <v>34</v>
      </c>
      <c r="M3765" s="2" t="s">
        <v>28458</v>
      </c>
      <c r="N3765" s="2" t="s">
        <v>28459</v>
      </c>
      <c r="O3765" s="2"/>
      <c r="P3765" s="2" t="s">
        <v>37</v>
      </c>
      <c r="Q3765" s="4" t="n">
        <v>5099</v>
      </c>
      <c r="R3765" s="2" t="s">
        <v>19637</v>
      </c>
      <c r="S3765" s="2" t="s">
        <v>39</v>
      </c>
      <c r="T3765" s="2" t="s">
        <v>40</v>
      </c>
      <c r="U3765" s="2" t="s">
        <v>28460</v>
      </c>
      <c r="V3765" s="2"/>
      <c r="W3765" s="2" t="s">
        <v>3244</v>
      </c>
      <c r="X3765" s="2" t="s">
        <v>43</v>
      </c>
      <c r="Y3765" s="2" t="s">
        <v>37</v>
      </c>
      <c r="Z3765" s="2" t="s">
        <v>44</v>
      </c>
      <c r="AA3765" s="2"/>
      <c r="AB3765" s="2"/>
      <c r="AC3765" s="2" t="s">
        <v>28461</v>
      </c>
      <c r="AD3765" s="2" t="s">
        <v>46</v>
      </c>
    </row>
    <row r="3766" customFormat="false" ht="15.7" hidden="false" customHeight="true" outlineLevel="0" collapsed="false">
      <c r="A3766" s="2"/>
      <c r="B3766" s="3" t="n">
        <f aca="false">DATE(2018,9,3)</f>
        <v>0</v>
      </c>
      <c r="C3766" s="3" t="n">
        <v>43346</v>
      </c>
      <c r="D3766" s="2" t="s">
        <v>28462</v>
      </c>
      <c r="F3766" s="2" t="s">
        <v>28463</v>
      </c>
      <c r="G3766" s="2" t="s">
        <v>28464</v>
      </c>
      <c r="H3766" s="2" t="s">
        <v>1704</v>
      </c>
      <c r="I3766" s="2" t="s">
        <v>28465</v>
      </c>
      <c r="J3766" s="2" t="s">
        <v>35</v>
      </c>
      <c r="K3766" s="2" t="s">
        <v>28466</v>
      </c>
      <c r="L3766" s="2" t="s">
        <v>28465</v>
      </c>
      <c r="M3766" s="2" t="s">
        <v>28467</v>
      </c>
      <c r="N3766" s="2" t="s">
        <v>28468</v>
      </c>
      <c r="O3766" s="2"/>
      <c r="P3766" s="2" t="s">
        <v>37</v>
      </c>
      <c r="Q3766" s="4" t="n">
        <v>8731</v>
      </c>
      <c r="R3766" s="2"/>
      <c r="S3766" s="2"/>
      <c r="T3766" s="2" t="s">
        <v>40</v>
      </c>
      <c r="U3766" s="2" t="s">
        <v>28469</v>
      </c>
      <c r="V3766" s="2"/>
      <c r="W3766" s="2" t="s">
        <v>42</v>
      </c>
      <c r="X3766" s="2" t="s">
        <v>43</v>
      </c>
      <c r="Y3766" s="2" t="s">
        <v>37</v>
      </c>
      <c r="Z3766" s="2" t="s">
        <v>44</v>
      </c>
      <c r="AA3766" s="2"/>
      <c r="AB3766" s="2"/>
      <c r="AC3766" s="2" t="s">
        <v>28470</v>
      </c>
      <c r="AD3766" s="2" t="s">
        <v>46</v>
      </c>
    </row>
    <row r="3767" customFormat="false" ht="15.7" hidden="false" customHeight="true" outlineLevel="0" collapsed="false">
      <c r="A3767" s="2"/>
      <c r="B3767" s="3" t="n">
        <f aca="false">DATE(2018,9,4)</f>
        <v>0</v>
      </c>
      <c r="C3767" s="3" t="n">
        <v>43347</v>
      </c>
      <c r="D3767" s="2" t="s">
        <v>28471</v>
      </c>
      <c r="F3767" s="2" t="s">
        <v>28472</v>
      </c>
      <c r="G3767" s="2" t="s">
        <v>28473</v>
      </c>
      <c r="H3767" s="2" t="s">
        <v>9242</v>
      </c>
      <c r="I3767" s="2" t="s">
        <v>51</v>
      </c>
      <c r="J3767" s="2" t="s">
        <v>306</v>
      </c>
      <c r="K3767" s="2" t="s">
        <v>28471</v>
      </c>
      <c r="L3767" s="2" t="s">
        <v>51</v>
      </c>
      <c r="M3767" s="2" t="s">
        <v>9242</v>
      </c>
      <c r="N3767" s="2" t="s">
        <v>28474</v>
      </c>
      <c r="O3767" s="2"/>
      <c r="P3767" s="2" t="s">
        <v>37</v>
      </c>
      <c r="Q3767" s="4" t="n">
        <v>6794</v>
      </c>
      <c r="R3767" s="2" t="s">
        <v>56</v>
      </c>
      <c r="S3767" s="2" t="s">
        <v>57</v>
      </c>
      <c r="T3767" s="2" t="s">
        <v>40</v>
      </c>
      <c r="U3767" s="2" t="s">
        <v>28475</v>
      </c>
      <c r="V3767" s="2"/>
      <c r="W3767" s="2" t="s">
        <v>15545</v>
      </c>
      <c r="X3767" s="2" t="s">
        <v>43</v>
      </c>
      <c r="Y3767" s="2" t="s">
        <v>37</v>
      </c>
      <c r="Z3767" s="2" t="s">
        <v>44</v>
      </c>
      <c r="AA3767" s="2"/>
      <c r="AB3767" s="2"/>
      <c r="AC3767" s="2" t="s">
        <v>28476</v>
      </c>
      <c r="AD3767" s="2" t="s">
        <v>46</v>
      </c>
    </row>
    <row r="3768" customFormat="false" ht="15.7" hidden="false" customHeight="true" outlineLevel="0" collapsed="false">
      <c r="A3768" s="2"/>
      <c r="B3768" s="3" t="n">
        <f aca="false">DATE(2018,9,4)</f>
        <v>0</v>
      </c>
      <c r="C3768" s="3" t="n">
        <v>43347</v>
      </c>
      <c r="D3768" s="2" t="s">
        <v>28477</v>
      </c>
      <c r="F3768" s="2" t="s">
        <v>28478</v>
      </c>
      <c r="G3768" s="2" t="s">
        <v>28479</v>
      </c>
      <c r="H3768" s="2" t="s">
        <v>582</v>
      </c>
      <c r="I3768" s="2" t="s">
        <v>487</v>
      </c>
      <c r="J3768" s="2" t="s">
        <v>331</v>
      </c>
      <c r="K3768" s="2" t="s">
        <v>28477</v>
      </c>
      <c r="L3768" s="2" t="s">
        <v>487</v>
      </c>
      <c r="M3768" s="2" t="s">
        <v>582</v>
      </c>
      <c r="N3768" s="2" t="s">
        <v>28480</v>
      </c>
      <c r="O3768" s="2"/>
      <c r="P3768" s="2" t="s">
        <v>37</v>
      </c>
      <c r="Q3768" s="4" t="n">
        <v>8731</v>
      </c>
      <c r="R3768" s="2" t="s">
        <v>56</v>
      </c>
      <c r="S3768" s="2"/>
      <c r="T3768" s="2" t="s">
        <v>40</v>
      </c>
      <c r="U3768" s="2" t="s">
        <v>28481</v>
      </c>
      <c r="V3768" s="2"/>
      <c r="W3768" s="2" t="s">
        <v>42</v>
      </c>
      <c r="X3768" s="2" t="s">
        <v>43</v>
      </c>
      <c r="Y3768" s="2" t="s">
        <v>37</v>
      </c>
      <c r="Z3768" s="2" t="s">
        <v>44</v>
      </c>
      <c r="AA3768" s="2"/>
      <c r="AB3768" s="2"/>
      <c r="AC3768" s="2" t="s">
        <v>28482</v>
      </c>
      <c r="AD3768" s="2" t="s">
        <v>46</v>
      </c>
    </row>
    <row r="3769" customFormat="false" ht="15.7" hidden="false" customHeight="true" outlineLevel="0" collapsed="false">
      <c r="A3769" s="2"/>
      <c r="B3769" s="3" t="n">
        <f aca="false">DATE(2018,9,4)</f>
        <v>0</v>
      </c>
      <c r="C3769" s="3" t="n">
        <v>43347</v>
      </c>
      <c r="D3769" s="2" t="s">
        <v>28483</v>
      </c>
      <c r="F3769" s="2" t="s">
        <v>28484</v>
      </c>
      <c r="G3769" s="2" t="s">
        <v>28485</v>
      </c>
      <c r="H3769" s="2" t="s">
        <v>28486</v>
      </c>
      <c r="I3769" s="2" t="s">
        <v>568</v>
      </c>
      <c r="J3769" s="2" t="s">
        <v>65</v>
      </c>
      <c r="K3769" s="2" t="s">
        <v>28483</v>
      </c>
      <c r="L3769" s="2" t="s">
        <v>568</v>
      </c>
      <c r="M3769" s="2" t="s">
        <v>28486</v>
      </c>
      <c r="N3769" s="2" t="s">
        <v>28487</v>
      </c>
      <c r="O3769" s="2"/>
      <c r="P3769" s="2" t="s">
        <v>37</v>
      </c>
      <c r="Q3769" s="4" t="n">
        <v>8731</v>
      </c>
      <c r="R3769" s="2"/>
      <c r="S3769" s="2"/>
      <c r="T3769" s="2" t="s">
        <v>40</v>
      </c>
      <c r="U3769" s="2" t="s">
        <v>28488</v>
      </c>
      <c r="V3769" s="2"/>
      <c r="W3769" s="2" t="s">
        <v>42</v>
      </c>
      <c r="X3769" s="2" t="s">
        <v>43</v>
      </c>
      <c r="Y3769" s="2" t="s">
        <v>37</v>
      </c>
      <c r="Z3769" s="2" t="s">
        <v>44</v>
      </c>
      <c r="AA3769" s="2"/>
      <c r="AB3769" s="2"/>
      <c r="AC3769" s="2" t="s">
        <v>28489</v>
      </c>
      <c r="AD3769" s="2" t="s">
        <v>46</v>
      </c>
    </row>
    <row r="3770" customFormat="false" ht="15.7" hidden="false" customHeight="true" outlineLevel="0" collapsed="false">
      <c r="A3770" s="2"/>
      <c r="B3770" s="3" t="n">
        <f aca="false">DATE(2018,9,4)</f>
        <v>0</v>
      </c>
      <c r="C3770" s="3" t="n">
        <v>43347</v>
      </c>
      <c r="D3770" s="2" t="s">
        <v>28490</v>
      </c>
      <c r="F3770" s="2" t="s">
        <v>28491</v>
      </c>
      <c r="G3770" s="2" t="s">
        <v>28492</v>
      </c>
      <c r="H3770" s="2" t="s">
        <v>28493</v>
      </c>
      <c r="I3770" s="2" t="s">
        <v>2749</v>
      </c>
      <c r="J3770" s="2" t="s">
        <v>155</v>
      </c>
      <c r="K3770" s="2" t="s">
        <v>28490</v>
      </c>
      <c r="L3770" s="2" t="s">
        <v>2749</v>
      </c>
      <c r="M3770" s="2" t="s">
        <v>28493</v>
      </c>
      <c r="N3770" s="2" t="s">
        <v>28494</v>
      </c>
      <c r="O3770" s="2"/>
      <c r="P3770" s="2" t="s">
        <v>37</v>
      </c>
      <c r="Q3770" s="4" t="n">
        <v>8731</v>
      </c>
      <c r="R3770" s="2"/>
      <c r="S3770" s="2"/>
      <c r="T3770" s="2" t="s">
        <v>40</v>
      </c>
      <c r="U3770" s="2" t="s">
        <v>28495</v>
      </c>
      <c r="V3770" s="2"/>
      <c r="W3770" s="2" t="s">
        <v>42</v>
      </c>
      <c r="X3770" s="2" t="s">
        <v>43</v>
      </c>
      <c r="Y3770" s="2" t="s">
        <v>37</v>
      </c>
      <c r="Z3770" s="2" t="s">
        <v>44</v>
      </c>
      <c r="AA3770" s="2"/>
      <c r="AB3770" s="2"/>
      <c r="AC3770" s="2" t="s">
        <v>28496</v>
      </c>
      <c r="AD3770" s="2" t="s">
        <v>46</v>
      </c>
    </row>
    <row r="3771" customFormat="false" ht="15.7" hidden="false" customHeight="true" outlineLevel="0" collapsed="false">
      <c r="A3771" s="2"/>
      <c r="B3771" s="3" t="n">
        <f aca="false">DATE(2018,9,4)</f>
        <v>0</v>
      </c>
      <c r="C3771" s="3" t="n">
        <v>43347</v>
      </c>
      <c r="D3771" s="2" t="s">
        <v>28497</v>
      </c>
      <c r="F3771" s="2" t="s">
        <v>28498</v>
      </c>
      <c r="G3771" s="2" t="s">
        <v>28499</v>
      </c>
      <c r="H3771" s="2" t="s">
        <v>3008</v>
      </c>
      <c r="I3771" s="2" t="s">
        <v>51</v>
      </c>
      <c r="J3771" s="2" t="s">
        <v>22453</v>
      </c>
      <c r="K3771" s="2" t="s">
        <v>28497</v>
      </c>
      <c r="L3771" s="2" t="s">
        <v>51</v>
      </c>
      <c r="M3771" s="2" t="s">
        <v>3008</v>
      </c>
      <c r="N3771" s="2" t="s">
        <v>28500</v>
      </c>
      <c r="O3771" s="2"/>
      <c r="P3771" s="2" t="s">
        <v>37</v>
      </c>
      <c r="Q3771" s="4" t="n">
        <v>8731</v>
      </c>
      <c r="R3771" s="2" t="s">
        <v>56</v>
      </c>
      <c r="S3771" s="2"/>
      <c r="T3771" s="2" t="s">
        <v>40</v>
      </c>
      <c r="U3771" s="2" t="s">
        <v>28501</v>
      </c>
      <c r="V3771" s="2"/>
      <c r="W3771" s="2" t="s">
        <v>42</v>
      </c>
      <c r="X3771" s="2" t="s">
        <v>43</v>
      </c>
      <c r="Y3771" s="2" t="s">
        <v>37</v>
      </c>
      <c r="Z3771" s="2" t="s">
        <v>44</v>
      </c>
      <c r="AA3771" s="2"/>
      <c r="AB3771" s="2"/>
      <c r="AC3771" s="2" t="s">
        <v>28502</v>
      </c>
      <c r="AD3771" s="2" t="s">
        <v>46</v>
      </c>
    </row>
    <row r="3772" customFormat="false" ht="15.7" hidden="false" customHeight="true" outlineLevel="0" collapsed="false">
      <c r="A3772" s="2"/>
      <c r="B3772" s="3" t="n">
        <f aca="false">DATE(2018,9,4)</f>
        <v>0</v>
      </c>
      <c r="C3772" s="3" t="n">
        <v>43347</v>
      </c>
      <c r="D3772" s="2" t="s">
        <v>28503</v>
      </c>
      <c r="F3772" s="2" t="s">
        <v>28504</v>
      </c>
      <c r="G3772" s="2" t="s">
        <v>28505</v>
      </c>
      <c r="H3772" s="2" t="s">
        <v>28506</v>
      </c>
      <c r="I3772" s="2" t="s">
        <v>670</v>
      </c>
      <c r="J3772" s="2" t="s">
        <v>65</v>
      </c>
      <c r="K3772" s="2" t="s">
        <v>28503</v>
      </c>
      <c r="L3772" s="2" t="s">
        <v>670</v>
      </c>
      <c r="M3772" s="2" t="s">
        <v>28506</v>
      </c>
      <c r="N3772" s="2" t="s">
        <v>28507</v>
      </c>
      <c r="O3772" s="2"/>
      <c r="P3772" s="2" t="s">
        <v>37</v>
      </c>
      <c r="Q3772" s="4" t="n">
        <v>8731</v>
      </c>
      <c r="R3772" s="2" t="s">
        <v>402</v>
      </c>
      <c r="S3772" s="2" t="s">
        <v>39</v>
      </c>
      <c r="T3772" s="2" t="s">
        <v>403</v>
      </c>
      <c r="U3772" s="2" t="s">
        <v>28508</v>
      </c>
      <c r="V3772" s="2"/>
      <c r="W3772" s="2" t="s">
        <v>3958</v>
      </c>
      <c r="X3772" s="2" t="s">
        <v>43</v>
      </c>
      <c r="Y3772" s="2" t="s">
        <v>37</v>
      </c>
      <c r="Z3772" s="2" t="s">
        <v>44</v>
      </c>
      <c r="AA3772" s="2"/>
      <c r="AB3772" s="2"/>
      <c r="AC3772" s="2" t="s">
        <v>28509</v>
      </c>
      <c r="AD3772" s="2" t="s">
        <v>46</v>
      </c>
    </row>
    <row r="3773" customFormat="false" ht="15.7" hidden="false" customHeight="true" outlineLevel="0" collapsed="false">
      <c r="A3773" s="2"/>
      <c r="B3773" s="3" t="n">
        <f aca="false">DATE(2018,9,4)</f>
        <v>0</v>
      </c>
      <c r="C3773" s="3" t="n">
        <v>43347</v>
      </c>
      <c r="D3773" s="2" t="s">
        <v>28510</v>
      </c>
      <c r="F3773" s="2" t="s">
        <v>28511</v>
      </c>
      <c r="G3773" s="2" t="s">
        <v>28512</v>
      </c>
      <c r="H3773" s="2" t="s">
        <v>28513</v>
      </c>
      <c r="I3773" s="2" t="s">
        <v>51</v>
      </c>
      <c r="J3773" s="2" t="s">
        <v>28514</v>
      </c>
      <c r="K3773" s="2" t="s">
        <v>28515</v>
      </c>
      <c r="L3773" s="2" t="s">
        <v>51</v>
      </c>
      <c r="M3773" s="2" t="s">
        <v>28516</v>
      </c>
      <c r="N3773" s="2" t="s">
        <v>28517</v>
      </c>
      <c r="O3773" s="2"/>
      <c r="P3773" s="2" t="s">
        <v>37</v>
      </c>
      <c r="Q3773" s="4" t="n">
        <v>8731</v>
      </c>
      <c r="R3773" s="2"/>
      <c r="S3773" s="2"/>
      <c r="T3773" s="2" t="s">
        <v>40</v>
      </c>
      <c r="U3773" s="2" t="s">
        <v>28518</v>
      </c>
      <c r="V3773" s="2"/>
      <c r="W3773" s="2" t="s">
        <v>42</v>
      </c>
      <c r="X3773" s="2" t="s">
        <v>43</v>
      </c>
      <c r="Y3773" s="2" t="s">
        <v>37</v>
      </c>
      <c r="Z3773" s="2" t="s">
        <v>44</v>
      </c>
      <c r="AA3773" s="2"/>
      <c r="AB3773" s="2"/>
      <c r="AC3773" s="2" t="s">
        <v>28519</v>
      </c>
      <c r="AD3773" s="2" t="s">
        <v>46</v>
      </c>
    </row>
    <row r="3774" customFormat="false" ht="15.7" hidden="false" customHeight="true" outlineLevel="0" collapsed="false">
      <c r="A3774" s="2"/>
      <c r="B3774" s="3" t="n">
        <f aca="false">DATE(2018,9,4)</f>
        <v>0</v>
      </c>
      <c r="C3774" s="3" t="n">
        <v>43347</v>
      </c>
      <c r="D3774" s="2" t="s">
        <v>28520</v>
      </c>
      <c r="F3774" s="2" t="s">
        <v>28521</v>
      </c>
      <c r="G3774" s="2" t="s">
        <v>28522</v>
      </c>
      <c r="H3774" s="2" t="s">
        <v>28523</v>
      </c>
      <c r="I3774" s="2" t="s">
        <v>25148</v>
      </c>
      <c r="J3774" s="2" t="s">
        <v>35</v>
      </c>
      <c r="K3774" s="2" t="s">
        <v>28520</v>
      </c>
      <c r="L3774" s="2" t="s">
        <v>25148</v>
      </c>
      <c r="M3774" s="2" t="s">
        <v>28523</v>
      </c>
      <c r="N3774" s="2" t="s">
        <v>28524</v>
      </c>
      <c r="O3774" s="2"/>
      <c r="P3774" s="2" t="s">
        <v>37</v>
      </c>
      <c r="Q3774" s="4" t="n">
        <v>8731</v>
      </c>
      <c r="R3774" s="2"/>
      <c r="S3774" s="2"/>
      <c r="T3774" s="2" t="s">
        <v>40</v>
      </c>
      <c r="U3774" s="2" t="s">
        <v>28525</v>
      </c>
      <c r="V3774" s="2"/>
      <c r="W3774" s="2" t="s">
        <v>42</v>
      </c>
      <c r="X3774" s="2" t="s">
        <v>46</v>
      </c>
      <c r="Y3774" s="2" t="s">
        <v>37</v>
      </c>
      <c r="Z3774" s="2" t="s">
        <v>362</v>
      </c>
      <c r="AA3774" s="2"/>
      <c r="AB3774" s="2"/>
      <c r="AC3774" s="2" t="s">
        <v>28526</v>
      </c>
      <c r="AD3774" s="2" t="s">
        <v>46</v>
      </c>
    </row>
    <row r="3775" customFormat="false" ht="15.7" hidden="false" customHeight="true" outlineLevel="0" collapsed="false">
      <c r="A3775" s="2"/>
      <c r="B3775" s="3" t="n">
        <f aca="false">DATE(2018,9,4)</f>
        <v>0</v>
      </c>
      <c r="C3775" s="3" t="n">
        <v>43347</v>
      </c>
      <c r="D3775" s="2" t="s">
        <v>28527</v>
      </c>
      <c r="F3775" s="2" t="s">
        <v>28528</v>
      </c>
      <c r="G3775" s="2" t="s">
        <v>28529</v>
      </c>
      <c r="H3775" s="2" t="s">
        <v>28530</v>
      </c>
      <c r="I3775" s="2" t="s">
        <v>17769</v>
      </c>
      <c r="J3775" s="2" t="s">
        <v>35</v>
      </c>
      <c r="K3775" s="2" t="s">
        <v>28527</v>
      </c>
      <c r="L3775" s="2" t="s">
        <v>17769</v>
      </c>
      <c r="M3775" s="2" t="s">
        <v>28530</v>
      </c>
      <c r="N3775" s="2" t="s">
        <v>28531</v>
      </c>
      <c r="O3775" s="2"/>
      <c r="P3775" s="2" t="s">
        <v>37</v>
      </c>
      <c r="Q3775" s="4" t="n">
        <v>8731</v>
      </c>
      <c r="R3775" s="2"/>
      <c r="S3775" s="2"/>
      <c r="T3775" s="2" t="s">
        <v>40</v>
      </c>
      <c r="U3775" s="2" t="s">
        <v>28532</v>
      </c>
      <c r="V3775" s="2"/>
      <c r="W3775" s="2" t="s">
        <v>42</v>
      </c>
      <c r="X3775" s="2" t="s">
        <v>43</v>
      </c>
      <c r="Y3775" s="2" t="s">
        <v>37</v>
      </c>
      <c r="Z3775" s="2" t="s">
        <v>44</v>
      </c>
      <c r="AA3775" s="2"/>
      <c r="AB3775" s="2"/>
      <c r="AC3775" s="2" t="s">
        <v>28533</v>
      </c>
      <c r="AD3775" s="2" t="s">
        <v>46</v>
      </c>
    </row>
    <row r="3776" customFormat="false" ht="15.7" hidden="false" customHeight="true" outlineLevel="0" collapsed="false">
      <c r="A3776" s="2"/>
      <c r="B3776" s="3" t="n">
        <f aca="false">DATE(2018,9,4)</f>
        <v>0</v>
      </c>
      <c r="C3776" s="3" t="n">
        <v>43347</v>
      </c>
      <c r="D3776" s="2" t="s">
        <v>28534</v>
      </c>
      <c r="F3776" s="2" t="s">
        <v>28535</v>
      </c>
      <c r="G3776" s="2" t="s">
        <v>28536</v>
      </c>
      <c r="H3776" s="2" t="s">
        <v>28537</v>
      </c>
      <c r="I3776" s="2" t="s">
        <v>51</v>
      </c>
      <c r="J3776" s="2" t="s">
        <v>2338</v>
      </c>
      <c r="K3776" s="2" t="s">
        <v>28534</v>
      </c>
      <c r="L3776" s="2" t="s">
        <v>51</v>
      </c>
      <c r="M3776" s="2" t="s">
        <v>28537</v>
      </c>
      <c r="N3776" s="2" t="s">
        <v>28538</v>
      </c>
      <c r="O3776" s="2"/>
      <c r="P3776" s="2" t="s">
        <v>37</v>
      </c>
      <c r="Q3776" s="4" t="n">
        <v>8731</v>
      </c>
      <c r="R3776" s="2" t="s">
        <v>56</v>
      </c>
      <c r="S3776" s="2"/>
      <c r="T3776" s="2" t="s">
        <v>403</v>
      </c>
      <c r="U3776" s="2" t="s">
        <v>28539</v>
      </c>
      <c r="V3776" s="2"/>
      <c r="W3776" s="2" t="s">
        <v>42</v>
      </c>
      <c r="X3776" s="2" t="s">
        <v>43</v>
      </c>
      <c r="Y3776" s="2" t="s">
        <v>37</v>
      </c>
      <c r="Z3776" s="2" t="s">
        <v>44</v>
      </c>
      <c r="AA3776" s="2"/>
      <c r="AB3776" s="2"/>
      <c r="AC3776" s="2" t="s">
        <v>28540</v>
      </c>
      <c r="AD3776" s="2" t="s">
        <v>46</v>
      </c>
    </row>
    <row r="3777" customFormat="false" ht="15.7" hidden="false" customHeight="true" outlineLevel="0" collapsed="false">
      <c r="A3777" s="2"/>
      <c r="B3777" s="3" t="n">
        <f aca="false">DATE(2018,9,5)</f>
        <v>0</v>
      </c>
      <c r="C3777" s="3" t="n">
        <v>43348</v>
      </c>
      <c r="D3777" s="2" t="s">
        <v>28541</v>
      </c>
      <c r="F3777" s="2" t="s">
        <v>28542</v>
      </c>
      <c r="G3777" s="2" t="s">
        <v>28543</v>
      </c>
      <c r="H3777" s="2" t="s">
        <v>523</v>
      </c>
      <c r="I3777" s="2" t="s">
        <v>330</v>
      </c>
      <c r="J3777" s="2" t="s">
        <v>3385</v>
      </c>
      <c r="K3777" s="2" t="s">
        <v>28541</v>
      </c>
      <c r="L3777" s="2" t="s">
        <v>330</v>
      </c>
      <c r="M3777" s="2" t="s">
        <v>523</v>
      </c>
      <c r="N3777" s="2" t="s">
        <v>28544</v>
      </c>
      <c r="O3777" s="2"/>
      <c r="P3777" s="2" t="s">
        <v>37</v>
      </c>
      <c r="Q3777" s="4" t="n">
        <v>8731</v>
      </c>
      <c r="R3777" s="2" t="s">
        <v>388</v>
      </c>
      <c r="S3777" s="2" t="s">
        <v>23058</v>
      </c>
      <c r="T3777" s="2" t="s">
        <v>403</v>
      </c>
      <c r="U3777" s="2" t="s">
        <v>28545</v>
      </c>
      <c r="V3777" s="2"/>
      <c r="W3777" s="2" t="s">
        <v>344</v>
      </c>
      <c r="X3777" s="2" t="s">
        <v>43</v>
      </c>
      <c r="Y3777" s="2" t="s">
        <v>79</v>
      </c>
      <c r="Z3777" s="2" t="s">
        <v>44</v>
      </c>
      <c r="AA3777" s="2"/>
      <c r="AB3777" s="2"/>
      <c r="AC3777" s="2" t="s">
        <v>28546</v>
      </c>
      <c r="AD3777" s="2" t="s">
        <v>46</v>
      </c>
    </row>
    <row r="3778" customFormat="false" ht="15.7" hidden="false" customHeight="true" outlineLevel="0" collapsed="false">
      <c r="A3778" s="2"/>
      <c r="B3778" s="3" t="n">
        <f aca="false">DATE(2018,9,5)</f>
        <v>0</v>
      </c>
      <c r="C3778" s="3" t="n">
        <v>43348</v>
      </c>
      <c r="D3778" s="2" t="s">
        <v>28547</v>
      </c>
      <c r="F3778" s="2" t="s">
        <v>28548</v>
      </c>
      <c r="G3778" s="2" t="s">
        <v>28549</v>
      </c>
      <c r="H3778" s="2" t="s">
        <v>16228</v>
      </c>
      <c r="I3778" s="2" t="s">
        <v>51</v>
      </c>
      <c r="J3778" s="2" t="s">
        <v>2320</v>
      </c>
      <c r="K3778" s="2" t="s">
        <v>28550</v>
      </c>
      <c r="L3778" s="2" t="s">
        <v>51</v>
      </c>
      <c r="M3778" s="2" t="s">
        <v>28467</v>
      </c>
      <c r="N3778" s="2" t="s">
        <v>28551</v>
      </c>
      <c r="O3778" s="2"/>
      <c r="P3778" s="2" t="s">
        <v>37</v>
      </c>
      <c r="Q3778" s="4" t="n">
        <v>8731</v>
      </c>
      <c r="R3778" s="2" t="s">
        <v>56</v>
      </c>
      <c r="S3778" s="2" t="s">
        <v>1226</v>
      </c>
      <c r="T3778" s="2" t="s">
        <v>403</v>
      </c>
      <c r="U3778" s="2" t="s">
        <v>28552</v>
      </c>
      <c r="V3778" s="2"/>
      <c r="W3778" s="2" t="s">
        <v>10985</v>
      </c>
      <c r="X3778" s="2" t="s">
        <v>43</v>
      </c>
      <c r="Y3778" s="2" t="s">
        <v>37</v>
      </c>
      <c r="Z3778" s="2" t="s">
        <v>44</v>
      </c>
      <c r="AA3778" s="2"/>
      <c r="AB3778" s="2"/>
      <c r="AC3778" s="2" t="s">
        <v>28553</v>
      </c>
      <c r="AD3778" s="2" t="s">
        <v>46</v>
      </c>
    </row>
    <row r="3779" customFormat="false" ht="15.7" hidden="false" customHeight="true" outlineLevel="0" collapsed="false">
      <c r="A3779" s="2"/>
      <c r="B3779" s="3" t="n">
        <f aca="false">DATE(2018,9,5)</f>
        <v>0</v>
      </c>
      <c r="C3779" s="3" t="n">
        <v>43348</v>
      </c>
      <c r="D3779" s="2" t="s">
        <v>28554</v>
      </c>
      <c r="F3779" s="2" t="s">
        <v>28555</v>
      </c>
      <c r="G3779" s="2" t="s">
        <v>28556</v>
      </c>
      <c r="H3779" s="2" t="s">
        <v>28557</v>
      </c>
      <c r="I3779" s="2" t="s">
        <v>28558</v>
      </c>
      <c r="J3779" s="2" t="s">
        <v>116</v>
      </c>
      <c r="K3779" s="2" t="s">
        <v>28559</v>
      </c>
      <c r="L3779" s="2" t="s">
        <v>28558</v>
      </c>
      <c r="M3779" s="2" t="s">
        <v>28560</v>
      </c>
      <c r="N3779" s="2" t="s">
        <v>28561</v>
      </c>
      <c r="O3779" s="2"/>
      <c r="P3779" s="2" t="s">
        <v>37</v>
      </c>
      <c r="Q3779" s="4" t="n">
        <v>8731</v>
      </c>
      <c r="R3779" s="2" t="s">
        <v>28562</v>
      </c>
      <c r="S3779" s="2" t="s">
        <v>28563</v>
      </c>
      <c r="T3779" s="2" t="s">
        <v>40</v>
      </c>
      <c r="U3779" s="2" t="s">
        <v>28564</v>
      </c>
      <c r="V3779" s="2"/>
      <c r="W3779" s="2" t="s">
        <v>13346</v>
      </c>
      <c r="X3779" s="2" t="s">
        <v>43</v>
      </c>
      <c r="Y3779" s="2" t="s">
        <v>79</v>
      </c>
      <c r="Z3779" s="2" t="s">
        <v>916</v>
      </c>
      <c r="AA3779" s="2"/>
      <c r="AB3779" s="2"/>
      <c r="AC3779" s="2" t="s">
        <v>28565</v>
      </c>
      <c r="AD3779" s="2" t="s">
        <v>46</v>
      </c>
    </row>
    <row r="3780" customFormat="false" ht="15.7" hidden="false" customHeight="true" outlineLevel="0" collapsed="false">
      <c r="A3780" s="2"/>
      <c r="B3780" s="3" t="n">
        <f aca="false">DATE(2018,9,5)</f>
        <v>0</v>
      </c>
      <c r="C3780" s="3" t="n">
        <v>43348</v>
      </c>
      <c r="D3780" s="2" t="s">
        <v>28566</v>
      </c>
      <c r="F3780" s="2" t="s">
        <v>28567</v>
      </c>
      <c r="G3780" s="2" t="s">
        <v>28568</v>
      </c>
      <c r="H3780" s="2" t="s">
        <v>10852</v>
      </c>
      <c r="I3780" s="2" t="s">
        <v>10964</v>
      </c>
      <c r="J3780" s="2" t="s">
        <v>28569</v>
      </c>
      <c r="K3780" s="2" t="s">
        <v>28566</v>
      </c>
      <c r="L3780" s="2" t="s">
        <v>10964</v>
      </c>
      <c r="M3780" s="2" t="s">
        <v>10852</v>
      </c>
      <c r="N3780" s="2" t="s">
        <v>28570</v>
      </c>
      <c r="O3780" s="2"/>
      <c r="P3780" s="2" t="s">
        <v>37</v>
      </c>
      <c r="Q3780" s="4" t="n">
        <v>5099</v>
      </c>
      <c r="R3780" s="2" t="s">
        <v>131</v>
      </c>
      <c r="S3780" s="2" t="s">
        <v>25755</v>
      </c>
      <c r="T3780" s="2" t="s">
        <v>40</v>
      </c>
      <c r="U3780" s="2" t="s">
        <v>28571</v>
      </c>
      <c r="V3780" s="2"/>
      <c r="W3780" s="2" t="s">
        <v>24450</v>
      </c>
      <c r="X3780" s="2" t="s">
        <v>43</v>
      </c>
      <c r="Y3780" s="2" t="s">
        <v>79</v>
      </c>
      <c r="Z3780" s="2" t="s">
        <v>916</v>
      </c>
      <c r="AA3780" s="2"/>
      <c r="AB3780" s="2"/>
      <c r="AC3780" s="2" t="s">
        <v>28572</v>
      </c>
      <c r="AD3780" s="2" t="s">
        <v>46</v>
      </c>
    </row>
    <row r="3781" customFormat="false" ht="15.7" hidden="false" customHeight="true" outlineLevel="0" collapsed="false">
      <c r="A3781" s="2"/>
      <c r="B3781" s="3" t="n">
        <f aca="false">DATE(2018,9,5)</f>
        <v>0</v>
      </c>
      <c r="C3781" s="3" t="n">
        <v>43348</v>
      </c>
      <c r="D3781" s="2" t="s">
        <v>28573</v>
      </c>
      <c r="F3781" s="2" t="s">
        <v>28574</v>
      </c>
      <c r="G3781" s="2" t="s">
        <v>28575</v>
      </c>
      <c r="H3781" s="2" t="s">
        <v>28576</v>
      </c>
      <c r="I3781" s="2" t="s">
        <v>28577</v>
      </c>
      <c r="J3781" s="2" t="s">
        <v>35</v>
      </c>
      <c r="K3781" s="2" t="s">
        <v>28578</v>
      </c>
      <c r="L3781" s="2" t="s">
        <v>1912</v>
      </c>
      <c r="M3781" s="2" t="s">
        <v>28579</v>
      </c>
      <c r="N3781" s="2" t="s">
        <v>28580</v>
      </c>
      <c r="O3781" s="2"/>
      <c r="P3781" s="2" t="s">
        <v>37</v>
      </c>
      <c r="Q3781" s="4" t="n">
        <v>8748</v>
      </c>
      <c r="R3781" s="2" t="s">
        <v>3154</v>
      </c>
      <c r="S3781" s="2" t="s">
        <v>39</v>
      </c>
      <c r="T3781" s="2" t="s">
        <v>403</v>
      </c>
      <c r="U3781" s="2" t="s">
        <v>28581</v>
      </c>
      <c r="V3781" s="2"/>
      <c r="W3781" s="2" t="s">
        <v>4783</v>
      </c>
      <c r="X3781" s="2" t="s">
        <v>43</v>
      </c>
      <c r="Y3781" s="2" t="s">
        <v>37</v>
      </c>
      <c r="Z3781" s="2" t="s">
        <v>44</v>
      </c>
      <c r="AA3781" s="2"/>
      <c r="AB3781" s="2"/>
      <c r="AC3781" s="2" t="s">
        <v>28582</v>
      </c>
      <c r="AD3781" s="2" t="s">
        <v>46</v>
      </c>
    </row>
    <row r="3782" customFormat="false" ht="15.7" hidden="false" customHeight="true" outlineLevel="0" collapsed="false">
      <c r="A3782" s="2"/>
      <c r="B3782" s="3" t="n">
        <f aca="false">DATE(2018,9,5)</f>
        <v>0</v>
      </c>
      <c r="C3782" s="3" t="n">
        <v>43348</v>
      </c>
      <c r="D3782" s="2" t="s">
        <v>28583</v>
      </c>
      <c r="F3782" s="2" t="s">
        <v>28584</v>
      </c>
      <c r="G3782" s="2" t="s">
        <v>28585</v>
      </c>
      <c r="H3782" s="2" t="s">
        <v>28586</v>
      </c>
      <c r="I3782" s="2" t="s">
        <v>51</v>
      </c>
      <c r="J3782" s="2" t="s">
        <v>293</v>
      </c>
      <c r="K3782" s="2" t="s">
        <v>28583</v>
      </c>
      <c r="L3782" s="2" t="s">
        <v>51</v>
      </c>
      <c r="M3782" s="2" t="s">
        <v>28586</v>
      </c>
      <c r="N3782" s="2" t="s">
        <v>28587</v>
      </c>
      <c r="O3782" s="2"/>
      <c r="P3782" s="2" t="s">
        <v>37</v>
      </c>
      <c r="Q3782" s="4" t="n">
        <v>8731</v>
      </c>
      <c r="R3782" s="2" t="s">
        <v>56</v>
      </c>
      <c r="S3782" s="2" t="s">
        <v>507</v>
      </c>
      <c r="T3782" s="2" t="s">
        <v>40</v>
      </c>
      <c r="U3782" s="2" t="s">
        <v>28588</v>
      </c>
      <c r="V3782" s="2"/>
      <c r="W3782" s="2" t="s">
        <v>2367</v>
      </c>
      <c r="X3782" s="2" t="s">
        <v>43</v>
      </c>
      <c r="Y3782" s="2" t="s">
        <v>37</v>
      </c>
      <c r="Z3782" s="2" t="s">
        <v>44</v>
      </c>
      <c r="AA3782" s="2"/>
      <c r="AB3782" s="2"/>
      <c r="AC3782" s="2" t="s">
        <v>28589</v>
      </c>
      <c r="AD3782" s="2" t="s">
        <v>46</v>
      </c>
    </row>
    <row r="3783" customFormat="false" ht="15.7" hidden="false" customHeight="true" outlineLevel="0" collapsed="false">
      <c r="A3783" s="2"/>
      <c r="B3783" s="3" t="n">
        <f aca="false">DATE(2018,9,5)</f>
        <v>0</v>
      </c>
      <c r="C3783" s="3" t="n">
        <v>43348</v>
      </c>
      <c r="D3783" s="2" t="s">
        <v>28590</v>
      </c>
      <c r="F3783" s="2" t="s">
        <v>28591</v>
      </c>
      <c r="G3783" s="2" t="s">
        <v>28592</v>
      </c>
      <c r="H3783" s="2" t="s">
        <v>14985</v>
      </c>
      <c r="I3783" s="2" t="s">
        <v>51</v>
      </c>
      <c r="J3783" s="2" t="s">
        <v>28593</v>
      </c>
      <c r="K3783" s="2" t="s">
        <v>28590</v>
      </c>
      <c r="L3783" s="2" t="s">
        <v>51</v>
      </c>
      <c r="M3783" s="2" t="s">
        <v>14985</v>
      </c>
      <c r="N3783" s="2" t="s">
        <v>28594</v>
      </c>
      <c r="O3783" s="2"/>
      <c r="P3783" s="2" t="s">
        <v>37</v>
      </c>
      <c r="Q3783" s="4" t="n">
        <v>8731</v>
      </c>
      <c r="R3783" s="2" t="s">
        <v>56</v>
      </c>
      <c r="S3783" s="2" t="s">
        <v>771</v>
      </c>
      <c r="T3783" s="2" t="s">
        <v>40</v>
      </c>
      <c r="U3783" s="2" t="s">
        <v>28595</v>
      </c>
      <c r="V3783" s="2"/>
      <c r="W3783" s="2" t="s">
        <v>13346</v>
      </c>
      <c r="X3783" s="2" t="s">
        <v>43</v>
      </c>
      <c r="Y3783" s="2" t="s">
        <v>37</v>
      </c>
      <c r="Z3783" s="2" t="s">
        <v>44</v>
      </c>
      <c r="AA3783" s="2"/>
      <c r="AB3783" s="2"/>
      <c r="AC3783" s="2" t="s">
        <v>28596</v>
      </c>
      <c r="AD3783" s="2" t="s">
        <v>46</v>
      </c>
    </row>
    <row r="3784" customFormat="false" ht="15.7" hidden="false" customHeight="true" outlineLevel="0" collapsed="false">
      <c r="A3784" s="2"/>
      <c r="B3784" s="3" t="n">
        <f aca="false">DATE(2018,9,5)</f>
        <v>0</v>
      </c>
      <c r="C3784" s="3" t="n">
        <v>43348</v>
      </c>
      <c r="D3784" s="2" t="s">
        <v>28597</v>
      </c>
      <c r="F3784" s="2" t="s">
        <v>28598</v>
      </c>
      <c r="G3784" s="2" t="s">
        <v>28599</v>
      </c>
      <c r="H3784" s="2" t="s">
        <v>8167</v>
      </c>
      <c r="I3784" s="2" t="s">
        <v>51</v>
      </c>
      <c r="J3784" s="2" t="s">
        <v>6126</v>
      </c>
      <c r="K3784" s="2" t="s">
        <v>28597</v>
      </c>
      <c r="L3784" s="2" t="s">
        <v>51</v>
      </c>
      <c r="M3784" s="2" t="s">
        <v>8167</v>
      </c>
      <c r="N3784" s="2" t="s">
        <v>28600</v>
      </c>
      <c r="O3784" s="2"/>
      <c r="P3784" s="2" t="s">
        <v>37</v>
      </c>
      <c r="Q3784" s="4" t="n">
        <v>8731</v>
      </c>
      <c r="R3784" s="2" t="s">
        <v>56</v>
      </c>
      <c r="S3784" s="2"/>
      <c r="T3784" s="2" t="s">
        <v>403</v>
      </c>
      <c r="U3784" s="2" t="s">
        <v>28601</v>
      </c>
      <c r="V3784" s="2"/>
      <c r="W3784" s="2" t="s">
        <v>344</v>
      </c>
      <c r="X3784" s="2" t="s">
        <v>43</v>
      </c>
      <c r="Y3784" s="2" t="s">
        <v>37</v>
      </c>
      <c r="Z3784" s="2" t="s">
        <v>44</v>
      </c>
      <c r="AA3784" s="2"/>
      <c r="AB3784" s="2"/>
      <c r="AC3784" s="2" t="s">
        <v>28602</v>
      </c>
      <c r="AD3784" s="2" t="s">
        <v>46</v>
      </c>
    </row>
    <row r="3785" customFormat="false" ht="15.7" hidden="false" customHeight="true" outlineLevel="0" collapsed="false">
      <c r="A3785" s="2"/>
      <c r="B3785" s="3" t="n">
        <f aca="false">DATE(2018,9,5)</f>
        <v>0</v>
      </c>
      <c r="C3785" s="3" t="n">
        <v>43348</v>
      </c>
      <c r="D3785" s="2" t="s">
        <v>28603</v>
      </c>
      <c r="F3785" s="2" t="s">
        <v>28604</v>
      </c>
      <c r="G3785" s="2" t="s">
        <v>28605</v>
      </c>
      <c r="H3785" s="2" t="s">
        <v>130</v>
      </c>
      <c r="I3785" s="2" t="s">
        <v>17440</v>
      </c>
      <c r="J3785" s="2" t="s">
        <v>35</v>
      </c>
      <c r="K3785" s="2" t="s">
        <v>28603</v>
      </c>
      <c r="L3785" s="2" t="s">
        <v>17440</v>
      </c>
      <c r="M3785" s="2" t="s">
        <v>1027</v>
      </c>
      <c r="N3785" s="2" t="s">
        <v>28606</v>
      </c>
      <c r="O3785" s="2"/>
      <c r="P3785" s="2" t="s">
        <v>37</v>
      </c>
      <c r="Q3785" s="4" t="n">
        <v>6794</v>
      </c>
      <c r="R3785" s="2" t="s">
        <v>70</v>
      </c>
      <c r="S3785" s="2" t="s">
        <v>39</v>
      </c>
      <c r="T3785" s="2" t="s">
        <v>40</v>
      </c>
      <c r="U3785" s="2" t="s">
        <v>28607</v>
      </c>
      <c r="V3785" s="2"/>
      <c r="W3785" s="2" t="s">
        <v>7555</v>
      </c>
      <c r="X3785" s="2" t="s">
        <v>43</v>
      </c>
      <c r="Y3785" s="2" t="s">
        <v>37</v>
      </c>
      <c r="Z3785" s="2" t="s">
        <v>44</v>
      </c>
      <c r="AA3785" s="2"/>
      <c r="AB3785" s="2"/>
      <c r="AC3785" s="2" t="s">
        <v>28608</v>
      </c>
      <c r="AD3785" s="2" t="s">
        <v>46</v>
      </c>
    </row>
    <row r="3786" customFormat="false" ht="15.7" hidden="false" customHeight="true" outlineLevel="0" collapsed="false">
      <c r="A3786" s="2"/>
      <c r="B3786" s="3" t="n">
        <f aca="false">DATE(2018,9,6)</f>
        <v>0</v>
      </c>
      <c r="C3786" s="3" t="n">
        <v>43349</v>
      </c>
      <c r="D3786" s="2" t="s">
        <v>28609</v>
      </c>
      <c r="F3786" s="2" t="s">
        <v>28610</v>
      </c>
      <c r="G3786" s="2" t="s">
        <v>28611</v>
      </c>
      <c r="H3786" s="2" t="s">
        <v>16647</v>
      </c>
      <c r="I3786" s="2" t="s">
        <v>2294</v>
      </c>
      <c r="J3786" s="2" t="s">
        <v>35</v>
      </c>
      <c r="K3786" s="2" t="s">
        <v>28609</v>
      </c>
      <c r="L3786" s="2" t="s">
        <v>2294</v>
      </c>
      <c r="M3786" s="2" t="s">
        <v>16647</v>
      </c>
      <c r="N3786" s="2" t="s">
        <v>28612</v>
      </c>
      <c r="O3786" s="2"/>
      <c r="P3786" s="2" t="s">
        <v>37</v>
      </c>
      <c r="Q3786" s="4" t="n">
        <v>8731</v>
      </c>
      <c r="R3786" s="2" t="s">
        <v>450</v>
      </c>
      <c r="S3786" s="2" t="s">
        <v>39</v>
      </c>
      <c r="T3786" s="2" t="s">
        <v>403</v>
      </c>
      <c r="U3786" s="2" t="s">
        <v>28613</v>
      </c>
      <c r="V3786" s="2"/>
      <c r="W3786" s="2" t="s">
        <v>28614</v>
      </c>
      <c r="X3786" s="2" t="s">
        <v>43</v>
      </c>
      <c r="Y3786" s="2" t="s">
        <v>37</v>
      </c>
      <c r="Z3786" s="2" t="s">
        <v>44</v>
      </c>
      <c r="AA3786" s="2"/>
      <c r="AB3786" s="2"/>
      <c r="AC3786" s="2" t="s">
        <v>28615</v>
      </c>
      <c r="AD3786" s="2" t="s">
        <v>46</v>
      </c>
    </row>
    <row r="3787" customFormat="false" ht="15.7" hidden="false" customHeight="true" outlineLevel="0" collapsed="false">
      <c r="A3787" s="2"/>
      <c r="B3787" s="3" t="n">
        <f aca="false">DATE(2018,9,6)</f>
        <v>0</v>
      </c>
      <c r="C3787" s="3" t="n">
        <v>43349</v>
      </c>
      <c r="D3787" s="2" t="s">
        <v>28616</v>
      </c>
      <c r="F3787" s="2" t="s">
        <v>28617</v>
      </c>
      <c r="G3787" s="2" t="s">
        <v>28618</v>
      </c>
      <c r="H3787" s="2" t="s">
        <v>28619</v>
      </c>
      <c r="I3787" s="2" t="s">
        <v>28620</v>
      </c>
      <c r="J3787" s="2" t="s">
        <v>35</v>
      </c>
      <c r="K3787" s="2" t="s">
        <v>28616</v>
      </c>
      <c r="L3787" s="2" t="s">
        <v>28620</v>
      </c>
      <c r="M3787" s="2" t="s">
        <v>28619</v>
      </c>
      <c r="N3787" s="2" t="s">
        <v>28621</v>
      </c>
      <c r="O3787" s="2"/>
      <c r="P3787" s="2" t="s">
        <v>37</v>
      </c>
      <c r="Q3787" s="4" t="n">
        <v>8731</v>
      </c>
      <c r="R3787" s="2" t="s">
        <v>136</v>
      </c>
      <c r="S3787" s="2" t="s">
        <v>39</v>
      </c>
      <c r="T3787" s="2" t="s">
        <v>40</v>
      </c>
      <c r="U3787" s="2" t="s">
        <v>28622</v>
      </c>
      <c r="V3787" s="2"/>
      <c r="W3787" s="2" t="s">
        <v>28623</v>
      </c>
      <c r="X3787" s="2" t="s">
        <v>43</v>
      </c>
      <c r="Y3787" s="2" t="s">
        <v>37</v>
      </c>
      <c r="Z3787" s="2" t="s">
        <v>44</v>
      </c>
      <c r="AA3787" s="2"/>
      <c r="AB3787" s="2"/>
      <c r="AC3787" s="2" t="s">
        <v>28624</v>
      </c>
      <c r="AD3787" s="2" t="s">
        <v>46</v>
      </c>
    </row>
    <row r="3788" customFormat="false" ht="15.7" hidden="false" customHeight="true" outlineLevel="0" collapsed="false">
      <c r="A3788" s="2"/>
      <c r="B3788" s="3" t="n">
        <f aca="false">DATE(2018,9,6)</f>
        <v>0</v>
      </c>
      <c r="C3788" s="3" t="n">
        <v>43349</v>
      </c>
      <c r="D3788" s="2" t="s">
        <v>28625</v>
      </c>
      <c r="F3788" s="2" t="s">
        <v>19085</v>
      </c>
      <c r="G3788" s="2" t="s">
        <v>28626</v>
      </c>
      <c r="H3788" s="2" t="s">
        <v>63</v>
      </c>
      <c r="I3788" s="2" t="s">
        <v>16728</v>
      </c>
      <c r="J3788" s="2" t="s">
        <v>35</v>
      </c>
      <c r="K3788" s="2" t="s">
        <v>28627</v>
      </c>
      <c r="L3788" s="2" t="s">
        <v>16728</v>
      </c>
      <c r="M3788" s="2" t="s">
        <v>3069</v>
      </c>
      <c r="N3788" s="2" t="s">
        <v>28628</v>
      </c>
      <c r="O3788" s="2"/>
      <c r="P3788" s="2" t="s">
        <v>37</v>
      </c>
      <c r="Q3788" s="4" t="n">
        <v>8731</v>
      </c>
      <c r="R3788" s="2" t="s">
        <v>136</v>
      </c>
      <c r="S3788" s="2" t="s">
        <v>39</v>
      </c>
      <c r="T3788" s="2" t="s">
        <v>40</v>
      </c>
      <c r="U3788" s="2" t="s">
        <v>28629</v>
      </c>
      <c r="V3788" s="2"/>
      <c r="W3788" s="2" t="s">
        <v>344</v>
      </c>
      <c r="X3788" s="2" t="s">
        <v>43</v>
      </c>
      <c r="Y3788" s="2" t="s">
        <v>37</v>
      </c>
      <c r="Z3788" s="2" t="s">
        <v>44</v>
      </c>
      <c r="AA3788" s="2"/>
      <c r="AB3788" s="2"/>
      <c r="AC3788" s="2" t="s">
        <v>28630</v>
      </c>
      <c r="AD3788" s="2" t="s">
        <v>46</v>
      </c>
    </row>
    <row r="3789" customFormat="false" ht="15.7" hidden="false" customHeight="true" outlineLevel="0" collapsed="false">
      <c r="A3789" s="2"/>
      <c r="B3789" s="3" t="n">
        <f aca="false">DATE(2018,9,6)</f>
        <v>0</v>
      </c>
      <c r="C3789" s="3" t="n">
        <v>43349</v>
      </c>
      <c r="D3789" s="2" t="s">
        <v>28631</v>
      </c>
      <c r="F3789" s="2" t="s">
        <v>28632</v>
      </c>
      <c r="G3789" s="2" t="s">
        <v>28633</v>
      </c>
      <c r="H3789" s="2" t="s">
        <v>18985</v>
      </c>
      <c r="I3789" s="2" t="s">
        <v>540</v>
      </c>
      <c r="J3789" s="2" t="s">
        <v>35</v>
      </c>
      <c r="K3789" s="2" t="s">
        <v>28631</v>
      </c>
      <c r="L3789" s="2" t="s">
        <v>540</v>
      </c>
      <c r="M3789" s="2" t="s">
        <v>18985</v>
      </c>
      <c r="N3789" s="2" t="s">
        <v>28634</v>
      </c>
      <c r="O3789" s="2"/>
      <c r="P3789" s="2" t="s">
        <v>37</v>
      </c>
      <c r="Q3789" s="4" t="n">
        <v>8731</v>
      </c>
      <c r="R3789" s="2" t="s">
        <v>8351</v>
      </c>
      <c r="S3789" s="2" t="s">
        <v>5334</v>
      </c>
      <c r="T3789" s="2" t="s">
        <v>40</v>
      </c>
      <c r="U3789" s="2" t="s">
        <v>28635</v>
      </c>
      <c r="V3789" s="2"/>
      <c r="W3789" s="2" t="s">
        <v>28636</v>
      </c>
      <c r="X3789" s="2" t="s">
        <v>43</v>
      </c>
      <c r="Y3789" s="2" t="s">
        <v>79</v>
      </c>
      <c r="Z3789" s="2" t="s">
        <v>44</v>
      </c>
      <c r="AA3789" s="2"/>
      <c r="AB3789" s="2"/>
      <c r="AC3789" s="2" t="s">
        <v>28637</v>
      </c>
      <c r="AD3789" s="2" t="s">
        <v>46</v>
      </c>
    </row>
    <row r="3790" customFormat="false" ht="15.7" hidden="false" customHeight="true" outlineLevel="0" collapsed="false">
      <c r="A3790" s="2"/>
      <c r="B3790" s="3" t="n">
        <f aca="false">DATE(2018,9,6)</f>
        <v>0</v>
      </c>
      <c r="C3790" s="3" t="n">
        <v>43349</v>
      </c>
      <c r="D3790" s="2" t="s">
        <v>28638</v>
      </c>
      <c r="F3790" s="2" t="s">
        <v>28639</v>
      </c>
      <c r="G3790" s="2" t="s">
        <v>28640</v>
      </c>
      <c r="H3790" s="2" t="s">
        <v>28641</v>
      </c>
      <c r="I3790" s="2" t="s">
        <v>2530</v>
      </c>
      <c r="J3790" s="2" t="s">
        <v>28642</v>
      </c>
      <c r="K3790" s="2" t="s">
        <v>28643</v>
      </c>
      <c r="L3790" s="2" t="s">
        <v>2530</v>
      </c>
      <c r="M3790" s="2" t="s">
        <v>28644</v>
      </c>
      <c r="N3790" s="2" t="s">
        <v>28645</v>
      </c>
      <c r="O3790" s="2"/>
      <c r="P3790" s="2" t="s">
        <v>37</v>
      </c>
      <c r="Q3790" s="4" t="n">
        <v>8731</v>
      </c>
      <c r="R3790" s="2" t="s">
        <v>56</v>
      </c>
      <c r="S3790" s="2" t="s">
        <v>80</v>
      </c>
      <c r="T3790" s="2" t="s">
        <v>40</v>
      </c>
      <c r="U3790" s="2" t="s">
        <v>28646</v>
      </c>
      <c r="V3790" s="2"/>
      <c r="W3790" s="2" t="s">
        <v>138</v>
      </c>
      <c r="X3790" s="2" t="s">
        <v>43</v>
      </c>
      <c r="Y3790" s="2" t="s">
        <v>37</v>
      </c>
      <c r="Z3790" s="2" t="s">
        <v>916</v>
      </c>
      <c r="AA3790" s="2"/>
      <c r="AB3790" s="2"/>
      <c r="AC3790" s="2" t="s">
        <v>28647</v>
      </c>
      <c r="AD3790" s="2" t="s">
        <v>46</v>
      </c>
    </row>
    <row r="3791" customFormat="false" ht="15.7" hidden="false" customHeight="true" outlineLevel="0" collapsed="false">
      <c r="A3791" s="2"/>
      <c r="B3791" s="3" t="n">
        <f aca="false">DATE(2018,9,7)</f>
        <v>0</v>
      </c>
      <c r="C3791" s="3" t="n">
        <v>43350</v>
      </c>
      <c r="D3791" s="2" t="s">
        <v>28648</v>
      </c>
      <c r="F3791" s="2" t="s">
        <v>28649</v>
      </c>
      <c r="G3791" s="2" t="s">
        <v>28650</v>
      </c>
      <c r="H3791" s="2" t="s">
        <v>28651</v>
      </c>
      <c r="I3791" s="2" t="s">
        <v>51</v>
      </c>
      <c r="J3791" s="2" t="s">
        <v>77</v>
      </c>
      <c r="K3791" s="2" t="s">
        <v>28648</v>
      </c>
      <c r="L3791" s="2" t="s">
        <v>51</v>
      </c>
      <c r="M3791" s="2" t="s">
        <v>28651</v>
      </c>
      <c r="N3791" s="2" t="s">
        <v>28652</v>
      </c>
      <c r="O3791" s="2"/>
      <c r="P3791" s="2" t="s">
        <v>37</v>
      </c>
      <c r="Q3791" s="4" t="n">
        <v>8731</v>
      </c>
      <c r="R3791" s="2" t="s">
        <v>56</v>
      </c>
      <c r="S3791" s="2" t="s">
        <v>507</v>
      </c>
      <c r="T3791" s="2" t="s">
        <v>40</v>
      </c>
      <c r="U3791" s="2" t="s">
        <v>28653</v>
      </c>
      <c r="V3791" s="2"/>
      <c r="W3791" s="2" t="s">
        <v>28654</v>
      </c>
      <c r="X3791" s="2" t="s">
        <v>43</v>
      </c>
      <c r="Y3791" s="2" t="s">
        <v>37</v>
      </c>
      <c r="Z3791" s="2" t="s">
        <v>44</v>
      </c>
      <c r="AA3791" s="2"/>
      <c r="AB3791" s="2"/>
      <c r="AC3791" s="2" t="s">
        <v>28655</v>
      </c>
      <c r="AD3791" s="2" t="s">
        <v>46</v>
      </c>
    </row>
    <row r="3792" customFormat="false" ht="15.7" hidden="false" customHeight="true" outlineLevel="0" collapsed="false">
      <c r="A3792" s="2"/>
      <c r="B3792" s="3" t="n">
        <f aca="false">DATE(2018,9,7)</f>
        <v>0</v>
      </c>
      <c r="C3792" s="3" t="n">
        <v>43350</v>
      </c>
      <c r="D3792" s="2" t="s">
        <v>28656</v>
      </c>
      <c r="F3792" s="2" t="s">
        <v>28657</v>
      </c>
      <c r="G3792" s="2" t="s">
        <v>28658</v>
      </c>
      <c r="H3792" s="2" t="s">
        <v>7132</v>
      </c>
      <c r="I3792" s="2" t="s">
        <v>28659</v>
      </c>
      <c r="J3792" s="2" t="s">
        <v>65</v>
      </c>
      <c r="K3792" s="2" t="s">
        <v>28656</v>
      </c>
      <c r="L3792" s="2" t="s">
        <v>28659</v>
      </c>
      <c r="M3792" s="2" t="s">
        <v>7132</v>
      </c>
      <c r="N3792" s="2" t="s">
        <v>28660</v>
      </c>
      <c r="O3792" s="2"/>
      <c r="P3792" s="2" t="s">
        <v>37</v>
      </c>
      <c r="Q3792" s="4" t="n">
        <v>8731</v>
      </c>
      <c r="R3792" s="2" t="s">
        <v>28661</v>
      </c>
      <c r="S3792" s="2" t="s">
        <v>39</v>
      </c>
      <c r="T3792" s="2" t="s">
        <v>40</v>
      </c>
      <c r="U3792" s="2" t="s">
        <v>28662</v>
      </c>
      <c r="V3792" s="2"/>
      <c r="W3792" s="2" t="s">
        <v>344</v>
      </c>
      <c r="X3792" s="2" t="s">
        <v>43</v>
      </c>
      <c r="Y3792" s="2" t="s">
        <v>37</v>
      </c>
      <c r="Z3792" s="2" t="s">
        <v>44</v>
      </c>
      <c r="AA3792" s="2"/>
      <c r="AB3792" s="2"/>
      <c r="AC3792" s="2" t="s">
        <v>28663</v>
      </c>
      <c r="AD3792" s="2" t="s">
        <v>46</v>
      </c>
    </row>
    <row r="3793" customFormat="false" ht="15.7" hidden="false" customHeight="true" outlineLevel="0" collapsed="false">
      <c r="A3793" s="2"/>
      <c r="B3793" s="3" t="n">
        <f aca="false">DATE(2018,9,10)</f>
        <v>0</v>
      </c>
      <c r="C3793" s="3" t="n">
        <v>43353</v>
      </c>
      <c r="D3793" s="2" t="s">
        <v>28664</v>
      </c>
      <c r="F3793" s="2" t="s">
        <v>28665</v>
      </c>
      <c r="G3793" s="2" t="s">
        <v>28666</v>
      </c>
      <c r="H3793" s="2" t="s">
        <v>21769</v>
      </c>
      <c r="I3793" s="2" t="s">
        <v>51</v>
      </c>
      <c r="J3793" s="2" t="s">
        <v>28667</v>
      </c>
      <c r="K3793" s="2" t="s">
        <v>28664</v>
      </c>
      <c r="L3793" s="2" t="s">
        <v>51</v>
      </c>
      <c r="M3793" s="2" t="s">
        <v>21769</v>
      </c>
      <c r="N3793" s="2" t="s">
        <v>28668</v>
      </c>
      <c r="O3793" s="2"/>
      <c r="P3793" s="2" t="s">
        <v>37</v>
      </c>
      <c r="Q3793" s="4" t="n">
        <v>8731</v>
      </c>
      <c r="R3793" s="2" t="s">
        <v>56</v>
      </c>
      <c r="S3793" s="2"/>
      <c r="T3793" s="2" t="s">
        <v>403</v>
      </c>
      <c r="U3793" s="2" t="s">
        <v>28669</v>
      </c>
      <c r="V3793" s="2"/>
      <c r="W3793" s="2" t="s">
        <v>42</v>
      </c>
      <c r="X3793" s="2" t="s">
        <v>43</v>
      </c>
      <c r="Y3793" s="2" t="s">
        <v>37</v>
      </c>
      <c r="Z3793" s="2" t="s">
        <v>44</v>
      </c>
      <c r="AA3793" s="2"/>
      <c r="AB3793" s="2"/>
      <c r="AC3793" s="2" t="s">
        <v>28670</v>
      </c>
      <c r="AD3793" s="2" t="s">
        <v>46</v>
      </c>
    </row>
    <row r="3794" customFormat="false" ht="15.7" hidden="false" customHeight="true" outlineLevel="0" collapsed="false">
      <c r="A3794" s="2"/>
      <c r="B3794" s="3" t="n">
        <f aca="false">DATE(2018,9,10)</f>
        <v>0</v>
      </c>
      <c r="C3794" s="3" t="n">
        <v>43353</v>
      </c>
      <c r="D3794" s="2" t="s">
        <v>28671</v>
      </c>
      <c r="F3794" s="2" t="s">
        <v>28672</v>
      </c>
      <c r="G3794" s="2" t="s">
        <v>28673</v>
      </c>
      <c r="H3794" s="2" t="s">
        <v>28674</v>
      </c>
      <c r="I3794" s="2" t="s">
        <v>51</v>
      </c>
      <c r="J3794" s="2" t="s">
        <v>3969</v>
      </c>
      <c r="K3794" s="2" t="s">
        <v>28671</v>
      </c>
      <c r="L3794" s="2" t="s">
        <v>51</v>
      </c>
      <c r="M3794" s="2" t="s">
        <v>28674</v>
      </c>
      <c r="N3794" s="2" t="s">
        <v>28675</v>
      </c>
      <c r="O3794" s="2"/>
      <c r="P3794" s="2" t="s">
        <v>37</v>
      </c>
      <c r="Q3794" s="4" t="n">
        <v>8731</v>
      </c>
      <c r="R3794" s="2" t="s">
        <v>56</v>
      </c>
      <c r="S3794" s="2"/>
      <c r="T3794" s="2" t="s">
        <v>403</v>
      </c>
      <c r="U3794" s="2" t="s">
        <v>28676</v>
      </c>
      <c r="V3794" s="2"/>
      <c r="W3794" s="2" t="s">
        <v>42</v>
      </c>
      <c r="X3794" s="2" t="s">
        <v>43</v>
      </c>
      <c r="Y3794" s="2" t="s">
        <v>37</v>
      </c>
      <c r="Z3794" s="2" t="s">
        <v>44</v>
      </c>
      <c r="AA3794" s="2"/>
      <c r="AB3794" s="2"/>
      <c r="AC3794" s="2" t="s">
        <v>28677</v>
      </c>
      <c r="AD3794" s="2" t="s">
        <v>46</v>
      </c>
    </row>
    <row r="3795" customFormat="false" ht="15.7" hidden="false" customHeight="true" outlineLevel="0" collapsed="false">
      <c r="A3795" s="2"/>
      <c r="B3795" s="3" t="n">
        <f aca="false">DATE(2018,9,11)</f>
        <v>0</v>
      </c>
      <c r="C3795" s="3" t="n">
        <v>43354</v>
      </c>
      <c r="D3795" s="2" t="s">
        <v>28678</v>
      </c>
      <c r="F3795" s="2" t="s">
        <v>23707</v>
      </c>
      <c r="G3795" s="2" t="s">
        <v>28679</v>
      </c>
      <c r="H3795" s="2" t="s">
        <v>1101</v>
      </c>
      <c r="I3795" s="2" t="s">
        <v>100</v>
      </c>
      <c r="J3795" s="2" t="s">
        <v>2088</v>
      </c>
      <c r="K3795" s="2" t="s">
        <v>28680</v>
      </c>
      <c r="L3795" s="2" t="s">
        <v>100</v>
      </c>
      <c r="M3795" s="2" t="s">
        <v>10505</v>
      </c>
      <c r="N3795" s="2" t="s">
        <v>28681</v>
      </c>
      <c r="O3795" s="2"/>
      <c r="P3795" s="2" t="s">
        <v>37</v>
      </c>
      <c r="Q3795" s="4" t="n">
        <v>3841</v>
      </c>
      <c r="R3795" s="2" t="s">
        <v>105</v>
      </c>
      <c r="S3795" s="2" t="s">
        <v>39</v>
      </c>
      <c r="T3795" s="2" t="s">
        <v>403</v>
      </c>
      <c r="U3795" s="2" t="s">
        <v>28682</v>
      </c>
      <c r="V3795" s="2"/>
      <c r="W3795" s="2" t="s">
        <v>4487</v>
      </c>
      <c r="X3795" s="2" t="s">
        <v>43</v>
      </c>
      <c r="Y3795" s="2" t="s">
        <v>37</v>
      </c>
      <c r="Z3795" s="2" t="s">
        <v>44</v>
      </c>
      <c r="AA3795" s="2"/>
      <c r="AB3795" s="2"/>
      <c r="AC3795" s="2" t="s">
        <v>28683</v>
      </c>
      <c r="AD3795" s="2" t="s">
        <v>46</v>
      </c>
    </row>
    <row r="3796" customFormat="false" ht="15.7" hidden="false" customHeight="true" outlineLevel="0" collapsed="false">
      <c r="A3796" s="2"/>
      <c r="B3796" s="3" t="n">
        <f aca="false">DATE(2018,9,11)</f>
        <v>0</v>
      </c>
      <c r="C3796" s="3" t="n">
        <v>43354</v>
      </c>
      <c r="D3796" s="2" t="s">
        <v>28684</v>
      </c>
      <c r="F3796" s="2" t="s">
        <v>28685</v>
      </c>
      <c r="G3796" s="2" t="s">
        <v>28686</v>
      </c>
      <c r="H3796" s="2" t="s">
        <v>1088</v>
      </c>
      <c r="I3796" s="2" t="s">
        <v>369</v>
      </c>
      <c r="J3796" s="2" t="s">
        <v>35</v>
      </c>
      <c r="K3796" s="2" t="s">
        <v>28687</v>
      </c>
      <c r="L3796" s="2" t="s">
        <v>2581</v>
      </c>
      <c r="M3796" s="2" t="s">
        <v>130</v>
      </c>
      <c r="N3796" s="2" t="s">
        <v>28688</v>
      </c>
      <c r="O3796" s="2"/>
      <c r="P3796" s="2" t="s">
        <v>37</v>
      </c>
      <c r="Q3796" s="4" t="n">
        <v>8062</v>
      </c>
      <c r="R3796" s="2" t="s">
        <v>105</v>
      </c>
      <c r="S3796" s="2" t="s">
        <v>39</v>
      </c>
      <c r="T3796" s="2" t="s">
        <v>40</v>
      </c>
      <c r="U3796" s="2" t="s">
        <v>28689</v>
      </c>
      <c r="V3796" s="2"/>
      <c r="W3796" s="2" t="s">
        <v>15969</v>
      </c>
      <c r="X3796" s="2" t="s">
        <v>43</v>
      </c>
      <c r="Y3796" s="2" t="s">
        <v>37</v>
      </c>
      <c r="Z3796" s="2" t="s">
        <v>44</v>
      </c>
      <c r="AA3796" s="2"/>
      <c r="AB3796" s="2"/>
      <c r="AC3796" s="2" t="s">
        <v>28690</v>
      </c>
      <c r="AD3796" s="2" t="s">
        <v>46</v>
      </c>
    </row>
    <row r="3797" customFormat="false" ht="15.7" hidden="false" customHeight="true" outlineLevel="0" collapsed="false">
      <c r="A3797" s="2"/>
      <c r="B3797" s="3" t="n">
        <f aca="false">DATE(2018,9,11)</f>
        <v>0</v>
      </c>
      <c r="C3797" s="3" t="n">
        <v>43354</v>
      </c>
      <c r="D3797" s="2" t="s">
        <v>28691</v>
      </c>
      <c r="F3797" s="2" t="s">
        <v>28692</v>
      </c>
      <c r="G3797" s="2" t="s">
        <v>28693</v>
      </c>
      <c r="H3797" s="2" t="s">
        <v>28694</v>
      </c>
      <c r="I3797" s="2" t="s">
        <v>1431</v>
      </c>
      <c r="J3797" s="2" t="s">
        <v>625</v>
      </c>
      <c r="K3797" s="2" t="s">
        <v>28691</v>
      </c>
      <c r="L3797" s="2" t="s">
        <v>1431</v>
      </c>
      <c r="M3797" s="2" t="s">
        <v>28694</v>
      </c>
      <c r="N3797" s="2" t="s">
        <v>28695</v>
      </c>
      <c r="O3797" s="2"/>
      <c r="P3797" s="2" t="s">
        <v>37</v>
      </c>
      <c r="Q3797" s="4" t="n">
        <v>8731</v>
      </c>
      <c r="R3797" s="2" t="s">
        <v>1195</v>
      </c>
      <c r="S3797" s="2" t="s">
        <v>39</v>
      </c>
      <c r="T3797" s="2" t="s">
        <v>403</v>
      </c>
      <c r="U3797" s="2" t="s">
        <v>28696</v>
      </c>
      <c r="V3797" s="2"/>
      <c r="W3797" s="2" t="s">
        <v>344</v>
      </c>
      <c r="X3797" s="2" t="s">
        <v>43</v>
      </c>
      <c r="Y3797" s="2" t="s">
        <v>37</v>
      </c>
      <c r="Z3797" s="2" t="s">
        <v>44</v>
      </c>
      <c r="AA3797" s="2"/>
      <c r="AB3797" s="2"/>
      <c r="AC3797" s="2" t="s">
        <v>28697</v>
      </c>
      <c r="AD3797" s="2" t="s">
        <v>46</v>
      </c>
    </row>
    <row r="3798" customFormat="false" ht="15.7" hidden="false" customHeight="true" outlineLevel="0" collapsed="false">
      <c r="A3798" s="2"/>
      <c r="B3798" s="3" t="n">
        <f aca="false">DATE(2018,9,12)</f>
        <v>0</v>
      </c>
      <c r="C3798" s="3" t="n">
        <v>43355</v>
      </c>
      <c r="D3798" s="2" t="s">
        <v>28698</v>
      </c>
      <c r="F3798" s="2" t="s">
        <v>28699</v>
      </c>
      <c r="G3798" s="2" t="s">
        <v>28700</v>
      </c>
      <c r="H3798" s="2" t="s">
        <v>28701</v>
      </c>
      <c r="I3798" s="2" t="s">
        <v>487</v>
      </c>
      <c r="J3798" s="2" t="s">
        <v>795</v>
      </c>
      <c r="K3798" s="2" t="s">
        <v>28698</v>
      </c>
      <c r="L3798" s="2" t="s">
        <v>487</v>
      </c>
      <c r="M3798" s="2" t="s">
        <v>28701</v>
      </c>
      <c r="N3798" s="2" t="s">
        <v>28702</v>
      </c>
      <c r="O3798" s="2"/>
      <c r="P3798" s="2" t="s">
        <v>37</v>
      </c>
      <c r="Q3798" s="4" t="n">
        <v>8062</v>
      </c>
      <c r="R3798" s="2" t="s">
        <v>56</v>
      </c>
      <c r="S3798" s="2"/>
      <c r="T3798" s="2" t="s">
        <v>403</v>
      </c>
      <c r="U3798" s="2" t="s">
        <v>28703</v>
      </c>
      <c r="V3798" s="2"/>
      <c r="W3798" s="2" t="s">
        <v>15969</v>
      </c>
      <c r="X3798" s="2" t="s">
        <v>43</v>
      </c>
      <c r="Y3798" s="2" t="s">
        <v>37</v>
      </c>
      <c r="Z3798" s="2" t="s">
        <v>44</v>
      </c>
      <c r="AA3798" s="2"/>
      <c r="AB3798" s="2"/>
      <c r="AC3798" s="2" t="s">
        <v>28704</v>
      </c>
      <c r="AD3798" s="2" t="s">
        <v>46</v>
      </c>
    </row>
    <row r="3799" customFormat="false" ht="15.7" hidden="false" customHeight="true" outlineLevel="0" collapsed="false">
      <c r="A3799" s="2"/>
      <c r="B3799" s="3" t="n">
        <f aca="false">DATE(2018,9,13)</f>
        <v>0</v>
      </c>
      <c r="C3799" s="3" t="n">
        <v>43356</v>
      </c>
      <c r="D3799" s="2" t="s">
        <v>28705</v>
      </c>
      <c r="F3799" s="2" t="s">
        <v>28706</v>
      </c>
      <c r="G3799" s="2" t="s">
        <v>28707</v>
      </c>
      <c r="H3799" s="2" t="s">
        <v>28708</v>
      </c>
      <c r="I3799" s="2" t="s">
        <v>28709</v>
      </c>
      <c r="J3799" s="2" t="s">
        <v>35</v>
      </c>
      <c r="K3799" s="2" t="s">
        <v>28705</v>
      </c>
      <c r="L3799" s="2" t="s">
        <v>28709</v>
      </c>
      <c r="M3799" s="2" t="s">
        <v>28708</v>
      </c>
      <c r="N3799" s="2" t="s">
        <v>28710</v>
      </c>
      <c r="O3799" s="2"/>
      <c r="P3799" s="2" t="s">
        <v>37</v>
      </c>
      <c r="Q3799" s="4" t="n">
        <v>8731</v>
      </c>
      <c r="R3799" s="2" t="s">
        <v>136</v>
      </c>
      <c r="S3799" s="2" t="s">
        <v>39</v>
      </c>
      <c r="T3799" s="2" t="s">
        <v>403</v>
      </c>
      <c r="U3799" s="2" t="s">
        <v>28711</v>
      </c>
      <c r="V3799" s="2"/>
      <c r="W3799" s="2" t="s">
        <v>13346</v>
      </c>
      <c r="X3799" s="2" t="s">
        <v>43</v>
      </c>
      <c r="Y3799" s="2" t="s">
        <v>37</v>
      </c>
      <c r="Z3799" s="2" t="s">
        <v>44</v>
      </c>
      <c r="AA3799" s="2"/>
      <c r="AB3799" s="2"/>
      <c r="AC3799" s="2" t="s">
        <v>28712</v>
      </c>
      <c r="AD3799" s="2" t="s">
        <v>46</v>
      </c>
    </row>
    <row r="3800" customFormat="false" ht="15.7" hidden="false" customHeight="true" outlineLevel="0" collapsed="false">
      <c r="A3800" s="2"/>
      <c r="B3800" s="3" t="n">
        <f aca="false">DATE(2018,9,14)</f>
        <v>0</v>
      </c>
      <c r="C3800" s="3" t="n">
        <v>43357</v>
      </c>
      <c r="D3800" s="2" t="s">
        <v>28713</v>
      </c>
      <c r="F3800" s="2" t="s">
        <v>28714</v>
      </c>
      <c r="G3800" s="2" t="s">
        <v>28715</v>
      </c>
      <c r="H3800" s="2" t="s">
        <v>28716</v>
      </c>
      <c r="I3800" s="2" t="s">
        <v>1080</v>
      </c>
      <c r="J3800" s="2" t="s">
        <v>35</v>
      </c>
      <c r="K3800" s="2" t="s">
        <v>28713</v>
      </c>
      <c r="L3800" s="2" t="s">
        <v>1080</v>
      </c>
      <c r="M3800" s="2" t="s">
        <v>28716</v>
      </c>
      <c r="N3800" s="2" t="s">
        <v>28717</v>
      </c>
      <c r="O3800" s="2"/>
      <c r="P3800" s="2" t="s">
        <v>37</v>
      </c>
      <c r="Q3800" s="4" t="n">
        <v>8731</v>
      </c>
      <c r="R3800" s="2" t="s">
        <v>2508</v>
      </c>
      <c r="S3800" s="2" t="s">
        <v>39</v>
      </c>
      <c r="T3800" s="2" t="s">
        <v>40</v>
      </c>
      <c r="U3800" s="2" t="s">
        <v>28718</v>
      </c>
      <c r="V3800" s="2"/>
      <c r="W3800" s="2" t="s">
        <v>28719</v>
      </c>
      <c r="X3800" s="2" t="s">
        <v>43</v>
      </c>
      <c r="Y3800" s="2" t="s">
        <v>37</v>
      </c>
      <c r="Z3800" s="2" t="s">
        <v>44</v>
      </c>
      <c r="AA3800" s="2"/>
      <c r="AB3800" s="2"/>
      <c r="AC3800" s="2" t="s">
        <v>28720</v>
      </c>
      <c r="AD3800" s="2" t="s">
        <v>46</v>
      </c>
    </row>
    <row r="3801" customFormat="false" ht="15.7" hidden="false" customHeight="true" outlineLevel="0" collapsed="false">
      <c r="A3801" s="2"/>
      <c r="B3801" s="3" t="n">
        <f aca="false">DATE(2018,9,14)</f>
        <v>0</v>
      </c>
      <c r="C3801" s="3" t="n">
        <v>43357</v>
      </c>
      <c r="D3801" s="2" t="s">
        <v>28721</v>
      </c>
      <c r="F3801" s="2" t="s">
        <v>28722</v>
      </c>
      <c r="G3801" s="2" t="s">
        <v>28723</v>
      </c>
      <c r="H3801" s="2" t="s">
        <v>28724</v>
      </c>
      <c r="I3801" s="2" t="s">
        <v>7737</v>
      </c>
      <c r="J3801" s="2" t="s">
        <v>35</v>
      </c>
      <c r="K3801" s="2" t="s">
        <v>28721</v>
      </c>
      <c r="L3801" s="2" t="s">
        <v>7737</v>
      </c>
      <c r="M3801" s="2" t="s">
        <v>28724</v>
      </c>
      <c r="N3801" s="2" t="s">
        <v>28725</v>
      </c>
      <c r="O3801" s="2"/>
      <c r="P3801" s="2" t="s">
        <v>37</v>
      </c>
      <c r="Q3801" s="4" t="n">
        <v>8731</v>
      </c>
      <c r="R3801" s="2" t="s">
        <v>402</v>
      </c>
      <c r="S3801" s="2" t="s">
        <v>39</v>
      </c>
      <c r="T3801" s="2" t="s">
        <v>403</v>
      </c>
      <c r="U3801" s="2" t="s">
        <v>28726</v>
      </c>
      <c r="V3801" s="2"/>
      <c r="W3801" s="2" t="s">
        <v>344</v>
      </c>
      <c r="X3801" s="2" t="s">
        <v>46</v>
      </c>
      <c r="Y3801" s="2" t="s">
        <v>37</v>
      </c>
      <c r="Z3801" s="2" t="s">
        <v>44</v>
      </c>
      <c r="AA3801" s="2"/>
      <c r="AB3801" s="2"/>
      <c r="AC3801" s="2" t="s">
        <v>28727</v>
      </c>
      <c r="AD3801" s="2" t="s">
        <v>46</v>
      </c>
    </row>
    <row r="3802" customFormat="false" ht="15.7" hidden="false" customHeight="true" outlineLevel="0" collapsed="false">
      <c r="A3802" s="2"/>
      <c r="B3802" s="3" t="n">
        <f aca="false">DATE(2018,9,15)</f>
        <v>0</v>
      </c>
      <c r="C3802" s="3" t="n">
        <v>43358</v>
      </c>
      <c r="D3802" s="2" t="s">
        <v>28728</v>
      </c>
      <c r="F3802" s="2" t="s">
        <v>28729</v>
      </c>
      <c r="G3802" s="2" t="s">
        <v>28730</v>
      </c>
      <c r="H3802" s="2" t="s">
        <v>2215</v>
      </c>
      <c r="I3802" s="2" t="s">
        <v>3265</v>
      </c>
      <c r="J3802" s="2" t="s">
        <v>132</v>
      </c>
      <c r="K3802" s="2" t="s">
        <v>28728</v>
      </c>
      <c r="L3802" s="2" t="s">
        <v>3265</v>
      </c>
      <c r="M3802" s="2" t="s">
        <v>2215</v>
      </c>
      <c r="N3802" s="2" t="s">
        <v>28731</v>
      </c>
      <c r="O3802" s="2"/>
      <c r="P3802" s="2" t="s">
        <v>37</v>
      </c>
      <c r="Q3802" s="4" t="n">
        <v>8099</v>
      </c>
      <c r="R3802" s="2" t="s">
        <v>56</v>
      </c>
      <c r="S3802" s="2" t="s">
        <v>92</v>
      </c>
      <c r="T3802" s="2" t="s">
        <v>40</v>
      </c>
      <c r="U3802" s="2" t="s">
        <v>28732</v>
      </c>
      <c r="V3802" s="2"/>
      <c r="W3802" s="2" t="s">
        <v>4487</v>
      </c>
      <c r="X3802" s="2" t="s">
        <v>43</v>
      </c>
      <c r="Y3802" s="2" t="s">
        <v>37</v>
      </c>
      <c r="Z3802" s="2" t="s">
        <v>44</v>
      </c>
      <c r="AA3802" s="2"/>
      <c r="AB3802" s="2"/>
      <c r="AC3802" s="2" t="s">
        <v>28733</v>
      </c>
      <c r="AD3802" s="2" t="s">
        <v>46</v>
      </c>
    </row>
    <row r="3803" customFormat="false" ht="15.7" hidden="false" customHeight="true" outlineLevel="0" collapsed="false">
      <c r="A3803" s="2"/>
      <c r="B3803" s="3" t="n">
        <f aca="false">DATE(2018,9,17)</f>
        <v>0</v>
      </c>
      <c r="C3803" s="3" t="n">
        <v>43360</v>
      </c>
      <c r="D3803" s="2" t="s">
        <v>28734</v>
      </c>
      <c r="F3803" s="2" t="s">
        <v>28735</v>
      </c>
      <c r="G3803" s="2" t="s">
        <v>28736</v>
      </c>
      <c r="H3803" s="2" t="s">
        <v>28737</v>
      </c>
      <c r="I3803" s="2" t="s">
        <v>4325</v>
      </c>
      <c r="J3803" s="2" t="s">
        <v>35</v>
      </c>
      <c r="K3803" s="2" t="s">
        <v>28734</v>
      </c>
      <c r="L3803" s="2" t="s">
        <v>4325</v>
      </c>
      <c r="M3803" s="2" t="s">
        <v>28737</v>
      </c>
      <c r="N3803" s="2" t="s">
        <v>28738</v>
      </c>
      <c r="O3803" s="2"/>
      <c r="P3803" s="2" t="s">
        <v>37</v>
      </c>
      <c r="Q3803" s="4" t="n">
        <v>8731</v>
      </c>
      <c r="R3803" s="2" t="s">
        <v>402</v>
      </c>
      <c r="S3803" s="2" t="s">
        <v>39</v>
      </c>
      <c r="T3803" s="2" t="s">
        <v>40</v>
      </c>
      <c r="U3803" s="2" t="s">
        <v>28739</v>
      </c>
      <c r="V3803" s="2"/>
      <c r="W3803" s="2" t="s">
        <v>42</v>
      </c>
      <c r="X3803" s="2" t="s">
        <v>43</v>
      </c>
      <c r="Y3803" s="2" t="s">
        <v>37</v>
      </c>
      <c r="Z3803" s="2" t="s">
        <v>44</v>
      </c>
      <c r="AA3803" s="2"/>
      <c r="AB3803" s="2"/>
      <c r="AC3803" s="2" t="s">
        <v>28740</v>
      </c>
      <c r="AD3803" s="2" t="s">
        <v>46</v>
      </c>
    </row>
    <row r="3804" customFormat="false" ht="15.7" hidden="false" customHeight="true" outlineLevel="0" collapsed="false">
      <c r="A3804" s="2"/>
      <c r="B3804" s="3" t="n">
        <f aca="false">DATE(2018,9,17)</f>
        <v>0</v>
      </c>
      <c r="C3804" s="3" t="n">
        <v>43360</v>
      </c>
      <c r="D3804" s="2" t="s">
        <v>28741</v>
      </c>
      <c r="F3804" s="2" t="s">
        <v>28742</v>
      </c>
      <c r="G3804" s="2" t="s">
        <v>28743</v>
      </c>
      <c r="H3804" s="2" t="s">
        <v>28744</v>
      </c>
      <c r="I3804" s="2" t="s">
        <v>28745</v>
      </c>
      <c r="J3804" s="2" t="s">
        <v>35</v>
      </c>
      <c r="K3804" s="2" t="s">
        <v>28746</v>
      </c>
      <c r="L3804" s="2" t="s">
        <v>28747</v>
      </c>
      <c r="M3804" s="2" t="s">
        <v>28744</v>
      </c>
      <c r="N3804" s="2" t="s">
        <v>28748</v>
      </c>
      <c r="O3804" s="2"/>
      <c r="P3804" s="2" t="s">
        <v>37</v>
      </c>
      <c r="Q3804" s="4" t="n">
        <v>4812</v>
      </c>
      <c r="R3804" s="2" t="s">
        <v>136</v>
      </c>
      <c r="S3804" s="2" t="s">
        <v>39</v>
      </c>
      <c r="T3804" s="2" t="s">
        <v>40</v>
      </c>
      <c r="U3804" s="2" t="s">
        <v>28749</v>
      </c>
      <c r="V3804" s="2"/>
      <c r="W3804" s="2" t="s">
        <v>7275</v>
      </c>
      <c r="X3804" s="2" t="s">
        <v>43</v>
      </c>
      <c r="Y3804" s="2" t="s">
        <v>37</v>
      </c>
      <c r="Z3804" s="2" t="s">
        <v>44</v>
      </c>
      <c r="AA3804" s="2"/>
      <c r="AB3804" s="2"/>
      <c r="AC3804" s="2" t="s">
        <v>28750</v>
      </c>
      <c r="AD3804" s="2" t="s">
        <v>46</v>
      </c>
    </row>
    <row r="3805" customFormat="false" ht="15.7" hidden="false" customHeight="true" outlineLevel="0" collapsed="false">
      <c r="A3805" s="2"/>
      <c r="B3805" s="3" t="n">
        <f aca="false">DATE(2018,9,17)</f>
        <v>0</v>
      </c>
      <c r="C3805" s="3" t="n">
        <v>43360</v>
      </c>
      <c r="D3805" s="2" t="s">
        <v>28751</v>
      </c>
      <c r="F3805" s="2" t="s">
        <v>28752</v>
      </c>
      <c r="G3805" s="2" t="s">
        <v>28753</v>
      </c>
      <c r="H3805" s="2" t="s">
        <v>2601</v>
      </c>
      <c r="I3805" s="2" t="s">
        <v>4325</v>
      </c>
      <c r="J3805" s="2" t="s">
        <v>35</v>
      </c>
      <c r="K3805" s="2" t="s">
        <v>28751</v>
      </c>
      <c r="L3805" s="2" t="s">
        <v>4325</v>
      </c>
      <c r="M3805" s="2" t="s">
        <v>2601</v>
      </c>
      <c r="N3805" s="2" t="s">
        <v>28754</v>
      </c>
      <c r="O3805" s="2"/>
      <c r="P3805" s="2" t="s">
        <v>37</v>
      </c>
      <c r="Q3805" s="4" t="n">
        <v>8731</v>
      </c>
      <c r="R3805" s="2" t="s">
        <v>402</v>
      </c>
      <c r="S3805" s="2" t="s">
        <v>39</v>
      </c>
      <c r="T3805" s="2" t="s">
        <v>40</v>
      </c>
      <c r="U3805" s="2" t="s">
        <v>28755</v>
      </c>
      <c r="V3805" s="2"/>
      <c r="W3805" s="2" t="s">
        <v>25385</v>
      </c>
      <c r="X3805" s="2" t="s">
        <v>43</v>
      </c>
      <c r="Y3805" s="2" t="s">
        <v>37</v>
      </c>
      <c r="Z3805" s="2" t="s">
        <v>44</v>
      </c>
      <c r="AA3805" s="2"/>
      <c r="AB3805" s="2"/>
      <c r="AC3805" s="2" t="s">
        <v>28756</v>
      </c>
      <c r="AD3805" s="2" t="s">
        <v>46</v>
      </c>
    </row>
    <row r="3806" customFormat="false" ht="15.7" hidden="false" customHeight="true" outlineLevel="0" collapsed="false">
      <c r="A3806" s="2"/>
      <c r="B3806" s="3" t="n">
        <f aca="false">DATE(2018,9,17)</f>
        <v>0</v>
      </c>
      <c r="C3806" s="3" t="n">
        <v>43360</v>
      </c>
      <c r="D3806" s="2" t="s">
        <v>28757</v>
      </c>
      <c r="F3806" s="2" t="s">
        <v>28758</v>
      </c>
      <c r="G3806" s="2" t="s">
        <v>28759</v>
      </c>
      <c r="H3806" s="2" t="s">
        <v>4114</v>
      </c>
      <c r="I3806" s="2" t="s">
        <v>154</v>
      </c>
      <c r="J3806" s="2" t="s">
        <v>1807</v>
      </c>
      <c r="K3806" s="2" t="s">
        <v>28757</v>
      </c>
      <c r="L3806" s="2" t="s">
        <v>154</v>
      </c>
      <c r="M3806" s="2" t="s">
        <v>4114</v>
      </c>
      <c r="N3806" s="2" t="s">
        <v>28760</v>
      </c>
      <c r="O3806" s="2"/>
      <c r="P3806" s="2" t="s">
        <v>37</v>
      </c>
      <c r="Q3806" s="4" t="n">
        <v>8731</v>
      </c>
      <c r="R3806" s="2" t="s">
        <v>2508</v>
      </c>
      <c r="S3806" s="2" t="s">
        <v>39</v>
      </c>
      <c r="T3806" s="2" t="s">
        <v>40</v>
      </c>
      <c r="U3806" s="2" t="s">
        <v>28761</v>
      </c>
      <c r="V3806" s="2"/>
      <c r="W3806" s="2" t="s">
        <v>138</v>
      </c>
      <c r="X3806" s="2" t="s">
        <v>43</v>
      </c>
      <c r="Y3806" s="2" t="s">
        <v>37</v>
      </c>
      <c r="Z3806" s="2" t="s">
        <v>44</v>
      </c>
      <c r="AA3806" s="2"/>
      <c r="AB3806" s="2"/>
      <c r="AC3806" s="2" t="s">
        <v>28762</v>
      </c>
      <c r="AD3806" s="2" t="s">
        <v>46</v>
      </c>
    </row>
    <row r="3807" customFormat="false" ht="15.7" hidden="false" customHeight="true" outlineLevel="0" collapsed="false">
      <c r="A3807" s="2"/>
      <c r="B3807" s="3" t="n">
        <f aca="false">DATE(2018,9,17)</f>
        <v>0</v>
      </c>
      <c r="C3807" s="3" t="n">
        <v>43360</v>
      </c>
      <c r="D3807" s="2" t="s">
        <v>28763</v>
      </c>
      <c r="F3807" s="2" t="s">
        <v>28764</v>
      </c>
      <c r="G3807" s="2" t="s">
        <v>28765</v>
      </c>
      <c r="H3807" s="2" t="s">
        <v>13491</v>
      </c>
      <c r="I3807" s="2" t="s">
        <v>51</v>
      </c>
      <c r="J3807" s="2" t="s">
        <v>3854</v>
      </c>
      <c r="K3807" s="2" t="s">
        <v>28763</v>
      </c>
      <c r="L3807" s="2" t="s">
        <v>51</v>
      </c>
      <c r="M3807" s="2" t="s">
        <v>13491</v>
      </c>
      <c r="N3807" s="2" t="s">
        <v>28766</v>
      </c>
      <c r="O3807" s="2"/>
      <c r="P3807" s="2" t="s">
        <v>37</v>
      </c>
      <c r="Q3807" s="4" t="n">
        <v>5099</v>
      </c>
      <c r="R3807" s="2" t="s">
        <v>56</v>
      </c>
      <c r="S3807" s="2" t="s">
        <v>507</v>
      </c>
      <c r="T3807" s="2" t="s">
        <v>40</v>
      </c>
      <c r="U3807" s="2" t="s">
        <v>28767</v>
      </c>
      <c r="V3807" s="2"/>
      <c r="W3807" s="2" t="s">
        <v>28768</v>
      </c>
      <c r="X3807" s="2" t="s">
        <v>43</v>
      </c>
      <c r="Y3807" s="2" t="s">
        <v>37</v>
      </c>
      <c r="Z3807" s="2" t="s">
        <v>44</v>
      </c>
      <c r="AA3807" s="2"/>
      <c r="AB3807" s="2"/>
      <c r="AC3807" s="2" t="s">
        <v>28769</v>
      </c>
      <c r="AD3807" s="2" t="s">
        <v>46</v>
      </c>
    </row>
    <row r="3808" customFormat="false" ht="15.7" hidden="false" customHeight="true" outlineLevel="0" collapsed="false">
      <c r="A3808" s="2"/>
      <c r="B3808" s="3" t="n">
        <f aca="false">DATE(2018,9,17)</f>
        <v>0</v>
      </c>
      <c r="C3808" s="3" t="n">
        <v>43360</v>
      </c>
      <c r="D3808" s="2" t="s">
        <v>28770</v>
      </c>
      <c r="F3808" s="2" t="s">
        <v>28771</v>
      </c>
      <c r="G3808" s="2" t="s">
        <v>28772</v>
      </c>
      <c r="H3808" s="2" t="s">
        <v>28486</v>
      </c>
      <c r="I3808" s="2" t="s">
        <v>4570</v>
      </c>
      <c r="J3808" s="2" t="s">
        <v>35</v>
      </c>
      <c r="K3808" s="2" t="s">
        <v>28770</v>
      </c>
      <c r="L3808" s="2" t="s">
        <v>4570</v>
      </c>
      <c r="M3808" s="2" t="s">
        <v>28486</v>
      </c>
      <c r="N3808" s="2" t="s">
        <v>28773</v>
      </c>
      <c r="O3808" s="2"/>
      <c r="P3808" s="2" t="s">
        <v>37</v>
      </c>
      <c r="Q3808" s="4" t="n">
        <v>8731</v>
      </c>
      <c r="R3808" s="2" t="s">
        <v>105</v>
      </c>
      <c r="S3808" s="2" t="s">
        <v>39</v>
      </c>
      <c r="T3808" s="2" t="s">
        <v>403</v>
      </c>
      <c r="U3808" s="2" t="s">
        <v>28774</v>
      </c>
      <c r="V3808" s="2"/>
      <c r="W3808" s="2" t="s">
        <v>10912</v>
      </c>
      <c r="X3808" s="2" t="s">
        <v>43</v>
      </c>
      <c r="Y3808" s="2" t="s">
        <v>37</v>
      </c>
      <c r="Z3808" s="2" t="s">
        <v>44</v>
      </c>
      <c r="AA3808" s="2"/>
      <c r="AB3808" s="2"/>
      <c r="AC3808" s="2" t="s">
        <v>28775</v>
      </c>
      <c r="AD3808" s="2" t="s">
        <v>46</v>
      </c>
    </row>
    <row r="3809" customFormat="false" ht="15.7" hidden="false" customHeight="true" outlineLevel="0" collapsed="false">
      <c r="A3809" s="2"/>
      <c r="B3809" s="3" t="n">
        <f aca="false">DATE(2018,9,18)</f>
        <v>0</v>
      </c>
      <c r="C3809" s="3" t="n">
        <v>43361</v>
      </c>
      <c r="D3809" s="2" t="s">
        <v>28776</v>
      </c>
      <c r="F3809" s="2" t="s">
        <v>28777</v>
      </c>
      <c r="G3809" s="2" t="s">
        <v>28778</v>
      </c>
      <c r="H3809" s="2" t="s">
        <v>28779</v>
      </c>
      <c r="I3809" s="2" t="s">
        <v>28780</v>
      </c>
      <c r="J3809" s="2" t="s">
        <v>35</v>
      </c>
      <c r="K3809" s="2" t="s">
        <v>28781</v>
      </c>
      <c r="L3809" s="2" t="s">
        <v>28782</v>
      </c>
      <c r="M3809" s="2" t="s">
        <v>1749</v>
      </c>
      <c r="N3809" s="2" t="s">
        <v>28783</v>
      </c>
      <c r="O3809" s="2"/>
      <c r="P3809" s="2" t="s">
        <v>37</v>
      </c>
      <c r="Q3809" s="4" t="n">
        <v>8731</v>
      </c>
      <c r="R3809" s="2" t="s">
        <v>14409</v>
      </c>
      <c r="S3809" s="2" t="s">
        <v>39</v>
      </c>
      <c r="T3809" s="2" t="s">
        <v>40</v>
      </c>
      <c r="U3809" s="2" t="s">
        <v>28784</v>
      </c>
      <c r="V3809" s="2"/>
      <c r="W3809" s="2" t="s">
        <v>18966</v>
      </c>
      <c r="X3809" s="2" t="s">
        <v>43</v>
      </c>
      <c r="Y3809" s="2" t="s">
        <v>37</v>
      </c>
      <c r="Z3809" s="2" t="s">
        <v>44</v>
      </c>
      <c r="AA3809" s="2"/>
      <c r="AB3809" s="2"/>
      <c r="AC3809" s="2" t="s">
        <v>28785</v>
      </c>
      <c r="AD3809" s="2" t="s">
        <v>46</v>
      </c>
    </row>
    <row r="3810" customFormat="false" ht="15.7" hidden="false" customHeight="true" outlineLevel="0" collapsed="false">
      <c r="A3810" s="2"/>
      <c r="B3810" s="3" t="n">
        <f aca="false">DATE(2018,9,18)</f>
        <v>0</v>
      </c>
      <c r="C3810" s="3" t="n">
        <v>43361</v>
      </c>
      <c r="D3810" s="2" t="s">
        <v>28786</v>
      </c>
      <c r="F3810" s="2" t="s">
        <v>28787</v>
      </c>
      <c r="G3810" s="2" t="s">
        <v>28788</v>
      </c>
      <c r="H3810" s="2" t="s">
        <v>24529</v>
      </c>
      <c r="I3810" s="2" t="s">
        <v>51</v>
      </c>
      <c r="J3810" s="2" t="s">
        <v>2633</v>
      </c>
      <c r="K3810" s="2" t="s">
        <v>28789</v>
      </c>
      <c r="L3810" s="2" t="s">
        <v>202</v>
      </c>
      <c r="M3810" s="2" t="s">
        <v>28790</v>
      </c>
      <c r="N3810" s="2" t="s">
        <v>28791</v>
      </c>
      <c r="O3810" s="2"/>
      <c r="P3810" s="2" t="s">
        <v>37</v>
      </c>
      <c r="Q3810" s="4" t="n">
        <v>8731</v>
      </c>
      <c r="R3810" s="2" t="s">
        <v>56</v>
      </c>
      <c r="S3810" s="2" t="s">
        <v>80</v>
      </c>
      <c r="T3810" s="2" t="s">
        <v>403</v>
      </c>
      <c r="U3810" s="2" t="s">
        <v>28792</v>
      </c>
      <c r="V3810" s="2"/>
      <c r="W3810" s="2" t="s">
        <v>344</v>
      </c>
      <c r="X3810" s="2" t="s">
        <v>43</v>
      </c>
      <c r="Y3810" s="2" t="s">
        <v>37</v>
      </c>
      <c r="Z3810" s="2" t="s">
        <v>44</v>
      </c>
      <c r="AA3810" s="2"/>
      <c r="AB3810" s="2"/>
      <c r="AC3810" s="2" t="s">
        <v>28793</v>
      </c>
      <c r="AD3810" s="2" t="s">
        <v>46</v>
      </c>
    </row>
    <row r="3811" customFormat="false" ht="15.7" hidden="false" customHeight="true" outlineLevel="0" collapsed="false">
      <c r="A3811" s="2"/>
      <c r="B3811" s="3" t="n">
        <f aca="false">DATE(2018,9,19)</f>
        <v>0</v>
      </c>
      <c r="C3811" s="3" t="n">
        <v>43362</v>
      </c>
      <c r="D3811" s="2" t="s">
        <v>28794</v>
      </c>
      <c r="F3811" s="2" t="s">
        <v>28795</v>
      </c>
      <c r="G3811" s="2" t="s">
        <v>28796</v>
      </c>
      <c r="H3811" s="2" t="s">
        <v>28797</v>
      </c>
      <c r="I3811" s="2" t="s">
        <v>568</v>
      </c>
      <c r="J3811" s="2" t="s">
        <v>65</v>
      </c>
      <c r="K3811" s="2" t="s">
        <v>28794</v>
      </c>
      <c r="L3811" s="2" t="s">
        <v>568</v>
      </c>
      <c r="M3811" s="2" t="s">
        <v>28797</v>
      </c>
      <c r="N3811" s="2" t="s">
        <v>28798</v>
      </c>
      <c r="O3811" s="2"/>
      <c r="P3811" s="2" t="s">
        <v>79</v>
      </c>
      <c r="Q3811" s="4" t="n">
        <v>6794</v>
      </c>
      <c r="R3811" s="2" t="s">
        <v>2225</v>
      </c>
      <c r="S3811" s="2" t="s">
        <v>39</v>
      </c>
      <c r="T3811" s="2" t="s">
        <v>40</v>
      </c>
      <c r="U3811" s="2" t="s">
        <v>28799</v>
      </c>
      <c r="V3811" s="2"/>
      <c r="W3811" s="2" t="s">
        <v>15545</v>
      </c>
      <c r="X3811" s="2" t="s">
        <v>43</v>
      </c>
      <c r="Y3811" s="2" t="s">
        <v>37</v>
      </c>
      <c r="Z3811" s="2" t="s">
        <v>44</v>
      </c>
      <c r="AA3811" s="2"/>
      <c r="AB3811" s="2"/>
      <c r="AC3811" s="2" t="s">
        <v>28800</v>
      </c>
      <c r="AD3811" s="2" t="s">
        <v>46</v>
      </c>
    </row>
    <row r="3812" customFormat="false" ht="15.7" hidden="false" customHeight="true" outlineLevel="0" collapsed="false">
      <c r="A3812" s="2"/>
      <c r="B3812" s="3" t="n">
        <f aca="false">DATE(2018,9,19)</f>
        <v>0</v>
      </c>
      <c r="C3812" s="3" t="n">
        <v>43362</v>
      </c>
      <c r="D3812" s="2" t="s">
        <v>28801</v>
      </c>
      <c r="F3812" s="2" t="s">
        <v>28802</v>
      </c>
      <c r="G3812" s="2" t="s">
        <v>28803</v>
      </c>
      <c r="H3812" s="2" t="s">
        <v>28804</v>
      </c>
      <c r="I3812" s="2" t="s">
        <v>28805</v>
      </c>
      <c r="J3812" s="2" t="s">
        <v>35</v>
      </c>
      <c r="K3812" s="2" t="s">
        <v>28801</v>
      </c>
      <c r="L3812" s="2" t="s">
        <v>28805</v>
      </c>
      <c r="M3812" s="2" t="s">
        <v>28804</v>
      </c>
      <c r="N3812" s="2" t="s">
        <v>28806</v>
      </c>
      <c r="O3812" s="2"/>
      <c r="P3812" s="2" t="s">
        <v>37</v>
      </c>
      <c r="Q3812" s="4" t="n">
        <v>8731</v>
      </c>
      <c r="R3812" s="2" t="s">
        <v>1717</v>
      </c>
      <c r="S3812" s="2" t="s">
        <v>39</v>
      </c>
      <c r="T3812" s="2" t="s">
        <v>40</v>
      </c>
      <c r="U3812" s="2" t="s">
        <v>28807</v>
      </c>
      <c r="V3812" s="2"/>
      <c r="W3812" s="2" t="s">
        <v>27123</v>
      </c>
      <c r="X3812" s="2" t="s">
        <v>43</v>
      </c>
      <c r="Y3812" s="2" t="s">
        <v>37</v>
      </c>
      <c r="Z3812" s="2" t="s">
        <v>44</v>
      </c>
      <c r="AA3812" s="2"/>
      <c r="AB3812" s="2"/>
      <c r="AC3812" s="2" t="s">
        <v>28808</v>
      </c>
      <c r="AD3812" s="2" t="s">
        <v>46</v>
      </c>
    </row>
    <row r="3813" customFormat="false" ht="15.7" hidden="false" customHeight="true" outlineLevel="0" collapsed="false">
      <c r="A3813" s="2"/>
      <c r="B3813" s="3" t="n">
        <f aca="false">DATE(2018,9,19)</f>
        <v>0</v>
      </c>
      <c r="C3813" s="3" t="n">
        <v>43362</v>
      </c>
      <c r="D3813" s="2" t="s">
        <v>28809</v>
      </c>
      <c r="F3813" s="2" t="s">
        <v>28810</v>
      </c>
      <c r="G3813" s="2" t="s">
        <v>28811</v>
      </c>
      <c r="H3813" s="2" t="s">
        <v>28812</v>
      </c>
      <c r="I3813" s="2" t="s">
        <v>219</v>
      </c>
      <c r="J3813" s="2" t="s">
        <v>65</v>
      </c>
      <c r="K3813" s="2" t="s">
        <v>28813</v>
      </c>
      <c r="L3813" s="2" t="s">
        <v>219</v>
      </c>
      <c r="M3813" s="2" t="s">
        <v>28812</v>
      </c>
      <c r="N3813" s="2" t="s">
        <v>28814</v>
      </c>
      <c r="O3813" s="2"/>
      <c r="P3813" s="2" t="s">
        <v>37</v>
      </c>
      <c r="Q3813" s="4" t="n">
        <v>8731</v>
      </c>
      <c r="R3813" s="2" t="s">
        <v>38</v>
      </c>
      <c r="S3813" s="2" t="s">
        <v>39</v>
      </c>
      <c r="T3813" s="2" t="s">
        <v>40</v>
      </c>
      <c r="U3813" s="2" t="s">
        <v>28815</v>
      </c>
      <c r="V3813" s="2"/>
      <c r="W3813" s="2" t="s">
        <v>28816</v>
      </c>
      <c r="X3813" s="2" t="s">
        <v>43</v>
      </c>
      <c r="Y3813" s="2" t="s">
        <v>37</v>
      </c>
      <c r="Z3813" s="2" t="s">
        <v>44</v>
      </c>
      <c r="AA3813" s="2"/>
      <c r="AB3813" s="2"/>
      <c r="AC3813" s="2" t="s">
        <v>28817</v>
      </c>
      <c r="AD3813" s="2" t="s">
        <v>46</v>
      </c>
    </row>
    <row r="3814" customFormat="false" ht="15.7" hidden="false" customHeight="true" outlineLevel="0" collapsed="false">
      <c r="A3814" s="2"/>
      <c r="B3814" s="3" t="n">
        <f aca="false">DATE(2018,9,19)</f>
        <v>0</v>
      </c>
      <c r="C3814" s="3" t="n">
        <v>43362</v>
      </c>
      <c r="D3814" s="2" t="s">
        <v>28818</v>
      </c>
      <c r="F3814" s="2" t="s">
        <v>28819</v>
      </c>
      <c r="G3814" s="2" t="s">
        <v>28820</v>
      </c>
      <c r="H3814" s="2" t="s">
        <v>63</v>
      </c>
      <c r="I3814" s="2" t="s">
        <v>219</v>
      </c>
      <c r="J3814" s="2" t="s">
        <v>1456</v>
      </c>
      <c r="K3814" s="2" t="s">
        <v>28821</v>
      </c>
      <c r="L3814" s="2" t="s">
        <v>219</v>
      </c>
      <c r="M3814" s="2" t="s">
        <v>63</v>
      </c>
      <c r="N3814" s="2" t="s">
        <v>28822</v>
      </c>
      <c r="O3814" s="2"/>
      <c r="P3814" s="2" t="s">
        <v>37</v>
      </c>
      <c r="Q3814" s="4" t="n">
        <v>8099</v>
      </c>
      <c r="R3814" s="2" t="s">
        <v>219</v>
      </c>
      <c r="S3814" s="2" t="s">
        <v>24516</v>
      </c>
      <c r="T3814" s="2" t="s">
        <v>403</v>
      </c>
      <c r="U3814" s="2" t="s">
        <v>28823</v>
      </c>
      <c r="V3814" s="2"/>
      <c r="W3814" s="2" t="s">
        <v>344</v>
      </c>
      <c r="X3814" s="2" t="s">
        <v>43</v>
      </c>
      <c r="Y3814" s="2" t="s">
        <v>79</v>
      </c>
      <c r="Z3814" s="2" t="s">
        <v>44</v>
      </c>
      <c r="AA3814" s="2"/>
      <c r="AB3814" s="2"/>
      <c r="AC3814" s="2" t="s">
        <v>28824</v>
      </c>
      <c r="AD3814" s="2" t="s">
        <v>46</v>
      </c>
    </row>
    <row r="3815" customFormat="false" ht="15.7" hidden="false" customHeight="true" outlineLevel="0" collapsed="false">
      <c r="A3815" s="2"/>
      <c r="B3815" s="3" t="n">
        <f aca="false">DATE(2018,9,21)</f>
        <v>0</v>
      </c>
      <c r="C3815" s="3" t="n">
        <v>43364</v>
      </c>
      <c r="D3815" s="2" t="s">
        <v>28825</v>
      </c>
      <c r="F3815" s="2" t="s">
        <v>28826</v>
      </c>
      <c r="G3815" s="2" t="s">
        <v>28827</v>
      </c>
      <c r="H3815" s="2" t="s">
        <v>20167</v>
      </c>
      <c r="I3815" s="2" t="s">
        <v>1080</v>
      </c>
      <c r="J3815" s="2" t="s">
        <v>35</v>
      </c>
      <c r="K3815" s="2" t="s">
        <v>28825</v>
      </c>
      <c r="L3815" s="2" t="s">
        <v>1080</v>
      </c>
      <c r="M3815" s="2" t="s">
        <v>20167</v>
      </c>
      <c r="N3815" s="2" t="s">
        <v>28828</v>
      </c>
      <c r="O3815" s="2"/>
      <c r="P3815" s="2" t="s">
        <v>37</v>
      </c>
      <c r="Q3815" s="4" t="n">
        <v>8731</v>
      </c>
      <c r="R3815" s="2" t="s">
        <v>2201</v>
      </c>
      <c r="S3815" s="2" t="s">
        <v>39</v>
      </c>
      <c r="T3815" s="2" t="s">
        <v>40</v>
      </c>
      <c r="U3815" s="2" t="s">
        <v>28829</v>
      </c>
      <c r="V3815" s="2"/>
      <c r="W3815" s="2" t="s">
        <v>42</v>
      </c>
      <c r="X3815" s="2" t="s">
        <v>43</v>
      </c>
      <c r="Y3815" s="2" t="s">
        <v>37</v>
      </c>
      <c r="Z3815" s="2" t="s">
        <v>44</v>
      </c>
      <c r="AA3815" s="2"/>
      <c r="AB3815" s="2"/>
      <c r="AC3815" s="2" t="s">
        <v>28830</v>
      </c>
      <c r="AD3815" s="2" t="s">
        <v>46</v>
      </c>
    </row>
    <row r="3816" customFormat="false" ht="15.7" hidden="false" customHeight="true" outlineLevel="0" collapsed="false">
      <c r="A3816" s="2"/>
      <c r="B3816" s="3" t="n">
        <f aca="false">DATE(2018,9,23)</f>
        <v>0</v>
      </c>
      <c r="C3816" s="3" t="n">
        <v>43366</v>
      </c>
      <c r="D3816" s="2" t="s">
        <v>28831</v>
      </c>
      <c r="F3816" s="2" t="s">
        <v>28832</v>
      </c>
      <c r="G3816" s="2" t="s">
        <v>28833</v>
      </c>
      <c r="H3816" s="2" t="s">
        <v>28834</v>
      </c>
      <c r="I3816" s="2" t="s">
        <v>51</v>
      </c>
      <c r="J3816" s="2" t="s">
        <v>10981</v>
      </c>
      <c r="K3816" s="2" t="s">
        <v>28831</v>
      </c>
      <c r="L3816" s="2" t="s">
        <v>51</v>
      </c>
      <c r="M3816" s="2" t="s">
        <v>28834</v>
      </c>
      <c r="N3816" s="2" t="s">
        <v>28835</v>
      </c>
      <c r="O3816" s="2"/>
      <c r="P3816" s="2" t="s">
        <v>79</v>
      </c>
      <c r="Q3816" s="4" t="n">
        <v>8099</v>
      </c>
      <c r="R3816" s="2" t="s">
        <v>28836</v>
      </c>
      <c r="S3816" s="2" t="s">
        <v>28837</v>
      </c>
      <c r="T3816" s="2" t="s">
        <v>40</v>
      </c>
      <c r="U3816" s="2" t="s">
        <v>28838</v>
      </c>
      <c r="V3816" s="2"/>
      <c r="W3816" s="2" t="s">
        <v>344</v>
      </c>
      <c r="X3816" s="2" t="s">
        <v>43</v>
      </c>
      <c r="Y3816" s="2" t="s">
        <v>79</v>
      </c>
      <c r="Z3816" s="2" t="s">
        <v>44</v>
      </c>
      <c r="AA3816" s="2"/>
      <c r="AB3816" s="2"/>
      <c r="AC3816" s="2" t="s">
        <v>28839</v>
      </c>
      <c r="AD3816" s="2" t="s">
        <v>46</v>
      </c>
    </row>
    <row r="3817" customFormat="false" ht="15.7" hidden="false" customHeight="true" outlineLevel="0" collapsed="false">
      <c r="A3817" s="2"/>
      <c r="B3817" s="3" t="n">
        <f aca="false">DATE(2018,9,24)</f>
        <v>0</v>
      </c>
      <c r="C3817" s="3" t="n">
        <v>43367</v>
      </c>
      <c r="D3817" s="2" t="s">
        <v>28840</v>
      </c>
      <c r="F3817" s="2" t="s">
        <v>28841</v>
      </c>
      <c r="G3817" s="2" t="s">
        <v>28842</v>
      </c>
      <c r="H3817" s="2" t="s">
        <v>28843</v>
      </c>
      <c r="I3817" s="2" t="s">
        <v>3267</v>
      </c>
      <c r="J3817" s="2" t="s">
        <v>228</v>
      </c>
      <c r="K3817" s="2" t="s">
        <v>28840</v>
      </c>
      <c r="L3817" s="2" t="s">
        <v>3267</v>
      </c>
      <c r="M3817" s="2" t="s">
        <v>28843</v>
      </c>
      <c r="N3817" s="2" t="s">
        <v>28844</v>
      </c>
      <c r="O3817" s="2"/>
      <c r="P3817" s="2" t="s">
        <v>37</v>
      </c>
      <c r="Q3817" s="4" t="n">
        <v>8731</v>
      </c>
      <c r="R3817" s="2" t="s">
        <v>121</v>
      </c>
      <c r="S3817" s="2" t="s">
        <v>39</v>
      </c>
      <c r="T3817" s="2" t="s">
        <v>40</v>
      </c>
      <c r="U3817" s="2" t="s">
        <v>28845</v>
      </c>
      <c r="V3817" s="2"/>
      <c r="W3817" s="2" t="s">
        <v>3235</v>
      </c>
      <c r="X3817" s="2" t="s">
        <v>43</v>
      </c>
      <c r="Y3817" s="2" t="s">
        <v>37</v>
      </c>
      <c r="Z3817" s="2" t="s">
        <v>44</v>
      </c>
      <c r="AA3817" s="2"/>
      <c r="AB3817" s="2"/>
      <c r="AC3817" s="2" t="s">
        <v>28846</v>
      </c>
      <c r="AD3817" s="2" t="s">
        <v>46</v>
      </c>
    </row>
    <row r="3818" customFormat="false" ht="15.7" hidden="false" customHeight="true" outlineLevel="0" collapsed="false">
      <c r="A3818" s="2"/>
      <c r="B3818" s="3" t="n">
        <f aca="false">DATE(2018,9,25)</f>
        <v>0</v>
      </c>
      <c r="C3818" s="3" t="n">
        <v>43368</v>
      </c>
      <c r="D3818" s="2" t="s">
        <v>28847</v>
      </c>
      <c r="F3818" s="2" t="s">
        <v>28848</v>
      </c>
      <c r="G3818" s="2" t="s">
        <v>28849</v>
      </c>
      <c r="H3818" s="2" t="s">
        <v>28850</v>
      </c>
      <c r="I3818" s="2" t="s">
        <v>51</v>
      </c>
      <c r="J3818" s="2" t="s">
        <v>2190</v>
      </c>
      <c r="K3818" s="2" t="s">
        <v>28847</v>
      </c>
      <c r="L3818" s="2" t="s">
        <v>51</v>
      </c>
      <c r="M3818" s="2" t="s">
        <v>28850</v>
      </c>
      <c r="N3818" s="2" t="s">
        <v>28851</v>
      </c>
      <c r="O3818" s="2"/>
      <c r="P3818" s="2" t="s">
        <v>37</v>
      </c>
      <c r="Q3818" s="4" t="n">
        <v>8731</v>
      </c>
      <c r="R3818" s="2" t="s">
        <v>56</v>
      </c>
      <c r="S3818" s="2"/>
      <c r="T3818" s="2" t="s">
        <v>40</v>
      </c>
      <c r="U3818" s="2" t="s">
        <v>28852</v>
      </c>
      <c r="V3818" s="2"/>
      <c r="W3818" s="2" t="s">
        <v>697</v>
      </c>
      <c r="X3818" s="2" t="s">
        <v>43</v>
      </c>
      <c r="Y3818" s="2" t="s">
        <v>37</v>
      </c>
      <c r="Z3818" s="2" t="s">
        <v>44</v>
      </c>
      <c r="AA3818" s="2"/>
      <c r="AB3818" s="2"/>
      <c r="AC3818" s="2" t="s">
        <v>28853</v>
      </c>
      <c r="AD3818" s="2" t="s">
        <v>46</v>
      </c>
    </row>
    <row r="3819" customFormat="false" ht="15.7" hidden="false" customHeight="true" outlineLevel="0" collapsed="false">
      <c r="A3819" s="2"/>
      <c r="B3819" s="3" t="n">
        <f aca="false">DATE(2018,9,25)</f>
        <v>0</v>
      </c>
      <c r="C3819" s="3" t="n">
        <v>43368</v>
      </c>
      <c r="D3819" s="2" t="s">
        <v>28854</v>
      </c>
      <c r="F3819" s="2" t="s">
        <v>28855</v>
      </c>
      <c r="G3819" s="2" t="s">
        <v>28856</v>
      </c>
      <c r="H3819" s="2" t="s">
        <v>28857</v>
      </c>
      <c r="I3819" s="2" t="s">
        <v>28858</v>
      </c>
      <c r="J3819" s="2" t="s">
        <v>116</v>
      </c>
      <c r="K3819" s="2" t="s">
        <v>28854</v>
      </c>
      <c r="L3819" s="2" t="s">
        <v>28858</v>
      </c>
      <c r="M3819" s="2" t="s">
        <v>28857</v>
      </c>
      <c r="N3819" s="2" t="s">
        <v>28859</v>
      </c>
      <c r="O3819" s="2"/>
      <c r="P3819" s="2" t="s">
        <v>37</v>
      </c>
      <c r="Q3819" s="4" t="n">
        <v>8731</v>
      </c>
      <c r="R3819" s="2" t="s">
        <v>11963</v>
      </c>
      <c r="S3819" s="2" t="s">
        <v>39</v>
      </c>
      <c r="T3819" s="2" t="s">
        <v>403</v>
      </c>
      <c r="U3819" s="2" t="s">
        <v>28860</v>
      </c>
      <c r="V3819" s="2"/>
      <c r="W3819" s="2" t="s">
        <v>42</v>
      </c>
      <c r="X3819" s="2" t="s">
        <v>43</v>
      </c>
      <c r="Y3819" s="2" t="s">
        <v>37</v>
      </c>
      <c r="Z3819" s="2" t="s">
        <v>916</v>
      </c>
      <c r="AA3819" s="2"/>
      <c r="AB3819" s="2"/>
      <c r="AC3819" s="2" t="s">
        <v>28861</v>
      </c>
      <c r="AD3819" s="2" t="s">
        <v>46</v>
      </c>
    </row>
    <row r="3820" customFormat="false" ht="15.7" hidden="false" customHeight="true" outlineLevel="0" collapsed="false">
      <c r="A3820" s="2"/>
      <c r="B3820" s="3" t="n">
        <f aca="false">DATE(2018,9,25)</f>
        <v>0</v>
      </c>
      <c r="C3820" s="3" t="n">
        <v>43368</v>
      </c>
      <c r="D3820" s="2" t="s">
        <v>28862</v>
      </c>
      <c r="F3820" s="2" t="s">
        <v>28863</v>
      </c>
      <c r="G3820" s="2" t="s">
        <v>28864</v>
      </c>
      <c r="H3820" s="2" t="s">
        <v>130</v>
      </c>
      <c r="I3820" s="2" t="s">
        <v>51</v>
      </c>
      <c r="J3820" s="2" t="s">
        <v>293</v>
      </c>
      <c r="K3820" s="2" t="s">
        <v>28862</v>
      </c>
      <c r="L3820" s="2" t="s">
        <v>51</v>
      </c>
      <c r="M3820" s="2" t="s">
        <v>130</v>
      </c>
      <c r="N3820" s="2" t="s">
        <v>28865</v>
      </c>
      <c r="O3820" s="2"/>
      <c r="P3820" s="2" t="s">
        <v>37</v>
      </c>
      <c r="Q3820" s="4" t="n">
        <v>6794</v>
      </c>
      <c r="R3820" s="2" t="s">
        <v>56</v>
      </c>
      <c r="S3820" s="2" t="s">
        <v>251</v>
      </c>
      <c r="T3820" s="2" t="s">
        <v>40</v>
      </c>
      <c r="U3820" s="2" t="s">
        <v>28866</v>
      </c>
      <c r="V3820" s="2"/>
      <c r="W3820" s="2" t="s">
        <v>20757</v>
      </c>
      <c r="X3820" s="2" t="s">
        <v>43</v>
      </c>
      <c r="Y3820" s="2" t="s">
        <v>37</v>
      </c>
      <c r="Z3820" s="2" t="s">
        <v>44</v>
      </c>
      <c r="AA3820" s="2"/>
      <c r="AB3820" s="2"/>
      <c r="AC3820" s="2" t="s">
        <v>28867</v>
      </c>
      <c r="AD3820" s="2" t="s">
        <v>46</v>
      </c>
    </row>
    <row r="3821" customFormat="false" ht="15.7" hidden="false" customHeight="true" outlineLevel="0" collapsed="false">
      <c r="A3821" s="2"/>
      <c r="B3821" s="3" t="n">
        <f aca="false">DATE(2018,9,25)</f>
        <v>0</v>
      </c>
      <c r="C3821" s="3" t="n">
        <v>43368</v>
      </c>
      <c r="D3821" s="2" t="s">
        <v>28868</v>
      </c>
      <c r="F3821" s="2" t="s">
        <v>28869</v>
      </c>
      <c r="G3821" s="2" t="s">
        <v>28870</v>
      </c>
      <c r="H3821" s="2" t="s">
        <v>130</v>
      </c>
      <c r="I3821" s="2" t="s">
        <v>3265</v>
      </c>
      <c r="J3821" s="2" t="s">
        <v>331</v>
      </c>
      <c r="K3821" s="2" t="s">
        <v>28868</v>
      </c>
      <c r="L3821" s="2" t="s">
        <v>3265</v>
      </c>
      <c r="M3821" s="2" t="s">
        <v>130</v>
      </c>
      <c r="N3821" s="2" t="s">
        <v>28871</v>
      </c>
      <c r="O3821" s="2"/>
      <c r="P3821" s="2" t="s">
        <v>37</v>
      </c>
      <c r="Q3821" s="4" t="n">
        <v>8731</v>
      </c>
      <c r="R3821" s="2" t="s">
        <v>402</v>
      </c>
      <c r="S3821" s="2" t="s">
        <v>39</v>
      </c>
      <c r="T3821" s="2" t="s">
        <v>403</v>
      </c>
      <c r="U3821" s="2" t="s">
        <v>28872</v>
      </c>
      <c r="V3821" s="2"/>
      <c r="W3821" s="2" t="s">
        <v>42</v>
      </c>
      <c r="X3821" s="2" t="s">
        <v>43</v>
      </c>
      <c r="Y3821" s="2" t="s">
        <v>37</v>
      </c>
      <c r="Z3821" s="2" t="s">
        <v>44</v>
      </c>
      <c r="AA3821" s="2"/>
      <c r="AB3821" s="2"/>
      <c r="AC3821" s="2" t="s">
        <v>28873</v>
      </c>
      <c r="AD3821" s="2" t="s">
        <v>46</v>
      </c>
    </row>
    <row r="3822" customFormat="false" ht="15.7" hidden="false" customHeight="true" outlineLevel="0" collapsed="false">
      <c r="A3822" s="2"/>
      <c r="B3822" s="3" t="n">
        <f aca="false">DATE(2018,9,25)</f>
        <v>0</v>
      </c>
      <c r="C3822" s="3" t="n">
        <v>43368</v>
      </c>
      <c r="D3822" s="2" t="s">
        <v>28874</v>
      </c>
      <c r="F3822" s="2" t="s">
        <v>28875</v>
      </c>
      <c r="G3822" s="2" t="s">
        <v>28876</v>
      </c>
      <c r="H3822" s="2" t="s">
        <v>28877</v>
      </c>
      <c r="I3822" s="2" t="s">
        <v>1437</v>
      </c>
      <c r="J3822" s="2" t="s">
        <v>35</v>
      </c>
      <c r="K3822" s="2" t="s">
        <v>28874</v>
      </c>
      <c r="L3822" s="2" t="s">
        <v>1437</v>
      </c>
      <c r="M3822" s="2" t="s">
        <v>28877</v>
      </c>
      <c r="N3822" s="2" t="s">
        <v>28878</v>
      </c>
      <c r="O3822" s="2"/>
      <c r="P3822" s="2" t="s">
        <v>37</v>
      </c>
      <c r="Q3822" s="4" t="n">
        <v>8731</v>
      </c>
      <c r="R3822" s="2" t="s">
        <v>1441</v>
      </c>
      <c r="S3822" s="2" t="s">
        <v>39</v>
      </c>
      <c r="T3822" s="2" t="s">
        <v>40</v>
      </c>
      <c r="U3822" s="2" t="s">
        <v>28879</v>
      </c>
      <c r="V3822" s="2"/>
      <c r="W3822" s="2" t="s">
        <v>42</v>
      </c>
      <c r="X3822" s="2" t="s">
        <v>43</v>
      </c>
      <c r="Y3822" s="2" t="s">
        <v>37</v>
      </c>
      <c r="Z3822" s="2" t="s">
        <v>44</v>
      </c>
      <c r="AA3822" s="2"/>
      <c r="AB3822" s="2"/>
      <c r="AC3822" s="2" t="s">
        <v>28880</v>
      </c>
      <c r="AD3822" s="2" t="s">
        <v>46</v>
      </c>
    </row>
    <row r="3823" customFormat="false" ht="15.7" hidden="false" customHeight="true" outlineLevel="0" collapsed="false">
      <c r="A3823" s="2"/>
      <c r="B3823" s="3" t="n">
        <f aca="false">DATE(2018,9,26)</f>
        <v>0</v>
      </c>
      <c r="C3823" s="3" t="n">
        <v>43369</v>
      </c>
      <c r="D3823" s="2" t="s">
        <v>28881</v>
      </c>
      <c r="F3823" s="2" t="s">
        <v>28882</v>
      </c>
      <c r="G3823" s="2" t="s">
        <v>28883</v>
      </c>
      <c r="H3823" s="2" t="s">
        <v>28884</v>
      </c>
      <c r="I3823" s="2" t="s">
        <v>18135</v>
      </c>
      <c r="J3823" s="2" t="s">
        <v>35</v>
      </c>
      <c r="K3823" s="2" t="s">
        <v>28881</v>
      </c>
      <c r="L3823" s="2" t="s">
        <v>18135</v>
      </c>
      <c r="M3823" s="2" t="s">
        <v>28884</v>
      </c>
      <c r="N3823" s="2" t="s">
        <v>28885</v>
      </c>
      <c r="O3823" s="2"/>
      <c r="P3823" s="2" t="s">
        <v>37</v>
      </c>
      <c r="Q3823" s="4" t="n">
        <v>1382</v>
      </c>
      <c r="R3823" s="2" t="s">
        <v>2661</v>
      </c>
      <c r="S3823" s="2" t="s">
        <v>39</v>
      </c>
      <c r="T3823" s="2" t="s">
        <v>2444</v>
      </c>
      <c r="U3823" s="2" t="s">
        <v>28886</v>
      </c>
      <c r="V3823" s="2"/>
      <c r="W3823" s="2" t="s">
        <v>3182</v>
      </c>
      <c r="X3823" s="2" t="s">
        <v>43</v>
      </c>
      <c r="Y3823" s="2" t="s">
        <v>37</v>
      </c>
      <c r="Z3823" s="2" t="s">
        <v>44</v>
      </c>
      <c r="AA3823" s="2"/>
      <c r="AB3823" s="2"/>
      <c r="AC3823" s="2" t="s">
        <v>28887</v>
      </c>
      <c r="AD3823" s="2" t="s">
        <v>46</v>
      </c>
    </row>
    <row r="3824" customFormat="false" ht="15.7" hidden="false" customHeight="true" outlineLevel="0" collapsed="false">
      <c r="A3824" s="2"/>
      <c r="B3824" s="3" t="n">
        <f aca="false">DATE(2018,9,26)</f>
        <v>0</v>
      </c>
      <c r="C3824" s="3" t="n">
        <v>43369</v>
      </c>
      <c r="D3824" s="2" t="s">
        <v>28888</v>
      </c>
      <c r="F3824" s="2" t="s">
        <v>28889</v>
      </c>
      <c r="G3824" s="2" t="s">
        <v>28890</v>
      </c>
      <c r="H3824" s="2" t="s">
        <v>3008</v>
      </c>
      <c r="I3824" s="2" t="s">
        <v>821</v>
      </c>
      <c r="J3824" s="2" t="s">
        <v>575</v>
      </c>
      <c r="K3824" s="2" t="s">
        <v>28891</v>
      </c>
      <c r="L3824" s="2" t="s">
        <v>4553</v>
      </c>
      <c r="M3824" s="2" t="s">
        <v>28892</v>
      </c>
      <c r="N3824" s="2" t="s">
        <v>28893</v>
      </c>
      <c r="O3824" s="2"/>
      <c r="P3824" s="2" t="s">
        <v>37</v>
      </c>
      <c r="Q3824" s="4" t="n">
        <v>8731</v>
      </c>
      <c r="R3824" s="2" t="s">
        <v>56</v>
      </c>
      <c r="S3824" s="2" t="s">
        <v>507</v>
      </c>
      <c r="T3824" s="2" t="s">
        <v>40</v>
      </c>
      <c r="U3824" s="2" t="s">
        <v>28894</v>
      </c>
      <c r="V3824" s="2"/>
      <c r="W3824" s="2" t="s">
        <v>42</v>
      </c>
      <c r="X3824" s="2" t="s">
        <v>43</v>
      </c>
      <c r="Y3824" s="2" t="s">
        <v>37</v>
      </c>
      <c r="Z3824" s="2" t="s">
        <v>44</v>
      </c>
      <c r="AA3824" s="2"/>
      <c r="AB3824" s="2"/>
      <c r="AC3824" s="2" t="s">
        <v>28895</v>
      </c>
      <c r="AD3824" s="2" t="s">
        <v>46</v>
      </c>
    </row>
    <row r="3825" customFormat="false" ht="15.7" hidden="false" customHeight="true" outlineLevel="0" collapsed="false">
      <c r="A3825" s="2"/>
      <c r="B3825" s="3" t="n">
        <f aca="false">DATE(2018,9,26)</f>
        <v>0</v>
      </c>
      <c r="C3825" s="3" t="n">
        <v>43369</v>
      </c>
      <c r="D3825" s="2" t="s">
        <v>28896</v>
      </c>
      <c r="F3825" s="2" t="s">
        <v>28897</v>
      </c>
      <c r="G3825" s="2" t="s">
        <v>28898</v>
      </c>
      <c r="H3825" s="2" t="s">
        <v>28899</v>
      </c>
      <c r="I3825" s="2" t="s">
        <v>28900</v>
      </c>
      <c r="J3825" s="2" t="s">
        <v>795</v>
      </c>
      <c r="K3825" s="2" t="s">
        <v>28896</v>
      </c>
      <c r="L3825" s="2" t="s">
        <v>28900</v>
      </c>
      <c r="M3825" s="2" t="s">
        <v>28899</v>
      </c>
      <c r="N3825" s="2" t="s">
        <v>28901</v>
      </c>
      <c r="O3825" s="2"/>
      <c r="P3825" s="2" t="s">
        <v>37</v>
      </c>
      <c r="Q3825" s="4" t="n">
        <v>3721</v>
      </c>
      <c r="R3825" s="2" t="s">
        <v>28902</v>
      </c>
      <c r="S3825" s="2" t="s">
        <v>25421</v>
      </c>
      <c r="T3825" s="2" t="s">
        <v>40</v>
      </c>
      <c r="U3825" s="2" t="s">
        <v>28903</v>
      </c>
      <c r="V3825" s="2"/>
      <c r="W3825" s="2" t="s">
        <v>4487</v>
      </c>
      <c r="X3825" s="2" t="s">
        <v>46</v>
      </c>
      <c r="Y3825" s="2" t="s">
        <v>79</v>
      </c>
      <c r="Z3825" s="2" t="s">
        <v>44</v>
      </c>
      <c r="AA3825" s="2"/>
      <c r="AB3825" s="2"/>
      <c r="AC3825" s="2" t="s">
        <v>28904</v>
      </c>
      <c r="AD3825" s="2" t="s">
        <v>46</v>
      </c>
    </row>
    <row r="3826" customFormat="false" ht="15.7" hidden="false" customHeight="true" outlineLevel="0" collapsed="false">
      <c r="A3826" s="2"/>
      <c r="B3826" s="3" t="n">
        <f aca="false">DATE(2018,9,27)</f>
        <v>0</v>
      </c>
      <c r="C3826" s="3" t="n">
        <v>43370</v>
      </c>
      <c r="D3826" s="2" t="s">
        <v>28905</v>
      </c>
      <c r="F3826" s="2" t="s">
        <v>28906</v>
      </c>
      <c r="G3826" s="2" t="s">
        <v>28907</v>
      </c>
      <c r="H3826" s="2" t="s">
        <v>12683</v>
      </c>
      <c r="I3826" s="2" t="s">
        <v>131</v>
      </c>
      <c r="J3826" s="2" t="s">
        <v>1897</v>
      </c>
      <c r="K3826" s="2" t="s">
        <v>28905</v>
      </c>
      <c r="L3826" s="2" t="s">
        <v>131</v>
      </c>
      <c r="M3826" s="2" t="s">
        <v>12683</v>
      </c>
      <c r="N3826" s="2" t="s">
        <v>28908</v>
      </c>
      <c r="O3826" s="2"/>
      <c r="P3826" s="2" t="s">
        <v>37</v>
      </c>
      <c r="Q3826" s="4" t="n">
        <v>6794</v>
      </c>
      <c r="R3826" s="2" t="s">
        <v>136</v>
      </c>
      <c r="S3826" s="2" t="s">
        <v>39</v>
      </c>
      <c r="T3826" s="2" t="s">
        <v>40</v>
      </c>
      <c r="U3826" s="2" t="s">
        <v>28909</v>
      </c>
      <c r="V3826" s="2"/>
      <c r="W3826" s="2" t="s">
        <v>82</v>
      </c>
      <c r="X3826" s="2" t="s">
        <v>43</v>
      </c>
      <c r="Y3826" s="2" t="s">
        <v>37</v>
      </c>
      <c r="Z3826" s="2" t="s">
        <v>44</v>
      </c>
      <c r="AA3826" s="2"/>
      <c r="AB3826" s="2"/>
      <c r="AC3826" s="2" t="s">
        <v>28910</v>
      </c>
      <c r="AD3826" s="2" t="s">
        <v>46</v>
      </c>
    </row>
    <row r="3827" customFormat="false" ht="15.7" hidden="false" customHeight="true" outlineLevel="0" collapsed="false">
      <c r="A3827" s="2"/>
      <c r="B3827" s="3" t="n">
        <f aca="false">DATE(2018,9,28)</f>
        <v>0</v>
      </c>
      <c r="C3827" s="3" t="n">
        <v>43371</v>
      </c>
      <c r="D3827" s="2" t="s">
        <v>28911</v>
      </c>
      <c r="F3827" s="2" t="s">
        <v>28912</v>
      </c>
      <c r="G3827" s="2" t="s">
        <v>28913</v>
      </c>
      <c r="H3827" s="2" t="s">
        <v>15386</v>
      </c>
      <c r="I3827" s="2" t="s">
        <v>435</v>
      </c>
      <c r="J3827" s="2" t="s">
        <v>795</v>
      </c>
      <c r="K3827" s="2" t="s">
        <v>28911</v>
      </c>
      <c r="L3827" s="2" t="s">
        <v>435</v>
      </c>
      <c r="M3827" s="2" t="s">
        <v>15386</v>
      </c>
      <c r="N3827" s="2" t="s">
        <v>28914</v>
      </c>
      <c r="O3827" s="2"/>
      <c r="P3827" s="2" t="s">
        <v>37</v>
      </c>
      <c r="Q3827" s="4" t="n">
        <v>8731</v>
      </c>
      <c r="R3827" s="2" t="s">
        <v>56</v>
      </c>
      <c r="S3827" s="2"/>
      <c r="T3827" s="2" t="s">
        <v>40</v>
      </c>
      <c r="U3827" s="2" t="s">
        <v>28915</v>
      </c>
      <c r="V3827" s="2"/>
      <c r="W3827" s="2" t="s">
        <v>42</v>
      </c>
      <c r="X3827" s="2" t="s">
        <v>43</v>
      </c>
      <c r="Y3827" s="2" t="s">
        <v>37</v>
      </c>
      <c r="Z3827" s="2" t="s">
        <v>44</v>
      </c>
      <c r="AA3827" s="2"/>
      <c r="AB3827" s="2"/>
      <c r="AC3827" s="2" t="s">
        <v>28916</v>
      </c>
      <c r="AD3827" s="2" t="s">
        <v>46</v>
      </c>
    </row>
    <row r="3828" customFormat="false" ht="15.7" hidden="false" customHeight="true" outlineLevel="0" collapsed="false">
      <c r="A3828" s="2"/>
      <c r="B3828" s="3" t="n">
        <f aca="false">DATE(2018,9,28)</f>
        <v>0</v>
      </c>
      <c r="C3828" s="3" t="n">
        <v>43371</v>
      </c>
      <c r="D3828" s="2" t="s">
        <v>28917</v>
      </c>
      <c r="F3828" s="2" t="s">
        <v>28918</v>
      </c>
      <c r="G3828" s="2" t="s">
        <v>28919</v>
      </c>
      <c r="H3828" s="2" t="s">
        <v>7280</v>
      </c>
      <c r="I3828" s="2" t="s">
        <v>51</v>
      </c>
      <c r="J3828" s="2" t="s">
        <v>28920</v>
      </c>
      <c r="K3828" s="2" t="s">
        <v>28921</v>
      </c>
      <c r="L3828" s="2" t="s">
        <v>664</v>
      </c>
      <c r="M3828" s="2" t="s">
        <v>7280</v>
      </c>
      <c r="N3828" s="2" t="s">
        <v>28922</v>
      </c>
      <c r="O3828" s="2"/>
      <c r="P3828" s="2" t="s">
        <v>37</v>
      </c>
      <c r="Q3828" s="4" t="n">
        <v>8731</v>
      </c>
      <c r="R3828" s="2" t="s">
        <v>56</v>
      </c>
      <c r="S3828" s="2" t="s">
        <v>277</v>
      </c>
      <c r="T3828" s="2" t="s">
        <v>403</v>
      </c>
      <c r="U3828" s="2" t="s">
        <v>28923</v>
      </c>
      <c r="V3828" s="2"/>
      <c r="W3828" s="2" t="s">
        <v>344</v>
      </c>
      <c r="X3828" s="2" t="s">
        <v>43</v>
      </c>
      <c r="Y3828" s="2" t="s">
        <v>37</v>
      </c>
      <c r="Z3828" s="2" t="s">
        <v>44</v>
      </c>
      <c r="AA3828" s="2"/>
      <c r="AB3828" s="2"/>
      <c r="AC3828" s="2" t="s">
        <v>28924</v>
      </c>
      <c r="AD3828" s="2" t="s">
        <v>46</v>
      </c>
    </row>
    <row r="3829" customFormat="false" ht="15.7" hidden="false" customHeight="true" outlineLevel="0" collapsed="false">
      <c r="A3829" s="2"/>
      <c r="B3829" s="3" t="n">
        <f aca="false">DATE(2018,10,1)</f>
        <v>0</v>
      </c>
      <c r="C3829" s="3" t="n">
        <v>43374</v>
      </c>
      <c r="D3829" s="2" t="s">
        <v>28925</v>
      </c>
      <c r="F3829" s="2" t="s">
        <v>11240</v>
      </c>
      <c r="G3829" s="2" t="s">
        <v>28926</v>
      </c>
      <c r="H3829" s="2" t="s">
        <v>130</v>
      </c>
      <c r="I3829" s="2" t="s">
        <v>1431</v>
      </c>
      <c r="J3829" s="2" t="s">
        <v>220</v>
      </c>
      <c r="K3829" s="2" t="s">
        <v>28925</v>
      </c>
      <c r="L3829" s="2" t="s">
        <v>1431</v>
      </c>
      <c r="M3829" s="2" t="s">
        <v>130</v>
      </c>
      <c r="N3829" s="2" t="s">
        <v>28927</v>
      </c>
      <c r="O3829" s="2"/>
      <c r="P3829" s="2" t="s">
        <v>37</v>
      </c>
      <c r="Q3829" s="4" t="n">
        <v>8731</v>
      </c>
      <c r="R3829" s="2" t="s">
        <v>1195</v>
      </c>
      <c r="S3829" s="2" t="s">
        <v>39</v>
      </c>
      <c r="T3829" s="2" t="s">
        <v>40</v>
      </c>
      <c r="U3829" s="2" t="s">
        <v>28928</v>
      </c>
      <c r="V3829" s="2"/>
      <c r="W3829" s="2" t="s">
        <v>24948</v>
      </c>
      <c r="X3829" s="2" t="s">
        <v>43</v>
      </c>
      <c r="Y3829" s="2" t="s">
        <v>37</v>
      </c>
      <c r="Z3829" s="2" t="s">
        <v>44</v>
      </c>
      <c r="AA3829" s="2"/>
      <c r="AB3829" s="2"/>
      <c r="AC3829" s="2" t="s">
        <v>28929</v>
      </c>
      <c r="AD3829" s="2" t="s">
        <v>46</v>
      </c>
    </row>
    <row r="3830" customFormat="false" ht="15.7" hidden="false" customHeight="true" outlineLevel="0" collapsed="false">
      <c r="A3830" s="2"/>
      <c r="B3830" s="3" t="n">
        <f aca="false">DATE(2018,10,1)</f>
        <v>0</v>
      </c>
      <c r="C3830" s="3" t="n">
        <v>43374</v>
      </c>
      <c r="D3830" s="2" t="s">
        <v>28930</v>
      </c>
      <c r="F3830" s="2" t="s">
        <v>28931</v>
      </c>
      <c r="G3830" s="2" t="s">
        <v>28932</v>
      </c>
      <c r="H3830" s="2" t="s">
        <v>28933</v>
      </c>
      <c r="I3830" s="2" t="s">
        <v>51</v>
      </c>
      <c r="J3830" s="2" t="s">
        <v>2190</v>
      </c>
      <c r="K3830" s="2" t="s">
        <v>28930</v>
      </c>
      <c r="L3830" s="2" t="s">
        <v>51</v>
      </c>
      <c r="M3830" s="2" t="s">
        <v>28933</v>
      </c>
      <c r="N3830" s="2" t="s">
        <v>28934</v>
      </c>
      <c r="O3830" s="2"/>
      <c r="P3830" s="2" t="s">
        <v>37</v>
      </c>
      <c r="Q3830" s="4" t="n">
        <v>8099</v>
      </c>
      <c r="R3830" s="2" t="s">
        <v>56</v>
      </c>
      <c r="S3830" s="2" t="s">
        <v>92</v>
      </c>
      <c r="T3830" s="2" t="s">
        <v>2444</v>
      </c>
      <c r="U3830" s="2" t="s">
        <v>28935</v>
      </c>
      <c r="V3830" s="2"/>
      <c r="W3830" s="2" t="s">
        <v>4487</v>
      </c>
      <c r="X3830" s="2" t="s">
        <v>43</v>
      </c>
      <c r="Y3830" s="2" t="s">
        <v>37</v>
      </c>
      <c r="Z3830" s="2" t="s">
        <v>44</v>
      </c>
      <c r="AA3830" s="2"/>
      <c r="AB3830" s="2"/>
      <c r="AC3830" s="2" t="s">
        <v>28936</v>
      </c>
      <c r="AD3830" s="2" t="s">
        <v>46</v>
      </c>
    </row>
    <row r="3831" customFormat="false" ht="15.7" hidden="false" customHeight="true" outlineLevel="0" collapsed="false">
      <c r="A3831" s="2"/>
      <c r="B3831" s="3" t="n">
        <f aca="false">DATE(2018,10,1)</f>
        <v>0</v>
      </c>
      <c r="C3831" s="3" t="n">
        <v>43374</v>
      </c>
      <c r="D3831" s="2" t="s">
        <v>28937</v>
      </c>
      <c r="F3831" s="2" t="s">
        <v>28938</v>
      </c>
      <c r="G3831" s="2" t="s">
        <v>28939</v>
      </c>
      <c r="H3831" s="2" t="s">
        <v>28940</v>
      </c>
      <c r="I3831" s="2" t="s">
        <v>899</v>
      </c>
      <c r="J3831" s="2" t="s">
        <v>132</v>
      </c>
      <c r="K3831" s="2" t="s">
        <v>28941</v>
      </c>
      <c r="L3831" s="2" t="s">
        <v>899</v>
      </c>
      <c r="M3831" s="2" t="s">
        <v>28942</v>
      </c>
      <c r="N3831" s="2" t="s">
        <v>28943</v>
      </c>
      <c r="O3831" s="2"/>
      <c r="P3831" s="2" t="s">
        <v>37</v>
      </c>
      <c r="Q3831" s="4" t="n">
        <v>8731</v>
      </c>
      <c r="R3831" s="2" t="s">
        <v>869</v>
      </c>
      <c r="S3831" s="2" t="s">
        <v>39</v>
      </c>
      <c r="T3831" s="2" t="s">
        <v>403</v>
      </c>
      <c r="U3831" s="2" t="s">
        <v>28944</v>
      </c>
      <c r="V3831" s="2"/>
      <c r="W3831" s="2" t="s">
        <v>344</v>
      </c>
      <c r="X3831" s="2" t="s">
        <v>43</v>
      </c>
      <c r="Y3831" s="2" t="s">
        <v>37</v>
      </c>
      <c r="Z3831" s="2" t="s">
        <v>44</v>
      </c>
      <c r="AA3831" s="2"/>
      <c r="AB3831" s="2"/>
      <c r="AC3831" s="2" t="s">
        <v>28945</v>
      </c>
      <c r="AD3831" s="2" t="s">
        <v>46</v>
      </c>
    </row>
    <row r="3832" customFormat="false" ht="15.7" hidden="false" customHeight="true" outlineLevel="0" collapsed="false">
      <c r="A3832" s="2"/>
      <c r="B3832" s="3" t="n">
        <f aca="false">DATE(2018,10,1)</f>
        <v>0</v>
      </c>
      <c r="C3832" s="3" t="n">
        <v>43374</v>
      </c>
      <c r="D3832" s="2" t="s">
        <v>28946</v>
      </c>
      <c r="F3832" s="2" t="s">
        <v>28947</v>
      </c>
      <c r="G3832" s="2" t="s">
        <v>28948</v>
      </c>
      <c r="H3832" s="2" t="s">
        <v>28949</v>
      </c>
      <c r="I3832" s="2" t="s">
        <v>131</v>
      </c>
      <c r="J3832" s="2" t="s">
        <v>132</v>
      </c>
      <c r="K3832" s="2" t="s">
        <v>28946</v>
      </c>
      <c r="L3832" s="2" t="s">
        <v>131</v>
      </c>
      <c r="M3832" s="2" t="s">
        <v>28949</v>
      </c>
      <c r="N3832" s="2" t="s">
        <v>28950</v>
      </c>
      <c r="O3832" s="2"/>
      <c r="P3832" s="2" t="s">
        <v>37</v>
      </c>
      <c r="Q3832" s="4" t="n">
        <v>8731</v>
      </c>
      <c r="R3832" s="2" t="s">
        <v>56</v>
      </c>
      <c r="S3832" s="2" t="s">
        <v>92</v>
      </c>
      <c r="T3832" s="2" t="s">
        <v>40</v>
      </c>
      <c r="U3832" s="2" t="s">
        <v>28951</v>
      </c>
      <c r="V3832" s="2"/>
      <c r="W3832" s="2" t="s">
        <v>28952</v>
      </c>
      <c r="X3832" s="2" t="s">
        <v>43</v>
      </c>
      <c r="Y3832" s="2" t="s">
        <v>37</v>
      </c>
      <c r="Z3832" s="2" t="s">
        <v>44</v>
      </c>
      <c r="AA3832" s="2"/>
      <c r="AB3832" s="2"/>
      <c r="AC3832" s="2" t="s">
        <v>28953</v>
      </c>
      <c r="AD3832" s="2" t="s">
        <v>46</v>
      </c>
    </row>
    <row r="3833" customFormat="false" ht="15.7" hidden="false" customHeight="true" outlineLevel="0" collapsed="false">
      <c r="A3833" s="2"/>
      <c r="B3833" s="3" t="n">
        <f aca="false">DATE(2018,10,2)</f>
        <v>0</v>
      </c>
      <c r="C3833" s="3" t="n">
        <v>43375</v>
      </c>
      <c r="D3833" s="2" t="s">
        <v>28954</v>
      </c>
      <c r="F3833" s="2" t="s">
        <v>28955</v>
      </c>
      <c r="G3833" s="2" t="s">
        <v>28956</v>
      </c>
      <c r="H3833" s="2" t="s">
        <v>1875</v>
      </c>
      <c r="I3833" s="2" t="s">
        <v>410</v>
      </c>
      <c r="J3833" s="2" t="s">
        <v>132</v>
      </c>
      <c r="K3833" s="2" t="s">
        <v>28954</v>
      </c>
      <c r="L3833" s="2" t="s">
        <v>410</v>
      </c>
      <c r="M3833" s="2" t="s">
        <v>1875</v>
      </c>
      <c r="N3833" s="2" t="s">
        <v>28957</v>
      </c>
      <c r="O3833" s="2"/>
      <c r="P3833" s="2" t="s">
        <v>37</v>
      </c>
      <c r="Q3833" s="4" t="n">
        <v>6794</v>
      </c>
      <c r="R3833" s="2" t="s">
        <v>56</v>
      </c>
      <c r="S3833" s="2"/>
      <c r="T3833" s="2" t="s">
        <v>40</v>
      </c>
      <c r="U3833" s="2" t="s">
        <v>28958</v>
      </c>
      <c r="V3833" s="2"/>
      <c r="W3833" s="2" t="s">
        <v>82</v>
      </c>
      <c r="X3833" s="2" t="s">
        <v>43</v>
      </c>
      <c r="Y3833" s="2" t="s">
        <v>37</v>
      </c>
      <c r="Z3833" s="2" t="s">
        <v>44</v>
      </c>
      <c r="AA3833" s="2"/>
      <c r="AB3833" s="2"/>
      <c r="AC3833" s="2" t="s">
        <v>28959</v>
      </c>
      <c r="AD3833" s="2" t="s">
        <v>46</v>
      </c>
    </row>
    <row r="3834" customFormat="false" ht="15.7" hidden="false" customHeight="true" outlineLevel="0" collapsed="false">
      <c r="A3834" s="2"/>
      <c r="B3834" s="3" t="n">
        <f aca="false">DATE(2018,10,2)</f>
        <v>0</v>
      </c>
      <c r="C3834" s="3" t="n">
        <v>43375</v>
      </c>
      <c r="D3834" s="2" t="s">
        <v>28960</v>
      </c>
      <c r="F3834" s="2" t="s">
        <v>28961</v>
      </c>
      <c r="G3834" s="2" t="s">
        <v>28962</v>
      </c>
      <c r="H3834" s="2" t="s">
        <v>28963</v>
      </c>
      <c r="I3834" s="2" t="s">
        <v>28964</v>
      </c>
      <c r="J3834" s="2" t="s">
        <v>35</v>
      </c>
      <c r="K3834" s="2" t="s">
        <v>28960</v>
      </c>
      <c r="L3834" s="2" t="s">
        <v>28964</v>
      </c>
      <c r="M3834" s="2" t="s">
        <v>28963</v>
      </c>
      <c r="N3834" s="2" t="s">
        <v>28965</v>
      </c>
      <c r="O3834" s="2"/>
      <c r="P3834" s="2" t="s">
        <v>37</v>
      </c>
      <c r="Q3834" s="4" t="n">
        <v>8731</v>
      </c>
      <c r="R3834" s="2" t="s">
        <v>1402</v>
      </c>
      <c r="S3834" s="2" t="s">
        <v>39</v>
      </c>
      <c r="T3834" s="2" t="s">
        <v>40</v>
      </c>
      <c r="U3834" s="2" t="s">
        <v>28966</v>
      </c>
      <c r="V3834" s="2"/>
      <c r="W3834" s="2" t="s">
        <v>28967</v>
      </c>
      <c r="X3834" s="2" t="s">
        <v>43</v>
      </c>
      <c r="Y3834" s="2" t="s">
        <v>37</v>
      </c>
      <c r="Z3834" s="2" t="s">
        <v>44</v>
      </c>
      <c r="AA3834" s="2"/>
      <c r="AB3834" s="2"/>
      <c r="AC3834" s="2" t="s">
        <v>28968</v>
      </c>
      <c r="AD3834" s="2" t="s">
        <v>46</v>
      </c>
    </row>
    <row r="3835" customFormat="false" ht="15.7" hidden="false" customHeight="true" outlineLevel="0" collapsed="false">
      <c r="A3835" s="2"/>
      <c r="B3835" s="3" t="n">
        <f aca="false">DATE(2018,10,2)</f>
        <v>0</v>
      </c>
      <c r="C3835" s="3" t="n">
        <v>43375</v>
      </c>
      <c r="D3835" s="2" t="s">
        <v>28969</v>
      </c>
      <c r="F3835" s="2" t="s">
        <v>18520</v>
      </c>
      <c r="G3835" s="2" t="s">
        <v>28970</v>
      </c>
      <c r="H3835" s="2" t="s">
        <v>1027</v>
      </c>
      <c r="I3835" s="2" t="s">
        <v>88</v>
      </c>
      <c r="J3835" s="2" t="s">
        <v>625</v>
      </c>
      <c r="K3835" s="2" t="s">
        <v>28971</v>
      </c>
      <c r="L3835" s="2" t="s">
        <v>88</v>
      </c>
      <c r="M3835" s="2" t="s">
        <v>1027</v>
      </c>
      <c r="N3835" s="2" t="s">
        <v>28972</v>
      </c>
      <c r="O3835" s="2"/>
      <c r="P3835" s="2" t="s">
        <v>37</v>
      </c>
      <c r="Q3835" s="4" t="n">
        <v>6794</v>
      </c>
      <c r="R3835" s="2" t="s">
        <v>88</v>
      </c>
      <c r="S3835" s="2" t="s">
        <v>24876</v>
      </c>
      <c r="T3835" s="2" t="s">
        <v>40</v>
      </c>
      <c r="U3835" s="2" t="s">
        <v>28973</v>
      </c>
      <c r="V3835" s="2"/>
      <c r="W3835" s="2" t="s">
        <v>15545</v>
      </c>
      <c r="X3835" s="2" t="s">
        <v>43</v>
      </c>
      <c r="Y3835" s="2" t="s">
        <v>79</v>
      </c>
      <c r="Z3835" s="2" t="s">
        <v>44</v>
      </c>
      <c r="AA3835" s="2"/>
      <c r="AB3835" s="2"/>
      <c r="AC3835" s="2" t="s">
        <v>28974</v>
      </c>
      <c r="AD3835" s="2" t="s">
        <v>46</v>
      </c>
    </row>
    <row r="3836" customFormat="false" ht="15.7" hidden="false" customHeight="true" outlineLevel="0" collapsed="false">
      <c r="A3836" s="2"/>
      <c r="B3836" s="3" t="n">
        <f aca="false">DATE(2018,10,3)</f>
        <v>0</v>
      </c>
      <c r="C3836" s="3" t="n">
        <v>43376</v>
      </c>
      <c r="D3836" s="2" t="s">
        <v>28975</v>
      </c>
      <c r="F3836" s="2" t="s">
        <v>28976</v>
      </c>
      <c r="G3836" s="2" t="s">
        <v>28977</v>
      </c>
      <c r="H3836" s="2" t="s">
        <v>28978</v>
      </c>
      <c r="I3836" s="2" t="s">
        <v>11307</v>
      </c>
      <c r="J3836" s="2" t="s">
        <v>35</v>
      </c>
      <c r="K3836" s="2" t="s">
        <v>28975</v>
      </c>
      <c r="L3836" s="2" t="s">
        <v>11307</v>
      </c>
      <c r="M3836" s="2" t="s">
        <v>28978</v>
      </c>
      <c r="N3836" s="2" t="s">
        <v>28979</v>
      </c>
      <c r="O3836" s="2"/>
      <c r="P3836" s="2" t="s">
        <v>37</v>
      </c>
      <c r="Q3836" s="4" t="n">
        <v>8731</v>
      </c>
      <c r="R3836" s="2" t="s">
        <v>2118</v>
      </c>
      <c r="S3836" s="2" t="s">
        <v>39</v>
      </c>
      <c r="T3836" s="2" t="s">
        <v>40</v>
      </c>
      <c r="U3836" s="2" t="s">
        <v>28980</v>
      </c>
      <c r="V3836" s="2"/>
      <c r="W3836" s="2" t="s">
        <v>10912</v>
      </c>
      <c r="X3836" s="2" t="s">
        <v>43</v>
      </c>
      <c r="Y3836" s="2" t="s">
        <v>37</v>
      </c>
      <c r="Z3836" s="2" t="s">
        <v>44</v>
      </c>
      <c r="AA3836" s="2"/>
      <c r="AB3836" s="2"/>
      <c r="AC3836" s="2" t="s">
        <v>28981</v>
      </c>
      <c r="AD3836" s="2" t="s">
        <v>46</v>
      </c>
    </row>
    <row r="3837" customFormat="false" ht="15.7" hidden="false" customHeight="true" outlineLevel="0" collapsed="false">
      <c r="A3837" s="2"/>
      <c r="B3837" s="3" t="n">
        <f aca="false">DATE(2018,10,3)</f>
        <v>0</v>
      </c>
      <c r="C3837" s="3" t="n">
        <v>43376</v>
      </c>
      <c r="D3837" s="2" t="s">
        <v>28982</v>
      </c>
      <c r="F3837" s="2" t="s">
        <v>28983</v>
      </c>
      <c r="G3837" s="2" t="s">
        <v>28984</v>
      </c>
      <c r="H3837" s="2" t="s">
        <v>387</v>
      </c>
      <c r="I3837" s="2" t="s">
        <v>51</v>
      </c>
      <c r="J3837" s="2" t="s">
        <v>2190</v>
      </c>
      <c r="K3837" s="2" t="s">
        <v>28982</v>
      </c>
      <c r="L3837" s="2" t="s">
        <v>51</v>
      </c>
      <c r="M3837" s="2" t="s">
        <v>387</v>
      </c>
      <c r="N3837" s="2" t="s">
        <v>28985</v>
      </c>
      <c r="O3837" s="2"/>
      <c r="P3837" s="2" t="s">
        <v>37</v>
      </c>
      <c r="Q3837" s="4" t="n">
        <v>6794</v>
      </c>
      <c r="R3837" s="2" t="s">
        <v>56</v>
      </c>
      <c r="S3837" s="2" t="s">
        <v>2265</v>
      </c>
      <c r="T3837" s="2" t="s">
        <v>40</v>
      </c>
      <c r="U3837" s="2" t="s">
        <v>28986</v>
      </c>
      <c r="V3837" s="2"/>
      <c r="W3837" s="2" t="s">
        <v>24826</v>
      </c>
      <c r="X3837" s="2" t="s">
        <v>43</v>
      </c>
      <c r="Y3837" s="2" t="s">
        <v>37</v>
      </c>
      <c r="Z3837" s="2" t="s">
        <v>44</v>
      </c>
      <c r="AA3837" s="2"/>
      <c r="AB3837" s="2"/>
      <c r="AC3837" s="2" t="s">
        <v>28987</v>
      </c>
      <c r="AD3837" s="2" t="s">
        <v>46</v>
      </c>
    </row>
    <row r="3838" customFormat="false" ht="15.7" hidden="false" customHeight="true" outlineLevel="0" collapsed="false">
      <c r="A3838" s="2"/>
      <c r="B3838" s="3" t="n">
        <f aca="false">DATE(2018,10,3)</f>
        <v>0</v>
      </c>
      <c r="C3838" s="3" t="n">
        <v>43376</v>
      </c>
      <c r="D3838" s="2" t="s">
        <v>28988</v>
      </c>
      <c r="F3838" s="2" t="s">
        <v>28989</v>
      </c>
      <c r="G3838" s="2" t="s">
        <v>28990</v>
      </c>
      <c r="H3838" s="2" t="s">
        <v>28991</v>
      </c>
      <c r="I3838" s="2" t="s">
        <v>330</v>
      </c>
      <c r="J3838" s="2" t="s">
        <v>795</v>
      </c>
      <c r="K3838" s="2" t="s">
        <v>28992</v>
      </c>
      <c r="L3838" s="2" t="s">
        <v>330</v>
      </c>
      <c r="M3838" s="2" t="s">
        <v>28993</v>
      </c>
      <c r="N3838" s="2" t="s">
        <v>28994</v>
      </c>
      <c r="O3838" s="2"/>
      <c r="P3838" s="2" t="s">
        <v>37</v>
      </c>
      <c r="Q3838" s="4" t="n">
        <v>8731</v>
      </c>
      <c r="R3838" s="2" t="s">
        <v>2201</v>
      </c>
      <c r="S3838" s="2" t="s">
        <v>39</v>
      </c>
      <c r="T3838" s="2" t="s">
        <v>40</v>
      </c>
      <c r="U3838" s="2" t="s">
        <v>28995</v>
      </c>
      <c r="V3838" s="2"/>
      <c r="W3838" s="2" t="s">
        <v>42</v>
      </c>
      <c r="X3838" s="2" t="s">
        <v>43</v>
      </c>
      <c r="Y3838" s="2" t="s">
        <v>37</v>
      </c>
      <c r="Z3838" s="2" t="s">
        <v>44</v>
      </c>
      <c r="AA3838" s="2"/>
      <c r="AB3838" s="2"/>
      <c r="AC3838" s="2" t="s">
        <v>28996</v>
      </c>
      <c r="AD3838" s="2" t="s">
        <v>46</v>
      </c>
    </row>
    <row r="3839" customFormat="false" ht="15.7" hidden="false" customHeight="true" outlineLevel="0" collapsed="false">
      <c r="A3839" s="2"/>
      <c r="B3839" s="3" t="n">
        <f aca="false">DATE(2018,10,4)</f>
        <v>0</v>
      </c>
      <c r="C3839" s="3" t="n">
        <v>43377</v>
      </c>
      <c r="D3839" s="2" t="s">
        <v>28997</v>
      </c>
      <c r="F3839" s="2" t="s">
        <v>28998</v>
      </c>
      <c r="G3839" s="2" t="s">
        <v>28999</v>
      </c>
      <c r="H3839" s="2" t="s">
        <v>18162</v>
      </c>
      <c r="I3839" s="2" t="s">
        <v>51</v>
      </c>
      <c r="J3839" s="2" t="s">
        <v>4656</v>
      </c>
      <c r="K3839" s="2" t="s">
        <v>28997</v>
      </c>
      <c r="L3839" s="2" t="s">
        <v>51</v>
      </c>
      <c r="M3839" s="2" t="s">
        <v>18162</v>
      </c>
      <c r="N3839" s="2" t="s">
        <v>29000</v>
      </c>
      <c r="O3839" s="2"/>
      <c r="P3839" s="2" t="s">
        <v>37</v>
      </c>
      <c r="Q3839" s="4" t="n">
        <v>8731</v>
      </c>
      <c r="R3839" s="2" t="s">
        <v>56</v>
      </c>
      <c r="S3839" s="2" t="s">
        <v>788</v>
      </c>
      <c r="T3839" s="2" t="s">
        <v>40</v>
      </c>
      <c r="U3839" s="2" t="s">
        <v>29001</v>
      </c>
      <c r="V3839" s="2"/>
      <c r="W3839" s="2" t="s">
        <v>4101</v>
      </c>
      <c r="X3839" s="2" t="s">
        <v>43</v>
      </c>
      <c r="Y3839" s="2" t="s">
        <v>37</v>
      </c>
      <c r="Z3839" s="2" t="s">
        <v>44</v>
      </c>
      <c r="AA3839" s="2"/>
      <c r="AB3839" s="2"/>
      <c r="AC3839" s="2" t="s">
        <v>29002</v>
      </c>
      <c r="AD3839" s="2" t="s">
        <v>46</v>
      </c>
    </row>
    <row r="3840" customFormat="false" ht="15.7" hidden="false" customHeight="true" outlineLevel="0" collapsed="false">
      <c r="A3840" s="2"/>
      <c r="B3840" s="3" t="n">
        <f aca="false">DATE(2018,10,4)</f>
        <v>0</v>
      </c>
      <c r="C3840" s="3" t="n">
        <v>43377</v>
      </c>
      <c r="D3840" s="2" t="s">
        <v>29003</v>
      </c>
      <c r="F3840" s="2" t="s">
        <v>29004</v>
      </c>
      <c r="G3840" s="2" t="s">
        <v>29005</v>
      </c>
      <c r="H3840" s="2" t="s">
        <v>29006</v>
      </c>
      <c r="I3840" s="2" t="s">
        <v>540</v>
      </c>
      <c r="J3840" s="2" t="s">
        <v>35</v>
      </c>
      <c r="K3840" s="2" t="s">
        <v>29003</v>
      </c>
      <c r="L3840" s="2" t="s">
        <v>540</v>
      </c>
      <c r="M3840" s="2" t="s">
        <v>29006</v>
      </c>
      <c r="N3840" s="2" t="s">
        <v>29007</v>
      </c>
      <c r="O3840" s="2"/>
      <c r="P3840" s="2" t="s">
        <v>37</v>
      </c>
      <c r="Q3840" s="4" t="n">
        <v>8731</v>
      </c>
      <c r="R3840" s="2" t="s">
        <v>1448</v>
      </c>
      <c r="S3840" s="2" t="s">
        <v>39</v>
      </c>
      <c r="T3840" s="2" t="s">
        <v>403</v>
      </c>
      <c r="U3840" s="2" t="s">
        <v>29008</v>
      </c>
      <c r="V3840" s="2"/>
      <c r="W3840" s="2" t="s">
        <v>29009</v>
      </c>
      <c r="X3840" s="2" t="s">
        <v>43</v>
      </c>
      <c r="Y3840" s="2" t="s">
        <v>37</v>
      </c>
      <c r="Z3840" s="2" t="s">
        <v>44</v>
      </c>
      <c r="AA3840" s="2"/>
      <c r="AB3840" s="2"/>
      <c r="AC3840" s="2" t="s">
        <v>29010</v>
      </c>
      <c r="AD3840" s="2" t="s">
        <v>46</v>
      </c>
    </row>
    <row r="3841" customFormat="false" ht="15.7" hidden="false" customHeight="true" outlineLevel="0" collapsed="false">
      <c r="A3841" s="2"/>
      <c r="B3841" s="3" t="n">
        <f aca="false">DATE(2018,10,4)</f>
        <v>0</v>
      </c>
      <c r="C3841" s="3" t="n">
        <v>43377</v>
      </c>
      <c r="D3841" s="2" t="s">
        <v>29011</v>
      </c>
      <c r="F3841" s="2" t="s">
        <v>21003</v>
      </c>
      <c r="G3841" s="2" t="s">
        <v>29012</v>
      </c>
      <c r="H3841" s="2" t="s">
        <v>1770</v>
      </c>
      <c r="I3841" s="2" t="s">
        <v>29013</v>
      </c>
      <c r="J3841" s="2" t="s">
        <v>35</v>
      </c>
      <c r="K3841" s="2" t="s">
        <v>27448</v>
      </c>
      <c r="L3841" s="2" t="s">
        <v>7114</v>
      </c>
      <c r="M3841" s="2" t="s">
        <v>21794</v>
      </c>
      <c r="N3841" s="2" t="s">
        <v>29014</v>
      </c>
      <c r="O3841" s="2"/>
      <c r="P3841" s="2" t="s">
        <v>37</v>
      </c>
      <c r="Q3841" s="4" t="n">
        <v>8731</v>
      </c>
      <c r="R3841" s="2" t="s">
        <v>2165</v>
      </c>
      <c r="S3841" s="2" t="s">
        <v>39</v>
      </c>
      <c r="T3841" s="2" t="s">
        <v>403</v>
      </c>
      <c r="U3841" s="2" t="s">
        <v>29015</v>
      </c>
      <c r="V3841" s="2"/>
      <c r="W3841" s="2" t="s">
        <v>344</v>
      </c>
      <c r="X3841" s="2" t="s">
        <v>43</v>
      </c>
      <c r="Y3841" s="2" t="s">
        <v>37</v>
      </c>
      <c r="Z3841" s="2" t="s">
        <v>44</v>
      </c>
      <c r="AA3841" s="2"/>
      <c r="AB3841" s="2"/>
      <c r="AC3841" s="2" t="s">
        <v>29016</v>
      </c>
      <c r="AD3841" s="2" t="s">
        <v>46</v>
      </c>
    </row>
    <row r="3842" customFormat="false" ht="15.7" hidden="false" customHeight="true" outlineLevel="0" collapsed="false">
      <c r="A3842" s="2"/>
      <c r="B3842" s="3" t="n">
        <f aca="false">DATE(2018,10,4)</f>
        <v>0</v>
      </c>
      <c r="C3842" s="3" t="n">
        <v>43377</v>
      </c>
      <c r="D3842" s="2" t="s">
        <v>29017</v>
      </c>
      <c r="F3842" s="2" t="s">
        <v>29018</v>
      </c>
      <c r="G3842" s="2" t="s">
        <v>29019</v>
      </c>
      <c r="H3842" s="2" t="s">
        <v>16129</v>
      </c>
      <c r="I3842" s="2" t="s">
        <v>51</v>
      </c>
      <c r="J3842" s="2" t="s">
        <v>16703</v>
      </c>
      <c r="K3842" s="2" t="s">
        <v>29017</v>
      </c>
      <c r="L3842" s="2" t="s">
        <v>51</v>
      </c>
      <c r="M3842" s="2" t="s">
        <v>16129</v>
      </c>
      <c r="N3842" s="2" t="s">
        <v>29020</v>
      </c>
      <c r="O3842" s="2"/>
      <c r="P3842" s="2" t="s">
        <v>37</v>
      </c>
      <c r="Q3842" s="4" t="n">
        <v>8099</v>
      </c>
      <c r="R3842" s="2" t="s">
        <v>56</v>
      </c>
      <c r="S3842" s="2" t="s">
        <v>788</v>
      </c>
      <c r="T3842" s="2" t="s">
        <v>40</v>
      </c>
      <c r="U3842" s="2" t="s">
        <v>29021</v>
      </c>
      <c r="V3842" s="2"/>
      <c r="W3842" s="2" t="s">
        <v>4487</v>
      </c>
      <c r="X3842" s="2" t="s">
        <v>43</v>
      </c>
      <c r="Y3842" s="2" t="s">
        <v>37</v>
      </c>
      <c r="Z3842" s="2" t="s">
        <v>44</v>
      </c>
      <c r="AA3842" s="2"/>
      <c r="AB3842" s="2"/>
      <c r="AC3842" s="2" t="s">
        <v>29022</v>
      </c>
      <c r="AD3842" s="2" t="s">
        <v>46</v>
      </c>
    </row>
    <row r="3843" customFormat="false" ht="15.7" hidden="false" customHeight="true" outlineLevel="0" collapsed="false">
      <c r="A3843" s="2"/>
      <c r="B3843" s="3" t="n">
        <f aca="false">DATE(2018,10,4)</f>
        <v>0</v>
      </c>
      <c r="C3843" s="3" t="n">
        <v>43377</v>
      </c>
      <c r="D3843" s="2" t="s">
        <v>29023</v>
      </c>
      <c r="F3843" s="2" t="s">
        <v>29024</v>
      </c>
      <c r="G3843" s="2" t="s">
        <v>29025</v>
      </c>
      <c r="H3843" s="2" t="s">
        <v>29026</v>
      </c>
      <c r="I3843" s="2" t="s">
        <v>540</v>
      </c>
      <c r="J3843" s="2" t="s">
        <v>35</v>
      </c>
      <c r="K3843" s="2" t="s">
        <v>29023</v>
      </c>
      <c r="L3843" s="2" t="s">
        <v>540</v>
      </c>
      <c r="M3843" s="2" t="s">
        <v>29026</v>
      </c>
      <c r="N3843" s="2" t="s">
        <v>29027</v>
      </c>
      <c r="O3843" s="2"/>
      <c r="P3843" s="2" t="s">
        <v>37</v>
      </c>
      <c r="Q3843" s="4" t="n">
        <v>8731</v>
      </c>
      <c r="R3843" s="2" t="s">
        <v>1448</v>
      </c>
      <c r="S3843" s="2" t="s">
        <v>39</v>
      </c>
      <c r="T3843" s="2" t="s">
        <v>403</v>
      </c>
      <c r="U3843" s="2" t="s">
        <v>29028</v>
      </c>
      <c r="V3843" s="2"/>
      <c r="W3843" s="2" t="s">
        <v>42</v>
      </c>
      <c r="X3843" s="2" t="s">
        <v>43</v>
      </c>
      <c r="Y3843" s="2" t="s">
        <v>37</v>
      </c>
      <c r="Z3843" s="2" t="s">
        <v>44</v>
      </c>
      <c r="AA3843" s="2"/>
      <c r="AB3843" s="2"/>
      <c r="AC3843" s="2" t="s">
        <v>29029</v>
      </c>
      <c r="AD3843" s="2" t="s">
        <v>46</v>
      </c>
    </row>
    <row r="3844" customFormat="false" ht="15.7" hidden="false" customHeight="true" outlineLevel="0" collapsed="false">
      <c r="A3844" s="2"/>
      <c r="B3844" s="3" t="n">
        <f aca="false">DATE(2018,10,4)</f>
        <v>0</v>
      </c>
      <c r="C3844" s="3" t="n">
        <v>43377</v>
      </c>
      <c r="D3844" s="2" t="s">
        <v>29030</v>
      </c>
      <c r="F3844" s="2" t="s">
        <v>29031</v>
      </c>
      <c r="G3844" s="2" t="s">
        <v>29032</v>
      </c>
      <c r="H3844" s="2" t="s">
        <v>29033</v>
      </c>
      <c r="I3844" s="2" t="s">
        <v>51</v>
      </c>
      <c r="J3844" s="2" t="s">
        <v>3294</v>
      </c>
      <c r="K3844" s="2" t="s">
        <v>29034</v>
      </c>
      <c r="L3844" s="2" t="s">
        <v>51</v>
      </c>
      <c r="M3844" s="2" t="s">
        <v>11530</v>
      </c>
      <c r="N3844" s="2" t="s">
        <v>29035</v>
      </c>
      <c r="O3844" s="2"/>
      <c r="P3844" s="2" t="s">
        <v>37</v>
      </c>
      <c r="Q3844" s="4" t="n">
        <v>8099</v>
      </c>
      <c r="R3844" s="2" t="s">
        <v>56</v>
      </c>
      <c r="S3844" s="2" t="s">
        <v>507</v>
      </c>
      <c r="T3844" s="2" t="s">
        <v>403</v>
      </c>
      <c r="U3844" s="2" t="s">
        <v>29036</v>
      </c>
      <c r="V3844" s="2"/>
      <c r="W3844" s="2" t="s">
        <v>18812</v>
      </c>
      <c r="X3844" s="2" t="s">
        <v>43</v>
      </c>
      <c r="Y3844" s="2" t="s">
        <v>37</v>
      </c>
      <c r="Z3844" s="2" t="s">
        <v>44</v>
      </c>
      <c r="AA3844" s="2"/>
      <c r="AB3844" s="2"/>
      <c r="AC3844" s="2" t="s">
        <v>29037</v>
      </c>
      <c r="AD3844" s="2" t="s">
        <v>46</v>
      </c>
    </row>
    <row r="3845" customFormat="false" ht="15.7" hidden="false" customHeight="true" outlineLevel="0" collapsed="false">
      <c r="A3845" s="2"/>
      <c r="B3845" s="3" t="n">
        <f aca="false">DATE(2018,10,8)</f>
        <v>0</v>
      </c>
      <c r="C3845" s="3" t="n">
        <v>43381</v>
      </c>
      <c r="D3845" s="2" t="s">
        <v>29038</v>
      </c>
      <c r="F3845" s="2" t="s">
        <v>27972</v>
      </c>
      <c r="G3845" s="2" t="s">
        <v>29039</v>
      </c>
      <c r="H3845" s="2" t="s">
        <v>2361</v>
      </c>
      <c r="I3845" s="2" t="s">
        <v>51</v>
      </c>
      <c r="J3845" s="2" t="s">
        <v>29040</v>
      </c>
      <c r="K3845" s="2" t="s">
        <v>29038</v>
      </c>
      <c r="L3845" s="2" t="s">
        <v>51</v>
      </c>
      <c r="M3845" s="2" t="s">
        <v>2361</v>
      </c>
      <c r="N3845" s="2" t="s">
        <v>29041</v>
      </c>
      <c r="O3845" s="2"/>
      <c r="P3845" s="2" t="s">
        <v>37</v>
      </c>
      <c r="Q3845" s="4" t="n">
        <v>8062</v>
      </c>
      <c r="R3845" s="2" t="s">
        <v>56</v>
      </c>
      <c r="S3845" s="2" t="s">
        <v>360</v>
      </c>
      <c r="T3845" s="2" t="s">
        <v>40</v>
      </c>
      <c r="U3845" s="2" t="s">
        <v>29042</v>
      </c>
      <c r="V3845" s="2"/>
      <c r="W3845" s="2" t="s">
        <v>18966</v>
      </c>
      <c r="X3845" s="2" t="s">
        <v>43</v>
      </c>
      <c r="Y3845" s="2" t="s">
        <v>37</v>
      </c>
      <c r="Z3845" s="2" t="s">
        <v>44</v>
      </c>
      <c r="AA3845" s="2"/>
      <c r="AB3845" s="2"/>
      <c r="AC3845" s="2" t="s">
        <v>29043</v>
      </c>
      <c r="AD3845" s="2" t="s">
        <v>46</v>
      </c>
    </row>
    <row r="3846" customFormat="false" ht="15.7" hidden="false" customHeight="true" outlineLevel="0" collapsed="false">
      <c r="A3846" s="2"/>
      <c r="B3846" s="3" t="n">
        <f aca="false">DATE(2018,10,8)</f>
        <v>0</v>
      </c>
      <c r="C3846" s="3" t="n">
        <v>43381</v>
      </c>
      <c r="D3846" s="2" t="s">
        <v>29044</v>
      </c>
      <c r="F3846" s="2" t="s">
        <v>29045</v>
      </c>
      <c r="G3846" s="2" t="s">
        <v>29046</v>
      </c>
      <c r="H3846" s="2" t="s">
        <v>29047</v>
      </c>
      <c r="I3846" s="2" t="s">
        <v>4179</v>
      </c>
      <c r="J3846" s="2" t="s">
        <v>132</v>
      </c>
      <c r="K3846" s="2" t="s">
        <v>29044</v>
      </c>
      <c r="L3846" s="2" t="s">
        <v>4179</v>
      </c>
      <c r="M3846" s="2" t="s">
        <v>29047</v>
      </c>
      <c r="N3846" s="2" t="s">
        <v>29048</v>
      </c>
      <c r="O3846" s="2"/>
      <c r="P3846" s="2" t="s">
        <v>37</v>
      </c>
      <c r="Q3846" s="4" t="n">
        <v>8731</v>
      </c>
      <c r="R3846" s="2" t="s">
        <v>724</v>
      </c>
      <c r="S3846" s="2" t="s">
        <v>3000</v>
      </c>
      <c r="T3846" s="2" t="s">
        <v>40</v>
      </c>
      <c r="U3846" s="2" t="s">
        <v>29049</v>
      </c>
      <c r="V3846" s="2"/>
      <c r="W3846" s="2" t="s">
        <v>13346</v>
      </c>
      <c r="X3846" s="2" t="s">
        <v>43</v>
      </c>
      <c r="Y3846" s="2" t="s">
        <v>79</v>
      </c>
      <c r="Z3846" s="2" t="s">
        <v>44</v>
      </c>
      <c r="AA3846" s="2"/>
      <c r="AB3846" s="2"/>
      <c r="AC3846" s="2" t="s">
        <v>29050</v>
      </c>
      <c r="AD3846" s="2" t="s">
        <v>46</v>
      </c>
    </row>
    <row r="3847" customFormat="false" ht="15.7" hidden="false" customHeight="true" outlineLevel="0" collapsed="false">
      <c r="A3847" s="2"/>
      <c r="B3847" s="3" t="n">
        <f aca="false">DATE(2018,10,8)</f>
        <v>0</v>
      </c>
      <c r="C3847" s="3" t="n">
        <v>43381</v>
      </c>
      <c r="D3847" s="2" t="s">
        <v>29051</v>
      </c>
      <c r="F3847" s="2" t="s">
        <v>5677</v>
      </c>
      <c r="G3847" s="2" t="s">
        <v>29052</v>
      </c>
      <c r="H3847" s="2" t="s">
        <v>305</v>
      </c>
      <c r="I3847" s="2" t="s">
        <v>4325</v>
      </c>
      <c r="J3847" s="2" t="s">
        <v>35</v>
      </c>
      <c r="K3847" s="2" t="s">
        <v>29053</v>
      </c>
      <c r="L3847" s="2" t="s">
        <v>4325</v>
      </c>
      <c r="M3847" s="2" t="s">
        <v>551</v>
      </c>
      <c r="N3847" s="2" t="s">
        <v>29054</v>
      </c>
      <c r="O3847" s="2"/>
      <c r="P3847" s="2" t="s">
        <v>37</v>
      </c>
      <c r="Q3847" s="4" t="n">
        <v>8062</v>
      </c>
      <c r="R3847" s="2" t="s">
        <v>402</v>
      </c>
      <c r="S3847" s="2" t="s">
        <v>39</v>
      </c>
      <c r="T3847" s="2" t="s">
        <v>40</v>
      </c>
      <c r="U3847" s="2" t="s">
        <v>29055</v>
      </c>
      <c r="V3847" s="2"/>
      <c r="W3847" s="2" t="s">
        <v>15969</v>
      </c>
      <c r="X3847" s="2" t="s">
        <v>43</v>
      </c>
      <c r="Y3847" s="2" t="s">
        <v>37</v>
      </c>
      <c r="Z3847" s="2" t="s">
        <v>44</v>
      </c>
      <c r="AA3847" s="2"/>
      <c r="AB3847" s="2"/>
      <c r="AC3847" s="2" t="s">
        <v>29056</v>
      </c>
      <c r="AD3847" s="2" t="s">
        <v>46</v>
      </c>
    </row>
    <row r="3848" customFormat="false" ht="15.7" hidden="false" customHeight="true" outlineLevel="0" collapsed="false">
      <c r="A3848" s="2"/>
      <c r="B3848" s="3" t="n">
        <f aca="false">DATE(2018,10,9)</f>
        <v>0</v>
      </c>
      <c r="C3848" s="3" t="n">
        <v>43382</v>
      </c>
      <c r="D3848" s="2" t="s">
        <v>29057</v>
      </c>
      <c r="F3848" s="2" t="s">
        <v>29058</v>
      </c>
      <c r="G3848" s="2" t="s">
        <v>29059</v>
      </c>
      <c r="H3848" s="2" t="s">
        <v>29060</v>
      </c>
      <c r="I3848" s="2" t="s">
        <v>16536</v>
      </c>
      <c r="J3848" s="2" t="s">
        <v>2643</v>
      </c>
      <c r="K3848" s="2" t="s">
        <v>29061</v>
      </c>
      <c r="L3848" s="2" t="s">
        <v>16536</v>
      </c>
      <c r="M3848" s="2" t="s">
        <v>29062</v>
      </c>
      <c r="N3848" s="2" t="s">
        <v>29063</v>
      </c>
      <c r="O3848" s="2"/>
      <c r="P3848" s="2" t="s">
        <v>37</v>
      </c>
      <c r="Q3848" s="4" t="n">
        <v>8731</v>
      </c>
      <c r="R3848" s="2" t="s">
        <v>136</v>
      </c>
      <c r="S3848" s="2" t="s">
        <v>39</v>
      </c>
      <c r="T3848" s="2" t="s">
        <v>40</v>
      </c>
      <c r="U3848" s="2" t="s">
        <v>29064</v>
      </c>
      <c r="V3848" s="2"/>
      <c r="W3848" s="2" t="s">
        <v>10912</v>
      </c>
      <c r="X3848" s="2" t="s">
        <v>43</v>
      </c>
      <c r="Y3848" s="2" t="s">
        <v>37</v>
      </c>
      <c r="Z3848" s="2" t="s">
        <v>916</v>
      </c>
      <c r="AA3848" s="2"/>
      <c r="AB3848" s="2"/>
      <c r="AC3848" s="2" t="s">
        <v>29065</v>
      </c>
      <c r="AD3848" s="2" t="s">
        <v>46</v>
      </c>
    </row>
    <row r="3849" customFormat="false" ht="15.7" hidden="false" customHeight="true" outlineLevel="0" collapsed="false">
      <c r="A3849" s="2"/>
      <c r="B3849" s="3" t="n">
        <f aca="false">DATE(2018,10,9)</f>
        <v>0</v>
      </c>
      <c r="C3849" s="3" t="n">
        <v>43382</v>
      </c>
      <c r="D3849" s="2" t="s">
        <v>29066</v>
      </c>
      <c r="F3849" s="2" t="s">
        <v>29067</v>
      </c>
      <c r="G3849" s="2" t="s">
        <v>29068</v>
      </c>
      <c r="H3849" s="2" t="s">
        <v>16145</v>
      </c>
      <c r="I3849" s="2" t="s">
        <v>51</v>
      </c>
      <c r="J3849" s="2" t="s">
        <v>3854</v>
      </c>
      <c r="K3849" s="2" t="s">
        <v>29069</v>
      </c>
      <c r="L3849" s="2" t="s">
        <v>51</v>
      </c>
      <c r="M3849" s="2" t="s">
        <v>29070</v>
      </c>
      <c r="N3849" s="2" t="s">
        <v>29071</v>
      </c>
      <c r="O3849" s="2"/>
      <c r="P3849" s="2" t="s">
        <v>37</v>
      </c>
      <c r="Q3849" s="4" t="n">
        <v>6794</v>
      </c>
      <c r="R3849" s="2" t="s">
        <v>56</v>
      </c>
      <c r="S3849" s="2" t="s">
        <v>7553</v>
      </c>
      <c r="T3849" s="2" t="s">
        <v>403</v>
      </c>
      <c r="U3849" s="2" t="s">
        <v>29072</v>
      </c>
      <c r="V3849" s="2"/>
      <c r="W3849" s="2" t="s">
        <v>15545</v>
      </c>
      <c r="X3849" s="2" t="s">
        <v>43</v>
      </c>
      <c r="Y3849" s="2" t="s">
        <v>37</v>
      </c>
      <c r="Z3849" s="2" t="s">
        <v>44</v>
      </c>
      <c r="AA3849" s="2"/>
      <c r="AB3849" s="2"/>
      <c r="AC3849" s="2" t="s">
        <v>29073</v>
      </c>
      <c r="AD3849" s="2" t="s">
        <v>46</v>
      </c>
    </row>
    <row r="3850" customFormat="false" ht="15.7" hidden="false" customHeight="true" outlineLevel="0" collapsed="false">
      <c r="A3850" s="2"/>
      <c r="B3850" s="3" t="n">
        <f aca="false">DATE(2018,10,9)</f>
        <v>0</v>
      </c>
      <c r="C3850" s="3" t="n">
        <v>43382</v>
      </c>
      <c r="D3850" s="2" t="s">
        <v>29074</v>
      </c>
      <c r="F3850" s="2" t="s">
        <v>29075</v>
      </c>
      <c r="G3850" s="2" t="s">
        <v>29076</v>
      </c>
      <c r="H3850" s="2" t="s">
        <v>15854</v>
      </c>
      <c r="I3850" s="2" t="s">
        <v>568</v>
      </c>
      <c r="J3850" s="2" t="s">
        <v>65</v>
      </c>
      <c r="K3850" s="2" t="s">
        <v>29074</v>
      </c>
      <c r="L3850" s="2" t="s">
        <v>568</v>
      </c>
      <c r="M3850" s="2" t="s">
        <v>15854</v>
      </c>
      <c r="N3850" s="2" t="s">
        <v>29077</v>
      </c>
      <c r="O3850" s="2"/>
      <c r="P3850" s="2" t="s">
        <v>37</v>
      </c>
      <c r="Q3850" s="4" t="n">
        <v>8731</v>
      </c>
      <c r="R3850" s="2" t="s">
        <v>688</v>
      </c>
      <c r="S3850" s="2" t="s">
        <v>39</v>
      </c>
      <c r="T3850" s="2" t="s">
        <v>403</v>
      </c>
      <c r="U3850" s="2" t="s">
        <v>29078</v>
      </c>
      <c r="V3850" s="2"/>
      <c r="W3850" s="2" t="s">
        <v>29079</v>
      </c>
      <c r="X3850" s="2" t="s">
        <v>43</v>
      </c>
      <c r="Y3850" s="2" t="s">
        <v>37</v>
      </c>
      <c r="Z3850" s="2" t="s">
        <v>44</v>
      </c>
      <c r="AA3850" s="2"/>
      <c r="AB3850" s="2"/>
      <c r="AC3850" s="2" t="s">
        <v>29080</v>
      </c>
      <c r="AD3850" s="2" t="s">
        <v>46</v>
      </c>
    </row>
    <row r="3851" customFormat="false" ht="15.7" hidden="false" customHeight="true" outlineLevel="0" collapsed="false">
      <c r="A3851" s="2"/>
      <c r="B3851" s="3" t="n">
        <f aca="false">DATE(2018,10,9)</f>
        <v>0</v>
      </c>
      <c r="C3851" s="3" t="n">
        <v>43382</v>
      </c>
      <c r="D3851" s="2" t="s">
        <v>29081</v>
      </c>
      <c r="F3851" s="2" t="s">
        <v>20591</v>
      </c>
      <c r="G3851" s="2" t="s">
        <v>29082</v>
      </c>
      <c r="H3851" s="2" t="s">
        <v>305</v>
      </c>
      <c r="I3851" s="2" t="s">
        <v>19667</v>
      </c>
      <c r="J3851" s="2" t="s">
        <v>35</v>
      </c>
      <c r="K3851" s="2" t="s">
        <v>29081</v>
      </c>
      <c r="L3851" s="2" t="s">
        <v>19667</v>
      </c>
      <c r="M3851" s="2" t="s">
        <v>305</v>
      </c>
      <c r="N3851" s="2" t="s">
        <v>29083</v>
      </c>
      <c r="O3851" s="2"/>
      <c r="P3851" s="2" t="s">
        <v>37</v>
      </c>
      <c r="Q3851" s="4" t="n">
        <v>8099</v>
      </c>
      <c r="R3851" s="2" t="s">
        <v>19667</v>
      </c>
      <c r="S3851" s="2" t="s">
        <v>5334</v>
      </c>
      <c r="T3851" s="2" t="s">
        <v>403</v>
      </c>
      <c r="U3851" s="2" t="s">
        <v>29084</v>
      </c>
      <c r="V3851" s="2"/>
      <c r="W3851" s="2" t="s">
        <v>4487</v>
      </c>
      <c r="X3851" s="2" t="s">
        <v>43</v>
      </c>
      <c r="Y3851" s="2" t="s">
        <v>79</v>
      </c>
      <c r="Z3851" s="2" t="s">
        <v>44</v>
      </c>
      <c r="AA3851" s="2"/>
      <c r="AB3851" s="2"/>
      <c r="AC3851" s="2" t="s">
        <v>29085</v>
      </c>
      <c r="AD3851" s="2" t="s">
        <v>46</v>
      </c>
    </row>
    <row r="3852" customFormat="false" ht="15.7" hidden="false" customHeight="true" outlineLevel="0" collapsed="false">
      <c r="A3852" s="2"/>
      <c r="B3852" s="3" t="n">
        <f aca="false">DATE(2018,10,10)</f>
        <v>0</v>
      </c>
      <c r="C3852" s="3" t="n">
        <v>43383</v>
      </c>
      <c r="D3852" s="2" t="s">
        <v>29086</v>
      </c>
      <c r="F3852" s="2" t="s">
        <v>29087</v>
      </c>
      <c r="G3852" s="2" t="s">
        <v>29088</v>
      </c>
      <c r="H3852" s="2" t="s">
        <v>29089</v>
      </c>
      <c r="I3852" s="2" t="s">
        <v>29090</v>
      </c>
      <c r="J3852" s="2" t="s">
        <v>35</v>
      </c>
      <c r="K3852" s="2" t="s">
        <v>29086</v>
      </c>
      <c r="L3852" s="2" t="s">
        <v>29090</v>
      </c>
      <c r="M3852" s="2" t="s">
        <v>29089</v>
      </c>
      <c r="N3852" s="2" t="s">
        <v>29091</v>
      </c>
      <c r="O3852" s="2"/>
      <c r="P3852" s="2" t="s">
        <v>37</v>
      </c>
      <c r="Q3852" s="4" t="n">
        <v>8731</v>
      </c>
      <c r="R3852" s="2" t="s">
        <v>29092</v>
      </c>
      <c r="S3852" s="2" t="s">
        <v>5334</v>
      </c>
      <c r="T3852" s="2" t="s">
        <v>40</v>
      </c>
      <c r="U3852" s="2" t="s">
        <v>29093</v>
      </c>
      <c r="V3852" s="2"/>
      <c r="W3852" s="2" t="s">
        <v>42</v>
      </c>
      <c r="X3852" s="2" t="s">
        <v>43</v>
      </c>
      <c r="Y3852" s="2" t="s">
        <v>79</v>
      </c>
      <c r="Z3852" s="2" t="s">
        <v>44</v>
      </c>
      <c r="AA3852" s="2"/>
      <c r="AB3852" s="2"/>
      <c r="AC3852" s="2" t="s">
        <v>29094</v>
      </c>
      <c r="AD3852" s="2" t="s">
        <v>46</v>
      </c>
    </row>
    <row r="3853" customFormat="false" ht="15.7" hidden="false" customHeight="true" outlineLevel="0" collapsed="false">
      <c r="A3853" s="2"/>
      <c r="B3853" s="3" t="n">
        <f aca="false">DATE(2018,10,11)</f>
        <v>0</v>
      </c>
      <c r="C3853" s="3" t="n">
        <v>43384</v>
      </c>
      <c r="D3853" s="2" t="s">
        <v>29095</v>
      </c>
      <c r="F3853" s="2" t="s">
        <v>29096</v>
      </c>
      <c r="G3853" s="2" t="s">
        <v>29097</v>
      </c>
      <c r="H3853" s="2" t="s">
        <v>29098</v>
      </c>
      <c r="I3853" s="2" t="s">
        <v>4753</v>
      </c>
      <c r="J3853" s="2" t="s">
        <v>35</v>
      </c>
      <c r="K3853" s="2" t="s">
        <v>29099</v>
      </c>
      <c r="L3853" s="2" t="s">
        <v>4753</v>
      </c>
      <c r="M3853" s="2" t="s">
        <v>29100</v>
      </c>
      <c r="N3853" s="2" t="s">
        <v>29101</v>
      </c>
      <c r="O3853" s="2"/>
      <c r="P3853" s="2" t="s">
        <v>37</v>
      </c>
      <c r="Q3853" s="4" t="n">
        <v>8731</v>
      </c>
      <c r="R3853" s="2"/>
      <c r="S3853" s="2"/>
      <c r="T3853" s="2" t="s">
        <v>40</v>
      </c>
      <c r="U3853" s="2" t="s">
        <v>29102</v>
      </c>
      <c r="V3853" s="2"/>
      <c r="W3853" s="2" t="s">
        <v>42</v>
      </c>
      <c r="X3853" s="2" t="s">
        <v>43</v>
      </c>
      <c r="Y3853" s="2" t="s">
        <v>37</v>
      </c>
      <c r="Z3853" s="2" t="s">
        <v>44</v>
      </c>
      <c r="AA3853" s="2"/>
      <c r="AB3853" s="2"/>
      <c r="AC3853" s="2" t="s">
        <v>29103</v>
      </c>
      <c r="AD3853" s="2" t="s">
        <v>46</v>
      </c>
    </row>
    <row r="3854" customFormat="false" ht="15.7" hidden="false" customHeight="true" outlineLevel="0" collapsed="false">
      <c r="A3854" s="2"/>
      <c r="B3854" s="3" t="n">
        <f aca="false">DATE(2018,10,11)</f>
        <v>0</v>
      </c>
      <c r="C3854" s="3" t="n">
        <v>43384</v>
      </c>
      <c r="D3854" s="2" t="s">
        <v>29104</v>
      </c>
      <c r="F3854" s="2" t="s">
        <v>29105</v>
      </c>
      <c r="G3854" s="2" t="s">
        <v>29106</v>
      </c>
      <c r="H3854" s="2" t="s">
        <v>4632</v>
      </c>
      <c r="I3854" s="2" t="s">
        <v>29107</v>
      </c>
      <c r="J3854" s="2" t="s">
        <v>35</v>
      </c>
      <c r="K3854" s="2" t="s">
        <v>29104</v>
      </c>
      <c r="L3854" s="2" t="s">
        <v>29107</v>
      </c>
      <c r="M3854" s="2" t="s">
        <v>4632</v>
      </c>
      <c r="N3854" s="2" t="s">
        <v>29108</v>
      </c>
      <c r="O3854" s="2"/>
      <c r="P3854" s="2" t="s">
        <v>37</v>
      </c>
      <c r="Q3854" s="4" t="n">
        <v>8731</v>
      </c>
      <c r="R3854" s="2" t="s">
        <v>29107</v>
      </c>
      <c r="S3854" s="2" t="s">
        <v>5334</v>
      </c>
      <c r="T3854" s="2" t="s">
        <v>40</v>
      </c>
      <c r="U3854" s="2" t="s">
        <v>29109</v>
      </c>
      <c r="V3854" s="2"/>
      <c r="W3854" s="2" t="s">
        <v>697</v>
      </c>
      <c r="X3854" s="2" t="s">
        <v>43</v>
      </c>
      <c r="Y3854" s="2" t="s">
        <v>79</v>
      </c>
      <c r="Z3854" s="2" t="s">
        <v>44</v>
      </c>
      <c r="AA3854" s="2"/>
      <c r="AB3854" s="2"/>
      <c r="AC3854" s="2" t="s">
        <v>29110</v>
      </c>
      <c r="AD3854" s="2" t="s">
        <v>46</v>
      </c>
    </row>
    <row r="3855" customFormat="false" ht="15.7" hidden="false" customHeight="true" outlineLevel="0" collapsed="false">
      <c r="A3855" s="2"/>
      <c r="B3855" s="3" t="n">
        <f aca="false">DATE(2018,10,12)</f>
        <v>0</v>
      </c>
      <c r="C3855" s="3" t="n">
        <v>43385</v>
      </c>
      <c r="D3855" s="2" t="s">
        <v>29111</v>
      </c>
      <c r="F3855" s="2" t="s">
        <v>29112</v>
      </c>
      <c r="G3855" s="2" t="s">
        <v>29113</v>
      </c>
      <c r="H3855" s="2" t="s">
        <v>29114</v>
      </c>
      <c r="I3855" s="2" t="s">
        <v>670</v>
      </c>
      <c r="J3855" s="2" t="s">
        <v>575</v>
      </c>
      <c r="K3855" s="2" t="s">
        <v>29111</v>
      </c>
      <c r="L3855" s="2" t="s">
        <v>670</v>
      </c>
      <c r="M3855" s="2" t="s">
        <v>29114</v>
      </c>
      <c r="N3855" s="2" t="s">
        <v>29115</v>
      </c>
      <c r="O3855" s="2"/>
      <c r="P3855" s="2" t="s">
        <v>37</v>
      </c>
      <c r="Q3855" s="4" t="n">
        <v>8731</v>
      </c>
      <c r="R3855" s="2" t="s">
        <v>29116</v>
      </c>
      <c r="S3855" s="2" t="s">
        <v>29117</v>
      </c>
      <c r="T3855" s="2" t="s">
        <v>40</v>
      </c>
      <c r="U3855" s="2" t="s">
        <v>29118</v>
      </c>
      <c r="V3855" s="2"/>
      <c r="W3855" s="2" t="s">
        <v>10985</v>
      </c>
      <c r="X3855" s="2" t="s">
        <v>46</v>
      </c>
      <c r="Y3855" s="2" t="s">
        <v>79</v>
      </c>
      <c r="Z3855" s="2" t="s">
        <v>44</v>
      </c>
      <c r="AA3855" s="2"/>
      <c r="AB3855" s="2"/>
      <c r="AC3855" s="2" t="s">
        <v>29119</v>
      </c>
      <c r="AD3855" s="2" t="s">
        <v>46</v>
      </c>
    </row>
    <row r="3856" customFormat="false" ht="15.7" hidden="false" customHeight="true" outlineLevel="0" collapsed="false">
      <c r="A3856" s="2"/>
      <c r="B3856" s="3" t="n">
        <f aca="false">DATE(2018,10,12)</f>
        <v>0</v>
      </c>
      <c r="C3856" s="3" t="n">
        <v>43385</v>
      </c>
      <c r="D3856" s="2" t="s">
        <v>29120</v>
      </c>
      <c r="F3856" s="2" t="s">
        <v>29121</v>
      </c>
      <c r="G3856" s="2" t="s">
        <v>29122</v>
      </c>
      <c r="H3856" s="2" t="s">
        <v>29123</v>
      </c>
      <c r="I3856" s="2" t="s">
        <v>5268</v>
      </c>
      <c r="J3856" s="2" t="s">
        <v>116</v>
      </c>
      <c r="K3856" s="2" t="s">
        <v>29120</v>
      </c>
      <c r="L3856" s="2" t="s">
        <v>5268</v>
      </c>
      <c r="M3856" s="2" t="s">
        <v>29123</v>
      </c>
      <c r="N3856" s="2" t="s">
        <v>29124</v>
      </c>
      <c r="O3856" s="2"/>
      <c r="P3856" s="2" t="s">
        <v>37</v>
      </c>
      <c r="Q3856" s="4" t="n">
        <v>8731</v>
      </c>
      <c r="R3856" s="2" t="s">
        <v>2201</v>
      </c>
      <c r="S3856" s="2" t="s">
        <v>39</v>
      </c>
      <c r="T3856" s="2" t="s">
        <v>403</v>
      </c>
      <c r="U3856" s="2" t="s">
        <v>29125</v>
      </c>
      <c r="V3856" s="2"/>
      <c r="W3856" s="2" t="s">
        <v>42</v>
      </c>
      <c r="X3856" s="2" t="s">
        <v>43</v>
      </c>
      <c r="Y3856" s="2" t="s">
        <v>37</v>
      </c>
      <c r="Z3856" s="2" t="s">
        <v>916</v>
      </c>
      <c r="AA3856" s="2"/>
      <c r="AB3856" s="2"/>
      <c r="AC3856" s="2" t="s">
        <v>29126</v>
      </c>
      <c r="AD3856" s="2" t="s">
        <v>46</v>
      </c>
    </row>
    <row r="3857" customFormat="false" ht="15.7" hidden="false" customHeight="true" outlineLevel="0" collapsed="false">
      <c r="A3857" s="2"/>
      <c r="B3857" s="3" t="n">
        <f aca="false">DATE(2018,10,14)</f>
        <v>0</v>
      </c>
      <c r="C3857" s="3" t="n">
        <v>43387</v>
      </c>
      <c r="D3857" s="2" t="s">
        <v>29127</v>
      </c>
      <c r="F3857" s="2" t="s">
        <v>29128</v>
      </c>
      <c r="G3857" s="2" t="s">
        <v>29129</v>
      </c>
      <c r="H3857" s="2" t="s">
        <v>26464</v>
      </c>
      <c r="I3857" s="2" t="s">
        <v>330</v>
      </c>
      <c r="J3857" s="2" t="s">
        <v>132</v>
      </c>
      <c r="K3857" s="2" t="s">
        <v>29130</v>
      </c>
      <c r="L3857" s="2" t="s">
        <v>10700</v>
      </c>
      <c r="M3857" s="2" t="s">
        <v>26464</v>
      </c>
      <c r="N3857" s="2" t="s">
        <v>29131</v>
      </c>
      <c r="O3857" s="2"/>
      <c r="P3857" s="2" t="s">
        <v>37</v>
      </c>
      <c r="Q3857" s="4" t="n">
        <v>7372</v>
      </c>
      <c r="R3857" s="2" t="s">
        <v>56</v>
      </c>
      <c r="S3857" s="2" t="s">
        <v>92</v>
      </c>
      <c r="T3857" s="2" t="s">
        <v>403</v>
      </c>
      <c r="U3857" s="2" t="s">
        <v>29132</v>
      </c>
      <c r="V3857" s="2"/>
      <c r="W3857" s="2" t="s">
        <v>29133</v>
      </c>
      <c r="X3857" s="2" t="s">
        <v>43</v>
      </c>
      <c r="Y3857" s="2" t="s">
        <v>37</v>
      </c>
      <c r="Z3857" s="2" t="s">
        <v>44</v>
      </c>
      <c r="AA3857" s="2"/>
      <c r="AB3857" s="2"/>
      <c r="AC3857" s="2" t="s">
        <v>29134</v>
      </c>
      <c r="AD3857" s="2" t="s">
        <v>46</v>
      </c>
    </row>
    <row r="3858" customFormat="false" ht="15.7" hidden="false" customHeight="true" outlineLevel="0" collapsed="false">
      <c r="A3858" s="2"/>
      <c r="B3858" s="3" t="n">
        <f aca="false">DATE(2018,10,15)</f>
        <v>0</v>
      </c>
      <c r="C3858" s="3" t="n">
        <v>43388</v>
      </c>
      <c r="D3858" s="2" t="s">
        <v>29135</v>
      </c>
      <c r="F3858" s="2" t="s">
        <v>29136</v>
      </c>
      <c r="G3858" s="2" t="s">
        <v>29137</v>
      </c>
      <c r="H3858" s="2" t="s">
        <v>27843</v>
      </c>
      <c r="I3858" s="2" t="s">
        <v>388</v>
      </c>
      <c r="J3858" s="2" t="s">
        <v>671</v>
      </c>
      <c r="K3858" s="2" t="s">
        <v>29135</v>
      </c>
      <c r="L3858" s="2" t="s">
        <v>388</v>
      </c>
      <c r="M3858" s="2" t="s">
        <v>27843</v>
      </c>
      <c r="N3858" s="2" t="s">
        <v>29138</v>
      </c>
      <c r="O3858" s="2"/>
      <c r="P3858" s="2" t="s">
        <v>37</v>
      </c>
      <c r="Q3858" s="4" t="n">
        <v>8731</v>
      </c>
      <c r="R3858" s="2" t="s">
        <v>2201</v>
      </c>
      <c r="S3858" s="2" t="s">
        <v>39</v>
      </c>
      <c r="T3858" s="2" t="s">
        <v>40</v>
      </c>
      <c r="U3858" s="2" t="s">
        <v>29139</v>
      </c>
      <c r="V3858" s="2"/>
      <c r="W3858" s="2" t="s">
        <v>344</v>
      </c>
      <c r="X3858" s="2" t="s">
        <v>43</v>
      </c>
      <c r="Y3858" s="2" t="s">
        <v>37</v>
      </c>
      <c r="Z3858" s="2" t="s">
        <v>44</v>
      </c>
      <c r="AA3858" s="2"/>
      <c r="AB3858" s="2"/>
      <c r="AC3858" s="2" t="s">
        <v>29140</v>
      </c>
      <c r="AD3858" s="2" t="s">
        <v>46</v>
      </c>
    </row>
    <row r="3859" customFormat="false" ht="15.7" hidden="false" customHeight="true" outlineLevel="0" collapsed="false">
      <c r="A3859" s="2"/>
      <c r="B3859" s="3" t="n">
        <f aca="false">DATE(2018,10,15)</f>
        <v>0</v>
      </c>
      <c r="C3859" s="3" t="n">
        <v>43388</v>
      </c>
      <c r="D3859" s="2" t="s">
        <v>29141</v>
      </c>
      <c r="F3859" s="2" t="s">
        <v>29142</v>
      </c>
      <c r="G3859" s="2" t="s">
        <v>29143</v>
      </c>
      <c r="H3859" s="2" t="s">
        <v>9122</v>
      </c>
      <c r="I3859" s="2" t="s">
        <v>330</v>
      </c>
      <c r="J3859" s="2" t="s">
        <v>3231</v>
      </c>
      <c r="K3859" s="2" t="s">
        <v>29141</v>
      </c>
      <c r="L3859" s="2" t="s">
        <v>330</v>
      </c>
      <c r="M3859" s="2" t="s">
        <v>9122</v>
      </c>
      <c r="N3859" s="2" t="s">
        <v>29144</v>
      </c>
      <c r="O3859" s="2"/>
      <c r="P3859" s="2" t="s">
        <v>37</v>
      </c>
      <c r="Q3859" s="4" t="n">
        <v>4922</v>
      </c>
      <c r="R3859" s="2" t="s">
        <v>56</v>
      </c>
      <c r="S3859" s="2" t="s">
        <v>380</v>
      </c>
      <c r="T3859" s="2" t="s">
        <v>40</v>
      </c>
      <c r="U3859" s="2" t="s">
        <v>29145</v>
      </c>
      <c r="V3859" s="2"/>
      <c r="W3859" s="2" t="s">
        <v>29146</v>
      </c>
      <c r="X3859" s="2" t="s">
        <v>46</v>
      </c>
      <c r="Y3859" s="2" t="s">
        <v>37</v>
      </c>
      <c r="Z3859" s="2" t="s">
        <v>44</v>
      </c>
      <c r="AA3859" s="2"/>
      <c r="AB3859" s="2"/>
      <c r="AC3859" s="2" t="s">
        <v>29147</v>
      </c>
      <c r="AD3859" s="2" t="s">
        <v>46</v>
      </c>
    </row>
    <row r="3860" customFormat="false" ht="15.7" hidden="false" customHeight="true" outlineLevel="0" collapsed="false">
      <c r="A3860" s="2"/>
      <c r="B3860" s="3" t="n">
        <f aca="false">DATE(2018,10,15)</f>
        <v>0</v>
      </c>
      <c r="C3860" s="3" t="n">
        <v>43388</v>
      </c>
      <c r="D3860" s="2" t="s">
        <v>29148</v>
      </c>
      <c r="F3860" s="2" t="s">
        <v>27419</v>
      </c>
      <c r="G3860" s="2" t="s">
        <v>29149</v>
      </c>
      <c r="H3860" s="2" t="s">
        <v>19238</v>
      </c>
      <c r="I3860" s="2" t="s">
        <v>1508</v>
      </c>
      <c r="J3860" s="2" t="s">
        <v>6730</v>
      </c>
      <c r="K3860" s="2" t="s">
        <v>29148</v>
      </c>
      <c r="L3860" s="2" t="s">
        <v>1508</v>
      </c>
      <c r="M3860" s="2" t="s">
        <v>19238</v>
      </c>
      <c r="N3860" s="2" t="s">
        <v>29150</v>
      </c>
      <c r="O3860" s="2"/>
      <c r="P3860" s="2" t="s">
        <v>37</v>
      </c>
      <c r="Q3860" s="4" t="n">
        <v>8731</v>
      </c>
      <c r="R3860" s="2" t="s">
        <v>1508</v>
      </c>
      <c r="S3860" s="2" t="s">
        <v>39</v>
      </c>
      <c r="T3860" s="2" t="s">
        <v>40</v>
      </c>
      <c r="U3860" s="2" t="s">
        <v>29151</v>
      </c>
      <c r="V3860" s="2"/>
      <c r="W3860" s="2" t="s">
        <v>29152</v>
      </c>
      <c r="X3860" s="2" t="s">
        <v>43</v>
      </c>
      <c r="Y3860" s="2" t="s">
        <v>79</v>
      </c>
      <c r="Z3860" s="2" t="s">
        <v>44</v>
      </c>
      <c r="AA3860" s="2"/>
      <c r="AB3860" s="2"/>
      <c r="AC3860" s="2" t="s">
        <v>29153</v>
      </c>
      <c r="AD3860" s="2" t="s">
        <v>46</v>
      </c>
    </row>
    <row r="3861" customFormat="false" ht="15.7" hidden="false" customHeight="true" outlineLevel="0" collapsed="false">
      <c r="A3861" s="2"/>
      <c r="B3861" s="3" t="n">
        <f aca="false">DATE(2018,10,15)</f>
        <v>0</v>
      </c>
      <c r="C3861" s="3" t="n">
        <v>43388</v>
      </c>
      <c r="D3861" s="2" t="s">
        <v>29154</v>
      </c>
      <c r="F3861" s="2" t="s">
        <v>27972</v>
      </c>
      <c r="G3861" s="2" t="s">
        <v>29155</v>
      </c>
      <c r="H3861" s="2" t="s">
        <v>2361</v>
      </c>
      <c r="I3861" s="2" t="s">
        <v>51</v>
      </c>
      <c r="J3861" s="2" t="s">
        <v>29156</v>
      </c>
      <c r="K3861" s="2" t="s">
        <v>29157</v>
      </c>
      <c r="L3861" s="2" t="s">
        <v>100</v>
      </c>
      <c r="M3861" s="2" t="s">
        <v>2361</v>
      </c>
      <c r="N3861" s="2" t="s">
        <v>29158</v>
      </c>
      <c r="O3861" s="2"/>
      <c r="P3861" s="2" t="s">
        <v>79</v>
      </c>
      <c r="Q3861" s="4" t="n">
        <v>7372</v>
      </c>
      <c r="R3861" s="2" t="s">
        <v>56</v>
      </c>
      <c r="S3861" s="2" t="s">
        <v>251</v>
      </c>
      <c r="T3861" s="2" t="s">
        <v>403</v>
      </c>
      <c r="U3861" s="2" t="s">
        <v>29159</v>
      </c>
      <c r="V3861" s="2"/>
      <c r="W3861" s="2" t="s">
        <v>23704</v>
      </c>
      <c r="X3861" s="2" t="s">
        <v>43</v>
      </c>
      <c r="Y3861" s="2" t="s">
        <v>37</v>
      </c>
      <c r="Z3861" s="2" t="s">
        <v>44</v>
      </c>
      <c r="AA3861" s="2"/>
      <c r="AB3861" s="2"/>
      <c r="AC3861" s="2" t="s">
        <v>29160</v>
      </c>
      <c r="AD3861" s="2" t="s">
        <v>46</v>
      </c>
    </row>
    <row r="3862" customFormat="false" ht="15.7" hidden="false" customHeight="true" outlineLevel="0" collapsed="false">
      <c r="A3862" s="2"/>
      <c r="B3862" s="3" t="n">
        <f aca="false">DATE(2018,10,15)</f>
        <v>0</v>
      </c>
      <c r="C3862" s="3" t="n">
        <v>43388</v>
      </c>
      <c r="D3862" s="2" t="s">
        <v>29161</v>
      </c>
      <c r="F3862" s="2" t="s">
        <v>29162</v>
      </c>
      <c r="G3862" s="2" t="s">
        <v>29163</v>
      </c>
      <c r="H3862" s="2" t="s">
        <v>29164</v>
      </c>
      <c r="I3862" s="2" t="s">
        <v>24793</v>
      </c>
      <c r="J3862" s="2" t="s">
        <v>35</v>
      </c>
      <c r="K3862" s="2" t="s">
        <v>29165</v>
      </c>
      <c r="L3862" s="2" t="s">
        <v>24793</v>
      </c>
      <c r="M3862" s="2" t="s">
        <v>29166</v>
      </c>
      <c r="N3862" s="2" t="s">
        <v>29167</v>
      </c>
      <c r="O3862" s="2"/>
      <c r="P3862" s="2" t="s">
        <v>37</v>
      </c>
      <c r="Q3862" s="4" t="n">
        <v>8731</v>
      </c>
      <c r="R3862" s="2" t="s">
        <v>9292</v>
      </c>
      <c r="S3862" s="2" t="s">
        <v>39</v>
      </c>
      <c r="T3862" s="2" t="s">
        <v>403</v>
      </c>
      <c r="U3862" s="2" t="s">
        <v>29168</v>
      </c>
      <c r="V3862" s="2"/>
      <c r="W3862" s="2" t="s">
        <v>1693</v>
      </c>
      <c r="X3862" s="2" t="s">
        <v>43</v>
      </c>
      <c r="Y3862" s="2" t="s">
        <v>37</v>
      </c>
      <c r="Z3862" s="2" t="s">
        <v>44</v>
      </c>
      <c r="AA3862" s="2"/>
      <c r="AB3862" s="2"/>
      <c r="AC3862" s="2" t="s">
        <v>29169</v>
      </c>
      <c r="AD3862" s="2" t="s">
        <v>46</v>
      </c>
    </row>
    <row r="3863" customFormat="false" ht="15.7" hidden="false" customHeight="true" outlineLevel="0" collapsed="false">
      <c r="A3863" s="2"/>
      <c r="B3863" s="3" t="n">
        <f aca="false">DATE(2018,10,16)</f>
        <v>0</v>
      </c>
      <c r="C3863" s="3" t="n">
        <v>43389</v>
      </c>
      <c r="D3863" s="2" t="s">
        <v>29170</v>
      </c>
      <c r="F3863" s="2" t="s">
        <v>29171</v>
      </c>
      <c r="G3863" s="2" t="s">
        <v>29172</v>
      </c>
      <c r="H3863" s="2" t="s">
        <v>29173</v>
      </c>
      <c r="I3863" s="2" t="s">
        <v>51</v>
      </c>
      <c r="J3863" s="2" t="s">
        <v>25911</v>
      </c>
      <c r="K3863" s="2" t="s">
        <v>29174</v>
      </c>
      <c r="L3863" s="2" t="s">
        <v>51</v>
      </c>
      <c r="M3863" s="2" t="s">
        <v>29175</v>
      </c>
      <c r="N3863" s="2" t="s">
        <v>29176</v>
      </c>
      <c r="O3863" s="2"/>
      <c r="P3863" s="2" t="s">
        <v>37</v>
      </c>
      <c r="Q3863" s="4" t="n">
        <v>8731</v>
      </c>
      <c r="R3863" s="2" t="s">
        <v>56</v>
      </c>
      <c r="S3863" s="2" t="s">
        <v>92</v>
      </c>
      <c r="T3863" s="2" t="s">
        <v>403</v>
      </c>
      <c r="U3863" s="2" t="s">
        <v>29177</v>
      </c>
      <c r="V3863" s="2"/>
      <c r="W3863" s="2" t="s">
        <v>25385</v>
      </c>
      <c r="X3863" s="2" t="s">
        <v>43</v>
      </c>
      <c r="Y3863" s="2" t="s">
        <v>37</v>
      </c>
      <c r="Z3863" s="2" t="s">
        <v>44</v>
      </c>
      <c r="AA3863" s="2"/>
      <c r="AB3863" s="2"/>
      <c r="AC3863" s="2" t="s">
        <v>29178</v>
      </c>
      <c r="AD3863" s="2" t="s">
        <v>46</v>
      </c>
    </row>
    <row r="3864" customFormat="false" ht="15.7" hidden="false" customHeight="true" outlineLevel="0" collapsed="false">
      <c r="A3864" s="2"/>
      <c r="B3864" s="3" t="n">
        <f aca="false">DATE(2018,10,16)</f>
        <v>0</v>
      </c>
      <c r="C3864" s="3" t="n">
        <v>43389</v>
      </c>
      <c r="D3864" s="2" t="s">
        <v>29179</v>
      </c>
      <c r="F3864" s="2" t="s">
        <v>29180</v>
      </c>
      <c r="G3864" s="2" t="s">
        <v>29181</v>
      </c>
      <c r="H3864" s="2" t="s">
        <v>29182</v>
      </c>
      <c r="I3864" s="2" t="s">
        <v>51</v>
      </c>
      <c r="J3864" s="2" t="s">
        <v>5635</v>
      </c>
      <c r="K3864" s="2" t="s">
        <v>29183</v>
      </c>
      <c r="L3864" s="2" t="s">
        <v>51</v>
      </c>
      <c r="M3864" s="2" t="s">
        <v>29184</v>
      </c>
      <c r="N3864" s="2" t="s">
        <v>29185</v>
      </c>
      <c r="O3864" s="2"/>
      <c r="P3864" s="2" t="s">
        <v>37</v>
      </c>
      <c r="Q3864" s="4" t="n">
        <v>7374</v>
      </c>
      <c r="R3864" s="2" t="s">
        <v>56</v>
      </c>
      <c r="S3864" s="2" t="s">
        <v>931</v>
      </c>
      <c r="T3864" s="2" t="s">
        <v>403</v>
      </c>
      <c r="U3864" s="2" t="s">
        <v>29186</v>
      </c>
      <c r="V3864" s="2"/>
      <c r="W3864" s="2" t="s">
        <v>27982</v>
      </c>
      <c r="X3864" s="2" t="s">
        <v>43</v>
      </c>
      <c r="Y3864" s="2" t="s">
        <v>37</v>
      </c>
      <c r="Z3864" s="2" t="s">
        <v>44</v>
      </c>
      <c r="AA3864" s="2"/>
      <c r="AB3864" s="2"/>
      <c r="AC3864" s="2" t="s">
        <v>29187</v>
      </c>
      <c r="AD3864" s="2" t="s">
        <v>46</v>
      </c>
    </row>
    <row r="3865" customFormat="false" ht="15.7" hidden="false" customHeight="true" outlineLevel="0" collapsed="false">
      <c r="A3865" s="2"/>
      <c r="B3865" s="3" t="n">
        <f aca="false">DATE(2018,10,16)</f>
        <v>0</v>
      </c>
      <c r="C3865" s="3" t="n">
        <v>43389</v>
      </c>
      <c r="D3865" s="2" t="s">
        <v>29188</v>
      </c>
      <c r="F3865" s="2" t="s">
        <v>28764</v>
      </c>
      <c r="G3865" s="2" t="s">
        <v>29189</v>
      </c>
      <c r="H3865" s="2" t="s">
        <v>13491</v>
      </c>
      <c r="I3865" s="2" t="s">
        <v>2294</v>
      </c>
      <c r="J3865" s="2" t="s">
        <v>35</v>
      </c>
      <c r="K3865" s="2" t="s">
        <v>29188</v>
      </c>
      <c r="L3865" s="2" t="s">
        <v>2294</v>
      </c>
      <c r="M3865" s="2" t="s">
        <v>13491</v>
      </c>
      <c r="N3865" s="2" t="s">
        <v>29190</v>
      </c>
      <c r="O3865" s="2"/>
      <c r="P3865" s="2" t="s">
        <v>37</v>
      </c>
      <c r="Q3865" s="4" t="n">
        <v>7373</v>
      </c>
      <c r="R3865" s="2" t="s">
        <v>450</v>
      </c>
      <c r="S3865" s="2" t="s">
        <v>39</v>
      </c>
      <c r="T3865" s="2" t="s">
        <v>403</v>
      </c>
      <c r="U3865" s="2" t="s">
        <v>29191</v>
      </c>
      <c r="V3865" s="2"/>
      <c r="W3865" s="2" t="s">
        <v>29192</v>
      </c>
      <c r="X3865" s="2" t="s">
        <v>43</v>
      </c>
      <c r="Y3865" s="2" t="s">
        <v>37</v>
      </c>
      <c r="Z3865" s="2" t="s">
        <v>44</v>
      </c>
      <c r="AA3865" s="2"/>
      <c r="AB3865" s="2"/>
      <c r="AC3865" s="2" t="s">
        <v>29193</v>
      </c>
      <c r="AD3865" s="2" t="s">
        <v>46</v>
      </c>
    </row>
    <row r="3866" customFormat="false" ht="15.7" hidden="false" customHeight="true" outlineLevel="0" collapsed="false">
      <c r="A3866" s="2"/>
      <c r="B3866" s="3" t="n">
        <f aca="false">DATE(2018,10,16)</f>
        <v>0</v>
      </c>
      <c r="C3866" s="3" t="n">
        <v>43389</v>
      </c>
      <c r="D3866" s="2" t="s">
        <v>29194</v>
      </c>
      <c r="F3866" s="2" t="s">
        <v>29195</v>
      </c>
      <c r="G3866" s="2" t="s">
        <v>29196</v>
      </c>
      <c r="H3866" s="2" t="s">
        <v>12343</v>
      </c>
      <c r="I3866" s="2" t="s">
        <v>11429</v>
      </c>
      <c r="J3866" s="2" t="s">
        <v>35</v>
      </c>
      <c r="K3866" s="2" t="s">
        <v>29194</v>
      </c>
      <c r="L3866" s="2" t="s">
        <v>11429</v>
      </c>
      <c r="M3866" s="2" t="s">
        <v>12343</v>
      </c>
      <c r="N3866" s="2" t="s">
        <v>29197</v>
      </c>
      <c r="O3866" s="2"/>
      <c r="P3866" s="2" t="s">
        <v>37</v>
      </c>
      <c r="Q3866" s="4" t="n">
        <v>8731</v>
      </c>
      <c r="R3866" s="2" t="s">
        <v>1402</v>
      </c>
      <c r="S3866" s="2" t="s">
        <v>39</v>
      </c>
      <c r="T3866" s="2" t="s">
        <v>40</v>
      </c>
      <c r="U3866" s="2" t="s">
        <v>29198</v>
      </c>
      <c r="V3866" s="2"/>
      <c r="W3866" s="2" t="s">
        <v>42</v>
      </c>
      <c r="X3866" s="2" t="s">
        <v>46</v>
      </c>
      <c r="Y3866" s="2" t="s">
        <v>37</v>
      </c>
      <c r="Z3866" s="2" t="s">
        <v>44</v>
      </c>
      <c r="AA3866" s="2"/>
      <c r="AB3866" s="2"/>
      <c r="AC3866" s="2" t="s">
        <v>29199</v>
      </c>
      <c r="AD3866" s="2" t="s">
        <v>46</v>
      </c>
    </row>
    <row r="3867" customFormat="false" ht="15.7" hidden="false" customHeight="true" outlineLevel="0" collapsed="false">
      <c r="A3867" s="2"/>
      <c r="B3867" s="3" t="n">
        <f aca="false">DATE(2018,10,16)</f>
        <v>0</v>
      </c>
      <c r="C3867" s="3" t="n">
        <v>43389</v>
      </c>
      <c r="D3867" s="2" t="s">
        <v>29200</v>
      </c>
      <c r="F3867" s="2" t="s">
        <v>29201</v>
      </c>
      <c r="G3867" s="2" t="s">
        <v>29202</v>
      </c>
      <c r="H3867" s="2" t="s">
        <v>29203</v>
      </c>
      <c r="I3867" s="2" t="s">
        <v>2727</v>
      </c>
      <c r="J3867" s="2" t="s">
        <v>35</v>
      </c>
      <c r="K3867" s="2" t="s">
        <v>29200</v>
      </c>
      <c r="L3867" s="2" t="s">
        <v>2727</v>
      </c>
      <c r="M3867" s="2" t="s">
        <v>29203</v>
      </c>
      <c r="N3867" s="2" t="s">
        <v>29204</v>
      </c>
      <c r="O3867" s="2"/>
      <c r="P3867" s="2" t="s">
        <v>37</v>
      </c>
      <c r="Q3867" s="4" t="n">
        <v>8731</v>
      </c>
      <c r="R3867" s="2" t="s">
        <v>402</v>
      </c>
      <c r="S3867" s="2" t="s">
        <v>39</v>
      </c>
      <c r="T3867" s="2" t="s">
        <v>403</v>
      </c>
      <c r="U3867" s="2" t="s">
        <v>29205</v>
      </c>
      <c r="V3867" s="2"/>
      <c r="W3867" s="2" t="s">
        <v>29206</v>
      </c>
      <c r="X3867" s="2" t="s">
        <v>43</v>
      </c>
      <c r="Y3867" s="2" t="s">
        <v>37</v>
      </c>
      <c r="Z3867" s="2" t="s">
        <v>44</v>
      </c>
      <c r="AA3867" s="2"/>
      <c r="AB3867" s="2"/>
      <c r="AC3867" s="2" t="s">
        <v>29207</v>
      </c>
      <c r="AD3867" s="2" t="s">
        <v>46</v>
      </c>
    </row>
    <row r="3868" customFormat="false" ht="15.7" hidden="false" customHeight="true" outlineLevel="0" collapsed="false">
      <c r="A3868" s="2"/>
      <c r="B3868" s="3" t="n">
        <f aca="false">DATE(2018,10,16)</f>
        <v>0</v>
      </c>
      <c r="C3868" s="3" t="n">
        <v>43389</v>
      </c>
      <c r="D3868" s="2" t="s">
        <v>29208</v>
      </c>
      <c r="F3868" s="2" t="s">
        <v>18436</v>
      </c>
      <c r="G3868" s="2" t="s">
        <v>29209</v>
      </c>
      <c r="H3868" s="2" t="s">
        <v>1020</v>
      </c>
      <c r="I3868" s="2" t="s">
        <v>51</v>
      </c>
      <c r="J3868" s="2" t="s">
        <v>187</v>
      </c>
      <c r="K3868" s="2" t="s">
        <v>29208</v>
      </c>
      <c r="L3868" s="2" t="s">
        <v>51</v>
      </c>
      <c r="M3868" s="2" t="s">
        <v>1020</v>
      </c>
      <c r="N3868" s="2" t="s">
        <v>29210</v>
      </c>
      <c r="O3868" s="2"/>
      <c r="P3868" s="2" t="s">
        <v>79</v>
      </c>
      <c r="Q3868" s="4" t="n">
        <v>6794</v>
      </c>
      <c r="R3868" s="2" t="s">
        <v>56</v>
      </c>
      <c r="S3868" s="2"/>
      <c r="T3868" s="2" t="s">
        <v>40</v>
      </c>
      <c r="U3868" s="2" t="s">
        <v>29211</v>
      </c>
      <c r="V3868" s="2"/>
      <c r="W3868" s="2" t="s">
        <v>7555</v>
      </c>
      <c r="X3868" s="2" t="s">
        <v>43</v>
      </c>
      <c r="Y3868" s="2" t="s">
        <v>37</v>
      </c>
      <c r="Z3868" s="2" t="s">
        <v>44</v>
      </c>
      <c r="AA3868" s="2"/>
      <c r="AB3868" s="2"/>
      <c r="AC3868" s="2" t="s">
        <v>29212</v>
      </c>
      <c r="AD3868" s="2" t="s">
        <v>46</v>
      </c>
    </row>
    <row r="3869" customFormat="false" ht="15.7" hidden="false" customHeight="true" outlineLevel="0" collapsed="false">
      <c r="A3869" s="2"/>
      <c r="B3869" s="3" t="n">
        <f aca="false">DATE(2018,10,16)</f>
        <v>0</v>
      </c>
      <c r="C3869" s="3" t="n">
        <v>43389</v>
      </c>
      <c r="D3869" s="2" t="s">
        <v>29213</v>
      </c>
      <c r="F3869" s="2" t="s">
        <v>29214</v>
      </c>
      <c r="G3869" s="2" t="s">
        <v>29215</v>
      </c>
      <c r="H3869" s="2" t="s">
        <v>29216</v>
      </c>
      <c r="I3869" s="2" t="s">
        <v>13417</v>
      </c>
      <c r="J3869" s="2" t="s">
        <v>35</v>
      </c>
      <c r="K3869" s="2" t="s">
        <v>29217</v>
      </c>
      <c r="L3869" s="2" t="s">
        <v>13417</v>
      </c>
      <c r="M3869" s="2" t="s">
        <v>29218</v>
      </c>
      <c r="N3869" s="2" t="s">
        <v>29219</v>
      </c>
      <c r="O3869" s="2"/>
      <c r="P3869" s="2" t="s">
        <v>37</v>
      </c>
      <c r="Q3869" s="4" t="n">
        <v>8731</v>
      </c>
      <c r="R3869" s="2" t="s">
        <v>3501</v>
      </c>
      <c r="S3869" s="2" t="s">
        <v>5334</v>
      </c>
      <c r="T3869" s="2" t="s">
        <v>40</v>
      </c>
      <c r="U3869" s="2" t="s">
        <v>29220</v>
      </c>
      <c r="V3869" s="2"/>
      <c r="W3869" s="2" t="s">
        <v>29221</v>
      </c>
      <c r="X3869" s="2" t="s">
        <v>43</v>
      </c>
      <c r="Y3869" s="2" t="s">
        <v>79</v>
      </c>
      <c r="Z3869" s="2" t="s">
        <v>44</v>
      </c>
      <c r="AA3869" s="2"/>
      <c r="AB3869" s="2"/>
      <c r="AC3869" s="2" t="s">
        <v>29222</v>
      </c>
      <c r="AD3869" s="2" t="s">
        <v>46</v>
      </c>
    </row>
    <row r="3870" customFormat="false" ht="15.7" hidden="false" customHeight="true" outlineLevel="0" collapsed="false">
      <c r="A3870" s="2"/>
      <c r="B3870" s="3" t="n">
        <f aca="false">DATE(2018,10,16)</f>
        <v>0</v>
      </c>
      <c r="C3870" s="3" t="n">
        <v>43389</v>
      </c>
      <c r="D3870" s="2" t="s">
        <v>29223</v>
      </c>
      <c r="F3870" s="2" t="s">
        <v>29224</v>
      </c>
      <c r="G3870" s="2" t="s">
        <v>29225</v>
      </c>
      <c r="H3870" s="2" t="s">
        <v>18389</v>
      </c>
      <c r="I3870" s="2" t="s">
        <v>29226</v>
      </c>
      <c r="J3870" s="2" t="s">
        <v>35</v>
      </c>
      <c r="K3870" s="2" t="s">
        <v>29223</v>
      </c>
      <c r="L3870" s="2" t="s">
        <v>29226</v>
      </c>
      <c r="M3870" s="2" t="s">
        <v>18389</v>
      </c>
      <c r="N3870" s="2" t="s">
        <v>29227</v>
      </c>
      <c r="O3870" s="2"/>
      <c r="P3870" s="2" t="s">
        <v>37</v>
      </c>
      <c r="Q3870" s="4" t="n">
        <v>4941</v>
      </c>
      <c r="R3870" s="2" t="s">
        <v>29228</v>
      </c>
      <c r="S3870" s="2" t="s">
        <v>39</v>
      </c>
      <c r="T3870" s="2" t="s">
        <v>403</v>
      </c>
      <c r="U3870" s="2" t="s">
        <v>29229</v>
      </c>
      <c r="V3870" s="2"/>
      <c r="W3870" s="2" t="s">
        <v>29230</v>
      </c>
      <c r="X3870" s="2" t="s">
        <v>43</v>
      </c>
      <c r="Y3870" s="2" t="s">
        <v>37</v>
      </c>
      <c r="Z3870" s="2" t="s">
        <v>44</v>
      </c>
      <c r="AA3870" s="2" t="s">
        <v>29231</v>
      </c>
      <c r="AB3870" s="2"/>
      <c r="AC3870" s="2" t="s">
        <v>29232</v>
      </c>
      <c r="AD3870" s="2" t="s">
        <v>46</v>
      </c>
    </row>
    <row r="3871" customFormat="false" ht="15.7" hidden="false" customHeight="true" outlineLevel="0" collapsed="false">
      <c r="A3871" s="2"/>
      <c r="B3871" s="3" t="n">
        <f aca="false">DATE(2018,10,16)</f>
        <v>0</v>
      </c>
      <c r="C3871" s="3" t="n">
        <v>43389</v>
      </c>
      <c r="D3871" s="2" t="s">
        <v>29233</v>
      </c>
      <c r="F3871" s="2" t="s">
        <v>29234</v>
      </c>
      <c r="G3871" s="2" t="s">
        <v>29235</v>
      </c>
      <c r="H3871" s="2" t="s">
        <v>1752</v>
      </c>
      <c r="I3871" s="2" t="s">
        <v>1191</v>
      </c>
      <c r="J3871" s="2" t="s">
        <v>35</v>
      </c>
      <c r="K3871" s="2" t="s">
        <v>29233</v>
      </c>
      <c r="L3871" s="2" t="s">
        <v>1191</v>
      </c>
      <c r="M3871" s="2" t="s">
        <v>1752</v>
      </c>
      <c r="N3871" s="2" t="s">
        <v>29236</v>
      </c>
      <c r="O3871" s="2"/>
      <c r="P3871" s="2" t="s">
        <v>37</v>
      </c>
      <c r="Q3871" s="4" t="n">
        <v>8731</v>
      </c>
      <c r="R3871" s="2" t="s">
        <v>1195</v>
      </c>
      <c r="S3871" s="2" t="s">
        <v>39</v>
      </c>
      <c r="T3871" s="2" t="s">
        <v>403</v>
      </c>
      <c r="U3871" s="2" t="s">
        <v>29237</v>
      </c>
      <c r="V3871" s="2"/>
      <c r="W3871" s="2" t="s">
        <v>15225</v>
      </c>
      <c r="X3871" s="2" t="s">
        <v>43</v>
      </c>
      <c r="Y3871" s="2" t="s">
        <v>37</v>
      </c>
      <c r="Z3871" s="2" t="s">
        <v>44</v>
      </c>
      <c r="AA3871" s="2"/>
      <c r="AB3871" s="2"/>
      <c r="AC3871" s="2" t="s">
        <v>29238</v>
      </c>
      <c r="AD3871" s="2" t="s">
        <v>46</v>
      </c>
    </row>
    <row r="3872" customFormat="false" ht="15.7" hidden="false" customHeight="true" outlineLevel="0" collapsed="false">
      <c r="A3872" s="2"/>
      <c r="B3872" s="3" t="n">
        <f aca="false">DATE(2018,10,16)</f>
        <v>0</v>
      </c>
      <c r="C3872" s="3" t="n">
        <v>43389</v>
      </c>
      <c r="D3872" s="2" t="s">
        <v>29239</v>
      </c>
      <c r="F3872" s="2" t="s">
        <v>29240</v>
      </c>
      <c r="G3872" s="2" t="s">
        <v>29241</v>
      </c>
      <c r="H3872" s="2" t="s">
        <v>29173</v>
      </c>
      <c r="I3872" s="2" t="s">
        <v>1080</v>
      </c>
      <c r="J3872" s="2" t="s">
        <v>35</v>
      </c>
      <c r="K3872" s="2" t="s">
        <v>29242</v>
      </c>
      <c r="L3872" s="2" t="s">
        <v>1080</v>
      </c>
      <c r="M3872" s="2" t="s">
        <v>29173</v>
      </c>
      <c r="N3872" s="2" t="s">
        <v>29243</v>
      </c>
      <c r="O3872" s="2"/>
      <c r="P3872" s="2" t="s">
        <v>37</v>
      </c>
      <c r="Q3872" s="4" t="n">
        <v>7371</v>
      </c>
      <c r="R3872" s="2" t="s">
        <v>2201</v>
      </c>
      <c r="S3872" s="2" t="s">
        <v>39</v>
      </c>
      <c r="T3872" s="2" t="s">
        <v>403</v>
      </c>
      <c r="U3872" s="2" t="s">
        <v>29244</v>
      </c>
      <c r="V3872" s="2"/>
      <c r="W3872" s="2" t="s">
        <v>25385</v>
      </c>
      <c r="X3872" s="2" t="s">
        <v>43</v>
      </c>
      <c r="Y3872" s="2" t="s">
        <v>37</v>
      </c>
      <c r="Z3872" s="2" t="s">
        <v>44</v>
      </c>
      <c r="AA3872" s="2"/>
      <c r="AB3872" s="2"/>
      <c r="AC3872" s="2" t="s">
        <v>29245</v>
      </c>
      <c r="AD3872" s="2" t="s">
        <v>46</v>
      </c>
    </row>
    <row r="3873" customFormat="false" ht="15.7" hidden="false" customHeight="true" outlineLevel="0" collapsed="false">
      <c r="A3873" s="2"/>
      <c r="B3873" s="3" t="n">
        <f aca="false">DATE(2018,10,16)</f>
        <v>0</v>
      </c>
      <c r="C3873" s="3" t="n">
        <v>43389</v>
      </c>
      <c r="D3873" s="2" t="s">
        <v>29246</v>
      </c>
      <c r="F3873" s="2" t="s">
        <v>25024</v>
      </c>
      <c r="G3873" s="2" t="s">
        <v>29247</v>
      </c>
      <c r="H3873" s="2" t="s">
        <v>25026</v>
      </c>
      <c r="I3873" s="2" t="s">
        <v>88</v>
      </c>
      <c r="J3873" s="2" t="s">
        <v>1456</v>
      </c>
      <c r="K3873" s="2" t="s">
        <v>29248</v>
      </c>
      <c r="L3873" s="2" t="s">
        <v>88</v>
      </c>
      <c r="M3873" s="2" t="s">
        <v>25026</v>
      </c>
      <c r="N3873" s="2" t="s">
        <v>29249</v>
      </c>
      <c r="O3873" s="2"/>
      <c r="P3873" s="2" t="s">
        <v>37</v>
      </c>
      <c r="Q3873" s="4" t="n">
        <v>8731</v>
      </c>
      <c r="R3873" s="2" t="s">
        <v>136</v>
      </c>
      <c r="S3873" s="2" t="s">
        <v>39</v>
      </c>
      <c r="T3873" s="2" t="s">
        <v>40</v>
      </c>
      <c r="U3873" s="2" t="s">
        <v>29250</v>
      </c>
      <c r="V3873" s="2"/>
      <c r="W3873" s="2" t="s">
        <v>3235</v>
      </c>
      <c r="X3873" s="2" t="s">
        <v>43</v>
      </c>
      <c r="Y3873" s="2" t="s">
        <v>37</v>
      </c>
      <c r="Z3873" s="2" t="s">
        <v>44</v>
      </c>
      <c r="AA3873" s="2"/>
      <c r="AB3873" s="2"/>
      <c r="AC3873" s="2" t="s">
        <v>29251</v>
      </c>
      <c r="AD3873" s="2" t="s">
        <v>46</v>
      </c>
    </row>
    <row r="3874" customFormat="false" ht="15.7" hidden="false" customHeight="true" outlineLevel="0" collapsed="false">
      <c r="A3874" s="2"/>
      <c r="B3874" s="3" t="n">
        <f aca="false">DATE(2018,10,17)</f>
        <v>0</v>
      </c>
      <c r="C3874" s="3" t="n">
        <v>43390</v>
      </c>
      <c r="D3874" s="2" t="s">
        <v>29252</v>
      </c>
      <c r="F3874" s="2" t="s">
        <v>29253</v>
      </c>
      <c r="G3874" s="2" t="s">
        <v>29254</v>
      </c>
      <c r="H3874" s="2" t="s">
        <v>9242</v>
      </c>
      <c r="I3874" s="2" t="s">
        <v>540</v>
      </c>
      <c r="J3874" s="2" t="s">
        <v>35</v>
      </c>
      <c r="K3874" s="2" t="s">
        <v>29252</v>
      </c>
      <c r="L3874" s="2" t="s">
        <v>540</v>
      </c>
      <c r="M3874" s="2" t="s">
        <v>9242</v>
      </c>
      <c r="N3874" s="2" t="s">
        <v>29255</v>
      </c>
      <c r="O3874" s="2"/>
      <c r="P3874" s="2" t="s">
        <v>79</v>
      </c>
      <c r="Q3874" s="4" t="n">
        <v>8731</v>
      </c>
      <c r="R3874" s="2" t="s">
        <v>136</v>
      </c>
      <c r="S3874" s="2" t="s">
        <v>39</v>
      </c>
      <c r="T3874" s="2" t="s">
        <v>403</v>
      </c>
      <c r="U3874" s="2" t="s">
        <v>29256</v>
      </c>
      <c r="V3874" s="2"/>
      <c r="W3874" s="2" t="s">
        <v>344</v>
      </c>
      <c r="X3874" s="2" t="s">
        <v>43</v>
      </c>
      <c r="Y3874" s="2" t="s">
        <v>37</v>
      </c>
      <c r="Z3874" s="2" t="s">
        <v>44</v>
      </c>
      <c r="AA3874" s="2"/>
      <c r="AB3874" s="2"/>
      <c r="AC3874" s="2" t="s">
        <v>29257</v>
      </c>
      <c r="AD3874" s="2" t="s">
        <v>46</v>
      </c>
    </row>
    <row r="3875" customFormat="false" ht="15.7" hidden="false" customHeight="true" outlineLevel="0" collapsed="false">
      <c r="A3875" s="2"/>
      <c r="B3875" s="3" t="n">
        <f aca="false">DATE(2018,10,17)</f>
        <v>0</v>
      </c>
      <c r="C3875" s="3" t="n">
        <v>43390</v>
      </c>
      <c r="D3875" s="2" t="s">
        <v>29258</v>
      </c>
      <c r="F3875" s="2" t="s">
        <v>29259</v>
      </c>
      <c r="G3875" s="2" t="s">
        <v>29260</v>
      </c>
      <c r="H3875" s="2" t="s">
        <v>29261</v>
      </c>
      <c r="I3875" s="2" t="s">
        <v>180</v>
      </c>
      <c r="J3875" s="2" t="s">
        <v>3906</v>
      </c>
      <c r="K3875" s="2" t="s">
        <v>29258</v>
      </c>
      <c r="L3875" s="2" t="s">
        <v>180</v>
      </c>
      <c r="M3875" s="2" t="s">
        <v>29261</v>
      </c>
      <c r="N3875" s="2" t="s">
        <v>29262</v>
      </c>
      <c r="O3875" s="2"/>
      <c r="P3875" s="2" t="s">
        <v>37</v>
      </c>
      <c r="Q3875" s="4" t="n">
        <v>8731</v>
      </c>
      <c r="R3875" s="2" t="s">
        <v>56</v>
      </c>
      <c r="S3875" s="2" t="s">
        <v>360</v>
      </c>
      <c r="T3875" s="2" t="s">
        <v>403</v>
      </c>
      <c r="U3875" s="2" t="s">
        <v>29263</v>
      </c>
      <c r="V3875" s="2"/>
      <c r="W3875" s="2" t="s">
        <v>42</v>
      </c>
      <c r="X3875" s="2" t="s">
        <v>43</v>
      </c>
      <c r="Y3875" s="2" t="s">
        <v>37</v>
      </c>
      <c r="Z3875" s="2" t="s">
        <v>44</v>
      </c>
      <c r="AA3875" s="2"/>
      <c r="AB3875" s="2"/>
      <c r="AC3875" s="2" t="s">
        <v>29264</v>
      </c>
      <c r="AD3875" s="2" t="s">
        <v>46</v>
      </c>
    </row>
    <row r="3876" customFormat="false" ht="15.7" hidden="false" customHeight="true" outlineLevel="0" collapsed="false">
      <c r="A3876" s="2"/>
      <c r="B3876" s="3" t="n">
        <f aca="false">DATE(2018,10,17)</f>
        <v>0</v>
      </c>
      <c r="C3876" s="3" t="n">
        <v>43390</v>
      </c>
      <c r="D3876" s="2" t="s">
        <v>29265</v>
      </c>
      <c r="F3876" s="2" t="s">
        <v>29266</v>
      </c>
      <c r="G3876" s="2" t="s">
        <v>29267</v>
      </c>
      <c r="H3876" s="2" t="s">
        <v>29268</v>
      </c>
      <c r="I3876" s="2" t="s">
        <v>51</v>
      </c>
      <c r="J3876" s="2" t="s">
        <v>2858</v>
      </c>
      <c r="K3876" s="2" t="s">
        <v>29269</v>
      </c>
      <c r="L3876" s="2" t="s">
        <v>487</v>
      </c>
      <c r="M3876" s="2" t="s">
        <v>29270</v>
      </c>
      <c r="N3876" s="2" t="s">
        <v>29271</v>
      </c>
      <c r="O3876" s="2"/>
      <c r="P3876" s="2" t="s">
        <v>37</v>
      </c>
      <c r="Q3876" s="4" t="n">
        <v>8731</v>
      </c>
      <c r="R3876" s="2" t="s">
        <v>56</v>
      </c>
      <c r="S3876" s="2" t="s">
        <v>277</v>
      </c>
      <c r="T3876" s="2" t="s">
        <v>40</v>
      </c>
      <c r="U3876" s="2" t="s">
        <v>29272</v>
      </c>
      <c r="V3876" s="2"/>
      <c r="W3876" s="2" t="s">
        <v>26805</v>
      </c>
      <c r="X3876" s="2" t="s">
        <v>43</v>
      </c>
      <c r="Y3876" s="2" t="s">
        <v>37</v>
      </c>
      <c r="Z3876" s="2" t="s">
        <v>44</v>
      </c>
      <c r="AA3876" s="2"/>
      <c r="AB3876" s="2"/>
      <c r="AC3876" s="2" t="s">
        <v>29273</v>
      </c>
      <c r="AD3876" s="2" t="s">
        <v>46</v>
      </c>
    </row>
    <row r="3877" customFormat="false" ht="15.7" hidden="false" customHeight="true" outlineLevel="0" collapsed="false">
      <c r="A3877" s="2"/>
      <c r="B3877" s="3" t="n">
        <f aca="false">DATE(2018,10,17)</f>
        <v>0</v>
      </c>
      <c r="C3877" s="3" t="n">
        <v>43390</v>
      </c>
      <c r="D3877" s="2" t="s">
        <v>29274</v>
      </c>
      <c r="F3877" s="2" t="s">
        <v>29275</v>
      </c>
      <c r="G3877" s="2" t="s">
        <v>29276</v>
      </c>
      <c r="H3877" s="2" t="s">
        <v>29277</v>
      </c>
      <c r="I3877" s="2" t="s">
        <v>15586</v>
      </c>
      <c r="J3877" s="2" t="s">
        <v>3198</v>
      </c>
      <c r="K3877" s="2" t="s">
        <v>29278</v>
      </c>
      <c r="L3877" s="2" t="s">
        <v>15586</v>
      </c>
      <c r="M3877" s="2" t="s">
        <v>29277</v>
      </c>
      <c r="N3877" s="2" t="s">
        <v>29279</v>
      </c>
      <c r="O3877" s="2"/>
      <c r="P3877" s="2" t="s">
        <v>37</v>
      </c>
      <c r="Q3877" s="4" t="n">
        <v>7372</v>
      </c>
      <c r="R3877" s="2" t="s">
        <v>56</v>
      </c>
      <c r="S3877" s="2" t="s">
        <v>360</v>
      </c>
      <c r="T3877" s="2" t="s">
        <v>403</v>
      </c>
      <c r="U3877" s="2" t="s">
        <v>29280</v>
      </c>
      <c r="V3877" s="2"/>
      <c r="W3877" s="2" t="s">
        <v>29281</v>
      </c>
      <c r="X3877" s="2" t="s">
        <v>43</v>
      </c>
      <c r="Y3877" s="2" t="s">
        <v>37</v>
      </c>
      <c r="Z3877" s="2" t="s">
        <v>916</v>
      </c>
      <c r="AA3877" s="2"/>
      <c r="AB3877" s="2"/>
      <c r="AC3877" s="2" t="s">
        <v>29282</v>
      </c>
      <c r="AD3877" s="2" t="s">
        <v>46</v>
      </c>
    </row>
    <row r="3878" customFormat="false" ht="15.7" hidden="false" customHeight="true" outlineLevel="0" collapsed="false">
      <c r="A3878" s="2"/>
      <c r="B3878" s="3" t="n">
        <f aca="false">DATE(2018,10,17)</f>
        <v>0</v>
      </c>
      <c r="C3878" s="3" t="n">
        <v>43390</v>
      </c>
      <c r="D3878" s="2" t="s">
        <v>29283</v>
      </c>
      <c r="F3878" s="2" t="s">
        <v>29284</v>
      </c>
      <c r="G3878" s="2" t="s">
        <v>29285</v>
      </c>
      <c r="H3878" s="2" t="s">
        <v>29286</v>
      </c>
      <c r="I3878" s="2" t="s">
        <v>202</v>
      </c>
      <c r="J3878" s="2" t="s">
        <v>575</v>
      </c>
      <c r="K3878" s="2" t="s">
        <v>29283</v>
      </c>
      <c r="L3878" s="2" t="s">
        <v>202</v>
      </c>
      <c r="M3878" s="2" t="s">
        <v>29286</v>
      </c>
      <c r="N3878" s="2" t="s">
        <v>29287</v>
      </c>
      <c r="O3878" s="2"/>
      <c r="P3878" s="2" t="s">
        <v>37</v>
      </c>
      <c r="Q3878" s="4" t="n">
        <v>8731</v>
      </c>
      <c r="R3878" s="2" t="s">
        <v>29288</v>
      </c>
      <c r="S3878" s="2" t="s">
        <v>28563</v>
      </c>
      <c r="T3878" s="2" t="s">
        <v>40</v>
      </c>
      <c r="U3878" s="2" t="s">
        <v>29289</v>
      </c>
      <c r="V3878" s="2"/>
      <c r="W3878" s="2" t="s">
        <v>27982</v>
      </c>
      <c r="X3878" s="2" t="s">
        <v>43</v>
      </c>
      <c r="Y3878" s="2" t="s">
        <v>79</v>
      </c>
      <c r="Z3878" s="2" t="s">
        <v>44</v>
      </c>
      <c r="AA3878" s="2"/>
      <c r="AB3878" s="2"/>
      <c r="AC3878" s="2" t="s">
        <v>29290</v>
      </c>
      <c r="AD3878" s="2" t="s">
        <v>46</v>
      </c>
    </row>
    <row r="3879" customFormat="false" ht="15.7" hidden="false" customHeight="true" outlineLevel="0" collapsed="false">
      <c r="A3879" s="2"/>
      <c r="B3879" s="3" t="n">
        <f aca="false">DATE(2018,10,17)</f>
        <v>0</v>
      </c>
      <c r="C3879" s="3" t="n">
        <v>43390</v>
      </c>
      <c r="D3879" s="2" t="s">
        <v>29291</v>
      </c>
      <c r="F3879" s="2" t="s">
        <v>29292</v>
      </c>
      <c r="G3879" s="2" t="s">
        <v>29293</v>
      </c>
      <c r="H3879" s="2" t="s">
        <v>29294</v>
      </c>
      <c r="I3879" s="2" t="s">
        <v>5298</v>
      </c>
      <c r="J3879" s="2" t="s">
        <v>35</v>
      </c>
      <c r="K3879" s="2" t="s">
        <v>29291</v>
      </c>
      <c r="L3879" s="2" t="s">
        <v>5298</v>
      </c>
      <c r="M3879" s="2" t="s">
        <v>29294</v>
      </c>
      <c r="N3879" s="2" t="s">
        <v>29295</v>
      </c>
      <c r="O3879" s="2"/>
      <c r="P3879" s="2" t="s">
        <v>37</v>
      </c>
      <c r="Q3879" s="4" t="n">
        <v>8731</v>
      </c>
      <c r="R3879" s="2" t="s">
        <v>5704</v>
      </c>
      <c r="S3879" s="2" t="s">
        <v>39</v>
      </c>
      <c r="T3879" s="2" t="s">
        <v>40</v>
      </c>
      <c r="U3879" s="2" t="s">
        <v>29296</v>
      </c>
      <c r="V3879" s="2"/>
      <c r="W3879" s="2" t="s">
        <v>6901</v>
      </c>
      <c r="X3879" s="2" t="s">
        <v>43</v>
      </c>
      <c r="Y3879" s="2" t="s">
        <v>37</v>
      </c>
      <c r="Z3879" s="2" t="s">
        <v>44</v>
      </c>
      <c r="AA3879" s="2"/>
      <c r="AB3879" s="2"/>
      <c r="AC3879" s="2" t="s">
        <v>29297</v>
      </c>
      <c r="AD3879" s="2" t="s">
        <v>46</v>
      </c>
    </row>
    <row r="3880" customFormat="false" ht="15.7" hidden="false" customHeight="true" outlineLevel="0" collapsed="false">
      <c r="A3880" s="2"/>
      <c r="B3880" s="3" t="n">
        <f aca="false">DATE(2018,10,17)</f>
        <v>0</v>
      </c>
      <c r="C3880" s="3" t="n">
        <v>43390</v>
      </c>
      <c r="D3880" s="2" t="s">
        <v>29298</v>
      </c>
      <c r="F3880" s="2" t="s">
        <v>29299</v>
      </c>
      <c r="G3880" s="2" t="s">
        <v>29300</v>
      </c>
      <c r="H3880" s="2" t="s">
        <v>29301</v>
      </c>
      <c r="I3880" s="2" t="s">
        <v>459</v>
      </c>
      <c r="J3880" s="2" t="s">
        <v>35</v>
      </c>
      <c r="K3880" s="2" t="s">
        <v>29302</v>
      </c>
      <c r="L3880" s="2" t="s">
        <v>459</v>
      </c>
      <c r="M3880" s="2" t="s">
        <v>1574</v>
      </c>
      <c r="N3880" s="2" t="s">
        <v>29303</v>
      </c>
      <c r="O3880" s="2"/>
      <c r="P3880" s="2" t="s">
        <v>37</v>
      </c>
      <c r="Q3880" s="4" t="n">
        <v>5099</v>
      </c>
      <c r="R3880" s="2" t="s">
        <v>461</v>
      </c>
      <c r="S3880" s="2" t="s">
        <v>39</v>
      </c>
      <c r="T3880" s="2" t="s">
        <v>40</v>
      </c>
      <c r="U3880" s="2" t="s">
        <v>29304</v>
      </c>
      <c r="V3880" s="2"/>
      <c r="W3880" s="2" t="s">
        <v>13100</v>
      </c>
      <c r="X3880" s="2" t="s">
        <v>43</v>
      </c>
      <c r="Y3880" s="2" t="s">
        <v>37</v>
      </c>
      <c r="Z3880" s="2" t="s">
        <v>44</v>
      </c>
      <c r="AA3880" s="2"/>
      <c r="AB3880" s="2"/>
      <c r="AC3880" s="2" t="s">
        <v>29305</v>
      </c>
      <c r="AD3880" s="2" t="s">
        <v>46</v>
      </c>
    </row>
    <row r="3881" customFormat="false" ht="15.7" hidden="false" customHeight="true" outlineLevel="0" collapsed="false">
      <c r="A3881" s="2"/>
      <c r="B3881" s="3" t="n">
        <f aca="false">DATE(2018,10,17)</f>
        <v>0</v>
      </c>
      <c r="C3881" s="3" t="n">
        <v>43390</v>
      </c>
      <c r="D3881" s="2" t="s">
        <v>29306</v>
      </c>
      <c r="F3881" s="2" t="s">
        <v>29307</v>
      </c>
      <c r="G3881" s="2" t="s">
        <v>29308</v>
      </c>
      <c r="H3881" s="2" t="s">
        <v>2959</v>
      </c>
      <c r="I3881" s="2" t="s">
        <v>685</v>
      </c>
      <c r="J3881" s="2" t="s">
        <v>35</v>
      </c>
      <c r="K3881" s="2" t="s">
        <v>29306</v>
      </c>
      <c r="L3881" s="2" t="s">
        <v>685</v>
      </c>
      <c r="M3881" s="2" t="s">
        <v>2959</v>
      </c>
      <c r="N3881" s="2" t="s">
        <v>29309</v>
      </c>
      <c r="O3881" s="2"/>
      <c r="P3881" s="2" t="s">
        <v>37</v>
      </c>
      <c r="Q3881" s="4" t="n">
        <v>8731</v>
      </c>
      <c r="R3881" s="2" t="s">
        <v>688</v>
      </c>
      <c r="S3881" s="2" t="s">
        <v>39</v>
      </c>
      <c r="T3881" s="2" t="s">
        <v>40</v>
      </c>
      <c r="U3881" s="2" t="s">
        <v>29310</v>
      </c>
      <c r="V3881" s="2"/>
      <c r="W3881" s="2" t="s">
        <v>18966</v>
      </c>
      <c r="X3881" s="2" t="s">
        <v>43</v>
      </c>
      <c r="Y3881" s="2" t="s">
        <v>37</v>
      </c>
      <c r="Z3881" s="2" t="s">
        <v>44</v>
      </c>
      <c r="AA3881" s="2"/>
      <c r="AB3881" s="2"/>
      <c r="AC3881" s="2" t="s">
        <v>29311</v>
      </c>
      <c r="AD3881" s="2" t="s">
        <v>46</v>
      </c>
    </row>
    <row r="3882" customFormat="false" ht="15.7" hidden="false" customHeight="true" outlineLevel="0" collapsed="false">
      <c r="A3882" s="2"/>
      <c r="B3882" s="3" t="n">
        <f aca="false">DATE(2018,10,17)</f>
        <v>0</v>
      </c>
      <c r="C3882" s="3" t="n">
        <v>43390</v>
      </c>
      <c r="D3882" s="2" t="s">
        <v>29312</v>
      </c>
      <c r="F3882" s="2" t="s">
        <v>19085</v>
      </c>
      <c r="G3882" s="2" t="s">
        <v>29313</v>
      </c>
      <c r="H3882" s="2" t="s">
        <v>63</v>
      </c>
      <c r="I3882" s="2" t="s">
        <v>64</v>
      </c>
      <c r="J3882" s="2" t="s">
        <v>625</v>
      </c>
      <c r="K3882" s="2" t="s">
        <v>29314</v>
      </c>
      <c r="L3882" s="2" t="s">
        <v>64</v>
      </c>
      <c r="M3882" s="2" t="s">
        <v>170</v>
      </c>
      <c r="N3882" s="2" t="s">
        <v>29315</v>
      </c>
      <c r="O3882" s="2"/>
      <c r="P3882" s="2" t="s">
        <v>37</v>
      </c>
      <c r="Q3882" s="4" t="n">
        <v>8099</v>
      </c>
      <c r="R3882" s="2" t="s">
        <v>136</v>
      </c>
      <c r="S3882" s="2" t="s">
        <v>39</v>
      </c>
      <c r="T3882" s="2" t="s">
        <v>40</v>
      </c>
      <c r="U3882" s="2" t="s">
        <v>29316</v>
      </c>
      <c r="V3882" s="2"/>
      <c r="W3882" s="2" t="s">
        <v>4487</v>
      </c>
      <c r="X3882" s="2" t="s">
        <v>43</v>
      </c>
      <c r="Y3882" s="2" t="s">
        <v>37</v>
      </c>
      <c r="Z3882" s="2" t="s">
        <v>44</v>
      </c>
      <c r="AA3882" s="2"/>
      <c r="AB3882" s="2"/>
      <c r="AC3882" s="2" t="s">
        <v>29317</v>
      </c>
      <c r="AD3882" s="2" t="s">
        <v>46</v>
      </c>
    </row>
    <row r="3883" customFormat="false" ht="15.7" hidden="false" customHeight="true" outlineLevel="0" collapsed="false">
      <c r="A3883" s="3" t="n">
        <f aca="false">DATE(2018,10,17)</f>
        <v>0</v>
      </c>
      <c r="B3883" s="3" t="n">
        <f aca="false">DATE(2018,10,18)</f>
        <v>0</v>
      </c>
      <c r="C3883" s="3" t="n">
        <v>43391</v>
      </c>
      <c r="D3883" s="2" t="s">
        <v>29318</v>
      </c>
      <c r="F3883" s="2" t="s">
        <v>17957</v>
      </c>
      <c r="G3883" s="2" t="s">
        <v>29319</v>
      </c>
      <c r="H3883" s="2" t="s">
        <v>1020</v>
      </c>
      <c r="I3883" s="2" t="s">
        <v>51</v>
      </c>
      <c r="J3883" s="2" t="s">
        <v>23618</v>
      </c>
      <c r="K3883" s="2" t="s">
        <v>29318</v>
      </c>
      <c r="L3883" s="2" t="s">
        <v>51</v>
      </c>
      <c r="M3883" s="2" t="s">
        <v>1020</v>
      </c>
      <c r="N3883" s="2" t="s">
        <v>29320</v>
      </c>
      <c r="O3883" s="2"/>
      <c r="P3883" s="2" t="s">
        <v>37</v>
      </c>
      <c r="Q3883" s="4" t="n">
        <v>8731</v>
      </c>
      <c r="R3883" s="2" t="s">
        <v>56</v>
      </c>
      <c r="S3883" s="2"/>
      <c r="T3883" s="2" t="s">
        <v>14101</v>
      </c>
      <c r="U3883" s="2" t="s">
        <v>29321</v>
      </c>
      <c r="V3883" s="2"/>
      <c r="W3883" s="2" t="s">
        <v>42</v>
      </c>
      <c r="X3883" s="2" t="s">
        <v>43</v>
      </c>
      <c r="Y3883" s="2" t="s">
        <v>37</v>
      </c>
      <c r="Z3883" s="2" t="s">
        <v>44</v>
      </c>
      <c r="AA3883" s="2"/>
      <c r="AB3883" s="2"/>
      <c r="AC3883" s="2" t="s">
        <v>29322</v>
      </c>
      <c r="AD3883" s="2" t="s">
        <v>46</v>
      </c>
    </row>
    <row r="3884" customFormat="false" ht="15.7" hidden="false" customHeight="true" outlineLevel="0" collapsed="false">
      <c r="A3884" s="2"/>
      <c r="B3884" s="3" t="n">
        <f aca="false">DATE(2018,10,18)</f>
        <v>0</v>
      </c>
      <c r="C3884" s="3" t="n">
        <v>43391</v>
      </c>
      <c r="D3884" s="2" t="s">
        <v>29323</v>
      </c>
      <c r="F3884" s="2" t="s">
        <v>29324</v>
      </c>
      <c r="G3884" s="2" t="s">
        <v>29325</v>
      </c>
      <c r="H3884" s="2" t="s">
        <v>29326</v>
      </c>
      <c r="I3884" s="2" t="s">
        <v>29327</v>
      </c>
      <c r="J3884" s="2" t="s">
        <v>35</v>
      </c>
      <c r="K3884" s="2" t="s">
        <v>29323</v>
      </c>
      <c r="L3884" s="2" t="s">
        <v>29327</v>
      </c>
      <c r="M3884" s="2" t="s">
        <v>29326</v>
      </c>
      <c r="N3884" s="2" t="s">
        <v>29328</v>
      </c>
      <c r="O3884" s="2"/>
      <c r="P3884" s="2" t="s">
        <v>37</v>
      </c>
      <c r="Q3884" s="4" t="n">
        <v>8731</v>
      </c>
      <c r="R3884" s="2" t="s">
        <v>688</v>
      </c>
      <c r="S3884" s="2" t="s">
        <v>39</v>
      </c>
      <c r="T3884" s="2" t="s">
        <v>40</v>
      </c>
      <c r="U3884" s="2" t="s">
        <v>29329</v>
      </c>
      <c r="V3884" s="2"/>
      <c r="W3884" s="2" t="s">
        <v>42</v>
      </c>
      <c r="X3884" s="2" t="s">
        <v>43</v>
      </c>
      <c r="Y3884" s="2" t="s">
        <v>37</v>
      </c>
      <c r="Z3884" s="2" t="s">
        <v>44</v>
      </c>
      <c r="AA3884" s="2"/>
      <c r="AB3884" s="2"/>
      <c r="AC3884" s="2" t="s">
        <v>29330</v>
      </c>
      <c r="AD3884" s="2" t="s">
        <v>46</v>
      </c>
    </row>
    <row r="3885" customFormat="false" ht="15.7" hidden="false" customHeight="true" outlineLevel="0" collapsed="false">
      <c r="A3885" s="2"/>
      <c r="B3885" s="3" t="n">
        <f aca="false">DATE(2018,10,18)</f>
        <v>0</v>
      </c>
      <c r="C3885" s="3" t="n">
        <v>43391</v>
      </c>
      <c r="D3885" s="2" t="s">
        <v>29331</v>
      </c>
      <c r="F3885" s="2" t="s">
        <v>29332</v>
      </c>
      <c r="G3885" s="2" t="s">
        <v>29333</v>
      </c>
      <c r="H3885" s="2" t="s">
        <v>29334</v>
      </c>
      <c r="I3885" s="2" t="s">
        <v>1080</v>
      </c>
      <c r="J3885" s="2" t="s">
        <v>35</v>
      </c>
      <c r="K3885" s="2" t="s">
        <v>29331</v>
      </c>
      <c r="L3885" s="2" t="s">
        <v>1080</v>
      </c>
      <c r="M3885" s="2" t="s">
        <v>29334</v>
      </c>
      <c r="N3885" s="2" t="s">
        <v>29335</v>
      </c>
      <c r="O3885" s="2"/>
      <c r="P3885" s="2" t="s">
        <v>37</v>
      </c>
      <c r="Q3885" s="4" t="n">
        <v>8731</v>
      </c>
      <c r="R3885" s="2" t="s">
        <v>2201</v>
      </c>
      <c r="S3885" s="2" t="s">
        <v>39</v>
      </c>
      <c r="T3885" s="2" t="s">
        <v>40</v>
      </c>
      <c r="U3885" s="2" t="s">
        <v>29336</v>
      </c>
      <c r="V3885" s="2"/>
      <c r="W3885" s="2" t="s">
        <v>29337</v>
      </c>
      <c r="X3885" s="2" t="s">
        <v>43</v>
      </c>
      <c r="Y3885" s="2" t="s">
        <v>37</v>
      </c>
      <c r="Z3885" s="2" t="s">
        <v>44</v>
      </c>
      <c r="AA3885" s="2"/>
      <c r="AB3885" s="2"/>
      <c r="AC3885" s="2" t="s">
        <v>29338</v>
      </c>
      <c r="AD3885" s="2" t="s">
        <v>46</v>
      </c>
    </row>
    <row r="3886" customFormat="false" ht="15.7" hidden="false" customHeight="true" outlineLevel="0" collapsed="false">
      <c r="A3886" s="2"/>
      <c r="B3886" s="3" t="n">
        <f aca="false">DATE(2018,10,18)</f>
        <v>0</v>
      </c>
      <c r="C3886" s="3" t="n">
        <v>43391</v>
      </c>
      <c r="D3886" s="2" t="s">
        <v>29339</v>
      </c>
      <c r="F3886" s="2" t="s">
        <v>29340</v>
      </c>
      <c r="G3886" s="2" t="s">
        <v>29341</v>
      </c>
      <c r="H3886" s="2" t="s">
        <v>762</v>
      </c>
      <c r="I3886" s="2" t="s">
        <v>180</v>
      </c>
      <c r="J3886" s="2" t="s">
        <v>132</v>
      </c>
      <c r="K3886" s="2" t="s">
        <v>29339</v>
      </c>
      <c r="L3886" s="2" t="s">
        <v>180</v>
      </c>
      <c r="M3886" s="2" t="s">
        <v>1528</v>
      </c>
      <c r="N3886" s="2" t="s">
        <v>29342</v>
      </c>
      <c r="O3886" s="2"/>
      <c r="P3886" s="2" t="s">
        <v>37</v>
      </c>
      <c r="Q3886" s="4" t="n">
        <v>8731</v>
      </c>
      <c r="R3886" s="2" t="s">
        <v>180</v>
      </c>
      <c r="S3886" s="2" t="s">
        <v>28195</v>
      </c>
      <c r="T3886" s="2" t="s">
        <v>40</v>
      </c>
      <c r="U3886" s="2" t="s">
        <v>29343</v>
      </c>
      <c r="V3886" s="2"/>
      <c r="W3886" s="2" t="s">
        <v>42</v>
      </c>
      <c r="X3886" s="2" t="s">
        <v>43</v>
      </c>
      <c r="Y3886" s="2" t="s">
        <v>79</v>
      </c>
      <c r="Z3886" s="2" t="s">
        <v>44</v>
      </c>
      <c r="AA3886" s="2"/>
      <c r="AB3886" s="2"/>
      <c r="AC3886" s="2" t="s">
        <v>29344</v>
      </c>
      <c r="AD3886" s="2" t="s">
        <v>46</v>
      </c>
    </row>
    <row r="3887" customFormat="false" ht="15.7" hidden="false" customHeight="true" outlineLevel="0" collapsed="false">
      <c r="A3887" s="2"/>
      <c r="B3887" s="3" t="n">
        <f aca="false">DATE(2018,10,19)</f>
        <v>0</v>
      </c>
      <c r="C3887" s="3" t="n">
        <v>43392</v>
      </c>
      <c r="D3887" s="2" t="s">
        <v>29345</v>
      </c>
      <c r="F3887" s="2" t="s">
        <v>22407</v>
      </c>
      <c r="G3887" s="2" t="s">
        <v>29346</v>
      </c>
      <c r="H3887" s="2" t="s">
        <v>762</v>
      </c>
      <c r="I3887" s="2" t="s">
        <v>51</v>
      </c>
      <c r="J3887" s="2" t="s">
        <v>1224</v>
      </c>
      <c r="K3887" s="2" t="s">
        <v>29347</v>
      </c>
      <c r="L3887" s="2" t="s">
        <v>34</v>
      </c>
      <c r="M3887" s="2" t="s">
        <v>130</v>
      </c>
      <c r="N3887" s="2" t="s">
        <v>29348</v>
      </c>
      <c r="O3887" s="2"/>
      <c r="P3887" s="2" t="s">
        <v>37</v>
      </c>
      <c r="Q3887" s="4" t="n">
        <v>6794</v>
      </c>
      <c r="R3887" s="2" t="s">
        <v>56</v>
      </c>
      <c r="S3887" s="2" t="s">
        <v>80</v>
      </c>
      <c r="T3887" s="2" t="s">
        <v>40</v>
      </c>
      <c r="U3887" s="2" t="s">
        <v>29349</v>
      </c>
      <c r="V3887" s="2"/>
      <c r="W3887" s="2" t="s">
        <v>24466</v>
      </c>
      <c r="X3887" s="2" t="s">
        <v>43</v>
      </c>
      <c r="Y3887" s="2" t="s">
        <v>37</v>
      </c>
      <c r="Z3887" s="2" t="s">
        <v>44</v>
      </c>
      <c r="AA3887" s="2"/>
      <c r="AB3887" s="2"/>
      <c r="AC3887" s="2" t="s">
        <v>29350</v>
      </c>
      <c r="AD3887" s="2" t="s">
        <v>46</v>
      </c>
    </row>
    <row r="3888" customFormat="false" ht="15.7" hidden="false" customHeight="true" outlineLevel="0" collapsed="false">
      <c r="A3888" s="2"/>
      <c r="B3888" s="3" t="n">
        <f aca="false">DATE(2018,10,19)</f>
        <v>0</v>
      </c>
      <c r="C3888" s="3" t="n">
        <v>43392</v>
      </c>
      <c r="D3888" s="2" t="s">
        <v>29351</v>
      </c>
      <c r="F3888" s="2" t="s">
        <v>29352</v>
      </c>
      <c r="G3888" s="2" t="s">
        <v>29353</v>
      </c>
      <c r="H3888" s="2" t="s">
        <v>63</v>
      </c>
      <c r="I3888" s="2" t="s">
        <v>51</v>
      </c>
      <c r="J3888" s="2" t="s">
        <v>29354</v>
      </c>
      <c r="K3888" s="2" t="s">
        <v>29355</v>
      </c>
      <c r="L3888" s="2" t="s">
        <v>388</v>
      </c>
      <c r="M3888" s="2" t="s">
        <v>2959</v>
      </c>
      <c r="N3888" s="2" t="s">
        <v>29356</v>
      </c>
      <c r="O3888" s="2"/>
      <c r="P3888" s="2" t="s">
        <v>37</v>
      </c>
      <c r="Q3888" s="4" t="n">
        <v>8731</v>
      </c>
      <c r="R3888" s="2" t="s">
        <v>56</v>
      </c>
      <c r="S3888" s="2" t="s">
        <v>977</v>
      </c>
      <c r="T3888" s="2" t="s">
        <v>40</v>
      </c>
      <c r="U3888" s="2" t="s">
        <v>29357</v>
      </c>
      <c r="V3888" s="2"/>
      <c r="W3888" s="2" t="s">
        <v>42</v>
      </c>
      <c r="X3888" s="2" t="s">
        <v>43</v>
      </c>
      <c r="Y3888" s="2" t="s">
        <v>37</v>
      </c>
      <c r="Z3888" s="2" t="s">
        <v>44</v>
      </c>
      <c r="AA3888" s="2"/>
      <c r="AB3888" s="2"/>
      <c r="AC3888" s="2" t="s">
        <v>29358</v>
      </c>
      <c r="AD3888" s="2" t="s">
        <v>46</v>
      </c>
    </row>
    <row r="3889" customFormat="false" ht="15.7" hidden="false" customHeight="true" outlineLevel="0" collapsed="false">
      <c r="A3889" s="2"/>
      <c r="B3889" s="3" t="n">
        <f aca="false">DATE(2018,10,22)</f>
        <v>0</v>
      </c>
      <c r="C3889" s="3" t="n">
        <v>43395</v>
      </c>
      <c r="D3889" s="2" t="s">
        <v>29359</v>
      </c>
      <c r="F3889" s="2" t="s">
        <v>17484</v>
      </c>
      <c r="G3889" s="2" t="s">
        <v>29360</v>
      </c>
      <c r="H3889" s="2" t="s">
        <v>305</v>
      </c>
      <c r="I3889" s="2" t="s">
        <v>51</v>
      </c>
      <c r="J3889" s="2" t="s">
        <v>4804</v>
      </c>
      <c r="K3889" s="2" t="s">
        <v>29359</v>
      </c>
      <c r="L3889" s="2" t="s">
        <v>51</v>
      </c>
      <c r="M3889" s="2" t="s">
        <v>305</v>
      </c>
      <c r="N3889" s="2" t="s">
        <v>29361</v>
      </c>
      <c r="O3889" s="2"/>
      <c r="P3889" s="2" t="s">
        <v>79</v>
      </c>
      <c r="Q3889" s="4" t="n">
        <v>8099</v>
      </c>
      <c r="R3889" s="2" t="s">
        <v>56</v>
      </c>
      <c r="S3889" s="2" t="s">
        <v>92</v>
      </c>
      <c r="T3889" s="2" t="s">
        <v>403</v>
      </c>
      <c r="U3889" s="2" t="s">
        <v>29362</v>
      </c>
      <c r="V3889" s="2"/>
      <c r="W3889" s="2" t="s">
        <v>20757</v>
      </c>
      <c r="X3889" s="2" t="s">
        <v>43</v>
      </c>
      <c r="Y3889" s="2" t="s">
        <v>37</v>
      </c>
      <c r="Z3889" s="2" t="s">
        <v>44</v>
      </c>
      <c r="AA3889" s="2"/>
      <c r="AB3889" s="2"/>
      <c r="AC3889" s="2" t="s">
        <v>29363</v>
      </c>
      <c r="AD3889" s="2" t="s">
        <v>46</v>
      </c>
    </row>
    <row r="3890" customFormat="false" ht="15.7" hidden="false" customHeight="true" outlineLevel="0" collapsed="false">
      <c r="A3890" s="2"/>
      <c r="B3890" s="3" t="n">
        <f aca="false">DATE(2018,10,22)</f>
        <v>0</v>
      </c>
      <c r="C3890" s="3" t="n">
        <v>43395</v>
      </c>
      <c r="D3890" s="2" t="s">
        <v>29364</v>
      </c>
      <c r="F3890" s="2" t="s">
        <v>29365</v>
      </c>
      <c r="G3890" s="2" t="s">
        <v>29366</v>
      </c>
      <c r="H3890" s="2" t="s">
        <v>29367</v>
      </c>
      <c r="I3890" s="2" t="s">
        <v>51</v>
      </c>
      <c r="J3890" s="2" t="s">
        <v>2980</v>
      </c>
      <c r="K3890" s="2" t="s">
        <v>29368</v>
      </c>
      <c r="L3890" s="2" t="s">
        <v>3103</v>
      </c>
      <c r="M3890" s="2" t="s">
        <v>29369</v>
      </c>
      <c r="N3890" s="2" t="s">
        <v>29370</v>
      </c>
      <c r="O3890" s="2"/>
      <c r="P3890" s="2" t="s">
        <v>37</v>
      </c>
      <c r="Q3890" s="4" t="n">
        <v>8099</v>
      </c>
      <c r="R3890" s="2" t="s">
        <v>56</v>
      </c>
      <c r="S3890" s="2"/>
      <c r="T3890" s="2" t="s">
        <v>403</v>
      </c>
      <c r="U3890" s="2" t="s">
        <v>29371</v>
      </c>
      <c r="V3890" s="2"/>
      <c r="W3890" s="2" t="s">
        <v>4487</v>
      </c>
      <c r="X3890" s="2" t="s">
        <v>43</v>
      </c>
      <c r="Y3890" s="2" t="s">
        <v>37</v>
      </c>
      <c r="Z3890" s="2" t="s">
        <v>44</v>
      </c>
      <c r="AA3890" s="2"/>
      <c r="AB3890" s="2"/>
      <c r="AC3890" s="2" t="s">
        <v>29372</v>
      </c>
      <c r="AD3890" s="2" t="s">
        <v>46</v>
      </c>
    </row>
    <row r="3891" customFormat="false" ht="15.7" hidden="false" customHeight="true" outlineLevel="0" collapsed="false">
      <c r="A3891" s="2"/>
      <c r="B3891" s="3" t="n">
        <f aca="false">DATE(2018,10,23)</f>
        <v>0</v>
      </c>
      <c r="C3891" s="3" t="n">
        <v>43396</v>
      </c>
      <c r="D3891" s="2" t="s">
        <v>29373</v>
      </c>
      <c r="F3891" s="2" t="s">
        <v>29045</v>
      </c>
      <c r="G3891" s="2" t="s">
        <v>29374</v>
      </c>
      <c r="H3891" s="2" t="s">
        <v>29047</v>
      </c>
      <c r="I3891" s="2" t="s">
        <v>51</v>
      </c>
      <c r="J3891" s="2" t="s">
        <v>29375</v>
      </c>
      <c r="K3891" s="2" t="s">
        <v>29373</v>
      </c>
      <c r="L3891" s="2" t="s">
        <v>51</v>
      </c>
      <c r="M3891" s="2" t="s">
        <v>29047</v>
      </c>
      <c r="N3891" s="2" t="s">
        <v>29376</v>
      </c>
      <c r="O3891" s="2"/>
      <c r="P3891" s="2" t="s">
        <v>37</v>
      </c>
      <c r="Q3891" s="4" t="n">
        <v>8731</v>
      </c>
      <c r="R3891" s="2" t="s">
        <v>56</v>
      </c>
      <c r="S3891" s="2" t="s">
        <v>3510</v>
      </c>
      <c r="T3891" s="2" t="s">
        <v>40</v>
      </c>
      <c r="U3891" s="2" t="s">
        <v>29377</v>
      </c>
      <c r="V3891" s="2"/>
      <c r="W3891" s="2" t="s">
        <v>29378</v>
      </c>
      <c r="X3891" s="2" t="s">
        <v>43</v>
      </c>
      <c r="Y3891" s="2" t="s">
        <v>37</v>
      </c>
      <c r="Z3891" s="2" t="s">
        <v>44</v>
      </c>
      <c r="AA3891" s="2"/>
      <c r="AB3891" s="2"/>
      <c r="AC3891" s="2" t="s">
        <v>29379</v>
      </c>
      <c r="AD3891" s="2" t="s">
        <v>46</v>
      </c>
    </row>
    <row r="3892" customFormat="false" ht="15.7" hidden="false" customHeight="true" outlineLevel="0" collapsed="false">
      <c r="A3892" s="2"/>
      <c r="B3892" s="3" t="n">
        <f aca="false">DATE(2018,10,23)</f>
        <v>0</v>
      </c>
      <c r="C3892" s="3" t="n">
        <v>43396</v>
      </c>
      <c r="D3892" s="2" t="s">
        <v>29380</v>
      </c>
      <c r="F3892" s="2" t="s">
        <v>23150</v>
      </c>
      <c r="G3892" s="2" t="s">
        <v>29381</v>
      </c>
      <c r="H3892" s="2" t="s">
        <v>9068</v>
      </c>
      <c r="I3892" s="2" t="s">
        <v>540</v>
      </c>
      <c r="J3892" s="2" t="s">
        <v>35</v>
      </c>
      <c r="K3892" s="2" t="s">
        <v>29380</v>
      </c>
      <c r="L3892" s="2" t="s">
        <v>540</v>
      </c>
      <c r="M3892" s="2" t="s">
        <v>9068</v>
      </c>
      <c r="N3892" s="2" t="s">
        <v>29382</v>
      </c>
      <c r="O3892" s="2"/>
      <c r="P3892" s="2" t="s">
        <v>37</v>
      </c>
      <c r="Q3892" s="4" t="n">
        <v>8731</v>
      </c>
      <c r="R3892" s="2" t="s">
        <v>1448</v>
      </c>
      <c r="S3892" s="2" t="s">
        <v>39</v>
      </c>
      <c r="T3892" s="2" t="s">
        <v>403</v>
      </c>
      <c r="U3892" s="2" t="s">
        <v>29383</v>
      </c>
      <c r="V3892" s="2"/>
      <c r="W3892" s="2" t="s">
        <v>42</v>
      </c>
      <c r="X3892" s="2" t="s">
        <v>43</v>
      </c>
      <c r="Y3892" s="2" t="s">
        <v>37</v>
      </c>
      <c r="Z3892" s="2" t="s">
        <v>44</v>
      </c>
      <c r="AA3892" s="2"/>
      <c r="AB3892" s="2"/>
      <c r="AC3892" s="2" t="s">
        <v>29384</v>
      </c>
      <c r="AD3892" s="2" t="s">
        <v>46</v>
      </c>
    </row>
    <row r="3893" customFormat="false" ht="15.7" hidden="false" customHeight="true" outlineLevel="0" collapsed="false">
      <c r="A3893" s="2"/>
      <c r="B3893" s="3" t="n">
        <f aca="false">DATE(2018,10,23)</f>
        <v>0</v>
      </c>
      <c r="C3893" s="3" t="n">
        <v>43396</v>
      </c>
      <c r="D3893" s="2" t="s">
        <v>29385</v>
      </c>
      <c r="F3893" s="2" t="s">
        <v>29386</v>
      </c>
      <c r="G3893" s="2" t="s">
        <v>29387</v>
      </c>
      <c r="H3893" s="2" t="s">
        <v>3110</v>
      </c>
      <c r="I3893" s="2" t="s">
        <v>5999</v>
      </c>
      <c r="J3893" s="2" t="s">
        <v>1413</v>
      </c>
      <c r="K3893" s="2" t="s">
        <v>29388</v>
      </c>
      <c r="L3893" s="2" t="s">
        <v>5999</v>
      </c>
      <c r="M3893" s="2" t="s">
        <v>3110</v>
      </c>
      <c r="N3893" s="2" t="s">
        <v>29389</v>
      </c>
      <c r="O3893" s="2"/>
      <c r="P3893" s="2" t="s">
        <v>79</v>
      </c>
      <c r="Q3893" s="4" t="n">
        <v>8731</v>
      </c>
      <c r="R3893" s="2" t="s">
        <v>402</v>
      </c>
      <c r="S3893" s="2" t="s">
        <v>39</v>
      </c>
      <c r="T3893" s="2" t="s">
        <v>403</v>
      </c>
      <c r="U3893" s="2" t="s">
        <v>29390</v>
      </c>
      <c r="V3893" s="2"/>
      <c r="W3893" s="2" t="s">
        <v>773</v>
      </c>
      <c r="X3893" s="2" t="s">
        <v>46</v>
      </c>
      <c r="Y3893" s="2" t="s">
        <v>37</v>
      </c>
      <c r="Z3893" s="2" t="s">
        <v>2732</v>
      </c>
      <c r="AA3893" s="2"/>
      <c r="AB3893" s="2"/>
      <c r="AC3893" s="2" t="s">
        <v>29391</v>
      </c>
      <c r="AD3893" s="2" t="s">
        <v>46</v>
      </c>
    </row>
    <row r="3894" customFormat="false" ht="15.7" hidden="false" customHeight="true" outlineLevel="0" collapsed="false">
      <c r="A3894" s="2"/>
      <c r="B3894" s="3" t="n">
        <f aca="false">DATE(2018,10,23)</f>
        <v>0</v>
      </c>
      <c r="C3894" s="3" t="n">
        <v>43396</v>
      </c>
      <c r="D3894" s="2" t="s">
        <v>29392</v>
      </c>
      <c r="F3894" s="2" t="s">
        <v>29393</v>
      </c>
      <c r="G3894" s="2" t="s">
        <v>29394</v>
      </c>
      <c r="H3894" s="2" t="s">
        <v>50</v>
      </c>
      <c r="I3894" s="2" t="s">
        <v>51</v>
      </c>
      <c r="J3894" s="2" t="s">
        <v>1496</v>
      </c>
      <c r="K3894" s="2" t="s">
        <v>29392</v>
      </c>
      <c r="L3894" s="2" t="s">
        <v>51</v>
      </c>
      <c r="M3894" s="2" t="s">
        <v>50</v>
      </c>
      <c r="N3894" s="2" t="s">
        <v>29395</v>
      </c>
      <c r="O3894" s="2"/>
      <c r="P3894" s="2" t="s">
        <v>37</v>
      </c>
      <c r="Q3894" s="4" t="n">
        <v>7372</v>
      </c>
      <c r="R3894" s="2" t="s">
        <v>56</v>
      </c>
      <c r="S3894" s="2" t="s">
        <v>92</v>
      </c>
      <c r="T3894" s="2" t="s">
        <v>40</v>
      </c>
      <c r="U3894" s="2" t="s">
        <v>29396</v>
      </c>
      <c r="V3894" s="2"/>
      <c r="W3894" s="2" t="s">
        <v>6066</v>
      </c>
      <c r="X3894" s="2" t="s">
        <v>43</v>
      </c>
      <c r="Y3894" s="2" t="s">
        <v>37</v>
      </c>
      <c r="Z3894" s="2" t="s">
        <v>44</v>
      </c>
      <c r="AA3894" s="2"/>
      <c r="AB3894" s="2"/>
      <c r="AC3894" s="2" t="s">
        <v>29397</v>
      </c>
      <c r="AD3894" s="2" t="s">
        <v>46</v>
      </c>
    </row>
    <row r="3895" customFormat="false" ht="15.7" hidden="false" customHeight="true" outlineLevel="0" collapsed="false">
      <c r="A3895" s="2"/>
      <c r="B3895" s="3" t="n">
        <f aca="false">DATE(2018,10,23)</f>
        <v>0</v>
      </c>
      <c r="C3895" s="3" t="n">
        <v>43396</v>
      </c>
      <c r="D3895" s="2" t="s">
        <v>29398</v>
      </c>
      <c r="F3895" s="2" t="s">
        <v>29399</v>
      </c>
      <c r="G3895" s="2" t="s">
        <v>29400</v>
      </c>
      <c r="H3895" s="2" t="s">
        <v>1101</v>
      </c>
      <c r="I3895" s="2" t="s">
        <v>51</v>
      </c>
      <c r="J3895" s="2" t="s">
        <v>2190</v>
      </c>
      <c r="K3895" s="2" t="s">
        <v>29401</v>
      </c>
      <c r="L3895" s="2" t="s">
        <v>51</v>
      </c>
      <c r="M3895" s="2" t="s">
        <v>814</v>
      </c>
      <c r="N3895" s="2" t="s">
        <v>29402</v>
      </c>
      <c r="O3895" s="2"/>
      <c r="P3895" s="2" t="s">
        <v>37</v>
      </c>
      <c r="Q3895" s="4" t="n">
        <v>8731</v>
      </c>
      <c r="R3895" s="2" t="s">
        <v>56</v>
      </c>
      <c r="S3895" s="2"/>
      <c r="T3895" s="2" t="s">
        <v>403</v>
      </c>
      <c r="U3895" s="2" t="s">
        <v>29403</v>
      </c>
      <c r="V3895" s="2"/>
      <c r="W3895" s="2" t="s">
        <v>344</v>
      </c>
      <c r="X3895" s="2" t="s">
        <v>43</v>
      </c>
      <c r="Y3895" s="2" t="s">
        <v>37</v>
      </c>
      <c r="Z3895" s="2" t="s">
        <v>44</v>
      </c>
      <c r="AA3895" s="2"/>
      <c r="AB3895" s="2"/>
      <c r="AC3895" s="2" t="s">
        <v>29404</v>
      </c>
      <c r="AD3895" s="2" t="s">
        <v>46</v>
      </c>
    </row>
    <row r="3896" customFormat="false" ht="15.7" hidden="false" customHeight="true" outlineLevel="0" collapsed="false">
      <c r="A3896" s="2"/>
      <c r="B3896" s="3" t="n">
        <f aca="false">DATE(2018,10,23)</f>
        <v>0</v>
      </c>
      <c r="C3896" s="3" t="n">
        <v>43396</v>
      </c>
      <c r="D3896" s="2" t="s">
        <v>29405</v>
      </c>
      <c r="F3896" s="2" t="s">
        <v>29406</v>
      </c>
      <c r="G3896" s="2" t="s">
        <v>29407</v>
      </c>
      <c r="H3896" s="2" t="s">
        <v>63</v>
      </c>
      <c r="I3896" s="2" t="s">
        <v>6245</v>
      </c>
      <c r="J3896" s="2" t="s">
        <v>35</v>
      </c>
      <c r="K3896" s="2" t="s">
        <v>29405</v>
      </c>
      <c r="L3896" s="2" t="s">
        <v>6245</v>
      </c>
      <c r="M3896" s="2" t="s">
        <v>63</v>
      </c>
      <c r="N3896" s="2" t="s">
        <v>29408</v>
      </c>
      <c r="O3896" s="2"/>
      <c r="P3896" s="2" t="s">
        <v>79</v>
      </c>
      <c r="Q3896" s="4" t="n">
        <v>8099</v>
      </c>
      <c r="R3896" s="2" t="s">
        <v>688</v>
      </c>
      <c r="S3896" s="2" t="s">
        <v>39</v>
      </c>
      <c r="T3896" s="2" t="s">
        <v>40</v>
      </c>
      <c r="U3896" s="2" t="s">
        <v>29409</v>
      </c>
      <c r="V3896" s="2"/>
      <c r="W3896" s="2" t="s">
        <v>4487</v>
      </c>
      <c r="X3896" s="2" t="s">
        <v>43</v>
      </c>
      <c r="Y3896" s="2" t="s">
        <v>37</v>
      </c>
      <c r="Z3896" s="2" t="s">
        <v>44</v>
      </c>
      <c r="AA3896" s="2" t="s">
        <v>29410</v>
      </c>
      <c r="AB3896" s="2"/>
      <c r="AC3896" s="2" t="s">
        <v>29411</v>
      </c>
      <c r="AD3896" s="2" t="s">
        <v>46</v>
      </c>
    </row>
    <row r="3897" customFormat="false" ht="15.7" hidden="false" customHeight="true" outlineLevel="0" collapsed="false">
      <c r="A3897" s="2"/>
      <c r="B3897" s="3" t="n">
        <f aca="false">DATE(2018,10,23)</f>
        <v>0</v>
      </c>
      <c r="C3897" s="3" t="n">
        <v>43396</v>
      </c>
      <c r="D3897" s="2" t="s">
        <v>29412</v>
      </c>
      <c r="F3897" s="2" t="s">
        <v>20650</v>
      </c>
      <c r="G3897" s="2" t="s">
        <v>29413</v>
      </c>
      <c r="H3897" s="2" t="s">
        <v>130</v>
      </c>
      <c r="I3897" s="2" t="s">
        <v>4325</v>
      </c>
      <c r="J3897" s="2" t="s">
        <v>35</v>
      </c>
      <c r="K3897" s="2" t="s">
        <v>29414</v>
      </c>
      <c r="L3897" s="2" t="s">
        <v>4325</v>
      </c>
      <c r="M3897" s="2" t="s">
        <v>551</v>
      </c>
      <c r="N3897" s="2" t="s">
        <v>29415</v>
      </c>
      <c r="O3897" s="2"/>
      <c r="P3897" s="2" t="s">
        <v>37</v>
      </c>
      <c r="Q3897" s="4" t="n">
        <v>8731</v>
      </c>
      <c r="R3897" s="2" t="s">
        <v>402</v>
      </c>
      <c r="S3897" s="2" t="s">
        <v>39</v>
      </c>
      <c r="T3897" s="2" t="s">
        <v>40</v>
      </c>
      <c r="U3897" s="2" t="s">
        <v>29416</v>
      </c>
      <c r="V3897" s="2"/>
      <c r="W3897" s="2" t="s">
        <v>2056</v>
      </c>
      <c r="X3897" s="2" t="s">
        <v>43</v>
      </c>
      <c r="Y3897" s="2" t="s">
        <v>37</v>
      </c>
      <c r="Z3897" s="2" t="s">
        <v>44</v>
      </c>
      <c r="AA3897" s="2"/>
      <c r="AB3897" s="2"/>
      <c r="AC3897" s="2" t="s">
        <v>29417</v>
      </c>
      <c r="AD3897" s="2" t="s">
        <v>46</v>
      </c>
    </row>
    <row r="3898" customFormat="false" ht="15.7" hidden="false" customHeight="true" outlineLevel="0" collapsed="false">
      <c r="A3898" s="2"/>
      <c r="B3898" s="3" t="n">
        <f aca="false">DATE(2018,10,24)</f>
        <v>0</v>
      </c>
      <c r="C3898" s="3" t="n">
        <v>43397</v>
      </c>
      <c r="D3898" s="2" t="s">
        <v>29418</v>
      </c>
      <c r="F3898" s="2" t="s">
        <v>29419</v>
      </c>
      <c r="G3898" s="2" t="s">
        <v>29420</v>
      </c>
      <c r="H3898" s="2" t="s">
        <v>4926</v>
      </c>
      <c r="I3898" s="2" t="s">
        <v>821</v>
      </c>
      <c r="J3898" s="2" t="s">
        <v>575</v>
      </c>
      <c r="K3898" s="2" t="s">
        <v>29418</v>
      </c>
      <c r="L3898" s="2" t="s">
        <v>821</v>
      </c>
      <c r="M3898" s="2" t="s">
        <v>4926</v>
      </c>
      <c r="N3898" s="2" t="s">
        <v>29421</v>
      </c>
      <c r="O3898" s="2"/>
      <c r="P3898" s="2" t="s">
        <v>37</v>
      </c>
      <c r="Q3898" s="4" t="n">
        <v>8731</v>
      </c>
      <c r="R3898" s="2" t="s">
        <v>450</v>
      </c>
      <c r="S3898" s="2" t="s">
        <v>39</v>
      </c>
      <c r="T3898" s="2" t="s">
        <v>403</v>
      </c>
      <c r="U3898" s="2" t="s">
        <v>29422</v>
      </c>
      <c r="V3898" s="2"/>
      <c r="W3898" s="2" t="s">
        <v>18966</v>
      </c>
      <c r="X3898" s="2" t="s">
        <v>43</v>
      </c>
      <c r="Y3898" s="2" t="s">
        <v>37</v>
      </c>
      <c r="Z3898" s="2" t="s">
        <v>44</v>
      </c>
      <c r="AA3898" s="2"/>
      <c r="AB3898" s="2"/>
      <c r="AC3898" s="2" t="s">
        <v>29423</v>
      </c>
      <c r="AD3898" s="2" t="s">
        <v>46</v>
      </c>
    </row>
    <row r="3899" customFormat="false" ht="15.7" hidden="false" customHeight="true" outlineLevel="0" collapsed="false">
      <c r="A3899" s="2"/>
      <c r="B3899" s="3" t="n">
        <f aca="false">DATE(2018,10,24)</f>
        <v>0</v>
      </c>
      <c r="C3899" s="3" t="n">
        <v>43397</v>
      </c>
      <c r="D3899" s="2" t="s">
        <v>29424</v>
      </c>
      <c r="F3899" s="2" t="s">
        <v>29425</v>
      </c>
      <c r="G3899" s="2" t="s">
        <v>29426</v>
      </c>
      <c r="H3899" s="2" t="s">
        <v>29427</v>
      </c>
      <c r="I3899" s="2" t="s">
        <v>51</v>
      </c>
      <c r="J3899" s="2" t="s">
        <v>22996</v>
      </c>
      <c r="K3899" s="2" t="s">
        <v>29424</v>
      </c>
      <c r="L3899" s="2" t="s">
        <v>51</v>
      </c>
      <c r="M3899" s="2" t="s">
        <v>29427</v>
      </c>
      <c r="N3899" s="2" t="s">
        <v>29428</v>
      </c>
      <c r="O3899" s="2"/>
      <c r="P3899" s="2" t="s">
        <v>37</v>
      </c>
      <c r="Q3899" s="4" t="n">
        <v>6794</v>
      </c>
      <c r="R3899" s="2" t="s">
        <v>7737</v>
      </c>
      <c r="S3899" s="2" t="s">
        <v>5334</v>
      </c>
      <c r="T3899" s="2" t="s">
        <v>40</v>
      </c>
      <c r="U3899" s="2" t="s">
        <v>29429</v>
      </c>
      <c r="V3899" s="2"/>
      <c r="W3899" s="2" t="s">
        <v>206</v>
      </c>
      <c r="X3899" s="2" t="s">
        <v>43</v>
      </c>
      <c r="Y3899" s="2" t="s">
        <v>79</v>
      </c>
      <c r="Z3899" s="2" t="s">
        <v>44</v>
      </c>
      <c r="AA3899" s="2"/>
      <c r="AB3899" s="2"/>
      <c r="AC3899" s="2" t="s">
        <v>29430</v>
      </c>
      <c r="AD3899" s="2" t="s">
        <v>46</v>
      </c>
    </row>
    <row r="3900" customFormat="false" ht="15.7" hidden="false" customHeight="true" outlineLevel="0" collapsed="false">
      <c r="A3900" s="2"/>
      <c r="B3900" s="3" t="n">
        <f aca="false">DATE(2018,10,24)</f>
        <v>0</v>
      </c>
      <c r="C3900" s="3" t="n">
        <v>43397</v>
      </c>
      <c r="D3900" s="2" t="s">
        <v>29431</v>
      </c>
      <c r="F3900" s="2" t="s">
        <v>29432</v>
      </c>
      <c r="G3900" s="2" t="s">
        <v>29433</v>
      </c>
      <c r="H3900" s="2" t="s">
        <v>22041</v>
      </c>
      <c r="I3900" s="2" t="s">
        <v>670</v>
      </c>
      <c r="J3900" s="2" t="s">
        <v>1983</v>
      </c>
      <c r="K3900" s="2" t="s">
        <v>29434</v>
      </c>
      <c r="L3900" s="2" t="s">
        <v>17852</v>
      </c>
      <c r="M3900" s="2" t="s">
        <v>29435</v>
      </c>
      <c r="N3900" s="2" t="s">
        <v>29436</v>
      </c>
      <c r="O3900" s="2"/>
      <c r="P3900" s="2" t="s">
        <v>37</v>
      </c>
      <c r="Q3900" s="4" t="n">
        <v>8731</v>
      </c>
      <c r="R3900" s="2" t="s">
        <v>402</v>
      </c>
      <c r="S3900" s="2" t="s">
        <v>39</v>
      </c>
      <c r="T3900" s="2" t="s">
        <v>403</v>
      </c>
      <c r="U3900" s="2" t="s">
        <v>29437</v>
      </c>
      <c r="V3900" s="2"/>
      <c r="W3900" s="2" t="s">
        <v>42</v>
      </c>
      <c r="X3900" s="2" t="s">
        <v>43</v>
      </c>
      <c r="Y3900" s="2" t="s">
        <v>37</v>
      </c>
      <c r="Z3900" s="2" t="s">
        <v>44</v>
      </c>
      <c r="AA3900" s="2"/>
      <c r="AB3900" s="2"/>
      <c r="AC3900" s="2" t="s">
        <v>29438</v>
      </c>
      <c r="AD3900" s="2" t="s">
        <v>46</v>
      </c>
    </row>
    <row r="3901" customFormat="false" ht="15.7" hidden="false" customHeight="true" outlineLevel="0" collapsed="false">
      <c r="A3901" s="2"/>
      <c r="B3901" s="3" t="n">
        <f aca="false">DATE(2018,10,24)</f>
        <v>0</v>
      </c>
      <c r="C3901" s="3" t="n">
        <v>43397</v>
      </c>
      <c r="D3901" s="2" t="s">
        <v>29439</v>
      </c>
      <c r="F3901" s="2" t="s">
        <v>29440</v>
      </c>
      <c r="G3901" s="2" t="s">
        <v>29441</v>
      </c>
      <c r="H3901" s="2" t="s">
        <v>4630</v>
      </c>
      <c r="I3901" s="2" t="s">
        <v>4341</v>
      </c>
      <c r="J3901" s="2" t="s">
        <v>35</v>
      </c>
      <c r="K3901" s="2" t="s">
        <v>29442</v>
      </c>
      <c r="L3901" s="2" t="s">
        <v>4341</v>
      </c>
      <c r="M3901" s="2" t="s">
        <v>7311</v>
      </c>
      <c r="N3901" s="2" t="s">
        <v>29443</v>
      </c>
      <c r="O3901" s="2"/>
      <c r="P3901" s="2" t="s">
        <v>37</v>
      </c>
      <c r="Q3901" s="4" t="n">
        <v>8731</v>
      </c>
      <c r="R3901" s="2" t="s">
        <v>4341</v>
      </c>
      <c r="S3901" s="2" t="s">
        <v>5334</v>
      </c>
      <c r="T3901" s="2" t="s">
        <v>40</v>
      </c>
      <c r="U3901" s="2" t="s">
        <v>29444</v>
      </c>
      <c r="V3901" s="2"/>
      <c r="W3901" s="2" t="s">
        <v>10841</v>
      </c>
      <c r="X3901" s="2" t="s">
        <v>46</v>
      </c>
      <c r="Y3901" s="2" t="s">
        <v>79</v>
      </c>
      <c r="Z3901" s="2" t="s">
        <v>44</v>
      </c>
      <c r="AA3901" s="2"/>
      <c r="AB3901" s="2"/>
      <c r="AC3901" s="2" t="s">
        <v>29445</v>
      </c>
      <c r="AD3901" s="2" t="s">
        <v>46</v>
      </c>
    </row>
    <row r="3902" customFormat="false" ht="15.7" hidden="false" customHeight="true" outlineLevel="0" collapsed="false">
      <c r="A3902" s="2"/>
      <c r="B3902" s="3" t="n">
        <f aca="false">DATE(2018,10,24)</f>
        <v>0</v>
      </c>
      <c r="C3902" s="3" t="n">
        <v>43397</v>
      </c>
      <c r="D3902" s="2" t="s">
        <v>29446</v>
      </c>
      <c r="F3902" s="2" t="s">
        <v>29447</v>
      </c>
      <c r="G3902" s="2" t="s">
        <v>29448</v>
      </c>
      <c r="H3902" s="2" t="s">
        <v>29449</v>
      </c>
      <c r="I3902" s="2" t="s">
        <v>2530</v>
      </c>
      <c r="J3902" s="2" t="s">
        <v>29450</v>
      </c>
      <c r="K3902" s="2" t="s">
        <v>29446</v>
      </c>
      <c r="L3902" s="2" t="s">
        <v>2530</v>
      </c>
      <c r="M3902" s="2" t="s">
        <v>29449</v>
      </c>
      <c r="N3902" s="2" t="s">
        <v>29451</v>
      </c>
      <c r="O3902" s="2"/>
      <c r="P3902" s="2" t="s">
        <v>37</v>
      </c>
      <c r="Q3902" s="4" t="n">
        <v>8731</v>
      </c>
      <c r="R3902" s="2" t="s">
        <v>56</v>
      </c>
      <c r="S3902" s="2" t="s">
        <v>92</v>
      </c>
      <c r="T3902" s="2" t="s">
        <v>40</v>
      </c>
      <c r="U3902" s="2" t="s">
        <v>29452</v>
      </c>
      <c r="V3902" s="2"/>
      <c r="W3902" s="2" t="s">
        <v>18966</v>
      </c>
      <c r="X3902" s="2" t="s">
        <v>43</v>
      </c>
      <c r="Y3902" s="2" t="s">
        <v>37</v>
      </c>
      <c r="Z3902" s="2" t="s">
        <v>916</v>
      </c>
      <c r="AA3902" s="2"/>
      <c r="AB3902" s="2"/>
      <c r="AC3902" s="2" t="s">
        <v>29453</v>
      </c>
      <c r="AD3902" s="2" t="s">
        <v>46</v>
      </c>
    </row>
    <row r="3903" customFormat="false" ht="15.7" hidden="false" customHeight="true" outlineLevel="0" collapsed="false">
      <c r="A3903" s="2"/>
      <c r="B3903" s="3" t="n">
        <f aca="false">DATE(2018,10,24)</f>
        <v>0</v>
      </c>
      <c r="C3903" s="3" t="n">
        <v>43397</v>
      </c>
      <c r="D3903" s="2" t="s">
        <v>29454</v>
      </c>
      <c r="F3903" s="2" t="s">
        <v>29455</v>
      </c>
      <c r="G3903" s="2" t="s">
        <v>29456</v>
      </c>
      <c r="H3903" s="2" t="s">
        <v>29457</v>
      </c>
      <c r="I3903" s="2" t="s">
        <v>388</v>
      </c>
      <c r="J3903" s="2" t="s">
        <v>203</v>
      </c>
      <c r="K3903" s="2" t="s">
        <v>29355</v>
      </c>
      <c r="L3903" s="2" t="s">
        <v>388</v>
      </c>
      <c r="M3903" s="2" t="s">
        <v>2959</v>
      </c>
      <c r="N3903" s="2" t="s">
        <v>29458</v>
      </c>
      <c r="O3903" s="2"/>
      <c r="P3903" s="2" t="s">
        <v>37</v>
      </c>
      <c r="Q3903" s="4" t="n">
        <v>8731</v>
      </c>
      <c r="R3903" s="2" t="s">
        <v>2201</v>
      </c>
      <c r="S3903" s="2" t="s">
        <v>39</v>
      </c>
      <c r="T3903" s="2" t="s">
        <v>40</v>
      </c>
      <c r="U3903" s="2" t="s">
        <v>29459</v>
      </c>
      <c r="V3903" s="2"/>
      <c r="W3903" s="2" t="s">
        <v>18966</v>
      </c>
      <c r="X3903" s="2" t="s">
        <v>43</v>
      </c>
      <c r="Y3903" s="2" t="s">
        <v>37</v>
      </c>
      <c r="Z3903" s="2" t="s">
        <v>44</v>
      </c>
      <c r="AA3903" s="2"/>
      <c r="AB3903" s="2"/>
      <c r="AC3903" s="2" t="s">
        <v>29460</v>
      </c>
      <c r="AD3903" s="2" t="s">
        <v>46</v>
      </c>
    </row>
    <row r="3904" customFormat="false" ht="15.7" hidden="false" customHeight="true" outlineLevel="0" collapsed="false">
      <c r="A3904" s="2"/>
      <c r="B3904" s="3" t="n">
        <f aca="false">DATE(2018,10,24)</f>
        <v>0</v>
      </c>
      <c r="C3904" s="3" t="n">
        <v>43397</v>
      </c>
      <c r="D3904" s="2" t="s">
        <v>29461</v>
      </c>
      <c r="F3904" s="2" t="s">
        <v>29462</v>
      </c>
      <c r="G3904" s="2" t="s">
        <v>29463</v>
      </c>
      <c r="H3904" s="2" t="s">
        <v>29464</v>
      </c>
      <c r="I3904" s="2" t="s">
        <v>4325</v>
      </c>
      <c r="J3904" s="2" t="s">
        <v>35</v>
      </c>
      <c r="K3904" s="2" t="s">
        <v>29465</v>
      </c>
      <c r="L3904" s="2" t="s">
        <v>4325</v>
      </c>
      <c r="M3904" s="2" t="s">
        <v>29466</v>
      </c>
      <c r="N3904" s="2" t="s">
        <v>29467</v>
      </c>
      <c r="O3904" s="2"/>
      <c r="P3904" s="2" t="s">
        <v>37</v>
      </c>
      <c r="Q3904" s="4" t="n">
        <v>8731</v>
      </c>
      <c r="R3904" s="2" t="s">
        <v>402</v>
      </c>
      <c r="S3904" s="2" t="s">
        <v>39</v>
      </c>
      <c r="T3904" s="2" t="s">
        <v>403</v>
      </c>
      <c r="U3904" s="2" t="s">
        <v>29468</v>
      </c>
      <c r="V3904" s="2"/>
      <c r="W3904" s="2" t="s">
        <v>10841</v>
      </c>
      <c r="X3904" s="2" t="s">
        <v>43</v>
      </c>
      <c r="Y3904" s="2" t="s">
        <v>37</v>
      </c>
      <c r="Z3904" s="2" t="s">
        <v>44</v>
      </c>
      <c r="AA3904" s="2"/>
      <c r="AB3904" s="2"/>
      <c r="AC3904" s="2" t="s">
        <v>29469</v>
      </c>
      <c r="AD3904" s="2" t="s">
        <v>46</v>
      </c>
    </row>
    <row r="3905" customFormat="false" ht="15.7" hidden="false" customHeight="true" outlineLevel="0" collapsed="false">
      <c r="A3905" s="2"/>
      <c r="B3905" s="3" t="n">
        <f aca="false">DATE(2018,10,24)</f>
        <v>0</v>
      </c>
      <c r="C3905" s="3" t="n">
        <v>43397</v>
      </c>
      <c r="D3905" s="2" t="s">
        <v>29470</v>
      </c>
      <c r="F3905" s="2" t="s">
        <v>29471</v>
      </c>
      <c r="G3905" s="2" t="s">
        <v>29472</v>
      </c>
      <c r="H3905" s="2" t="s">
        <v>29473</v>
      </c>
      <c r="I3905" s="2" t="s">
        <v>29474</v>
      </c>
      <c r="J3905" s="2" t="s">
        <v>35</v>
      </c>
      <c r="K3905" s="2" t="s">
        <v>29470</v>
      </c>
      <c r="L3905" s="2" t="s">
        <v>29474</v>
      </c>
      <c r="M3905" s="2" t="s">
        <v>29473</v>
      </c>
      <c r="N3905" s="2" t="s">
        <v>29475</v>
      </c>
      <c r="O3905" s="2"/>
      <c r="P3905" s="2" t="s">
        <v>37</v>
      </c>
      <c r="Q3905" s="4" t="n">
        <v>8731</v>
      </c>
      <c r="R3905" s="2" t="s">
        <v>9292</v>
      </c>
      <c r="S3905" s="2" t="s">
        <v>39</v>
      </c>
      <c r="T3905" s="2" t="s">
        <v>40</v>
      </c>
      <c r="U3905" s="2" t="s">
        <v>29476</v>
      </c>
      <c r="V3905" s="2"/>
      <c r="W3905" s="2" t="s">
        <v>2367</v>
      </c>
      <c r="X3905" s="2" t="s">
        <v>43</v>
      </c>
      <c r="Y3905" s="2" t="s">
        <v>37</v>
      </c>
      <c r="Z3905" s="2" t="s">
        <v>44</v>
      </c>
      <c r="AA3905" s="2"/>
      <c r="AB3905" s="2"/>
      <c r="AC3905" s="2" t="s">
        <v>29477</v>
      </c>
      <c r="AD3905" s="2" t="s">
        <v>46</v>
      </c>
    </row>
    <row r="3906" customFormat="false" ht="15.7" hidden="false" customHeight="true" outlineLevel="0" collapsed="false">
      <c r="A3906" s="2"/>
      <c r="B3906" s="3" t="n">
        <f aca="false">DATE(2018,10,25)</f>
        <v>0</v>
      </c>
      <c r="C3906" s="3" t="n">
        <v>43398</v>
      </c>
      <c r="D3906" s="2" t="s">
        <v>29478</v>
      </c>
      <c r="F3906" s="2" t="s">
        <v>17957</v>
      </c>
      <c r="G3906" s="2" t="s">
        <v>29479</v>
      </c>
      <c r="H3906" s="2" t="s">
        <v>1020</v>
      </c>
      <c r="I3906" s="2" t="s">
        <v>51</v>
      </c>
      <c r="J3906" s="2" t="s">
        <v>3045</v>
      </c>
      <c r="K3906" s="2" t="s">
        <v>29478</v>
      </c>
      <c r="L3906" s="2" t="s">
        <v>51</v>
      </c>
      <c r="M3906" s="2" t="s">
        <v>1020</v>
      </c>
      <c r="N3906" s="2" t="s">
        <v>29480</v>
      </c>
      <c r="O3906" s="2"/>
      <c r="P3906" s="2" t="s">
        <v>79</v>
      </c>
      <c r="Q3906" s="4" t="n">
        <v>8731</v>
      </c>
      <c r="R3906" s="2" t="s">
        <v>56</v>
      </c>
      <c r="S3906" s="2" t="s">
        <v>80</v>
      </c>
      <c r="T3906" s="2" t="s">
        <v>40</v>
      </c>
      <c r="U3906" s="2" t="s">
        <v>29481</v>
      </c>
      <c r="V3906" s="2"/>
      <c r="W3906" s="2" t="s">
        <v>344</v>
      </c>
      <c r="X3906" s="2" t="s">
        <v>43</v>
      </c>
      <c r="Y3906" s="2" t="s">
        <v>37</v>
      </c>
      <c r="Z3906" s="2" t="s">
        <v>44</v>
      </c>
      <c r="AA3906" s="2"/>
      <c r="AB3906" s="2"/>
      <c r="AC3906" s="2" t="s">
        <v>29482</v>
      </c>
      <c r="AD3906" s="2" t="s">
        <v>46</v>
      </c>
    </row>
    <row r="3907" customFormat="false" ht="15.7" hidden="false" customHeight="true" outlineLevel="0" collapsed="false">
      <c r="A3907" s="2"/>
      <c r="B3907" s="3" t="n">
        <f aca="false">DATE(2018,10,25)</f>
        <v>0</v>
      </c>
      <c r="C3907" s="3" t="n">
        <v>43398</v>
      </c>
      <c r="D3907" s="2" t="s">
        <v>29483</v>
      </c>
      <c r="F3907" s="2" t="s">
        <v>29484</v>
      </c>
      <c r="G3907" s="2" t="s">
        <v>29485</v>
      </c>
      <c r="H3907" s="2" t="s">
        <v>10082</v>
      </c>
      <c r="I3907" s="2" t="s">
        <v>7027</v>
      </c>
      <c r="J3907" s="2" t="s">
        <v>35</v>
      </c>
      <c r="K3907" s="2" t="s">
        <v>29483</v>
      </c>
      <c r="L3907" s="2" t="s">
        <v>7027</v>
      </c>
      <c r="M3907" s="2" t="s">
        <v>10082</v>
      </c>
      <c r="N3907" s="2" t="s">
        <v>29486</v>
      </c>
      <c r="O3907" s="2"/>
      <c r="P3907" s="2" t="s">
        <v>37</v>
      </c>
      <c r="Q3907" s="4" t="n">
        <v>8731</v>
      </c>
      <c r="R3907" s="2" t="s">
        <v>5774</v>
      </c>
      <c r="S3907" s="2" t="s">
        <v>39</v>
      </c>
      <c r="T3907" s="2" t="s">
        <v>403</v>
      </c>
      <c r="U3907" s="2" t="s">
        <v>29487</v>
      </c>
      <c r="V3907" s="2"/>
      <c r="W3907" s="2" t="s">
        <v>138</v>
      </c>
      <c r="X3907" s="2" t="s">
        <v>43</v>
      </c>
      <c r="Y3907" s="2" t="s">
        <v>37</v>
      </c>
      <c r="Z3907" s="2" t="s">
        <v>44</v>
      </c>
      <c r="AA3907" s="2"/>
      <c r="AB3907" s="2"/>
      <c r="AC3907" s="2" t="s">
        <v>29488</v>
      </c>
      <c r="AD3907" s="2" t="s">
        <v>46</v>
      </c>
    </row>
    <row r="3908" customFormat="false" ht="15.7" hidden="false" customHeight="true" outlineLevel="0" collapsed="false">
      <c r="A3908" s="2"/>
      <c r="B3908" s="3" t="n">
        <f aca="false">DATE(2018,10,26)</f>
        <v>0</v>
      </c>
      <c r="C3908" s="3" t="n">
        <v>43399</v>
      </c>
      <c r="D3908" s="2" t="s">
        <v>29489</v>
      </c>
      <c r="F3908" s="2" t="s">
        <v>29490</v>
      </c>
      <c r="G3908" s="2" t="s">
        <v>29491</v>
      </c>
      <c r="H3908" s="2" t="s">
        <v>29492</v>
      </c>
      <c r="I3908" s="2" t="s">
        <v>6134</v>
      </c>
      <c r="J3908" s="2" t="s">
        <v>65</v>
      </c>
      <c r="K3908" s="2" t="s">
        <v>29489</v>
      </c>
      <c r="L3908" s="2" t="s">
        <v>6134</v>
      </c>
      <c r="M3908" s="2" t="s">
        <v>29492</v>
      </c>
      <c r="N3908" s="2" t="s">
        <v>29493</v>
      </c>
      <c r="O3908" s="2"/>
      <c r="P3908" s="2" t="s">
        <v>37</v>
      </c>
      <c r="Q3908" s="4" t="n">
        <v>8731</v>
      </c>
      <c r="R3908" s="2" t="s">
        <v>3154</v>
      </c>
      <c r="S3908" s="2" t="s">
        <v>39</v>
      </c>
      <c r="T3908" s="2" t="s">
        <v>403</v>
      </c>
      <c r="U3908" s="2" t="s">
        <v>29494</v>
      </c>
      <c r="V3908" s="2"/>
      <c r="W3908" s="2" t="s">
        <v>21331</v>
      </c>
      <c r="X3908" s="2" t="s">
        <v>43</v>
      </c>
      <c r="Y3908" s="2" t="s">
        <v>37</v>
      </c>
      <c r="Z3908" s="2" t="s">
        <v>44</v>
      </c>
      <c r="AA3908" s="2"/>
      <c r="AB3908" s="2"/>
      <c r="AC3908" s="2" t="s">
        <v>29495</v>
      </c>
      <c r="AD3908" s="2" t="s">
        <v>46</v>
      </c>
    </row>
    <row r="3909" customFormat="false" ht="15.7" hidden="false" customHeight="true" outlineLevel="0" collapsed="false">
      <c r="A3909" s="2"/>
      <c r="B3909" s="3" t="n">
        <f aca="false">DATE(2018,10,26)</f>
        <v>0</v>
      </c>
      <c r="C3909" s="3" t="n">
        <v>43399</v>
      </c>
      <c r="D3909" s="2" t="s">
        <v>29496</v>
      </c>
      <c r="F3909" s="2" t="s">
        <v>29497</v>
      </c>
      <c r="G3909" s="2" t="s">
        <v>29498</v>
      </c>
      <c r="H3909" s="2" t="s">
        <v>5915</v>
      </c>
      <c r="I3909" s="2" t="s">
        <v>3265</v>
      </c>
      <c r="J3909" s="2" t="s">
        <v>9093</v>
      </c>
      <c r="K3909" s="2" t="s">
        <v>29499</v>
      </c>
      <c r="L3909" s="2" t="s">
        <v>3267</v>
      </c>
      <c r="M3909" s="2" t="s">
        <v>29500</v>
      </c>
      <c r="N3909" s="2" t="s">
        <v>29501</v>
      </c>
      <c r="O3909" s="2"/>
      <c r="P3909" s="2" t="s">
        <v>37</v>
      </c>
      <c r="Q3909" s="4" t="n">
        <v>1731</v>
      </c>
      <c r="R3909" s="2" t="s">
        <v>3265</v>
      </c>
      <c r="S3909" s="2" t="s">
        <v>29502</v>
      </c>
      <c r="T3909" s="2" t="s">
        <v>40</v>
      </c>
      <c r="U3909" s="2" t="s">
        <v>29503</v>
      </c>
      <c r="V3909" s="2"/>
      <c r="W3909" s="2" t="s">
        <v>29504</v>
      </c>
      <c r="X3909" s="2" t="s">
        <v>46</v>
      </c>
      <c r="Y3909" s="2" t="s">
        <v>79</v>
      </c>
      <c r="Z3909" s="2" t="s">
        <v>44</v>
      </c>
      <c r="AA3909" s="2"/>
      <c r="AB3909" s="2"/>
      <c r="AC3909" s="2" t="s">
        <v>29505</v>
      </c>
      <c r="AD3909" s="2" t="s">
        <v>46</v>
      </c>
    </row>
    <row r="3910" customFormat="false" ht="15.7" hidden="false" customHeight="true" outlineLevel="0" collapsed="false">
      <c r="A3910" s="2"/>
      <c r="B3910" s="3" t="n">
        <f aca="false">DATE(2018,10,26)</f>
        <v>0</v>
      </c>
      <c r="C3910" s="3" t="n">
        <v>43399</v>
      </c>
      <c r="D3910" s="2" t="s">
        <v>29506</v>
      </c>
      <c r="F3910" s="2" t="s">
        <v>29507</v>
      </c>
      <c r="G3910" s="2" t="s">
        <v>29508</v>
      </c>
      <c r="H3910" s="2" t="s">
        <v>29509</v>
      </c>
      <c r="I3910" s="2" t="s">
        <v>5930</v>
      </c>
      <c r="J3910" s="2" t="s">
        <v>35</v>
      </c>
      <c r="K3910" s="2" t="s">
        <v>29506</v>
      </c>
      <c r="L3910" s="2" t="s">
        <v>5930</v>
      </c>
      <c r="M3910" s="2" t="s">
        <v>29509</v>
      </c>
      <c r="N3910" s="2" t="s">
        <v>29510</v>
      </c>
      <c r="O3910" s="2"/>
      <c r="P3910" s="2" t="s">
        <v>37</v>
      </c>
      <c r="Q3910" s="4" t="n">
        <v>8731</v>
      </c>
      <c r="R3910" s="2" t="s">
        <v>2201</v>
      </c>
      <c r="S3910" s="2" t="s">
        <v>39</v>
      </c>
      <c r="T3910" s="2" t="s">
        <v>40</v>
      </c>
      <c r="U3910" s="2" t="s">
        <v>29511</v>
      </c>
      <c r="V3910" s="2"/>
      <c r="W3910" s="2" t="s">
        <v>42</v>
      </c>
      <c r="X3910" s="2" t="s">
        <v>43</v>
      </c>
      <c r="Y3910" s="2" t="s">
        <v>37</v>
      </c>
      <c r="Z3910" s="2" t="s">
        <v>44</v>
      </c>
      <c r="AA3910" s="2"/>
      <c r="AB3910" s="2"/>
      <c r="AC3910" s="2" t="s">
        <v>29512</v>
      </c>
      <c r="AD3910" s="2" t="s">
        <v>46</v>
      </c>
    </row>
    <row r="3911" customFormat="false" ht="15.7" hidden="false" customHeight="true" outlineLevel="0" collapsed="false">
      <c r="A3911" s="2"/>
      <c r="B3911" s="3" t="n">
        <f aca="false">DATE(2018,10,28)</f>
        <v>0</v>
      </c>
      <c r="C3911" s="3" t="n">
        <v>43401</v>
      </c>
      <c r="D3911" s="2" t="s">
        <v>29513</v>
      </c>
      <c r="F3911" s="2" t="s">
        <v>29514</v>
      </c>
      <c r="G3911" s="2" t="s">
        <v>29515</v>
      </c>
      <c r="H3911" s="2" t="s">
        <v>29516</v>
      </c>
      <c r="I3911" s="2" t="s">
        <v>1953</v>
      </c>
      <c r="J3911" s="2" t="s">
        <v>35</v>
      </c>
      <c r="K3911" s="2" t="s">
        <v>29513</v>
      </c>
      <c r="L3911" s="2" t="s">
        <v>1953</v>
      </c>
      <c r="M3911" s="2" t="s">
        <v>29516</v>
      </c>
      <c r="N3911" s="2" t="s">
        <v>29517</v>
      </c>
      <c r="O3911" s="2"/>
      <c r="P3911" s="2" t="s">
        <v>37</v>
      </c>
      <c r="Q3911" s="4" t="n">
        <v>2833</v>
      </c>
      <c r="R3911" s="2" t="s">
        <v>1402</v>
      </c>
      <c r="S3911" s="2" t="s">
        <v>39</v>
      </c>
      <c r="T3911" s="2" t="s">
        <v>40</v>
      </c>
      <c r="U3911" s="2" t="s">
        <v>29518</v>
      </c>
      <c r="V3911" s="2"/>
      <c r="W3911" s="2" t="s">
        <v>42</v>
      </c>
      <c r="X3911" s="2" t="s">
        <v>43</v>
      </c>
      <c r="Y3911" s="2" t="s">
        <v>37</v>
      </c>
      <c r="Z3911" s="2" t="s">
        <v>44</v>
      </c>
      <c r="AA3911" s="2"/>
      <c r="AB3911" s="2"/>
      <c r="AC3911" s="2" t="s">
        <v>29519</v>
      </c>
      <c r="AD3911" s="2" t="s">
        <v>46</v>
      </c>
    </row>
    <row r="3912" customFormat="false" ht="15.7" hidden="false" customHeight="true" outlineLevel="0" collapsed="false">
      <c r="A3912" s="2"/>
      <c r="B3912" s="3" t="n">
        <f aca="false">DATE(2018,10,29)</f>
        <v>0</v>
      </c>
      <c r="C3912" s="3" t="n">
        <v>43402</v>
      </c>
      <c r="D3912" s="2" t="s">
        <v>29520</v>
      </c>
      <c r="F3912" s="2" t="s">
        <v>29521</v>
      </c>
      <c r="G3912" s="2" t="s">
        <v>29522</v>
      </c>
      <c r="H3912" s="2" t="s">
        <v>130</v>
      </c>
      <c r="I3912" s="2" t="s">
        <v>51</v>
      </c>
      <c r="J3912" s="2" t="s">
        <v>6619</v>
      </c>
      <c r="K3912" s="2" t="s">
        <v>29520</v>
      </c>
      <c r="L3912" s="2" t="s">
        <v>51</v>
      </c>
      <c r="M3912" s="2" t="s">
        <v>130</v>
      </c>
      <c r="N3912" s="2" t="s">
        <v>29523</v>
      </c>
      <c r="O3912" s="2"/>
      <c r="P3912" s="2" t="s">
        <v>79</v>
      </c>
      <c r="Q3912" s="4" t="n">
        <v>6794</v>
      </c>
      <c r="R3912" s="2" t="s">
        <v>136</v>
      </c>
      <c r="S3912" s="2" t="s">
        <v>39</v>
      </c>
      <c r="T3912" s="2" t="s">
        <v>40</v>
      </c>
      <c r="U3912" s="2" t="s">
        <v>29524</v>
      </c>
      <c r="V3912" s="2"/>
      <c r="W3912" s="2" t="s">
        <v>82</v>
      </c>
      <c r="X3912" s="2" t="s">
        <v>43</v>
      </c>
      <c r="Y3912" s="2" t="s">
        <v>37</v>
      </c>
      <c r="Z3912" s="2" t="s">
        <v>44</v>
      </c>
      <c r="AA3912" s="2"/>
      <c r="AB3912" s="2"/>
      <c r="AC3912" s="2" t="s">
        <v>29525</v>
      </c>
      <c r="AD3912" s="2" t="s">
        <v>46</v>
      </c>
    </row>
    <row r="3913" customFormat="false" ht="15.7" hidden="false" customHeight="true" outlineLevel="0" collapsed="false">
      <c r="A3913" s="2"/>
      <c r="B3913" s="3" t="n">
        <f aca="false">DATE(2018,10,29)</f>
        <v>0</v>
      </c>
      <c r="C3913" s="3" t="n">
        <v>43402</v>
      </c>
      <c r="D3913" s="2" t="s">
        <v>29526</v>
      </c>
      <c r="F3913" s="2" t="s">
        <v>29527</v>
      </c>
      <c r="G3913" s="2" t="s">
        <v>29528</v>
      </c>
      <c r="H3913" s="2" t="s">
        <v>29529</v>
      </c>
      <c r="I3913" s="2" t="s">
        <v>29530</v>
      </c>
      <c r="J3913" s="2" t="s">
        <v>22441</v>
      </c>
      <c r="K3913" s="2" t="s">
        <v>29531</v>
      </c>
      <c r="L3913" s="2" t="s">
        <v>29530</v>
      </c>
      <c r="M3913" s="2" t="s">
        <v>29532</v>
      </c>
      <c r="N3913" s="2" t="s">
        <v>29533</v>
      </c>
      <c r="O3913" s="2"/>
      <c r="P3913" s="2" t="s">
        <v>37</v>
      </c>
      <c r="Q3913" s="4" t="n">
        <v>8731</v>
      </c>
      <c r="R3913" s="2" t="s">
        <v>56</v>
      </c>
      <c r="S3913" s="2" t="s">
        <v>788</v>
      </c>
      <c r="T3913" s="2" t="s">
        <v>403</v>
      </c>
      <c r="U3913" s="2" t="s">
        <v>29534</v>
      </c>
      <c r="V3913" s="2"/>
      <c r="W3913" s="2" t="s">
        <v>42</v>
      </c>
      <c r="X3913" s="2" t="s">
        <v>46</v>
      </c>
      <c r="Y3913" s="2" t="s">
        <v>37</v>
      </c>
      <c r="Z3913" s="2" t="s">
        <v>916</v>
      </c>
      <c r="AA3913" s="2"/>
      <c r="AB3913" s="2"/>
      <c r="AC3913" s="2" t="s">
        <v>29535</v>
      </c>
      <c r="AD3913" s="2" t="s">
        <v>46</v>
      </c>
    </row>
    <row r="3914" customFormat="false" ht="15.7" hidden="false" customHeight="true" outlineLevel="0" collapsed="false">
      <c r="A3914" s="2"/>
      <c r="B3914" s="3" t="n">
        <f aca="false">DATE(2018,10,30)</f>
        <v>0</v>
      </c>
      <c r="C3914" s="3" t="n">
        <v>43403</v>
      </c>
      <c r="D3914" s="2" t="s">
        <v>29536</v>
      </c>
      <c r="F3914" s="2" t="s">
        <v>29537</v>
      </c>
      <c r="G3914" s="2" t="s">
        <v>29538</v>
      </c>
      <c r="H3914" s="2" t="s">
        <v>29539</v>
      </c>
      <c r="I3914" s="2" t="s">
        <v>29540</v>
      </c>
      <c r="J3914" s="2" t="s">
        <v>29541</v>
      </c>
      <c r="K3914" s="2" t="s">
        <v>29542</v>
      </c>
      <c r="L3914" s="2" t="s">
        <v>29540</v>
      </c>
      <c r="M3914" s="2" t="s">
        <v>29543</v>
      </c>
      <c r="N3914" s="2" t="s">
        <v>29544</v>
      </c>
      <c r="O3914" s="2"/>
      <c r="P3914" s="2" t="s">
        <v>37</v>
      </c>
      <c r="Q3914" s="4" t="n">
        <v>1731</v>
      </c>
      <c r="R3914" s="2" t="s">
        <v>402</v>
      </c>
      <c r="S3914" s="2" t="s">
        <v>39</v>
      </c>
      <c r="T3914" s="2" t="s">
        <v>40</v>
      </c>
      <c r="U3914" s="2" t="s">
        <v>29545</v>
      </c>
      <c r="V3914" s="2"/>
      <c r="W3914" s="2" t="s">
        <v>11763</v>
      </c>
      <c r="X3914" s="2" t="s">
        <v>46</v>
      </c>
      <c r="Y3914" s="2" t="s">
        <v>37</v>
      </c>
      <c r="Z3914" s="2" t="s">
        <v>29546</v>
      </c>
      <c r="AA3914" s="2" t="s">
        <v>29547</v>
      </c>
      <c r="AB3914" s="2"/>
      <c r="AC3914" s="2" t="s">
        <v>29548</v>
      </c>
      <c r="AD3914" s="2" t="s">
        <v>46</v>
      </c>
    </row>
    <row r="3915" customFormat="false" ht="15.7" hidden="false" customHeight="true" outlineLevel="0" collapsed="false">
      <c r="A3915" s="2"/>
      <c r="B3915" s="3" t="n">
        <f aca="false">DATE(2018,10,30)</f>
        <v>0</v>
      </c>
      <c r="C3915" s="3" t="n">
        <v>43403</v>
      </c>
      <c r="D3915" s="2" t="s">
        <v>29549</v>
      </c>
      <c r="F3915" s="2" t="s">
        <v>29550</v>
      </c>
      <c r="G3915" s="2" t="s">
        <v>29551</v>
      </c>
      <c r="H3915" s="2" t="s">
        <v>13560</v>
      </c>
      <c r="I3915" s="2" t="s">
        <v>51</v>
      </c>
      <c r="J3915" s="2" t="s">
        <v>3460</v>
      </c>
      <c r="K3915" s="2" t="s">
        <v>29552</v>
      </c>
      <c r="L3915" s="2" t="s">
        <v>670</v>
      </c>
      <c r="M3915" s="2" t="s">
        <v>21794</v>
      </c>
      <c r="N3915" s="2" t="s">
        <v>29553</v>
      </c>
      <c r="O3915" s="2" t="s">
        <v>29554</v>
      </c>
      <c r="P3915" s="2" t="s">
        <v>37</v>
      </c>
      <c r="Q3915" s="4" t="n">
        <v>8731</v>
      </c>
      <c r="R3915" s="2" t="s">
        <v>56</v>
      </c>
      <c r="S3915" s="2" t="s">
        <v>507</v>
      </c>
      <c r="T3915" s="2" t="s">
        <v>40</v>
      </c>
      <c r="U3915" s="2" t="s">
        <v>29555</v>
      </c>
      <c r="V3915" s="2"/>
      <c r="W3915" s="2" t="s">
        <v>42</v>
      </c>
      <c r="X3915" s="2" t="s">
        <v>46</v>
      </c>
      <c r="Y3915" s="2" t="s">
        <v>37</v>
      </c>
      <c r="Z3915" s="2" t="s">
        <v>362</v>
      </c>
      <c r="AA3915" s="2"/>
      <c r="AB3915" s="2" t="s">
        <v>29556</v>
      </c>
      <c r="AC3915" s="2" t="s">
        <v>29557</v>
      </c>
      <c r="AD3915" s="2" t="s">
        <v>46</v>
      </c>
    </row>
    <row r="3916" customFormat="false" ht="15.7" hidden="false" customHeight="true" outlineLevel="0" collapsed="false">
      <c r="A3916" s="2"/>
      <c r="B3916" s="3" t="n">
        <f aca="false">DATE(2018,10,30)</f>
        <v>0</v>
      </c>
      <c r="C3916" s="3" t="n">
        <v>43403</v>
      </c>
      <c r="D3916" s="2" t="s">
        <v>29558</v>
      </c>
      <c r="F3916" s="2" t="s">
        <v>29559</v>
      </c>
      <c r="G3916" s="2" t="s">
        <v>29560</v>
      </c>
      <c r="H3916" s="2" t="s">
        <v>14076</v>
      </c>
      <c r="I3916" s="2" t="s">
        <v>34</v>
      </c>
      <c r="J3916" s="2" t="s">
        <v>35</v>
      </c>
      <c r="K3916" s="2" t="s">
        <v>29561</v>
      </c>
      <c r="L3916" s="2" t="s">
        <v>34</v>
      </c>
      <c r="M3916" s="2" t="s">
        <v>14076</v>
      </c>
      <c r="N3916" s="2" t="s">
        <v>29562</v>
      </c>
      <c r="O3916" s="2"/>
      <c r="P3916" s="2" t="s">
        <v>37</v>
      </c>
      <c r="Q3916" s="4" t="n">
        <v>8731</v>
      </c>
      <c r="R3916" s="2" t="s">
        <v>38</v>
      </c>
      <c r="S3916" s="2" t="s">
        <v>39</v>
      </c>
      <c r="T3916" s="2" t="s">
        <v>40</v>
      </c>
      <c r="U3916" s="2" t="s">
        <v>29563</v>
      </c>
      <c r="V3916" s="2"/>
      <c r="W3916" s="2" t="s">
        <v>7275</v>
      </c>
      <c r="X3916" s="2" t="s">
        <v>43</v>
      </c>
      <c r="Y3916" s="2" t="s">
        <v>37</v>
      </c>
      <c r="Z3916" s="2" t="s">
        <v>44</v>
      </c>
      <c r="AA3916" s="2"/>
      <c r="AB3916" s="2"/>
      <c r="AC3916" s="2" t="s">
        <v>29564</v>
      </c>
      <c r="AD3916" s="2" t="s">
        <v>46</v>
      </c>
    </row>
    <row r="3917" customFormat="false" ht="15.7" hidden="false" customHeight="true" outlineLevel="0" collapsed="false">
      <c r="A3917" s="2"/>
      <c r="B3917" s="3" t="n">
        <f aca="false">DATE(2018,10,30)</f>
        <v>0</v>
      </c>
      <c r="C3917" s="3" t="n">
        <v>43403</v>
      </c>
      <c r="D3917" s="2" t="s">
        <v>29565</v>
      </c>
      <c r="F3917" s="2" t="s">
        <v>15541</v>
      </c>
      <c r="G3917" s="2" t="s">
        <v>29566</v>
      </c>
      <c r="H3917" s="2" t="s">
        <v>170</v>
      </c>
      <c r="I3917" s="2" t="s">
        <v>51</v>
      </c>
      <c r="J3917" s="2" t="s">
        <v>5658</v>
      </c>
      <c r="K3917" s="2" t="s">
        <v>29567</v>
      </c>
      <c r="L3917" s="2" t="s">
        <v>4179</v>
      </c>
      <c r="M3917" s="2" t="s">
        <v>170</v>
      </c>
      <c r="N3917" s="2" t="s">
        <v>29568</v>
      </c>
      <c r="O3917" s="2"/>
      <c r="P3917" s="2" t="s">
        <v>37</v>
      </c>
      <c r="Q3917" s="4" t="n">
        <v>8731</v>
      </c>
      <c r="R3917" s="2" t="s">
        <v>136</v>
      </c>
      <c r="S3917" s="2" t="s">
        <v>39</v>
      </c>
      <c r="T3917" s="2" t="s">
        <v>40</v>
      </c>
      <c r="U3917" s="2" t="s">
        <v>29569</v>
      </c>
      <c r="V3917" s="2"/>
      <c r="W3917" s="2" t="s">
        <v>42</v>
      </c>
      <c r="X3917" s="2" t="s">
        <v>43</v>
      </c>
      <c r="Y3917" s="2" t="s">
        <v>37</v>
      </c>
      <c r="Z3917" s="2" t="s">
        <v>44</v>
      </c>
      <c r="AA3917" s="2"/>
      <c r="AB3917" s="2"/>
      <c r="AC3917" s="2" t="s">
        <v>29570</v>
      </c>
      <c r="AD3917" s="2" t="s">
        <v>46</v>
      </c>
    </row>
    <row r="3918" customFormat="false" ht="15.7" hidden="false" customHeight="true" outlineLevel="0" collapsed="false">
      <c r="A3918" s="2"/>
      <c r="B3918" s="3" t="n">
        <f aca="false">DATE(2018,10,31)</f>
        <v>0</v>
      </c>
      <c r="C3918" s="3" t="n">
        <v>43404</v>
      </c>
      <c r="D3918" s="2" t="s">
        <v>29571</v>
      </c>
      <c r="F3918" s="2" t="s">
        <v>29572</v>
      </c>
      <c r="G3918" s="2" t="s">
        <v>29573</v>
      </c>
      <c r="H3918" s="2" t="s">
        <v>1020</v>
      </c>
      <c r="I3918" s="2" t="s">
        <v>51</v>
      </c>
      <c r="J3918" s="2" t="s">
        <v>4537</v>
      </c>
      <c r="K3918" s="2" t="s">
        <v>29571</v>
      </c>
      <c r="L3918" s="2" t="s">
        <v>51</v>
      </c>
      <c r="M3918" s="2" t="s">
        <v>1020</v>
      </c>
      <c r="N3918" s="2" t="s">
        <v>29574</v>
      </c>
      <c r="O3918" s="2"/>
      <c r="P3918" s="2" t="s">
        <v>79</v>
      </c>
      <c r="Q3918" s="4" t="n">
        <v>6794</v>
      </c>
      <c r="R3918" s="2" t="s">
        <v>56</v>
      </c>
      <c r="S3918" s="2"/>
      <c r="T3918" s="2" t="s">
        <v>40</v>
      </c>
      <c r="U3918" s="2" t="s">
        <v>29575</v>
      </c>
      <c r="V3918" s="2"/>
      <c r="W3918" s="2" t="s">
        <v>24012</v>
      </c>
      <c r="X3918" s="2" t="s">
        <v>43</v>
      </c>
      <c r="Y3918" s="2" t="s">
        <v>37</v>
      </c>
      <c r="Z3918" s="2" t="s">
        <v>44</v>
      </c>
      <c r="AA3918" s="2"/>
      <c r="AB3918" s="2"/>
      <c r="AC3918" s="2" t="s">
        <v>29576</v>
      </c>
      <c r="AD3918" s="2" t="s">
        <v>46</v>
      </c>
    </row>
    <row r="3919" customFormat="false" ht="15.7" hidden="false" customHeight="true" outlineLevel="0" collapsed="false">
      <c r="A3919" s="2"/>
      <c r="B3919" s="3" t="n">
        <f aca="false">DATE(2018,11,1)</f>
        <v>0</v>
      </c>
      <c r="C3919" s="3" t="n">
        <v>43405</v>
      </c>
      <c r="D3919" s="2" t="s">
        <v>29577</v>
      </c>
      <c r="F3919" s="2" t="s">
        <v>24008</v>
      </c>
      <c r="G3919" s="2" t="s">
        <v>29578</v>
      </c>
      <c r="H3919" s="2" t="s">
        <v>1473</v>
      </c>
      <c r="I3919" s="2" t="s">
        <v>5990</v>
      </c>
      <c r="J3919" s="2" t="s">
        <v>35</v>
      </c>
      <c r="K3919" s="2" t="s">
        <v>29577</v>
      </c>
      <c r="L3919" s="2" t="s">
        <v>5990</v>
      </c>
      <c r="M3919" s="2" t="s">
        <v>1473</v>
      </c>
      <c r="N3919" s="2" t="s">
        <v>29579</v>
      </c>
      <c r="O3919" s="2"/>
      <c r="P3919" s="2" t="s">
        <v>37</v>
      </c>
      <c r="Q3919" s="4" t="n">
        <v>8731</v>
      </c>
      <c r="R3919" s="2" t="s">
        <v>3154</v>
      </c>
      <c r="S3919" s="2" t="s">
        <v>39</v>
      </c>
      <c r="T3919" s="2" t="s">
        <v>403</v>
      </c>
      <c r="U3919" s="2" t="s">
        <v>29580</v>
      </c>
      <c r="V3919" s="2"/>
      <c r="W3919" s="2" t="s">
        <v>42</v>
      </c>
      <c r="X3919" s="2" t="s">
        <v>43</v>
      </c>
      <c r="Y3919" s="2" t="s">
        <v>37</v>
      </c>
      <c r="Z3919" s="2" t="s">
        <v>44</v>
      </c>
      <c r="AA3919" s="2"/>
      <c r="AB3919" s="2"/>
      <c r="AC3919" s="2" t="s">
        <v>29581</v>
      </c>
      <c r="AD3919" s="2" t="s">
        <v>46</v>
      </c>
    </row>
    <row r="3920" customFormat="false" ht="15.7" hidden="false" customHeight="true" outlineLevel="0" collapsed="false">
      <c r="A3920" s="2"/>
      <c r="B3920" s="3" t="n">
        <f aca="false">DATE(2018,11,1)</f>
        <v>0</v>
      </c>
      <c r="C3920" s="3" t="n">
        <v>43405</v>
      </c>
      <c r="D3920" s="2" t="s">
        <v>29582</v>
      </c>
      <c r="F3920" s="2" t="s">
        <v>29583</v>
      </c>
      <c r="G3920" s="2" t="s">
        <v>29584</v>
      </c>
      <c r="H3920" s="2" t="s">
        <v>3603</v>
      </c>
      <c r="I3920" s="2" t="s">
        <v>4325</v>
      </c>
      <c r="J3920" s="2" t="s">
        <v>35</v>
      </c>
      <c r="K3920" s="2" t="s">
        <v>29585</v>
      </c>
      <c r="L3920" s="2" t="s">
        <v>4325</v>
      </c>
      <c r="M3920" s="2" t="s">
        <v>29586</v>
      </c>
      <c r="N3920" s="2" t="s">
        <v>29587</v>
      </c>
      <c r="O3920" s="2"/>
      <c r="P3920" s="2" t="s">
        <v>37</v>
      </c>
      <c r="Q3920" s="4" t="n">
        <v>3691</v>
      </c>
      <c r="R3920" s="2" t="s">
        <v>402</v>
      </c>
      <c r="S3920" s="2" t="s">
        <v>39</v>
      </c>
      <c r="T3920" s="2" t="s">
        <v>403</v>
      </c>
      <c r="U3920" s="2" t="s">
        <v>29588</v>
      </c>
      <c r="V3920" s="2"/>
      <c r="W3920" s="2" t="s">
        <v>697</v>
      </c>
      <c r="X3920" s="2" t="s">
        <v>46</v>
      </c>
      <c r="Y3920" s="2" t="s">
        <v>37</v>
      </c>
      <c r="Z3920" s="2" t="s">
        <v>362</v>
      </c>
      <c r="AA3920" s="2"/>
      <c r="AB3920" s="2"/>
      <c r="AC3920" s="2" t="s">
        <v>29589</v>
      </c>
      <c r="AD3920" s="2" t="s">
        <v>46</v>
      </c>
    </row>
    <row r="3921" customFormat="false" ht="15.7" hidden="false" customHeight="true" outlineLevel="0" collapsed="false">
      <c r="A3921" s="2"/>
      <c r="B3921" s="3" t="n">
        <f aca="false">DATE(2018,11,2)</f>
        <v>0</v>
      </c>
      <c r="C3921" s="3" t="n">
        <v>43406</v>
      </c>
      <c r="D3921" s="2" t="s">
        <v>29590</v>
      </c>
      <c r="F3921" s="2" t="s">
        <v>29591</v>
      </c>
      <c r="G3921" s="2" t="s">
        <v>29592</v>
      </c>
      <c r="H3921" s="2" t="s">
        <v>29593</v>
      </c>
      <c r="I3921" s="2" t="s">
        <v>1904</v>
      </c>
      <c r="J3921" s="2" t="s">
        <v>12583</v>
      </c>
      <c r="K3921" s="2" t="s">
        <v>29594</v>
      </c>
      <c r="L3921" s="2" t="s">
        <v>8936</v>
      </c>
      <c r="M3921" s="2" t="s">
        <v>29595</v>
      </c>
      <c r="N3921" s="2" t="s">
        <v>29596</v>
      </c>
      <c r="O3921" s="2"/>
      <c r="P3921" s="2" t="s">
        <v>37</v>
      </c>
      <c r="Q3921" s="4" t="n">
        <v>3651</v>
      </c>
      <c r="R3921" s="2"/>
      <c r="S3921" s="2"/>
      <c r="T3921" s="2" t="s">
        <v>40</v>
      </c>
      <c r="U3921" s="2" t="s">
        <v>29597</v>
      </c>
      <c r="V3921" s="2"/>
      <c r="W3921" s="2" t="s">
        <v>697</v>
      </c>
      <c r="X3921" s="2" t="s">
        <v>43</v>
      </c>
      <c r="Y3921" s="2" t="s">
        <v>37</v>
      </c>
      <c r="Z3921" s="2" t="s">
        <v>44</v>
      </c>
      <c r="AA3921" s="2"/>
      <c r="AB3921" s="2"/>
      <c r="AC3921" s="2" t="s">
        <v>29598</v>
      </c>
      <c r="AD3921" s="2" t="s">
        <v>46</v>
      </c>
    </row>
    <row r="3922" customFormat="false" ht="15.7" hidden="false" customHeight="true" outlineLevel="0" collapsed="false">
      <c r="A3922" s="2"/>
      <c r="B3922" s="3" t="n">
        <f aca="false">DATE(2018,11,8)</f>
        <v>0</v>
      </c>
      <c r="C3922" s="3" t="n">
        <v>43412</v>
      </c>
      <c r="D3922" s="2" t="s">
        <v>29599</v>
      </c>
      <c r="F3922" s="2" t="s">
        <v>29600</v>
      </c>
      <c r="G3922" s="2" t="s">
        <v>29601</v>
      </c>
      <c r="H3922" s="2" t="s">
        <v>3840</v>
      </c>
      <c r="I3922" s="2" t="s">
        <v>899</v>
      </c>
      <c r="J3922" s="2" t="s">
        <v>132</v>
      </c>
      <c r="K3922" s="2" t="s">
        <v>29599</v>
      </c>
      <c r="L3922" s="2" t="s">
        <v>899</v>
      </c>
      <c r="M3922" s="2" t="s">
        <v>3840</v>
      </c>
      <c r="N3922" s="2" t="s">
        <v>29602</v>
      </c>
      <c r="O3922" s="2"/>
      <c r="P3922" s="2" t="s">
        <v>37</v>
      </c>
      <c r="Q3922" s="4" t="n">
        <v>8731</v>
      </c>
      <c r="R3922" s="2" t="s">
        <v>402</v>
      </c>
      <c r="S3922" s="2" t="s">
        <v>39</v>
      </c>
      <c r="T3922" s="2" t="s">
        <v>403</v>
      </c>
      <c r="U3922" s="2" t="s">
        <v>29603</v>
      </c>
      <c r="V3922" s="2"/>
      <c r="W3922" s="2" t="s">
        <v>2056</v>
      </c>
      <c r="X3922" s="2" t="s">
        <v>46</v>
      </c>
      <c r="Y3922" s="2" t="s">
        <v>37</v>
      </c>
      <c r="Z3922" s="2" t="s">
        <v>362</v>
      </c>
      <c r="AA3922" s="2"/>
      <c r="AB3922" s="2"/>
      <c r="AC3922" s="2" t="s">
        <v>29604</v>
      </c>
      <c r="AD3922" s="2" t="s">
        <v>46</v>
      </c>
    </row>
    <row r="3923" customFormat="false" ht="15.7" hidden="false" customHeight="true" outlineLevel="0" collapsed="false">
      <c r="A3923" s="2"/>
      <c r="B3923" s="3" t="n">
        <f aca="false">DATE(2018,11,12)</f>
        <v>0</v>
      </c>
      <c r="C3923" s="3" t="n">
        <v>43416</v>
      </c>
      <c r="D3923" s="2" t="s">
        <v>29605</v>
      </c>
      <c r="F3923" s="2" t="s">
        <v>29606</v>
      </c>
      <c r="G3923" s="2" t="s">
        <v>29607</v>
      </c>
      <c r="H3923" s="2" t="s">
        <v>3884</v>
      </c>
      <c r="I3923" s="2" t="s">
        <v>487</v>
      </c>
      <c r="J3923" s="2" t="s">
        <v>9093</v>
      </c>
      <c r="K3923" s="2" t="s">
        <v>29605</v>
      </c>
      <c r="L3923" s="2" t="s">
        <v>487</v>
      </c>
      <c r="M3923" s="2" t="s">
        <v>3884</v>
      </c>
      <c r="N3923" s="2" t="s">
        <v>29608</v>
      </c>
      <c r="O3923" s="2"/>
      <c r="P3923" s="2" t="s">
        <v>37</v>
      </c>
      <c r="Q3923" s="4" t="n">
        <v>8731</v>
      </c>
      <c r="R3923" s="2" t="s">
        <v>56</v>
      </c>
      <c r="S3923" s="2"/>
      <c r="T3923" s="2" t="s">
        <v>403</v>
      </c>
      <c r="U3923" s="2" t="s">
        <v>29609</v>
      </c>
      <c r="V3923" s="2"/>
      <c r="W3923" s="2" t="s">
        <v>42</v>
      </c>
      <c r="X3923" s="2" t="s">
        <v>43</v>
      </c>
      <c r="Y3923" s="2" t="s">
        <v>37</v>
      </c>
      <c r="Z3923" s="2" t="s">
        <v>44</v>
      </c>
      <c r="AA3923" s="2"/>
      <c r="AB3923" s="2"/>
      <c r="AC3923" s="2" t="s">
        <v>29610</v>
      </c>
      <c r="AD3923" s="2" t="s">
        <v>46</v>
      </c>
    </row>
    <row r="3924" customFormat="false" ht="15.7" hidden="false" customHeight="true" outlineLevel="0" collapsed="false">
      <c r="A3924" s="2"/>
      <c r="B3924" s="3" t="n">
        <f aca="false">DATE(2018,11,13)</f>
        <v>0</v>
      </c>
      <c r="C3924" s="3" t="n">
        <v>43417</v>
      </c>
      <c r="D3924" s="2" t="s">
        <v>29611</v>
      </c>
      <c r="F3924" s="2" t="s">
        <v>29612</v>
      </c>
      <c r="G3924" s="2" t="s">
        <v>29613</v>
      </c>
      <c r="H3924" s="2" t="s">
        <v>2857</v>
      </c>
      <c r="I3924" s="2" t="s">
        <v>29614</v>
      </c>
      <c r="J3924" s="2" t="s">
        <v>35</v>
      </c>
      <c r="K3924" s="2" t="s">
        <v>29615</v>
      </c>
      <c r="L3924" s="2" t="s">
        <v>29616</v>
      </c>
      <c r="M3924" s="2" t="s">
        <v>29617</v>
      </c>
      <c r="N3924" s="2" t="s">
        <v>29618</v>
      </c>
      <c r="O3924" s="2"/>
      <c r="P3924" s="2" t="s">
        <v>37</v>
      </c>
      <c r="Q3924" s="4" t="n">
        <v>8731</v>
      </c>
      <c r="R3924" s="2" t="s">
        <v>56</v>
      </c>
      <c r="S3924" s="2" t="s">
        <v>92</v>
      </c>
      <c r="T3924" s="2" t="s">
        <v>2444</v>
      </c>
      <c r="U3924" s="2" t="s">
        <v>29619</v>
      </c>
      <c r="V3924" s="2"/>
      <c r="W3924" s="2" t="s">
        <v>29620</v>
      </c>
      <c r="X3924" s="2" t="s">
        <v>43</v>
      </c>
      <c r="Y3924" s="2" t="s">
        <v>37</v>
      </c>
      <c r="Z3924" s="2" t="s">
        <v>44</v>
      </c>
      <c r="AA3924" s="2"/>
      <c r="AB3924" s="2"/>
      <c r="AC3924" s="2" t="s">
        <v>29621</v>
      </c>
      <c r="AD3924" s="2" t="s">
        <v>46</v>
      </c>
    </row>
    <row r="3925" customFormat="false" ht="15.7" hidden="false" customHeight="true" outlineLevel="0" collapsed="false">
      <c r="A3925" s="2"/>
      <c r="B3925" s="3" t="n">
        <f aca="false">DATE(2018,11,14)</f>
        <v>0</v>
      </c>
      <c r="C3925" s="3" t="n">
        <v>43418</v>
      </c>
      <c r="D3925" s="2" t="s">
        <v>29622</v>
      </c>
      <c r="F3925" s="2" t="s">
        <v>28764</v>
      </c>
      <c r="G3925" s="2" t="s">
        <v>29623</v>
      </c>
      <c r="H3925" s="2" t="s">
        <v>13491</v>
      </c>
      <c r="I3925" s="2" t="s">
        <v>51</v>
      </c>
      <c r="J3925" s="2" t="s">
        <v>5249</v>
      </c>
      <c r="K3925" s="2" t="s">
        <v>29622</v>
      </c>
      <c r="L3925" s="2" t="s">
        <v>51</v>
      </c>
      <c r="M3925" s="2" t="s">
        <v>13491</v>
      </c>
      <c r="N3925" s="2" t="s">
        <v>29624</v>
      </c>
      <c r="O3925" s="2"/>
      <c r="P3925" s="2" t="s">
        <v>37</v>
      </c>
      <c r="Q3925" s="4" t="n">
        <v>8731</v>
      </c>
      <c r="R3925" s="2" t="s">
        <v>56</v>
      </c>
      <c r="S3925" s="2"/>
      <c r="T3925" s="2" t="s">
        <v>403</v>
      </c>
      <c r="U3925" s="2" t="s">
        <v>29625</v>
      </c>
      <c r="V3925" s="2"/>
      <c r="W3925" s="2" t="s">
        <v>13346</v>
      </c>
      <c r="X3925" s="2" t="s">
        <v>43</v>
      </c>
      <c r="Y3925" s="2" t="s">
        <v>37</v>
      </c>
      <c r="Z3925" s="2" t="s">
        <v>44</v>
      </c>
      <c r="AA3925" s="2"/>
      <c r="AB3925" s="2"/>
      <c r="AC3925" s="2" t="s">
        <v>29626</v>
      </c>
      <c r="AD3925" s="2" t="s">
        <v>46</v>
      </c>
    </row>
    <row r="3926" customFormat="false" ht="15.7" hidden="false" customHeight="true" outlineLevel="0" collapsed="false">
      <c r="A3926" s="2"/>
      <c r="B3926" s="3" t="n">
        <f aca="false">DATE(2018,11,15)</f>
        <v>0</v>
      </c>
      <c r="C3926" s="3" t="n">
        <v>43419</v>
      </c>
      <c r="D3926" s="2" t="s">
        <v>29627</v>
      </c>
      <c r="F3926" s="2" t="s">
        <v>29628</v>
      </c>
      <c r="G3926" s="2" t="s">
        <v>29629</v>
      </c>
      <c r="H3926" s="2" t="s">
        <v>29630</v>
      </c>
      <c r="I3926" s="2" t="s">
        <v>487</v>
      </c>
      <c r="J3926" s="2" t="s">
        <v>228</v>
      </c>
      <c r="K3926" s="2" t="s">
        <v>29627</v>
      </c>
      <c r="L3926" s="2" t="s">
        <v>487</v>
      </c>
      <c r="M3926" s="2" t="s">
        <v>29630</v>
      </c>
      <c r="N3926" s="2" t="s">
        <v>29631</v>
      </c>
      <c r="O3926" s="2"/>
      <c r="P3926" s="2" t="s">
        <v>37</v>
      </c>
      <c r="Q3926" s="4" t="n">
        <v>8731</v>
      </c>
      <c r="R3926" s="2" t="s">
        <v>56</v>
      </c>
      <c r="S3926" s="2" t="s">
        <v>1226</v>
      </c>
      <c r="T3926" s="2" t="s">
        <v>403</v>
      </c>
      <c r="U3926" s="2" t="s">
        <v>29632</v>
      </c>
      <c r="V3926" s="2"/>
      <c r="W3926" s="2" t="s">
        <v>42</v>
      </c>
      <c r="X3926" s="2" t="s">
        <v>43</v>
      </c>
      <c r="Y3926" s="2" t="s">
        <v>37</v>
      </c>
      <c r="Z3926" s="2" t="s">
        <v>44</v>
      </c>
      <c r="AA3926" s="2"/>
      <c r="AB3926" s="2"/>
      <c r="AC3926" s="2" t="s">
        <v>29633</v>
      </c>
      <c r="AD3926" s="2" t="s">
        <v>46</v>
      </c>
    </row>
    <row r="3927" customFormat="false" ht="15.7" hidden="false" customHeight="true" outlineLevel="0" collapsed="false">
      <c r="A3927" s="2"/>
      <c r="B3927" s="3" t="n">
        <f aca="false">DATE(2018,11,17)</f>
        <v>0</v>
      </c>
      <c r="C3927" s="3" t="n">
        <v>43421</v>
      </c>
      <c r="D3927" s="2" t="s">
        <v>29634</v>
      </c>
      <c r="F3927" s="2" t="s">
        <v>20650</v>
      </c>
      <c r="G3927" s="2" t="s">
        <v>29635</v>
      </c>
      <c r="H3927" s="2" t="s">
        <v>130</v>
      </c>
      <c r="I3927" s="2" t="s">
        <v>34</v>
      </c>
      <c r="J3927" s="2" t="s">
        <v>35</v>
      </c>
      <c r="K3927" s="2" t="s">
        <v>29634</v>
      </c>
      <c r="L3927" s="2" t="s">
        <v>34</v>
      </c>
      <c r="M3927" s="2" t="s">
        <v>130</v>
      </c>
      <c r="N3927" s="2" t="s">
        <v>29636</v>
      </c>
      <c r="O3927" s="2"/>
      <c r="P3927" s="2" t="s">
        <v>37</v>
      </c>
      <c r="Q3927" s="4" t="n">
        <v>6794</v>
      </c>
      <c r="R3927" s="2" t="s">
        <v>38</v>
      </c>
      <c r="S3927" s="2" t="s">
        <v>39</v>
      </c>
      <c r="T3927" s="2" t="s">
        <v>40</v>
      </c>
      <c r="U3927" s="2" t="s">
        <v>29637</v>
      </c>
      <c r="V3927" s="2"/>
      <c r="W3927" s="2" t="s">
        <v>15545</v>
      </c>
      <c r="X3927" s="2" t="s">
        <v>43</v>
      </c>
      <c r="Y3927" s="2" t="s">
        <v>37</v>
      </c>
      <c r="Z3927" s="2" t="s">
        <v>44</v>
      </c>
      <c r="AA3927" s="2"/>
      <c r="AB3927" s="2"/>
      <c r="AC3927" s="2" t="s">
        <v>29638</v>
      </c>
      <c r="AD3927" s="2" t="s">
        <v>46</v>
      </c>
    </row>
    <row r="3928" customFormat="false" ht="15.7" hidden="false" customHeight="true" outlineLevel="0" collapsed="false">
      <c r="A3928" s="2"/>
      <c r="B3928" s="3" t="n">
        <f aca="false">DATE(2018,11,18)</f>
        <v>0</v>
      </c>
      <c r="C3928" s="3" t="n">
        <v>43422</v>
      </c>
      <c r="D3928" s="2" t="s">
        <v>29639</v>
      </c>
      <c r="F3928" s="2" t="s">
        <v>29640</v>
      </c>
      <c r="G3928" s="2" t="s">
        <v>29641</v>
      </c>
      <c r="H3928" s="2" t="s">
        <v>29642</v>
      </c>
      <c r="I3928" s="2" t="s">
        <v>29643</v>
      </c>
      <c r="J3928" s="2" t="s">
        <v>116</v>
      </c>
      <c r="K3928" s="2" t="s">
        <v>29639</v>
      </c>
      <c r="L3928" s="2" t="s">
        <v>29643</v>
      </c>
      <c r="M3928" s="2" t="s">
        <v>29642</v>
      </c>
      <c r="N3928" s="2" t="s">
        <v>29644</v>
      </c>
      <c r="O3928" s="2"/>
      <c r="P3928" s="2" t="s">
        <v>37</v>
      </c>
      <c r="Q3928" s="4" t="n">
        <v>8731</v>
      </c>
      <c r="R3928" s="2" t="s">
        <v>29645</v>
      </c>
      <c r="S3928" s="2" t="s">
        <v>5334</v>
      </c>
      <c r="T3928" s="2" t="s">
        <v>403</v>
      </c>
      <c r="U3928" s="2" t="s">
        <v>29646</v>
      </c>
      <c r="V3928" s="2"/>
      <c r="W3928" s="2" t="s">
        <v>344</v>
      </c>
      <c r="X3928" s="2" t="s">
        <v>43</v>
      </c>
      <c r="Y3928" s="2" t="s">
        <v>79</v>
      </c>
      <c r="Z3928" s="2" t="s">
        <v>916</v>
      </c>
      <c r="AA3928" s="2"/>
      <c r="AB3928" s="2"/>
      <c r="AC3928" s="2" t="s">
        <v>29647</v>
      </c>
      <c r="AD3928" s="2" t="s">
        <v>46</v>
      </c>
    </row>
    <row r="3929" customFormat="false" ht="15.7" hidden="false" customHeight="true" outlineLevel="0" collapsed="false">
      <c r="A3929" s="2"/>
      <c r="B3929" s="3" t="n">
        <f aca="false">DATE(2018,11,20)</f>
        <v>0</v>
      </c>
      <c r="C3929" s="3" t="n">
        <v>43424</v>
      </c>
      <c r="D3929" s="2" t="s">
        <v>29648</v>
      </c>
      <c r="F3929" s="2" t="s">
        <v>21103</v>
      </c>
      <c r="G3929" s="2" t="s">
        <v>29649</v>
      </c>
      <c r="H3929" s="2" t="s">
        <v>21105</v>
      </c>
      <c r="I3929" s="2" t="s">
        <v>51</v>
      </c>
      <c r="J3929" s="2" t="s">
        <v>2873</v>
      </c>
      <c r="K3929" s="2" t="s">
        <v>29650</v>
      </c>
      <c r="L3929" s="2" t="s">
        <v>51</v>
      </c>
      <c r="M3929" s="2" t="s">
        <v>29651</v>
      </c>
      <c r="N3929" s="2" t="s">
        <v>29652</v>
      </c>
      <c r="O3929" s="2"/>
      <c r="P3929" s="2" t="s">
        <v>37</v>
      </c>
      <c r="Q3929" s="4" t="n">
        <v>8731</v>
      </c>
      <c r="R3929" s="2" t="s">
        <v>56</v>
      </c>
      <c r="S3929" s="2"/>
      <c r="T3929" s="2" t="s">
        <v>40</v>
      </c>
      <c r="U3929" s="2" t="s">
        <v>29653</v>
      </c>
      <c r="V3929" s="2"/>
      <c r="W3929" s="2" t="s">
        <v>344</v>
      </c>
      <c r="X3929" s="2" t="s">
        <v>43</v>
      </c>
      <c r="Y3929" s="2" t="s">
        <v>37</v>
      </c>
      <c r="Z3929" s="2" t="s">
        <v>44</v>
      </c>
      <c r="AA3929" s="2"/>
      <c r="AB3929" s="2"/>
      <c r="AC3929" s="2" t="s">
        <v>29654</v>
      </c>
      <c r="AD3929" s="2" t="s">
        <v>46</v>
      </c>
    </row>
    <row r="3930" customFormat="false" ht="15.7" hidden="false" customHeight="true" outlineLevel="0" collapsed="false">
      <c r="A3930" s="2"/>
      <c r="B3930" s="3" t="n">
        <f aca="false">DATE(2018,11,20)</f>
        <v>0</v>
      </c>
      <c r="C3930" s="3" t="n">
        <v>43424</v>
      </c>
      <c r="D3930" s="2" t="s">
        <v>29655</v>
      </c>
      <c r="F3930" s="2" t="s">
        <v>29656</v>
      </c>
      <c r="G3930" s="2" t="s">
        <v>29657</v>
      </c>
      <c r="H3930" s="2" t="s">
        <v>15863</v>
      </c>
      <c r="I3930" s="2" t="s">
        <v>330</v>
      </c>
      <c r="J3930" s="2" t="s">
        <v>795</v>
      </c>
      <c r="K3930" s="2" t="s">
        <v>29658</v>
      </c>
      <c r="L3930" s="2" t="s">
        <v>330</v>
      </c>
      <c r="M3930" s="2" t="s">
        <v>29659</v>
      </c>
      <c r="N3930" s="2" t="s">
        <v>29660</v>
      </c>
      <c r="O3930" s="2"/>
      <c r="P3930" s="2" t="s">
        <v>37</v>
      </c>
      <c r="Q3930" s="4" t="n">
        <v>8731</v>
      </c>
      <c r="R3930" s="2" t="s">
        <v>136</v>
      </c>
      <c r="S3930" s="2" t="s">
        <v>39</v>
      </c>
      <c r="T3930" s="2" t="s">
        <v>40</v>
      </c>
      <c r="U3930" s="2" t="s">
        <v>29661</v>
      </c>
      <c r="V3930" s="2"/>
      <c r="W3930" s="2" t="s">
        <v>10985</v>
      </c>
      <c r="X3930" s="2" t="s">
        <v>43</v>
      </c>
      <c r="Y3930" s="2" t="s">
        <v>37</v>
      </c>
      <c r="Z3930" s="2" t="s">
        <v>44</v>
      </c>
      <c r="AA3930" s="2"/>
      <c r="AB3930" s="2"/>
      <c r="AC3930" s="2" t="s">
        <v>29662</v>
      </c>
      <c r="AD3930" s="2" t="s">
        <v>46</v>
      </c>
    </row>
    <row r="3931" customFormat="false" ht="15.7" hidden="false" customHeight="true" outlineLevel="0" collapsed="false">
      <c r="A3931" s="2"/>
      <c r="B3931" s="3" t="n">
        <f aca="false">DATE(2018,11,20)</f>
        <v>0</v>
      </c>
      <c r="C3931" s="3" t="n">
        <v>43424</v>
      </c>
      <c r="D3931" s="2" t="s">
        <v>29663</v>
      </c>
      <c r="F3931" s="2" t="s">
        <v>29664</v>
      </c>
      <c r="G3931" s="2" t="s">
        <v>29665</v>
      </c>
      <c r="H3931" s="2" t="s">
        <v>29666</v>
      </c>
      <c r="I3931" s="2" t="s">
        <v>34</v>
      </c>
      <c r="J3931" s="2" t="s">
        <v>35</v>
      </c>
      <c r="K3931" s="2" t="s">
        <v>29663</v>
      </c>
      <c r="L3931" s="2" t="s">
        <v>34</v>
      </c>
      <c r="M3931" s="2" t="s">
        <v>29666</v>
      </c>
      <c r="N3931" s="2" t="s">
        <v>29667</v>
      </c>
      <c r="O3931" s="2"/>
      <c r="P3931" s="2" t="s">
        <v>37</v>
      </c>
      <c r="Q3931" s="4" t="n">
        <v>6794</v>
      </c>
      <c r="R3931" s="2" t="s">
        <v>38</v>
      </c>
      <c r="S3931" s="2" t="s">
        <v>39</v>
      </c>
      <c r="T3931" s="2" t="s">
        <v>40</v>
      </c>
      <c r="U3931" s="2" t="s">
        <v>29668</v>
      </c>
      <c r="V3931" s="2"/>
      <c r="W3931" s="2" t="s">
        <v>82</v>
      </c>
      <c r="X3931" s="2" t="s">
        <v>43</v>
      </c>
      <c r="Y3931" s="2" t="s">
        <v>37</v>
      </c>
      <c r="Z3931" s="2" t="s">
        <v>44</v>
      </c>
      <c r="AA3931" s="2"/>
      <c r="AB3931" s="2"/>
      <c r="AC3931" s="2" t="s">
        <v>29669</v>
      </c>
      <c r="AD3931" s="2" t="s">
        <v>46</v>
      </c>
    </row>
    <row r="3932" customFormat="false" ht="15.7" hidden="false" customHeight="true" outlineLevel="0" collapsed="false">
      <c r="A3932" s="2"/>
      <c r="B3932" s="3" t="n">
        <f aca="false">DATE(2018,11,26)</f>
        <v>0</v>
      </c>
      <c r="C3932" s="3" t="n">
        <v>43430</v>
      </c>
      <c r="D3932" s="2" t="s">
        <v>29670</v>
      </c>
      <c r="F3932" s="2" t="s">
        <v>29671</v>
      </c>
      <c r="G3932" s="2" t="s">
        <v>29672</v>
      </c>
      <c r="H3932" s="2" t="s">
        <v>582</v>
      </c>
      <c r="I3932" s="2" t="s">
        <v>296</v>
      </c>
      <c r="J3932" s="2" t="s">
        <v>1456</v>
      </c>
      <c r="K3932" s="2" t="s">
        <v>29673</v>
      </c>
      <c r="L3932" s="2" t="s">
        <v>296</v>
      </c>
      <c r="M3932" s="2" t="s">
        <v>814</v>
      </c>
      <c r="N3932" s="2" t="s">
        <v>29674</v>
      </c>
      <c r="O3932" s="2"/>
      <c r="P3932" s="2" t="s">
        <v>37</v>
      </c>
      <c r="Q3932" s="4" t="n">
        <v>8731</v>
      </c>
      <c r="R3932" s="2" t="s">
        <v>56</v>
      </c>
      <c r="S3932" s="2"/>
      <c r="T3932" s="2" t="s">
        <v>40</v>
      </c>
      <c r="U3932" s="2" t="s">
        <v>29675</v>
      </c>
      <c r="V3932" s="2"/>
      <c r="W3932" s="2" t="s">
        <v>697</v>
      </c>
      <c r="X3932" s="2" t="s">
        <v>43</v>
      </c>
      <c r="Y3932" s="2" t="s">
        <v>37</v>
      </c>
      <c r="Z3932" s="2" t="s">
        <v>44</v>
      </c>
      <c r="AA3932" s="2"/>
      <c r="AB3932" s="2"/>
      <c r="AC3932" s="2" t="s">
        <v>29676</v>
      </c>
      <c r="AD3932" s="2" t="s">
        <v>46</v>
      </c>
    </row>
    <row r="3933" customFormat="false" ht="15.7" hidden="false" customHeight="true" outlineLevel="0" collapsed="false">
      <c r="A3933" s="2"/>
      <c r="B3933" s="3" t="n">
        <f aca="false">DATE(2018,11,26)</f>
        <v>0</v>
      </c>
      <c r="C3933" s="3" t="n">
        <v>43430</v>
      </c>
      <c r="D3933" s="2" t="s">
        <v>29677</v>
      </c>
      <c r="F3933" s="2" t="s">
        <v>29678</v>
      </c>
      <c r="G3933" s="2" t="s">
        <v>29679</v>
      </c>
      <c r="H3933" s="2" t="s">
        <v>29680</v>
      </c>
      <c r="I3933" s="2" t="s">
        <v>4744</v>
      </c>
      <c r="J3933" s="2" t="s">
        <v>35</v>
      </c>
      <c r="K3933" s="2" t="s">
        <v>29677</v>
      </c>
      <c r="L3933" s="2" t="s">
        <v>4744</v>
      </c>
      <c r="M3933" s="2" t="s">
        <v>29680</v>
      </c>
      <c r="N3933" s="2" t="s">
        <v>29681</v>
      </c>
      <c r="O3933" s="2"/>
      <c r="P3933" s="2" t="s">
        <v>37</v>
      </c>
      <c r="Q3933" s="4" t="n">
        <v>8731</v>
      </c>
      <c r="R3933" s="2" t="s">
        <v>2508</v>
      </c>
      <c r="S3933" s="2" t="s">
        <v>39</v>
      </c>
      <c r="T3933" s="2" t="s">
        <v>40</v>
      </c>
      <c r="U3933" s="2" t="s">
        <v>29682</v>
      </c>
      <c r="V3933" s="2"/>
      <c r="W3933" s="2" t="s">
        <v>42</v>
      </c>
      <c r="X3933" s="2" t="s">
        <v>43</v>
      </c>
      <c r="Y3933" s="2" t="s">
        <v>37</v>
      </c>
      <c r="Z3933" s="2" t="s">
        <v>44</v>
      </c>
      <c r="AA3933" s="2"/>
      <c r="AB3933" s="2"/>
      <c r="AC3933" s="2" t="s">
        <v>29683</v>
      </c>
      <c r="AD3933" s="2" t="s">
        <v>46</v>
      </c>
    </row>
    <row r="3934" customFormat="false" ht="15.7" hidden="false" customHeight="true" outlineLevel="0" collapsed="false">
      <c r="A3934" s="2"/>
      <c r="B3934" s="3" t="n">
        <f aca="false">DATE(2018,11,26)</f>
        <v>0</v>
      </c>
      <c r="C3934" s="3" t="n">
        <v>43430</v>
      </c>
      <c r="D3934" s="2" t="s">
        <v>29684</v>
      </c>
      <c r="F3934" s="2" t="s">
        <v>19085</v>
      </c>
      <c r="G3934" s="2" t="s">
        <v>29685</v>
      </c>
      <c r="H3934" s="2" t="s">
        <v>63</v>
      </c>
      <c r="I3934" s="2" t="s">
        <v>51</v>
      </c>
      <c r="J3934" s="2" t="s">
        <v>14091</v>
      </c>
      <c r="K3934" s="2" t="s">
        <v>29684</v>
      </c>
      <c r="L3934" s="2" t="s">
        <v>51</v>
      </c>
      <c r="M3934" s="2" t="s">
        <v>63</v>
      </c>
      <c r="N3934" s="2" t="s">
        <v>29686</v>
      </c>
      <c r="O3934" s="2"/>
      <c r="P3934" s="2" t="s">
        <v>79</v>
      </c>
      <c r="Q3934" s="4" t="n">
        <v>6794</v>
      </c>
      <c r="R3934" s="2" t="s">
        <v>56</v>
      </c>
      <c r="S3934" s="2"/>
      <c r="T3934" s="2" t="s">
        <v>40</v>
      </c>
      <c r="U3934" s="2" t="s">
        <v>29687</v>
      </c>
      <c r="V3934" s="2"/>
      <c r="W3934" s="2" t="s">
        <v>206</v>
      </c>
      <c r="X3934" s="2" t="s">
        <v>43</v>
      </c>
      <c r="Y3934" s="2" t="s">
        <v>37</v>
      </c>
      <c r="Z3934" s="2" t="s">
        <v>44</v>
      </c>
      <c r="AA3934" s="2"/>
      <c r="AB3934" s="2"/>
      <c r="AC3934" s="2" t="s">
        <v>29688</v>
      </c>
      <c r="AD3934" s="2" t="s">
        <v>46</v>
      </c>
    </row>
    <row r="3935" customFormat="false" ht="15.7" hidden="false" customHeight="true" outlineLevel="0" collapsed="false">
      <c r="A3935" s="2"/>
      <c r="B3935" s="3" t="n">
        <f aca="false">DATE(2018,11,27)</f>
        <v>0</v>
      </c>
      <c r="C3935" s="3" t="n">
        <v>43431</v>
      </c>
      <c r="D3935" s="2" t="s">
        <v>29689</v>
      </c>
      <c r="F3935" s="2" t="s">
        <v>22407</v>
      </c>
      <c r="G3935" s="2" t="s">
        <v>29690</v>
      </c>
      <c r="H3935" s="2" t="s">
        <v>762</v>
      </c>
      <c r="I3935" s="2" t="s">
        <v>12781</v>
      </c>
      <c r="J3935" s="2" t="s">
        <v>35</v>
      </c>
      <c r="K3935" s="2" t="s">
        <v>29689</v>
      </c>
      <c r="L3935" s="2" t="s">
        <v>12781</v>
      </c>
      <c r="M3935" s="2" t="s">
        <v>762</v>
      </c>
      <c r="N3935" s="2" t="s">
        <v>29691</v>
      </c>
      <c r="O3935" s="2"/>
      <c r="P3935" s="2" t="s">
        <v>79</v>
      </c>
      <c r="Q3935" s="4" t="n">
        <v>6794</v>
      </c>
      <c r="R3935" s="2" t="s">
        <v>136</v>
      </c>
      <c r="S3935" s="2" t="s">
        <v>39</v>
      </c>
      <c r="T3935" s="2" t="s">
        <v>40</v>
      </c>
      <c r="U3935" s="2" t="s">
        <v>29692</v>
      </c>
      <c r="V3935" s="2"/>
      <c r="W3935" s="2" t="s">
        <v>82</v>
      </c>
      <c r="X3935" s="2" t="s">
        <v>43</v>
      </c>
      <c r="Y3935" s="2" t="s">
        <v>37</v>
      </c>
      <c r="Z3935" s="2" t="s">
        <v>44</v>
      </c>
      <c r="AA3935" s="2"/>
      <c r="AB3935" s="2"/>
      <c r="AC3935" s="2" t="s">
        <v>29693</v>
      </c>
      <c r="AD3935" s="2" t="s">
        <v>46</v>
      </c>
    </row>
    <row r="3936" customFormat="false" ht="15.7" hidden="false" customHeight="true" outlineLevel="0" collapsed="false">
      <c r="A3936" s="2"/>
      <c r="B3936" s="3" t="n">
        <f aca="false">DATE(2018,11,27)</f>
        <v>0</v>
      </c>
      <c r="C3936" s="3" t="n">
        <v>43431</v>
      </c>
      <c r="D3936" s="2" t="s">
        <v>29694</v>
      </c>
      <c r="F3936" s="2" t="s">
        <v>17957</v>
      </c>
      <c r="G3936" s="2" t="s">
        <v>29695</v>
      </c>
      <c r="H3936" s="2" t="s">
        <v>1020</v>
      </c>
      <c r="I3936" s="2" t="s">
        <v>540</v>
      </c>
      <c r="J3936" s="2" t="s">
        <v>35</v>
      </c>
      <c r="K3936" s="2" t="s">
        <v>29694</v>
      </c>
      <c r="L3936" s="2" t="s">
        <v>540</v>
      </c>
      <c r="M3936" s="2" t="s">
        <v>1020</v>
      </c>
      <c r="N3936" s="2" t="s">
        <v>29696</v>
      </c>
      <c r="O3936" s="2"/>
      <c r="P3936" s="2" t="s">
        <v>37</v>
      </c>
      <c r="Q3936" s="4" t="n">
        <v>8731</v>
      </c>
      <c r="R3936" s="2" t="s">
        <v>1448</v>
      </c>
      <c r="S3936" s="2" t="s">
        <v>39</v>
      </c>
      <c r="T3936" s="2" t="s">
        <v>403</v>
      </c>
      <c r="U3936" s="2" t="s">
        <v>29697</v>
      </c>
      <c r="V3936" s="2"/>
      <c r="W3936" s="2" t="s">
        <v>42</v>
      </c>
      <c r="X3936" s="2" t="s">
        <v>46</v>
      </c>
      <c r="Y3936" s="2" t="s">
        <v>37</v>
      </c>
      <c r="Z3936" s="2" t="s">
        <v>362</v>
      </c>
      <c r="AA3936" s="2"/>
      <c r="AB3936" s="2"/>
      <c r="AC3936" s="2" t="s">
        <v>29698</v>
      </c>
      <c r="AD3936" s="2" t="s">
        <v>46</v>
      </c>
    </row>
    <row r="3937" customFormat="false" ht="15.7" hidden="false" customHeight="true" outlineLevel="0" collapsed="false">
      <c r="A3937" s="2"/>
      <c r="B3937" s="3" t="n">
        <f aca="false">DATE(2018,11,27)</f>
        <v>0</v>
      </c>
      <c r="C3937" s="3" t="n">
        <v>43431</v>
      </c>
      <c r="D3937" s="2" t="s">
        <v>29699</v>
      </c>
      <c r="F3937" s="2" t="s">
        <v>29700</v>
      </c>
      <c r="G3937" s="2" t="s">
        <v>29701</v>
      </c>
      <c r="H3937" s="2" t="s">
        <v>130</v>
      </c>
      <c r="I3937" s="2" t="s">
        <v>2590</v>
      </c>
      <c r="J3937" s="2" t="s">
        <v>35</v>
      </c>
      <c r="K3937" s="2" t="s">
        <v>29702</v>
      </c>
      <c r="L3937" s="2" t="s">
        <v>2590</v>
      </c>
      <c r="M3937" s="2" t="s">
        <v>548</v>
      </c>
      <c r="N3937" s="2" t="s">
        <v>29703</v>
      </c>
      <c r="O3937" s="2"/>
      <c r="P3937" s="2" t="s">
        <v>79</v>
      </c>
      <c r="Q3937" s="4" t="n">
        <v>6794</v>
      </c>
      <c r="R3937" s="2" t="s">
        <v>136</v>
      </c>
      <c r="S3937" s="2" t="s">
        <v>39</v>
      </c>
      <c r="T3937" s="2" t="s">
        <v>40</v>
      </c>
      <c r="U3937" s="2" t="s">
        <v>29704</v>
      </c>
      <c r="V3937" s="2"/>
      <c r="W3937" s="2" t="s">
        <v>82</v>
      </c>
      <c r="X3937" s="2" t="s">
        <v>43</v>
      </c>
      <c r="Y3937" s="2" t="s">
        <v>37</v>
      </c>
      <c r="Z3937" s="2" t="s">
        <v>44</v>
      </c>
      <c r="AA3937" s="2"/>
      <c r="AB3937" s="2"/>
      <c r="AC3937" s="2" t="s">
        <v>29705</v>
      </c>
      <c r="AD3937" s="2" t="s">
        <v>46</v>
      </c>
    </row>
    <row r="3938" customFormat="false" ht="15.7" hidden="false" customHeight="true" outlineLevel="0" collapsed="false">
      <c r="A3938" s="2"/>
      <c r="B3938" s="3" t="n">
        <f aca="false">DATE(2018,11,28)</f>
        <v>0</v>
      </c>
      <c r="C3938" s="3" t="n">
        <v>43432</v>
      </c>
      <c r="D3938" s="2" t="s">
        <v>29706</v>
      </c>
      <c r="F3938" s="2" t="s">
        <v>29707</v>
      </c>
      <c r="G3938" s="2" t="s">
        <v>29708</v>
      </c>
      <c r="H3938" s="2" t="s">
        <v>20998</v>
      </c>
      <c r="I3938" s="2" t="s">
        <v>51</v>
      </c>
      <c r="J3938" s="2" t="s">
        <v>171</v>
      </c>
      <c r="K3938" s="2" t="s">
        <v>29706</v>
      </c>
      <c r="L3938" s="2" t="s">
        <v>51</v>
      </c>
      <c r="M3938" s="2" t="s">
        <v>20998</v>
      </c>
      <c r="N3938" s="2" t="s">
        <v>29709</v>
      </c>
      <c r="O3938" s="2"/>
      <c r="P3938" s="2" t="s">
        <v>37</v>
      </c>
      <c r="Q3938" s="4" t="n">
        <v>8731</v>
      </c>
      <c r="R3938" s="2" t="s">
        <v>56</v>
      </c>
      <c r="S3938" s="2"/>
      <c r="T3938" s="2" t="s">
        <v>40</v>
      </c>
      <c r="U3938" s="2" t="s">
        <v>29710</v>
      </c>
      <c r="V3938" s="2"/>
      <c r="W3938" s="2" t="s">
        <v>42</v>
      </c>
      <c r="X3938" s="2" t="s">
        <v>43</v>
      </c>
      <c r="Y3938" s="2" t="s">
        <v>37</v>
      </c>
      <c r="Z3938" s="2" t="s">
        <v>44</v>
      </c>
      <c r="AA3938" s="2"/>
      <c r="AB3938" s="2"/>
      <c r="AC3938" s="2" t="s">
        <v>29711</v>
      </c>
      <c r="AD3938" s="2" t="s">
        <v>46</v>
      </c>
    </row>
    <row r="3939" customFormat="false" ht="15.7" hidden="false" customHeight="true" outlineLevel="0" collapsed="false">
      <c r="A3939" s="2"/>
      <c r="B3939" s="3" t="n">
        <f aca="false">DATE(2018,11,28)</f>
        <v>0</v>
      </c>
      <c r="C3939" s="3" t="n">
        <v>43432</v>
      </c>
      <c r="D3939" s="2" t="s">
        <v>29712</v>
      </c>
      <c r="F3939" s="2" t="s">
        <v>29713</v>
      </c>
      <c r="G3939" s="2" t="s">
        <v>29714</v>
      </c>
      <c r="H3939" s="2" t="s">
        <v>19221</v>
      </c>
      <c r="I3939" s="2" t="s">
        <v>20129</v>
      </c>
      <c r="J3939" s="2" t="s">
        <v>35</v>
      </c>
      <c r="K3939" s="2" t="s">
        <v>29712</v>
      </c>
      <c r="L3939" s="2" t="s">
        <v>20129</v>
      </c>
      <c r="M3939" s="2" t="s">
        <v>19221</v>
      </c>
      <c r="N3939" s="2" t="s">
        <v>29715</v>
      </c>
      <c r="O3939" s="2"/>
      <c r="P3939" s="2" t="s">
        <v>37</v>
      </c>
      <c r="Q3939" s="4" t="n">
        <v>8299</v>
      </c>
      <c r="R3939" s="2" t="s">
        <v>2225</v>
      </c>
      <c r="S3939" s="2" t="s">
        <v>39</v>
      </c>
      <c r="T3939" s="2" t="s">
        <v>40</v>
      </c>
      <c r="U3939" s="2" t="s">
        <v>29716</v>
      </c>
      <c r="V3939" s="2"/>
      <c r="W3939" s="2" t="s">
        <v>21677</v>
      </c>
      <c r="X3939" s="2" t="s">
        <v>43</v>
      </c>
      <c r="Y3939" s="2" t="s">
        <v>37</v>
      </c>
      <c r="Z3939" s="2" t="s">
        <v>44</v>
      </c>
      <c r="AA3939" s="2"/>
      <c r="AB3939" s="2"/>
      <c r="AC3939" s="2" t="s">
        <v>29717</v>
      </c>
      <c r="AD3939" s="2" t="s">
        <v>46</v>
      </c>
    </row>
    <row r="3940" customFormat="false" ht="15.7" hidden="false" customHeight="true" outlineLevel="0" collapsed="false">
      <c r="A3940" s="2"/>
      <c r="B3940" s="3" t="n">
        <f aca="false">DATE(2018,11,29)</f>
        <v>0</v>
      </c>
      <c r="C3940" s="3" t="n">
        <v>43433</v>
      </c>
      <c r="D3940" s="2" t="s">
        <v>29718</v>
      </c>
      <c r="F3940" s="2" t="s">
        <v>29719</v>
      </c>
      <c r="G3940" s="2" t="s">
        <v>29720</v>
      </c>
      <c r="H3940" s="2" t="s">
        <v>24195</v>
      </c>
      <c r="I3940" s="2" t="s">
        <v>17769</v>
      </c>
      <c r="J3940" s="2" t="s">
        <v>35</v>
      </c>
      <c r="K3940" s="2" t="s">
        <v>29718</v>
      </c>
      <c r="L3940" s="2" t="s">
        <v>17769</v>
      </c>
      <c r="M3940" s="2" t="s">
        <v>24195</v>
      </c>
      <c r="N3940" s="2" t="s">
        <v>29721</v>
      </c>
      <c r="O3940" s="2"/>
      <c r="P3940" s="2" t="s">
        <v>37</v>
      </c>
      <c r="Q3940" s="4" t="n">
        <v>8731</v>
      </c>
      <c r="R3940" s="2" t="s">
        <v>2201</v>
      </c>
      <c r="S3940" s="2" t="s">
        <v>39</v>
      </c>
      <c r="T3940" s="2" t="s">
        <v>40</v>
      </c>
      <c r="U3940" s="2" t="s">
        <v>29722</v>
      </c>
      <c r="V3940" s="2"/>
      <c r="W3940" s="2" t="s">
        <v>344</v>
      </c>
      <c r="X3940" s="2" t="s">
        <v>43</v>
      </c>
      <c r="Y3940" s="2" t="s">
        <v>37</v>
      </c>
      <c r="Z3940" s="2" t="s">
        <v>44</v>
      </c>
      <c r="AA3940" s="2"/>
      <c r="AB3940" s="2"/>
      <c r="AC3940" s="2" t="s">
        <v>29723</v>
      </c>
      <c r="AD3940" s="2" t="s">
        <v>46</v>
      </c>
    </row>
    <row r="3941" customFormat="false" ht="15.7" hidden="false" customHeight="true" outlineLevel="0" collapsed="false">
      <c r="A3941" s="2"/>
      <c r="B3941" s="3" t="n">
        <f aca="false">DATE(2018,11,29)</f>
        <v>0</v>
      </c>
      <c r="C3941" s="3" t="n">
        <v>43433</v>
      </c>
      <c r="D3941" s="2" t="s">
        <v>29724</v>
      </c>
      <c r="F3941" s="2" t="s">
        <v>29725</v>
      </c>
      <c r="G3941" s="2" t="s">
        <v>29726</v>
      </c>
      <c r="H3941" s="2" t="s">
        <v>29727</v>
      </c>
      <c r="I3941" s="2" t="s">
        <v>724</v>
      </c>
      <c r="J3941" s="2" t="s">
        <v>1456</v>
      </c>
      <c r="K3941" s="2" t="s">
        <v>29724</v>
      </c>
      <c r="L3941" s="2" t="s">
        <v>724</v>
      </c>
      <c r="M3941" s="2" t="s">
        <v>29727</v>
      </c>
      <c r="N3941" s="2" t="s">
        <v>29728</v>
      </c>
      <c r="O3941" s="2"/>
      <c r="P3941" s="2" t="s">
        <v>37</v>
      </c>
      <c r="Q3941" s="4" t="n">
        <v>8731</v>
      </c>
      <c r="R3941" s="2" t="s">
        <v>56</v>
      </c>
      <c r="S3941" s="2"/>
      <c r="T3941" s="2" t="s">
        <v>403</v>
      </c>
      <c r="U3941" s="2" t="s">
        <v>29729</v>
      </c>
      <c r="V3941" s="2"/>
      <c r="W3941" s="2" t="s">
        <v>29730</v>
      </c>
      <c r="X3941" s="2" t="s">
        <v>46</v>
      </c>
      <c r="Y3941" s="2" t="s">
        <v>37</v>
      </c>
      <c r="Z3941" s="2" t="s">
        <v>362</v>
      </c>
      <c r="AA3941" s="2"/>
      <c r="AB3941" s="2"/>
      <c r="AC3941" s="2" t="s">
        <v>29731</v>
      </c>
      <c r="AD3941" s="2" t="s">
        <v>46</v>
      </c>
    </row>
    <row r="3942" customFormat="false" ht="15.7" hidden="false" customHeight="true" outlineLevel="0" collapsed="false">
      <c r="A3942" s="2"/>
      <c r="B3942" s="3" t="n">
        <f aca="false">DATE(2018,11,29)</f>
        <v>0</v>
      </c>
      <c r="C3942" s="3" t="n">
        <v>43433</v>
      </c>
      <c r="D3942" s="2" t="s">
        <v>29732</v>
      </c>
      <c r="F3942" s="2" t="s">
        <v>15541</v>
      </c>
      <c r="G3942" s="2" t="s">
        <v>29733</v>
      </c>
      <c r="H3942" s="2" t="s">
        <v>170</v>
      </c>
      <c r="I3942" s="2" t="s">
        <v>670</v>
      </c>
      <c r="J3942" s="2" t="s">
        <v>65</v>
      </c>
      <c r="K3942" s="2" t="s">
        <v>29732</v>
      </c>
      <c r="L3942" s="2" t="s">
        <v>670</v>
      </c>
      <c r="M3942" s="2" t="s">
        <v>170</v>
      </c>
      <c r="N3942" s="2" t="s">
        <v>29734</v>
      </c>
      <c r="O3942" s="2"/>
      <c r="P3942" s="2" t="s">
        <v>37</v>
      </c>
      <c r="Q3942" s="4" t="n">
        <v>8731</v>
      </c>
      <c r="R3942" s="2" t="s">
        <v>29735</v>
      </c>
      <c r="S3942" s="2" t="s">
        <v>5334</v>
      </c>
      <c r="T3942" s="2" t="s">
        <v>40</v>
      </c>
      <c r="U3942" s="2" t="s">
        <v>29736</v>
      </c>
      <c r="V3942" s="2"/>
      <c r="W3942" s="2" t="s">
        <v>42</v>
      </c>
      <c r="X3942" s="2" t="s">
        <v>43</v>
      </c>
      <c r="Y3942" s="2" t="s">
        <v>79</v>
      </c>
      <c r="Z3942" s="2" t="s">
        <v>44</v>
      </c>
      <c r="AA3942" s="2"/>
      <c r="AB3942" s="2"/>
      <c r="AC3942" s="2" t="s">
        <v>29737</v>
      </c>
      <c r="AD3942" s="2" t="s">
        <v>46</v>
      </c>
    </row>
    <row r="3943" customFormat="false" ht="15.7" hidden="false" customHeight="true" outlineLevel="0" collapsed="false">
      <c r="A3943" s="2"/>
      <c r="B3943" s="3" t="n">
        <f aca="false">DATE(2018,11,29)</f>
        <v>0</v>
      </c>
      <c r="C3943" s="3" t="n">
        <v>43433</v>
      </c>
      <c r="D3943" s="2" t="s">
        <v>29738</v>
      </c>
      <c r="F3943" s="2" t="s">
        <v>29739</v>
      </c>
      <c r="G3943" s="2" t="s">
        <v>29740</v>
      </c>
      <c r="H3943" s="2" t="s">
        <v>29741</v>
      </c>
      <c r="I3943" s="2" t="s">
        <v>487</v>
      </c>
      <c r="J3943" s="2" t="s">
        <v>331</v>
      </c>
      <c r="K3943" s="2" t="s">
        <v>29738</v>
      </c>
      <c r="L3943" s="2" t="s">
        <v>487</v>
      </c>
      <c r="M3943" s="2" t="s">
        <v>29741</v>
      </c>
      <c r="N3943" s="2" t="s">
        <v>29742</v>
      </c>
      <c r="O3943" s="2"/>
      <c r="P3943" s="2" t="s">
        <v>37</v>
      </c>
      <c r="Q3943" s="4" t="n">
        <v>8731</v>
      </c>
      <c r="R3943" s="2" t="s">
        <v>56</v>
      </c>
      <c r="S3943" s="2"/>
      <c r="T3943" s="2" t="s">
        <v>40</v>
      </c>
      <c r="U3943" s="2" t="s">
        <v>29743</v>
      </c>
      <c r="V3943" s="2"/>
      <c r="W3943" s="2" t="s">
        <v>344</v>
      </c>
      <c r="X3943" s="2" t="s">
        <v>43</v>
      </c>
      <c r="Y3943" s="2" t="s">
        <v>37</v>
      </c>
      <c r="Z3943" s="2" t="s">
        <v>44</v>
      </c>
      <c r="AA3943" s="2"/>
      <c r="AB3943" s="2"/>
      <c r="AC3943" s="2" t="s">
        <v>29744</v>
      </c>
      <c r="AD3943" s="2" t="s">
        <v>46</v>
      </c>
    </row>
    <row r="3944" customFormat="false" ht="15.7" hidden="false" customHeight="true" outlineLevel="0" collapsed="false">
      <c r="A3944" s="2"/>
      <c r="B3944" s="3" t="n">
        <f aca="false">DATE(2018,11,29)</f>
        <v>0</v>
      </c>
      <c r="C3944" s="3" t="n">
        <v>43433</v>
      </c>
      <c r="D3944" s="2" t="s">
        <v>29745</v>
      </c>
      <c r="F3944" s="2" t="s">
        <v>29746</v>
      </c>
      <c r="G3944" s="2" t="s">
        <v>29747</v>
      </c>
      <c r="H3944" s="2" t="s">
        <v>19658</v>
      </c>
      <c r="I3944" s="2" t="s">
        <v>8191</v>
      </c>
      <c r="J3944" s="2" t="s">
        <v>35</v>
      </c>
      <c r="K3944" s="2" t="s">
        <v>29748</v>
      </c>
      <c r="L3944" s="2" t="s">
        <v>670</v>
      </c>
      <c r="M3944" s="2" t="s">
        <v>19658</v>
      </c>
      <c r="N3944" s="2" t="s">
        <v>29749</v>
      </c>
      <c r="O3944" s="2"/>
      <c r="P3944" s="2" t="s">
        <v>37</v>
      </c>
      <c r="Q3944" s="4" t="n">
        <v>8731</v>
      </c>
      <c r="R3944" s="2" t="s">
        <v>136</v>
      </c>
      <c r="S3944" s="2" t="s">
        <v>39</v>
      </c>
      <c r="T3944" s="2" t="s">
        <v>40</v>
      </c>
      <c r="U3944" s="2" t="s">
        <v>29750</v>
      </c>
      <c r="V3944" s="2"/>
      <c r="W3944" s="2" t="s">
        <v>10841</v>
      </c>
      <c r="X3944" s="2" t="s">
        <v>43</v>
      </c>
      <c r="Y3944" s="2" t="s">
        <v>37</v>
      </c>
      <c r="Z3944" s="2" t="s">
        <v>44</v>
      </c>
      <c r="AA3944" s="2"/>
      <c r="AB3944" s="2"/>
      <c r="AC3944" s="2" t="s">
        <v>29751</v>
      </c>
      <c r="AD3944" s="2" t="s">
        <v>46</v>
      </c>
    </row>
    <row r="3945" customFormat="false" ht="15.7" hidden="false" customHeight="true" outlineLevel="0" collapsed="false">
      <c r="A3945" s="2"/>
      <c r="B3945" s="3" t="n">
        <f aca="false">DATE(2018,12,3)</f>
        <v>0</v>
      </c>
      <c r="C3945" s="3" t="n">
        <v>43437</v>
      </c>
      <c r="D3945" s="2" t="s">
        <v>24805</v>
      </c>
      <c r="F3945" s="2" t="s">
        <v>24806</v>
      </c>
      <c r="G3945" s="2" t="s">
        <v>24807</v>
      </c>
      <c r="H3945" s="2" t="s">
        <v>19024</v>
      </c>
      <c r="I3945" s="2" t="s">
        <v>51</v>
      </c>
      <c r="J3945" s="2" t="s">
        <v>16638</v>
      </c>
      <c r="K3945" s="2" t="s">
        <v>29752</v>
      </c>
      <c r="L3945" s="2" t="s">
        <v>51</v>
      </c>
      <c r="M3945" s="2" t="s">
        <v>29753</v>
      </c>
      <c r="N3945" s="2" t="s">
        <v>29754</v>
      </c>
      <c r="O3945" s="2"/>
      <c r="P3945" s="2" t="s">
        <v>37</v>
      </c>
      <c r="Q3945" s="4" t="n">
        <v>8099</v>
      </c>
      <c r="R3945" s="2" t="s">
        <v>56</v>
      </c>
      <c r="S3945" s="2" t="s">
        <v>315</v>
      </c>
      <c r="T3945" s="2" t="s">
        <v>40</v>
      </c>
      <c r="U3945" s="2" t="s">
        <v>29755</v>
      </c>
      <c r="V3945" s="2"/>
      <c r="W3945" s="2" t="s">
        <v>344</v>
      </c>
      <c r="X3945" s="2" t="s">
        <v>43</v>
      </c>
      <c r="Y3945" s="2" t="s">
        <v>37</v>
      </c>
      <c r="Z3945" s="2" t="s">
        <v>44</v>
      </c>
      <c r="AA3945" s="2"/>
      <c r="AB3945" s="2"/>
      <c r="AC3945" s="2" t="s">
        <v>24810</v>
      </c>
      <c r="AD3945" s="2" t="s">
        <v>46</v>
      </c>
    </row>
    <row r="3946" customFormat="false" ht="15.7" hidden="false" customHeight="true" outlineLevel="0" collapsed="false">
      <c r="A3946" s="2"/>
      <c r="B3946" s="3" t="n">
        <f aca="false">DATE(2018,12,3)</f>
        <v>0</v>
      </c>
      <c r="C3946" s="3" t="n">
        <v>43437</v>
      </c>
      <c r="D3946" s="2" t="s">
        <v>29756</v>
      </c>
      <c r="F3946" s="2" t="s">
        <v>29757</v>
      </c>
      <c r="G3946" s="2" t="s">
        <v>29758</v>
      </c>
      <c r="H3946" s="2" t="s">
        <v>29759</v>
      </c>
      <c r="I3946" s="2" t="s">
        <v>13937</v>
      </c>
      <c r="J3946" s="2" t="s">
        <v>132</v>
      </c>
      <c r="K3946" s="2" t="s">
        <v>29760</v>
      </c>
      <c r="L3946" s="2" t="s">
        <v>13937</v>
      </c>
      <c r="M3946" s="2" t="s">
        <v>704</v>
      </c>
      <c r="N3946" s="2" t="s">
        <v>29761</v>
      </c>
      <c r="O3946" s="2"/>
      <c r="P3946" s="2" t="s">
        <v>37</v>
      </c>
      <c r="Q3946" s="4" t="n">
        <v>8731</v>
      </c>
      <c r="R3946" s="2" t="s">
        <v>2225</v>
      </c>
      <c r="S3946" s="2" t="s">
        <v>39</v>
      </c>
      <c r="T3946" s="2" t="s">
        <v>40</v>
      </c>
      <c r="U3946" s="2" t="s">
        <v>29762</v>
      </c>
      <c r="V3946" s="2"/>
      <c r="W3946" s="2" t="s">
        <v>42</v>
      </c>
      <c r="X3946" s="2" t="s">
        <v>43</v>
      </c>
      <c r="Y3946" s="2" t="s">
        <v>37</v>
      </c>
      <c r="Z3946" s="2" t="s">
        <v>44</v>
      </c>
      <c r="AA3946" s="2"/>
      <c r="AB3946" s="2"/>
      <c r="AC3946" s="2" t="s">
        <v>29763</v>
      </c>
      <c r="AD3946" s="2" t="s">
        <v>46</v>
      </c>
    </row>
    <row r="3947" customFormat="false" ht="15.7" hidden="false" customHeight="true" outlineLevel="0" collapsed="false">
      <c r="A3947" s="2"/>
      <c r="B3947" s="3" t="n">
        <f aca="false">DATE(2018,12,3)</f>
        <v>0</v>
      </c>
      <c r="C3947" s="3" t="n">
        <v>43437</v>
      </c>
      <c r="D3947" s="2" t="s">
        <v>29764</v>
      </c>
      <c r="F3947" s="2" t="s">
        <v>29765</v>
      </c>
      <c r="G3947" s="2" t="s">
        <v>29766</v>
      </c>
      <c r="H3947" s="2" t="s">
        <v>3469</v>
      </c>
      <c r="I3947" s="2" t="s">
        <v>4179</v>
      </c>
      <c r="J3947" s="2" t="s">
        <v>132</v>
      </c>
      <c r="K3947" s="2" t="s">
        <v>29764</v>
      </c>
      <c r="L3947" s="2" t="s">
        <v>4179</v>
      </c>
      <c r="M3947" s="2" t="s">
        <v>3469</v>
      </c>
      <c r="N3947" s="2" t="s">
        <v>29767</v>
      </c>
      <c r="O3947" s="2"/>
      <c r="P3947" s="2" t="s">
        <v>37</v>
      </c>
      <c r="Q3947" s="4" t="n">
        <v>8731</v>
      </c>
      <c r="R3947" s="2" t="s">
        <v>105</v>
      </c>
      <c r="S3947" s="2" t="s">
        <v>39</v>
      </c>
      <c r="T3947" s="2" t="s">
        <v>403</v>
      </c>
      <c r="U3947" s="2" t="s">
        <v>29768</v>
      </c>
      <c r="V3947" s="2"/>
      <c r="W3947" s="2" t="s">
        <v>42</v>
      </c>
      <c r="X3947" s="2" t="s">
        <v>46</v>
      </c>
      <c r="Y3947" s="2" t="s">
        <v>37</v>
      </c>
      <c r="Z3947" s="2" t="s">
        <v>11882</v>
      </c>
      <c r="AA3947" s="2"/>
      <c r="AB3947" s="2"/>
      <c r="AC3947" s="2" t="s">
        <v>29769</v>
      </c>
      <c r="AD3947" s="2" t="s">
        <v>46</v>
      </c>
    </row>
    <row r="3948" customFormat="false" ht="15.7" hidden="false" customHeight="true" outlineLevel="0" collapsed="false">
      <c r="A3948" s="2"/>
      <c r="B3948" s="3" t="n">
        <f aca="false">DATE(2018,12,4)</f>
        <v>0</v>
      </c>
      <c r="C3948" s="3" t="n">
        <v>43438</v>
      </c>
      <c r="D3948" s="2" t="s">
        <v>29770</v>
      </c>
      <c r="F3948" s="2" t="s">
        <v>2471</v>
      </c>
      <c r="G3948" s="2" t="s">
        <v>29771</v>
      </c>
      <c r="H3948" s="2" t="s">
        <v>130</v>
      </c>
      <c r="I3948" s="2" t="s">
        <v>88</v>
      </c>
      <c r="J3948" s="2" t="s">
        <v>313</v>
      </c>
      <c r="K3948" s="2" t="s">
        <v>29772</v>
      </c>
      <c r="L3948" s="2" t="s">
        <v>88</v>
      </c>
      <c r="M3948" s="2" t="s">
        <v>130</v>
      </c>
      <c r="N3948" s="2" t="s">
        <v>29773</v>
      </c>
      <c r="O3948" s="2"/>
      <c r="P3948" s="2" t="s">
        <v>37</v>
      </c>
      <c r="Q3948" s="4" t="n">
        <v>6794</v>
      </c>
      <c r="R3948" s="2" t="s">
        <v>56</v>
      </c>
      <c r="S3948" s="2" t="s">
        <v>315</v>
      </c>
      <c r="T3948" s="2" t="s">
        <v>2444</v>
      </c>
      <c r="U3948" s="2" t="s">
        <v>29774</v>
      </c>
      <c r="V3948" s="2"/>
      <c r="W3948" s="2" t="s">
        <v>29775</v>
      </c>
      <c r="X3948" s="2" t="s">
        <v>43</v>
      </c>
      <c r="Y3948" s="2" t="s">
        <v>37</v>
      </c>
      <c r="Z3948" s="2" t="s">
        <v>44</v>
      </c>
      <c r="AA3948" s="2"/>
      <c r="AB3948" s="2"/>
      <c r="AC3948" s="2" t="s">
        <v>29776</v>
      </c>
      <c r="AD3948" s="2" t="s">
        <v>46</v>
      </c>
    </row>
    <row r="3949" customFormat="false" ht="15.7" hidden="false" customHeight="true" outlineLevel="0" collapsed="false">
      <c r="A3949" s="2"/>
      <c r="B3949" s="3" t="n">
        <f aca="false">DATE(2018,12,4)</f>
        <v>0</v>
      </c>
      <c r="C3949" s="3" t="n">
        <v>43438</v>
      </c>
      <c r="D3949" s="2" t="s">
        <v>29777</v>
      </c>
      <c r="F3949" s="2" t="s">
        <v>1664</v>
      </c>
      <c r="G3949" s="2" t="s">
        <v>29778</v>
      </c>
      <c r="H3949" s="2" t="s">
        <v>130</v>
      </c>
      <c r="I3949" s="2" t="s">
        <v>13417</v>
      </c>
      <c r="J3949" s="2" t="s">
        <v>35</v>
      </c>
      <c r="K3949" s="2" t="s">
        <v>29779</v>
      </c>
      <c r="L3949" s="2" t="s">
        <v>29780</v>
      </c>
      <c r="M3949" s="2" t="s">
        <v>130</v>
      </c>
      <c r="N3949" s="2" t="s">
        <v>29781</v>
      </c>
      <c r="O3949" s="2"/>
      <c r="P3949" s="2" t="s">
        <v>37</v>
      </c>
      <c r="Q3949" s="4" t="n">
        <v>8731</v>
      </c>
      <c r="R3949" s="2"/>
      <c r="S3949" s="2"/>
      <c r="T3949" s="2" t="s">
        <v>40</v>
      </c>
      <c r="U3949" s="2" t="s">
        <v>29782</v>
      </c>
      <c r="V3949" s="2"/>
      <c r="W3949" s="2" t="s">
        <v>42</v>
      </c>
      <c r="X3949" s="2" t="s">
        <v>43</v>
      </c>
      <c r="Y3949" s="2" t="s">
        <v>37</v>
      </c>
      <c r="Z3949" s="2" t="s">
        <v>44</v>
      </c>
      <c r="AA3949" s="2"/>
      <c r="AB3949" s="2"/>
      <c r="AC3949" s="2" t="s">
        <v>29783</v>
      </c>
      <c r="AD3949" s="2" t="s">
        <v>46</v>
      </c>
    </row>
    <row r="3950" customFormat="false" ht="15.7" hidden="false" customHeight="true" outlineLevel="0" collapsed="false">
      <c r="A3950" s="2"/>
      <c r="B3950" s="3" t="n">
        <f aca="false">DATE(2018,12,5)</f>
        <v>0</v>
      </c>
      <c r="C3950" s="3" t="n">
        <v>43439</v>
      </c>
      <c r="D3950" s="2" t="s">
        <v>29784</v>
      </c>
      <c r="F3950" s="2" t="s">
        <v>29785</v>
      </c>
      <c r="G3950" s="2" t="s">
        <v>29786</v>
      </c>
      <c r="H3950" s="2" t="s">
        <v>29787</v>
      </c>
      <c r="I3950" s="2" t="s">
        <v>321</v>
      </c>
      <c r="J3950" s="2" t="s">
        <v>35</v>
      </c>
      <c r="K3950" s="2" t="s">
        <v>29788</v>
      </c>
      <c r="L3950" s="2" t="s">
        <v>321</v>
      </c>
      <c r="M3950" s="2" t="s">
        <v>29789</v>
      </c>
      <c r="N3950" s="2" t="s">
        <v>29790</v>
      </c>
      <c r="O3950" s="2"/>
      <c r="P3950" s="2" t="s">
        <v>37</v>
      </c>
      <c r="Q3950" s="4" t="n">
        <v>8731</v>
      </c>
      <c r="R3950" s="2" t="s">
        <v>136</v>
      </c>
      <c r="S3950" s="2" t="s">
        <v>39</v>
      </c>
      <c r="T3950" s="2" t="s">
        <v>40</v>
      </c>
      <c r="U3950" s="2" t="s">
        <v>29791</v>
      </c>
      <c r="V3950" s="2"/>
      <c r="W3950" s="2" t="s">
        <v>42</v>
      </c>
      <c r="X3950" s="2" t="s">
        <v>43</v>
      </c>
      <c r="Y3950" s="2" t="s">
        <v>37</v>
      </c>
      <c r="Z3950" s="2" t="s">
        <v>44</v>
      </c>
      <c r="AA3950" s="2"/>
      <c r="AB3950" s="2"/>
      <c r="AC3950" s="2" t="s">
        <v>29792</v>
      </c>
      <c r="AD3950" s="2" t="s">
        <v>46</v>
      </c>
    </row>
    <row r="3951" customFormat="false" ht="15.7" hidden="false" customHeight="true" outlineLevel="0" collapsed="false">
      <c r="A3951" s="2"/>
      <c r="B3951" s="3" t="n">
        <f aca="false">DATE(2018,12,5)</f>
        <v>0</v>
      </c>
      <c r="C3951" s="3" t="n">
        <v>43439</v>
      </c>
      <c r="D3951" s="2" t="s">
        <v>29793</v>
      </c>
      <c r="F3951" s="2" t="s">
        <v>27220</v>
      </c>
      <c r="G3951" s="2" t="s">
        <v>29794</v>
      </c>
      <c r="H3951" s="2" t="s">
        <v>9667</v>
      </c>
      <c r="I3951" s="2" t="s">
        <v>51</v>
      </c>
      <c r="J3951" s="2" t="s">
        <v>23271</v>
      </c>
      <c r="K3951" s="2" t="s">
        <v>29793</v>
      </c>
      <c r="L3951" s="2" t="s">
        <v>51</v>
      </c>
      <c r="M3951" s="2" t="s">
        <v>9667</v>
      </c>
      <c r="N3951" s="2" t="s">
        <v>29795</v>
      </c>
      <c r="O3951" s="2"/>
      <c r="P3951" s="2" t="s">
        <v>37</v>
      </c>
      <c r="Q3951" s="4" t="n">
        <v>8731</v>
      </c>
      <c r="R3951" s="2" t="s">
        <v>56</v>
      </c>
      <c r="S3951" s="2" t="s">
        <v>8043</v>
      </c>
      <c r="T3951" s="2" t="s">
        <v>40</v>
      </c>
      <c r="U3951" s="2" t="s">
        <v>29796</v>
      </c>
      <c r="V3951" s="2"/>
      <c r="W3951" s="2" t="s">
        <v>42</v>
      </c>
      <c r="X3951" s="2" t="s">
        <v>43</v>
      </c>
      <c r="Y3951" s="2" t="s">
        <v>37</v>
      </c>
      <c r="Z3951" s="2" t="s">
        <v>44</v>
      </c>
      <c r="AA3951" s="2"/>
      <c r="AB3951" s="2"/>
      <c r="AC3951" s="2" t="s">
        <v>29797</v>
      </c>
      <c r="AD3951" s="2" t="s">
        <v>46</v>
      </c>
    </row>
    <row r="3952" customFormat="false" ht="15.7" hidden="false" customHeight="true" outlineLevel="0" collapsed="false">
      <c r="A3952" s="2"/>
      <c r="B3952" s="3" t="n">
        <f aca="false">DATE(2018,12,10)</f>
        <v>0</v>
      </c>
      <c r="C3952" s="3" t="n">
        <v>43444</v>
      </c>
      <c r="D3952" s="2" t="s">
        <v>29798</v>
      </c>
      <c r="F3952" s="2" t="s">
        <v>29799</v>
      </c>
      <c r="G3952" s="2" t="s">
        <v>29800</v>
      </c>
      <c r="H3952" s="2" t="s">
        <v>6091</v>
      </c>
      <c r="I3952" s="2" t="s">
        <v>9342</v>
      </c>
      <c r="J3952" s="2" t="s">
        <v>35</v>
      </c>
      <c r="K3952" s="2" t="s">
        <v>29798</v>
      </c>
      <c r="L3952" s="2" t="s">
        <v>9342</v>
      </c>
      <c r="M3952" s="2" t="s">
        <v>6091</v>
      </c>
      <c r="N3952" s="2" t="s">
        <v>29801</v>
      </c>
      <c r="O3952" s="2"/>
      <c r="P3952" s="2" t="s">
        <v>79</v>
      </c>
      <c r="Q3952" s="4" t="n">
        <v>6794</v>
      </c>
      <c r="R3952" s="2" t="s">
        <v>136</v>
      </c>
      <c r="S3952" s="2" t="s">
        <v>39</v>
      </c>
      <c r="T3952" s="2" t="s">
        <v>2444</v>
      </c>
      <c r="U3952" s="2" t="s">
        <v>29802</v>
      </c>
      <c r="V3952" s="2"/>
      <c r="W3952" s="2" t="s">
        <v>82</v>
      </c>
      <c r="X3952" s="2" t="s">
        <v>43</v>
      </c>
      <c r="Y3952" s="2" t="s">
        <v>37</v>
      </c>
      <c r="Z3952" s="2" t="s">
        <v>44</v>
      </c>
      <c r="AA3952" s="2"/>
      <c r="AB3952" s="2"/>
      <c r="AC3952" s="2" t="s">
        <v>29803</v>
      </c>
      <c r="AD3952" s="2" t="s">
        <v>46</v>
      </c>
    </row>
    <row r="3953" customFormat="false" ht="15.7" hidden="false" customHeight="true" outlineLevel="0" collapsed="false">
      <c r="A3953" s="2"/>
      <c r="B3953" s="3" t="n">
        <f aca="false">DATE(2018,12,10)</f>
        <v>0</v>
      </c>
      <c r="C3953" s="3" t="n">
        <v>43444</v>
      </c>
      <c r="D3953" s="2" t="s">
        <v>29804</v>
      </c>
      <c r="F3953" s="2" t="s">
        <v>29805</v>
      </c>
      <c r="G3953" s="2" t="s">
        <v>29806</v>
      </c>
      <c r="H3953" s="2" t="s">
        <v>29807</v>
      </c>
      <c r="I3953" s="2" t="s">
        <v>3501</v>
      </c>
      <c r="J3953" s="2" t="s">
        <v>35</v>
      </c>
      <c r="K3953" s="2" t="s">
        <v>29804</v>
      </c>
      <c r="L3953" s="2" t="s">
        <v>3501</v>
      </c>
      <c r="M3953" s="2" t="s">
        <v>29807</v>
      </c>
      <c r="N3953" s="2" t="s">
        <v>29808</v>
      </c>
      <c r="O3953" s="2"/>
      <c r="P3953" s="2" t="s">
        <v>37</v>
      </c>
      <c r="Q3953" s="4" t="n">
        <v>8731</v>
      </c>
      <c r="R3953" s="2" t="s">
        <v>136</v>
      </c>
      <c r="S3953" s="2" t="s">
        <v>39</v>
      </c>
      <c r="T3953" s="2" t="s">
        <v>2444</v>
      </c>
      <c r="U3953" s="2" t="s">
        <v>29809</v>
      </c>
      <c r="V3953" s="2"/>
      <c r="W3953" s="2" t="s">
        <v>29810</v>
      </c>
      <c r="X3953" s="2" t="s">
        <v>43</v>
      </c>
      <c r="Y3953" s="2" t="s">
        <v>37</v>
      </c>
      <c r="Z3953" s="2" t="s">
        <v>44</v>
      </c>
      <c r="AA3953" s="2"/>
      <c r="AB3953" s="2"/>
      <c r="AC3953" s="2" t="s">
        <v>29811</v>
      </c>
      <c r="AD3953" s="2" t="s">
        <v>46</v>
      </c>
    </row>
    <row r="3954" customFormat="false" ht="15.7" hidden="false" customHeight="true" outlineLevel="0" collapsed="false">
      <c r="A3954" s="2"/>
      <c r="B3954" s="3" t="n">
        <f aca="false">DATE(2018,12,10)</f>
        <v>0</v>
      </c>
      <c r="C3954" s="3" t="n">
        <v>43444</v>
      </c>
      <c r="D3954" s="2" t="s">
        <v>29812</v>
      </c>
      <c r="F3954" s="2" t="s">
        <v>23707</v>
      </c>
      <c r="G3954" s="2" t="s">
        <v>29813</v>
      </c>
      <c r="H3954" s="2" t="s">
        <v>1101</v>
      </c>
      <c r="I3954" s="2" t="s">
        <v>296</v>
      </c>
      <c r="J3954" s="2" t="s">
        <v>203</v>
      </c>
      <c r="K3954" s="2" t="s">
        <v>29812</v>
      </c>
      <c r="L3954" s="2" t="s">
        <v>296</v>
      </c>
      <c r="M3954" s="2" t="s">
        <v>1101</v>
      </c>
      <c r="N3954" s="2" t="s">
        <v>29814</v>
      </c>
      <c r="O3954" s="2"/>
      <c r="P3954" s="2" t="s">
        <v>37</v>
      </c>
      <c r="Q3954" s="4" t="n">
        <v>8099</v>
      </c>
      <c r="R3954" s="2" t="s">
        <v>487</v>
      </c>
      <c r="S3954" s="2" t="s">
        <v>39</v>
      </c>
      <c r="T3954" s="2" t="s">
        <v>40</v>
      </c>
      <c r="U3954" s="2" t="s">
        <v>29815</v>
      </c>
      <c r="V3954" s="2"/>
      <c r="W3954" s="2" t="s">
        <v>4487</v>
      </c>
      <c r="X3954" s="2" t="s">
        <v>43</v>
      </c>
      <c r="Y3954" s="2" t="s">
        <v>79</v>
      </c>
      <c r="Z3954" s="2" t="s">
        <v>44</v>
      </c>
      <c r="AA3954" s="2"/>
      <c r="AB3954" s="2"/>
      <c r="AC3954" s="2" t="s">
        <v>29816</v>
      </c>
      <c r="AD3954" s="2" t="s">
        <v>46</v>
      </c>
    </row>
    <row r="3955" customFormat="false" ht="15.7" hidden="false" customHeight="true" outlineLevel="0" collapsed="false">
      <c r="A3955" s="2"/>
      <c r="B3955" s="3" t="n">
        <f aca="false">DATE(2018,12,11)</f>
        <v>0</v>
      </c>
      <c r="C3955" s="3" t="n">
        <v>43445</v>
      </c>
      <c r="D3955" s="2" t="s">
        <v>29817</v>
      </c>
      <c r="F3955" s="2" t="s">
        <v>3594</v>
      </c>
      <c r="G3955" s="2" t="s">
        <v>29818</v>
      </c>
      <c r="H3955" s="2" t="s">
        <v>170</v>
      </c>
      <c r="I3955" s="2" t="s">
        <v>51</v>
      </c>
      <c r="J3955" s="2" t="s">
        <v>132</v>
      </c>
      <c r="K3955" s="2" t="s">
        <v>29819</v>
      </c>
      <c r="L3955" s="2" t="s">
        <v>4179</v>
      </c>
      <c r="M3955" s="2" t="s">
        <v>29820</v>
      </c>
      <c r="N3955" s="2" t="s">
        <v>29821</v>
      </c>
      <c r="O3955" s="2"/>
      <c r="P3955" s="2" t="s">
        <v>79</v>
      </c>
      <c r="Q3955" s="4" t="n">
        <v>6794</v>
      </c>
      <c r="R3955" s="2" t="s">
        <v>56</v>
      </c>
      <c r="S3955" s="2"/>
      <c r="T3955" s="2" t="s">
        <v>40</v>
      </c>
      <c r="U3955" s="2" t="s">
        <v>29822</v>
      </c>
      <c r="V3955" s="2"/>
      <c r="W3955" s="2" t="s">
        <v>15545</v>
      </c>
      <c r="X3955" s="2" t="s">
        <v>43</v>
      </c>
      <c r="Y3955" s="2" t="s">
        <v>37</v>
      </c>
      <c r="Z3955" s="2" t="s">
        <v>44</v>
      </c>
      <c r="AA3955" s="2"/>
      <c r="AB3955" s="2"/>
      <c r="AC3955" s="2" t="s">
        <v>29823</v>
      </c>
      <c r="AD3955" s="2" t="s">
        <v>46</v>
      </c>
    </row>
    <row r="3956" customFormat="false" ht="15.7" hidden="false" customHeight="true" outlineLevel="0" collapsed="false">
      <c r="A3956" s="2"/>
      <c r="B3956" s="3" t="n">
        <f aca="false">DATE(2018,12,11)</f>
        <v>0</v>
      </c>
      <c r="C3956" s="3" t="n">
        <v>43445</v>
      </c>
      <c r="D3956" s="2" t="s">
        <v>29824</v>
      </c>
      <c r="F3956" s="2" t="s">
        <v>29825</v>
      </c>
      <c r="G3956" s="2" t="s">
        <v>29826</v>
      </c>
      <c r="H3956" s="2" t="s">
        <v>29827</v>
      </c>
      <c r="I3956" s="2" t="s">
        <v>51</v>
      </c>
      <c r="J3956" s="2" t="s">
        <v>1466</v>
      </c>
      <c r="K3956" s="2" t="s">
        <v>29824</v>
      </c>
      <c r="L3956" s="2" t="s">
        <v>51</v>
      </c>
      <c r="M3956" s="2" t="s">
        <v>29827</v>
      </c>
      <c r="N3956" s="2" t="s">
        <v>29828</v>
      </c>
      <c r="O3956" s="2"/>
      <c r="P3956" s="2" t="s">
        <v>37</v>
      </c>
      <c r="Q3956" s="4" t="n">
        <v>7371</v>
      </c>
      <c r="R3956" s="2" t="s">
        <v>56</v>
      </c>
      <c r="S3956" s="2"/>
      <c r="T3956" s="2" t="s">
        <v>40</v>
      </c>
      <c r="U3956" s="2" t="s">
        <v>29829</v>
      </c>
      <c r="V3956" s="2"/>
      <c r="W3956" s="2" t="s">
        <v>21049</v>
      </c>
      <c r="X3956" s="2" t="s">
        <v>43</v>
      </c>
      <c r="Y3956" s="2" t="s">
        <v>37</v>
      </c>
      <c r="Z3956" s="2" t="s">
        <v>44</v>
      </c>
      <c r="AA3956" s="2"/>
      <c r="AB3956" s="2"/>
      <c r="AC3956" s="2" t="s">
        <v>29830</v>
      </c>
      <c r="AD3956" s="2" t="s">
        <v>46</v>
      </c>
    </row>
    <row r="3957" customFormat="false" ht="15.7" hidden="false" customHeight="true" outlineLevel="0" collapsed="false">
      <c r="A3957" s="2"/>
      <c r="B3957" s="3" t="n">
        <f aca="false">DATE(2018,12,12)</f>
        <v>0</v>
      </c>
      <c r="C3957" s="3" t="n">
        <v>43446</v>
      </c>
      <c r="D3957" s="2" t="s">
        <v>29831</v>
      </c>
      <c r="F3957" s="2" t="s">
        <v>6609</v>
      </c>
      <c r="G3957" s="2" t="s">
        <v>29832</v>
      </c>
      <c r="H3957" s="2" t="s">
        <v>1101</v>
      </c>
      <c r="I3957" s="2" t="s">
        <v>51</v>
      </c>
      <c r="J3957" s="2" t="s">
        <v>3854</v>
      </c>
      <c r="K3957" s="2" t="s">
        <v>29831</v>
      </c>
      <c r="L3957" s="2" t="s">
        <v>51</v>
      </c>
      <c r="M3957" s="2" t="s">
        <v>1101</v>
      </c>
      <c r="N3957" s="2" t="s">
        <v>29833</v>
      </c>
      <c r="O3957" s="2"/>
      <c r="P3957" s="2" t="s">
        <v>37</v>
      </c>
      <c r="Q3957" s="4" t="n">
        <v>8731</v>
      </c>
      <c r="R3957" s="2" t="s">
        <v>56</v>
      </c>
      <c r="S3957" s="2"/>
      <c r="T3957" s="2" t="s">
        <v>40</v>
      </c>
      <c r="U3957" s="2" t="s">
        <v>29834</v>
      </c>
      <c r="V3957" s="2"/>
      <c r="W3957" s="2" t="s">
        <v>344</v>
      </c>
      <c r="X3957" s="2" t="s">
        <v>43</v>
      </c>
      <c r="Y3957" s="2" t="s">
        <v>37</v>
      </c>
      <c r="Z3957" s="2" t="s">
        <v>44</v>
      </c>
      <c r="AA3957" s="2"/>
      <c r="AB3957" s="2"/>
      <c r="AC3957" s="2" t="s">
        <v>29835</v>
      </c>
      <c r="AD3957" s="2" t="s">
        <v>46</v>
      </c>
    </row>
    <row r="3958" customFormat="false" ht="15.7" hidden="false" customHeight="true" outlineLevel="0" collapsed="false">
      <c r="A3958" s="2"/>
      <c r="B3958" s="3" t="n">
        <f aca="false">DATE(2018,12,12)</f>
        <v>0</v>
      </c>
      <c r="C3958" s="3" t="n">
        <v>43446</v>
      </c>
      <c r="D3958" s="2" t="s">
        <v>29836</v>
      </c>
      <c r="F3958" s="2" t="s">
        <v>29837</v>
      </c>
      <c r="G3958" s="2" t="s">
        <v>29838</v>
      </c>
      <c r="H3958" s="2" t="s">
        <v>170</v>
      </c>
      <c r="I3958" s="2" t="s">
        <v>724</v>
      </c>
      <c r="J3958" s="2" t="s">
        <v>203</v>
      </c>
      <c r="K3958" s="2" t="s">
        <v>29836</v>
      </c>
      <c r="L3958" s="2" t="s">
        <v>724</v>
      </c>
      <c r="M3958" s="2" t="s">
        <v>170</v>
      </c>
      <c r="N3958" s="2" t="s">
        <v>29839</v>
      </c>
      <c r="O3958" s="2"/>
      <c r="P3958" s="2" t="s">
        <v>37</v>
      </c>
      <c r="Q3958" s="4" t="n">
        <v>7371</v>
      </c>
      <c r="R3958" s="2" t="s">
        <v>136</v>
      </c>
      <c r="S3958" s="2" t="s">
        <v>39</v>
      </c>
      <c r="T3958" s="2" t="s">
        <v>40</v>
      </c>
      <c r="U3958" s="2" t="s">
        <v>29840</v>
      </c>
      <c r="V3958" s="2"/>
      <c r="W3958" s="2" t="s">
        <v>29841</v>
      </c>
      <c r="X3958" s="2" t="s">
        <v>43</v>
      </c>
      <c r="Y3958" s="2" t="s">
        <v>37</v>
      </c>
      <c r="Z3958" s="2" t="s">
        <v>44</v>
      </c>
      <c r="AA3958" s="2"/>
      <c r="AB3958" s="2"/>
      <c r="AC3958" s="2" t="s">
        <v>29842</v>
      </c>
      <c r="AD3958" s="2" t="s">
        <v>46</v>
      </c>
    </row>
    <row r="3959" customFormat="false" ht="15.7" hidden="false" customHeight="true" outlineLevel="0" collapsed="false">
      <c r="A3959" s="2"/>
      <c r="B3959" s="3" t="n">
        <f aca="false">DATE(2018,12,12)</f>
        <v>0</v>
      </c>
      <c r="C3959" s="3" t="n">
        <v>43446</v>
      </c>
      <c r="D3959" s="2" t="s">
        <v>29843</v>
      </c>
      <c r="F3959" s="2" t="s">
        <v>29844</v>
      </c>
      <c r="G3959" s="2" t="s">
        <v>29845</v>
      </c>
      <c r="H3959" s="2" t="s">
        <v>20376</v>
      </c>
      <c r="I3959" s="2" t="s">
        <v>724</v>
      </c>
      <c r="J3959" s="2" t="s">
        <v>65</v>
      </c>
      <c r="K3959" s="2" t="s">
        <v>29843</v>
      </c>
      <c r="L3959" s="2" t="s">
        <v>724</v>
      </c>
      <c r="M3959" s="2" t="s">
        <v>20376</v>
      </c>
      <c r="N3959" s="2" t="s">
        <v>29846</v>
      </c>
      <c r="O3959" s="2"/>
      <c r="P3959" s="2" t="s">
        <v>37</v>
      </c>
      <c r="Q3959" s="4" t="n">
        <v>8731</v>
      </c>
      <c r="R3959" s="2" t="s">
        <v>136</v>
      </c>
      <c r="S3959" s="2" t="s">
        <v>39</v>
      </c>
      <c r="T3959" s="2" t="s">
        <v>40</v>
      </c>
      <c r="U3959" s="2" t="s">
        <v>29847</v>
      </c>
      <c r="V3959" s="2"/>
      <c r="W3959" s="2" t="s">
        <v>3235</v>
      </c>
      <c r="X3959" s="2" t="s">
        <v>43</v>
      </c>
      <c r="Y3959" s="2" t="s">
        <v>37</v>
      </c>
      <c r="Z3959" s="2" t="s">
        <v>44</v>
      </c>
      <c r="AA3959" s="2"/>
      <c r="AB3959" s="2"/>
      <c r="AC3959" s="2" t="s">
        <v>29848</v>
      </c>
      <c r="AD3959" s="2" t="s">
        <v>46</v>
      </c>
    </row>
    <row r="3960" customFormat="false" ht="15.7" hidden="false" customHeight="true" outlineLevel="0" collapsed="false">
      <c r="A3960" s="2"/>
      <c r="B3960" s="3" t="n">
        <f aca="false">DATE(2018,12,12)</f>
        <v>0</v>
      </c>
      <c r="C3960" s="3" t="n">
        <v>43446</v>
      </c>
      <c r="D3960" s="2" t="s">
        <v>29849</v>
      </c>
      <c r="F3960" s="2" t="s">
        <v>29850</v>
      </c>
      <c r="G3960" s="2" t="s">
        <v>29851</v>
      </c>
      <c r="H3960" s="2" t="s">
        <v>523</v>
      </c>
      <c r="I3960" s="2" t="s">
        <v>88</v>
      </c>
      <c r="J3960" s="2" t="s">
        <v>7963</v>
      </c>
      <c r="K3960" s="2" t="s">
        <v>29849</v>
      </c>
      <c r="L3960" s="2" t="s">
        <v>88</v>
      </c>
      <c r="M3960" s="2" t="s">
        <v>523</v>
      </c>
      <c r="N3960" s="2" t="s">
        <v>29852</v>
      </c>
      <c r="O3960" s="2"/>
      <c r="P3960" s="2" t="s">
        <v>79</v>
      </c>
      <c r="Q3960" s="4" t="n">
        <v>6794</v>
      </c>
      <c r="R3960" s="2" t="s">
        <v>136</v>
      </c>
      <c r="S3960" s="2" t="s">
        <v>39</v>
      </c>
      <c r="T3960" s="2" t="s">
        <v>40</v>
      </c>
      <c r="U3960" s="2" t="s">
        <v>29853</v>
      </c>
      <c r="V3960" s="2"/>
      <c r="W3960" s="2" t="s">
        <v>82</v>
      </c>
      <c r="X3960" s="2" t="s">
        <v>43</v>
      </c>
      <c r="Y3960" s="2" t="s">
        <v>37</v>
      </c>
      <c r="Z3960" s="2" t="s">
        <v>44</v>
      </c>
      <c r="AA3960" s="2"/>
      <c r="AB3960" s="2"/>
      <c r="AC3960" s="2" t="s">
        <v>29854</v>
      </c>
      <c r="AD3960" s="2" t="s">
        <v>46</v>
      </c>
    </row>
    <row r="3961" customFormat="false" ht="15.7" hidden="false" customHeight="true" outlineLevel="0" collapsed="false">
      <c r="A3961" s="2"/>
      <c r="B3961" s="3" t="n">
        <f aca="false">DATE(2018,12,13)</f>
        <v>0</v>
      </c>
      <c r="C3961" s="3" t="n">
        <v>43447</v>
      </c>
      <c r="D3961" s="2" t="s">
        <v>29855</v>
      </c>
      <c r="F3961" s="2" t="s">
        <v>29856</v>
      </c>
      <c r="G3961" s="2" t="s">
        <v>29857</v>
      </c>
      <c r="H3961" s="2" t="s">
        <v>29858</v>
      </c>
      <c r="I3961" s="2" t="s">
        <v>1262</v>
      </c>
      <c r="J3961" s="2" t="s">
        <v>625</v>
      </c>
      <c r="K3961" s="2" t="s">
        <v>29855</v>
      </c>
      <c r="L3961" s="2" t="s">
        <v>1262</v>
      </c>
      <c r="M3961" s="2" t="s">
        <v>29858</v>
      </c>
      <c r="N3961" s="2" t="s">
        <v>29859</v>
      </c>
      <c r="O3961" s="2"/>
      <c r="P3961" s="2" t="s">
        <v>37</v>
      </c>
      <c r="Q3961" s="4" t="n">
        <v>8731</v>
      </c>
      <c r="R3961" s="2" t="s">
        <v>136</v>
      </c>
      <c r="S3961" s="2" t="s">
        <v>39</v>
      </c>
      <c r="T3961" s="2" t="s">
        <v>40</v>
      </c>
      <c r="U3961" s="2" t="s">
        <v>29860</v>
      </c>
      <c r="V3961" s="2"/>
      <c r="W3961" s="2" t="s">
        <v>3235</v>
      </c>
      <c r="X3961" s="2" t="s">
        <v>43</v>
      </c>
      <c r="Y3961" s="2" t="s">
        <v>37</v>
      </c>
      <c r="Z3961" s="2" t="s">
        <v>44</v>
      </c>
      <c r="AA3961" s="2"/>
      <c r="AB3961" s="2"/>
      <c r="AC3961" s="2" t="s">
        <v>29861</v>
      </c>
      <c r="AD3961" s="2" t="s">
        <v>46</v>
      </c>
    </row>
    <row r="3962" customFormat="false" ht="15.7" hidden="false" customHeight="true" outlineLevel="0" collapsed="false">
      <c r="A3962" s="2"/>
      <c r="B3962" s="3" t="n">
        <f aca="false">DATE(2018,12,14)</f>
        <v>0</v>
      </c>
      <c r="C3962" s="3" t="n">
        <v>43448</v>
      </c>
      <c r="D3962" s="2" t="s">
        <v>29862</v>
      </c>
      <c r="F3962" s="2" t="s">
        <v>22372</v>
      </c>
      <c r="G3962" s="2" t="s">
        <v>29863</v>
      </c>
      <c r="H3962" s="2" t="s">
        <v>523</v>
      </c>
      <c r="I3962" s="2" t="s">
        <v>20129</v>
      </c>
      <c r="J3962" s="2" t="s">
        <v>35</v>
      </c>
      <c r="K3962" s="2" t="s">
        <v>29864</v>
      </c>
      <c r="L3962" s="2" t="s">
        <v>2749</v>
      </c>
      <c r="M3962" s="2" t="s">
        <v>523</v>
      </c>
      <c r="N3962" s="2" t="s">
        <v>29865</v>
      </c>
      <c r="O3962" s="2"/>
      <c r="P3962" s="2" t="s">
        <v>37</v>
      </c>
      <c r="Q3962" s="4" t="n">
        <v>8731</v>
      </c>
      <c r="R3962" s="2" t="s">
        <v>2225</v>
      </c>
      <c r="S3962" s="2" t="s">
        <v>39</v>
      </c>
      <c r="T3962" s="2" t="s">
        <v>40</v>
      </c>
      <c r="U3962" s="2" t="s">
        <v>29866</v>
      </c>
      <c r="V3962" s="2"/>
      <c r="W3962" s="2" t="s">
        <v>42</v>
      </c>
      <c r="X3962" s="2" t="s">
        <v>43</v>
      </c>
      <c r="Y3962" s="2" t="s">
        <v>37</v>
      </c>
      <c r="Z3962" s="2" t="s">
        <v>44</v>
      </c>
      <c r="AA3962" s="2"/>
      <c r="AB3962" s="2"/>
      <c r="AC3962" s="2" t="s">
        <v>29867</v>
      </c>
      <c r="AD3962" s="2" t="s">
        <v>46</v>
      </c>
    </row>
    <row r="3963" customFormat="false" ht="15.7" hidden="false" customHeight="true" outlineLevel="0" collapsed="false">
      <c r="A3963" s="2"/>
      <c r="B3963" s="3" t="n">
        <f aca="false">DATE(2018,12,16)</f>
        <v>0</v>
      </c>
      <c r="C3963" s="3" t="n">
        <v>43450</v>
      </c>
      <c r="D3963" s="2" t="s">
        <v>29868</v>
      </c>
      <c r="F3963" s="2" t="s">
        <v>2471</v>
      </c>
      <c r="G3963" s="2" t="s">
        <v>29869</v>
      </c>
      <c r="H3963" s="2" t="s">
        <v>63</v>
      </c>
      <c r="I3963" s="2" t="s">
        <v>3265</v>
      </c>
      <c r="J3963" s="2" t="s">
        <v>732</v>
      </c>
      <c r="K3963" s="2" t="s">
        <v>29868</v>
      </c>
      <c r="L3963" s="2" t="s">
        <v>3265</v>
      </c>
      <c r="M3963" s="2" t="s">
        <v>63</v>
      </c>
      <c r="N3963" s="2" t="s">
        <v>29870</v>
      </c>
      <c r="O3963" s="2"/>
      <c r="P3963" s="2" t="s">
        <v>37</v>
      </c>
      <c r="Q3963" s="4" t="n">
        <v>6794</v>
      </c>
      <c r="R3963" s="2" t="s">
        <v>402</v>
      </c>
      <c r="S3963" s="2" t="s">
        <v>39</v>
      </c>
      <c r="T3963" s="2" t="s">
        <v>40</v>
      </c>
      <c r="U3963" s="2" t="s">
        <v>29871</v>
      </c>
      <c r="V3963" s="2"/>
      <c r="W3963" s="2" t="s">
        <v>15545</v>
      </c>
      <c r="X3963" s="2" t="s">
        <v>43</v>
      </c>
      <c r="Y3963" s="2" t="s">
        <v>37</v>
      </c>
      <c r="Z3963" s="2" t="s">
        <v>44</v>
      </c>
      <c r="AA3963" s="2"/>
      <c r="AB3963" s="2"/>
      <c r="AC3963" s="2" t="s">
        <v>29872</v>
      </c>
      <c r="AD3963" s="2" t="s">
        <v>46</v>
      </c>
    </row>
    <row r="3964" customFormat="false" ht="15.7" hidden="false" customHeight="true" outlineLevel="0" collapsed="false">
      <c r="A3964" s="2"/>
      <c r="B3964" s="3" t="n">
        <f aca="false">DATE(2018,12,17)</f>
        <v>0</v>
      </c>
      <c r="C3964" s="3" t="n">
        <v>43451</v>
      </c>
      <c r="D3964" s="2" t="s">
        <v>29873</v>
      </c>
      <c r="F3964" s="2" t="s">
        <v>29874</v>
      </c>
      <c r="G3964" s="2" t="s">
        <v>29875</v>
      </c>
      <c r="H3964" s="2" t="s">
        <v>63</v>
      </c>
      <c r="I3964" s="2" t="s">
        <v>388</v>
      </c>
      <c r="J3964" s="2" t="s">
        <v>625</v>
      </c>
      <c r="K3964" s="2" t="s">
        <v>29873</v>
      </c>
      <c r="L3964" s="2" t="s">
        <v>388</v>
      </c>
      <c r="M3964" s="2" t="s">
        <v>63</v>
      </c>
      <c r="N3964" s="2" t="s">
        <v>29876</v>
      </c>
      <c r="O3964" s="2"/>
      <c r="P3964" s="2" t="s">
        <v>37</v>
      </c>
      <c r="Q3964" s="4" t="n">
        <v>6794</v>
      </c>
      <c r="R3964" s="2" t="s">
        <v>136</v>
      </c>
      <c r="S3964" s="2" t="s">
        <v>39</v>
      </c>
      <c r="T3964" s="2" t="s">
        <v>40</v>
      </c>
      <c r="U3964" s="2" t="s">
        <v>29877</v>
      </c>
      <c r="V3964" s="2"/>
      <c r="W3964" s="2" t="s">
        <v>15545</v>
      </c>
      <c r="X3964" s="2" t="s">
        <v>43</v>
      </c>
      <c r="Y3964" s="2" t="s">
        <v>37</v>
      </c>
      <c r="Z3964" s="2" t="s">
        <v>44</v>
      </c>
      <c r="AA3964" s="2"/>
      <c r="AB3964" s="2"/>
      <c r="AC3964" s="2" t="s">
        <v>29878</v>
      </c>
      <c r="AD3964" s="2" t="s">
        <v>46</v>
      </c>
    </row>
    <row r="3965" customFormat="false" ht="15.7" hidden="false" customHeight="true" outlineLevel="0" collapsed="false">
      <c r="A3965" s="2"/>
      <c r="B3965" s="3" t="n">
        <f aca="false">DATE(2018,12,18)</f>
        <v>0</v>
      </c>
      <c r="C3965" s="3" t="n">
        <v>43452</v>
      </c>
      <c r="D3965" s="2" t="s">
        <v>29879</v>
      </c>
      <c r="F3965" s="2" t="s">
        <v>29880</v>
      </c>
      <c r="G3965" s="2" t="s">
        <v>29881</v>
      </c>
      <c r="H3965" s="2" t="s">
        <v>29882</v>
      </c>
      <c r="I3965" s="2" t="s">
        <v>51</v>
      </c>
      <c r="J3965" s="2" t="s">
        <v>178</v>
      </c>
      <c r="K3965" s="2" t="s">
        <v>29883</v>
      </c>
      <c r="L3965" s="2" t="s">
        <v>51</v>
      </c>
      <c r="M3965" s="2" t="s">
        <v>29882</v>
      </c>
      <c r="N3965" s="2" t="s">
        <v>29884</v>
      </c>
      <c r="O3965" s="2"/>
      <c r="P3965" s="2" t="s">
        <v>37</v>
      </c>
      <c r="Q3965" s="4" t="n">
        <v>8731</v>
      </c>
      <c r="R3965" s="2" t="s">
        <v>56</v>
      </c>
      <c r="S3965" s="2"/>
      <c r="T3965" s="2" t="s">
        <v>403</v>
      </c>
      <c r="U3965" s="2" t="s">
        <v>29885</v>
      </c>
      <c r="V3965" s="2"/>
      <c r="W3965" s="2" t="s">
        <v>42</v>
      </c>
      <c r="X3965" s="2" t="s">
        <v>43</v>
      </c>
      <c r="Y3965" s="2" t="s">
        <v>37</v>
      </c>
      <c r="Z3965" s="2" t="s">
        <v>44</v>
      </c>
      <c r="AA3965" s="2"/>
      <c r="AB3965" s="2"/>
      <c r="AC3965" s="2" t="s">
        <v>29886</v>
      </c>
      <c r="AD3965" s="2" t="s">
        <v>46</v>
      </c>
    </row>
    <row r="3966" customFormat="false" ht="15.7" hidden="false" customHeight="true" outlineLevel="0" collapsed="false">
      <c r="A3966" s="2"/>
      <c r="B3966" s="3" t="n">
        <f aca="false">DATE(2018,12,19)</f>
        <v>0</v>
      </c>
      <c r="C3966" s="3" t="n">
        <v>43453</v>
      </c>
      <c r="D3966" s="2" t="s">
        <v>29887</v>
      </c>
      <c r="F3966" s="2" t="s">
        <v>29888</v>
      </c>
      <c r="G3966" s="2" t="s">
        <v>29889</v>
      </c>
      <c r="H3966" s="2" t="s">
        <v>29890</v>
      </c>
      <c r="I3966" s="2" t="s">
        <v>3267</v>
      </c>
      <c r="J3966" s="2" t="s">
        <v>331</v>
      </c>
      <c r="K3966" s="2" t="s">
        <v>29887</v>
      </c>
      <c r="L3966" s="2" t="s">
        <v>3267</v>
      </c>
      <c r="M3966" s="2" t="s">
        <v>29890</v>
      </c>
      <c r="N3966" s="2" t="s">
        <v>29891</v>
      </c>
      <c r="O3966" s="2"/>
      <c r="P3966" s="2" t="s">
        <v>37</v>
      </c>
      <c r="Q3966" s="4" t="n">
        <v>8731</v>
      </c>
      <c r="R3966" s="2" t="s">
        <v>402</v>
      </c>
      <c r="S3966" s="2" t="s">
        <v>39</v>
      </c>
      <c r="T3966" s="2" t="s">
        <v>403</v>
      </c>
      <c r="U3966" s="2" t="s">
        <v>29892</v>
      </c>
      <c r="V3966" s="2"/>
      <c r="W3966" s="2" t="s">
        <v>42</v>
      </c>
      <c r="X3966" s="2" t="s">
        <v>46</v>
      </c>
      <c r="Y3966" s="2" t="s">
        <v>37</v>
      </c>
      <c r="Z3966" s="2" t="s">
        <v>362</v>
      </c>
      <c r="AA3966" s="2"/>
      <c r="AB3966" s="2"/>
      <c r="AC3966" s="2" t="s">
        <v>29893</v>
      </c>
      <c r="AD3966" s="2" t="s">
        <v>46</v>
      </c>
    </row>
    <row r="3967" customFormat="false" ht="15.7" hidden="false" customHeight="true" outlineLevel="0" collapsed="false">
      <c r="A3967" s="2"/>
      <c r="B3967" s="3" t="n">
        <f aca="false">DATE(2018,12,19)</f>
        <v>0</v>
      </c>
      <c r="C3967" s="3" t="n">
        <v>43453</v>
      </c>
      <c r="D3967" s="2" t="s">
        <v>29894</v>
      </c>
      <c r="F3967" s="2" t="s">
        <v>29895</v>
      </c>
      <c r="G3967" s="2" t="s">
        <v>29896</v>
      </c>
      <c r="H3967" s="2" t="s">
        <v>29897</v>
      </c>
      <c r="I3967" s="2" t="s">
        <v>17449</v>
      </c>
      <c r="J3967" s="2" t="s">
        <v>35</v>
      </c>
      <c r="K3967" s="2" t="s">
        <v>29898</v>
      </c>
      <c r="L3967" s="2" t="s">
        <v>5491</v>
      </c>
      <c r="M3967" s="2" t="s">
        <v>28053</v>
      </c>
      <c r="N3967" s="2" t="s">
        <v>29899</v>
      </c>
      <c r="O3967" s="2"/>
      <c r="P3967" s="2" t="s">
        <v>37</v>
      </c>
      <c r="Q3967" s="4" t="n">
        <v>8731</v>
      </c>
      <c r="R3967" s="2" t="s">
        <v>1448</v>
      </c>
      <c r="S3967" s="2" t="s">
        <v>39</v>
      </c>
      <c r="T3967" s="2" t="s">
        <v>403</v>
      </c>
      <c r="U3967" s="2" t="s">
        <v>29900</v>
      </c>
      <c r="V3967" s="2"/>
      <c r="W3967" s="2" t="s">
        <v>42</v>
      </c>
      <c r="X3967" s="2" t="s">
        <v>43</v>
      </c>
      <c r="Y3967" s="2" t="s">
        <v>37</v>
      </c>
      <c r="Z3967" s="2" t="s">
        <v>44</v>
      </c>
      <c r="AA3967" s="2"/>
      <c r="AB3967" s="2"/>
      <c r="AC3967" s="2" t="s">
        <v>29901</v>
      </c>
      <c r="AD3967" s="2" t="s">
        <v>46</v>
      </c>
    </row>
    <row r="3968" customFormat="false" ht="15.7" hidden="false" customHeight="true" outlineLevel="0" collapsed="false">
      <c r="A3968" s="2"/>
      <c r="B3968" s="3" t="n">
        <f aca="false">DATE(2018,12,19)</f>
        <v>0</v>
      </c>
      <c r="C3968" s="3" t="n">
        <v>43453</v>
      </c>
      <c r="D3968" s="2" t="s">
        <v>29902</v>
      </c>
      <c r="F3968" s="2" t="s">
        <v>29903</v>
      </c>
      <c r="G3968" s="2" t="s">
        <v>29904</v>
      </c>
      <c r="H3968" s="2" t="s">
        <v>130</v>
      </c>
      <c r="I3968" s="2" t="s">
        <v>51</v>
      </c>
      <c r="J3968" s="2" t="s">
        <v>6006</v>
      </c>
      <c r="K3968" s="2" t="s">
        <v>29902</v>
      </c>
      <c r="L3968" s="2" t="s">
        <v>51</v>
      </c>
      <c r="M3968" s="2" t="s">
        <v>130</v>
      </c>
      <c r="N3968" s="2" t="s">
        <v>29905</v>
      </c>
      <c r="O3968" s="2"/>
      <c r="P3968" s="2" t="s">
        <v>37</v>
      </c>
      <c r="Q3968" s="4" t="n">
        <v>3999</v>
      </c>
      <c r="R3968" s="2" t="s">
        <v>136</v>
      </c>
      <c r="S3968" s="2" t="s">
        <v>39</v>
      </c>
      <c r="T3968" s="2" t="s">
        <v>403</v>
      </c>
      <c r="U3968" s="2" t="s">
        <v>29906</v>
      </c>
      <c r="V3968" s="2"/>
      <c r="W3968" s="2" t="s">
        <v>107</v>
      </c>
      <c r="X3968" s="2" t="s">
        <v>43</v>
      </c>
      <c r="Y3968" s="2" t="s">
        <v>37</v>
      </c>
      <c r="Z3968" s="2" t="s">
        <v>44</v>
      </c>
      <c r="AA3968" s="2"/>
      <c r="AB3968" s="2"/>
      <c r="AC3968" s="2" t="s">
        <v>29907</v>
      </c>
      <c r="AD3968" s="2" t="s">
        <v>46</v>
      </c>
    </row>
    <row r="3969" customFormat="false" ht="15.7" hidden="false" customHeight="true" outlineLevel="0" collapsed="false">
      <c r="A3969" s="2"/>
      <c r="B3969" s="3" t="n">
        <f aca="false">DATE(2018,12,19)</f>
        <v>0</v>
      </c>
      <c r="C3969" s="3" t="n">
        <v>43453</v>
      </c>
      <c r="D3969" s="2" t="s">
        <v>29908</v>
      </c>
      <c r="F3969" s="2" t="s">
        <v>29909</v>
      </c>
      <c r="G3969" s="2" t="s">
        <v>29910</v>
      </c>
      <c r="H3969" s="2" t="s">
        <v>29911</v>
      </c>
      <c r="I3969" s="2" t="s">
        <v>51</v>
      </c>
      <c r="J3969" s="2" t="s">
        <v>5565</v>
      </c>
      <c r="K3969" s="2" t="s">
        <v>29912</v>
      </c>
      <c r="L3969" s="2" t="s">
        <v>51</v>
      </c>
      <c r="M3969" s="2" t="s">
        <v>29913</v>
      </c>
      <c r="N3969" s="2" t="s">
        <v>29914</v>
      </c>
      <c r="O3969" s="2"/>
      <c r="P3969" s="2" t="s">
        <v>37</v>
      </c>
      <c r="Q3969" s="4" t="n">
        <v>8099</v>
      </c>
      <c r="R3969" s="2" t="s">
        <v>56</v>
      </c>
      <c r="S3969" s="2"/>
      <c r="T3969" s="2" t="s">
        <v>40</v>
      </c>
      <c r="U3969" s="2" t="s">
        <v>29915</v>
      </c>
      <c r="V3969" s="2"/>
      <c r="W3969" s="2" t="s">
        <v>4487</v>
      </c>
      <c r="X3969" s="2" t="s">
        <v>43</v>
      </c>
      <c r="Y3969" s="2" t="s">
        <v>37</v>
      </c>
      <c r="Z3969" s="2" t="s">
        <v>44</v>
      </c>
      <c r="AA3969" s="2"/>
      <c r="AB3969" s="2"/>
      <c r="AC3969" s="2" t="s">
        <v>29916</v>
      </c>
      <c r="AD3969" s="2" t="s">
        <v>46</v>
      </c>
    </row>
    <row r="3970" customFormat="false" ht="15.7" hidden="false" customHeight="true" outlineLevel="0" collapsed="false">
      <c r="A3970" s="2"/>
      <c r="B3970" s="3" t="n">
        <f aca="false">DATE(2018,12,19)</f>
        <v>0</v>
      </c>
      <c r="C3970" s="3" t="n">
        <v>43453</v>
      </c>
      <c r="D3970" s="2" t="s">
        <v>29917</v>
      </c>
      <c r="F3970" s="2" t="s">
        <v>17277</v>
      </c>
      <c r="G3970" s="2" t="s">
        <v>29918</v>
      </c>
      <c r="H3970" s="2" t="s">
        <v>523</v>
      </c>
      <c r="I3970" s="2" t="s">
        <v>180</v>
      </c>
      <c r="J3970" s="2" t="s">
        <v>900</v>
      </c>
      <c r="K3970" s="2" t="s">
        <v>29917</v>
      </c>
      <c r="L3970" s="2" t="s">
        <v>180</v>
      </c>
      <c r="M3970" s="2" t="s">
        <v>523</v>
      </c>
      <c r="N3970" s="2" t="s">
        <v>29919</v>
      </c>
      <c r="O3970" s="2"/>
      <c r="P3970" s="2" t="s">
        <v>37</v>
      </c>
      <c r="Q3970" s="4" t="n">
        <v>8099</v>
      </c>
      <c r="R3970" s="2" t="s">
        <v>136</v>
      </c>
      <c r="S3970" s="2" t="s">
        <v>39</v>
      </c>
      <c r="T3970" s="2" t="s">
        <v>40</v>
      </c>
      <c r="U3970" s="2" t="s">
        <v>29920</v>
      </c>
      <c r="V3970" s="2"/>
      <c r="W3970" s="2" t="s">
        <v>4487</v>
      </c>
      <c r="X3970" s="2" t="s">
        <v>43</v>
      </c>
      <c r="Y3970" s="2" t="s">
        <v>37</v>
      </c>
      <c r="Z3970" s="2" t="s">
        <v>44</v>
      </c>
      <c r="AA3970" s="2"/>
      <c r="AB3970" s="2"/>
      <c r="AC3970" s="2" t="s">
        <v>29921</v>
      </c>
      <c r="AD3970" s="2" t="s">
        <v>46</v>
      </c>
    </row>
    <row r="3971" customFormat="false" ht="15.7" hidden="false" customHeight="true" outlineLevel="0" collapsed="false">
      <c r="A3971" s="2"/>
      <c r="B3971" s="3" t="n">
        <f aca="false">DATE(2018,12,20)</f>
        <v>0</v>
      </c>
      <c r="C3971" s="3" t="n">
        <v>43454</v>
      </c>
      <c r="D3971" s="2" t="s">
        <v>29922</v>
      </c>
      <c r="F3971" s="2" t="s">
        <v>29923</v>
      </c>
      <c r="G3971" s="2" t="s">
        <v>29924</v>
      </c>
      <c r="H3971" s="2" t="s">
        <v>29925</v>
      </c>
      <c r="I3971" s="2" t="s">
        <v>540</v>
      </c>
      <c r="J3971" s="2" t="s">
        <v>35</v>
      </c>
      <c r="K3971" s="2" t="s">
        <v>29922</v>
      </c>
      <c r="L3971" s="2" t="s">
        <v>540</v>
      </c>
      <c r="M3971" s="2" t="s">
        <v>29925</v>
      </c>
      <c r="N3971" s="2" t="s">
        <v>29926</v>
      </c>
      <c r="O3971" s="2"/>
      <c r="P3971" s="2" t="s">
        <v>37</v>
      </c>
      <c r="Q3971" s="4" t="n">
        <v>1731</v>
      </c>
      <c r="R3971" s="2" t="s">
        <v>1448</v>
      </c>
      <c r="S3971" s="2" t="s">
        <v>39</v>
      </c>
      <c r="T3971" s="2" t="s">
        <v>40</v>
      </c>
      <c r="U3971" s="2" t="s">
        <v>29927</v>
      </c>
      <c r="V3971" s="2"/>
      <c r="W3971" s="2" t="s">
        <v>11763</v>
      </c>
      <c r="X3971" s="2" t="s">
        <v>43</v>
      </c>
      <c r="Y3971" s="2" t="s">
        <v>37</v>
      </c>
      <c r="Z3971" s="2" t="s">
        <v>44</v>
      </c>
      <c r="AA3971" s="2"/>
      <c r="AB3971" s="2"/>
      <c r="AC3971" s="2" t="s">
        <v>29928</v>
      </c>
      <c r="AD3971" s="2" t="s">
        <v>46</v>
      </c>
    </row>
    <row r="3972" customFormat="false" ht="15.7" hidden="false" customHeight="true" outlineLevel="0" collapsed="false">
      <c r="A3972" s="2"/>
      <c r="B3972" s="3" t="n">
        <f aca="false">DATE(2018,12,21)</f>
        <v>0</v>
      </c>
      <c r="C3972" s="3" t="n">
        <v>43455</v>
      </c>
      <c r="D3972" s="2" t="s">
        <v>29929</v>
      </c>
      <c r="F3972" s="2" t="s">
        <v>29930</v>
      </c>
      <c r="G3972" s="2" t="s">
        <v>29931</v>
      </c>
      <c r="H3972" s="2" t="s">
        <v>29932</v>
      </c>
      <c r="I3972" s="2" t="s">
        <v>3267</v>
      </c>
      <c r="J3972" s="2" t="s">
        <v>132</v>
      </c>
      <c r="K3972" s="2" t="s">
        <v>29929</v>
      </c>
      <c r="L3972" s="2" t="s">
        <v>3267</v>
      </c>
      <c r="M3972" s="2" t="s">
        <v>29932</v>
      </c>
      <c r="N3972" s="2" t="s">
        <v>29933</v>
      </c>
      <c r="O3972" s="2"/>
      <c r="P3972" s="2" t="s">
        <v>37</v>
      </c>
      <c r="Q3972" s="4" t="n">
        <v>6794</v>
      </c>
      <c r="R3972" s="2" t="s">
        <v>136</v>
      </c>
      <c r="S3972" s="2" t="s">
        <v>39</v>
      </c>
      <c r="T3972" s="2" t="s">
        <v>40</v>
      </c>
      <c r="U3972" s="2" t="s">
        <v>29934</v>
      </c>
      <c r="V3972" s="2"/>
      <c r="W3972" s="2" t="s">
        <v>82</v>
      </c>
      <c r="X3972" s="2" t="s">
        <v>43</v>
      </c>
      <c r="Y3972" s="2" t="s">
        <v>37</v>
      </c>
      <c r="Z3972" s="2" t="s">
        <v>44</v>
      </c>
      <c r="AA3972" s="2"/>
      <c r="AB3972" s="2"/>
      <c r="AC3972" s="2" t="s">
        <v>29935</v>
      </c>
      <c r="AD3972" s="2" t="s">
        <v>46</v>
      </c>
    </row>
    <row r="3973" customFormat="false" ht="15.7" hidden="false" customHeight="true" outlineLevel="0" collapsed="false">
      <c r="A3973" s="2"/>
      <c r="B3973" s="3" t="n">
        <f aca="false">DATE(2018,12,27)</f>
        <v>0</v>
      </c>
      <c r="C3973" s="3" t="n">
        <v>43461</v>
      </c>
      <c r="D3973" s="2" t="s">
        <v>29936</v>
      </c>
      <c r="F3973" s="2" t="s">
        <v>29937</v>
      </c>
      <c r="G3973" s="2" t="s">
        <v>29938</v>
      </c>
      <c r="H3973" s="2" t="s">
        <v>7807</v>
      </c>
      <c r="I3973" s="2" t="s">
        <v>51</v>
      </c>
      <c r="J3973" s="2" t="s">
        <v>15509</v>
      </c>
      <c r="K3973" s="2" t="s">
        <v>29936</v>
      </c>
      <c r="L3973" s="2" t="s">
        <v>51</v>
      </c>
      <c r="M3973" s="2" t="s">
        <v>7807</v>
      </c>
      <c r="N3973" s="2" t="s">
        <v>29939</v>
      </c>
      <c r="O3973" s="2"/>
      <c r="P3973" s="2" t="s">
        <v>37</v>
      </c>
      <c r="Q3973" s="4" t="n">
        <v>8731</v>
      </c>
      <c r="R3973" s="2" t="s">
        <v>136</v>
      </c>
      <c r="S3973" s="2" t="s">
        <v>39</v>
      </c>
      <c r="T3973" s="2" t="s">
        <v>40</v>
      </c>
      <c r="U3973" s="2" t="s">
        <v>29940</v>
      </c>
      <c r="V3973" s="2"/>
      <c r="W3973" s="2" t="s">
        <v>42</v>
      </c>
      <c r="X3973" s="2" t="s">
        <v>43</v>
      </c>
      <c r="Y3973" s="2" t="s">
        <v>37</v>
      </c>
      <c r="Z3973" s="2" t="s">
        <v>44</v>
      </c>
      <c r="AA3973" s="2"/>
      <c r="AB3973" s="2"/>
      <c r="AC3973" s="2" t="s">
        <v>29941</v>
      </c>
      <c r="AD3973" s="2" t="s">
        <v>46</v>
      </c>
    </row>
    <row r="3974" customFormat="false" ht="15.7" hidden="false" customHeight="true" outlineLevel="0" collapsed="false">
      <c r="A3974" s="2"/>
      <c r="B3974" s="3" t="n">
        <f aca="false">DATE(2018,12,30)</f>
        <v>0</v>
      </c>
      <c r="C3974" s="3" t="n">
        <v>43464</v>
      </c>
      <c r="D3974" s="2" t="s">
        <v>29942</v>
      </c>
      <c r="F3974" s="2" t="s">
        <v>29943</v>
      </c>
      <c r="G3974" s="2" t="s">
        <v>29944</v>
      </c>
      <c r="H3974" s="2" t="s">
        <v>9667</v>
      </c>
      <c r="I3974" s="2" t="s">
        <v>27016</v>
      </c>
      <c r="J3974" s="2" t="s">
        <v>35</v>
      </c>
      <c r="K3974" s="2" t="s">
        <v>29942</v>
      </c>
      <c r="L3974" s="2" t="s">
        <v>27016</v>
      </c>
      <c r="M3974" s="2" t="s">
        <v>9667</v>
      </c>
      <c r="N3974" s="2" t="s">
        <v>29945</v>
      </c>
      <c r="O3974" s="2"/>
      <c r="P3974" s="2" t="s">
        <v>37</v>
      </c>
      <c r="Q3974" s="4" t="n">
        <v>8731</v>
      </c>
      <c r="R3974" s="2" t="s">
        <v>9292</v>
      </c>
      <c r="S3974" s="2" t="s">
        <v>39</v>
      </c>
      <c r="T3974" s="2" t="s">
        <v>40</v>
      </c>
      <c r="U3974" s="2" t="s">
        <v>29946</v>
      </c>
      <c r="V3974" s="2"/>
      <c r="W3974" s="2" t="s">
        <v>42</v>
      </c>
      <c r="X3974" s="2" t="s">
        <v>43</v>
      </c>
      <c r="Y3974" s="2" t="s">
        <v>37</v>
      </c>
      <c r="Z3974" s="2" t="s">
        <v>44</v>
      </c>
      <c r="AA3974" s="2"/>
      <c r="AB3974" s="2"/>
      <c r="AC3974" s="2" t="s">
        <v>29947</v>
      </c>
      <c r="AD3974" s="2" t="s">
        <v>46</v>
      </c>
    </row>
    <row r="3975" customFormat="false" ht="15.7" hidden="false" customHeight="true" outlineLevel="0" collapsed="false">
      <c r="A3975" s="2"/>
      <c r="B3975" s="3" t="n">
        <f aca="false">DATE(2019,1,1)</f>
        <v>0</v>
      </c>
      <c r="C3975" s="3" t="n">
        <v>43466</v>
      </c>
      <c r="D3975" s="2" t="s">
        <v>29948</v>
      </c>
      <c r="F3975" s="2" t="s">
        <v>29949</v>
      </c>
      <c r="G3975" s="2" t="s">
        <v>29950</v>
      </c>
      <c r="H3975" s="2" t="s">
        <v>29951</v>
      </c>
      <c r="I3975" s="2" t="s">
        <v>29952</v>
      </c>
      <c r="J3975" s="2" t="s">
        <v>35</v>
      </c>
      <c r="K3975" s="2" t="s">
        <v>29953</v>
      </c>
      <c r="L3975" s="2" t="s">
        <v>29952</v>
      </c>
      <c r="M3975" s="2" t="s">
        <v>29954</v>
      </c>
      <c r="N3975" s="2" t="s">
        <v>29955</v>
      </c>
      <c r="O3975" s="2"/>
      <c r="P3975" s="2" t="s">
        <v>37</v>
      </c>
      <c r="Q3975" s="4" t="n">
        <v>8731</v>
      </c>
      <c r="R3975" s="2"/>
      <c r="S3975" s="2"/>
      <c r="T3975" s="2" t="s">
        <v>2444</v>
      </c>
      <c r="U3975" s="2" t="s">
        <v>29956</v>
      </c>
      <c r="V3975" s="2"/>
      <c r="W3975" s="2" t="s">
        <v>42</v>
      </c>
      <c r="X3975" s="2" t="s">
        <v>43</v>
      </c>
      <c r="Y3975" s="2" t="s">
        <v>37</v>
      </c>
      <c r="Z3975" s="2" t="s">
        <v>44</v>
      </c>
      <c r="AA3975" s="2"/>
      <c r="AB3975" s="2"/>
      <c r="AC3975" s="2" t="s">
        <v>29957</v>
      </c>
      <c r="AD3975" s="2" t="s">
        <v>46</v>
      </c>
    </row>
    <row r="3976" customFormat="false" ht="15.7" hidden="false" customHeight="true" outlineLevel="0" collapsed="false">
      <c r="A3976" s="2"/>
      <c r="B3976" s="3" t="n">
        <f aca="false">DATE(2019,1,2)</f>
        <v>0</v>
      </c>
      <c r="C3976" s="3" t="n">
        <v>43467</v>
      </c>
      <c r="D3976" s="2" t="s">
        <v>29958</v>
      </c>
      <c r="F3976" s="2" t="s">
        <v>20650</v>
      </c>
      <c r="G3976" s="2" t="s">
        <v>29959</v>
      </c>
      <c r="H3976" s="2" t="s">
        <v>130</v>
      </c>
      <c r="I3976" s="2" t="s">
        <v>11034</v>
      </c>
      <c r="J3976" s="2" t="s">
        <v>35</v>
      </c>
      <c r="K3976" s="2" t="s">
        <v>29960</v>
      </c>
      <c r="L3976" s="2" t="s">
        <v>11034</v>
      </c>
      <c r="M3976" s="2" t="s">
        <v>130</v>
      </c>
      <c r="N3976" s="2" t="s">
        <v>29961</v>
      </c>
      <c r="O3976" s="2"/>
      <c r="P3976" s="2" t="s">
        <v>79</v>
      </c>
      <c r="Q3976" s="4" t="n">
        <v>6794</v>
      </c>
      <c r="R3976" s="2" t="s">
        <v>402</v>
      </c>
      <c r="S3976" s="2" t="s">
        <v>39</v>
      </c>
      <c r="T3976" s="2" t="s">
        <v>40</v>
      </c>
      <c r="U3976" s="2" t="s">
        <v>29962</v>
      </c>
      <c r="V3976" s="2"/>
      <c r="W3976" s="2" t="s">
        <v>190</v>
      </c>
      <c r="X3976" s="2" t="s">
        <v>43</v>
      </c>
      <c r="Y3976" s="2" t="s">
        <v>37</v>
      </c>
      <c r="Z3976" s="2" t="s">
        <v>44</v>
      </c>
      <c r="AA3976" s="2"/>
      <c r="AB3976" s="2"/>
      <c r="AC3976" s="2" t="s">
        <v>29963</v>
      </c>
      <c r="AD3976" s="2" t="s">
        <v>46</v>
      </c>
    </row>
    <row r="3977" customFormat="false" ht="15.7" hidden="false" customHeight="true" outlineLevel="0" collapsed="false">
      <c r="A3977" s="2"/>
      <c r="B3977" s="3" t="n">
        <f aca="false">DATE(2019,1,2)</f>
        <v>0</v>
      </c>
      <c r="C3977" s="3" t="n">
        <v>43467</v>
      </c>
      <c r="D3977" s="2" t="s">
        <v>29964</v>
      </c>
      <c r="F3977" s="2" t="s">
        <v>29965</v>
      </c>
      <c r="G3977" s="2" t="s">
        <v>29966</v>
      </c>
      <c r="H3977" s="2" t="s">
        <v>29967</v>
      </c>
      <c r="I3977" s="2" t="s">
        <v>1904</v>
      </c>
      <c r="J3977" s="2" t="s">
        <v>132</v>
      </c>
      <c r="K3977" s="2" t="s">
        <v>29964</v>
      </c>
      <c r="L3977" s="2" t="s">
        <v>1904</v>
      </c>
      <c r="M3977" s="2" t="s">
        <v>29967</v>
      </c>
      <c r="N3977" s="2" t="s">
        <v>29968</v>
      </c>
      <c r="O3977" s="2"/>
      <c r="P3977" s="2" t="s">
        <v>37</v>
      </c>
      <c r="Q3977" s="4" t="n">
        <v>8731</v>
      </c>
      <c r="R3977" s="2" t="s">
        <v>56</v>
      </c>
      <c r="S3977" s="2"/>
      <c r="T3977" s="2" t="s">
        <v>403</v>
      </c>
      <c r="U3977" s="2" t="s">
        <v>29969</v>
      </c>
      <c r="V3977" s="2"/>
      <c r="W3977" s="2" t="s">
        <v>3235</v>
      </c>
      <c r="X3977" s="2" t="s">
        <v>43</v>
      </c>
      <c r="Y3977" s="2" t="s">
        <v>37</v>
      </c>
      <c r="Z3977" s="2" t="s">
        <v>44</v>
      </c>
      <c r="AA3977" s="2"/>
      <c r="AB3977" s="2"/>
      <c r="AC3977" s="2" t="s">
        <v>29970</v>
      </c>
      <c r="AD3977" s="2" t="s">
        <v>46</v>
      </c>
    </row>
    <row r="3978" customFormat="false" ht="15.7" hidden="false" customHeight="true" outlineLevel="0" collapsed="false">
      <c r="A3978" s="2"/>
      <c r="B3978" s="3" t="n">
        <f aca="false">DATE(2019,1,2)</f>
        <v>0</v>
      </c>
      <c r="C3978" s="3" t="n">
        <v>43467</v>
      </c>
      <c r="D3978" s="2" t="s">
        <v>29971</v>
      </c>
      <c r="F3978" s="2" t="s">
        <v>29972</v>
      </c>
      <c r="G3978" s="2" t="s">
        <v>29973</v>
      </c>
      <c r="H3978" s="2" t="s">
        <v>29974</v>
      </c>
      <c r="I3978" s="2" t="s">
        <v>17584</v>
      </c>
      <c r="J3978" s="2" t="s">
        <v>35</v>
      </c>
      <c r="K3978" s="2" t="s">
        <v>29975</v>
      </c>
      <c r="L3978" s="2" t="s">
        <v>17584</v>
      </c>
      <c r="M3978" s="2" t="s">
        <v>29976</v>
      </c>
      <c r="N3978" s="2" t="s">
        <v>29977</v>
      </c>
      <c r="O3978" s="2"/>
      <c r="P3978" s="2" t="s">
        <v>37</v>
      </c>
      <c r="Q3978" s="4" t="n">
        <v>8731</v>
      </c>
      <c r="R3978" s="2" t="s">
        <v>136</v>
      </c>
      <c r="S3978" s="2" t="s">
        <v>39</v>
      </c>
      <c r="T3978" s="2" t="s">
        <v>40</v>
      </c>
      <c r="U3978" s="2" t="s">
        <v>29978</v>
      </c>
      <c r="V3978" s="2"/>
      <c r="W3978" s="2" t="s">
        <v>42</v>
      </c>
      <c r="X3978" s="2" t="s">
        <v>43</v>
      </c>
      <c r="Y3978" s="2" t="s">
        <v>37</v>
      </c>
      <c r="Z3978" s="2" t="s">
        <v>44</v>
      </c>
      <c r="AA3978" s="2"/>
      <c r="AB3978" s="2"/>
      <c r="AC3978" s="2" t="s">
        <v>29979</v>
      </c>
      <c r="AD3978" s="2" t="s">
        <v>46</v>
      </c>
    </row>
    <row r="3979" customFormat="false" ht="15.7" hidden="false" customHeight="true" outlineLevel="0" collapsed="false">
      <c r="A3979" s="2"/>
      <c r="B3979" s="3" t="n">
        <f aca="false">DATE(2019,1,3)</f>
        <v>0</v>
      </c>
      <c r="C3979" s="3" t="n">
        <v>43468</v>
      </c>
      <c r="D3979" s="2" t="s">
        <v>29980</v>
      </c>
      <c r="F3979" s="2" t="s">
        <v>29981</v>
      </c>
      <c r="G3979" s="2" t="s">
        <v>29982</v>
      </c>
      <c r="H3979" s="2" t="s">
        <v>1020</v>
      </c>
      <c r="I3979" s="2" t="s">
        <v>858</v>
      </c>
      <c r="J3979" s="2" t="s">
        <v>35</v>
      </c>
      <c r="K3979" s="2" t="s">
        <v>29980</v>
      </c>
      <c r="L3979" s="2" t="s">
        <v>858</v>
      </c>
      <c r="M3979" s="2" t="s">
        <v>1020</v>
      </c>
      <c r="N3979" s="2" t="s">
        <v>29983</v>
      </c>
      <c r="O3979" s="2"/>
      <c r="P3979" s="2" t="s">
        <v>79</v>
      </c>
      <c r="Q3979" s="4" t="n">
        <v>6794</v>
      </c>
      <c r="R3979" s="2" t="s">
        <v>5704</v>
      </c>
      <c r="S3979" s="2" t="s">
        <v>39</v>
      </c>
      <c r="T3979" s="2" t="s">
        <v>40</v>
      </c>
      <c r="U3979" s="2" t="s">
        <v>29984</v>
      </c>
      <c r="V3979" s="2"/>
      <c r="W3979" s="2" t="s">
        <v>206</v>
      </c>
      <c r="X3979" s="2" t="s">
        <v>43</v>
      </c>
      <c r="Y3979" s="2" t="s">
        <v>37</v>
      </c>
      <c r="Z3979" s="2" t="s">
        <v>44</v>
      </c>
      <c r="AA3979" s="2"/>
      <c r="AB3979" s="2"/>
      <c r="AC3979" s="2" t="s">
        <v>29985</v>
      </c>
      <c r="AD3979" s="2" t="s">
        <v>46</v>
      </c>
    </row>
    <row r="3980" customFormat="false" ht="15.7" hidden="false" customHeight="true" outlineLevel="0" collapsed="false">
      <c r="A3980" s="2"/>
      <c r="B3980" s="3" t="n">
        <f aca="false">DATE(2019,1,3)</f>
        <v>0</v>
      </c>
      <c r="C3980" s="3" t="n">
        <v>43468</v>
      </c>
      <c r="D3980" s="2" t="s">
        <v>29986</v>
      </c>
      <c r="F3980" s="2" t="s">
        <v>11555</v>
      </c>
      <c r="G3980" s="2" t="s">
        <v>29987</v>
      </c>
      <c r="H3980" s="2" t="s">
        <v>305</v>
      </c>
      <c r="I3980" s="2" t="s">
        <v>51</v>
      </c>
      <c r="J3980" s="2" t="s">
        <v>29988</v>
      </c>
      <c r="K3980" s="2" t="s">
        <v>29989</v>
      </c>
      <c r="L3980" s="2" t="s">
        <v>51</v>
      </c>
      <c r="M3980" s="2" t="s">
        <v>305</v>
      </c>
      <c r="N3980" s="2" t="s">
        <v>29990</v>
      </c>
      <c r="O3980" s="2"/>
      <c r="P3980" s="2" t="s">
        <v>79</v>
      </c>
      <c r="Q3980" s="4" t="n">
        <v>6794</v>
      </c>
      <c r="R3980" s="2" t="s">
        <v>56</v>
      </c>
      <c r="S3980" s="2"/>
      <c r="T3980" s="2" t="s">
        <v>40</v>
      </c>
      <c r="U3980" s="2" t="s">
        <v>29991</v>
      </c>
      <c r="V3980" s="2"/>
      <c r="W3980" s="2" t="s">
        <v>190</v>
      </c>
      <c r="X3980" s="2" t="s">
        <v>43</v>
      </c>
      <c r="Y3980" s="2" t="s">
        <v>37</v>
      </c>
      <c r="Z3980" s="2" t="s">
        <v>44</v>
      </c>
      <c r="AA3980" s="2"/>
      <c r="AB3980" s="2"/>
      <c r="AC3980" s="2" t="s">
        <v>29992</v>
      </c>
      <c r="AD3980" s="2" t="s">
        <v>46</v>
      </c>
    </row>
    <row r="3981" customFormat="false" ht="15.7" hidden="false" customHeight="true" outlineLevel="0" collapsed="false">
      <c r="A3981" s="2"/>
      <c r="B3981" s="3" t="n">
        <f aca="false">DATE(2019,1,3)</f>
        <v>0</v>
      </c>
      <c r="C3981" s="3" t="n">
        <v>43468</v>
      </c>
      <c r="D3981" s="2" t="s">
        <v>29993</v>
      </c>
      <c r="F3981" s="2" t="s">
        <v>29994</v>
      </c>
      <c r="G3981" s="2" t="s">
        <v>29995</v>
      </c>
      <c r="H3981" s="2" t="s">
        <v>29996</v>
      </c>
      <c r="I3981" s="2" t="s">
        <v>29997</v>
      </c>
      <c r="J3981" s="2" t="s">
        <v>35</v>
      </c>
      <c r="K3981" s="2" t="s">
        <v>29993</v>
      </c>
      <c r="L3981" s="2" t="s">
        <v>29997</v>
      </c>
      <c r="M3981" s="2" t="s">
        <v>29996</v>
      </c>
      <c r="N3981" s="2" t="s">
        <v>29998</v>
      </c>
      <c r="O3981" s="2" t="s">
        <v>29999</v>
      </c>
      <c r="P3981" s="2" t="s">
        <v>37</v>
      </c>
      <c r="Q3981" s="4" t="n">
        <v>8731</v>
      </c>
      <c r="R3981" s="2" t="s">
        <v>3154</v>
      </c>
      <c r="S3981" s="2" t="s">
        <v>39</v>
      </c>
      <c r="T3981" s="2" t="s">
        <v>40</v>
      </c>
      <c r="U3981" s="2" t="s">
        <v>30000</v>
      </c>
      <c r="V3981" s="2"/>
      <c r="W3981" s="2" t="s">
        <v>42</v>
      </c>
      <c r="X3981" s="2" t="s">
        <v>46</v>
      </c>
      <c r="Y3981" s="2" t="s">
        <v>37</v>
      </c>
      <c r="Z3981" s="2" t="s">
        <v>987</v>
      </c>
      <c r="AA3981" s="2"/>
      <c r="AB3981" s="2" t="s">
        <v>30001</v>
      </c>
      <c r="AC3981" s="2" t="s">
        <v>30002</v>
      </c>
      <c r="AD3981" s="2" t="s">
        <v>46</v>
      </c>
    </row>
    <row r="3982" customFormat="false" ht="15.7" hidden="false" customHeight="true" outlineLevel="0" collapsed="false">
      <c r="A3982" s="2"/>
      <c r="B3982" s="3" t="n">
        <f aca="false">DATE(2019,1,3)</f>
        <v>0</v>
      </c>
      <c r="C3982" s="3" t="n">
        <v>43468</v>
      </c>
      <c r="D3982" s="2" t="s">
        <v>30003</v>
      </c>
      <c r="F3982" s="2" t="s">
        <v>30004</v>
      </c>
      <c r="G3982" s="2" t="s">
        <v>30005</v>
      </c>
      <c r="H3982" s="2" t="s">
        <v>130</v>
      </c>
      <c r="I3982" s="2" t="s">
        <v>51</v>
      </c>
      <c r="J3982" s="2" t="s">
        <v>24079</v>
      </c>
      <c r="K3982" s="2" t="s">
        <v>30003</v>
      </c>
      <c r="L3982" s="2" t="s">
        <v>51</v>
      </c>
      <c r="M3982" s="2" t="s">
        <v>130</v>
      </c>
      <c r="N3982" s="2" t="s">
        <v>30006</v>
      </c>
      <c r="O3982" s="2"/>
      <c r="P3982" s="2" t="s">
        <v>79</v>
      </c>
      <c r="Q3982" s="4" t="n">
        <v>6794</v>
      </c>
      <c r="R3982" s="2" t="s">
        <v>56</v>
      </c>
      <c r="S3982" s="2"/>
      <c r="T3982" s="2" t="s">
        <v>40</v>
      </c>
      <c r="U3982" s="2" t="s">
        <v>30007</v>
      </c>
      <c r="V3982" s="2"/>
      <c r="W3982" s="2" t="s">
        <v>206</v>
      </c>
      <c r="X3982" s="2" t="s">
        <v>43</v>
      </c>
      <c r="Y3982" s="2" t="s">
        <v>37</v>
      </c>
      <c r="Z3982" s="2" t="s">
        <v>44</v>
      </c>
      <c r="AA3982" s="2"/>
      <c r="AB3982" s="2"/>
      <c r="AC3982" s="2" t="s">
        <v>30008</v>
      </c>
      <c r="AD3982" s="2" t="s">
        <v>46</v>
      </c>
    </row>
    <row r="3983" customFormat="false" ht="15.7" hidden="false" customHeight="true" outlineLevel="0" collapsed="false">
      <c r="A3983" s="2"/>
      <c r="B3983" s="3" t="n">
        <f aca="false">DATE(2019,1,3)</f>
        <v>0</v>
      </c>
      <c r="C3983" s="3" t="n">
        <v>43468</v>
      </c>
      <c r="D3983" s="2" t="s">
        <v>30009</v>
      </c>
      <c r="F3983" s="2" t="s">
        <v>30010</v>
      </c>
      <c r="G3983" s="2" t="s">
        <v>30011</v>
      </c>
      <c r="H3983" s="2" t="s">
        <v>762</v>
      </c>
      <c r="I3983" s="2" t="s">
        <v>51</v>
      </c>
      <c r="J3983" s="2" t="s">
        <v>4097</v>
      </c>
      <c r="K3983" s="2" t="s">
        <v>30012</v>
      </c>
      <c r="L3983" s="2" t="s">
        <v>51</v>
      </c>
      <c r="M3983" s="2" t="s">
        <v>3840</v>
      </c>
      <c r="N3983" s="2" t="s">
        <v>30013</v>
      </c>
      <c r="O3983" s="2"/>
      <c r="P3983" s="2" t="s">
        <v>79</v>
      </c>
      <c r="Q3983" s="4" t="n">
        <v>6794</v>
      </c>
      <c r="R3983" s="2" t="s">
        <v>56</v>
      </c>
      <c r="S3983" s="2"/>
      <c r="T3983" s="2" t="s">
        <v>40</v>
      </c>
      <c r="U3983" s="2" t="s">
        <v>30014</v>
      </c>
      <c r="V3983" s="2"/>
      <c r="W3983" s="2" t="s">
        <v>82</v>
      </c>
      <c r="X3983" s="2" t="s">
        <v>43</v>
      </c>
      <c r="Y3983" s="2" t="s">
        <v>37</v>
      </c>
      <c r="Z3983" s="2" t="s">
        <v>44</v>
      </c>
      <c r="AA3983" s="2"/>
      <c r="AB3983" s="2"/>
      <c r="AC3983" s="2" t="s">
        <v>30015</v>
      </c>
      <c r="AD3983" s="2" t="s">
        <v>46</v>
      </c>
    </row>
    <row r="3984" customFormat="false" ht="15.7" hidden="false" customHeight="true" outlineLevel="0" collapsed="false">
      <c r="A3984" s="2"/>
      <c r="B3984" s="3" t="n">
        <f aca="false">DATE(2019,1,3)</f>
        <v>0</v>
      </c>
      <c r="C3984" s="3" t="n">
        <v>43468</v>
      </c>
      <c r="D3984" s="2" t="s">
        <v>30016</v>
      </c>
      <c r="F3984" s="2" t="s">
        <v>30017</v>
      </c>
      <c r="G3984" s="2" t="s">
        <v>30018</v>
      </c>
      <c r="H3984" s="2" t="s">
        <v>170</v>
      </c>
      <c r="I3984" s="2" t="s">
        <v>51</v>
      </c>
      <c r="J3984" s="2" t="s">
        <v>3310</v>
      </c>
      <c r="K3984" s="2" t="s">
        <v>30019</v>
      </c>
      <c r="L3984" s="2" t="s">
        <v>51</v>
      </c>
      <c r="M3984" s="2" t="s">
        <v>305</v>
      </c>
      <c r="N3984" s="2" t="s">
        <v>30020</v>
      </c>
      <c r="O3984" s="2"/>
      <c r="P3984" s="2" t="s">
        <v>37</v>
      </c>
      <c r="Q3984" s="4" t="n">
        <v>8731</v>
      </c>
      <c r="R3984" s="2"/>
      <c r="S3984" s="2"/>
      <c r="T3984" s="2" t="s">
        <v>403</v>
      </c>
      <c r="U3984" s="2" t="s">
        <v>30021</v>
      </c>
      <c r="V3984" s="2"/>
      <c r="W3984" s="2" t="s">
        <v>42</v>
      </c>
      <c r="X3984" s="2" t="s">
        <v>43</v>
      </c>
      <c r="Y3984" s="2" t="s">
        <v>37</v>
      </c>
      <c r="Z3984" s="2" t="s">
        <v>44</v>
      </c>
      <c r="AA3984" s="2"/>
      <c r="AB3984" s="2"/>
      <c r="AC3984" s="2" t="s">
        <v>30022</v>
      </c>
      <c r="AD3984" s="2" t="s">
        <v>46</v>
      </c>
    </row>
    <row r="3985" customFormat="false" ht="15.7" hidden="false" customHeight="true" outlineLevel="0" collapsed="false">
      <c r="A3985" s="2"/>
      <c r="B3985" s="3" t="n">
        <f aca="false">DATE(2019,1,3)</f>
        <v>0</v>
      </c>
      <c r="C3985" s="3" t="n">
        <v>43468</v>
      </c>
      <c r="D3985" s="2" t="s">
        <v>30023</v>
      </c>
      <c r="F3985" s="2" t="s">
        <v>30024</v>
      </c>
      <c r="G3985" s="2" t="s">
        <v>30025</v>
      </c>
      <c r="H3985" s="2" t="s">
        <v>5687</v>
      </c>
      <c r="I3985" s="2" t="s">
        <v>568</v>
      </c>
      <c r="J3985" s="2" t="s">
        <v>313</v>
      </c>
      <c r="K3985" s="2" t="s">
        <v>30023</v>
      </c>
      <c r="L3985" s="2" t="s">
        <v>568</v>
      </c>
      <c r="M3985" s="2" t="s">
        <v>5687</v>
      </c>
      <c r="N3985" s="2" t="s">
        <v>30026</v>
      </c>
      <c r="O3985" s="2"/>
      <c r="P3985" s="2" t="s">
        <v>79</v>
      </c>
      <c r="Q3985" s="4" t="n">
        <v>6794</v>
      </c>
      <c r="R3985" s="2" t="s">
        <v>136</v>
      </c>
      <c r="S3985" s="2" t="s">
        <v>39</v>
      </c>
      <c r="T3985" s="2" t="s">
        <v>40</v>
      </c>
      <c r="U3985" s="2" t="s">
        <v>30027</v>
      </c>
      <c r="V3985" s="2"/>
      <c r="W3985" s="2" t="s">
        <v>15545</v>
      </c>
      <c r="X3985" s="2" t="s">
        <v>43</v>
      </c>
      <c r="Y3985" s="2" t="s">
        <v>37</v>
      </c>
      <c r="Z3985" s="2" t="s">
        <v>44</v>
      </c>
      <c r="AA3985" s="2"/>
      <c r="AB3985" s="2"/>
      <c r="AC3985" s="2" t="s">
        <v>30028</v>
      </c>
      <c r="AD3985" s="2" t="s">
        <v>46</v>
      </c>
    </row>
    <row r="3986" customFormat="false" ht="15.7" hidden="false" customHeight="true" outlineLevel="0" collapsed="false">
      <c r="A3986" s="2"/>
      <c r="B3986" s="3" t="n">
        <f aca="false">DATE(2019,1,4)</f>
        <v>0</v>
      </c>
      <c r="C3986" s="3" t="n">
        <v>43469</v>
      </c>
      <c r="D3986" s="2" t="s">
        <v>30029</v>
      </c>
      <c r="F3986" s="2" t="s">
        <v>30030</v>
      </c>
      <c r="G3986" s="2" t="s">
        <v>30031</v>
      </c>
      <c r="H3986" s="2" t="s">
        <v>1770</v>
      </c>
      <c r="I3986" s="2" t="s">
        <v>7114</v>
      </c>
      <c r="J3986" s="2" t="s">
        <v>35</v>
      </c>
      <c r="K3986" s="2" t="s">
        <v>30029</v>
      </c>
      <c r="L3986" s="2" t="s">
        <v>7114</v>
      </c>
      <c r="M3986" s="2" t="s">
        <v>1770</v>
      </c>
      <c r="N3986" s="2" t="s">
        <v>30032</v>
      </c>
      <c r="O3986" s="2"/>
      <c r="P3986" s="2" t="s">
        <v>37</v>
      </c>
      <c r="Q3986" s="4" t="n">
        <v>8731</v>
      </c>
      <c r="R3986" s="2" t="s">
        <v>136</v>
      </c>
      <c r="S3986" s="2" t="s">
        <v>39</v>
      </c>
      <c r="T3986" s="2" t="s">
        <v>40</v>
      </c>
      <c r="U3986" s="2" t="s">
        <v>30033</v>
      </c>
      <c r="V3986" s="2"/>
      <c r="W3986" s="2" t="s">
        <v>344</v>
      </c>
      <c r="X3986" s="2" t="s">
        <v>43</v>
      </c>
      <c r="Y3986" s="2" t="s">
        <v>37</v>
      </c>
      <c r="Z3986" s="2" t="s">
        <v>44</v>
      </c>
      <c r="AA3986" s="2"/>
      <c r="AB3986" s="2"/>
      <c r="AC3986" s="2" t="s">
        <v>30034</v>
      </c>
      <c r="AD3986" s="2" t="s">
        <v>46</v>
      </c>
    </row>
    <row r="3987" customFormat="false" ht="15.7" hidden="false" customHeight="true" outlineLevel="0" collapsed="false">
      <c r="A3987" s="2"/>
      <c r="B3987" s="3" t="n">
        <f aca="false">DATE(2019,1,4)</f>
        <v>0</v>
      </c>
      <c r="C3987" s="3" t="n">
        <v>43469</v>
      </c>
      <c r="D3987" s="2" t="s">
        <v>30035</v>
      </c>
      <c r="F3987" s="2" t="s">
        <v>22407</v>
      </c>
      <c r="G3987" s="2" t="s">
        <v>30036</v>
      </c>
      <c r="H3987" s="2" t="s">
        <v>762</v>
      </c>
      <c r="I3987" s="2" t="s">
        <v>5491</v>
      </c>
      <c r="J3987" s="2" t="s">
        <v>35</v>
      </c>
      <c r="K3987" s="2" t="s">
        <v>30035</v>
      </c>
      <c r="L3987" s="2" t="s">
        <v>5491</v>
      </c>
      <c r="M3987" s="2" t="s">
        <v>762</v>
      </c>
      <c r="N3987" s="2" t="s">
        <v>30037</v>
      </c>
      <c r="O3987" s="2"/>
      <c r="P3987" s="2" t="s">
        <v>37</v>
      </c>
      <c r="Q3987" s="4" t="n">
        <v>8731</v>
      </c>
      <c r="R3987" s="2" t="s">
        <v>136</v>
      </c>
      <c r="S3987" s="2" t="s">
        <v>39</v>
      </c>
      <c r="T3987" s="2" t="s">
        <v>40</v>
      </c>
      <c r="U3987" s="2" t="s">
        <v>30038</v>
      </c>
      <c r="V3987" s="2"/>
      <c r="W3987" s="2" t="s">
        <v>344</v>
      </c>
      <c r="X3987" s="2" t="s">
        <v>43</v>
      </c>
      <c r="Y3987" s="2" t="s">
        <v>37</v>
      </c>
      <c r="Z3987" s="2" t="s">
        <v>44</v>
      </c>
      <c r="AA3987" s="2"/>
      <c r="AB3987" s="2"/>
      <c r="AC3987" s="2" t="s">
        <v>30039</v>
      </c>
      <c r="AD3987" s="2" t="s">
        <v>46</v>
      </c>
    </row>
    <row r="3988" customFormat="false" ht="15.7" hidden="false" customHeight="true" outlineLevel="0" collapsed="false">
      <c r="A3988" s="2"/>
      <c r="B3988" s="3" t="n">
        <f aca="false">DATE(2019,1,4)</f>
        <v>0</v>
      </c>
      <c r="C3988" s="3" t="n">
        <v>43469</v>
      </c>
      <c r="D3988" s="2" t="s">
        <v>30040</v>
      </c>
      <c r="F3988" s="2" t="s">
        <v>20656</v>
      </c>
      <c r="G3988" s="2" t="s">
        <v>30041</v>
      </c>
      <c r="H3988" s="2" t="s">
        <v>523</v>
      </c>
      <c r="I3988" s="2" t="s">
        <v>51</v>
      </c>
      <c r="J3988" s="2" t="s">
        <v>2633</v>
      </c>
      <c r="K3988" s="2" t="s">
        <v>30042</v>
      </c>
      <c r="L3988" s="2" t="s">
        <v>88</v>
      </c>
      <c r="M3988" s="2" t="s">
        <v>1732</v>
      </c>
      <c r="N3988" s="2" t="s">
        <v>30043</v>
      </c>
      <c r="O3988" s="2"/>
      <c r="P3988" s="2" t="s">
        <v>37</v>
      </c>
      <c r="Q3988" s="4" t="n">
        <v>8731</v>
      </c>
      <c r="R3988" s="2" t="s">
        <v>56</v>
      </c>
      <c r="S3988" s="2"/>
      <c r="T3988" s="2" t="s">
        <v>40</v>
      </c>
      <c r="U3988" s="2" t="s">
        <v>30044</v>
      </c>
      <c r="V3988" s="2"/>
      <c r="W3988" s="2" t="s">
        <v>42</v>
      </c>
      <c r="X3988" s="2" t="s">
        <v>43</v>
      </c>
      <c r="Y3988" s="2" t="s">
        <v>37</v>
      </c>
      <c r="Z3988" s="2" t="s">
        <v>44</v>
      </c>
      <c r="AA3988" s="2"/>
      <c r="AB3988" s="2"/>
      <c r="AC3988" s="2" t="s">
        <v>30045</v>
      </c>
      <c r="AD3988" s="2" t="s">
        <v>46</v>
      </c>
    </row>
    <row r="3989" customFormat="false" ht="15.7" hidden="false" customHeight="true" outlineLevel="0" collapsed="false">
      <c r="A3989" s="2"/>
      <c r="B3989" s="3" t="n">
        <f aca="false">DATE(2019,1,6)</f>
        <v>0</v>
      </c>
      <c r="C3989" s="3" t="n">
        <v>43471</v>
      </c>
      <c r="D3989" s="2" t="s">
        <v>30046</v>
      </c>
      <c r="F3989" s="2" t="s">
        <v>1378</v>
      </c>
      <c r="G3989" s="2" t="s">
        <v>30047</v>
      </c>
      <c r="H3989" s="2" t="s">
        <v>12871</v>
      </c>
      <c r="I3989" s="2" t="s">
        <v>64</v>
      </c>
      <c r="J3989" s="2" t="s">
        <v>65</v>
      </c>
      <c r="K3989" s="2" t="s">
        <v>30046</v>
      </c>
      <c r="L3989" s="2" t="s">
        <v>64</v>
      </c>
      <c r="M3989" s="2" t="s">
        <v>12871</v>
      </c>
      <c r="N3989" s="2" t="s">
        <v>30048</v>
      </c>
      <c r="O3989" s="2"/>
      <c r="P3989" s="2" t="s">
        <v>37</v>
      </c>
      <c r="Q3989" s="4" t="n">
        <v>8731</v>
      </c>
      <c r="R3989" s="2" t="s">
        <v>136</v>
      </c>
      <c r="S3989" s="2" t="s">
        <v>39</v>
      </c>
      <c r="T3989" s="2" t="s">
        <v>40</v>
      </c>
      <c r="U3989" s="2" t="s">
        <v>30049</v>
      </c>
      <c r="V3989" s="2"/>
      <c r="W3989" s="2" t="s">
        <v>42</v>
      </c>
      <c r="X3989" s="2" t="s">
        <v>43</v>
      </c>
      <c r="Y3989" s="2" t="s">
        <v>37</v>
      </c>
      <c r="Z3989" s="2" t="s">
        <v>44</v>
      </c>
      <c r="AA3989" s="2"/>
      <c r="AB3989" s="2"/>
      <c r="AC3989" s="2" t="s">
        <v>30050</v>
      </c>
      <c r="AD3989" s="2" t="s">
        <v>46</v>
      </c>
    </row>
    <row r="3990" customFormat="false" ht="15.7" hidden="false" customHeight="true" outlineLevel="0" collapsed="false">
      <c r="A3990" s="2"/>
      <c r="B3990" s="3" t="n">
        <f aca="false">DATE(2019,1,7)</f>
        <v>0</v>
      </c>
      <c r="C3990" s="3" t="n">
        <v>43472</v>
      </c>
      <c r="D3990" s="2" t="s">
        <v>30051</v>
      </c>
      <c r="F3990" s="2" t="s">
        <v>347</v>
      </c>
      <c r="G3990" s="2" t="s">
        <v>30052</v>
      </c>
      <c r="H3990" s="2" t="s">
        <v>63</v>
      </c>
      <c r="I3990" s="2" t="s">
        <v>51</v>
      </c>
      <c r="J3990" s="2" t="s">
        <v>3045</v>
      </c>
      <c r="K3990" s="2" t="s">
        <v>30051</v>
      </c>
      <c r="L3990" s="2" t="s">
        <v>51</v>
      </c>
      <c r="M3990" s="2" t="s">
        <v>63</v>
      </c>
      <c r="N3990" s="2" t="s">
        <v>30053</v>
      </c>
      <c r="O3990" s="2"/>
      <c r="P3990" s="2" t="s">
        <v>79</v>
      </c>
      <c r="Q3990" s="4" t="n">
        <v>6794</v>
      </c>
      <c r="R3990" s="2" t="s">
        <v>56</v>
      </c>
      <c r="S3990" s="2"/>
      <c r="T3990" s="2" t="s">
        <v>40</v>
      </c>
      <c r="U3990" s="2" t="s">
        <v>30054</v>
      </c>
      <c r="V3990" s="2"/>
      <c r="W3990" s="2" t="s">
        <v>206</v>
      </c>
      <c r="X3990" s="2" t="s">
        <v>43</v>
      </c>
      <c r="Y3990" s="2" t="s">
        <v>37</v>
      </c>
      <c r="Z3990" s="2" t="s">
        <v>44</v>
      </c>
      <c r="AA3990" s="2"/>
      <c r="AB3990" s="2"/>
      <c r="AC3990" s="2" t="s">
        <v>30055</v>
      </c>
      <c r="AD3990" s="2" t="s">
        <v>46</v>
      </c>
    </row>
    <row r="3991" customFormat="false" ht="15.7" hidden="false" customHeight="true" outlineLevel="0" collapsed="false">
      <c r="A3991" s="2"/>
      <c r="B3991" s="3" t="n">
        <f aca="false">DATE(2019,1,7)</f>
        <v>0</v>
      </c>
      <c r="C3991" s="3" t="n">
        <v>43472</v>
      </c>
      <c r="D3991" s="2" t="s">
        <v>30056</v>
      </c>
      <c r="F3991" s="2" t="s">
        <v>30057</v>
      </c>
      <c r="G3991" s="2" t="s">
        <v>30058</v>
      </c>
      <c r="H3991" s="2" t="s">
        <v>63</v>
      </c>
      <c r="I3991" s="2" t="s">
        <v>286</v>
      </c>
      <c r="J3991" s="2" t="s">
        <v>35</v>
      </c>
      <c r="K3991" s="2" t="s">
        <v>30059</v>
      </c>
      <c r="L3991" s="2" t="s">
        <v>286</v>
      </c>
      <c r="M3991" s="2" t="s">
        <v>30060</v>
      </c>
      <c r="N3991" s="2" t="s">
        <v>30061</v>
      </c>
      <c r="O3991" s="2" t="s">
        <v>30062</v>
      </c>
      <c r="P3991" s="2" t="s">
        <v>37</v>
      </c>
      <c r="Q3991" s="4" t="n">
        <v>8099</v>
      </c>
      <c r="R3991" s="2" t="s">
        <v>1448</v>
      </c>
      <c r="S3991" s="2" t="s">
        <v>39</v>
      </c>
      <c r="T3991" s="2" t="s">
        <v>40</v>
      </c>
      <c r="U3991" s="2" t="s">
        <v>30063</v>
      </c>
      <c r="V3991" s="2"/>
      <c r="W3991" s="2" t="s">
        <v>4487</v>
      </c>
      <c r="X3991" s="2" t="s">
        <v>46</v>
      </c>
      <c r="Y3991" s="2" t="s">
        <v>37</v>
      </c>
      <c r="Z3991" s="2" t="s">
        <v>44</v>
      </c>
      <c r="AA3991" s="2"/>
      <c r="AB3991" s="2" t="s">
        <v>30064</v>
      </c>
      <c r="AC3991" s="2" t="s">
        <v>30065</v>
      </c>
      <c r="AD3991" s="2" t="s">
        <v>46</v>
      </c>
    </row>
    <row r="3992" customFormat="false" ht="15.7" hidden="false" customHeight="true" outlineLevel="0" collapsed="false">
      <c r="A3992" s="2"/>
      <c r="B3992" s="3" t="n">
        <f aca="false">DATE(2019,1,8)</f>
        <v>0</v>
      </c>
      <c r="C3992" s="3" t="n">
        <v>43473</v>
      </c>
      <c r="D3992" s="2" t="s">
        <v>30066</v>
      </c>
      <c r="F3992" s="2" t="s">
        <v>30067</v>
      </c>
      <c r="G3992" s="2" t="s">
        <v>30068</v>
      </c>
      <c r="H3992" s="2" t="s">
        <v>30069</v>
      </c>
      <c r="I3992" s="2" t="s">
        <v>3265</v>
      </c>
      <c r="J3992" s="2" t="s">
        <v>1897</v>
      </c>
      <c r="K3992" s="2" t="s">
        <v>30066</v>
      </c>
      <c r="L3992" s="2" t="s">
        <v>3265</v>
      </c>
      <c r="M3992" s="2" t="s">
        <v>30069</v>
      </c>
      <c r="N3992" s="2" t="s">
        <v>30070</v>
      </c>
      <c r="O3992" s="2"/>
      <c r="P3992" s="2" t="s">
        <v>37</v>
      </c>
      <c r="Q3992" s="4" t="n">
        <v>8731</v>
      </c>
      <c r="R3992" s="2" t="s">
        <v>402</v>
      </c>
      <c r="S3992" s="2" t="s">
        <v>39</v>
      </c>
      <c r="T3992" s="2" t="s">
        <v>40</v>
      </c>
      <c r="U3992" s="2" t="s">
        <v>30071</v>
      </c>
      <c r="V3992" s="2"/>
      <c r="W3992" s="2" t="s">
        <v>42</v>
      </c>
      <c r="X3992" s="2" t="s">
        <v>43</v>
      </c>
      <c r="Y3992" s="2" t="s">
        <v>37</v>
      </c>
      <c r="Z3992" s="2" t="s">
        <v>44</v>
      </c>
      <c r="AA3992" s="2"/>
      <c r="AB3992" s="2"/>
      <c r="AC3992" s="2" t="s">
        <v>30072</v>
      </c>
      <c r="AD3992" s="2" t="s">
        <v>46</v>
      </c>
    </row>
    <row r="3993" customFormat="false" ht="15.7" hidden="false" customHeight="true" outlineLevel="0" collapsed="false">
      <c r="A3993" s="2"/>
      <c r="B3993" s="3" t="n">
        <f aca="false">DATE(2019,1,8)</f>
        <v>0</v>
      </c>
      <c r="C3993" s="3" t="n">
        <v>43473</v>
      </c>
      <c r="D3993" s="2" t="s">
        <v>30073</v>
      </c>
      <c r="F3993" s="2" t="s">
        <v>22869</v>
      </c>
      <c r="G3993" s="2" t="s">
        <v>30074</v>
      </c>
      <c r="H3993" s="2" t="s">
        <v>16129</v>
      </c>
      <c r="I3993" s="2" t="s">
        <v>51</v>
      </c>
      <c r="J3993" s="2" t="s">
        <v>30075</v>
      </c>
      <c r="K3993" s="2" t="s">
        <v>30073</v>
      </c>
      <c r="L3993" s="2" t="s">
        <v>51</v>
      </c>
      <c r="M3993" s="2" t="s">
        <v>16129</v>
      </c>
      <c r="N3993" s="2" t="s">
        <v>30076</v>
      </c>
      <c r="O3993" s="2"/>
      <c r="P3993" s="2" t="s">
        <v>79</v>
      </c>
      <c r="Q3993" s="4" t="n">
        <v>6794</v>
      </c>
      <c r="R3993" s="2" t="s">
        <v>56</v>
      </c>
      <c r="S3993" s="2"/>
      <c r="T3993" s="2" t="s">
        <v>40</v>
      </c>
      <c r="U3993" s="2" t="s">
        <v>30077</v>
      </c>
      <c r="V3993" s="2"/>
      <c r="W3993" s="2" t="s">
        <v>82</v>
      </c>
      <c r="X3993" s="2" t="s">
        <v>43</v>
      </c>
      <c r="Y3993" s="2" t="s">
        <v>37</v>
      </c>
      <c r="Z3993" s="2" t="s">
        <v>44</v>
      </c>
      <c r="AA3993" s="2"/>
      <c r="AB3993" s="2"/>
      <c r="AC3993" s="2" t="s">
        <v>30078</v>
      </c>
      <c r="AD3993" s="2" t="s">
        <v>46</v>
      </c>
    </row>
    <row r="3994" customFormat="false" ht="15.7" hidden="false" customHeight="true" outlineLevel="0" collapsed="false">
      <c r="A3994" s="2"/>
      <c r="B3994" s="3" t="n">
        <f aca="false">DATE(2019,1,8)</f>
        <v>0</v>
      </c>
      <c r="C3994" s="3" t="n">
        <v>43473</v>
      </c>
      <c r="D3994" s="2" t="s">
        <v>30079</v>
      </c>
      <c r="F3994" s="2" t="s">
        <v>30080</v>
      </c>
      <c r="G3994" s="2" t="s">
        <v>30081</v>
      </c>
      <c r="H3994" s="2" t="s">
        <v>27604</v>
      </c>
      <c r="I3994" s="2" t="s">
        <v>6945</v>
      </c>
      <c r="J3994" s="2" t="s">
        <v>35</v>
      </c>
      <c r="K3994" s="2" t="s">
        <v>30079</v>
      </c>
      <c r="L3994" s="2" t="s">
        <v>6945</v>
      </c>
      <c r="M3994" s="2" t="s">
        <v>30082</v>
      </c>
      <c r="N3994" s="2" t="s">
        <v>30083</v>
      </c>
      <c r="O3994" s="2"/>
      <c r="P3994" s="2" t="s">
        <v>37</v>
      </c>
      <c r="Q3994" s="4" t="n">
        <v>8731</v>
      </c>
      <c r="R3994" s="2" t="s">
        <v>136</v>
      </c>
      <c r="S3994" s="2" t="s">
        <v>39</v>
      </c>
      <c r="T3994" s="2" t="s">
        <v>40</v>
      </c>
      <c r="U3994" s="2" t="s">
        <v>30084</v>
      </c>
      <c r="V3994" s="2"/>
      <c r="W3994" s="2" t="s">
        <v>10841</v>
      </c>
      <c r="X3994" s="2" t="s">
        <v>43</v>
      </c>
      <c r="Y3994" s="2" t="s">
        <v>37</v>
      </c>
      <c r="Z3994" s="2" t="s">
        <v>44</v>
      </c>
      <c r="AA3994" s="2"/>
      <c r="AB3994" s="2"/>
      <c r="AC3994" s="2" t="s">
        <v>30085</v>
      </c>
      <c r="AD3994" s="2" t="s">
        <v>46</v>
      </c>
    </row>
    <row r="3995" customFormat="false" ht="15.7" hidden="false" customHeight="true" outlineLevel="0" collapsed="false">
      <c r="A3995" s="2"/>
      <c r="B3995" s="3" t="n">
        <f aca="false">DATE(2019,1,8)</f>
        <v>0</v>
      </c>
      <c r="C3995" s="3" t="n">
        <v>43473</v>
      </c>
      <c r="D3995" s="2" t="s">
        <v>30086</v>
      </c>
      <c r="F3995" s="2" t="s">
        <v>30087</v>
      </c>
      <c r="G3995" s="2" t="s">
        <v>30088</v>
      </c>
      <c r="H3995" s="2" t="s">
        <v>4803</v>
      </c>
      <c r="I3995" s="2" t="s">
        <v>51</v>
      </c>
      <c r="J3995" s="2" t="s">
        <v>30089</v>
      </c>
      <c r="K3995" s="2" t="s">
        <v>30086</v>
      </c>
      <c r="L3995" s="2" t="s">
        <v>51</v>
      </c>
      <c r="M3995" s="2" t="s">
        <v>4803</v>
      </c>
      <c r="N3995" s="2" t="s">
        <v>30090</v>
      </c>
      <c r="O3995" s="2"/>
      <c r="P3995" s="2" t="s">
        <v>79</v>
      </c>
      <c r="Q3995" s="4" t="n">
        <v>6794</v>
      </c>
      <c r="R3995" s="2" t="s">
        <v>56</v>
      </c>
      <c r="S3995" s="2"/>
      <c r="T3995" s="2" t="s">
        <v>40</v>
      </c>
      <c r="U3995" s="2" t="s">
        <v>30091</v>
      </c>
      <c r="V3995" s="2"/>
      <c r="W3995" s="2" t="s">
        <v>82</v>
      </c>
      <c r="X3995" s="2" t="s">
        <v>43</v>
      </c>
      <c r="Y3995" s="2" t="s">
        <v>37</v>
      </c>
      <c r="Z3995" s="2" t="s">
        <v>44</v>
      </c>
      <c r="AA3995" s="2"/>
      <c r="AB3995" s="2"/>
      <c r="AC3995" s="2" t="s">
        <v>30092</v>
      </c>
      <c r="AD3995" s="2" t="s">
        <v>46</v>
      </c>
    </row>
    <row r="3996" customFormat="false" ht="15.7" hidden="false" customHeight="true" outlineLevel="0" collapsed="false">
      <c r="A3996" s="2"/>
      <c r="B3996" s="3" t="n">
        <f aca="false">DATE(2019,1,9)</f>
        <v>0</v>
      </c>
      <c r="C3996" s="3" t="n">
        <v>43474</v>
      </c>
      <c r="D3996" s="2" t="s">
        <v>30093</v>
      </c>
      <c r="F3996" s="2" t="s">
        <v>17957</v>
      </c>
      <c r="G3996" s="2" t="s">
        <v>30094</v>
      </c>
      <c r="H3996" s="2" t="s">
        <v>1020</v>
      </c>
      <c r="I3996" s="2" t="s">
        <v>51</v>
      </c>
      <c r="J3996" s="2" t="s">
        <v>1001</v>
      </c>
      <c r="K3996" s="2" t="s">
        <v>30093</v>
      </c>
      <c r="L3996" s="2" t="s">
        <v>51</v>
      </c>
      <c r="M3996" s="2" t="s">
        <v>1020</v>
      </c>
      <c r="N3996" s="2" t="s">
        <v>30095</v>
      </c>
      <c r="O3996" s="2"/>
      <c r="P3996" s="2" t="s">
        <v>37</v>
      </c>
      <c r="Q3996" s="4" t="n">
        <v>8731</v>
      </c>
      <c r="R3996" s="2" t="s">
        <v>56</v>
      </c>
      <c r="S3996" s="2"/>
      <c r="T3996" s="2" t="s">
        <v>40</v>
      </c>
      <c r="U3996" s="2" t="s">
        <v>30096</v>
      </c>
      <c r="V3996" s="2"/>
      <c r="W3996" s="2" t="s">
        <v>42</v>
      </c>
      <c r="X3996" s="2" t="s">
        <v>43</v>
      </c>
      <c r="Y3996" s="2" t="s">
        <v>37</v>
      </c>
      <c r="Z3996" s="2" t="s">
        <v>44</v>
      </c>
      <c r="AA3996" s="2"/>
      <c r="AB3996" s="2"/>
      <c r="AC3996" s="2" t="s">
        <v>30097</v>
      </c>
      <c r="AD3996" s="2" t="s">
        <v>46</v>
      </c>
    </row>
    <row r="3997" customFormat="false" ht="15.7" hidden="false" customHeight="true" outlineLevel="0" collapsed="false">
      <c r="A3997" s="2"/>
      <c r="B3997" s="3" t="n">
        <f aca="false">DATE(2019,1,9)</f>
        <v>0</v>
      </c>
      <c r="C3997" s="3" t="n">
        <v>43474</v>
      </c>
      <c r="D3997" s="2" t="s">
        <v>30098</v>
      </c>
      <c r="F3997" s="2" t="s">
        <v>30099</v>
      </c>
      <c r="G3997" s="2" t="s">
        <v>30100</v>
      </c>
      <c r="H3997" s="2" t="s">
        <v>1027</v>
      </c>
      <c r="I3997" s="2" t="s">
        <v>568</v>
      </c>
      <c r="J3997" s="2" t="s">
        <v>671</v>
      </c>
      <c r="K3997" s="2" t="s">
        <v>30098</v>
      </c>
      <c r="L3997" s="2" t="s">
        <v>568</v>
      </c>
      <c r="M3997" s="2" t="s">
        <v>1027</v>
      </c>
      <c r="N3997" s="2" t="s">
        <v>30101</v>
      </c>
      <c r="O3997" s="2"/>
      <c r="P3997" s="2" t="s">
        <v>37</v>
      </c>
      <c r="Q3997" s="4" t="n">
        <v>8731</v>
      </c>
      <c r="R3997" s="2" t="s">
        <v>136</v>
      </c>
      <c r="S3997" s="2" t="s">
        <v>39</v>
      </c>
      <c r="T3997" s="2" t="s">
        <v>40</v>
      </c>
      <c r="U3997" s="2" t="s">
        <v>30102</v>
      </c>
      <c r="V3997" s="2"/>
      <c r="W3997" s="2" t="s">
        <v>42</v>
      </c>
      <c r="X3997" s="2" t="s">
        <v>43</v>
      </c>
      <c r="Y3997" s="2" t="s">
        <v>37</v>
      </c>
      <c r="Z3997" s="2" t="s">
        <v>44</v>
      </c>
      <c r="AA3997" s="2"/>
      <c r="AB3997" s="2"/>
      <c r="AC3997" s="2" t="s">
        <v>30103</v>
      </c>
      <c r="AD3997" s="2" t="s">
        <v>46</v>
      </c>
    </row>
    <row r="3998" customFormat="false" ht="15.7" hidden="false" customHeight="true" outlineLevel="0" collapsed="false">
      <c r="A3998" s="2"/>
      <c r="B3998" s="3" t="n">
        <f aca="false">DATE(2019,1,9)</f>
        <v>0</v>
      </c>
      <c r="C3998" s="3" t="n">
        <v>43474</v>
      </c>
      <c r="D3998" s="2" t="s">
        <v>30104</v>
      </c>
      <c r="F3998" s="2" t="s">
        <v>30105</v>
      </c>
      <c r="G3998" s="2" t="s">
        <v>30106</v>
      </c>
      <c r="H3998" s="2" t="s">
        <v>1495</v>
      </c>
      <c r="I3998" s="2" t="s">
        <v>540</v>
      </c>
      <c r="J3998" s="2" t="s">
        <v>35</v>
      </c>
      <c r="K3998" s="2" t="s">
        <v>30104</v>
      </c>
      <c r="L3998" s="2" t="s">
        <v>540</v>
      </c>
      <c r="M3998" s="2" t="s">
        <v>1495</v>
      </c>
      <c r="N3998" s="2" t="s">
        <v>30107</v>
      </c>
      <c r="O3998" s="2"/>
      <c r="P3998" s="2" t="s">
        <v>37</v>
      </c>
      <c r="Q3998" s="4" t="n">
        <v>8099</v>
      </c>
      <c r="R3998" s="2" t="s">
        <v>56</v>
      </c>
      <c r="S3998" s="2"/>
      <c r="T3998" s="2" t="s">
        <v>40</v>
      </c>
      <c r="U3998" s="2" t="s">
        <v>30108</v>
      </c>
      <c r="V3998" s="2"/>
      <c r="W3998" s="2" t="s">
        <v>4487</v>
      </c>
      <c r="X3998" s="2" t="s">
        <v>46</v>
      </c>
      <c r="Y3998" s="2" t="s">
        <v>37</v>
      </c>
      <c r="Z3998" s="2" t="s">
        <v>44</v>
      </c>
      <c r="AA3998" s="2" t="s">
        <v>30109</v>
      </c>
      <c r="AB3998" s="2"/>
      <c r="AC3998" s="2" t="s">
        <v>30110</v>
      </c>
      <c r="AD3998" s="2" t="s">
        <v>46</v>
      </c>
    </row>
    <row r="3999" customFormat="false" ht="15.7" hidden="false" customHeight="true" outlineLevel="0" collapsed="false">
      <c r="A3999" s="2"/>
      <c r="B3999" s="3" t="n">
        <f aca="false">DATE(2019,1,10)</f>
        <v>0</v>
      </c>
      <c r="C3999" s="3" t="n">
        <v>43475</v>
      </c>
      <c r="D3999" s="2" t="s">
        <v>30111</v>
      </c>
      <c r="F3999" s="2" t="s">
        <v>30112</v>
      </c>
      <c r="G3999" s="2" t="s">
        <v>30113</v>
      </c>
      <c r="H3999" s="2" t="s">
        <v>30114</v>
      </c>
      <c r="I3999" s="2" t="s">
        <v>5102</v>
      </c>
      <c r="J3999" s="2" t="s">
        <v>35</v>
      </c>
      <c r="K3999" s="2" t="s">
        <v>30111</v>
      </c>
      <c r="L3999" s="2" t="s">
        <v>5102</v>
      </c>
      <c r="M3999" s="2" t="s">
        <v>30114</v>
      </c>
      <c r="N3999" s="2" t="s">
        <v>30115</v>
      </c>
      <c r="O3999" s="2"/>
      <c r="P3999" s="2" t="s">
        <v>37</v>
      </c>
      <c r="Q3999" s="4" t="n">
        <v>8731</v>
      </c>
      <c r="R3999" s="2" t="s">
        <v>70</v>
      </c>
      <c r="S3999" s="2" t="s">
        <v>39</v>
      </c>
      <c r="T3999" s="2" t="s">
        <v>40</v>
      </c>
      <c r="U3999" s="2" t="s">
        <v>30116</v>
      </c>
      <c r="V3999" s="2"/>
      <c r="W3999" s="2" t="s">
        <v>42</v>
      </c>
      <c r="X3999" s="2" t="s">
        <v>43</v>
      </c>
      <c r="Y3999" s="2" t="s">
        <v>37</v>
      </c>
      <c r="Z3999" s="2" t="s">
        <v>44</v>
      </c>
      <c r="AA3999" s="2"/>
      <c r="AB3999" s="2"/>
      <c r="AC3999" s="2" t="s">
        <v>30117</v>
      </c>
      <c r="AD3999" s="2" t="s">
        <v>46</v>
      </c>
    </row>
    <row r="4000" customFormat="false" ht="15.7" hidden="false" customHeight="true" outlineLevel="0" collapsed="false">
      <c r="A4000" s="2"/>
      <c r="B4000" s="3" t="n">
        <f aca="false">DATE(2019,1,11)</f>
        <v>0</v>
      </c>
      <c r="C4000" s="3" t="n">
        <v>43476</v>
      </c>
      <c r="D4000" s="2" t="s">
        <v>30118</v>
      </c>
      <c r="F4000" s="2" t="s">
        <v>22407</v>
      </c>
      <c r="G4000" s="2" t="s">
        <v>30119</v>
      </c>
      <c r="H4000" s="2" t="s">
        <v>762</v>
      </c>
      <c r="I4000" s="2" t="s">
        <v>51</v>
      </c>
      <c r="J4000" s="2" t="s">
        <v>2190</v>
      </c>
      <c r="K4000" s="2" t="s">
        <v>30118</v>
      </c>
      <c r="L4000" s="2" t="s">
        <v>51</v>
      </c>
      <c r="M4000" s="2" t="s">
        <v>762</v>
      </c>
      <c r="N4000" s="2" t="s">
        <v>30120</v>
      </c>
      <c r="O4000" s="2"/>
      <c r="P4000" s="2" t="s">
        <v>37</v>
      </c>
      <c r="Q4000" s="4" t="n">
        <v>7372</v>
      </c>
      <c r="R4000" s="2" t="s">
        <v>56</v>
      </c>
      <c r="S4000" s="2"/>
      <c r="T4000" s="2" t="s">
        <v>40</v>
      </c>
      <c r="U4000" s="2" t="s">
        <v>30121</v>
      </c>
      <c r="V4000" s="2"/>
      <c r="W4000" s="2" t="s">
        <v>27767</v>
      </c>
      <c r="X4000" s="2" t="s">
        <v>43</v>
      </c>
      <c r="Y4000" s="2" t="s">
        <v>37</v>
      </c>
      <c r="Z4000" s="2" t="s">
        <v>44</v>
      </c>
      <c r="AA4000" s="2"/>
      <c r="AB4000" s="2"/>
      <c r="AC4000" s="2" t="s">
        <v>30122</v>
      </c>
      <c r="AD4000" s="2" t="s">
        <v>46</v>
      </c>
    </row>
    <row r="4001" customFormat="false" ht="15.7" hidden="false" customHeight="true" outlineLevel="0" collapsed="false">
      <c r="A4001" s="2"/>
      <c r="B4001" s="3" t="n">
        <f aca="false">DATE(2019,1,12)</f>
        <v>0</v>
      </c>
      <c r="C4001" s="3" t="n">
        <v>43477</v>
      </c>
      <c r="D4001" s="2" t="s">
        <v>30123</v>
      </c>
      <c r="F4001" s="2" t="s">
        <v>30124</v>
      </c>
      <c r="G4001" s="2" t="s">
        <v>30125</v>
      </c>
      <c r="H4001" s="2" t="s">
        <v>30126</v>
      </c>
      <c r="I4001" s="2" t="s">
        <v>296</v>
      </c>
      <c r="J4001" s="2" t="s">
        <v>65</v>
      </c>
      <c r="K4001" s="2" t="s">
        <v>30123</v>
      </c>
      <c r="L4001" s="2" t="s">
        <v>296</v>
      </c>
      <c r="M4001" s="2" t="s">
        <v>27574</v>
      </c>
      <c r="N4001" s="2" t="s">
        <v>30127</v>
      </c>
      <c r="O4001" s="2"/>
      <c r="P4001" s="2" t="s">
        <v>37</v>
      </c>
      <c r="Q4001" s="4" t="n">
        <v>8731</v>
      </c>
      <c r="R4001" s="2" t="s">
        <v>1448</v>
      </c>
      <c r="S4001" s="2" t="s">
        <v>39</v>
      </c>
      <c r="T4001" s="2" t="s">
        <v>40</v>
      </c>
      <c r="U4001" s="2" t="s">
        <v>30128</v>
      </c>
      <c r="V4001" s="2"/>
      <c r="W4001" s="2" t="s">
        <v>138</v>
      </c>
      <c r="X4001" s="2" t="s">
        <v>43</v>
      </c>
      <c r="Y4001" s="2" t="s">
        <v>37</v>
      </c>
      <c r="Z4001" s="2" t="s">
        <v>44</v>
      </c>
      <c r="AA4001" s="2"/>
      <c r="AB4001" s="2"/>
      <c r="AC4001" s="2" t="s">
        <v>30129</v>
      </c>
      <c r="AD4001" s="2" t="s">
        <v>46</v>
      </c>
    </row>
    <row r="4002" customFormat="false" ht="15.7" hidden="false" customHeight="true" outlineLevel="0" collapsed="false">
      <c r="A4002" s="2"/>
      <c r="B4002" s="3" t="n">
        <f aca="false">DATE(2019,1,13)</f>
        <v>0</v>
      </c>
      <c r="C4002" s="3" t="n">
        <v>43478</v>
      </c>
      <c r="D4002" s="2" t="s">
        <v>30130</v>
      </c>
      <c r="F4002" s="2" t="s">
        <v>17277</v>
      </c>
      <c r="G4002" s="2" t="s">
        <v>30131</v>
      </c>
      <c r="H4002" s="2" t="s">
        <v>523</v>
      </c>
      <c r="I4002" s="2" t="s">
        <v>4325</v>
      </c>
      <c r="J4002" s="2" t="s">
        <v>35</v>
      </c>
      <c r="K4002" s="2" t="s">
        <v>30132</v>
      </c>
      <c r="L4002" s="2" t="s">
        <v>4325</v>
      </c>
      <c r="M4002" s="2" t="s">
        <v>523</v>
      </c>
      <c r="N4002" s="2" t="s">
        <v>30133</v>
      </c>
      <c r="O4002" s="2"/>
      <c r="P4002" s="2" t="s">
        <v>79</v>
      </c>
      <c r="Q4002" s="4" t="n">
        <v>6794</v>
      </c>
      <c r="R4002" s="2" t="s">
        <v>402</v>
      </c>
      <c r="S4002" s="2" t="s">
        <v>39</v>
      </c>
      <c r="T4002" s="2" t="s">
        <v>40</v>
      </c>
      <c r="U4002" s="2" t="s">
        <v>30134</v>
      </c>
      <c r="V4002" s="2"/>
      <c r="W4002" s="2" t="s">
        <v>206</v>
      </c>
      <c r="X4002" s="2" t="s">
        <v>43</v>
      </c>
      <c r="Y4002" s="2" t="s">
        <v>37</v>
      </c>
      <c r="Z4002" s="2" t="s">
        <v>44</v>
      </c>
      <c r="AA4002" s="2"/>
      <c r="AB4002" s="2"/>
      <c r="AC4002" s="2" t="s">
        <v>30135</v>
      </c>
      <c r="AD4002" s="2" t="s">
        <v>46</v>
      </c>
    </row>
    <row r="4003" customFormat="false" ht="15.7" hidden="false" customHeight="true" outlineLevel="0" collapsed="false">
      <c r="A4003" s="2"/>
      <c r="B4003" s="3" t="n">
        <f aca="false">DATE(2019,1,15)</f>
        <v>0</v>
      </c>
      <c r="C4003" s="3" t="n">
        <v>43480</v>
      </c>
      <c r="D4003" s="2" t="s">
        <v>30136</v>
      </c>
      <c r="F4003" s="2" t="s">
        <v>30137</v>
      </c>
      <c r="G4003" s="2" t="s">
        <v>30138</v>
      </c>
      <c r="H4003" s="2" t="s">
        <v>582</v>
      </c>
      <c r="I4003" s="2" t="s">
        <v>487</v>
      </c>
      <c r="J4003" s="2" t="s">
        <v>8615</v>
      </c>
      <c r="K4003" s="2" t="s">
        <v>30136</v>
      </c>
      <c r="L4003" s="2" t="s">
        <v>487</v>
      </c>
      <c r="M4003" s="2" t="s">
        <v>582</v>
      </c>
      <c r="N4003" s="2" t="s">
        <v>30139</v>
      </c>
      <c r="O4003" s="2"/>
      <c r="P4003" s="2" t="s">
        <v>37</v>
      </c>
      <c r="Q4003" s="4" t="n">
        <v>8731</v>
      </c>
      <c r="R4003" s="2"/>
      <c r="S4003" s="2"/>
      <c r="T4003" s="2" t="s">
        <v>40</v>
      </c>
      <c r="U4003" s="2" t="s">
        <v>30140</v>
      </c>
      <c r="V4003" s="2"/>
      <c r="W4003" s="2" t="s">
        <v>42</v>
      </c>
      <c r="X4003" s="2" t="s">
        <v>43</v>
      </c>
      <c r="Y4003" s="2" t="s">
        <v>37</v>
      </c>
      <c r="Z4003" s="2" t="s">
        <v>44</v>
      </c>
      <c r="AA4003" s="2"/>
      <c r="AB4003" s="2"/>
      <c r="AC4003" s="2" t="s">
        <v>30141</v>
      </c>
      <c r="AD4003" s="2" t="s">
        <v>46</v>
      </c>
    </row>
    <row r="4004" customFormat="false" ht="15.7" hidden="false" customHeight="true" outlineLevel="0" collapsed="false">
      <c r="A4004" s="2"/>
      <c r="B4004" s="3" t="n">
        <f aca="false">DATE(2019,1,15)</f>
        <v>0</v>
      </c>
      <c r="C4004" s="3" t="n">
        <v>43480</v>
      </c>
      <c r="D4004" s="2" t="s">
        <v>30142</v>
      </c>
      <c r="F4004" s="2" t="s">
        <v>20650</v>
      </c>
      <c r="G4004" s="2" t="s">
        <v>30143</v>
      </c>
      <c r="H4004" s="2" t="s">
        <v>130</v>
      </c>
      <c r="I4004" s="2" t="s">
        <v>131</v>
      </c>
      <c r="J4004" s="2" t="s">
        <v>795</v>
      </c>
      <c r="K4004" s="2" t="s">
        <v>30144</v>
      </c>
      <c r="L4004" s="2" t="s">
        <v>30145</v>
      </c>
      <c r="M4004" s="2" t="s">
        <v>130</v>
      </c>
      <c r="N4004" s="2" t="s">
        <v>30146</v>
      </c>
      <c r="O4004" s="2"/>
      <c r="P4004" s="2" t="s">
        <v>37</v>
      </c>
      <c r="Q4004" s="4" t="n">
        <v>8731</v>
      </c>
      <c r="R4004" s="2"/>
      <c r="S4004" s="2"/>
      <c r="T4004" s="2" t="s">
        <v>40</v>
      </c>
      <c r="U4004" s="2" t="s">
        <v>30147</v>
      </c>
      <c r="V4004" s="2"/>
      <c r="W4004" s="2" t="s">
        <v>42</v>
      </c>
      <c r="X4004" s="2" t="s">
        <v>43</v>
      </c>
      <c r="Y4004" s="2" t="s">
        <v>37</v>
      </c>
      <c r="Z4004" s="2" t="s">
        <v>44</v>
      </c>
      <c r="AA4004" s="2"/>
      <c r="AB4004" s="2"/>
      <c r="AC4004" s="2" t="s">
        <v>30148</v>
      </c>
      <c r="AD4004" s="2" t="s">
        <v>46</v>
      </c>
    </row>
    <row r="4005" customFormat="false" ht="15.7" hidden="false" customHeight="true" outlineLevel="0" collapsed="false">
      <c r="A4005" s="2"/>
      <c r="B4005" s="3" t="n">
        <f aca="false">DATE(2019,1,15)</f>
        <v>0</v>
      </c>
      <c r="C4005" s="3" t="n">
        <v>43480</v>
      </c>
      <c r="D4005" s="2" t="s">
        <v>30149</v>
      </c>
      <c r="F4005" s="2" t="s">
        <v>30150</v>
      </c>
      <c r="G4005" s="2" t="s">
        <v>30151</v>
      </c>
      <c r="H4005" s="2" t="s">
        <v>24696</v>
      </c>
      <c r="I4005" s="2" t="s">
        <v>3103</v>
      </c>
      <c r="J4005" s="2" t="s">
        <v>65</v>
      </c>
      <c r="K4005" s="2" t="s">
        <v>30152</v>
      </c>
      <c r="L4005" s="2" t="s">
        <v>3103</v>
      </c>
      <c r="M4005" s="2" t="s">
        <v>30153</v>
      </c>
      <c r="N4005" s="2" t="s">
        <v>30154</v>
      </c>
      <c r="O4005" s="2"/>
      <c r="P4005" s="2" t="s">
        <v>37</v>
      </c>
      <c r="Q4005" s="4" t="n">
        <v>6794</v>
      </c>
      <c r="R4005" s="2" t="s">
        <v>136</v>
      </c>
      <c r="S4005" s="2" t="s">
        <v>39</v>
      </c>
      <c r="T4005" s="2" t="s">
        <v>40</v>
      </c>
      <c r="U4005" s="2" t="s">
        <v>30155</v>
      </c>
      <c r="V4005" s="2"/>
      <c r="W4005" s="2" t="s">
        <v>15545</v>
      </c>
      <c r="X4005" s="2" t="s">
        <v>43</v>
      </c>
      <c r="Y4005" s="2" t="s">
        <v>37</v>
      </c>
      <c r="Z4005" s="2" t="s">
        <v>44</v>
      </c>
      <c r="AA4005" s="2"/>
      <c r="AB4005" s="2"/>
      <c r="AC4005" s="2" t="s">
        <v>30156</v>
      </c>
      <c r="AD4005" s="2" t="s">
        <v>46</v>
      </c>
    </row>
    <row r="4006" customFormat="false" ht="15.7" hidden="false" customHeight="true" outlineLevel="0" collapsed="false">
      <c r="A4006" s="2"/>
      <c r="B4006" s="3" t="n">
        <f aca="false">DATE(2019,1,16)</f>
        <v>0</v>
      </c>
      <c r="C4006" s="3" t="n">
        <v>43481</v>
      </c>
      <c r="D4006" s="2" t="s">
        <v>30157</v>
      </c>
      <c r="F4006" s="2" t="s">
        <v>30158</v>
      </c>
      <c r="G4006" s="2" t="s">
        <v>30159</v>
      </c>
      <c r="H4006" s="2" t="s">
        <v>5687</v>
      </c>
      <c r="I4006" s="2" t="s">
        <v>1953</v>
      </c>
      <c r="J4006" s="2" t="s">
        <v>35</v>
      </c>
      <c r="K4006" s="2" t="s">
        <v>30160</v>
      </c>
      <c r="L4006" s="2" t="s">
        <v>1953</v>
      </c>
      <c r="M4006" s="2" t="s">
        <v>5687</v>
      </c>
      <c r="N4006" s="2" t="s">
        <v>30161</v>
      </c>
      <c r="O4006" s="2"/>
      <c r="P4006" s="2" t="s">
        <v>37</v>
      </c>
      <c r="Q4006" s="4" t="n">
        <v>8731</v>
      </c>
      <c r="R4006" s="2"/>
      <c r="S4006" s="2"/>
      <c r="T4006" s="2" t="s">
        <v>40</v>
      </c>
      <c r="U4006" s="2" t="s">
        <v>30162</v>
      </c>
      <c r="V4006" s="2"/>
      <c r="W4006" s="2" t="s">
        <v>42</v>
      </c>
      <c r="X4006" s="2" t="s">
        <v>43</v>
      </c>
      <c r="Y4006" s="2" t="s">
        <v>37</v>
      </c>
      <c r="Z4006" s="2" t="s">
        <v>44</v>
      </c>
      <c r="AA4006" s="2"/>
      <c r="AB4006" s="2"/>
      <c r="AC4006" s="2" t="s">
        <v>30163</v>
      </c>
      <c r="AD4006" s="2" t="s">
        <v>46</v>
      </c>
    </row>
    <row r="4007" customFormat="false" ht="15.7" hidden="false" customHeight="true" outlineLevel="0" collapsed="false">
      <c r="A4007" s="2"/>
      <c r="B4007" s="3" t="n">
        <f aca="false">DATE(2019,1,17)</f>
        <v>0</v>
      </c>
      <c r="C4007" s="3" t="n">
        <v>43482</v>
      </c>
      <c r="D4007" s="2" t="s">
        <v>30164</v>
      </c>
      <c r="F4007" s="2" t="s">
        <v>30165</v>
      </c>
      <c r="G4007" s="2" t="s">
        <v>30166</v>
      </c>
      <c r="H4007" s="2" t="s">
        <v>30167</v>
      </c>
      <c r="I4007" s="2" t="s">
        <v>30168</v>
      </c>
      <c r="J4007" s="2" t="s">
        <v>35</v>
      </c>
      <c r="K4007" s="2" t="s">
        <v>30164</v>
      </c>
      <c r="L4007" s="2" t="s">
        <v>30168</v>
      </c>
      <c r="M4007" s="2" t="s">
        <v>30167</v>
      </c>
      <c r="N4007" s="2" t="s">
        <v>30169</v>
      </c>
      <c r="O4007" s="2"/>
      <c r="P4007" s="2" t="s">
        <v>37</v>
      </c>
      <c r="Q4007" s="4" t="n">
        <v>8731</v>
      </c>
      <c r="R4007" s="2" t="s">
        <v>11963</v>
      </c>
      <c r="S4007" s="2" t="s">
        <v>39</v>
      </c>
      <c r="T4007" s="2" t="s">
        <v>403</v>
      </c>
      <c r="U4007" s="2" t="s">
        <v>30170</v>
      </c>
      <c r="V4007" s="2"/>
      <c r="W4007" s="2" t="s">
        <v>11084</v>
      </c>
      <c r="X4007" s="2" t="s">
        <v>43</v>
      </c>
      <c r="Y4007" s="2" t="s">
        <v>37</v>
      </c>
      <c r="Z4007" s="2" t="s">
        <v>44</v>
      </c>
      <c r="AA4007" s="2"/>
      <c r="AB4007" s="2"/>
      <c r="AC4007" s="2" t="s">
        <v>30171</v>
      </c>
      <c r="AD4007" s="2" t="s">
        <v>46</v>
      </c>
    </row>
    <row r="4008" customFormat="false" ht="15.7" hidden="false" customHeight="true" outlineLevel="0" collapsed="false">
      <c r="A4008" s="2"/>
      <c r="B4008" s="3" t="n">
        <f aca="false">DATE(2019,1,17)</f>
        <v>0</v>
      </c>
      <c r="C4008" s="3" t="n">
        <v>43482</v>
      </c>
      <c r="D4008" s="2" t="s">
        <v>30172</v>
      </c>
      <c r="F4008" s="2" t="s">
        <v>30173</v>
      </c>
      <c r="G4008" s="2" t="s">
        <v>30174</v>
      </c>
      <c r="H4008" s="2" t="s">
        <v>30175</v>
      </c>
      <c r="I4008" s="2" t="s">
        <v>296</v>
      </c>
      <c r="J4008" s="2" t="s">
        <v>65</v>
      </c>
      <c r="K4008" s="2" t="s">
        <v>30172</v>
      </c>
      <c r="L4008" s="2" t="s">
        <v>296</v>
      </c>
      <c r="M4008" s="2" t="s">
        <v>30176</v>
      </c>
      <c r="N4008" s="2" t="s">
        <v>30177</v>
      </c>
      <c r="O4008" s="2"/>
      <c r="P4008" s="2" t="s">
        <v>37</v>
      </c>
      <c r="Q4008" s="4" t="n">
        <v>8731</v>
      </c>
      <c r="R4008" s="2" t="s">
        <v>56</v>
      </c>
      <c r="S4008" s="2"/>
      <c r="T4008" s="2" t="s">
        <v>403</v>
      </c>
      <c r="U4008" s="2" t="s">
        <v>30178</v>
      </c>
      <c r="V4008" s="2"/>
      <c r="W4008" s="2" t="s">
        <v>42</v>
      </c>
      <c r="X4008" s="2" t="s">
        <v>43</v>
      </c>
      <c r="Y4008" s="2" t="s">
        <v>37</v>
      </c>
      <c r="Z4008" s="2" t="s">
        <v>44</v>
      </c>
      <c r="AA4008" s="2"/>
      <c r="AB4008" s="2"/>
      <c r="AC4008" s="2" t="s">
        <v>30179</v>
      </c>
      <c r="AD4008" s="2" t="s">
        <v>46</v>
      </c>
    </row>
    <row r="4009" customFormat="false" ht="15.7" hidden="false" customHeight="true" outlineLevel="0" collapsed="false">
      <c r="A4009" s="2"/>
      <c r="B4009" s="3" t="n">
        <f aca="false">DATE(2019,1,21)</f>
        <v>0</v>
      </c>
      <c r="C4009" s="3" t="n">
        <v>43486</v>
      </c>
      <c r="D4009" s="2" t="s">
        <v>30180</v>
      </c>
      <c r="F4009" s="2" t="s">
        <v>30181</v>
      </c>
      <c r="G4009" s="2" t="s">
        <v>30182</v>
      </c>
      <c r="H4009" s="2" t="s">
        <v>30183</v>
      </c>
      <c r="I4009" s="2" t="s">
        <v>540</v>
      </c>
      <c r="J4009" s="2" t="s">
        <v>35</v>
      </c>
      <c r="K4009" s="2" t="s">
        <v>30180</v>
      </c>
      <c r="L4009" s="2" t="s">
        <v>540</v>
      </c>
      <c r="M4009" s="2" t="s">
        <v>30183</v>
      </c>
      <c r="N4009" s="2" t="s">
        <v>30184</v>
      </c>
      <c r="O4009" s="2"/>
      <c r="P4009" s="2" t="s">
        <v>37</v>
      </c>
      <c r="Q4009" s="4" t="n">
        <v>5099</v>
      </c>
      <c r="R4009" s="2" t="s">
        <v>1448</v>
      </c>
      <c r="S4009" s="2" t="s">
        <v>39</v>
      </c>
      <c r="T4009" s="2" t="s">
        <v>40</v>
      </c>
      <c r="U4009" s="2" t="s">
        <v>30185</v>
      </c>
      <c r="V4009" s="2"/>
      <c r="W4009" s="2" t="s">
        <v>13100</v>
      </c>
      <c r="X4009" s="2" t="s">
        <v>43</v>
      </c>
      <c r="Y4009" s="2" t="s">
        <v>37</v>
      </c>
      <c r="Z4009" s="2" t="s">
        <v>44</v>
      </c>
      <c r="AA4009" s="2"/>
      <c r="AB4009" s="2"/>
      <c r="AC4009" s="2" t="s">
        <v>30186</v>
      </c>
      <c r="AD4009" s="2" t="s">
        <v>46</v>
      </c>
    </row>
    <row r="4010" customFormat="false" ht="15.7" hidden="false" customHeight="true" outlineLevel="0" collapsed="false">
      <c r="A4010" s="2"/>
      <c r="B4010" s="3" t="n">
        <f aca="false">DATE(2019,1,21)</f>
        <v>0</v>
      </c>
      <c r="C4010" s="3" t="n">
        <v>43486</v>
      </c>
      <c r="D4010" s="2" t="s">
        <v>30187</v>
      </c>
      <c r="F4010" s="2" t="s">
        <v>30188</v>
      </c>
      <c r="G4010" s="2" t="s">
        <v>30189</v>
      </c>
      <c r="H4010" s="2" t="s">
        <v>30190</v>
      </c>
      <c r="I4010" s="2" t="s">
        <v>685</v>
      </c>
      <c r="J4010" s="2" t="s">
        <v>35</v>
      </c>
      <c r="K4010" s="2" t="s">
        <v>30191</v>
      </c>
      <c r="L4010" s="2" t="s">
        <v>685</v>
      </c>
      <c r="M4010" s="2" t="s">
        <v>30192</v>
      </c>
      <c r="N4010" s="2" t="s">
        <v>30193</v>
      </c>
      <c r="O4010" s="2"/>
      <c r="P4010" s="2" t="s">
        <v>37</v>
      </c>
      <c r="Q4010" s="4" t="n">
        <v>8731</v>
      </c>
      <c r="R4010" s="2" t="s">
        <v>688</v>
      </c>
      <c r="S4010" s="2" t="s">
        <v>39</v>
      </c>
      <c r="T4010" s="2" t="s">
        <v>40</v>
      </c>
      <c r="U4010" s="2" t="s">
        <v>30194</v>
      </c>
      <c r="V4010" s="2"/>
      <c r="W4010" s="2" t="s">
        <v>42</v>
      </c>
      <c r="X4010" s="2" t="s">
        <v>43</v>
      </c>
      <c r="Y4010" s="2" t="s">
        <v>37</v>
      </c>
      <c r="Z4010" s="2" t="s">
        <v>44</v>
      </c>
      <c r="AA4010" s="2"/>
      <c r="AB4010" s="2"/>
      <c r="AC4010" s="2" t="s">
        <v>30195</v>
      </c>
      <c r="AD4010" s="2" t="s">
        <v>46</v>
      </c>
    </row>
    <row r="4011" customFormat="false" ht="15.7" hidden="false" customHeight="true" outlineLevel="0" collapsed="false">
      <c r="A4011" s="2"/>
      <c r="B4011" s="3" t="n">
        <f aca="false">DATE(2019,1,22)</f>
        <v>0</v>
      </c>
      <c r="C4011" s="3" t="n">
        <v>43487</v>
      </c>
      <c r="D4011" s="2" t="s">
        <v>30196</v>
      </c>
      <c r="F4011" s="2" t="s">
        <v>30197</v>
      </c>
      <c r="G4011" s="2" t="s">
        <v>30198</v>
      </c>
      <c r="H4011" s="2" t="s">
        <v>30199</v>
      </c>
      <c r="I4011" s="2" t="s">
        <v>20792</v>
      </c>
      <c r="J4011" s="2" t="s">
        <v>35</v>
      </c>
      <c r="K4011" s="2" t="s">
        <v>30200</v>
      </c>
      <c r="L4011" s="2" t="s">
        <v>30201</v>
      </c>
      <c r="M4011" s="2" t="s">
        <v>30202</v>
      </c>
      <c r="N4011" s="2" t="s">
        <v>30203</v>
      </c>
      <c r="O4011" s="2"/>
      <c r="P4011" s="2" t="s">
        <v>37</v>
      </c>
      <c r="Q4011" s="4" t="n">
        <v>8731</v>
      </c>
      <c r="R4011" s="2" t="s">
        <v>2952</v>
      </c>
      <c r="S4011" s="2" t="s">
        <v>39</v>
      </c>
      <c r="T4011" s="2" t="s">
        <v>403</v>
      </c>
      <c r="U4011" s="2" t="s">
        <v>30204</v>
      </c>
      <c r="V4011" s="2"/>
      <c r="W4011" s="2" t="s">
        <v>42</v>
      </c>
      <c r="X4011" s="2" t="s">
        <v>43</v>
      </c>
      <c r="Y4011" s="2" t="s">
        <v>37</v>
      </c>
      <c r="Z4011" s="2" t="s">
        <v>44</v>
      </c>
      <c r="AA4011" s="2"/>
      <c r="AB4011" s="2"/>
      <c r="AC4011" s="2" t="s">
        <v>30205</v>
      </c>
      <c r="AD4011" s="2" t="s">
        <v>46</v>
      </c>
    </row>
    <row r="4012" customFormat="false" ht="15.7" hidden="false" customHeight="true" outlineLevel="0" collapsed="false">
      <c r="A4012" s="2"/>
      <c r="B4012" s="3" t="n">
        <f aca="false">DATE(2019,1,22)</f>
        <v>0</v>
      </c>
      <c r="C4012" s="3" t="n">
        <v>43487</v>
      </c>
      <c r="D4012" s="2" t="s">
        <v>30206</v>
      </c>
      <c r="F4012" s="2" t="s">
        <v>30207</v>
      </c>
      <c r="G4012" s="2" t="s">
        <v>30208</v>
      </c>
      <c r="H4012" s="2" t="s">
        <v>2857</v>
      </c>
      <c r="I4012" s="2" t="s">
        <v>17200</v>
      </c>
      <c r="J4012" s="2" t="s">
        <v>35</v>
      </c>
      <c r="K4012" s="2" t="s">
        <v>30206</v>
      </c>
      <c r="L4012" s="2" t="s">
        <v>17200</v>
      </c>
      <c r="M4012" s="2" t="s">
        <v>2857</v>
      </c>
      <c r="N4012" s="2" t="s">
        <v>30209</v>
      </c>
      <c r="O4012" s="2"/>
      <c r="P4012" s="2" t="s">
        <v>37</v>
      </c>
      <c r="Q4012" s="4" t="n">
        <v>1731</v>
      </c>
      <c r="R4012" s="2" t="s">
        <v>136</v>
      </c>
      <c r="S4012" s="2" t="s">
        <v>39</v>
      </c>
      <c r="T4012" s="2" t="s">
        <v>40</v>
      </c>
      <c r="U4012" s="2" t="s">
        <v>30210</v>
      </c>
      <c r="V4012" s="2"/>
      <c r="W4012" s="2" t="s">
        <v>27123</v>
      </c>
      <c r="X4012" s="2" t="s">
        <v>43</v>
      </c>
      <c r="Y4012" s="2" t="s">
        <v>37</v>
      </c>
      <c r="Z4012" s="2" t="s">
        <v>44</v>
      </c>
      <c r="AA4012" s="2"/>
      <c r="AB4012" s="2"/>
      <c r="AC4012" s="2" t="s">
        <v>30211</v>
      </c>
      <c r="AD4012" s="2" t="s">
        <v>46</v>
      </c>
    </row>
    <row r="4013" customFormat="false" ht="15.7" hidden="false" customHeight="true" outlineLevel="0" collapsed="false">
      <c r="A4013" s="2"/>
      <c r="B4013" s="3" t="n">
        <f aca="false">DATE(2019,1,23)</f>
        <v>0</v>
      </c>
      <c r="C4013" s="3" t="n">
        <v>43488</v>
      </c>
      <c r="D4013" s="2" t="s">
        <v>30212</v>
      </c>
      <c r="F4013" s="2" t="s">
        <v>30213</v>
      </c>
      <c r="G4013" s="2" t="s">
        <v>30214</v>
      </c>
      <c r="H4013" s="2" t="s">
        <v>30215</v>
      </c>
      <c r="I4013" s="2" t="s">
        <v>13151</v>
      </c>
      <c r="J4013" s="2" t="s">
        <v>35</v>
      </c>
      <c r="K4013" s="2" t="s">
        <v>30212</v>
      </c>
      <c r="L4013" s="2" t="s">
        <v>13151</v>
      </c>
      <c r="M4013" s="2" t="s">
        <v>30215</v>
      </c>
      <c r="N4013" s="2" t="s">
        <v>30216</v>
      </c>
      <c r="O4013" s="2"/>
      <c r="P4013" s="2" t="s">
        <v>37</v>
      </c>
      <c r="Q4013" s="4" t="n">
        <v>8731</v>
      </c>
      <c r="R4013" s="2" t="s">
        <v>402</v>
      </c>
      <c r="S4013" s="2" t="s">
        <v>39</v>
      </c>
      <c r="T4013" s="2" t="s">
        <v>40</v>
      </c>
      <c r="U4013" s="2" t="s">
        <v>30217</v>
      </c>
      <c r="V4013" s="2"/>
      <c r="W4013" s="2" t="s">
        <v>697</v>
      </c>
      <c r="X4013" s="2" t="s">
        <v>43</v>
      </c>
      <c r="Y4013" s="2" t="s">
        <v>37</v>
      </c>
      <c r="Z4013" s="2" t="s">
        <v>44</v>
      </c>
      <c r="AA4013" s="2"/>
      <c r="AB4013" s="2"/>
      <c r="AC4013" s="2" t="s">
        <v>30218</v>
      </c>
      <c r="AD4013" s="2" t="s">
        <v>46</v>
      </c>
    </row>
    <row r="4014" customFormat="false" ht="15.7" hidden="false" customHeight="true" outlineLevel="0" collapsed="false">
      <c r="A4014" s="2"/>
      <c r="B4014" s="3" t="n">
        <f aca="false">DATE(2019,1,23)</f>
        <v>0</v>
      </c>
      <c r="C4014" s="3" t="n">
        <v>43488</v>
      </c>
      <c r="D4014" s="2" t="s">
        <v>30219</v>
      </c>
      <c r="F4014" s="2" t="s">
        <v>30220</v>
      </c>
      <c r="G4014" s="2" t="s">
        <v>30221</v>
      </c>
      <c r="H4014" s="2" t="s">
        <v>30222</v>
      </c>
      <c r="I4014" s="2" t="s">
        <v>30223</v>
      </c>
      <c r="J4014" s="2" t="s">
        <v>30224</v>
      </c>
      <c r="K4014" s="2" t="s">
        <v>30225</v>
      </c>
      <c r="L4014" s="2" t="s">
        <v>30223</v>
      </c>
      <c r="M4014" s="2" t="s">
        <v>30222</v>
      </c>
      <c r="N4014" s="2" t="s">
        <v>30226</v>
      </c>
      <c r="O4014" s="2"/>
      <c r="P4014" s="2" t="s">
        <v>37</v>
      </c>
      <c r="Q4014" s="4" t="n">
        <v>8731</v>
      </c>
      <c r="R4014" s="2" t="s">
        <v>2105</v>
      </c>
      <c r="S4014" s="2" t="s">
        <v>39</v>
      </c>
      <c r="T4014" s="2" t="s">
        <v>40</v>
      </c>
      <c r="U4014" s="2" t="s">
        <v>30227</v>
      </c>
      <c r="V4014" s="2"/>
      <c r="W4014" s="2" t="s">
        <v>42</v>
      </c>
      <c r="X4014" s="2" t="s">
        <v>43</v>
      </c>
      <c r="Y4014" s="2" t="s">
        <v>37</v>
      </c>
      <c r="Z4014" s="2" t="s">
        <v>916</v>
      </c>
      <c r="AA4014" s="2"/>
      <c r="AB4014" s="2"/>
      <c r="AC4014" s="2" t="s">
        <v>30228</v>
      </c>
      <c r="AD4014" s="2" t="s">
        <v>46</v>
      </c>
    </row>
    <row r="4015" customFormat="false" ht="15.7" hidden="false" customHeight="true" outlineLevel="0" collapsed="false">
      <c r="A4015" s="2"/>
      <c r="B4015" s="3" t="n">
        <f aca="false">DATE(2019,1,24)</f>
        <v>0</v>
      </c>
      <c r="C4015" s="3" t="n">
        <v>43489</v>
      </c>
      <c r="D4015" s="2" t="s">
        <v>30229</v>
      </c>
      <c r="F4015" s="2" t="s">
        <v>30230</v>
      </c>
      <c r="G4015" s="2" t="s">
        <v>30231</v>
      </c>
      <c r="H4015" s="2" t="s">
        <v>30232</v>
      </c>
      <c r="I4015" s="2" t="s">
        <v>51</v>
      </c>
      <c r="J4015" s="2" t="s">
        <v>929</v>
      </c>
      <c r="K4015" s="2" t="s">
        <v>30229</v>
      </c>
      <c r="L4015" s="2" t="s">
        <v>51</v>
      </c>
      <c r="M4015" s="2" t="s">
        <v>30232</v>
      </c>
      <c r="N4015" s="2" t="s">
        <v>30233</v>
      </c>
      <c r="O4015" s="2"/>
      <c r="P4015" s="2" t="s">
        <v>37</v>
      </c>
      <c r="Q4015" s="4" t="n">
        <v>8731</v>
      </c>
      <c r="R4015" s="2" t="s">
        <v>56</v>
      </c>
      <c r="S4015" s="2"/>
      <c r="T4015" s="2" t="s">
        <v>403</v>
      </c>
      <c r="U4015" s="2" t="s">
        <v>30234</v>
      </c>
      <c r="V4015" s="2"/>
      <c r="W4015" s="2" t="s">
        <v>42</v>
      </c>
      <c r="X4015" s="2" t="s">
        <v>43</v>
      </c>
      <c r="Y4015" s="2" t="s">
        <v>37</v>
      </c>
      <c r="Z4015" s="2" t="s">
        <v>44</v>
      </c>
      <c r="AA4015" s="2"/>
      <c r="AB4015" s="2"/>
      <c r="AC4015" s="2" t="s">
        <v>30235</v>
      </c>
      <c r="AD4015" s="2" t="s">
        <v>46</v>
      </c>
    </row>
    <row r="4016" customFormat="false" ht="15.7" hidden="false" customHeight="true" outlineLevel="0" collapsed="false">
      <c r="A4016" s="2"/>
      <c r="B4016" s="3" t="n">
        <f aca="false">DATE(2019,1,24)</f>
        <v>0</v>
      </c>
      <c r="C4016" s="3" t="n">
        <v>43489</v>
      </c>
      <c r="D4016" s="2" t="s">
        <v>30236</v>
      </c>
      <c r="F4016" s="2" t="s">
        <v>30237</v>
      </c>
      <c r="G4016" s="2" t="s">
        <v>30238</v>
      </c>
      <c r="H4016" s="2" t="s">
        <v>30239</v>
      </c>
      <c r="I4016" s="2" t="s">
        <v>51</v>
      </c>
      <c r="J4016" s="2" t="s">
        <v>30240</v>
      </c>
      <c r="K4016" s="2" t="s">
        <v>30236</v>
      </c>
      <c r="L4016" s="2" t="s">
        <v>51</v>
      </c>
      <c r="M4016" s="2" t="s">
        <v>30239</v>
      </c>
      <c r="N4016" s="2" t="s">
        <v>30241</v>
      </c>
      <c r="O4016" s="2"/>
      <c r="P4016" s="2" t="s">
        <v>37</v>
      </c>
      <c r="Q4016" s="4" t="n">
        <v>8731</v>
      </c>
      <c r="R4016" s="2" t="s">
        <v>56</v>
      </c>
      <c r="S4016" s="2"/>
      <c r="T4016" s="2" t="s">
        <v>403</v>
      </c>
      <c r="U4016" s="2" t="s">
        <v>30242</v>
      </c>
      <c r="V4016" s="2"/>
      <c r="W4016" s="2" t="s">
        <v>42</v>
      </c>
      <c r="X4016" s="2" t="s">
        <v>43</v>
      </c>
      <c r="Y4016" s="2" t="s">
        <v>37</v>
      </c>
      <c r="Z4016" s="2" t="s">
        <v>44</v>
      </c>
      <c r="AA4016" s="2"/>
      <c r="AB4016" s="2"/>
      <c r="AC4016" s="2" t="s">
        <v>30243</v>
      </c>
      <c r="AD4016" s="2" t="s">
        <v>46</v>
      </c>
    </row>
    <row r="4017" customFormat="false" ht="15.7" hidden="false" customHeight="true" outlineLevel="0" collapsed="false">
      <c r="A4017" s="2"/>
      <c r="B4017" s="3" t="n">
        <f aca="false">DATE(2019,1,24)</f>
        <v>0</v>
      </c>
      <c r="C4017" s="3" t="n">
        <v>43489</v>
      </c>
      <c r="D4017" s="2" t="s">
        <v>30244</v>
      </c>
      <c r="F4017" s="2" t="s">
        <v>347</v>
      </c>
      <c r="G4017" s="2" t="s">
        <v>30245</v>
      </c>
      <c r="H4017" s="2" t="s">
        <v>63</v>
      </c>
      <c r="I4017" s="2" t="s">
        <v>131</v>
      </c>
      <c r="J4017" s="2" t="s">
        <v>132</v>
      </c>
      <c r="K4017" s="2" t="s">
        <v>30244</v>
      </c>
      <c r="L4017" s="2" t="s">
        <v>131</v>
      </c>
      <c r="M4017" s="2" t="s">
        <v>63</v>
      </c>
      <c r="N4017" s="2" t="s">
        <v>30246</v>
      </c>
      <c r="O4017" s="2"/>
      <c r="P4017" s="2" t="s">
        <v>37</v>
      </c>
      <c r="Q4017" s="4" t="n">
        <v>8731</v>
      </c>
      <c r="R4017" s="2" t="s">
        <v>56</v>
      </c>
      <c r="S4017" s="2"/>
      <c r="T4017" s="2" t="s">
        <v>403</v>
      </c>
      <c r="U4017" s="2" t="s">
        <v>30247</v>
      </c>
      <c r="V4017" s="2"/>
      <c r="W4017" s="2" t="s">
        <v>344</v>
      </c>
      <c r="X4017" s="2" t="s">
        <v>43</v>
      </c>
      <c r="Y4017" s="2" t="s">
        <v>37</v>
      </c>
      <c r="Z4017" s="2" t="s">
        <v>44</v>
      </c>
      <c r="AA4017" s="2"/>
      <c r="AB4017" s="2"/>
      <c r="AC4017" s="2" t="s">
        <v>30248</v>
      </c>
      <c r="AD4017" s="2" t="s">
        <v>46</v>
      </c>
    </row>
    <row r="4018" customFormat="false" ht="15.7" hidden="false" customHeight="true" outlineLevel="0" collapsed="false">
      <c r="A4018" s="2"/>
      <c r="B4018" s="3" t="n">
        <f aca="false">DATE(2019,1,29)</f>
        <v>0</v>
      </c>
      <c r="C4018" s="3" t="n">
        <v>43494</v>
      </c>
      <c r="D4018" s="2" t="s">
        <v>30249</v>
      </c>
      <c r="F4018" s="2" t="s">
        <v>30250</v>
      </c>
      <c r="G4018" s="2" t="s">
        <v>30251</v>
      </c>
      <c r="H4018" s="2" t="s">
        <v>30252</v>
      </c>
      <c r="I4018" s="2" t="s">
        <v>11485</v>
      </c>
      <c r="J4018" s="2" t="s">
        <v>35</v>
      </c>
      <c r="K4018" s="2" t="s">
        <v>30249</v>
      </c>
      <c r="L4018" s="2" t="s">
        <v>11485</v>
      </c>
      <c r="M4018" s="2" t="s">
        <v>30252</v>
      </c>
      <c r="N4018" s="2" t="s">
        <v>30253</v>
      </c>
      <c r="O4018" s="2"/>
      <c r="P4018" s="2" t="s">
        <v>37</v>
      </c>
      <c r="Q4018" s="4" t="n">
        <v>8731</v>
      </c>
      <c r="R4018" s="2" t="s">
        <v>136</v>
      </c>
      <c r="S4018" s="2" t="s">
        <v>39</v>
      </c>
      <c r="T4018" s="2" t="s">
        <v>40</v>
      </c>
      <c r="U4018" s="2" t="s">
        <v>30254</v>
      </c>
      <c r="V4018" s="2"/>
      <c r="W4018" s="2" t="s">
        <v>10841</v>
      </c>
      <c r="X4018" s="2" t="s">
        <v>43</v>
      </c>
      <c r="Y4018" s="2" t="s">
        <v>37</v>
      </c>
      <c r="Z4018" s="2" t="s">
        <v>44</v>
      </c>
      <c r="AA4018" s="2"/>
      <c r="AB4018" s="2"/>
      <c r="AC4018" s="2" t="s">
        <v>30255</v>
      </c>
      <c r="AD4018" s="2" t="s">
        <v>46</v>
      </c>
    </row>
    <row r="4019" customFormat="false" ht="15.7" hidden="false" customHeight="true" outlineLevel="0" collapsed="false">
      <c r="A4019" s="2"/>
      <c r="B4019" s="3" t="n">
        <f aca="false">DATE(2019,1,29)</f>
        <v>0</v>
      </c>
      <c r="C4019" s="3" t="n">
        <v>43494</v>
      </c>
      <c r="D4019" s="2" t="s">
        <v>30256</v>
      </c>
      <c r="F4019" s="2" t="s">
        <v>18397</v>
      </c>
      <c r="G4019" s="2" t="s">
        <v>30257</v>
      </c>
      <c r="H4019" s="2" t="s">
        <v>63</v>
      </c>
      <c r="I4019" s="2" t="s">
        <v>487</v>
      </c>
      <c r="J4019" s="2" t="s">
        <v>966</v>
      </c>
      <c r="K4019" s="2" t="s">
        <v>30256</v>
      </c>
      <c r="L4019" s="2" t="s">
        <v>487</v>
      </c>
      <c r="M4019" s="2" t="s">
        <v>63</v>
      </c>
      <c r="N4019" s="2" t="s">
        <v>30258</v>
      </c>
      <c r="O4019" s="2"/>
      <c r="P4019" s="2" t="s">
        <v>37</v>
      </c>
      <c r="Q4019" s="4" t="n">
        <v>8731</v>
      </c>
      <c r="R4019" s="2" t="s">
        <v>136</v>
      </c>
      <c r="S4019" s="2" t="s">
        <v>39</v>
      </c>
      <c r="T4019" s="2" t="s">
        <v>40</v>
      </c>
      <c r="U4019" s="2" t="s">
        <v>30259</v>
      </c>
      <c r="V4019" s="2"/>
      <c r="W4019" s="2" t="s">
        <v>344</v>
      </c>
      <c r="X4019" s="2" t="s">
        <v>43</v>
      </c>
      <c r="Y4019" s="2" t="s">
        <v>37</v>
      </c>
      <c r="Z4019" s="2" t="s">
        <v>44</v>
      </c>
      <c r="AA4019" s="2"/>
      <c r="AB4019" s="2"/>
      <c r="AC4019" s="2" t="s">
        <v>30260</v>
      </c>
      <c r="AD4019" s="2" t="s">
        <v>46</v>
      </c>
    </row>
    <row r="4020" customFormat="false" ht="15.7" hidden="false" customHeight="true" outlineLevel="0" collapsed="false">
      <c r="A4020" s="2"/>
      <c r="B4020" s="3" t="n">
        <f aca="false">DATE(2019,1,29)</f>
        <v>0</v>
      </c>
      <c r="C4020" s="3" t="n">
        <v>43494</v>
      </c>
      <c r="D4020" s="2" t="s">
        <v>30261</v>
      </c>
      <c r="F4020" s="2" t="s">
        <v>20650</v>
      </c>
      <c r="G4020" s="2" t="s">
        <v>30262</v>
      </c>
      <c r="H4020" s="2" t="s">
        <v>130</v>
      </c>
      <c r="I4020" s="2" t="s">
        <v>2590</v>
      </c>
      <c r="J4020" s="2" t="s">
        <v>35</v>
      </c>
      <c r="K4020" s="2" t="s">
        <v>30261</v>
      </c>
      <c r="L4020" s="2" t="s">
        <v>2590</v>
      </c>
      <c r="M4020" s="2" t="s">
        <v>130</v>
      </c>
      <c r="N4020" s="2" t="s">
        <v>30263</v>
      </c>
      <c r="O4020" s="2"/>
      <c r="P4020" s="2" t="s">
        <v>79</v>
      </c>
      <c r="Q4020" s="4" t="n">
        <v>5099</v>
      </c>
      <c r="R4020" s="2" t="s">
        <v>136</v>
      </c>
      <c r="S4020" s="2" t="s">
        <v>39</v>
      </c>
      <c r="T4020" s="2" t="s">
        <v>40</v>
      </c>
      <c r="U4020" s="2" t="s">
        <v>30264</v>
      </c>
      <c r="V4020" s="2"/>
      <c r="W4020" s="2" t="s">
        <v>13100</v>
      </c>
      <c r="X4020" s="2" t="s">
        <v>43</v>
      </c>
      <c r="Y4020" s="2" t="s">
        <v>37</v>
      </c>
      <c r="Z4020" s="2" t="s">
        <v>44</v>
      </c>
      <c r="AA4020" s="2"/>
      <c r="AB4020" s="2"/>
      <c r="AC4020" s="2" t="s">
        <v>30265</v>
      </c>
      <c r="AD4020" s="2" t="s">
        <v>46</v>
      </c>
    </row>
    <row r="4021" customFormat="false" ht="15.7" hidden="false" customHeight="true" outlineLevel="0" collapsed="false">
      <c r="A4021" s="2"/>
      <c r="B4021" s="3" t="n">
        <f aca="false">DATE(2019,1,29)</f>
        <v>0</v>
      </c>
      <c r="C4021" s="3" t="n">
        <v>43494</v>
      </c>
      <c r="D4021" s="2" t="s">
        <v>30266</v>
      </c>
      <c r="F4021" s="2" t="s">
        <v>30267</v>
      </c>
      <c r="G4021" s="2" t="s">
        <v>30268</v>
      </c>
      <c r="H4021" s="2" t="s">
        <v>30269</v>
      </c>
      <c r="I4021" s="2" t="s">
        <v>5771</v>
      </c>
      <c r="J4021" s="2" t="s">
        <v>35</v>
      </c>
      <c r="K4021" s="2" t="s">
        <v>30266</v>
      </c>
      <c r="L4021" s="2" t="s">
        <v>5771</v>
      </c>
      <c r="M4021" s="2" t="s">
        <v>30269</v>
      </c>
      <c r="N4021" s="2" t="s">
        <v>30270</v>
      </c>
      <c r="O4021" s="2"/>
      <c r="P4021" s="2" t="s">
        <v>37</v>
      </c>
      <c r="Q4021" s="4" t="n">
        <v>8731</v>
      </c>
      <c r="R4021" s="2" t="s">
        <v>5774</v>
      </c>
      <c r="S4021" s="2" t="s">
        <v>39</v>
      </c>
      <c r="T4021" s="2" t="s">
        <v>40</v>
      </c>
      <c r="U4021" s="2" t="s">
        <v>30271</v>
      </c>
      <c r="V4021" s="2"/>
      <c r="W4021" s="2" t="s">
        <v>42</v>
      </c>
      <c r="X4021" s="2" t="s">
        <v>43</v>
      </c>
      <c r="Y4021" s="2" t="s">
        <v>37</v>
      </c>
      <c r="Z4021" s="2" t="s">
        <v>44</v>
      </c>
      <c r="AA4021" s="2"/>
      <c r="AB4021" s="2"/>
      <c r="AC4021" s="2" t="s">
        <v>30272</v>
      </c>
      <c r="AD4021" s="2" t="s">
        <v>46</v>
      </c>
    </row>
    <row r="4022" customFormat="false" ht="15.7" hidden="false" customHeight="true" outlineLevel="0" collapsed="false">
      <c r="A4022" s="2"/>
      <c r="B4022" s="3" t="n">
        <f aca="false">DATE(2019,1,30)</f>
        <v>0</v>
      </c>
      <c r="C4022" s="3" t="n">
        <v>43495</v>
      </c>
      <c r="D4022" s="2" t="s">
        <v>30273</v>
      </c>
      <c r="F4022" s="2" t="s">
        <v>30274</v>
      </c>
      <c r="G4022" s="2" t="s">
        <v>30275</v>
      </c>
      <c r="H4022" s="2" t="s">
        <v>30276</v>
      </c>
      <c r="I4022" s="2" t="s">
        <v>219</v>
      </c>
      <c r="J4022" s="2" t="s">
        <v>625</v>
      </c>
      <c r="K4022" s="2" t="s">
        <v>30273</v>
      </c>
      <c r="L4022" s="2" t="s">
        <v>219</v>
      </c>
      <c r="M4022" s="2" t="s">
        <v>30276</v>
      </c>
      <c r="N4022" s="2" t="s">
        <v>30277</v>
      </c>
      <c r="O4022" s="2"/>
      <c r="P4022" s="2" t="s">
        <v>37</v>
      </c>
      <c r="Q4022" s="4" t="n">
        <v>8099</v>
      </c>
      <c r="R4022" s="2" t="s">
        <v>136</v>
      </c>
      <c r="S4022" s="2" t="s">
        <v>39</v>
      </c>
      <c r="T4022" s="2" t="s">
        <v>40</v>
      </c>
      <c r="U4022" s="2" t="s">
        <v>30278</v>
      </c>
      <c r="V4022" s="2"/>
      <c r="W4022" s="2" t="s">
        <v>4487</v>
      </c>
      <c r="X4022" s="2" t="s">
        <v>43</v>
      </c>
      <c r="Y4022" s="2" t="s">
        <v>37</v>
      </c>
      <c r="Z4022" s="2" t="s">
        <v>44</v>
      </c>
      <c r="AA4022" s="2"/>
      <c r="AB4022" s="2"/>
      <c r="AC4022" s="2" t="s">
        <v>30279</v>
      </c>
      <c r="AD4022" s="2" t="s">
        <v>46</v>
      </c>
    </row>
    <row r="4023" customFormat="false" ht="15.7" hidden="false" customHeight="true" outlineLevel="0" collapsed="false">
      <c r="A4023" s="2"/>
      <c r="B4023" s="3" t="n">
        <f aca="false">DATE(2019,1,30)</f>
        <v>0</v>
      </c>
      <c r="C4023" s="3" t="n">
        <v>43495</v>
      </c>
      <c r="D4023" s="2" t="s">
        <v>30280</v>
      </c>
      <c r="F4023" s="2" t="s">
        <v>24100</v>
      </c>
      <c r="G4023" s="2" t="s">
        <v>30281</v>
      </c>
      <c r="H4023" s="2" t="s">
        <v>30282</v>
      </c>
      <c r="I4023" s="2" t="s">
        <v>5771</v>
      </c>
      <c r="J4023" s="2" t="s">
        <v>35</v>
      </c>
      <c r="K4023" s="2" t="s">
        <v>30280</v>
      </c>
      <c r="L4023" s="2" t="s">
        <v>5771</v>
      </c>
      <c r="M4023" s="2" t="s">
        <v>3703</v>
      </c>
      <c r="N4023" s="2" t="s">
        <v>30283</v>
      </c>
      <c r="O4023" s="2"/>
      <c r="P4023" s="2" t="s">
        <v>37</v>
      </c>
      <c r="Q4023" s="4" t="n">
        <v>8731</v>
      </c>
      <c r="R4023" s="2" t="s">
        <v>5774</v>
      </c>
      <c r="S4023" s="2" t="s">
        <v>39</v>
      </c>
      <c r="T4023" s="2" t="s">
        <v>403</v>
      </c>
      <c r="U4023" s="2" t="s">
        <v>30284</v>
      </c>
      <c r="V4023" s="2"/>
      <c r="W4023" s="2" t="s">
        <v>344</v>
      </c>
      <c r="X4023" s="2" t="s">
        <v>43</v>
      </c>
      <c r="Y4023" s="2" t="s">
        <v>37</v>
      </c>
      <c r="Z4023" s="2" t="s">
        <v>44</v>
      </c>
      <c r="AA4023" s="2"/>
      <c r="AB4023" s="2"/>
      <c r="AC4023" s="2" t="s">
        <v>30285</v>
      </c>
      <c r="AD4023" s="2" t="s">
        <v>46</v>
      </c>
    </row>
    <row r="4024" customFormat="false" ht="15.7" hidden="false" customHeight="true" outlineLevel="0" collapsed="false">
      <c r="A4024" s="2"/>
      <c r="B4024" s="3" t="n">
        <f aca="false">DATE(2019,1,30)</f>
        <v>0</v>
      </c>
      <c r="C4024" s="3" t="n">
        <v>43495</v>
      </c>
      <c r="D4024" s="2" t="s">
        <v>30286</v>
      </c>
      <c r="F4024" s="2" t="s">
        <v>30287</v>
      </c>
      <c r="G4024" s="2" t="s">
        <v>30288</v>
      </c>
      <c r="H4024" s="2" t="s">
        <v>1020</v>
      </c>
      <c r="I4024" s="2" t="s">
        <v>51</v>
      </c>
      <c r="J4024" s="2" t="s">
        <v>17952</v>
      </c>
      <c r="K4024" s="2" t="s">
        <v>30286</v>
      </c>
      <c r="L4024" s="2" t="s">
        <v>51</v>
      </c>
      <c r="M4024" s="2" t="s">
        <v>1020</v>
      </c>
      <c r="N4024" s="2" t="s">
        <v>30289</v>
      </c>
      <c r="O4024" s="2"/>
      <c r="P4024" s="2" t="s">
        <v>37</v>
      </c>
      <c r="Q4024" s="4" t="n">
        <v>8731</v>
      </c>
      <c r="R4024" s="2" t="s">
        <v>56</v>
      </c>
      <c r="S4024" s="2"/>
      <c r="T4024" s="2" t="s">
        <v>40</v>
      </c>
      <c r="U4024" s="2" t="s">
        <v>30290</v>
      </c>
      <c r="V4024" s="2"/>
      <c r="W4024" s="2" t="s">
        <v>42</v>
      </c>
      <c r="X4024" s="2" t="s">
        <v>43</v>
      </c>
      <c r="Y4024" s="2" t="s">
        <v>37</v>
      </c>
      <c r="Z4024" s="2" t="s">
        <v>44</v>
      </c>
      <c r="AA4024" s="2"/>
      <c r="AB4024" s="2"/>
      <c r="AC4024" s="2" t="s">
        <v>30291</v>
      </c>
      <c r="AD4024" s="2" t="s">
        <v>46</v>
      </c>
    </row>
    <row r="4025" customFormat="false" ht="15.7" hidden="false" customHeight="true" outlineLevel="0" collapsed="false">
      <c r="A4025" s="2"/>
      <c r="B4025" s="3" t="n">
        <f aca="false">DATE(2019,1,31)</f>
        <v>0</v>
      </c>
      <c r="C4025" s="3" t="n">
        <v>43496</v>
      </c>
      <c r="D4025" s="2" t="s">
        <v>30292</v>
      </c>
      <c r="F4025" s="2" t="s">
        <v>30293</v>
      </c>
      <c r="G4025" s="2" t="s">
        <v>30294</v>
      </c>
      <c r="H4025" s="2" t="s">
        <v>247</v>
      </c>
      <c r="I4025" s="2" t="s">
        <v>51</v>
      </c>
      <c r="J4025" s="2" t="s">
        <v>17952</v>
      </c>
      <c r="K4025" s="2" t="s">
        <v>30292</v>
      </c>
      <c r="L4025" s="2" t="s">
        <v>51</v>
      </c>
      <c r="M4025" s="2" t="s">
        <v>247</v>
      </c>
      <c r="N4025" s="2" t="s">
        <v>30295</v>
      </c>
      <c r="O4025" s="2"/>
      <c r="P4025" s="2" t="s">
        <v>37</v>
      </c>
      <c r="Q4025" s="4" t="n">
        <v>8099</v>
      </c>
      <c r="R4025" s="2" t="s">
        <v>56</v>
      </c>
      <c r="S4025" s="2"/>
      <c r="T4025" s="2" t="s">
        <v>40</v>
      </c>
      <c r="U4025" s="2" t="s">
        <v>30296</v>
      </c>
      <c r="V4025" s="2"/>
      <c r="W4025" s="2" t="s">
        <v>4487</v>
      </c>
      <c r="X4025" s="2" t="s">
        <v>43</v>
      </c>
      <c r="Y4025" s="2" t="s">
        <v>37</v>
      </c>
      <c r="Z4025" s="2" t="s">
        <v>44</v>
      </c>
      <c r="AA4025" s="2"/>
      <c r="AB4025" s="2"/>
      <c r="AC4025" s="2" t="s">
        <v>30297</v>
      </c>
      <c r="AD4025" s="2" t="s">
        <v>46</v>
      </c>
    </row>
    <row r="4026" customFormat="false" ht="15.7" hidden="false" customHeight="true" outlineLevel="0" collapsed="false">
      <c r="A4026" s="2"/>
      <c r="B4026" s="3" t="n">
        <f aca="false">DATE(2019,1,31)</f>
        <v>0</v>
      </c>
      <c r="C4026" s="3" t="n">
        <v>43496</v>
      </c>
      <c r="D4026" s="2" t="s">
        <v>30298</v>
      </c>
      <c r="F4026" s="2" t="s">
        <v>22407</v>
      </c>
      <c r="G4026" s="2" t="s">
        <v>30299</v>
      </c>
      <c r="H4026" s="2" t="s">
        <v>762</v>
      </c>
      <c r="I4026" s="2" t="s">
        <v>51</v>
      </c>
      <c r="J4026" s="2" t="s">
        <v>77</v>
      </c>
      <c r="K4026" s="2" t="s">
        <v>30298</v>
      </c>
      <c r="L4026" s="2" t="s">
        <v>51</v>
      </c>
      <c r="M4026" s="2" t="s">
        <v>762</v>
      </c>
      <c r="N4026" s="2" t="s">
        <v>30300</v>
      </c>
      <c r="O4026" s="2"/>
      <c r="P4026" s="2" t="s">
        <v>37</v>
      </c>
      <c r="Q4026" s="4" t="n">
        <v>7372</v>
      </c>
      <c r="R4026" s="2" t="s">
        <v>56</v>
      </c>
      <c r="S4026" s="2"/>
      <c r="T4026" s="2" t="s">
        <v>40</v>
      </c>
      <c r="U4026" s="2" t="s">
        <v>30301</v>
      </c>
      <c r="V4026" s="2"/>
      <c r="W4026" s="2" t="s">
        <v>6066</v>
      </c>
      <c r="X4026" s="2" t="s">
        <v>43</v>
      </c>
      <c r="Y4026" s="2" t="s">
        <v>37</v>
      </c>
      <c r="Z4026" s="2" t="s">
        <v>44</v>
      </c>
      <c r="AA4026" s="2"/>
      <c r="AB4026" s="2"/>
      <c r="AC4026" s="2" t="s">
        <v>30302</v>
      </c>
      <c r="AD4026" s="2" t="s">
        <v>46</v>
      </c>
    </row>
    <row r="4027" customFormat="false" ht="15.7" hidden="false" customHeight="true" outlineLevel="0" collapsed="false">
      <c r="A4027" s="2"/>
      <c r="B4027" s="3" t="n">
        <f aca="false">DATE(2019,1,31)</f>
        <v>0</v>
      </c>
      <c r="C4027" s="3" t="n">
        <v>43496</v>
      </c>
      <c r="D4027" s="2" t="s">
        <v>30303</v>
      </c>
      <c r="F4027" s="2" t="s">
        <v>17277</v>
      </c>
      <c r="G4027" s="2" t="s">
        <v>30304</v>
      </c>
      <c r="H4027" s="2" t="s">
        <v>523</v>
      </c>
      <c r="I4027" s="2" t="s">
        <v>8351</v>
      </c>
      <c r="J4027" s="2" t="s">
        <v>35</v>
      </c>
      <c r="K4027" s="2" t="s">
        <v>30303</v>
      </c>
      <c r="L4027" s="2" t="s">
        <v>8351</v>
      </c>
      <c r="M4027" s="2" t="s">
        <v>523</v>
      </c>
      <c r="N4027" s="2" t="s">
        <v>30305</v>
      </c>
      <c r="O4027" s="2"/>
      <c r="P4027" s="2" t="s">
        <v>37</v>
      </c>
      <c r="Q4027" s="4" t="n">
        <v>8731</v>
      </c>
      <c r="R4027" s="2" t="s">
        <v>136</v>
      </c>
      <c r="S4027" s="2" t="s">
        <v>39</v>
      </c>
      <c r="T4027" s="2" t="s">
        <v>40</v>
      </c>
      <c r="U4027" s="2" t="s">
        <v>30306</v>
      </c>
      <c r="V4027" s="2"/>
      <c r="W4027" s="2" t="s">
        <v>138</v>
      </c>
      <c r="X4027" s="2" t="s">
        <v>43</v>
      </c>
      <c r="Y4027" s="2" t="s">
        <v>37</v>
      </c>
      <c r="Z4027" s="2" t="s">
        <v>44</v>
      </c>
      <c r="AA4027" s="2"/>
      <c r="AB4027" s="2"/>
      <c r="AC4027" s="2" t="s">
        <v>30307</v>
      </c>
      <c r="AD4027" s="2" t="s">
        <v>46</v>
      </c>
    </row>
    <row r="4028" customFormat="false" ht="15.7" hidden="false" customHeight="true" outlineLevel="0" collapsed="false">
      <c r="A4028" s="2"/>
      <c r="B4028" s="3" t="n">
        <f aca="false">DATE(2019,1,31)</f>
        <v>0</v>
      </c>
      <c r="C4028" s="3" t="n">
        <v>43496</v>
      </c>
      <c r="D4028" s="2" t="s">
        <v>30308</v>
      </c>
      <c r="F4028" s="2" t="s">
        <v>18428</v>
      </c>
      <c r="G4028" s="2" t="s">
        <v>30309</v>
      </c>
      <c r="H4028" s="2" t="s">
        <v>523</v>
      </c>
      <c r="I4028" s="2" t="s">
        <v>51</v>
      </c>
      <c r="J4028" s="2" t="s">
        <v>994</v>
      </c>
      <c r="K4028" s="2" t="s">
        <v>30310</v>
      </c>
      <c r="L4028" s="2" t="s">
        <v>51</v>
      </c>
      <c r="M4028" s="2" t="s">
        <v>523</v>
      </c>
      <c r="N4028" s="2" t="s">
        <v>30311</v>
      </c>
      <c r="O4028" s="2"/>
      <c r="P4028" s="2" t="s">
        <v>37</v>
      </c>
      <c r="Q4028" s="4" t="n">
        <v>6794</v>
      </c>
      <c r="R4028" s="2" t="s">
        <v>136</v>
      </c>
      <c r="S4028" s="2" t="s">
        <v>39</v>
      </c>
      <c r="T4028" s="2" t="s">
        <v>40</v>
      </c>
      <c r="U4028" s="2" t="s">
        <v>30312</v>
      </c>
      <c r="V4028" s="2"/>
      <c r="W4028" s="2" t="s">
        <v>20757</v>
      </c>
      <c r="X4028" s="2" t="s">
        <v>43</v>
      </c>
      <c r="Y4028" s="2" t="s">
        <v>37</v>
      </c>
      <c r="Z4028" s="2" t="s">
        <v>44</v>
      </c>
      <c r="AA4028" s="2"/>
      <c r="AB4028" s="2"/>
      <c r="AC4028" s="2" t="s">
        <v>30313</v>
      </c>
      <c r="AD4028" s="2" t="s">
        <v>46</v>
      </c>
    </row>
    <row r="4029" customFormat="false" ht="15.7" hidden="false" customHeight="true" outlineLevel="0" collapsed="false">
      <c r="A4029" s="2"/>
      <c r="B4029" s="3" t="n">
        <f aca="false">DATE(2019,1,31)</f>
        <v>0</v>
      </c>
      <c r="C4029" s="3" t="n">
        <v>43496</v>
      </c>
      <c r="D4029" s="2" t="s">
        <v>30314</v>
      </c>
      <c r="F4029" s="2" t="s">
        <v>30315</v>
      </c>
      <c r="G4029" s="2" t="s">
        <v>30316</v>
      </c>
      <c r="H4029" s="2" t="s">
        <v>814</v>
      </c>
      <c r="I4029" s="2" t="s">
        <v>30317</v>
      </c>
      <c r="J4029" s="2" t="s">
        <v>35</v>
      </c>
      <c r="K4029" s="2" t="s">
        <v>30314</v>
      </c>
      <c r="L4029" s="2" t="s">
        <v>30317</v>
      </c>
      <c r="M4029" s="2" t="s">
        <v>814</v>
      </c>
      <c r="N4029" s="2" t="s">
        <v>30318</v>
      </c>
      <c r="O4029" s="2"/>
      <c r="P4029" s="2" t="s">
        <v>37</v>
      </c>
      <c r="Q4029" s="4" t="n">
        <v>8731</v>
      </c>
      <c r="R4029" s="2" t="s">
        <v>1691</v>
      </c>
      <c r="S4029" s="2" t="s">
        <v>39</v>
      </c>
      <c r="T4029" s="2" t="s">
        <v>40</v>
      </c>
      <c r="U4029" s="2" t="s">
        <v>30319</v>
      </c>
      <c r="V4029" s="2"/>
      <c r="W4029" s="2" t="s">
        <v>42</v>
      </c>
      <c r="X4029" s="2" t="s">
        <v>43</v>
      </c>
      <c r="Y4029" s="2" t="s">
        <v>37</v>
      </c>
      <c r="Z4029" s="2" t="s">
        <v>44</v>
      </c>
      <c r="AA4029" s="2"/>
      <c r="AB4029" s="2"/>
      <c r="AC4029" s="2" t="s">
        <v>30320</v>
      </c>
      <c r="AD4029" s="2" t="s">
        <v>46</v>
      </c>
    </row>
    <row r="4030" customFormat="false" ht="15.7" hidden="false" customHeight="true" outlineLevel="0" collapsed="false">
      <c r="A4030" s="2"/>
      <c r="B4030" s="3" t="n">
        <f aca="false">DATE(2019,2,1)</f>
        <v>0</v>
      </c>
      <c r="C4030" s="3" t="n">
        <v>43497</v>
      </c>
      <c r="D4030" s="2" t="s">
        <v>30321</v>
      </c>
      <c r="F4030" s="2" t="s">
        <v>24385</v>
      </c>
      <c r="G4030" s="2" t="s">
        <v>30322</v>
      </c>
      <c r="H4030" s="2" t="s">
        <v>898</v>
      </c>
      <c r="I4030" s="2" t="s">
        <v>30323</v>
      </c>
      <c r="J4030" s="2" t="s">
        <v>1413</v>
      </c>
      <c r="K4030" s="2" t="s">
        <v>30324</v>
      </c>
      <c r="L4030" s="2" t="s">
        <v>30325</v>
      </c>
      <c r="M4030" s="2" t="s">
        <v>30326</v>
      </c>
      <c r="N4030" s="2" t="s">
        <v>30327</v>
      </c>
      <c r="O4030" s="2"/>
      <c r="P4030" s="2" t="s">
        <v>37</v>
      </c>
      <c r="Q4030" s="4" t="n">
        <v>5099</v>
      </c>
      <c r="R4030" s="2" t="s">
        <v>2952</v>
      </c>
      <c r="S4030" s="2" t="s">
        <v>39</v>
      </c>
      <c r="T4030" s="2" t="s">
        <v>403</v>
      </c>
      <c r="U4030" s="2" t="s">
        <v>30328</v>
      </c>
      <c r="V4030" s="2"/>
      <c r="W4030" s="2" t="s">
        <v>30329</v>
      </c>
      <c r="X4030" s="2" t="s">
        <v>46</v>
      </c>
      <c r="Y4030" s="2" t="s">
        <v>37</v>
      </c>
      <c r="Z4030" s="2" t="s">
        <v>44</v>
      </c>
      <c r="AA4030" s="2"/>
      <c r="AB4030" s="2"/>
      <c r="AC4030" s="2" t="s">
        <v>30330</v>
      </c>
      <c r="AD4030" s="2" t="s">
        <v>46</v>
      </c>
    </row>
    <row r="4031" customFormat="false" ht="15.7" hidden="false" customHeight="true" outlineLevel="0" collapsed="false">
      <c r="A4031" s="2"/>
      <c r="B4031" s="3" t="n">
        <f aca="false">DATE(2019,2,4)</f>
        <v>0</v>
      </c>
      <c r="C4031" s="3" t="n">
        <v>43500</v>
      </c>
      <c r="D4031" s="2" t="s">
        <v>30331</v>
      </c>
      <c r="F4031" s="2" t="s">
        <v>27972</v>
      </c>
      <c r="G4031" s="2" t="s">
        <v>30332</v>
      </c>
      <c r="H4031" s="2" t="s">
        <v>25910</v>
      </c>
      <c r="I4031" s="2" t="s">
        <v>330</v>
      </c>
      <c r="J4031" s="2" t="s">
        <v>331</v>
      </c>
      <c r="K4031" s="2" t="s">
        <v>30331</v>
      </c>
      <c r="L4031" s="2" t="s">
        <v>330</v>
      </c>
      <c r="M4031" s="2" t="s">
        <v>25910</v>
      </c>
      <c r="N4031" s="2" t="s">
        <v>30333</v>
      </c>
      <c r="O4031" s="2"/>
      <c r="P4031" s="2" t="s">
        <v>37</v>
      </c>
      <c r="Q4031" s="4" t="n">
        <v>8731</v>
      </c>
      <c r="R4031" s="2" t="s">
        <v>56</v>
      </c>
      <c r="S4031" s="2"/>
      <c r="T4031" s="2" t="s">
        <v>40</v>
      </c>
      <c r="U4031" s="2" t="s">
        <v>30334</v>
      </c>
      <c r="V4031" s="2"/>
      <c r="W4031" s="2" t="s">
        <v>344</v>
      </c>
      <c r="X4031" s="2" t="s">
        <v>43</v>
      </c>
      <c r="Y4031" s="2" t="s">
        <v>37</v>
      </c>
      <c r="Z4031" s="2" t="s">
        <v>44</v>
      </c>
      <c r="AA4031" s="2"/>
      <c r="AB4031" s="2"/>
      <c r="AC4031" s="2" t="s">
        <v>30335</v>
      </c>
      <c r="AD4031" s="2" t="s">
        <v>46</v>
      </c>
    </row>
    <row r="4032" customFormat="false" ht="15.7" hidden="false" customHeight="true" outlineLevel="0" collapsed="false">
      <c r="A4032" s="2"/>
      <c r="B4032" s="3" t="n">
        <f aca="false">DATE(2019,2,4)</f>
        <v>0</v>
      </c>
      <c r="C4032" s="3" t="n">
        <v>43500</v>
      </c>
      <c r="D4032" s="2" t="s">
        <v>30336</v>
      </c>
      <c r="F4032" s="2" t="s">
        <v>30337</v>
      </c>
      <c r="G4032" s="2" t="s">
        <v>30338</v>
      </c>
      <c r="H4032" s="2" t="s">
        <v>30339</v>
      </c>
      <c r="I4032" s="2" t="s">
        <v>2530</v>
      </c>
      <c r="J4032" s="2" t="s">
        <v>30340</v>
      </c>
      <c r="K4032" s="2" t="s">
        <v>30336</v>
      </c>
      <c r="L4032" s="2" t="s">
        <v>2530</v>
      </c>
      <c r="M4032" s="2" t="s">
        <v>30339</v>
      </c>
      <c r="N4032" s="2" t="s">
        <v>30341</v>
      </c>
      <c r="O4032" s="2"/>
      <c r="P4032" s="2" t="s">
        <v>79</v>
      </c>
      <c r="Q4032" s="4" t="n">
        <v>6794</v>
      </c>
      <c r="R4032" s="2" t="s">
        <v>56</v>
      </c>
      <c r="S4032" s="2"/>
      <c r="T4032" s="2" t="s">
        <v>40</v>
      </c>
      <c r="U4032" s="2" t="s">
        <v>30342</v>
      </c>
      <c r="V4032" s="2"/>
      <c r="W4032" s="2" t="s">
        <v>206</v>
      </c>
      <c r="X4032" s="2" t="s">
        <v>43</v>
      </c>
      <c r="Y4032" s="2" t="s">
        <v>37</v>
      </c>
      <c r="Z4032" s="2" t="s">
        <v>916</v>
      </c>
      <c r="AA4032" s="2"/>
      <c r="AB4032" s="2"/>
      <c r="AC4032" s="2" t="s">
        <v>30343</v>
      </c>
      <c r="AD4032" s="2" t="s">
        <v>46</v>
      </c>
    </row>
    <row r="4033" customFormat="false" ht="15.7" hidden="false" customHeight="true" outlineLevel="0" collapsed="false">
      <c r="A4033" s="2"/>
      <c r="B4033" s="3" t="n">
        <f aca="false">DATE(2019,2,4)</f>
        <v>0</v>
      </c>
      <c r="C4033" s="3" t="n">
        <v>43500</v>
      </c>
      <c r="D4033" s="2" t="s">
        <v>30344</v>
      </c>
      <c r="F4033" s="2" t="s">
        <v>17277</v>
      </c>
      <c r="G4033" s="2" t="s">
        <v>30345</v>
      </c>
      <c r="H4033" s="2" t="s">
        <v>523</v>
      </c>
      <c r="I4033" s="2" t="s">
        <v>388</v>
      </c>
      <c r="J4033" s="2" t="s">
        <v>155</v>
      </c>
      <c r="K4033" s="2" t="s">
        <v>30344</v>
      </c>
      <c r="L4033" s="2" t="s">
        <v>388</v>
      </c>
      <c r="M4033" s="2" t="s">
        <v>523</v>
      </c>
      <c r="N4033" s="2" t="s">
        <v>30346</v>
      </c>
      <c r="O4033" s="2"/>
      <c r="P4033" s="2" t="s">
        <v>79</v>
      </c>
      <c r="Q4033" s="4" t="n">
        <v>6794</v>
      </c>
      <c r="R4033" s="2" t="s">
        <v>136</v>
      </c>
      <c r="S4033" s="2" t="s">
        <v>39</v>
      </c>
      <c r="T4033" s="2" t="s">
        <v>40</v>
      </c>
      <c r="U4033" s="2" t="s">
        <v>30347</v>
      </c>
      <c r="V4033" s="2"/>
      <c r="W4033" s="2" t="s">
        <v>82</v>
      </c>
      <c r="X4033" s="2" t="s">
        <v>43</v>
      </c>
      <c r="Y4033" s="2" t="s">
        <v>37</v>
      </c>
      <c r="Z4033" s="2" t="s">
        <v>44</v>
      </c>
      <c r="AA4033" s="2"/>
      <c r="AB4033" s="2"/>
      <c r="AC4033" s="2" t="s">
        <v>30348</v>
      </c>
      <c r="AD4033" s="2" t="s">
        <v>46</v>
      </c>
    </row>
    <row r="4034" customFormat="false" ht="15.7" hidden="false" customHeight="true" outlineLevel="0" collapsed="false">
      <c r="A4034" s="2"/>
      <c r="B4034" s="3" t="n">
        <f aca="false">DATE(2019,2,5)</f>
        <v>0</v>
      </c>
      <c r="C4034" s="3" t="n">
        <v>43501</v>
      </c>
      <c r="D4034" s="2" t="s">
        <v>30349</v>
      </c>
      <c r="F4034" s="2" t="s">
        <v>30350</v>
      </c>
      <c r="G4034" s="2" t="s">
        <v>30351</v>
      </c>
      <c r="H4034" s="2" t="s">
        <v>30352</v>
      </c>
      <c r="I4034" s="2" t="s">
        <v>100</v>
      </c>
      <c r="J4034" s="2" t="s">
        <v>2088</v>
      </c>
      <c r="K4034" s="2" t="s">
        <v>30353</v>
      </c>
      <c r="L4034" s="2" t="s">
        <v>100</v>
      </c>
      <c r="M4034" s="2" t="s">
        <v>30354</v>
      </c>
      <c r="N4034" s="2" t="s">
        <v>30355</v>
      </c>
      <c r="O4034" s="2"/>
      <c r="P4034" s="2" t="s">
        <v>37</v>
      </c>
      <c r="Q4034" s="4" t="n">
        <v>8731</v>
      </c>
      <c r="R4034" s="2" t="s">
        <v>136</v>
      </c>
      <c r="S4034" s="2" t="s">
        <v>39</v>
      </c>
      <c r="T4034" s="2" t="s">
        <v>40</v>
      </c>
      <c r="U4034" s="2" t="s">
        <v>30356</v>
      </c>
      <c r="V4034" s="2"/>
      <c r="W4034" s="2" t="s">
        <v>344</v>
      </c>
      <c r="X4034" s="2" t="s">
        <v>43</v>
      </c>
      <c r="Y4034" s="2" t="s">
        <v>37</v>
      </c>
      <c r="Z4034" s="2" t="s">
        <v>44</v>
      </c>
      <c r="AA4034" s="2"/>
      <c r="AB4034" s="2"/>
      <c r="AC4034" s="2" t="s">
        <v>30357</v>
      </c>
      <c r="AD4034" s="2" t="s">
        <v>46</v>
      </c>
    </row>
    <row r="4035" customFormat="false" ht="15.7" hidden="false" customHeight="true" outlineLevel="0" collapsed="false">
      <c r="A4035" s="2"/>
      <c r="B4035" s="3" t="n">
        <f aca="false">DATE(2019,2,5)</f>
        <v>0</v>
      </c>
      <c r="C4035" s="3" t="n">
        <v>43501</v>
      </c>
      <c r="D4035" s="2" t="s">
        <v>30358</v>
      </c>
      <c r="F4035" s="2" t="s">
        <v>2471</v>
      </c>
      <c r="G4035" s="2" t="s">
        <v>30359</v>
      </c>
      <c r="H4035" s="2" t="s">
        <v>130</v>
      </c>
      <c r="I4035" s="2" t="s">
        <v>51</v>
      </c>
      <c r="J4035" s="2" t="s">
        <v>171</v>
      </c>
      <c r="K4035" s="2" t="s">
        <v>30360</v>
      </c>
      <c r="L4035" s="2" t="s">
        <v>180</v>
      </c>
      <c r="M4035" s="2" t="s">
        <v>130</v>
      </c>
      <c r="N4035" s="2" t="s">
        <v>30361</v>
      </c>
      <c r="O4035" s="2"/>
      <c r="P4035" s="2" t="s">
        <v>37</v>
      </c>
      <c r="Q4035" s="4" t="n">
        <v>6794</v>
      </c>
      <c r="R4035" s="2" t="s">
        <v>56</v>
      </c>
      <c r="S4035" s="2"/>
      <c r="T4035" s="2" t="s">
        <v>40</v>
      </c>
      <c r="U4035" s="2" t="s">
        <v>30362</v>
      </c>
      <c r="V4035" s="2"/>
      <c r="W4035" s="2" t="s">
        <v>15545</v>
      </c>
      <c r="X4035" s="2" t="s">
        <v>43</v>
      </c>
      <c r="Y4035" s="2" t="s">
        <v>37</v>
      </c>
      <c r="Z4035" s="2" t="s">
        <v>44</v>
      </c>
      <c r="AA4035" s="2"/>
      <c r="AB4035" s="2"/>
      <c r="AC4035" s="2" t="s">
        <v>30363</v>
      </c>
      <c r="AD4035" s="2" t="s">
        <v>46</v>
      </c>
    </row>
    <row r="4036" customFormat="false" ht="15.7" hidden="false" customHeight="true" outlineLevel="0" collapsed="false">
      <c r="A4036" s="2"/>
      <c r="B4036" s="3" t="n">
        <f aca="false">DATE(2019,2,6)</f>
        <v>0</v>
      </c>
      <c r="C4036" s="3" t="n">
        <v>43502</v>
      </c>
      <c r="D4036" s="2" t="s">
        <v>23318</v>
      </c>
      <c r="F4036" s="2" t="s">
        <v>23319</v>
      </c>
      <c r="G4036" s="2" t="s">
        <v>23320</v>
      </c>
      <c r="H4036" s="2" t="s">
        <v>23321</v>
      </c>
      <c r="I4036" s="2" t="s">
        <v>180</v>
      </c>
      <c r="J4036" s="2" t="s">
        <v>331</v>
      </c>
      <c r="K4036" s="2" t="s">
        <v>23318</v>
      </c>
      <c r="L4036" s="2" t="s">
        <v>180</v>
      </c>
      <c r="M4036" s="2" t="s">
        <v>23321</v>
      </c>
      <c r="N4036" s="2" t="s">
        <v>23322</v>
      </c>
      <c r="O4036" s="2"/>
      <c r="P4036" s="2" t="s">
        <v>37</v>
      </c>
      <c r="Q4036" s="4" t="n">
        <v>8731</v>
      </c>
      <c r="R4036" s="2" t="s">
        <v>56</v>
      </c>
      <c r="S4036" s="2"/>
      <c r="T4036" s="2" t="s">
        <v>40</v>
      </c>
      <c r="U4036" s="2" t="s">
        <v>30364</v>
      </c>
      <c r="V4036" s="2"/>
      <c r="W4036" s="2" t="s">
        <v>344</v>
      </c>
      <c r="X4036" s="2" t="s">
        <v>43</v>
      </c>
      <c r="Y4036" s="2" t="s">
        <v>37</v>
      </c>
      <c r="Z4036" s="2" t="s">
        <v>44</v>
      </c>
      <c r="AA4036" s="2"/>
      <c r="AB4036" s="2"/>
      <c r="AC4036" s="2" t="s">
        <v>23325</v>
      </c>
      <c r="AD4036" s="2" t="s">
        <v>46</v>
      </c>
    </row>
    <row r="4037" customFormat="false" ht="15.7" hidden="false" customHeight="true" outlineLevel="0" collapsed="false">
      <c r="A4037" s="2"/>
      <c r="B4037" s="3" t="n">
        <f aca="false">DATE(2019,2,6)</f>
        <v>0</v>
      </c>
      <c r="C4037" s="3" t="n">
        <v>43502</v>
      </c>
      <c r="D4037" s="2" t="s">
        <v>30365</v>
      </c>
      <c r="F4037" s="2" t="s">
        <v>30366</v>
      </c>
      <c r="G4037" s="2" t="s">
        <v>30367</v>
      </c>
      <c r="H4037" s="2" t="s">
        <v>30368</v>
      </c>
      <c r="I4037" s="2" t="s">
        <v>13417</v>
      </c>
      <c r="J4037" s="2" t="s">
        <v>35</v>
      </c>
      <c r="K4037" s="2" t="s">
        <v>30369</v>
      </c>
      <c r="L4037" s="2" t="s">
        <v>13417</v>
      </c>
      <c r="M4037" s="2" t="s">
        <v>30370</v>
      </c>
      <c r="N4037" s="2" t="s">
        <v>30371</v>
      </c>
      <c r="O4037" s="2"/>
      <c r="P4037" s="2" t="s">
        <v>37</v>
      </c>
      <c r="Q4037" s="4" t="n">
        <v>8731</v>
      </c>
      <c r="R4037" s="2" t="s">
        <v>136</v>
      </c>
      <c r="S4037" s="2" t="s">
        <v>39</v>
      </c>
      <c r="T4037" s="2" t="s">
        <v>40</v>
      </c>
      <c r="U4037" s="2" t="s">
        <v>30372</v>
      </c>
      <c r="V4037" s="2"/>
      <c r="W4037" s="2" t="s">
        <v>138</v>
      </c>
      <c r="X4037" s="2" t="s">
        <v>43</v>
      </c>
      <c r="Y4037" s="2" t="s">
        <v>37</v>
      </c>
      <c r="Z4037" s="2" t="s">
        <v>44</v>
      </c>
      <c r="AA4037" s="2"/>
      <c r="AB4037" s="2"/>
      <c r="AC4037" s="2" t="s">
        <v>30373</v>
      </c>
      <c r="AD4037" s="2" t="s">
        <v>46</v>
      </c>
    </row>
    <row r="4038" customFormat="false" ht="15.7" hidden="false" customHeight="true" outlineLevel="0" collapsed="false">
      <c r="A4038" s="2"/>
      <c r="B4038" s="3" t="n">
        <f aca="false">DATE(2019,2,6)</f>
        <v>0</v>
      </c>
      <c r="C4038" s="3" t="n">
        <v>43502</v>
      </c>
      <c r="D4038" s="2" t="s">
        <v>30374</v>
      </c>
      <c r="F4038" s="2" t="s">
        <v>30375</v>
      </c>
      <c r="G4038" s="2" t="s">
        <v>30376</v>
      </c>
      <c r="H4038" s="2" t="s">
        <v>30377</v>
      </c>
      <c r="I4038" s="2" t="s">
        <v>3501</v>
      </c>
      <c r="J4038" s="2" t="s">
        <v>35</v>
      </c>
      <c r="K4038" s="2" t="s">
        <v>30374</v>
      </c>
      <c r="L4038" s="2" t="s">
        <v>3501</v>
      </c>
      <c r="M4038" s="2" t="s">
        <v>30377</v>
      </c>
      <c r="N4038" s="2" t="s">
        <v>30378</v>
      </c>
      <c r="O4038" s="2"/>
      <c r="P4038" s="2" t="s">
        <v>37</v>
      </c>
      <c r="Q4038" s="4" t="n">
        <v>8731</v>
      </c>
      <c r="R4038" s="2" t="s">
        <v>136</v>
      </c>
      <c r="S4038" s="2" t="s">
        <v>39</v>
      </c>
      <c r="T4038" s="2" t="s">
        <v>40</v>
      </c>
      <c r="U4038" s="2" t="s">
        <v>30379</v>
      </c>
      <c r="V4038" s="2"/>
      <c r="W4038" s="2" t="s">
        <v>30380</v>
      </c>
      <c r="X4038" s="2" t="s">
        <v>43</v>
      </c>
      <c r="Y4038" s="2" t="s">
        <v>37</v>
      </c>
      <c r="Z4038" s="2" t="s">
        <v>44</v>
      </c>
      <c r="AA4038" s="2"/>
      <c r="AB4038" s="2"/>
      <c r="AC4038" s="2" t="s">
        <v>30381</v>
      </c>
      <c r="AD4038" s="2" t="s">
        <v>46</v>
      </c>
    </row>
    <row r="4039" customFormat="false" ht="15.7" hidden="false" customHeight="true" outlineLevel="0" collapsed="false">
      <c r="A4039" s="2"/>
      <c r="B4039" s="3" t="n">
        <f aca="false">DATE(2019,2,7)</f>
        <v>0</v>
      </c>
      <c r="C4039" s="3" t="n">
        <v>43503</v>
      </c>
      <c r="D4039" s="2" t="s">
        <v>30382</v>
      </c>
      <c r="F4039" s="2" t="s">
        <v>30383</v>
      </c>
      <c r="G4039" s="2" t="s">
        <v>30384</v>
      </c>
      <c r="H4039" s="2" t="s">
        <v>30385</v>
      </c>
      <c r="I4039" s="2" t="s">
        <v>410</v>
      </c>
      <c r="J4039" s="2" t="s">
        <v>331</v>
      </c>
      <c r="K4039" s="2" t="s">
        <v>30382</v>
      </c>
      <c r="L4039" s="2" t="s">
        <v>410</v>
      </c>
      <c r="M4039" s="2" t="s">
        <v>30385</v>
      </c>
      <c r="N4039" s="2" t="s">
        <v>30386</v>
      </c>
      <c r="O4039" s="2"/>
      <c r="P4039" s="2" t="s">
        <v>37</v>
      </c>
      <c r="Q4039" s="4" t="n">
        <v>8099</v>
      </c>
      <c r="R4039" s="2" t="s">
        <v>56</v>
      </c>
      <c r="S4039" s="2"/>
      <c r="T4039" s="2" t="s">
        <v>40</v>
      </c>
      <c r="U4039" s="2" t="s">
        <v>30387</v>
      </c>
      <c r="V4039" s="2"/>
      <c r="W4039" s="2" t="s">
        <v>4487</v>
      </c>
      <c r="X4039" s="2" t="s">
        <v>43</v>
      </c>
      <c r="Y4039" s="2" t="s">
        <v>37</v>
      </c>
      <c r="Z4039" s="2" t="s">
        <v>44</v>
      </c>
      <c r="AA4039" s="2"/>
      <c r="AB4039" s="2"/>
      <c r="AC4039" s="2" t="s">
        <v>30388</v>
      </c>
      <c r="AD4039" s="2" t="s">
        <v>46</v>
      </c>
    </row>
    <row r="4040" customFormat="false" ht="15.7" hidden="false" customHeight="true" outlineLevel="0" collapsed="false">
      <c r="A4040" s="2"/>
      <c r="B4040" s="3" t="n">
        <f aca="false">DATE(2019,2,7)</f>
        <v>0</v>
      </c>
      <c r="C4040" s="3" t="n">
        <v>43503</v>
      </c>
      <c r="D4040" s="2" t="s">
        <v>30389</v>
      </c>
      <c r="F4040" s="2" t="s">
        <v>30390</v>
      </c>
      <c r="G4040" s="2" t="s">
        <v>30391</v>
      </c>
      <c r="H4040" s="2" t="s">
        <v>63</v>
      </c>
      <c r="I4040" s="2" t="s">
        <v>685</v>
      </c>
      <c r="J4040" s="2" t="s">
        <v>35</v>
      </c>
      <c r="K4040" s="2" t="s">
        <v>30389</v>
      </c>
      <c r="L4040" s="2" t="s">
        <v>685</v>
      </c>
      <c r="M4040" s="2" t="s">
        <v>63</v>
      </c>
      <c r="N4040" s="2" t="s">
        <v>30392</v>
      </c>
      <c r="O4040" s="2"/>
      <c r="P4040" s="2" t="s">
        <v>79</v>
      </c>
      <c r="Q4040" s="4" t="n">
        <v>6794</v>
      </c>
      <c r="R4040" s="2" t="s">
        <v>688</v>
      </c>
      <c r="S4040" s="2" t="s">
        <v>39</v>
      </c>
      <c r="T4040" s="2" t="s">
        <v>40</v>
      </c>
      <c r="U4040" s="2" t="s">
        <v>30393</v>
      </c>
      <c r="V4040" s="2"/>
      <c r="W4040" s="2" t="s">
        <v>82</v>
      </c>
      <c r="X4040" s="2" t="s">
        <v>43</v>
      </c>
      <c r="Y4040" s="2" t="s">
        <v>37</v>
      </c>
      <c r="Z4040" s="2" t="s">
        <v>44</v>
      </c>
      <c r="AA4040" s="2"/>
      <c r="AB4040" s="2"/>
      <c r="AC4040" s="2" t="s">
        <v>30394</v>
      </c>
      <c r="AD4040" s="2" t="s">
        <v>46</v>
      </c>
    </row>
    <row r="4041" customFormat="false" ht="15.7" hidden="false" customHeight="true" outlineLevel="0" collapsed="false">
      <c r="A4041" s="2"/>
      <c r="B4041" s="3" t="n">
        <f aca="false">DATE(2019,2,7)</f>
        <v>0</v>
      </c>
      <c r="C4041" s="3" t="n">
        <v>43503</v>
      </c>
      <c r="D4041" s="2" t="s">
        <v>30395</v>
      </c>
      <c r="F4041" s="2" t="s">
        <v>30396</v>
      </c>
      <c r="G4041" s="2" t="s">
        <v>30397</v>
      </c>
      <c r="H4041" s="2" t="s">
        <v>30398</v>
      </c>
      <c r="I4041" s="2" t="s">
        <v>4179</v>
      </c>
      <c r="J4041" s="2" t="s">
        <v>9076</v>
      </c>
      <c r="K4041" s="2" t="s">
        <v>30399</v>
      </c>
      <c r="L4041" s="2" t="s">
        <v>4179</v>
      </c>
      <c r="M4041" s="2" t="s">
        <v>30398</v>
      </c>
      <c r="N4041" s="2" t="s">
        <v>30400</v>
      </c>
      <c r="O4041" s="2"/>
      <c r="P4041" s="2" t="s">
        <v>37</v>
      </c>
      <c r="Q4041" s="4" t="n">
        <v>8731</v>
      </c>
      <c r="R4041" s="2" t="s">
        <v>56</v>
      </c>
      <c r="S4041" s="2"/>
      <c r="T4041" s="2" t="s">
        <v>403</v>
      </c>
      <c r="U4041" s="2" t="s">
        <v>30401</v>
      </c>
      <c r="V4041" s="2"/>
      <c r="W4041" s="2" t="s">
        <v>42</v>
      </c>
      <c r="X4041" s="2" t="s">
        <v>46</v>
      </c>
      <c r="Y4041" s="2" t="s">
        <v>37</v>
      </c>
      <c r="Z4041" s="2" t="s">
        <v>44</v>
      </c>
      <c r="AA4041" s="2"/>
      <c r="AB4041" s="2"/>
      <c r="AC4041" s="2" t="s">
        <v>30402</v>
      </c>
      <c r="AD4041" s="2" t="s">
        <v>46</v>
      </c>
    </row>
    <row r="4042" customFormat="false" ht="15.7" hidden="false" customHeight="true" outlineLevel="0" collapsed="false">
      <c r="A4042" s="2"/>
      <c r="B4042" s="3" t="n">
        <f aca="false">DATE(2019,2,7)</f>
        <v>0</v>
      </c>
      <c r="C4042" s="3" t="n">
        <v>43503</v>
      </c>
      <c r="D4042" s="2" t="s">
        <v>30403</v>
      </c>
      <c r="F4042" s="2" t="s">
        <v>30404</v>
      </c>
      <c r="G4042" s="2" t="s">
        <v>30405</v>
      </c>
      <c r="H4042" s="2" t="s">
        <v>305</v>
      </c>
      <c r="I4042" s="2" t="s">
        <v>9614</v>
      </c>
      <c r="J4042" s="2" t="s">
        <v>35</v>
      </c>
      <c r="K4042" s="2" t="s">
        <v>30403</v>
      </c>
      <c r="L4042" s="2" t="s">
        <v>9614</v>
      </c>
      <c r="M4042" s="2" t="s">
        <v>305</v>
      </c>
      <c r="N4042" s="2" t="s">
        <v>30406</v>
      </c>
      <c r="O4042" s="2"/>
      <c r="P4042" s="2" t="s">
        <v>37</v>
      </c>
      <c r="Q4042" s="4" t="n">
        <v>8731</v>
      </c>
      <c r="R4042" s="2" t="s">
        <v>5704</v>
      </c>
      <c r="S4042" s="2" t="s">
        <v>39</v>
      </c>
      <c r="T4042" s="2" t="s">
        <v>40</v>
      </c>
      <c r="U4042" s="2" t="s">
        <v>30407</v>
      </c>
      <c r="V4042" s="2"/>
      <c r="W4042" s="2" t="s">
        <v>344</v>
      </c>
      <c r="X4042" s="2" t="s">
        <v>43</v>
      </c>
      <c r="Y4042" s="2" t="s">
        <v>37</v>
      </c>
      <c r="Z4042" s="2" t="s">
        <v>44</v>
      </c>
      <c r="AA4042" s="2"/>
      <c r="AB4042" s="2"/>
      <c r="AC4042" s="2" t="s">
        <v>30408</v>
      </c>
      <c r="AD4042" s="2" t="s">
        <v>46</v>
      </c>
    </row>
    <row r="4043" customFormat="false" ht="15.7" hidden="false" customHeight="true" outlineLevel="0" collapsed="false">
      <c r="A4043" s="2"/>
      <c r="B4043" s="3" t="n">
        <f aca="false">DATE(2019,2,7)</f>
        <v>0</v>
      </c>
      <c r="C4043" s="3" t="n">
        <v>43503</v>
      </c>
      <c r="D4043" s="2" t="s">
        <v>30409</v>
      </c>
      <c r="F4043" s="2" t="s">
        <v>18436</v>
      </c>
      <c r="G4043" s="2" t="s">
        <v>30410</v>
      </c>
      <c r="H4043" s="2" t="s">
        <v>523</v>
      </c>
      <c r="I4043" s="2" t="s">
        <v>1415</v>
      </c>
      <c r="J4043" s="2" t="s">
        <v>65</v>
      </c>
      <c r="K4043" s="2" t="s">
        <v>30409</v>
      </c>
      <c r="L4043" s="2" t="s">
        <v>1415</v>
      </c>
      <c r="M4043" s="2" t="s">
        <v>523</v>
      </c>
      <c r="N4043" s="2" t="s">
        <v>30411</v>
      </c>
      <c r="O4043" s="2"/>
      <c r="P4043" s="2" t="s">
        <v>37</v>
      </c>
      <c r="Q4043" s="4" t="n">
        <v>8731</v>
      </c>
      <c r="R4043" s="2" t="s">
        <v>136</v>
      </c>
      <c r="S4043" s="2" t="s">
        <v>39</v>
      </c>
      <c r="T4043" s="2" t="s">
        <v>40</v>
      </c>
      <c r="U4043" s="2" t="s">
        <v>30412</v>
      </c>
      <c r="V4043" s="2"/>
      <c r="W4043" s="2" t="s">
        <v>42</v>
      </c>
      <c r="X4043" s="2" t="s">
        <v>43</v>
      </c>
      <c r="Y4043" s="2" t="s">
        <v>37</v>
      </c>
      <c r="Z4043" s="2" t="s">
        <v>44</v>
      </c>
      <c r="AA4043" s="2"/>
      <c r="AB4043" s="2"/>
      <c r="AC4043" s="2" t="s">
        <v>30413</v>
      </c>
      <c r="AD4043" s="2" t="s">
        <v>46</v>
      </c>
    </row>
    <row r="4044" customFormat="false" ht="15.7" hidden="false" customHeight="true" outlineLevel="0" collapsed="false">
      <c r="A4044" s="2"/>
      <c r="B4044" s="3" t="n">
        <f aca="false">DATE(2019,2,11)</f>
        <v>0</v>
      </c>
      <c r="C4044" s="3" t="n">
        <v>43507</v>
      </c>
      <c r="D4044" s="2" t="s">
        <v>30414</v>
      </c>
      <c r="F4044" s="2" t="s">
        <v>30415</v>
      </c>
      <c r="G4044" s="2" t="s">
        <v>30416</v>
      </c>
      <c r="H4044" s="2" t="s">
        <v>4956</v>
      </c>
      <c r="I4044" s="2" t="s">
        <v>530</v>
      </c>
      <c r="J4044" s="2" t="s">
        <v>35</v>
      </c>
      <c r="K4044" s="2" t="s">
        <v>30414</v>
      </c>
      <c r="L4044" s="2" t="s">
        <v>530</v>
      </c>
      <c r="M4044" s="2" t="s">
        <v>4956</v>
      </c>
      <c r="N4044" s="2" t="s">
        <v>30417</v>
      </c>
      <c r="O4044" s="2"/>
      <c r="P4044" s="2" t="s">
        <v>37</v>
      </c>
      <c r="Q4044" s="4" t="n">
        <v>8731</v>
      </c>
      <c r="R4044" s="2" t="s">
        <v>2201</v>
      </c>
      <c r="S4044" s="2" t="s">
        <v>39</v>
      </c>
      <c r="T4044" s="2" t="s">
        <v>403</v>
      </c>
      <c r="U4044" s="2" t="s">
        <v>30418</v>
      </c>
      <c r="V4044" s="2"/>
      <c r="W4044" s="2" t="s">
        <v>42</v>
      </c>
      <c r="X4044" s="2" t="s">
        <v>43</v>
      </c>
      <c r="Y4044" s="2" t="s">
        <v>37</v>
      </c>
      <c r="Z4044" s="2" t="s">
        <v>44</v>
      </c>
      <c r="AA4044" s="2"/>
      <c r="AB4044" s="2"/>
      <c r="AC4044" s="2" t="s">
        <v>30419</v>
      </c>
      <c r="AD4044" s="2" t="s">
        <v>46</v>
      </c>
    </row>
    <row r="4045" customFormat="false" ht="15.7" hidden="false" customHeight="true" outlineLevel="0" collapsed="false">
      <c r="A4045" s="2"/>
      <c r="B4045" s="3" t="n">
        <f aca="false">DATE(2019,2,11)</f>
        <v>0</v>
      </c>
      <c r="C4045" s="3" t="n">
        <v>43507</v>
      </c>
      <c r="D4045" s="2" t="s">
        <v>30420</v>
      </c>
      <c r="F4045" s="2" t="s">
        <v>22407</v>
      </c>
      <c r="G4045" s="2" t="s">
        <v>30421</v>
      </c>
      <c r="H4045" s="2" t="s">
        <v>762</v>
      </c>
      <c r="I4045" s="2" t="s">
        <v>51</v>
      </c>
      <c r="J4045" s="2" t="s">
        <v>7353</v>
      </c>
      <c r="K4045" s="2" t="s">
        <v>30420</v>
      </c>
      <c r="L4045" s="2" t="s">
        <v>51</v>
      </c>
      <c r="M4045" s="2" t="s">
        <v>762</v>
      </c>
      <c r="N4045" s="2" t="s">
        <v>30422</v>
      </c>
      <c r="O4045" s="2"/>
      <c r="P4045" s="2" t="s">
        <v>37</v>
      </c>
      <c r="Q4045" s="4" t="n">
        <v>8731</v>
      </c>
      <c r="R4045" s="2" t="s">
        <v>56</v>
      </c>
      <c r="S4045" s="2"/>
      <c r="T4045" s="2" t="s">
        <v>40</v>
      </c>
      <c r="U4045" s="2" t="s">
        <v>30423</v>
      </c>
      <c r="V4045" s="2"/>
      <c r="W4045" s="2" t="s">
        <v>42</v>
      </c>
      <c r="X4045" s="2" t="s">
        <v>43</v>
      </c>
      <c r="Y4045" s="2" t="s">
        <v>37</v>
      </c>
      <c r="Z4045" s="2" t="s">
        <v>44</v>
      </c>
      <c r="AA4045" s="2"/>
      <c r="AB4045" s="2"/>
      <c r="AC4045" s="2" t="s">
        <v>30424</v>
      </c>
      <c r="AD4045" s="2" t="s">
        <v>46</v>
      </c>
    </row>
    <row r="4046" customFormat="false" ht="15.7" hidden="false" customHeight="true" outlineLevel="0" collapsed="false">
      <c r="A4046" s="2"/>
      <c r="B4046" s="3" t="n">
        <f aca="false">DATE(2019,2,11)</f>
        <v>0</v>
      </c>
      <c r="C4046" s="3" t="n">
        <v>43507</v>
      </c>
      <c r="D4046" s="2" t="s">
        <v>30425</v>
      </c>
      <c r="F4046" s="2" t="s">
        <v>30426</v>
      </c>
      <c r="G4046" s="2" t="s">
        <v>30427</v>
      </c>
      <c r="H4046" s="2" t="s">
        <v>30428</v>
      </c>
      <c r="I4046" s="2" t="s">
        <v>51</v>
      </c>
      <c r="J4046" s="2" t="s">
        <v>2816</v>
      </c>
      <c r="K4046" s="2" t="s">
        <v>30429</v>
      </c>
      <c r="L4046" s="2" t="s">
        <v>51</v>
      </c>
      <c r="M4046" s="2" t="s">
        <v>18876</v>
      </c>
      <c r="N4046" s="2" t="s">
        <v>30430</v>
      </c>
      <c r="O4046" s="2"/>
      <c r="P4046" s="2" t="s">
        <v>37</v>
      </c>
      <c r="Q4046" s="4" t="n">
        <v>7372</v>
      </c>
      <c r="R4046" s="2" t="s">
        <v>136</v>
      </c>
      <c r="S4046" s="2" t="s">
        <v>39</v>
      </c>
      <c r="T4046" s="2" t="s">
        <v>40</v>
      </c>
      <c r="U4046" s="2" t="s">
        <v>30431</v>
      </c>
      <c r="V4046" s="2"/>
      <c r="W4046" s="2" t="s">
        <v>6066</v>
      </c>
      <c r="X4046" s="2" t="s">
        <v>43</v>
      </c>
      <c r="Y4046" s="2" t="s">
        <v>37</v>
      </c>
      <c r="Z4046" s="2" t="s">
        <v>44</v>
      </c>
      <c r="AA4046" s="2"/>
      <c r="AB4046" s="2"/>
      <c r="AC4046" s="2" t="s">
        <v>30432</v>
      </c>
      <c r="AD4046" s="2" t="s">
        <v>46</v>
      </c>
    </row>
    <row r="4047" customFormat="false" ht="15.7" hidden="false" customHeight="true" outlineLevel="0" collapsed="false">
      <c r="A4047" s="2"/>
      <c r="B4047" s="3" t="n">
        <f aca="false">DATE(2019,2,12)</f>
        <v>0</v>
      </c>
      <c r="C4047" s="3" t="n">
        <v>43508</v>
      </c>
      <c r="D4047" s="2" t="s">
        <v>30433</v>
      </c>
      <c r="F4047" s="2" t="s">
        <v>21382</v>
      </c>
      <c r="G4047" s="2" t="s">
        <v>30434</v>
      </c>
      <c r="H4047" s="2" t="s">
        <v>63</v>
      </c>
      <c r="I4047" s="2" t="s">
        <v>51</v>
      </c>
      <c r="J4047" s="2" t="s">
        <v>30435</v>
      </c>
      <c r="K4047" s="2" t="s">
        <v>30433</v>
      </c>
      <c r="L4047" s="2" t="s">
        <v>51</v>
      </c>
      <c r="M4047" s="2" t="s">
        <v>63</v>
      </c>
      <c r="N4047" s="2" t="s">
        <v>30436</v>
      </c>
      <c r="O4047" s="2"/>
      <c r="P4047" s="2" t="s">
        <v>37</v>
      </c>
      <c r="Q4047" s="4" t="n">
        <v>8731</v>
      </c>
      <c r="R4047" s="2" t="s">
        <v>56</v>
      </c>
      <c r="S4047" s="2"/>
      <c r="T4047" s="2" t="s">
        <v>40</v>
      </c>
      <c r="U4047" s="2" t="s">
        <v>30437</v>
      </c>
      <c r="V4047" s="2"/>
      <c r="W4047" s="2" t="s">
        <v>24450</v>
      </c>
      <c r="X4047" s="2" t="s">
        <v>43</v>
      </c>
      <c r="Y4047" s="2" t="s">
        <v>37</v>
      </c>
      <c r="Z4047" s="2" t="s">
        <v>44</v>
      </c>
      <c r="AA4047" s="2"/>
      <c r="AB4047" s="2"/>
      <c r="AC4047" s="2" t="s">
        <v>30438</v>
      </c>
      <c r="AD4047" s="2" t="s">
        <v>46</v>
      </c>
    </row>
    <row r="4048" customFormat="false" ht="15.7" hidden="false" customHeight="true" outlineLevel="0" collapsed="false">
      <c r="A4048" s="2"/>
      <c r="B4048" s="3" t="n">
        <f aca="false">DATE(2019,2,13)</f>
        <v>0</v>
      </c>
      <c r="C4048" s="3" t="n">
        <v>43509</v>
      </c>
      <c r="D4048" s="2" t="s">
        <v>30439</v>
      </c>
      <c r="F4048" s="2" t="s">
        <v>22407</v>
      </c>
      <c r="G4048" s="2" t="s">
        <v>30440</v>
      </c>
      <c r="H4048" s="2" t="s">
        <v>762</v>
      </c>
      <c r="I4048" s="2" t="s">
        <v>3265</v>
      </c>
      <c r="J4048" s="2" t="s">
        <v>132</v>
      </c>
      <c r="K4048" s="2" t="s">
        <v>30441</v>
      </c>
      <c r="L4048" s="2" t="s">
        <v>3265</v>
      </c>
      <c r="M4048" s="2" t="s">
        <v>523</v>
      </c>
      <c r="N4048" s="2" t="s">
        <v>30442</v>
      </c>
      <c r="O4048" s="2"/>
      <c r="P4048" s="2" t="s">
        <v>37</v>
      </c>
      <c r="Q4048" s="4" t="n">
        <v>6794</v>
      </c>
      <c r="R4048" s="2" t="s">
        <v>402</v>
      </c>
      <c r="S4048" s="2" t="s">
        <v>39</v>
      </c>
      <c r="T4048" s="2" t="s">
        <v>40</v>
      </c>
      <c r="U4048" s="2" t="s">
        <v>30443</v>
      </c>
      <c r="V4048" s="2"/>
      <c r="W4048" s="2" t="s">
        <v>82</v>
      </c>
      <c r="X4048" s="2" t="s">
        <v>43</v>
      </c>
      <c r="Y4048" s="2" t="s">
        <v>37</v>
      </c>
      <c r="Z4048" s="2" t="s">
        <v>44</v>
      </c>
      <c r="AA4048" s="2"/>
      <c r="AB4048" s="2"/>
      <c r="AC4048" s="2" t="s">
        <v>30444</v>
      </c>
      <c r="AD4048" s="2" t="s">
        <v>46</v>
      </c>
    </row>
    <row r="4049" customFormat="false" ht="15.7" hidden="false" customHeight="true" outlineLevel="0" collapsed="false">
      <c r="A4049" s="2"/>
      <c r="B4049" s="3" t="n">
        <f aca="false">DATE(2019,2,13)</f>
        <v>0</v>
      </c>
      <c r="C4049" s="3" t="n">
        <v>43509</v>
      </c>
      <c r="D4049" s="2" t="s">
        <v>30445</v>
      </c>
      <c r="F4049" s="2" t="s">
        <v>30446</v>
      </c>
      <c r="G4049" s="2" t="s">
        <v>30447</v>
      </c>
      <c r="H4049" s="2" t="s">
        <v>6294</v>
      </c>
      <c r="I4049" s="2" t="s">
        <v>330</v>
      </c>
      <c r="J4049" s="2" t="s">
        <v>3231</v>
      </c>
      <c r="K4049" s="2" t="s">
        <v>30448</v>
      </c>
      <c r="L4049" s="2" t="s">
        <v>330</v>
      </c>
      <c r="M4049" s="2" t="s">
        <v>12705</v>
      </c>
      <c r="N4049" s="2" t="s">
        <v>30449</v>
      </c>
      <c r="O4049" s="2" t="s">
        <v>30450</v>
      </c>
      <c r="P4049" s="2" t="s">
        <v>37</v>
      </c>
      <c r="Q4049" s="4" t="n">
        <v>8731</v>
      </c>
      <c r="R4049" s="2" t="s">
        <v>56</v>
      </c>
      <c r="S4049" s="2" t="s">
        <v>380</v>
      </c>
      <c r="T4049" s="2" t="s">
        <v>40</v>
      </c>
      <c r="U4049" s="2" t="s">
        <v>30451</v>
      </c>
      <c r="V4049" s="2"/>
      <c r="W4049" s="2" t="s">
        <v>344</v>
      </c>
      <c r="X4049" s="2" t="s">
        <v>46</v>
      </c>
      <c r="Y4049" s="2" t="s">
        <v>37</v>
      </c>
      <c r="Z4049" s="2" t="s">
        <v>44</v>
      </c>
      <c r="AA4049" s="2"/>
      <c r="AB4049" s="2" t="s">
        <v>30452</v>
      </c>
      <c r="AC4049" s="2" t="s">
        <v>30453</v>
      </c>
      <c r="AD4049" s="2" t="s">
        <v>46</v>
      </c>
    </row>
    <row r="4050" customFormat="false" ht="15.7" hidden="false" customHeight="true" outlineLevel="0" collapsed="false">
      <c r="A4050" s="2"/>
      <c r="B4050" s="3" t="n">
        <f aca="false">DATE(2019,2,14)</f>
        <v>0</v>
      </c>
      <c r="C4050" s="3" t="n">
        <v>43510</v>
      </c>
      <c r="D4050" s="2" t="s">
        <v>30454</v>
      </c>
      <c r="F4050" s="2" t="s">
        <v>18520</v>
      </c>
      <c r="G4050" s="2" t="s">
        <v>30455</v>
      </c>
      <c r="H4050" s="2" t="s">
        <v>1027</v>
      </c>
      <c r="I4050" s="2" t="s">
        <v>1367</v>
      </c>
      <c r="J4050" s="2" t="s">
        <v>35</v>
      </c>
      <c r="K4050" s="2" t="s">
        <v>30454</v>
      </c>
      <c r="L4050" s="2" t="s">
        <v>1367</v>
      </c>
      <c r="M4050" s="2" t="s">
        <v>1027</v>
      </c>
      <c r="N4050" s="2" t="s">
        <v>30456</v>
      </c>
      <c r="O4050" s="2"/>
      <c r="P4050" s="2" t="s">
        <v>37</v>
      </c>
      <c r="Q4050" s="4" t="n">
        <v>8731</v>
      </c>
      <c r="R4050" s="2" t="s">
        <v>136</v>
      </c>
      <c r="S4050" s="2" t="s">
        <v>39</v>
      </c>
      <c r="T4050" s="2" t="s">
        <v>40</v>
      </c>
      <c r="U4050" s="2" t="s">
        <v>30457</v>
      </c>
      <c r="V4050" s="2"/>
      <c r="W4050" s="2" t="s">
        <v>42</v>
      </c>
      <c r="X4050" s="2" t="s">
        <v>43</v>
      </c>
      <c r="Y4050" s="2" t="s">
        <v>37</v>
      </c>
      <c r="Z4050" s="2" t="s">
        <v>44</v>
      </c>
      <c r="AA4050" s="2"/>
      <c r="AB4050" s="2"/>
      <c r="AC4050" s="2" t="s">
        <v>30458</v>
      </c>
      <c r="AD4050" s="2" t="s">
        <v>46</v>
      </c>
    </row>
    <row r="4051" customFormat="false" ht="15.7" hidden="false" customHeight="true" outlineLevel="0" collapsed="false">
      <c r="A4051" s="2"/>
      <c r="B4051" s="3" t="n">
        <f aca="false">DATE(2019,2,14)</f>
        <v>0</v>
      </c>
      <c r="C4051" s="3" t="n">
        <v>43510</v>
      </c>
      <c r="D4051" s="2" t="s">
        <v>30459</v>
      </c>
      <c r="F4051" s="2" t="s">
        <v>20280</v>
      </c>
      <c r="G4051" s="2" t="s">
        <v>30460</v>
      </c>
      <c r="H4051" s="2" t="s">
        <v>170</v>
      </c>
      <c r="I4051" s="2" t="s">
        <v>30461</v>
      </c>
      <c r="J4051" s="2" t="s">
        <v>35</v>
      </c>
      <c r="K4051" s="2" t="s">
        <v>30462</v>
      </c>
      <c r="L4051" s="2" t="s">
        <v>30461</v>
      </c>
      <c r="M4051" s="2" t="s">
        <v>814</v>
      </c>
      <c r="N4051" s="2" t="s">
        <v>30463</v>
      </c>
      <c r="O4051" s="2"/>
      <c r="P4051" s="2" t="s">
        <v>37</v>
      </c>
      <c r="Q4051" s="4" t="n">
        <v>8731</v>
      </c>
      <c r="R4051" s="2" t="s">
        <v>2105</v>
      </c>
      <c r="S4051" s="2" t="s">
        <v>39</v>
      </c>
      <c r="T4051" s="2" t="s">
        <v>40</v>
      </c>
      <c r="U4051" s="2" t="s">
        <v>30464</v>
      </c>
      <c r="V4051" s="2"/>
      <c r="W4051" s="2" t="s">
        <v>15545</v>
      </c>
      <c r="X4051" s="2" t="s">
        <v>43</v>
      </c>
      <c r="Y4051" s="2" t="s">
        <v>37</v>
      </c>
      <c r="Z4051" s="2" t="s">
        <v>44</v>
      </c>
      <c r="AA4051" s="2"/>
      <c r="AB4051" s="2"/>
      <c r="AC4051" s="2" t="s">
        <v>30465</v>
      </c>
      <c r="AD4051" s="2" t="s">
        <v>46</v>
      </c>
    </row>
    <row r="4052" customFormat="false" ht="15.7" hidden="false" customHeight="true" outlineLevel="0" collapsed="false">
      <c r="A4052" s="2"/>
      <c r="B4052" s="3" t="n">
        <f aca="false">DATE(2019,2,15)</f>
        <v>0</v>
      </c>
      <c r="C4052" s="3" t="n">
        <v>43511</v>
      </c>
      <c r="D4052" s="2" t="s">
        <v>30466</v>
      </c>
      <c r="F4052" s="2" t="s">
        <v>30467</v>
      </c>
      <c r="G4052" s="2" t="s">
        <v>30468</v>
      </c>
      <c r="H4052" s="2" t="s">
        <v>14749</v>
      </c>
      <c r="I4052" s="2" t="s">
        <v>51</v>
      </c>
      <c r="J4052" s="2" t="s">
        <v>9507</v>
      </c>
      <c r="K4052" s="2" t="s">
        <v>30466</v>
      </c>
      <c r="L4052" s="2" t="s">
        <v>51</v>
      </c>
      <c r="M4052" s="2" t="s">
        <v>14749</v>
      </c>
      <c r="N4052" s="2" t="s">
        <v>30469</v>
      </c>
      <c r="O4052" s="2"/>
      <c r="P4052" s="2" t="s">
        <v>37</v>
      </c>
      <c r="Q4052" s="4" t="n">
        <v>8731</v>
      </c>
      <c r="R4052" s="2" t="s">
        <v>56</v>
      </c>
      <c r="S4052" s="2"/>
      <c r="T4052" s="2" t="s">
        <v>40</v>
      </c>
      <c r="U4052" s="2" t="s">
        <v>30470</v>
      </c>
      <c r="V4052" s="2"/>
      <c r="W4052" s="2" t="s">
        <v>42</v>
      </c>
      <c r="X4052" s="2" t="s">
        <v>43</v>
      </c>
      <c r="Y4052" s="2" t="s">
        <v>37</v>
      </c>
      <c r="Z4052" s="2" t="s">
        <v>44</v>
      </c>
      <c r="AA4052" s="2"/>
      <c r="AB4052" s="2"/>
      <c r="AC4052" s="2" t="s">
        <v>30471</v>
      </c>
      <c r="AD4052" s="2" t="s">
        <v>46</v>
      </c>
    </row>
    <row r="4053" customFormat="false" ht="15.7" hidden="false" customHeight="true" outlineLevel="0" collapsed="false">
      <c r="A4053" s="2"/>
      <c r="B4053" s="3" t="n">
        <f aca="false">DATE(2019,2,18)</f>
        <v>0</v>
      </c>
      <c r="C4053" s="3" t="n">
        <v>43514</v>
      </c>
      <c r="D4053" s="2" t="s">
        <v>30472</v>
      </c>
      <c r="F4053" s="2" t="s">
        <v>18436</v>
      </c>
      <c r="G4053" s="2" t="s">
        <v>30473</v>
      </c>
      <c r="H4053" s="2" t="s">
        <v>762</v>
      </c>
      <c r="I4053" s="2" t="s">
        <v>8291</v>
      </c>
      <c r="J4053" s="2" t="s">
        <v>35</v>
      </c>
      <c r="K4053" s="2" t="s">
        <v>30474</v>
      </c>
      <c r="L4053" s="2" t="s">
        <v>163</v>
      </c>
      <c r="M4053" s="2" t="s">
        <v>4301</v>
      </c>
      <c r="N4053" s="2" t="s">
        <v>30475</v>
      </c>
      <c r="O4053" s="2"/>
      <c r="P4053" s="2" t="s">
        <v>79</v>
      </c>
      <c r="Q4053" s="4" t="n">
        <v>6794</v>
      </c>
      <c r="R4053" s="2" t="s">
        <v>136</v>
      </c>
      <c r="S4053" s="2" t="s">
        <v>39</v>
      </c>
      <c r="T4053" s="2" t="s">
        <v>40</v>
      </c>
      <c r="U4053" s="2" t="s">
        <v>30476</v>
      </c>
      <c r="V4053" s="2"/>
      <c r="W4053" s="2" t="s">
        <v>82</v>
      </c>
      <c r="X4053" s="2" t="s">
        <v>43</v>
      </c>
      <c r="Y4053" s="2" t="s">
        <v>37</v>
      </c>
      <c r="Z4053" s="2" t="s">
        <v>44</v>
      </c>
      <c r="AA4053" s="2"/>
      <c r="AB4053" s="2"/>
      <c r="AC4053" s="2" t="s">
        <v>30477</v>
      </c>
      <c r="AD4053" s="2" t="s">
        <v>46</v>
      </c>
    </row>
    <row r="4054" customFormat="false" ht="15.7" hidden="false" customHeight="true" outlineLevel="0" collapsed="false">
      <c r="A4054" s="2"/>
      <c r="B4054" s="3" t="n">
        <f aca="false">DATE(2019,2,18)</f>
        <v>0</v>
      </c>
      <c r="C4054" s="3" t="n">
        <v>43514</v>
      </c>
      <c r="D4054" s="2" t="s">
        <v>30478</v>
      </c>
      <c r="F4054" s="2" t="s">
        <v>30479</v>
      </c>
      <c r="G4054" s="2" t="s">
        <v>30480</v>
      </c>
      <c r="H4054" s="2" t="s">
        <v>30481</v>
      </c>
      <c r="I4054" s="2" t="s">
        <v>6838</v>
      </c>
      <c r="J4054" s="2" t="s">
        <v>35</v>
      </c>
      <c r="K4054" s="2" t="s">
        <v>30478</v>
      </c>
      <c r="L4054" s="2" t="s">
        <v>6838</v>
      </c>
      <c r="M4054" s="2" t="s">
        <v>30481</v>
      </c>
      <c r="N4054" s="2" t="s">
        <v>30482</v>
      </c>
      <c r="O4054" s="2"/>
      <c r="P4054" s="2" t="s">
        <v>37</v>
      </c>
      <c r="Q4054" s="4" t="n">
        <v>8731</v>
      </c>
      <c r="R4054" s="2" t="s">
        <v>402</v>
      </c>
      <c r="S4054" s="2" t="s">
        <v>39</v>
      </c>
      <c r="T4054" s="2" t="s">
        <v>403</v>
      </c>
      <c r="U4054" s="2" t="s">
        <v>30483</v>
      </c>
      <c r="V4054" s="2"/>
      <c r="W4054" s="2" t="s">
        <v>42</v>
      </c>
      <c r="X4054" s="2" t="s">
        <v>46</v>
      </c>
      <c r="Y4054" s="2" t="s">
        <v>37</v>
      </c>
      <c r="Z4054" s="2" t="s">
        <v>44</v>
      </c>
      <c r="AA4054" s="2"/>
      <c r="AB4054" s="2"/>
      <c r="AC4054" s="2" t="s">
        <v>30484</v>
      </c>
      <c r="AD4054" s="2" t="s">
        <v>46</v>
      </c>
    </row>
    <row r="4055" customFormat="false" ht="15.7" hidden="false" customHeight="true" outlineLevel="0" collapsed="false">
      <c r="A4055" s="2"/>
      <c r="B4055" s="3" t="n">
        <f aca="false">DATE(2019,2,19)</f>
        <v>0</v>
      </c>
      <c r="C4055" s="3" t="n">
        <v>43515</v>
      </c>
      <c r="D4055" s="2" t="s">
        <v>30485</v>
      </c>
      <c r="F4055" s="2" t="s">
        <v>30486</v>
      </c>
      <c r="G4055" s="2" t="s">
        <v>30487</v>
      </c>
      <c r="H4055" s="2" t="s">
        <v>30488</v>
      </c>
      <c r="I4055" s="2" t="s">
        <v>51</v>
      </c>
      <c r="J4055" s="2" t="s">
        <v>30489</v>
      </c>
      <c r="K4055" s="2" t="s">
        <v>30485</v>
      </c>
      <c r="L4055" s="2" t="s">
        <v>51</v>
      </c>
      <c r="M4055" s="2" t="s">
        <v>30488</v>
      </c>
      <c r="N4055" s="2" t="s">
        <v>30490</v>
      </c>
      <c r="O4055" s="2"/>
      <c r="P4055" s="2" t="s">
        <v>37</v>
      </c>
      <c r="Q4055" s="4" t="n">
        <v>8731</v>
      </c>
      <c r="R4055" s="2" t="s">
        <v>56</v>
      </c>
      <c r="S4055" s="2"/>
      <c r="T4055" s="2" t="s">
        <v>403</v>
      </c>
      <c r="U4055" s="2" t="s">
        <v>30491</v>
      </c>
      <c r="V4055" s="2"/>
      <c r="W4055" s="2" t="s">
        <v>42</v>
      </c>
      <c r="X4055" s="2" t="s">
        <v>43</v>
      </c>
      <c r="Y4055" s="2" t="s">
        <v>37</v>
      </c>
      <c r="Z4055" s="2" t="s">
        <v>44</v>
      </c>
      <c r="AA4055" s="2"/>
      <c r="AB4055" s="2"/>
      <c r="AC4055" s="2" t="s">
        <v>30492</v>
      </c>
      <c r="AD4055" s="2" t="s">
        <v>46</v>
      </c>
    </row>
    <row r="4056" customFormat="false" ht="15.7" hidden="false" customHeight="true" outlineLevel="0" collapsed="false">
      <c r="A4056" s="2"/>
      <c r="B4056" s="3" t="n">
        <f aca="false">DATE(2019,2,19)</f>
        <v>0</v>
      </c>
      <c r="C4056" s="3" t="n">
        <v>43515</v>
      </c>
      <c r="D4056" s="2" t="s">
        <v>30493</v>
      </c>
      <c r="F4056" s="2" t="s">
        <v>2801</v>
      </c>
      <c r="G4056" s="2" t="s">
        <v>30494</v>
      </c>
      <c r="H4056" s="2" t="s">
        <v>130</v>
      </c>
      <c r="I4056" s="2" t="s">
        <v>921</v>
      </c>
      <c r="J4056" s="2" t="s">
        <v>35</v>
      </c>
      <c r="K4056" s="2" t="s">
        <v>30495</v>
      </c>
      <c r="L4056" s="2" t="s">
        <v>921</v>
      </c>
      <c r="M4056" s="2" t="s">
        <v>130</v>
      </c>
      <c r="N4056" s="2" t="s">
        <v>30496</v>
      </c>
      <c r="O4056" s="2"/>
      <c r="P4056" s="2" t="s">
        <v>37</v>
      </c>
      <c r="Q4056" s="4" t="n">
        <v>6794</v>
      </c>
      <c r="R4056" s="2" t="s">
        <v>38</v>
      </c>
      <c r="S4056" s="2" t="s">
        <v>39</v>
      </c>
      <c r="T4056" s="2" t="s">
        <v>40</v>
      </c>
      <c r="U4056" s="2" t="s">
        <v>30497</v>
      </c>
      <c r="V4056" s="2"/>
      <c r="W4056" s="2" t="s">
        <v>233</v>
      </c>
      <c r="X4056" s="2" t="s">
        <v>43</v>
      </c>
      <c r="Y4056" s="2" t="s">
        <v>37</v>
      </c>
      <c r="Z4056" s="2" t="s">
        <v>44</v>
      </c>
      <c r="AA4056" s="2"/>
      <c r="AB4056" s="2"/>
      <c r="AC4056" s="2" t="s">
        <v>30498</v>
      </c>
      <c r="AD4056" s="2" t="s">
        <v>46</v>
      </c>
    </row>
    <row r="4057" customFormat="false" ht="15.7" hidden="false" customHeight="true" outlineLevel="0" collapsed="false">
      <c r="A4057" s="2"/>
      <c r="B4057" s="3" t="n">
        <f aca="false">DATE(2019,2,20)</f>
        <v>0</v>
      </c>
      <c r="C4057" s="3" t="n">
        <v>43516</v>
      </c>
      <c r="D4057" s="2" t="s">
        <v>30499</v>
      </c>
      <c r="F4057" s="2" t="s">
        <v>30500</v>
      </c>
      <c r="G4057" s="2" t="s">
        <v>30501</v>
      </c>
      <c r="H4057" s="2" t="s">
        <v>63</v>
      </c>
      <c r="I4057" s="2" t="s">
        <v>51</v>
      </c>
      <c r="J4057" s="2" t="s">
        <v>30502</v>
      </c>
      <c r="K4057" s="2" t="s">
        <v>30503</v>
      </c>
      <c r="L4057" s="2" t="s">
        <v>51</v>
      </c>
      <c r="M4057" s="2" t="s">
        <v>63</v>
      </c>
      <c r="N4057" s="2" t="s">
        <v>30504</v>
      </c>
      <c r="O4057" s="2"/>
      <c r="P4057" s="2" t="s">
        <v>37</v>
      </c>
      <c r="Q4057" s="4" t="n">
        <v>8731</v>
      </c>
      <c r="R4057" s="2" t="s">
        <v>56</v>
      </c>
      <c r="S4057" s="2"/>
      <c r="T4057" s="2" t="s">
        <v>40</v>
      </c>
      <c r="U4057" s="2" t="s">
        <v>30505</v>
      </c>
      <c r="V4057" s="2"/>
      <c r="W4057" s="2" t="s">
        <v>42</v>
      </c>
      <c r="X4057" s="2" t="s">
        <v>43</v>
      </c>
      <c r="Y4057" s="2" t="s">
        <v>37</v>
      </c>
      <c r="Z4057" s="2" t="s">
        <v>44</v>
      </c>
      <c r="AA4057" s="2"/>
      <c r="AB4057" s="2"/>
      <c r="AC4057" s="2" t="s">
        <v>30506</v>
      </c>
      <c r="AD4057" s="2" t="s">
        <v>46</v>
      </c>
    </row>
    <row r="4058" customFormat="false" ht="15.7" hidden="false" customHeight="true" outlineLevel="0" collapsed="false">
      <c r="A4058" s="2"/>
      <c r="B4058" s="3" t="n">
        <f aca="false">DATE(2019,2,20)</f>
        <v>0</v>
      </c>
      <c r="C4058" s="3" t="n">
        <v>43516</v>
      </c>
      <c r="D4058" s="2" t="s">
        <v>30507</v>
      </c>
      <c r="F4058" s="2" t="s">
        <v>30508</v>
      </c>
      <c r="G4058" s="2" t="s">
        <v>30509</v>
      </c>
      <c r="H4058" s="2" t="s">
        <v>17074</v>
      </c>
      <c r="I4058" s="2" t="s">
        <v>30510</v>
      </c>
      <c r="J4058" s="2" t="s">
        <v>35</v>
      </c>
      <c r="K4058" s="2" t="s">
        <v>30507</v>
      </c>
      <c r="L4058" s="2" t="s">
        <v>30510</v>
      </c>
      <c r="M4058" s="2" t="s">
        <v>17074</v>
      </c>
      <c r="N4058" s="2" t="s">
        <v>30511</v>
      </c>
      <c r="O4058" s="2"/>
      <c r="P4058" s="2" t="s">
        <v>37</v>
      </c>
      <c r="Q4058" s="4" t="n">
        <v>1382</v>
      </c>
      <c r="R4058" s="2" t="s">
        <v>136</v>
      </c>
      <c r="S4058" s="2" t="s">
        <v>39</v>
      </c>
      <c r="T4058" s="2" t="s">
        <v>40</v>
      </c>
      <c r="U4058" s="2" t="s">
        <v>30512</v>
      </c>
      <c r="V4058" s="2"/>
      <c r="W4058" s="2" t="s">
        <v>3182</v>
      </c>
      <c r="X4058" s="2" t="s">
        <v>43</v>
      </c>
      <c r="Y4058" s="2" t="s">
        <v>37</v>
      </c>
      <c r="Z4058" s="2" t="s">
        <v>44</v>
      </c>
      <c r="AA4058" s="2"/>
      <c r="AB4058" s="2"/>
      <c r="AC4058" s="2" t="s">
        <v>30513</v>
      </c>
      <c r="AD4058" s="2" t="s">
        <v>46</v>
      </c>
    </row>
    <row r="4059" customFormat="false" ht="15.7" hidden="false" customHeight="true" outlineLevel="0" collapsed="false">
      <c r="A4059" s="2"/>
      <c r="B4059" s="3" t="n">
        <f aca="false">DATE(2019,2,20)</f>
        <v>0</v>
      </c>
      <c r="C4059" s="3" t="n">
        <v>43516</v>
      </c>
      <c r="D4059" s="2" t="s">
        <v>30514</v>
      </c>
      <c r="F4059" s="2" t="s">
        <v>17957</v>
      </c>
      <c r="G4059" s="2" t="s">
        <v>30515</v>
      </c>
      <c r="H4059" s="2" t="s">
        <v>1020</v>
      </c>
      <c r="I4059" s="2" t="s">
        <v>51</v>
      </c>
      <c r="J4059" s="2" t="s">
        <v>171</v>
      </c>
      <c r="K4059" s="2" t="s">
        <v>30514</v>
      </c>
      <c r="L4059" s="2" t="s">
        <v>51</v>
      </c>
      <c r="M4059" s="2" t="s">
        <v>1020</v>
      </c>
      <c r="N4059" s="2" t="s">
        <v>30516</v>
      </c>
      <c r="O4059" s="2"/>
      <c r="P4059" s="2" t="s">
        <v>37</v>
      </c>
      <c r="Q4059" s="4" t="n">
        <v>8731</v>
      </c>
      <c r="R4059" s="2" t="s">
        <v>56</v>
      </c>
      <c r="S4059" s="2"/>
      <c r="T4059" s="2" t="s">
        <v>403</v>
      </c>
      <c r="U4059" s="2" t="s">
        <v>30517</v>
      </c>
      <c r="V4059" s="2"/>
      <c r="W4059" s="2" t="s">
        <v>42</v>
      </c>
      <c r="X4059" s="2" t="s">
        <v>43</v>
      </c>
      <c r="Y4059" s="2" t="s">
        <v>37</v>
      </c>
      <c r="Z4059" s="2" t="s">
        <v>44</v>
      </c>
      <c r="AA4059" s="2"/>
      <c r="AB4059" s="2"/>
      <c r="AC4059" s="2" t="s">
        <v>30518</v>
      </c>
      <c r="AD4059" s="2" t="s">
        <v>46</v>
      </c>
    </row>
    <row r="4060" customFormat="false" ht="15.7" hidden="false" customHeight="true" outlineLevel="0" collapsed="false">
      <c r="A4060" s="2"/>
      <c r="B4060" s="3" t="n">
        <f aca="false">DATE(2019,2,20)</f>
        <v>0</v>
      </c>
      <c r="C4060" s="3" t="n">
        <v>43516</v>
      </c>
      <c r="D4060" s="2" t="s">
        <v>30519</v>
      </c>
      <c r="F4060" s="2" t="s">
        <v>24008</v>
      </c>
      <c r="G4060" s="2" t="s">
        <v>30520</v>
      </c>
      <c r="H4060" s="2" t="s">
        <v>1473</v>
      </c>
      <c r="I4060" s="2" t="s">
        <v>51</v>
      </c>
      <c r="J4060" s="2" t="s">
        <v>2190</v>
      </c>
      <c r="K4060" s="2" t="s">
        <v>30519</v>
      </c>
      <c r="L4060" s="2" t="s">
        <v>51</v>
      </c>
      <c r="M4060" s="2" t="s">
        <v>1473</v>
      </c>
      <c r="N4060" s="2" t="s">
        <v>30521</v>
      </c>
      <c r="O4060" s="2"/>
      <c r="P4060" s="2" t="s">
        <v>37</v>
      </c>
      <c r="Q4060" s="4" t="n">
        <v>8731</v>
      </c>
      <c r="R4060" s="2" t="s">
        <v>56</v>
      </c>
      <c r="S4060" s="2"/>
      <c r="T4060" s="2" t="s">
        <v>403</v>
      </c>
      <c r="U4060" s="2" t="s">
        <v>30522</v>
      </c>
      <c r="V4060" s="2"/>
      <c r="W4060" s="2" t="s">
        <v>42</v>
      </c>
      <c r="X4060" s="2" t="s">
        <v>43</v>
      </c>
      <c r="Y4060" s="2" t="s">
        <v>37</v>
      </c>
      <c r="Z4060" s="2" t="s">
        <v>44</v>
      </c>
      <c r="AA4060" s="2"/>
      <c r="AB4060" s="2"/>
      <c r="AC4060" s="2" t="s">
        <v>30523</v>
      </c>
      <c r="AD4060" s="2" t="s">
        <v>46</v>
      </c>
    </row>
    <row r="4061" customFormat="false" ht="15.7" hidden="false" customHeight="true" outlineLevel="0" collapsed="false">
      <c r="A4061" s="2"/>
      <c r="B4061" s="3" t="n">
        <f aca="false">DATE(2019,2,21)</f>
        <v>0</v>
      </c>
      <c r="C4061" s="3" t="n">
        <v>43517</v>
      </c>
      <c r="D4061" s="2" t="s">
        <v>30524</v>
      </c>
      <c r="F4061" s="2" t="s">
        <v>18520</v>
      </c>
      <c r="G4061" s="2" t="s">
        <v>30525</v>
      </c>
      <c r="H4061" s="2" t="s">
        <v>1027</v>
      </c>
      <c r="I4061" s="2" t="s">
        <v>51</v>
      </c>
      <c r="J4061" s="2" t="s">
        <v>16219</v>
      </c>
      <c r="K4061" s="2" t="s">
        <v>30524</v>
      </c>
      <c r="L4061" s="2" t="s">
        <v>51</v>
      </c>
      <c r="M4061" s="2" t="s">
        <v>1027</v>
      </c>
      <c r="N4061" s="2" t="s">
        <v>30526</v>
      </c>
      <c r="O4061" s="2"/>
      <c r="P4061" s="2" t="s">
        <v>37</v>
      </c>
      <c r="Q4061" s="4" t="n">
        <v>8099</v>
      </c>
      <c r="R4061" s="2" t="s">
        <v>56</v>
      </c>
      <c r="S4061" s="2"/>
      <c r="T4061" s="2" t="s">
        <v>403</v>
      </c>
      <c r="U4061" s="2" t="s">
        <v>30527</v>
      </c>
      <c r="V4061" s="2"/>
      <c r="W4061" s="2" t="s">
        <v>4487</v>
      </c>
      <c r="X4061" s="2" t="s">
        <v>43</v>
      </c>
      <c r="Y4061" s="2" t="s">
        <v>37</v>
      </c>
      <c r="Z4061" s="2" t="s">
        <v>44</v>
      </c>
      <c r="AA4061" s="2"/>
      <c r="AB4061" s="2"/>
      <c r="AC4061" s="2" t="s">
        <v>30528</v>
      </c>
      <c r="AD4061" s="2" t="s">
        <v>46</v>
      </c>
    </row>
    <row r="4062" customFormat="false" ht="15.7" hidden="false" customHeight="true" outlineLevel="0" collapsed="false">
      <c r="A4062" s="2"/>
      <c r="B4062" s="3" t="n">
        <f aca="false">DATE(2019,2,21)</f>
        <v>0</v>
      </c>
      <c r="C4062" s="3" t="n">
        <v>43517</v>
      </c>
      <c r="D4062" s="2" t="s">
        <v>30529</v>
      </c>
      <c r="F4062" s="2" t="s">
        <v>30530</v>
      </c>
      <c r="G4062" s="2" t="s">
        <v>30531</v>
      </c>
      <c r="H4062" s="2" t="s">
        <v>24578</v>
      </c>
      <c r="I4062" s="2" t="s">
        <v>7116</v>
      </c>
      <c r="J4062" s="2" t="s">
        <v>4383</v>
      </c>
      <c r="K4062" s="2" t="s">
        <v>30529</v>
      </c>
      <c r="L4062" s="2" t="s">
        <v>7116</v>
      </c>
      <c r="M4062" s="2" t="s">
        <v>24578</v>
      </c>
      <c r="N4062" s="2" t="s">
        <v>30532</v>
      </c>
      <c r="O4062" s="2"/>
      <c r="P4062" s="2" t="s">
        <v>37</v>
      </c>
      <c r="Q4062" s="4" t="n">
        <v>8731</v>
      </c>
      <c r="R4062" s="2" t="s">
        <v>56</v>
      </c>
      <c r="S4062" s="2"/>
      <c r="T4062" s="2" t="s">
        <v>403</v>
      </c>
      <c r="U4062" s="2" t="s">
        <v>30533</v>
      </c>
      <c r="V4062" s="2"/>
      <c r="W4062" s="2" t="s">
        <v>13346</v>
      </c>
      <c r="X4062" s="2" t="s">
        <v>46</v>
      </c>
      <c r="Y4062" s="2" t="s">
        <v>37</v>
      </c>
      <c r="Z4062" s="2" t="s">
        <v>44</v>
      </c>
      <c r="AA4062" s="2"/>
      <c r="AB4062" s="2"/>
      <c r="AC4062" s="2" t="s">
        <v>30534</v>
      </c>
      <c r="AD4062" s="2" t="s">
        <v>46</v>
      </c>
    </row>
    <row r="4063" customFormat="false" ht="15.7" hidden="false" customHeight="true" outlineLevel="0" collapsed="false">
      <c r="A4063" s="2"/>
      <c r="B4063" s="3" t="n">
        <f aca="false">DATE(2019,2,22)</f>
        <v>0</v>
      </c>
      <c r="C4063" s="3" t="n">
        <v>43518</v>
      </c>
      <c r="D4063" s="2" t="s">
        <v>30535</v>
      </c>
      <c r="F4063" s="2" t="s">
        <v>5969</v>
      </c>
      <c r="G4063" s="2" t="s">
        <v>30536</v>
      </c>
      <c r="H4063" s="2" t="s">
        <v>3500</v>
      </c>
      <c r="I4063" s="2" t="s">
        <v>369</v>
      </c>
      <c r="J4063" s="2" t="s">
        <v>35</v>
      </c>
      <c r="K4063" s="2" t="s">
        <v>30535</v>
      </c>
      <c r="L4063" s="2" t="s">
        <v>369</v>
      </c>
      <c r="M4063" s="2" t="s">
        <v>3500</v>
      </c>
      <c r="N4063" s="2" t="s">
        <v>30537</v>
      </c>
      <c r="O4063" s="2"/>
      <c r="P4063" s="2" t="s">
        <v>37</v>
      </c>
      <c r="Q4063" s="4" t="n">
        <v>8731</v>
      </c>
      <c r="R4063" s="2" t="s">
        <v>105</v>
      </c>
      <c r="S4063" s="2" t="s">
        <v>39</v>
      </c>
      <c r="T4063" s="2" t="s">
        <v>403</v>
      </c>
      <c r="U4063" s="2" t="s">
        <v>30538</v>
      </c>
      <c r="V4063" s="2"/>
      <c r="W4063" s="2" t="s">
        <v>10912</v>
      </c>
      <c r="X4063" s="2" t="s">
        <v>46</v>
      </c>
      <c r="Y4063" s="2" t="s">
        <v>37</v>
      </c>
      <c r="Z4063" s="2" t="s">
        <v>362</v>
      </c>
      <c r="AA4063" s="2" t="s">
        <v>30539</v>
      </c>
      <c r="AB4063" s="2"/>
      <c r="AC4063" s="2" t="s">
        <v>30540</v>
      </c>
      <c r="AD4063" s="2" t="s">
        <v>46</v>
      </c>
    </row>
    <row r="4064" customFormat="false" ht="15.7" hidden="false" customHeight="true" outlineLevel="0" collapsed="false">
      <c r="A4064" s="2"/>
      <c r="B4064" s="3" t="n">
        <f aca="false">DATE(2019,2,25)</f>
        <v>0</v>
      </c>
      <c r="C4064" s="3" t="n">
        <v>43521</v>
      </c>
      <c r="D4064" s="2" t="s">
        <v>30541</v>
      </c>
      <c r="F4064" s="2" t="s">
        <v>2801</v>
      </c>
      <c r="G4064" s="2" t="s">
        <v>30542</v>
      </c>
      <c r="H4064" s="2" t="s">
        <v>130</v>
      </c>
      <c r="I4064" s="2" t="s">
        <v>100</v>
      </c>
      <c r="J4064" s="2" t="s">
        <v>6170</v>
      </c>
      <c r="K4064" s="2" t="s">
        <v>30543</v>
      </c>
      <c r="L4064" s="2" t="s">
        <v>30544</v>
      </c>
      <c r="M4064" s="2" t="s">
        <v>717</v>
      </c>
      <c r="N4064" s="2" t="s">
        <v>30545</v>
      </c>
      <c r="O4064" s="2"/>
      <c r="P4064" s="2" t="s">
        <v>37</v>
      </c>
      <c r="Q4064" s="4" t="n">
        <v>8731</v>
      </c>
      <c r="R4064" s="2" t="s">
        <v>2201</v>
      </c>
      <c r="S4064" s="2" t="s">
        <v>39</v>
      </c>
      <c r="T4064" s="2" t="s">
        <v>403</v>
      </c>
      <c r="U4064" s="2" t="s">
        <v>30546</v>
      </c>
      <c r="V4064" s="2"/>
      <c r="W4064" s="2" t="s">
        <v>42</v>
      </c>
      <c r="X4064" s="2" t="s">
        <v>43</v>
      </c>
      <c r="Y4064" s="2" t="s">
        <v>37</v>
      </c>
      <c r="Z4064" s="2" t="s">
        <v>44</v>
      </c>
      <c r="AA4064" s="2"/>
      <c r="AB4064" s="2"/>
      <c r="AC4064" s="2" t="s">
        <v>30547</v>
      </c>
      <c r="AD4064" s="2" t="s">
        <v>46</v>
      </c>
    </row>
    <row r="4065" customFormat="false" ht="15.7" hidden="false" customHeight="true" outlineLevel="0" collapsed="false">
      <c r="A4065" s="2"/>
      <c r="B4065" s="3" t="n">
        <f aca="false">DATE(2019,2,26)</f>
        <v>0</v>
      </c>
      <c r="C4065" s="3" t="n">
        <v>43522</v>
      </c>
      <c r="D4065" s="2" t="s">
        <v>30548</v>
      </c>
      <c r="F4065" s="2" t="s">
        <v>30549</v>
      </c>
      <c r="G4065" s="2" t="s">
        <v>30550</v>
      </c>
      <c r="H4065" s="2" t="s">
        <v>1027</v>
      </c>
      <c r="I4065" s="2" t="s">
        <v>51</v>
      </c>
      <c r="J4065" s="2" t="s">
        <v>25623</v>
      </c>
      <c r="K4065" s="2" t="s">
        <v>30548</v>
      </c>
      <c r="L4065" s="2" t="s">
        <v>51</v>
      </c>
      <c r="M4065" s="2" t="s">
        <v>1027</v>
      </c>
      <c r="N4065" s="2" t="s">
        <v>30551</v>
      </c>
      <c r="O4065" s="2"/>
      <c r="P4065" s="2" t="s">
        <v>37</v>
      </c>
      <c r="Q4065" s="4" t="n">
        <v>8731</v>
      </c>
      <c r="R4065" s="2" t="s">
        <v>56</v>
      </c>
      <c r="S4065" s="2" t="s">
        <v>3429</v>
      </c>
      <c r="T4065" s="2" t="s">
        <v>40</v>
      </c>
      <c r="U4065" s="2" t="s">
        <v>30552</v>
      </c>
      <c r="V4065" s="2"/>
      <c r="W4065" s="2" t="s">
        <v>24466</v>
      </c>
      <c r="X4065" s="2" t="s">
        <v>43</v>
      </c>
      <c r="Y4065" s="2" t="s">
        <v>37</v>
      </c>
      <c r="Z4065" s="2" t="s">
        <v>44</v>
      </c>
      <c r="AA4065" s="2"/>
      <c r="AB4065" s="2"/>
      <c r="AC4065" s="2" t="s">
        <v>30553</v>
      </c>
      <c r="AD4065" s="2" t="s">
        <v>46</v>
      </c>
    </row>
    <row r="4066" customFormat="false" ht="15.7" hidden="false" customHeight="true" outlineLevel="0" collapsed="false">
      <c r="A4066" s="2"/>
      <c r="B4066" s="3" t="n">
        <f aca="false">DATE(2019,2,26)</f>
        <v>0</v>
      </c>
      <c r="C4066" s="3" t="n">
        <v>43522</v>
      </c>
      <c r="D4066" s="2" t="s">
        <v>30554</v>
      </c>
      <c r="F4066" s="2" t="s">
        <v>23707</v>
      </c>
      <c r="G4066" s="2" t="s">
        <v>30555</v>
      </c>
      <c r="H4066" s="2" t="s">
        <v>1101</v>
      </c>
      <c r="I4066" s="2" t="s">
        <v>51</v>
      </c>
      <c r="J4066" s="2" t="s">
        <v>11235</v>
      </c>
      <c r="K4066" s="2" t="s">
        <v>30556</v>
      </c>
      <c r="L4066" s="2" t="s">
        <v>51</v>
      </c>
      <c r="M4066" s="2" t="s">
        <v>305</v>
      </c>
      <c r="N4066" s="2" t="s">
        <v>30557</v>
      </c>
      <c r="O4066" s="2"/>
      <c r="P4066" s="2" t="s">
        <v>37</v>
      </c>
      <c r="Q4066" s="4" t="n">
        <v>8731</v>
      </c>
      <c r="R4066" s="2" t="s">
        <v>56</v>
      </c>
      <c r="S4066" s="2"/>
      <c r="T4066" s="2" t="s">
        <v>40</v>
      </c>
      <c r="U4066" s="2" t="s">
        <v>30558</v>
      </c>
      <c r="V4066" s="2"/>
      <c r="W4066" s="2" t="s">
        <v>42</v>
      </c>
      <c r="X4066" s="2" t="s">
        <v>43</v>
      </c>
      <c r="Y4066" s="2" t="s">
        <v>37</v>
      </c>
      <c r="Z4066" s="2" t="s">
        <v>44</v>
      </c>
      <c r="AA4066" s="2"/>
      <c r="AB4066" s="2"/>
      <c r="AC4066" s="2" t="s">
        <v>30559</v>
      </c>
      <c r="AD4066" s="2" t="s">
        <v>46</v>
      </c>
    </row>
    <row r="4067" customFormat="false" ht="15.7" hidden="false" customHeight="true" outlineLevel="0" collapsed="false">
      <c r="A4067" s="2"/>
      <c r="B4067" s="3" t="n">
        <f aca="false">DATE(2019,2,26)</f>
        <v>0</v>
      </c>
      <c r="C4067" s="3" t="n">
        <v>43522</v>
      </c>
      <c r="D4067" s="2" t="s">
        <v>30560</v>
      </c>
      <c r="F4067" s="2" t="s">
        <v>30561</v>
      </c>
      <c r="G4067" s="2" t="s">
        <v>30562</v>
      </c>
      <c r="H4067" s="2" t="s">
        <v>30563</v>
      </c>
      <c r="I4067" s="2" t="s">
        <v>19973</v>
      </c>
      <c r="J4067" s="2" t="s">
        <v>132</v>
      </c>
      <c r="K4067" s="2" t="s">
        <v>30560</v>
      </c>
      <c r="L4067" s="2" t="s">
        <v>19973</v>
      </c>
      <c r="M4067" s="2" t="s">
        <v>30563</v>
      </c>
      <c r="N4067" s="2" t="s">
        <v>30564</v>
      </c>
      <c r="O4067" s="2"/>
      <c r="P4067" s="2" t="s">
        <v>37</v>
      </c>
      <c r="Q4067" s="4" t="n">
        <v>8731</v>
      </c>
      <c r="R4067" s="2" t="s">
        <v>38</v>
      </c>
      <c r="S4067" s="2" t="s">
        <v>39</v>
      </c>
      <c r="T4067" s="2" t="s">
        <v>40</v>
      </c>
      <c r="U4067" s="2" t="s">
        <v>30565</v>
      </c>
      <c r="V4067" s="2"/>
      <c r="W4067" s="2" t="s">
        <v>42</v>
      </c>
      <c r="X4067" s="2" t="s">
        <v>43</v>
      </c>
      <c r="Y4067" s="2" t="s">
        <v>37</v>
      </c>
      <c r="Z4067" s="2" t="s">
        <v>44</v>
      </c>
      <c r="AA4067" s="2"/>
      <c r="AB4067" s="2"/>
      <c r="AC4067" s="2" t="s">
        <v>30566</v>
      </c>
      <c r="AD4067" s="2" t="s">
        <v>46</v>
      </c>
    </row>
    <row r="4068" customFormat="false" ht="15.7" hidden="false" customHeight="true" outlineLevel="0" collapsed="false">
      <c r="A4068" s="2"/>
      <c r="B4068" s="3" t="n">
        <f aca="false">DATE(2019,2,28)</f>
        <v>0</v>
      </c>
      <c r="C4068" s="3" t="n">
        <v>43524</v>
      </c>
      <c r="D4068" s="2" t="s">
        <v>30567</v>
      </c>
      <c r="F4068" s="2" t="s">
        <v>30568</v>
      </c>
      <c r="G4068" s="2" t="s">
        <v>30569</v>
      </c>
      <c r="H4068" s="2" t="s">
        <v>130</v>
      </c>
      <c r="I4068" s="2" t="s">
        <v>1904</v>
      </c>
      <c r="J4068" s="2" t="s">
        <v>331</v>
      </c>
      <c r="K4068" s="2" t="s">
        <v>30567</v>
      </c>
      <c r="L4068" s="2" t="s">
        <v>1904</v>
      </c>
      <c r="M4068" s="2" t="s">
        <v>130</v>
      </c>
      <c r="N4068" s="2" t="s">
        <v>30570</v>
      </c>
      <c r="O4068" s="2"/>
      <c r="P4068" s="2" t="s">
        <v>37</v>
      </c>
      <c r="Q4068" s="4" t="n">
        <v>6794</v>
      </c>
      <c r="R4068" s="2" t="s">
        <v>136</v>
      </c>
      <c r="S4068" s="2" t="s">
        <v>39</v>
      </c>
      <c r="T4068" s="2" t="s">
        <v>40</v>
      </c>
      <c r="U4068" s="2" t="s">
        <v>30571</v>
      </c>
      <c r="V4068" s="2"/>
      <c r="W4068" s="2" t="s">
        <v>15545</v>
      </c>
      <c r="X4068" s="2" t="s">
        <v>43</v>
      </c>
      <c r="Y4068" s="2" t="s">
        <v>37</v>
      </c>
      <c r="Z4068" s="2" t="s">
        <v>44</v>
      </c>
      <c r="AA4068" s="2"/>
      <c r="AB4068" s="2"/>
      <c r="AC4068" s="2" t="s">
        <v>30572</v>
      </c>
      <c r="AD4068" s="2" t="s">
        <v>46</v>
      </c>
    </row>
    <row r="4069" customFormat="false" ht="15.7" hidden="false" customHeight="true" outlineLevel="0" collapsed="false">
      <c r="A4069" s="2"/>
      <c r="B4069" s="3" t="n">
        <f aca="false">DATE(2019,2,28)</f>
        <v>0</v>
      </c>
      <c r="C4069" s="3" t="n">
        <v>43524</v>
      </c>
      <c r="D4069" s="2" t="s">
        <v>30573</v>
      </c>
      <c r="F4069" s="2" t="s">
        <v>30574</v>
      </c>
      <c r="G4069" s="2" t="s">
        <v>30575</v>
      </c>
      <c r="H4069" s="2" t="s">
        <v>2215</v>
      </c>
      <c r="I4069" s="2" t="s">
        <v>51</v>
      </c>
      <c r="J4069" s="2" t="s">
        <v>171</v>
      </c>
      <c r="K4069" s="2" t="s">
        <v>30576</v>
      </c>
      <c r="L4069" s="2" t="s">
        <v>51</v>
      </c>
      <c r="M4069" s="2" t="s">
        <v>30577</v>
      </c>
      <c r="N4069" s="2" t="s">
        <v>30578</v>
      </c>
      <c r="O4069" s="2"/>
      <c r="P4069" s="2" t="s">
        <v>37</v>
      </c>
      <c r="Q4069" s="4" t="n">
        <v>8731</v>
      </c>
      <c r="R4069" s="2" t="s">
        <v>56</v>
      </c>
      <c r="S4069" s="2"/>
      <c r="T4069" s="2" t="s">
        <v>40</v>
      </c>
      <c r="U4069" s="2" t="s">
        <v>30579</v>
      </c>
      <c r="V4069" s="2"/>
      <c r="W4069" s="2" t="s">
        <v>42</v>
      </c>
      <c r="X4069" s="2" t="s">
        <v>43</v>
      </c>
      <c r="Y4069" s="2" t="s">
        <v>37</v>
      </c>
      <c r="Z4069" s="2" t="s">
        <v>44</v>
      </c>
      <c r="AA4069" s="2"/>
      <c r="AB4069" s="2"/>
      <c r="AC4069" s="2" t="s">
        <v>30580</v>
      </c>
      <c r="AD4069" s="2" t="s">
        <v>46</v>
      </c>
    </row>
    <row r="4070" customFormat="false" ht="15.7" hidden="false" customHeight="true" outlineLevel="0" collapsed="false">
      <c r="A4070" s="2"/>
      <c r="B4070" s="3" t="n">
        <f aca="false">DATE(2019,2,28)</f>
        <v>0</v>
      </c>
      <c r="C4070" s="3" t="n">
        <v>43524</v>
      </c>
      <c r="D4070" s="2" t="s">
        <v>30581</v>
      </c>
      <c r="F4070" s="2" t="s">
        <v>30582</v>
      </c>
      <c r="G4070" s="2" t="s">
        <v>30583</v>
      </c>
      <c r="H4070" s="2" t="s">
        <v>30584</v>
      </c>
      <c r="I4070" s="2" t="s">
        <v>5930</v>
      </c>
      <c r="J4070" s="2" t="s">
        <v>35</v>
      </c>
      <c r="K4070" s="2" t="s">
        <v>30585</v>
      </c>
      <c r="L4070" s="2" t="s">
        <v>5930</v>
      </c>
      <c r="M4070" s="2" t="s">
        <v>30586</v>
      </c>
      <c r="N4070" s="2" t="s">
        <v>30587</v>
      </c>
      <c r="O4070" s="2"/>
      <c r="P4070" s="2" t="s">
        <v>37</v>
      </c>
      <c r="Q4070" s="4" t="n">
        <v>8731</v>
      </c>
      <c r="R4070" s="2" t="s">
        <v>2201</v>
      </c>
      <c r="S4070" s="2" t="s">
        <v>39</v>
      </c>
      <c r="T4070" s="2" t="s">
        <v>40</v>
      </c>
      <c r="U4070" s="2" t="s">
        <v>30588</v>
      </c>
      <c r="V4070" s="2"/>
      <c r="W4070" s="2" t="s">
        <v>1050</v>
      </c>
      <c r="X4070" s="2" t="s">
        <v>43</v>
      </c>
      <c r="Y4070" s="2" t="s">
        <v>37</v>
      </c>
      <c r="Z4070" s="2" t="s">
        <v>44</v>
      </c>
      <c r="AA4070" s="2"/>
      <c r="AB4070" s="2"/>
      <c r="AC4070" s="2" t="s">
        <v>30589</v>
      </c>
      <c r="AD4070" s="2" t="s">
        <v>46</v>
      </c>
    </row>
    <row r="4071" customFormat="false" ht="15.7" hidden="false" customHeight="true" outlineLevel="0" collapsed="false">
      <c r="A4071" s="2"/>
      <c r="B4071" s="3" t="n">
        <f aca="false">DATE(2019,3,3)</f>
        <v>0</v>
      </c>
      <c r="C4071" s="3" t="n">
        <v>43527</v>
      </c>
      <c r="D4071" s="2" t="s">
        <v>30590</v>
      </c>
      <c r="F4071" s="2" t="s">
        <v>347</v>
      </c>
      <c r="G4071" s="2" t="s">
        <v>30591</v>
      </c>
      <c r="H4071" s="2" t="s">
        <v>63</v>
      </c>
      <c r="I4071" s="2" t="s">
        <v>10332</v>
      </c>
      <c r="J4071" s="2" t="s">
        <v>35</v>
      </c>
      <c r="K4071" s="2" t="s">
        <v>30590</v>
      </c>
      <c r="L4071" s="2" t="s">
        <v>10332</v>
      </c>
      <c r="M4071" s="2" t="s">
        <v>63</v>
      </c>
      <c r="N4071" s="2" t="s">
        <v>30592</v>
      </c>
      <c r="O4071" s="2"/>
      <c r="P4071" s="2" t="s">
        <v>37</v>
      </c>
      <c r="Q4071" s="4" t="n">
        <v>8742</v>
      </c>
      <c r="R4071" s="2" t="s">
        <v>402</v>
      </c>
      <c r="S4071" s="2" t="s">
        <v>39</v>
      </c>
      <c r="T4071" s="2" t="s">
        <v>40</v>
      </c>
      <c r="U4071" s="2" t="s">
        <v>30593</v>
      </c>
      <c r="V4071" s="2"/>
      <c r="W4071" s="2" t="s">
        <v>30594</v>
      </c>
      <c r="X4071" s="2" t="s">
        <v>43</v>
      </c>
      <c r="Y4071" s="2" t="s">
        <v>37</v>
      </c>
      <c r="Z4071" s="2" t="s">
        <v>44</v>
      </c>
      <c r="AA4071" s="2"/>
      <c r="AB4071" s="2"/>
      <c r="AC4071" s="2" t="s">
        <v>30595</v>
      </c>
      <c r="AD4071" s="2" t="s">
        <v>46</v>
      </c>
    </row>
    <row r="4072" customFormat="false" ht="15.7" hidden="false" customHeight="true" outlineLevel="0" collapsed="false">
      <c r="A4072" s="2"/>
      <c r="B4072" s="3" t="n">
        <f aca="false">DATE(2019,3,4)</f>
        <v>0</v>
      </c>
      <c r="C4072" s="3" t="n">
        <v>43528</v>
      </c>
      <c r="D4072" s="2" t="s">
        <v>30596</v>
      </c>
      <c r="F4072" s="2" t="s">
        <v>27972</v>
      </c>
      <c r="G4072" s="2" t="s">
        <v>30597</v>
      </c>
      <c r="H4072" s="2" t="s">
        <v>25910</v>
      </c>
      <c r="I4072" s="2" t="s">
        <v>30598</v>
      </c>
      <c r="J4072" s="2" t="s">
        <v>35</v>
      </c>
      <c r="K4072" s="2" t="s">
        <v>30596</v>
      </c>
      <c r="L4072" s="2" t="s">
        <v>30598</v>
      </c>
      <c r="M4072" s="2" t="s">
        <v>25910</v>
      </c>
      <c r="N4072" s="2" t="s">
        <v>30599</v>
      </c>
      <c r="O4072" s="2"/>
      <c r="P4072" s="2" t="s">
        <v>37</v>
      </c>
      <c r="Q4072" s="4" t="n">
        <v>6799</v>
      </c>
      <c r="R4072" s="2" t="s">
        <v>450</v>
      </c>
      <c r="S4072" s="2" t="s">
        <v>39</v>
      </c>
      <c r="T4072" s="2" t="s">
        <v>403</v>
      </c>
      <c r="U4072" s="2" t="s">
        <v>30600</v>
      </c>
      <c r="V4072" s="2"/>
      <c r="W4072" s="2" t="s">
        <v>9493</v>
      </c>
      <c r="X4072" s="2" t="s">
        <v>46</v>
      </c>
      <c r="Y4072" s="2" t="s">
        <v>37</v>
      </c>
      <c r="Z4072" s="2" t="s">
        <v>44</v>
      </c>
      <c r="AA4072" s="2" t="s">
        <v>30601</v>
      </c>
      <c r="AB4072" s="2"/>
      <c r="AC4072" s="2" t="s">
        <v>30602</v>
      </c>
      <c r="AD4072" s="2" t="s">
        <v>46</v>
      </c>
    </row>
    <row r="4073" customFormat="false" ht="15.7" hidden="false" customHeight="true" outlineLevel="0" collapsed="false">
      <c r="A4073" s="2"/>
      <c r="B4073" s="3" t="n">
        <f aca="false">DATE(2019,3,4)</f>
        <v>0</v>
      </c>
      <c r="C4073" s="3" t="n">
        <v>43528</v>
      </c>
      <c r="D4073" s="2" t="s">
        <v>30603</v>
      </c>
      <c r="F4073" s="2" t="s">
        <v>30604</v>
      </c>
      <c r="G4073" s="2" t="s">
        <v>30605</v>
      </c>
      <c r="H4073" s="2" t="s">
        <v>238</v>
      </c>
      <c r="I4073" s="2" t="s">
        <v>1412</v>
      </c>
      <c r="J4073" s="2" t="s">
        <v>625</v>
      </c>
      <c r="K4073" s="2" t="s">
        <v>30603</v>
      </c>
      <c r="L4073" s="2" t="s">
        <v>1412</v>
      </c>
      <c r="M4073" s="2" t="s">
        <v>238</v>
      </c>
      <c r="N4073" s="2" t="s">
        <v>30606</v>
      </c>
      <c r="O4073" s="2"/>
      <c r="P4073" s="2" t="s">
        <v>37</v>
      </c>
      <c r="Q4073" s="4" t="n">
        <v>8099</v>
      </c>
      <c r="R4073" s="2" t="s">
        <v>5704</v>
      </c>
      <c r="S4073" s="2" t="s">
        <v>39</v>
      </c>
      <c r="T4073" s="2" t="s">
        <v>403</v>
      </c>
      <c r="U4073" s="2" t="s">
        <v>30607</v>
      </c>
      <c r="V4073" s="2"/>
      <c r="W4073" s="2" t="s">
        <v>30608</v>
      </c>
      <c r="X4073" s="2" t="s">
        <v>43</v>
      </c>
      <c r="Y4073" s="2" t="s">
        <v>37</v>
      </c>
      <c r="Z4073" s="2" t="s">
        <v>44</v>
      </c>
      <c r="AA4073" s="2"/>
      <c r="AB4073" s="2"/>
      <c r="AC4073" s="2" t="s">
        <v>30609</v>
      </c>
      <c r="AD4073" s="2" t="s">
        <v>46</v>
      </c>
    </row>
    <row r="4074" customFormat="false" ht="15.7" hidden="false" customHeight="true" outlineLevel="0" collapsed="false">
      <c r="A4074" s="2"/>
      <c r="B4074" s="3" t="n">
        <f aca="false">DATE(2019,3,4)</f>
        <v>0</v>
      </c>
      <c r="C4074" s="3" t="n">
        <v>43528</v>
      </c>
      <c r="D4074" s="2" t="s">
        <v>30610</v>
      </c>
      <c r="F4074" s="2" t="s">
        <v>27220</v>
      </c>
      <c r="G4074" s="2" t="s">
        <v>30611</v>
      </c>
      <c r="H4074" s="2" t="s">
        <v>9667</v>
      </c>
      <c r="I4074" s="2" t="s">
        <v>51</v>
      </c>
      <c r="J4074" s="2" t="s">
        <v>171</v>
      </c>
      <c r="K4074" s="2" t="s">
        <v>30610</v>
      </c>
      <c r="L4074" s="2" t="s">
        <v>51</v>
      </c>
      <c r="M4074" s="2" t="s">
        <v>9667</v>
      </c>
      <c r="N4074" s="2" t="s">
        <v>30612</v>
      </c>
      <c r="O4074" s="2"/>
      <c r="P4074" s="2" t="s">
        <v>79</v>
      </c>
      <c r="Q4074" s="4" t="n">
        <v>6794</v>
      </c>
      <c r="R4074" s="2" t="s">
        <v>56</v>
      </c>
      <c r="S4074" s="2"/>
      <c r="T4074" s="2" t="s">
        <v>40</v>
      </c>
      <c r="U4074" s="2" t="s">
        <v>30613</v>
      </c>
      <c r="V4074" s="2"/>
      <c r="W4074" s="2" t="s">
        <v>206</v>
      </c>
      <c r="X4074" s="2" t="s">
        <v>43</v>
      </c>
      <c r="Y4074" s="2" t="s">
        <v>37</v>
      </c>
      <c r="Z4074" s="2" t="s">
        <v>44</v>
      </c>
      <c r="AA4074" s="2"/>
      <c r="AB4074" s="2"/>
      <c r="AC4074" s="2" t="s">
        <v>30614</v>
      </c>
      <c r="AD4074" s="2" t="s">
        <v>46</v>
      </c>
    </row>
    <row r="4075" customFormat="false" ht="15.7" hidden="false" customHeight="true" outlineLevel="0" collapsed="false">
      <c r="A4075" s="2"/>
      <c r="B4075" s="3" t="n">
        <f aca="false">DATE(2019,3,4)</f>
        <v>0</v>
      </c>
      <c r="C4075" s="3" t="n">
        <v>43528</v>
      </c>
      <c r="D4075" s="2" t="s">
        <v>30615</v>
      </c>
      <c r="F4075" s="2" t="s">
        <v>30616</v>
      </c>
      <c r="G4075" s="2" t="s">
        <v>30617</v>
      </c>
      <c r="H4075" s="2" t="s">
        <v>1101</v>
      </c>
      <c r="I4075" s="2" t="s">
        <v>51</v>
      </c>
      <c r="J4075" s="2" t="s">
        <v>171</v>
      </c>
      <c r="K4075" s="2" t="s">
        <v>30618</v>
      </c>
      <c r="L4075" s="2" t="s">
        <v>670</v>
      </c>
      <c r="M4075" s="2" t="s">
        <v>4833</v>
      </c>
      <c r="N4075" s="2" t="s">
        <v>30619</v>
      </c>
      <c r="O4075" s="2"/>
      <c r="P4075" s="2" t="s">
        <v>37</v>
      </c>
      <c r="Q4075" s="4" t="n">
        <v>6794</v>
      </c>
      <c r="R4075" s="2" t="s">
        <v>136</v>
      </c>
      <c r="S4075" s="2" t="s">
        <v>39</v>
      </c>
      <c r="T4075" s="2" t="s">
        <v>40</v>
      </c>
      <c r="U4075" s="2" t="s">
        <v>30620</v>
      </c>
      <c r="V4075" s="2"/>
      <c r="W4075" s="2" t="s">
        <v>82</v>
      </c>
      <c r="X4075" s="2" t="s">
        <v>43</v>
      </c>
      <c r="Y4075" s="2" t="s">
        <v>37</v>
      </c>
      <c r="Z4075" s="2" t="s">
        <v>44</v>
      </c>
      <c r="AA4075" s="2"/>
      <c r="AB4075" s="2"/>
      <c r="AC4075" s="2" t="s">
        <v>30621</v>
      </c>
      <c r="AD4075" s="2" t="s">
        <v>46</v>
      </c>
    </row>
    <row r="4076" customFormat="false" ht="15.7" hidden="false" customHeight="true" outlineLevel="0" collapsed="false">
      <c r="A4076" s="2"/>
      <c r="B4076" s="3" t="n">
        <f aca="false">DATE(2019,3,4)</f>
        <v>0</v>
      </c>
      <c r="C4076" s="3" t="n">
        <v>43528</v>
      </c>
      <c r="D4076" s="2" t="s">
        <v>30622</v>
      </c>
      <c r="F4076" s="2" t="s">
        <v>30623</v>
      </c>
      <c r="G4076" s="2" t="s">
        <v>30624</v>
      </c>
      <c r="H4076" s="2" t="s">
        <v>30625</v>
      </c>
      <c r="I4076" s="2" t="s">
        <v>1953</v>
      </c>
      <c r="J4076" s="2" t="s">
        <v>35</v>
      </c>
      <c r="K4076" s="2" t="s">
        <v>30622</v>
      </c>
      <c r="L4076" s="2" t="s">
        <v>1953</v>
      </c>
      <c r="M4076" s="2" t="s">
        <v>30625</v>
      </c>
      <c r="N4076" s="2" t="s">
        <v>30626</v>
      </c>
      <c r="O4076" s="2"/>
      <c r="P4076" s="2" t="s">
        <v>37</v>
      </c>
      <c r="Q4076" s="4" t="n">
        <v>4581</v>
      </c>
      <c r="R4076" s="2" t="s">
        <v>1402</v>
      </c>
      <c r="S4076" s="2" t="s">
        <v>39</v>
      </c>
      <c r="T4076" s="2" t="s">
        <v>40</v>
      </c>
      <c r="U4076" s="2" t="s">
        <v>30627</v>
      </c>
      <c r="V4076" s="2"/>
      <c r="W4076" s="2" t="s">
        <v>20581</v>
      </c>
      <c r="X4076" s="2" t="s">
        <v>43</v>
      </c>
      <c r="Y4076" s="2" t="s">
        <v>37</v>
      </c>
      <c r="Z4076" s="2" t="s">
        <v>44</v>
      </c>
      <c r="AA4076" s="2"/>
      <c r="AB4076" s="2"/>
      <c r="AC4076" s="2" t="s">
        <v>30628</v>
      </c>
      <c r="AD4076" s="2" t="s">
        <v>46</v>
      </c>
    </row>
    <row r="4077" customFormat="false" ht="15.7" hidden="false" customHeight="true" outlineLevel="0" collapsed="false">
      <c r="A4077" s="2"/>
      <c r="B4077" s="3" t="n">
        <f aca="false">DATE(2019,3,4)</f>
        <v>0</v>
      </c>
      <c r="C4077" s="3" t="n">
        <v>43528</v>
      </c>
      <c r="D4077" s="2" t="s">
        <v>30629</v>
      </c>
      <c r="F4077" s="2" t="s">
        <v>30630</v>
      </c>
      <c r="G4077" s="2" t="s">
        <v>30631</v>
      </c>
      <c r="H4077" s="2" t="s">
        <v>30632</v>
      </c>
      <c r="I4077" s="2" t="s">
        <v>219</v>
      </c>
      <c r="J4077" s="2" t="s">
        <v>65</v>
      </c>
      <c r="K4077" s="2" t="s">
        <v>30629</v>
      </c>
      <c r="L4077" s="2" t="s">
        <v>219</v>
      </c>
      <c r="M4077" s="2" t="s">
        <v>30632</v>
      </c>
      <c r="N4077" s="2" t="s">
        <v>30633</v>
      </c>
      <c r="O4077" s="2"/>
      <c r="P4077" s="2" t="s">
        <v>79</v>
      </c>
      <c r="Q4077" s="4" t="n">
        <v>6794</v>
      </c>
      <c r="R4077" s="2" t="s">
        <v>136</v>
      </c>
      <c r="S4077" s="2" t="s">
        <v>39</v>
      </c>
      <c r="T4077" s="2" t="s">
        <v>40</v>
      </c>
      <c r="U4077" s="2" t="s">
        <v>30634</v>
      </c>
      <c r="V4077" s="2"/>
      <c r="W4077" s="2" t="s">
        <v>82</v>
      </c>
      <c r="X4077" s="2" t="s">
        <v>43</v>
      </c>
      <c r="Y4077" s="2" t="s">
        <v>37</v>
      </c>
      <c r="Z4077" s="2" t="s">
        <v>44</v>
      </c>
      <c r="AA4077" s="2"/>
      <c r="AB4077" s="2"/>
      <c r="AC4077" s="2" t="s">
        <v>30635</v>
      </c>
      <c r="AD4077" s="2" t="s">
        <v>46</v>
      </c>
    </row>
    <row r="4078" customFormat="false" ht="15.7" hidden="false" customHeight="true" outlineLevel="0" collapsed="false">
      <c r="A4078" s="2"/>
      <c r="B4078" s="3" t="n">
        <f aca="false">DATE(2019,3,5)</f>
        <v>0</v>
      </c>
      <c r="C4078" s="3" t="n">
        <v>43529</v>
      </c>
      <c r="D4078" s="2" t="s">
        <v>30636</v>
      </c>
      <c r="F4078" s="2" t="s">
        <v>27549</v>
      </c>
      <c r="G4078" s="2" t="s">
        <v>30637</v>
      </c>
      <c r="H4078" s="2" t="s">
        <v>387</v>
      </c>
      <c r="I4078" s="2" t="s">
        <v>51</v>
      </c>
      <c r="J4078" s="2" t="s">
        <v>14008</v>
      </c>
      <c r="K4078" s="2" t="s">
        <v>30636</v>
      </c>
      <c r="L4078" s="2" t="s">
        <v>51</v>
      </c>
      <c r="M4078" s="2" t="s">
        <v>387</v>
      </c>
      <c r="N4078" s="2" t="s">
        <v>30638</v>
      </c>
      <c r="O4078" s="2"/>
      <c r="P4078" s="2" t="s">
        <v>37</v>
      </c>
      <c r="Q4078" s="4" t="n">
        <v>6794</v>
      </c>
      <c r="R4078" s="2" t="s">
        <v>56</v>
      </c>
      <c r="S4078" s="2" t="s">
        <v>10955</v>
      </c>
      <c r="T4078" s="2" t="s">
        <v>40</v>
      </c>
      <c r="U4078" s="2" t="s">
        <v>30639</v>
      </c>
      <c r="V4078" s="2"/>
      <c r="W4078" s="2" t="s">
        <v>82</v>
      </c>
      <c r="X4078" s="2" t="s">
        <v>43</v>
      </c>
      <c r="Y4078" s="2" t="s">
        <v>37</v>
      </c>
      <c r="Z4078" s="2" t="s">
        <v>44</v>
      </c>
      <c r="AA4078" s="2"/>
      <c r="AB4078" s="2"/>
      <c r="AC4078" s="2" t="s">
        <v>30640</v>
      </c>
      <c r="AD4078" s="2" t="s">
        <v>46</v>
      </c>
    </row>
    <row r="4079" customFormat="false" ht="15.7" hidden="false" customHeight="true" outlineLevel="0" collapsed="false">
      <c r="A4079" s="2"/>
      <c r="B4079" s="3" t="n">
        <f aca="false">DATE(2019,3,5)</f>
        <v>0</v>
      </c>
      <c r="C4079" s="3" t="n">
        <v>43529</v>
      </c>
      <c r="D4079" s="2" t="s">
        <v>30641</v>
      </c>
      <c r="F4079" s="2" t="s">
        <v>30642</v>
      </c>
      <c r="G4079" s="2" t="s">
        <v>30643</v>
      </c>
      <c r="H4079" s="2" t="s">
        <v>30644</v>
      </c>
      <c r="I4079" s="2" t="s">
        <v>51</v>
      </c>
      <c r="J4079" s="2" t="s">
        <v>2816</v>
      </c>
      <c r="K4079" s="2" t="s">
        <v>30645</v>
      </c>
      <c r="L4079" s="2" t="s">
        <v>51</v>
      </c>
      <c r="M4079" s="2" t="s">
        <v>30646</v>
      </c>
      <c r="N4079" s="2" t="s">
        <v>30647</v>
      </c>
      <c r="O4079" s="2"/>
      <c r="P4079" s="2" t="s">
        <v>37</v>
      </c>
      <c r="Q4079" s="4" t="n">
        <v>8099</v>
      </c>
      <c r="R4079" s="2" t="s">
        <v>56</v>
      </c>
      <c r="S4079" s="2"/>
      <c r="T4079" s="2" t="s">
        <v>403</v>
      </c>
      <c r="U4079" s="2" t="s">
        <v>30648</v>
      </c>
      <c r="V4079" s="2"/>
      <c r="W4079" s="2" t="s">
        <v>4487</v>
      </c>
      <c r="X4079" s="2" t="s">
        <v>43</v>
      </c>
      <c r="Y4079" s="2" t="s">
        <v>37</v>
      </c>
      <c r="Z4079" s="2" t="s">
        <v>44</v>
      </c>
      <c r="AA4079" s="2"/>
      <c r="AB4079" s="2"/>
      <c r="AC4079" s="2" t="s">
        <v>30649</v>
      </c>
      <c r="AD4079" s="2" t="s">
        <v>46</v>
      </c>
    </row>
    <row r="4080" customFormat="false" ht="15.7" hidden="false" customHeight="true" outlineLevel="0" collapsed="false">
      <c r="A4080" s="2"/>
      <c r="B4080" s="3" t="n">
        <f aca="false">DATE(2019,3,5)</f>
        <v>0</v>
      </c>
      <c r="C4080" s="3" t="n">
        <v>43529</v>
      </c>
      <c r="D4080" s="2" t="s">
        <v>30650</v>
      </c>
      <c r="F4080" s="2" t="s">
        <v>30651</v>
      </c>
      <c r="G4080" s="2" t="s">
        <v>30652</v>
      </c>
      <c r="H4080" s="2" t="s">
        <v>30653</v>
      </c>
      <c r="I4080" s="2" t="s">
        <v>51</v>
      </c>
      <c r="J4080" s="2" t="s">
        <v>6303</v>
      </c>
      <c r="K4080" s="2" t="s">
        <v>30654</v>
      </c>
      <c r="L4080" s="2" t="s">
        <v>549</v>
      </c>
      <c r="M4080" s="2" t="s">
        <v>30655</v>
      </c>
      <c r="N4080" s="2" t="s">
        <v>30656</v>
      </c>
      <c r="O4080" s="2"/>
      <c r="P4080" s="2" t="s">
        <v>37</v>
      </c>
      <c r="Q4080" s="4" t="n">
        <v>8731</v>
      </c>
      <c r="R4080" s="2" t="s">
        <v>56</v>
      </c>
      <c r="S4080" s="2" t="s">
        <v>8809</v>
      </c>
      <c r="T4080" s="2" t="s">
        <v>40</v>
      </c>
      <c r="U4080" s="2" t="s">
        <v>30657</v>
      </c>
      <c r="V4080" s="2"/>
      <c r="W4080" s="2" t="s">
        <v>17558</v>
      </c>
      <c r="X4080" s="2" t="s">
        <v>46</v>
      </c>
      <c r="Y4080" s="2" t="s">
        <v>37</v>
      </c>
      <c r="Z4080" s="2" t="s">
        <v>30658</v>
      </c>
      <c r="AA4080" s="2"/>
      <c r="AB4080" s="2"/>
      <c r="AC4080" s="2" t="s">
        <v>30659</v>
      </c>
      <c r="AD4080" s="2" t="s">
        <v>46</v>
      </c>
    </row>
    <row r="4081" customFormat="false" ht="15.7" hidden="false" customHeight="true" outlineLevel="0" collapsed="false">
      <c r="A4081" s="2"/>
      <c r="B4081" s="3" t="n">
        <f aca="false">DATE(2019,3,5)</f>
        <v>0</v>
      </c>
      <c r="C4081" s="3" t="n">
        <v>43529</v>
      </c>
      <c r="D4081" s="2" t="s">
        <v>30660</v>
      </c>
      <c r="F4081" s="2" t="s">
        <v>30661</v>
      </c>
      <c r="G4081" s="2" t="s">
        <v>30662</v>
      </c>
      <c r="H4081" s="2" t="s">
        <v>2361</v>
      </c>
      <c r="I4081" s="2" t="s">
        <v>51</v>
      </c>
      <c r="J4081" s="2" t="s">
        <v>30663</v>
      </c>
      <c r="K4081" s="2" t="s">
        <v>30664</v>
      </c>
      <c r="L4081" s="2" t="s">
        <v>51</v>
      </c>
      <c r="M4081" s="2" t="s">
        <v>30665</v>
      </c>
      <c r="N4081" s="2" t="s">
        <v>30666</v>
      </c>
      <c r="O4081" s="2"/>
      <c r="P4081" s="2" t="s">
        <v>37</v>
      </c>
      <c r="Q4081" s="4" t="n">
        <v>8741</v>
      </c>
      <c r="R4081" s="2" t="s">
        <v>56</v>
      </c>
      <c r="S4081" s="2" t="s">
        <v>80</v>
      </c>
      <c r="T4081" s="2" t="s">
        <v>403</v>
      </c>
      <c r="U4081" s="2" t="s">
        <v>30667</v>
      </c>
      <c r="V4081" s="2"/>
      <c r="W4081" s="2" t="s">
        <v>25842</v>
      </c>
      <c r="X4081" s="2" t="s">
        <v>43</v>
      </c>
      <c r="Y4081" s="2" t="s">
        <v>37</v>
      </c>
      <c r="Z4081" s="2" t="s">
        <v>44</v>
      </c>
      <c r="AA4081" s="2"/>
      <c r="AB4081" s="2"/>
      <c r="AC4081" s="2" t="s">
        <v>30668</v>
      </c>
      <c r="AD4081" s="2" t="s">
        <v>46</v>
      </c>
    </row>
    <row r="4082" customFormat="false" ht="15.7" hidden="false" customHeight="true" outlineLevel="0" collapsed="false">
      <c r="A4082" s="2"/>
      <c r="B4082" s="3" t="n">
        <f aca="false">DATE(2019,3,5)</f>
        <v>0</v>
      </c>
      <c r="C4082" s="3" t="n">
        <v>43529</v>
      </c>
      <c r="D4082" s="2" t="s">
        <v>30669</v>
      </c>
      <c r="F4082" s="2" t="s">
        <v>30670</v>
      </c>
      <c r="G4082" s="2" t="s">
        <v>30671</v>
      </c>
      <c r="H4082" s="2" t="s">
        <v>30672</v>
      </c>
      <c r="I4082" s="2" t="s">
        <v>51</v>
      </c>
      <c r="J4082" s="2" t="s">
        <v>3854</v>
      </c>
      <c r="K4082" s="2" t="s">
        <v>30669</v>
      </c>
      <c r="L4082" s="2" t="s">
        <v>51</v>
      </c>
      <c r="M4082" s="2" t="s">
        <v>30672</v>
      </c>
      <c r="N4082" s="2" t="s">
        <v>30673</v>
      </c>
      <c r="O4082" s="2"/>
      <c r="P4082" s="2" t="s">
        <v>37</v>
      </c>
      <c r="Q4082" s="4" t="n">
        <v>8731</v>
      </c>
      <c r="R4082" s="2" t="s">
        <v>56</v>
      </c>
      <c r="S4082" s="2"/>
      <c r="T4082" s="2" t="s">
        <v>403</v>
      </c>
      <c r="U4082" s="2" t="s">
        <v>30674</v>
      </c>
      <c r="V4082" s="2"/>
      <c r="W4082" s="2" t="s">
        <v>42</v>
      </c>
      <c r="X4082" s="2" t="s">
        <v>43</v>
      </c>
      <c r="Y4082" s="2" t="s">
        <v>37</v>
      </c>
      <c r="Z4082" s="2" t="s">
        <v>44</v>
      </c>
      <c r="AA4082" s="2"/>
      <c r="AB4082" s="2"/>
      <c r="AC4082" s="2" t="s">
        <v>30675</v>
      </c>
      <c r="AD4082" s="2" t="s">
        <v>46</v>
      </c>
    </row>
    <row r="4083" customFormat="false" ht="15.7" hidden="false" customHeight="true" outlineLevel="0" collapsed="false">
      <c r="A4083" s="2"/>
      <c r="B4083" s="3" t="n">
        <f aca="false">DATE(2019,3,5)</f>
        <v>0</v>
      </c>
      <c r="C4083" s="3" t="n">
        <v>43529</v>
      </c>
      <c r="D4083" s="2" t="s">
        <v>30676</v>
      </c>
      <c r="F4083" s="2" t="s">
        <v>15541</v>
      </c>
      <c r="G4083" s="2" t="s">
        <v>30677</v>
      </c>
      <c r="H4083" s="2" t="s">
        <v>170</v>
      </c>
      <c r="I4083" s="2" t="s">
        <v>1080</v>
      </c>
      <c r="J4083" s="2" t="s">
        <v>35</v>
      </c>
      <c r="K4083" s="2" t="s">
        <v>30676</v>
      </c>
      <c r="L4083" s="2" t="s">
        <v>1080</v>
      </c>
      <c r="M4083" s="2" t="s">
        <v>170</v>
      </c>
      <c r="N4083" s="2" t="s">
        <v>30678</v>
      </c>
      <c r="O4083" s="2"/>
      <c r="P4083" s="2" t="s">
        <v>37</v>
      </c>
      <c r="Q4083" s="4" t="n">
        <v>6794</v>
      </c>
      <c r="R4083" s="2" t="s">
        <v>2201</v>
      </c>
      <c r="S4083" s="2" t="s">
        <v>39</v>
      </c>
      <c r="T4083" s="2" t="s">
        <v>40</v>
      </c>
      <c r="U4083" s="2" t="s">
        <v>30679</v>
      </c>
      <c r="V4083" s="2"/>
      <c r="W4083" s="2" t="s">
        <v>82</v>
      </c>
      <c r="X4083" s="2" t="s">
        <v>43</v>
      </c>
      <c r="Y4083" s="2" t="s">
        <v>37</v>
      </c>
      <c r="Z4083" s="2" t="s">
        <v>44</v>
      </c>
      <c r="AA4083" s="2"/>
      <c r="AB4083" s="2"/>
      <c r="AC4083" s="2" t="s">
        <v>30680</v>
      </c>
      <c r="AD4083" s="2" t="s">
        <v>46</v>
      </c>
    </row>
    <row r="4084" customFormat="false" ht="15.7" hidden="false" customHeight="true" outlineLevel="0" collapsed="false">
      <c r="A4084" s="2"/>
      <c r="B4084" s="3" t="n">
        <f aca="false">DATE(2019,3,6)</f>
        <v>0</v>
      </c>
      <c r="C4084" s="3" t="n">
        <v>43530</v>
      </c>
      <c r="D4084" s="2" t="s">
        <v>30681</v>
      </c>
      <c r="F4084" s="2" t="s">
        <v>30682</v>
      </c>
      <c r="G4084" s="2" t="s">
        <v>30683</v>
      </c>
      <c r="H4084" s="2" t="s">
        <v>30684</v>
      </c>
      <c r="I4084" s="2" t="s">
        <v>51</v>
      </c>
      <c r="J4084" s="2" t="s">
        <v>171</v>
      </c>
      <c r="K4084" s="2" t="s">
        <v>30685</v>
      </c>
      <c r="L4084" s="2" t="s">
        <v>51</v>
      </c>
      <c r="M4084" s="2" t="s">
        <v>4228</v>
      </c>
      <c r="N4084" s="2" t="s">
        <v>30686</v>
      </c>
      <c r="O4084" s="2"/>
      <c r="P4084" s="2" t="s">
        <v>37</v>
      </c>
      <c r="Q4084" s="4" t="n">
        <v>8731</v>
      </c>
      <c r="R4084" s="2" t="s">
        <v>56</v>
      </c>
      <c r="S4084" s="2" t="s">
        <v>92</v>
      </c>
      <c r="T4084" s="2" t="s">
        <v>40</v>
      </c>
      <c r="U4084" s="2" t="s">
        <v>30687</v>
      </c>
      <c r="V4084" s="2"/>
      <c r="W4084" s="2" t="s">
        <v>30688</v>
      </c>
      <c r="X4084" s="2" t="s">
        <v>43</v>
      </c>
      <c r="Y4084" s="2" t="s">
        <v>37</v>
      </c>
      <c r="Z4084" s="2" t="s">
        <v>44</v>
      </c>
      <c r="AA4084" s="2"/>
      <c r="AB4084" s="2"/>
      <c r="AC4084" s="2" t="s">
        <v>30689</v>
      </c>
      <c r="AD4084" s="2" t="s">
        <v>46</v>
      </c>
    </row>
    <row r="4085" customFormat="false" ht="15.7" hidden="false" customHeight="true" outlineLevel="0" collapsed="false">
      <c r="A4085" s="2"/>
      <c r="B4085" s="3" t="n">
        <f aca="false">DATE(2019,3,6)</f>
        <v>0</v>
      </c>
      <c r="C4085" s="3" t="n">
        <v>43530</v>
      </c>
      <c r="D4085" s="2" t="s">
        <v>30690</v>
      </c>
      <c r="F4085" s="2" t="s">
        <v>30691</v>
      </c>
      <c r="G4085" s="2" t="s">
        <v>30692</v>
      </c>
      <c r="H4085" s="2" t="s">
        <v>30693</v>
      </c>
      <c r="I4085" s="2" t="s">
        <v>30694</v>
      </c>
      <c r="J4085" s="2" t="s">
        <v>35</v>
      </c>
      <c r="K4085" s="2" t="s">
        <v>30695</v>
      </c>
      <c r="L4085" s="2" t="s">
        <v>30694</v>
      </c>
      <c r="M4085" s="2" t="s">
        <v>30696</v>
      </c>
      <c r="N4085" s="2" t="s">
        <v>30697</v>
      </c>
      <c r="O4085" s="2"/>
      <c r="P4085" s="2" t="s">
        <v>37</v>
      </c>
      <c r="Q4085" s="4" t="n">
        <v>8731</v>
      </c>
      <c r="R4085" s="2" t="s">
        <v>18556</v>
      </c>
      <c r="S4085" s="2" t="s">
        <v>39</v>
      </c>
      <c r="T4085" s="2" t="s">
        <v>403</v>
      </c>
      <c r="U4085" s="2" t="s">
        <v>30698</v>
      </c>
      <c r="V4085" s="2"/>
      <c r="W4085" s="2" t="s">
        <v>4505</v>
      </c>
      <c r="X4085" s="2" t="s">
        <v>43</v>
      </c>
      <c r="Y4085" s="2" t="s">
        <v>37</v>
      </c>
      <c r="Z4085" s="2" t="s">
        <v>44</v>
      </c>
      <c r="AA4085" s="2"/>
      <c r="AB4085" s="2"/>
      <c r="AC4085" s="2" t="s">
        <v>30699</v>
      </c>
      <c r="AD4085" s="2" t="s">
        <v>46</v>
      </c>
    </row>
    <row r="4086" customFormat="false" ht="15.7" hidden="false" customHeight="true" outlineLevel="0" collapsed="false">
      <c r="A4086" s="2"/>
      <c r="B4086" s="3" t="n">
        <f aca="false">DATE(2019,3,7)</f>
        <v>0</v>
      </c>
      <c r="C4086" s="3" t="n">
        <v>43531</v>
      </c>
      <c r="D4086" s="2" t="s">
        <v>30700</v>
      </c>
      <c r="F4086" s="2" t="s">
        <v>30701</v>
      </c>
      <c r="G4086" s="2" t="s">
        <v>30702</v>
      </c>
      <c r="H4086" s="2" t="s">
        <v>30703</v>
      </c>
      <c r="I4086" s="2" t="s">
        <v>51</v>
      </c>
      <c r="J4086" s="2" t="s">
        <v>30704</v>
      </c>
      <c r="K4086" s="2" t="s">
        <v>30700</v>
      </c>
      <c r="L4086" s="2" t="s">
        <v>51</v>
      </c>
      <c r="M4086" s="2" t="s">
        <v>30703</v>
      </c>
      <c r="N4086" s="2" t="s">
        <v>30705</v>
      </c>
      <c r="O4086" s="2"/>
      <c r="P4086" s="2" t="s">
        <v>37</v>
      </c>
      <c r="Q4086" s="4" t="n">
        <v>8731</v>
      </c>
      <c r="R4086" s="2" t="s">
        <v>56</v>
      </c>
      <c r="S4086" s="2"/>
      <c r="T4086" s="2" t="s">
        <v>403</v>
      </c>
      <c r="U4086" s="2" t="s">
        <v>30706</v>
      </c>
      <c r="V4086" s="2"/>
      <c r="W4086" s="2" t="s">
        <v>24933</v>
      </c>
      <c r="X4086" s="2" t="s">
        <v>43</v>
      </c>
      <c r="Y4086" s="2" t="s">
        <v>37</v>
      </c>
      <c r="Z4086" s="2" t="s">
        <v>44</v>
      </c>
      <c r="AA4086" s="2"/>
      <c r="AB4086" s="2"/>
      <c r="AC4086" s="2" t="s">
        <v>30707</v>
      </c>
      <c r="AD4086" s="2" t="s">
        <v>46</v>
      </c>
    </row>
    <row r="4087" customFormat="false" ht="15.7" hidden="false" customHeight="true" outlineLevel="0" collapsed="false">
      <c r="A4087" s="2"/>
      <c r="B4087" s="3" t="n">
        <f aca="false">DATE(2019,3,7)</f>
        <v>0</v>
      </c>
      <c r="C4087" s="3" t="n">
        <v>43531</v>
      </c>
      <c r="D4087" s="2" t="s">
        <v>30708</v>
      </c>
      <c r="F4087" s="2" t="s">
        <v>30150</v>
      </c>
      <c r="G4087" s="2" t="s">
        <v>30709</v>
      </c>
      <c r="H4087" s="2" t="s">
        <v>24696</v>
      </c>
      <c r="I4087" s="2" t="s">
        <v>4325</v>
      </c>
      <c r="J4087" s="2" t="s">
        <v>35</v>
      </c>
      <c r="K4087" s="2" t="s">
        <v>30710</v>
      </c>
      <c r="L4087" s="2" t="s">
        <v>4325</v>
      </c>
      <c r="M4087" s="2" t="s">
        <v>2832</v>
      </c>
      <c r="N4087" s="2" t="s">
        <v>30711</v>
      </c>
      <c r="O4087" s="2"/>
      <c r="P4087" s="2" t="s">
        <v>37</v>
      </c>
      <c r="Q4087" s="4" t="n">
        <v>8099</v>
      </c>
      <c r="R4087" s="2" t="s">
        <v>402</v>
      </c>
      <c r="S4087" s="2" t="s">
        <v>39</v>
      </c>
      <c r="T4087" s="2" t="s">
        <v>403</v>
      </c>
      <c r="U4087" s="2" t="s">
        <v>30712</v>
      </c>
      <c r="V4087" s="2"/>
      <c r="W4087" s="2" t="s">
        <v>18495</v>
      </c>
      <c r="X4087" s="2" t="s">
        <v>43</v>
      </c>
      <c r="Y4087" s="2" t="s">
        <v>37</v>
      </c>
      <c r="Z4087" s="2" t="s">
        <v>44</v>
      </c>
      <c r="AA4087" s="2"/>
      <c r="AB4087" s="2"/>
      <c r="AC4087" s="2" t="s">
        <v>30713</v>
      </c>
      <c r="AD4087" s="2" t="s">
        <v>46</v>
      </c>
    </row>
    <row r="4088" customFormat="false" ht="15.7" hidden="false" customHeight="true" outlineLevel="0" collapsed="false">
      <c r="A4088" s="2"/>
      <c r="B4088" s="3" t="n">
        <f aca="false">DATE(2019,3,11)</f>
        <v>0</v>
      </c>
      <c r="C4088" s="3" t="n">
        <v>43535</v>
      </c>
      <c r="D4088" s="2" t="s">
        <v>30714</v>
      </c>
      <c r="F4088" s="2" t="s">
        <v>30715</v>
      </c>
      <c r="G4088" s="2" t="s">
        <v>30716</v>
      </c>
      <c r="H4088" s="2" t="s">
        <v>1629</v>
      </c>
      <c r="I4088" s="2" t="s">
        <v>3265</v>
      </c>
      <c r="J4088" s="2" t="s">
        <v>132</v>
      </c>
      <c r="K4088" s="2" t="s">
        <v>30714</v>
      </c>
      <c r="L4088" s="2" t="s">
        <v>3265</v>
      </c>
      <c r="M4088" s="2" t="s">
        <v>1629</v>
      </c>
      <c r="N4088" s="2" t="s">
        <v>30717</v>
      </c>
      <c r="O4088" s="2"/>
      <c r="P4088" s="2" t="s">
        <v>37</v>
      </c>
      <c r="Q4088" s="4" t="n">
        <v>8742</v>
      </c>
      <c r="R4088" s="2" t="s">
        <v>402</v>
      </c>
      <c r="S4088" s="2" t="s">
        <v>39</v>
      </c>
      <c r="T4088" s="2" t="s">
        <v>40</v>
      </c>
      <c r="U4088" s="2" t="s">
        <v>30718</v>
      </c>
      <c r="V4088" s="2"/>
      <c r="W4088" s="2" t="s">
        <v>7958</v>
      </c>
      <c r="X4088" s="2" t="s">
        <v>43</v>
      </c>
      <c r="Y4088" s="2" t="s">
        <v>37</v>
      </c>
      <c r="Z4088" s="2" t="s">
        <v>44</v>
      </c>
      <c r="AA4088" s="2"/>
      <c r="AB4088" s="2"/>
      <c r="AC4088" s="2" t="s">
        <v>30719</v>
      </c>
      <c r="AD4088" s="2" t="s">
        <v>46</v>
      </c>
    </row>
    <row r="4089" customFormat="false" ht="15.7" hidden="false" customHeight="true" outlineLevel="0" collapsed="false">
      <c r="A4089" s="2"/>
      <c r="B4089" s="3" t="n">
        <f aca="false">DATE(2019,3,11)</f>
        <v>0</v>
      </c>
      <c r="C4089" s="3" t="n">
        <v>43535</v>
      </c>
      <c r="D4089" s="2" t="s">
        <v>30720</v>
      </c>
      <c r="F4089" s="2" t="s">
        <v>30721</v>
      </c>
      <c r="G4089" s="2" t="s">
        <v>30722</v>
      </c>
      <c r="H4089" s="2" t="s">
        <v>30723</v>
      </c>
      <c r="I4089" s="2" t="s">
        <v>51</v>
      </c>
      <c r="J4089" s="2" t="s">
        <v>3999</v>
      </c>
      <c r="K4089" s="2" t="s">
        <v>30724</v>
      </c>
      <c r="L4089" s="2" t="s">
        <v>821</v>
      </c>
      <c r="M4089" s="2" t="s">
        <v>18337</v>
      </c>
      <c r="N4089" s="2" t="s">
        <v>30725</v>
      </c>
      <c r="O4089" s="2"/>
      <c r="P4089" s="2" t="s">
        <v>37</v>
      </c>
      <c r="Q4089" s="4" t="n">
        <v>8299</v>
      </c>
      <c r="R4089" s="2" t="s">
        <v>56</v>
      </c>
      <c r="S4089" s="2"/>
      <c r="T4089" s="2" t="s">
        <v>40</v>
      </c>
      <c r="U4089" s="2" t="s">
        <v>30726</v>
      </c>
      <c r="V4089" s="2"/>
      <c r="W4089" s="2" t="s">
        <v>21677</v>
      </c>
      <c r="X4089" s="2" t="s">
        <v>43</v>
      </c>
      <c r="Y4089" s="2" t="s">
        <v>37</v>
      </c>
      <c r="Z4089" s="2" t="s">
        <v>44</v>
      </c>
      <c r="AA4089" s="2"/>
      <c r="AB4089" s="2"/>
      <c r="AC4089" s="2" t="s">
        <v>30727</v>
      </c>
      <c r="AD4089" s="2" t="s">
        <v>46</v>
      </c>
    </row>
    <row r="4090" customFormat="false" ht="15.7" hidden="false" customHeight="true" outlineLevel="0" collapsed="false">
      <c r="A4090" s="2"/>
      <c r="B4090" s="3" t="n">
        <f aca="false">DATE(2019,3,12)</f>
        <v>0</v>
      </c>
      <c r="C4090" s="3" t="n">
        <v>43536</v>
      </c>
      <c r="D4090" s="2" t="s">
        <v>30728</v>
      </c>
      <c r="F4090" s="2" t="s">
        <v>30729</v>
      </c>
      <c r="G4090" s="2" t="s">
        <v>30730</v>
      </c>
      <c r="H4090" s="2" t="s">
        <v>30731</v>
      </c>
      <c r="I4090" s="2" t="s">
        <v>51</v>
      </c>
      <c r="J4090" s="2" t="s">
        <v>2190</v>
      </c>
      <c r="K4090" s="2" t="s">
        <v>30732</v>
      </c>
      <c r="L4090" s="2" t="s">
        <v>51</v>
      </c>
      <c r="M4090" s="2" t="s">
        <v>30731</v>
      </c>
      <c r="N4090" s="2" t="s">
        <v>30733</v>
      </c>
      <c r="O4090" s="2"/>
      <c r="P4090" s="2" t="s">
        <v>37</v>
      </c>
      <c r="Q4090" s="4" t="n">
        <v>6794</v>
      </c>
      <c r="R4090" s="2" t="s">
        <v>56</v>
      </c>
      <c r="S4090" s="2"/>
      <c r="T4090" s="2" t="s">
        <v>40</v>
      </c>
      <c r="U4090" s="2" t="s">
        <v>30734</v>
      </c>
      <c r="V4090" s="2"/>
      <c r="W4090" s="2" t="s">
        <v>82</v>
      </c>
      <c r="X4090" s="2" t="s">
        <v>43</v>
      </c>
      <c r="Y4090" s="2" t="s">
        <v>37</v>
      </c>
      <c r="Z4090" s="2" t="s">
        <v>44</v>
      </c>
      <c r="AA4090" s="2"/>
      <c r="AB4090" s="2"/>
      <c r="AC4090" s="2" t="s">
        <v>30735</v>
      </c>
      <c r="AD4090" s="2" t="s">
        <v>46</v>
      </c>
    </row>
    <row r="4091" customFormat="false" ht="15.7" hidden="false" customHeight="true" outlineLevel="0" collapsed="false">
      <c r="A4091" s="2"/>
      <c r="B4091" s="3" t="n">
        <f aca="false">DATE(2019,3,12)</f>
        <v>0</v>
      </c>
      <c r="C4091" s="3" t="n">
        <v>43536</v>
      </c>
      <c r="D4091" s="2" t="s">
        <v>30736</v>
      </c>
      <c r="F4091" s="2" t="s">
        <v>30737</v>
      </c>
      <c r="G4091" s="2" t="s">
        <v>30738</v>
      </c>
      <c r="H4091" s="2" t="s">
        <v>30739</v>
      </c>
      <c r="I4091" s="2" t="s">
        <v>2530</v>
      </c>
      <c r="J4091" s="2" t="s">
        <v>30740</v>
      </c>
      <c r="K4091" s="2" t="s">
        <v>30736</v>
      </c>
      <c r="L4091" s="2" t="s">
        <v>2530</v>
      </c>
      <c r="M4091" s="2" t="s">
        <v>30739</v>
      </c>
      <c r="N4091" s="2" t="s">
        <v>30741</v>
      </c>
      <c r="O4091" s="2"/>
      <c r="P4091" s="2" t="s">
        <v>37</v>
      </c>
      <c r="Q4091" s="4" t="n">
        <v>8731</v>
      </c>
      <c r="R4091" s="2" t="s">
        <v>1448</v>
      </c>
      <c r="S4091" s="2" t="s">
        <v>39</v>
      </c>
      <c r="T4091" s="2" t="s">
        <v>40</v>
      </c>
      <c r="U4091" s="2" t="s">
        <v>30742</v>
      </c>
      <c r="V4091" s="2"/>
      <c r="W4091" s="2" t="s">
        <v>42</v>
      </c>
      <c r="X4091" s="2" t="s">
        <v>43</v>
      </c>
      <c r="Y4091" s="2" t="s">
        <v>37</v>
      </c>
      <c r="Z4091" s="2" t="s">
        <v>916</v>
      </c>
      <c r="AA4091" s="2"/>
      <c r="AB4091" s="2"/>
      <c r="AC4091" s="2" t="s">
        <v>30743</v>
      </c>
      <c r="AD4091" s="2" t="s">
        <v>46</v>
      </c>
    </row>
    <row r="4092" customFormat="false" ht="15.7" hidden="false" customHeight="true" outlineLevel="0" collapsed="false">
      <c r="A4092" s="2"/>
      <c r="B4092" s="3" t="n">
        <f aca="false">DATE(2019,3,13)</f>
        <v>0</v>
      </c>
      <c r="C4092" s="3" t="n">
        <v>43537</v>
      </c>
      <c r="D4092" s="2" t="s">
        <v>30744</v>
      </c>
      <c r="F4092" s="2" t="s">
        <v>30745</v>
      </c>
      <c r="G4092" s="2" t="s">
        <v>30746</v>
      </c>
      <c r="H4092" s="2" t="s">
        <v>30747</v>
      </c>
      <c r="I4092" s="2" t="s">
        <v>5102</v>
      </c>
      <c r="J4092" s="2" t="s">
        <v>35</v>
      </c>
      <c r="K4092" s="2" t="s">
        <v>30744</v>
      </c>
      <c r="L4092" s="2" t="s">
        <v>5102</v>
      </c>
      <c r="M4092" s="2" t="s">
        <v>30747</v>
      </c>
      <c r="N4092" s="2" t="s">
        <v>30748</v>
      </c>
      <c r="O4092" s="2"/>
      <c r="P4092" s="2" t="s">
        <v>37</v>
      </c>
      <c r="Q4092" s="4" t="n">
        <v>8731</v>
      </c>
      <c r="R4092" s="2" t="s">
        <v>70</v>
      </c>
      <c r="S4092" s="2" t="s">
        <v>39</v>
      </c>
      <c r="T4092" s="2" t="s">
        <v>40</v>
      </c>
      <c r="U4092" s="2" t="s">
        <v>30749</v>
      </c>
      <c r="V4092" s="2"/>
      <c r="W4092" s="2" t="s">
        <v>1050</v>
      </c>
      <c r="X4092" s="2" t="s">
        <v>43</v>
      </c>
      <c r="Y4092" s="2" t="s">
        <v>37</v>
      </c>
      <c r="Z4092" s="2" t="s">
        <v>44</v>
      </c>
      <c r="AA4092" s="2"/>
      <c r="AB4092" s="2"/>
      <c r="AC4092" s="2" t="s">
        <v>30750</v>
      </c>
      <c r="AD4092" s="2" t="s">
        <v>46</v>
      </c>
    </row>
    <row r="4093" customFormat="false" ht="15.7" hidden="false" customHeight="true" outlineLevel="0" collapsed="false">
      <c r="A4093" s="2"/>
      <c r="B4093" s="3" t="n">
        <f aca="false">DATE(2019,3,13)</f>
        <v>0</v>
      </c>
      <c r="C4093" s="3" t="n">
        <v>43537</v>
      </c>
      <c r="D4093" s="2" t="s">
        <v>30751</v>
      </c>
      <c r="F4093" s="2" t="s">
        <v>30752</v>
      </c>
      <c r="G4093" s="2" t="s">
        <v>30753</v>
      </c>
      <c r="H4093" s="2" t="s">
        <v>30754</v>
      </c>
      <c r="I4093" s="2" t="s">
        <v>51</v>
      </c>
      <c r="J4093" s="2" t="s">
        <v>171</v>
      </c>
      <c r="K4093" s="2" t="s">
        <v>30751</v>
      </c>
      <c r="L4093" s="2" t="s">
        <v>51</v>
      </c>
      <c r="M4093" s="2" t="s">
        <v>30754</v>
      </c>
      <c r="N4093" s="2" t="s">
        <v>30755</v>
      </c>
      <c r="O4093" s="2"/>
      <c r="P4093" s="2" t="s">
        <v>37</v>
      </c>
      <c r="Q4093" s="4" t="n">
        <v>8731</v>
      </c>
      <c r="R4093" s="2" t="s">
        <v>56</v>
      </c>
      <c r="S4093" s="2"/>
      <c r="T4093" s="2" t="s">
        <v>40</v>
      </c>
      <c r="U4093" s="2" t="s">
        <v>30756</v>
      </c>
      <c r="V4093" s="2"/>
      <c r="W4093" s="2" t="s">
        <v>344</v>
      </c>
      <c r="X4093" s="2" t="s">
        <v>43</v>
      </c>
      <c r="Y4093" s="2" t="s">
        <v>37</v>
      </c>
      <c r="Z4093" s="2" t="s">
        <v>44</v>
      </c>
      <c r="AA4093" s="2"/>
      <c r="AB4093" s="2"/>
      <c r="AC4093" s="2" t="s">
        <v>30757</v>
      </c>
      <c r="AD4093" s="2" t="s">
        <v>46</v>
      </c>
    </row>
    <row r="4094" customFormat="false" ht="15.7" hidden="false" customHeight="true" outlineLevel="0" collapsed="false">
      <c r="A4094" s="2"/>
      <c r="B4094" s="3" t="n">
        <f aca="false">DATE(2019,3,14)</f>
        <v>0</v>
      </c>
      <c r="C4094" s="3" t="n">
        <v>43538</v>
      </c>
      <c r="D4094" s="2" t="s">
        <v>30758</v>
      </c>
      <c r="F4094" s="2" t="s">
        <v>30759</v>
      </c>
      <c r="G4094" s="2" t="s">
        <v>30760</v>
      </c>
      <c r="H4094" s="2" t="s">
        <v>30761</v>
      </c>
      <c r="I4094" s="2" t="s">
        <v>30762</v>
      </c>
      <c r="J4094" s="2" t="s">
        <v>35</v>
      </c>
      <c r="K4094" s="2" t="s">
        <v>30758</v>
      </c>
      <c r="L4094" s="2" t="s">
        <v>30762</v>
      </c>
      <c r="M4094" s="2" t="s">
        <v>30761</v>
      </c>
      <c r="N4094" s="2" t="s">
        <v>30763</v>
      </c>
      <c r="O4094" s="2"/>
      <c r="P4094" s="2" t="s">
        <v>37</v>
      </c>
      <c r="Q4094" s="4" t="n">
        <v>5099</v>
      </c>
      <c r="R4094" s="2" t="s">
        <v>3154</v>
      </c>
      <c r="S4094" s="2" t="s">
        <v>39</v>
      </c>
      <c r="T4094" s="2" t="s">
        <v>403</v>
      </c>
      <c r="U4094" s="2" t="s">
        <v>30764</v>
      </c>
      <c r="V4094" s="2"/>
      <c r="W4094" s="2" t="s">
        <v>13100</v>
      </c>
      <c r="X4094" s="2" t="s">
        <v>46</v>
      </c>
      <c r="Y4094" s="2" t="s">
        <v>37</v>
      </c>
      <c r="Z4094" s="2" t="s">
        <v>987</v>
      </c>
      <c r="AA4094" s="2"/>
      <c r="AB4094" s="2"/>
      <c r="AC4094" s="2" t="s">
        <v>30765</v>
      </c>
      <c r="AD4094" s="2" t="s">
        <v>46</v>
      </c>
    </row>
    <row r="4095" customFormat="false" ht="15.7" hidden="false" customHeight="true" outlineLevel="0" collapsed="false">
      <c r="A4095" s="2"/>
      <c r="B4095" s="3" t="n">
        <f aca="false">DATE(2019,3,14)</f>
        <v>0</v>
      </c>
      <c r="C4095" s="3" t="n">
        <v>43538</v>
      </c>
      <c r="D4095" s="2" t="s">
        <v>30766</v>
      </c>
      <c r="F4095" s="2" t="s">
        <v>30767</v>
      </c>
      <c r="G4095" s="2" t="s">
        <v>30768</v>
      </c>
      <c r="H4095" s="2" t="s">
        <v>368</v>
      </c>
      <c r="I4095" s="2" t="s">
        <v>670</v>
      </c>
      <c r="J4095" s="2" t="s">
        <v>514</v>
      </c>
      <c r="K4095" s="2" t="s">
        <v>30766</v>
      </c>
      <c r="L4095" s="2" t="s">
        <v>670</v>
      </c>
      <c r="M4095" s="2" t="s">
        <v>368</v>
      </c>
      <c r="N4095" s="2" t="s">
        <v>30769</v>
      </c>
      <c r="O4095" s="2"/>
      <c r="P4095" s="2" t="s">
        <v>37</v>
      </c>
      <c r="Q4095" s="4" t="n">
        <v>8299</v>
      </c>
      <c r="R4095" s="2" t="s">
        <v>402</v>
      </c>
      <c r="S4095" s="2" t="s">
        <v>39</v>
      </c>
      <c r="T4095" s="2" t="s">
        <v>40</v>
      </c>
      <c r="U4095" s="2" t="s">
        <v>30770</v>
      </c>
      <c r="V4095" s="2"/>
      <c r="W4095" s="2" t="s">
        <v>21677</v>
      </c>
      <c r="X4095" s="2" t="s">
        <v>43</v>
      </c>
      <c r="Y4095" s="2" t="s">
        <v>37</v>
      </c>
      <c r="Z4095" s="2" t="s">
        <v>44</v>
      </c>
      <c r="AA4095" s="2"/>
      <c r="AB4095" s="2"/>
      <c r="AC4095" s="2" t="s">
        <v>30771</v>
      </c>
      <c r="AD4095" s="2" t="s">
        <v>46</v>
      </c>
    </row>
    <row r="4096" customFormat="false" ht="15.7" hidden="false" customHeight="true" outlineLevel="0" collapsed="false">
      <c r="A4096" s="2"/>
      <c r="B4096" s="3" t="n">
        <f aca="false">DATE(2019,3,14)</f>
        <v>0</v>
      </c>
      <c r="C4096" s="3" t="n">
        <v>43538</v>
      </c>
      <c r="D4096" s="2" t="s">
        <v>30772</v>
      </c>
      <c r="F4096" s="2" t="s">
        <v>30773</v>
      </c>
      <c r="G4096" s="2" t="s">
        <v>30774</v>
      </c>
      <c r="H4096" s="2" t="s">
        <v>30775</v>
      </c>
      <c r="I4096" s="2" t="s">
        <v>30776</v>
      </c>
      <c r="J4096" s="2" t="s">
        <v>35</v>
      </c>
      <c r="K4096" s="2" t="s">
        <v>30772</v>
      </c>
      <c r="L4096" s="2" t="s">
        <v>30776</v>
      </c>
      <c r="M4096" s="2" t="s">
        <v>30775</v>
      </c>
      <c r="N4096" s="2" t="s">
        <v>30777</v>
      </c>
      <c r="O4096" s="2"/>
      <c r="P4096" s="2" t="s">
        <v>37</v>
      </c>
      <c r="Q4096" s="4" t="n">
        <v>4812</v>
      </c>
      <c r="R4096" s="2" t="s">
        <v>2165</v>
      </c>
      <c r="S4096" s="2" t="s">
        <v>39</v>
      </c>
      <c r="T4096" s="2" t="s">
        <v>403</v>
      </c>
      <c r="U4096" s="2" t="s">
        <v>30778</v>
      </c>
      <c r="V4096" s="2"/>
      <c r="W4096" s="2" t="s">
        <v>14079</v>
      </c>
      <c r="X4096" s="2" t="s">
        <v>46</v>
      </c>
      <c r="Y4096" s="2" t="s">
        <v>37</v>
      </c>
      <c r="Z4096" s="2" t="s">
        <v>44</v>
      </c>
      <c r="AA4096" s="2"/>
      <c r="AB4096" s="2"/>
      <c r="AC4096" s="2" t="s">
        <v>30779</v>
      </c>
      <c r="AD4096" s="2" t="s">
        <v>46</v>
      </c>
    </row>
    <row r="4097" customFormat="false" ht="15.7" hidden="false" customHeight="true" outlineLevel="0" collapsed="false">
      <c r="A4097" s="2"/>
      <c r="B4097" s="3" t="n">
        <f aca="false">DATE(2019,3,14)</f>
        <v>0</v>
      </c>
      <c r="C4097" s="3" t="n">
        <v>43538</v>
      </c>
      <c r="D4097" s="2" t="s">
        <v>30780</v>
      </c>
      <c r="F4097" s="2" t="s">
        <v>23928</v>
      </c>
      <c r="G4097" s="2" t="s">
        <v>30781</v>
      </c>
      <c r="H4097" s="2" t="s">
        <v>305</v>
      </c>
      <c r="I4097" s="2" t="s">
        <v>685</v>
      </c>
      <c r="J4097" s="2" t="s">
        <v>35</v>
      </c>
      <c r="K4097" s="2" t="s">
        <v>30780</v>
      </c>
      <c r="L4097" s="2" t="s">
        <v>685</v>
      </c>
      <c r="M4097" s="2" t="s">
        <v>305</v>
      </c>
      <c r="N4097" s="2" t="s">
        <v>30782</v>
      </c>
      <c r="O4097" s="2"/>
      <c r="P4097" s="2" t="s">
        <v>37</v>
      </c>
      <c r="Q4097" s="4" t="n">
        <v>8099</v>
      </c>
      <c r="R4097" s="2" t="s">
        <v>688</v>
      </c>
      <c r="S4097" s="2" t="s">
        <v>39</v>
      </c>
      <c r="T4097" s="2" t="s">
        <v>403</v>
      </c>
      <c r="U4097" s="2" t="s">
        <v>30783</v>
      </c>
      <c r="V4097" s="2"/>
      <c r="W4097" s="2" t="s">
        <v>4487</v>
      </c>
      <c r="X4097" s="2" t="s">
        <v>43</v>
      </c>
      <c r="Y4097" s="2" t="s">
        <v>37</v>
      </c>
      <c r="Z4097" s="2" t="s">
        <v>44</v>
      </c>
      <c r="AA4097" s="2"/>
      <c r="AB4097" s="2"/>
      <c r="AC4097" s="2" t="s">
        <v>30784</v>
      </c>
      <c r="AD4097" s="2" t="s">
        <v>46</v>
      </c>
    </row>
    <row r="4098" customFormat="false" ht="15.7" hidden="false" customHeight="true" outlineLevel="0" collapsed="false">
      <c r="A4098" s="2"/>
      <c r="B4098" s="3" t="n">
        <f aca="false">DATE(2019,3,15)</f>
        <v>0</v>
      </c>
      <c r="C4098" s="3" t="n">
        <v>43539</v>
      </c>
      <c r="D4098" s="2" t="s">
        <v>30785</v>
      </c>
      <c r="F4098" s="2" t="s">
        <v>30786</v>
      </c>
      <c r="G4098" s="2" t="s">
        <v>30787</v>
      </c>
      <c r="H4098" s="2" t="s">
        <v>30788</v>
      </c>
      <c r="I4098" s="2" t="s">
        <v>5102</v>
      </c>
      <c r="J4098" s="2" t="s">
        <v>35</v>
      </c>
      <c r="K4098" s="2" t="s">
        <v>30785</v>
      </c>
      <c r="L4098" s="2" t="s">
        <v>5102</v>
      </c>
      <c r="M4098" s="2" t="s">
        <v>30788</v>
      </c>
      <c r="N4098" s="2" t="s">
        <v>30789</v>
      </c>
      <c r="O4098" s="2"/>
      <c r="P4098" s="2" t="s">
        <v>37</v>
      </c>
      <c r="Q4098" s="4" t="n">
        <v>8731</v>
      </c>
      <c r="R4098" s="2" t="s">
        <v>70</v>
      </c>
      <c r="S4098" s="2" t="s">
        <v>39</v>
      </c>
      <c r="T4098" s="2" t="s">
        <v>40</v>
      </c>
      <c r="U4098" s="2" t="s">
        <v>30790</v>
      </c>
      <c r="V4098" s="2"/>
      <c r="W4098" s="2" t="s">
        <v>23704</v>
      </c>
      <c r="X4098" s="2" t="s">
        <v>46</v>
      </c>
      <c r="Y4098" s="2" t="s">
        <v>37</v>
      </c>
      <c r="Z4098" s="2" t="s">
        <v>44</v>
      </c>
      <c r="AA4098" s="2"/>
      <c r="AB4098" s="2"/>
      <c r="AC4098" s="2" t="s">
        <v>30791</v>
      </c>
      <c r="AD4098" s="2" t="s">
        <v>46</v>
      </c>
    </row>
    <row r="4099" customFormat="false" ht="15.7" hidden="false" customHeight="true" outlineLevel="0" collapsed="false">
      <c r="A4099" s="2"/>
      <c r="B4099" s="3" t="n">
        <f aca="false">DATE(2019,3,15)</f>
        <v>0</v>
      </c>
      <c r="C4099" s="3" t="n">
        <v>43539</v>
      </c>
      <c r="D4099" s="2" t="s">
        <v>30792</v>
      </c>
      <c r="F4099" s="2" t="s">
        <v>30793</v>
      </c>
      <c r="G4099" s="2" t="s">
        <v>30794</v>
      </c>
      <c r="H4099" s="2" t="s">
        <v>30795</v>
      </c>
      <c r="I4099" s="2" t="s">
        <v>487</v>
      </c>
      <c r="J4099" s="2" t="s">
        <v>966</v>
      </c>
      <c r="K4099" s="2" t="s">
        <v>30792</v>
      </c>
      <c r="L4099" s="2" t="s">
        <v>487</v>
      </c>
      <c r="M4099" s="2" t="s">
        <v>30795</v>
      </c>
      <c r="N4099" s="2" t="s">
        <v>30796</v>
      </c>
      <c r="O4099" s="2"/>
      <c r="P4099" s="2" t="s">
        <v>37</v>
      </c>
      <c r="Q4099" s="4" t="n">
        <v>6794</v>
      </c>
      <c r="R4099" s="2" t="s">
        <v>136</v>
      </c>
      <c r="S4099" s="2" t="s">
        <v>39</v>
      </c>
      <c r="T4099" s="2" t="s">
        <v>40</v>
      </c>
      <c r="U4099" s="2" t="s">
        <v>30797</v>
      </c>
      <c r="V4099" s="2"/>
      <c r="W4099" s="2" t="s">
        <v>15545</v>
      </c>
      <c r="X4099" s="2" t="s">
        <v>43</v>
      </c>
      <c r="Y4099" s="2" t="s">
        <v>37</v>
      </c>
      <c r="Z4099" s="2" t="s">
        <v>44</v>
      </c>
      <c r="AA4099" s="2"/>
      <c r="AB4099" s="2"/>
      <c r="AC4099" s="2" t="s">
        <v>30798</v>
      </c>
      <c r="AD4099" s="2" t="s">
        <v>46</v>
      </c>
    </row>
    <row r="4100" customFormat="false" ht="15.7" hidden="false" customHeight="true" outlineLevel="0" collapsed="false">
      <c r="A4100" s="2"/>
      <c r="B4100" s="3" t="n">
        <f aca="false">DATE(2019,3,18)</f>
        <v>0</v>
      </c>
      <c r="C4100" s="3" t="n">
        <v>43542</v>
      </c>
      <c r="D4100" s="2" t="s">
        <v>30799</v>
      </c>
      <c r="F4100" s="2" t="s">
        <v>30800</v>
      </c>
      <c r="G4100" s="2" t="s">
        <v>30801</v>
      </c>
      <c r="H4100" s="2" t="s">
        <v>30802</v>
      </c>
      <c r="I4100" s="2" t="s">
        <v>30803</v>
      </c>
      <c r="J4100" s="2" t="s">
        <v>35</v>
      </c>
      <c r="K4100" s="2" t="s">
        <v>30799</v>
      </c>
      <c r="L4100" s="2" t="s">
        <v>30803</v>
      </c>
      <c r="M4100" s="2" t="s">
        <v>30802</v>
      </c>
      <c r="N4100" s="2" t="s">
        <v>30804</v>
      </c>
      <c r="O4100" s="2"/>
      <c r="P4100" s="2" t="s">
        <v>37</v>
      </c>
      <c r="Q4100" s="4" t="n">
        <v>6794</v>
      </c>
      <c r="R4100" s="2" t="s">
        <v>136</v>
      </c>
      <c r="S4100" s="2" t="s">
        <v>39</v>
      </c>
      <c r="T4100" s="2" t="s">
        <v>40</v>
      </c>
      <c r="U4100" s="2" t="s">
        <v>30805</v>
      </c>
      <c r="V4100" s="2"/>
      <c r="W4100" s="2" t="s">
        <v>15545</v>
      </c>
      <c r="X4100" s="2" t="s">
        <v>43</v>
      </c>
      <c r="Y4100" s="2" t="s">
        <v>37</v>
      </c>
      <c r="Z4100" s="2" t="s">
        <v>44</v>
      </c>
      <c r="AA4100" s="2"/>
      <c r="AB4100" s="2"/>
      <c r="AC4100" s="2" t="s">
        <v>30806</v>
      </c>
      <c r="AD4100" s="2" t="s">
        <v>46</v>
      </c>
    </row>
    <row r="4101" customFormat="false" ht="15.7" hidden="false" customHeight="true" outlineLevel="0" collapsed="false">
      <c r="A4101" s="2"/>
      <c r="B4101" s="3" t="n">
        <f aca="false">DATE(2019,3,18)</f>
        <v>0</v>
      </c>
      <c r="C4101" s="3" t="n">
        <v>43542</v>
      </c>
      <c r="D4101" s="2" t="s">
        <v>30807</v>
      </c>
      <c r="F4101" s="2" t="s">
        <v>30808</v>
      </c>
      <c r="G4101" s="2" t="s">
        <v>30809</v>
      </c>
      <c r="H4101" s="2" t="s">
        <v>30810</v>
      </c>
      <c r="I4101" s="2" t="s">
        <v>1645</v>
      </c>
      <c r="J4101" s="2" t="s">
        <v>35</v>
      </c>
      <c r="K4101" s="2" t="s">
        <v>30807</v>
      </c>
      <c r="L4101" s="2" t="s">
        <v>1645</v>
      </c>
      <c r="M4101" s="2" t="s">
        <v>30810</v>
      </c>
      <c r="N4101" s="2" t="s">
        <v>30811</v>
      </c>
      <c r="O4101" s="2"/>
      <c r="P4101" s="2" t="s">
        <v>37</v>
      </c>
      <c r="Q4101" s="4" t="n">
        <v>8099</v>
      </c>
      <c r="R4101" s="2" t="s">
        <v>1402</v>
      </c>
      <c r="S4101" s="2" t="s">
        <v>39</v>
      </c>
      <c r="T4101" s="2" t="s">
        <v>2444</v>
      </c>
      <c r="U4101" s="2" t="s">
        <v>30812</v>
      </c>
      <c r="V4101" s="2"/>
      <c r="W4101" s="2" t="s">
        <v>4487</v>
      </c>
      <c r="X4101" s="2" t="s">
        <v>43</v>
      </c>
      <c r="Y4101" s="2" t="s">
        <v>37</v>
      </c>
      <c r="Z4101" s="2" t="s">
        <v>44</v>
      </c>
      <c r="AA4101" s="2"/>
      <c r="AB4101" s="2"/>
      <c r="AC4101" s="2" t="s">
        <v>30813</v>
      </c>
      <c r="AD4101" s="2" t="s">
        <v>46</v>
      </c>
    </row>
    <row r="4102" customFormat="false" ht="15.7" hidden="false" customHeight="true" outlineLevel="0" collapsed="false">
      <c r="A4102" s="2"/>
      <c r="B4102" s="3" t="n">
        <f aca="false">DATE(2019,3,18)</f>
        <v>0</v>
      </c>
      <c r="C4102" s="3" t="n">
        <v>43542</v>
      </c>
      <c r="D4102" s="2" t="s">
        <v>30814</v>
      </c>
      <c r="F4102" s="2" t="s">
        <v>30815</v>
      </c>
      <c r="G4102" s="2" t="s">
        <v>30816</v>
      </c>
      <c r="H4102" s="2" t="s">
        <v>25594</v>
      </c>
      <c r="I4102" s="2" t="s">
        <v>540</v>
      </c>
      <c r="J4102" s="2" t="s">
        <v>35</v>
      </c>
      <c r="K4102" s="2" t="s">
        <v>30814</v>
      </c>
      <c r="L4102" s="2" t="s">
        <v>540</v>
      </c>
      <c r="M4102" s="2" t="s">
        <v>25594</v>
      </c>
      <c r="N4102" s="2" t="s">
        <v>30817</v>
      </c>
      <c r="O4102" s="2"/>
      <c r="P4102" s="2" t="s">
        <v>37</v>
      </c>
      <c r="Q4102" s="4" t="n">
        <v>8731</v>
      </c>
      <c r="R4102" s="2" t="s">
        <v>1448</v>
      </c>
      <c r="S4102" s="2" t="s">
        <v>39</v>
      </c>
      <c r="T4102" s="2" t="s">
        <v>40</v>
      </c>
      <c r="U4102" s="2" t="s">
        <v>30818</v>
      </c>
      <c r="V4102" s="2"/>
      <c r="W4102" s="2" t="s">
        <v>42</v>
      </c>
      <c r="X4102" s="2" t="s">
        <v>43</v>
      </c>
      <c r="Y4102" s="2" t="s">
        <v>37</v>
      </c>
      <c r="Z4102" s="2" t="s">
        <v>44</v>
      </c>
      <c r="AA4102" s="2"/>
      <c r="AB4102" s="2"/>
      <c r="AC4102" s="2" t="s">
        <v>30819</v>
      </c>
      <c r="AD4102" s="2" t="s">
        <v>46</v>
      </c>
    </row>
    <row r="4103" customFormat="false" ht="15.7" hidden="false" customHeight="true" outlineLevel="0" collapsed="false">
      <c r="A4103" s="2"/>
      <c r="B4103" s="3" t="n">
        <f aca="false">DATE(2019,3,18)</f>
        <v>0</v>
      </c>
      <c r="C4103" s="3" t="n">
        <v>43542</v>
      </c>
      <c r="D4103" s="2" t="s">
        <v>30820</v>
      </c>
      <c r="F4103" s="2" t="s">
        <v>30821</v>
      </c>
      <c r="G4103" s="2" t="s">
        <v>30822</v>
      </c>
      <c r="H4103" s="2" t="s">
        <v>30823</v>
      </c>
      <c r="I4103" s="2" t="s">
        <v>2530</v>
      </c>
      <c r="J4103" s="2" t="s">
        <v>30824</v>
      </c>
      <c r="K4103" s="2" t="s">
        <v>30825</v>
      </c>
      <c r="L4103" s="2" t="s">
        <v>2530</v>
      </c>
      <c r="M4103" s="2" t="s">
        <v>30826</v>
      </c>
      <c r="N4103" s="2" t="s">
        <v>30827</v>
      </c>
      <c r="O4103" s="2"/>
      <c r="P4103" s="2" t="s">
        <v>79</v>
      </c>
      <c r="Q4103" s="4" t="n">
        <v>6794</v>
      </c>
      <c r="R4103" s="2" t="s">
        <v>56</v>
      </c>
      <c r="S4103" s="2"/>
      <c r="T4103" s="2" t="s">
        <v>40</v>
      </c>
      <c r="U4103" s="2" t="s">
        <v>30828</v>
      </c>
      <c r="V4103" s="2"/>
      <c r="W4103" s="2" t="s">
        <v>82</v>
      </c>
      <c r="X4103" s="2" t="s">
        <v>43</v>
      </c>
      <c r="Y4103" s="2" t="s">
        <v>37</v>
      </c>
      <c r="Z4103" s="2" t="s">
        <v>916</v>
      </c>
      <c r="AA4103" s="2"/>
      <c r="AB4103" s="2"/>
      <c r="AC4103" s="2" t="s">
        <v>30829</v>
      </c>
      <c r="AD4103" s="2" t="s">
        <v>46</v>
      </c>
    </row>
    <row r="4104" customFormat="false" ht="15.7" hidden="false" customHeight="true" outlineLevel="0" collapsed="false">
      <c r="A4104" s="2"/>
      <c r="B4104" s="3" t="n">
        <f aca="false">DATE(2019,3,18)</f>
        <v>0</v>
      </c>
      <c r="C4104" s="3" t="n">
        <v>43542</v>
      </c>
      <c r="D4104" s="2" t="s">
        <v>30830</v>
      </c>
      <c r="F4104" s="2" t="s">
        <v>30831</v>
      </c>
      <c r="G4104" s="2" t="s">
        <v>30832</v>
      </c>
      <c r="H4104" s="2" t="s">
        <v>170</v>
      </c>
      <c r="I4104" s="2" t="s">
        <v>13151</v>
      </c>
      <c r="J4104" s="2" t="s">
        <v>35</v>
      </c>
      <c r="K4104" s="2" t="s">
        <v>30833</v>
      </c>
      <c r="L4104" s="2" t="s">
        <v>13151</v>
      </c>
      <c r="M4104" s="2" t="s">
        <v>63</v>
      </c>
      <c r="N4104" s="2" t="s">
        <v>30834</v>
      </c>
      <c r="O4104" s="2"/>
      <c r="P4104" s="2" t="s">
        <v>37</v>
      </c>
      <c r="Q4104" s="4" t="n">
        <v>8731</v>
      </c>
      <c r="R4104" s="2" t="s">
        <v>402</v>
      </c>
      <c r="S4104" s="2" t="s">
        <v>39</v>
      </c>
      <c r="T4104" s="2" t="s">
        <v>40</v>
      </c>
      <c r="U4104" s="2" t="s">
        <v>30835</v>
      </c>
      <c r="V4104" s="2"/>
      <c r="W4104" s="2" t="s">
        <v>1050</v>
      </c>
      <c r="X4104" s="2" t="s">
        <v>43</v>
      </c>
      <c r="Y4104" s="2" t="s">
        <v>37</v>
      </c>
      <c r="Z4104" s="2" t="s">
        <v>44</v>
      </c>
      <c r="AA4104" s="2"/>
      <c r="AB4104" s="2"/>
      <c r="AC4104" s="2" t="s">
        <v>13154</v>
      </c>
      <c r="AD4104" s="2" t="s">
        <v>46</v>
      </c>
    </row>
    <row r="4105" customFormat="false" ht="15.7" hidden="false" customHeight="true" outlineLevel="0" collapsed="false">
      <c r="A4105" s="2"/>
      <c r="B4105" s="3" t="n">
        <f aca="false">DATE(2019,3,19)</f>
        <v>0</v>
      </c>
      <c r="C4105" s="3" t="n">
        <v>43543</v>
      </c>
      <c r="D4105" s="2" t="s">
        <v>30836</v>
      </c>
      <c r="F4105" s="2" t="s">
        <v>30837</v>
      </c>
      <c r="G4105" s="2" t="s">
        <v>30838</v>
      </c>
      <c r="H4105" s="2" t="s">
        <v>523</v>
      </c>
      <c r="I4105" s="2" t="s">
        <v>131</v>
      </c>
      <c r="J4105" s="2" t="s">
        <v>966</v>
      </c>
      <c r="K4105" s="2" t="s">
        <v>30839</v>
      </c>
      <c r="L4105" s="2" t="s">
        <v>131</v>
      </c>
      <c r="M4105" s="2" t="s">
        <v>551</v>
      </c>
      <c r="N4105" s="2" t="s">
        <v>30840</v>
      </c>
      <c r="O4105" s="2"/>
      <c r="P4105" s="2" t="s">
        <v>37</v>
      </c>
      <c r="Q4105" s="4" t="n">
        <v>8099</v>
      </c>
      <c r="R4105" s="2" t="s">
        <v>402</v>
      </c>
      <c r="S4105" s="2" t="s">
        <v>39</v>
      </c>
      <c r="T4105" s="2" t="s">
        <v>403</v>
      </c>
      <c r="U4105" s="2" t="s">
        <v>30841</v>
      </c>
      <c r="V4105" s="2"/>
      <c r="W4105" s="2" t="s">
        <v>18495</v>
      </c>
      <c r="X4105" s="2" t="s">
        <v>43</v>
      </c>
      <c r="Y4105" s="2" t="s">
        <v>37</v>
      </c>
      <c r="Z4105" s="2" t="s">
        <v>44</v>
      </c>
      <c r="AA4105" s="2"/>
      <c r="AB4105" s="2"/>
      <c r="AC4105" s="2" t="s">
        <v>30842</v>
      </c>
      <c r="AD4105" s="2" t="s">
        <v>46</v>
      </c>
    </row>
    <row r="4106" customFormat="false" ht="15.7" hidden="false" customHeight="true" outlineLevel="0" collapsed="false">
      <c r="A4106" s="2"/>
      <c r="B4106" s="3" t="n">
        <f aca="false">DATE(2019,3,19)</f>
        <v>0</v>
      </c>
      <c r="C4106" s="3" t="n">
        <v>43543</v>
      </c>
      <c r="D4106" s="2" t="s">
        <v>30843</v>
      </c>
      <c r="F4106" s="2" t="s">
        <v>30844</v>
      </c>
      <c r="G4106" s="2" t="s">
        <v>30845</v>
      </c>
      <c r="H4106" s="2" t="s">
        <v>3036</v>
      </c>
      <c r="I4106" s="2" t="s">
        <v>51</v>
      </c>
      <c r="J4106" s="2" t="s">
        <v>30846</v>
      </c>
      <c r="K4106" s="2" t="s">
        <v>30843</v>
      </c>
      <c r="L4106" s="2" t="s">
        <v>51</v>
      </c>
      <c r="M4106" s="2" t="s">
        <v>3036</v>
      </c>
      <c r="N4106" s="2" t="s">
        <v>30847</v>
      </c>
      <c r="O4106" s="2"/>
      <c r="P4106" s="2" t="s">
        <v>37</v>
      </c>
      <c r="Q4106" s="4" t="n">
        <v>8731</v>
      </c>
      <c r="R4106" s="2" t="s">
        <v>56</v>
      </c>
      <c r="S4106" s="2"/>
      <c r="T4106" s="2" t="s">
        <v>40</v>
      </c>
      <c r="U4106" s="2" t="s">
        <v>30848</v>
      </c>
      <c r="V4106" s="2"/>
      <c r="W4106" s="2" t="s">
        <v>42</v>
      </c>
      <c r="X4106" s="2" t="s">
        <v>43</v>
      </c>
      <c r="Y4106" s="2" t="s">
        <v>37</v>
      </c>
      <c r="Z4106" s="2" t="s">
        <v>44</v>
      </c>
      <c r="AA4106" s="2"/>
      <c r="AB4106" s="2"/>
      <c r="AC4106" s="2" t="s">
        <v>30849</v>
      </c>
      <c r="AD4106" s="2" t="s">
        <v>46</v>
      </c>
    </row>
    <row r="4107" customFormat="false" ht="15.7" hidden="false" customHeight="true" outlineLevel="0" collapsed="false">
      <c r="A4107" s="2"/>
      <c r="B4107" s="3" t="n">
        <f aca="false">DATE(2019,3,19)</f>
        <v>0</v>
      </c>
      <c r="C4107" s="3" t="n">
        <v>43543</v>
      </c>
      <c r="D4107" s="2" t="s">
        <v>30850</v>
      </c>
      <c r="F4107" s="2" t="s">
        <v>30851</v>
      </c>
      <c r="G4107" s="2" t="s">
        <v>30852</v>
      </c>
      <c r="H4107" s="2" t="s">
        <v>8119</v>
      </c>
      <c r="I4107" s="2" t="s">
        <v>34</v>
      </c>
      <c r="J4107" s="2" t="s">
        <v>35</v>
      </c>
      <c r="K4107" s="2" t="s">
        <v>30853</v>
      </c>
      <c r="L4107" s="2" t="s">
        <v>20020</v>
      </c>
      <c r="M4107" s="2" t="s">
        <v>130</v>
      </c>
      <c r="N4107" s="2" t="s">
        <v>30854</v>
      </c>
      <c r="O4107" s="2"/>
      <c r="P4107" s="2" t="s">
        <v>37</v>
      </c>
      <c r="Q4107" s="4" t="n">
        <v>8731</v>
      </c>
      <c r="R4107" s="2" t="s">
        <v>38</v>
      </c>
      <c r="S4107" s="2" t="s">
        <v>39</v>
      </c>
      <c r="T4107" s="2" t="s">
        <v>40</v>
      </c>
      <c r="U4107" s="2" t="s">
        <v>30855</v>
      </c>
      <c r="V4107" s="2"/>
      <c r="W4107" s="2" t="s">
        <v>18966</v>
      </c>
      <c r="X4107" s="2" t="s">
        <v>43</v>
      </c>
      <c r="Y4107" s="2" t="s">
        <v>37</v>
      </c>
      <c r="Z4107" s="2" t="s">
        <v>44</v>
      </c>
      <c r="AA4107" s="2"/>
      <c r="AB4107" s="2"/>
      <c r="AC4107" s="2" t="s">
        <v>30856</v>
      </c>
      <c r="AD4107" s="2" t="s">
        <v>46</v>
      </c>
    </row>
    <row r="4108" customFormat="false" ht="15.7" hidden="false" customHeight="true" outlineLevel="0" collapsed="false">
      <c r="A4108" s="2"/>
      <c r="B4108" s="3" t="n">
        <f aca="false">DATE(2019,3,20)</f>
        <v>0</v>
      </c>
      <c r="C4108" s="3" t="n">
        <v>43544</v>
      </c>
      <c r="D4108" s="2" t="s">
        <v>30857</v>
      </c>
      <c r="F4108" s="2" t="s">
        <v>30858</v>
      </c>
      <c r="G4108" s="2" t="s">
        <v>30859</v>
      </c>
      <c r="H4108" s="2" t="s">
        <v>4561</v>
      </c>
      <c r="I4108" s="2" t="s">
        <v>30803</v>
      </c>
      <c r="J4108" s="2" t="s">
        <v>35</v>
      </c>
      <c r="K4108" s="2" t="s">
        <v>30857</v>
      </c>
      <c r="L4108" s="2" t="s">
        <v>30803</v>
      </c>
      <c r="M4108" s="2" t="s">
        <v>4561</v>
      </c>
      <c r="N4108" s="2" t="s">
        <v>30860</v>
      </c>
      <c r="O4108" s="2"/>
      <c r="P4108" s="2" t="s">
        <v>37</v>
      </c>
      <c r="Q4108" s="4" t="n">
        <v>8731</v>
      </c>
      <c r="R4108" s="2" t="s">
        <v>136</v>
      </c>
      <c r="S4108" s="2" t="s">
        <v>39</v>
      </c>
      <c r="T4108" s="2" t="s">
        <v>40</v>
      </c>
      <c r="U4108" s="2" t="s">
        <v>30861</v>
      </c>
      <c r="V4108" s="2"/>
      <c r="W4108" s="2" t="s">
        <v>1050</v>
      </c>
      <c r="X4108" s="2" t="s">
        <v>43</v>
      </c>
      <c r="Y4108" s="2" t="s">
        <v>37</v>
      </c>
      <c r="Z4108" s="2" t="s">
        <v>44</v>
      </c>
      <c r="AA4108" s="2"/>
      <c r="AB4108" s="2"/>
      <c r="AC4108" s="2" t="s">
        <v>30862</v>
      </c>
      <c r="AD4108" s="2" t="s">
        <v>46</v>
      </c>
    </row>
    <row r="4109" customFormat="false" ht="15.7" hidden="false" customHeight="true" outlineLevel="0" collapsed="false">
      <c r="A4109" s="2"/>
      <c r="B4109" s="3" t="n">
        <f aca="false">DATE(2019,3,22)</f>
        <v>0</v>
      </c>
      <c r="C4109" s="3" t="n">
        <v>43546</v>
      </c>
      <c r="D4109" s="2" t="s">
        <v>30863</v>
      </c>
      <c r="F4109" s="2" t="s">
        <v>2716</v>
      </c>
      <c r="G4109" s="2" t="s">
        <v>30864</v>
      </c>
      <c r="H4109" s="2" t="s">
        <v>1027</v>
      </c>
      <c r="I4109" s="2" t="s">
        <v>8543</v>
      </c>
      <c r="J4109" s="2" t="s">
        <v>35</v>
      </c>
      <c r="K4109" s="2" t="s">
        <v>30863</v>
      </c>
      <c r="L4109" s="2" t="s">
        <v>8543</v>
      </c>
      <c r="M4109" s="2" t="s">
        <v>1027</v>
      </c>
      <c r="N4109" s="2" t="s">
        <v>30865</v>
      </c>
      <c r="O4109" s="2"/>
      <c r="P4109" s="2" t="s">
        <v>37</v>
      </c>
      <c r="Q4109" s="4" t="n">
        <v>8099</v>
      </c>
      <c r="R4109" s="2" t="s">
        <v>70</v>
      </c>
      <c r="S4109" s="2" t="s">
        <v>39</v>
      </c>
      <c r="T4109" s="2" t="s">
        <v>403</v>
      </c>
      <c r="U4109" s="2" t="s">
        <v>30866</v>
      </c>
      <c r="V4109" s="2"/>
      <c r="W4109" s="2" t="s">
        <v>19532</v>
      </c>
      <c r="X4109" s="2" t="s">
        <v>43</v>
      </c>
      <c r="Y4109" s="2" t="s">
        <v>37</v>
      </c>
      <c r="Z4109" s="2" t="s">
        <v>44</v>
      </c>
      <c r="AA4109" s="2"/>
      <c r="AB4109" s="2"/>
      <c r="AC4109" s="2" t="s">
        <v>30867</v>
      </c>
      <c r="AD4109" s="2" t="s">
        <v>46</v>
      </c>
    </row>
    <row r="4110" customFormat="false" ht="15.7" hidden="false" customHeight="true" outlineLevel="0" collapsed="false">
      <c r="A4110" s="2"/>
      <c r="B4110" s="3" t="n">
        <f aca="false">DATE(2019,3,26)</f>
        <v>0</v>
      </c>
      <c r="C4110" s="3" t="n">
        <v>43550</v>
      </c>
      <c r="D4110" s="2" t="s">
        <v>30868</v>
      </c>
      <c r="F4110" s="2" t="s">
        <v>30869</v>
      </c>
      <c r="G4110" s="2" t="s">
        <v>30870</v>
      </c>
      <c r="H4110" s="2" t="s">
        <v>305</v>
      </c>
      <c r="I4110" s="2" t="s">
        <v>51</v>
      </c>
      <c r="J4110" s="2" t="s">
        <v>30871</v>
      </c>
      <c r="K4110" s="2" t="s">
        <v>30868</v>
      </c>
      <c r="L4110" s="2" t="s">
        <v>51</v>
      </c>
      <c r="M4110" s="2" t="s">
        <v>305</v>
      </c>
      <c r="N4110" s="2" t="s">
        <v>30872</v>
      </c>
      <c r="O4110" s="2"/>
      <c r="P4110" s="2" t="s">
        <v>37</v>
      </c>
      <c r="Q4110" s="4" t="n">
        <v>6794</v>
      </c>
      <c r="R4110" s="2" t="s">
        <v>136</v>
      </c>
      <c r="S4110" s="2" t="s">
        <v>39</v>
      </c>
      <c r="T4110" s="2" t="s">
        <v>40</v>
      </c>
      <c r="U4110" s="2" t="s">
        <v>30873</v>
      </c>
      <c r="V4110" s="2"/>
      <c r="W4110" s="2" t="s">
        <v>82</v>
      </c>
      <c r="X4110" s="2" t="s">
        <v>43</v>
      </c>
      <c r="Y4110" s="2" t="s">
        <v>37</v>
      </c>
      <c r="Z4110" s="2" t="s">
        <v>44</v>
      </c>
      <c r="AA4110" s="2"/>
      <c r="AB4110" s="2"/>
      <c r="AC4110" s="2" t="s">
        <v>30874</v>
      </c>
      <c r="AD4110" s="2" t="s">
        <v>46</v>
      </c>
    </row>
    <row r="4111" customFormat="false" ht="15.7" hidden="false" customHeight="true" outlineLevel="0" collapsed="false">
      <c r="A4111" s="2"/>
      <c r="B4111" s="3" t="n">
        <f aca="false">DATE(2019,3,26)</f>
        <v>0</v>
      </c>
      <c r="C4111" s="3" t="n">
        <v>43550</v>
      </c>
      <c r="D4111" s="2" t="s">
        <v>30875</v>
      </c>
      <c r="F4111" s="2" t="s">
        <v>23707</v>
      </c>
      <c r="G4111" s="2" t="s">
        <v>30876</v>
      </c>
      <c r="H4111" s="2" t="s">
        <v>1101</v>
      </c>
      <c r="I4111" s="2" t="s">
        <v>1904</v>
      </c>
      <c r="J4111" s="2" t="s">
        <v>966</v>
      </c>
      <c r="K4111" s="2" t="s">
        <v>30875</v>
      </c>
      <c r="L4111" s="2" t="s">
        <v>1904</v>
      </c>
      <c r="M4111" s="2" t="s">
        <v>1101</v>
      </c>
      <c r="N4111" s="2" t="s">
        <v>30877</v>
      </c>
      <c r="O4111" s="2"/>
      <c r="P4111" s="2" t="s">
        <v>37</v>
      </c>
      <c r="Q4111" s="4" t="n">
        <v>8731</v>
      </c>
      <c r="R4111" s="2" t="s">
        <v>56</v>
      </c>
      <c r="S4111" s="2"/>
      <c r="T4111" s="2" t="s">
        <v>403</v>
      </c>
      <c r="U4111" s="2" t="s">
        <v>30878</v>
      </c>
      <c r="V4111" s="2"/>
      <c r="W4111" s="2" t="s">
        <v>42</v>
      </c>
      <c r="X4111" s="2" t="s">
        <v>46</v>
      </c>
      <c r="Y4111" s="2" t="s">
        <v>37</v>
      </c>
      <c r="Z4111" s="2" t="s">
        <v>44</v>
      </c>
      <c r="AA4111" s="2"/>
      <c r="AB4111" s="2"/>
      <c r="AC4111" s="2" t="s">
        <v>30879</v>
      </c>
      <c r="AD4111" s="2" t="s">
        <v>46</v>
      </c>
    </row>
    <row r="4112" customFormat="false" ht="15.7" hidden="false" customHeight="true" outlineLevel="0" collapsed="false">
      <c r="A4112" s="2"/>
      <c r="B4112" s="3" t="n">
        <f aca="false">DATE(2019,3,26)</f>
        <v>0</v>
      </c>
      <c r="C4112" s="3" t="n">
        <v>43550</v>
      </c>
      <c r="D4112" s="2" t="s">
        <v>30880</v>
      </c>
      <c r="F4112" s="2" t="s">
        <v>30881</v>
      </c>
      <c r="G4112" s="2" t="s">
        <v>30882</v>
      </c>
      <c r="H4112" s="2" t="s">
        <v>30883</v>
      </c>
      <c r="I4112" s="2" t="s">
        <v>1544</v>
      </c>
      <c r="J4112" s="2" t="s">
        <v>331</v>
      </c>
      <c r="K4112" s="2" t="s">
        <v>30880</v>
      </c>
      <c r="L4112" s="2" t="s">
        <v>1544</v>
      </c>
      <c r="M4112" s="2" t="s">
        <v>30883</v>
      </c>
      <c r="N4112" s="2" t="s">
        <v>30884</v>
      </c>
      <c r="O4112" s="2"/>
      <c r="P4112" s="2" t="s">
        <v>37</v>
      </c>
      <c r="Q4112" s="4" t="n">
        <v>8731</v>
      </c>
      <c r="R4112" s="2" t="s">
        <v>56</v>
      </c>
      <c r="S4112" s="2"/>
      <c r="T4112" s="2" t="s">
        <v>40</v>
      </c>
      <c r="U4112" s="2" t="s">
        <v>30885</v>
      </c>
      <c r="V4112" s="2"/>
      <c r="W4112" s="2" t="s">
        <v>3235</v>
      </c>
      <c r="X4112" s="2" t="s">
        <v>43</v>
      </c>
      <c r="Y4112" s="2" t="s">
        <v>37</v>
      </c>
      <c r="Z4112" s="2" t="s">
        <v>44</v>
      </c>
      <c r="AA4112" s="2"/>
      <c r="AB4112" s="2"/>
      <c r="AC4112" s="2" t="s">
        <v>30886</v>
      </c>
      <c r="AD4112" s="2" t="s">
        <v>46</v>
      </c>
    </row>
    <row r="4113" customFormat="false" ht="15.7" hidden="false" customHeight="true" outlineLevel="0" collapsed="false">
      <c r="A4113" s="2"/>
      <c r="B4113" s="3" t="n">
        <f aca="false">DATE(2019,3,26)</f>
        <v>0</v>
      </c>
      <c r="C4113" s="3" t="n">
        <v>43550</v>
      </c>
      <c r="D4113" s="2" t="s">
        <v>30887</v>
      </c>
      <c r="F4113" s="2" t="s">
        <v>1138</v>
      </c>
      <c r="G4113" s="2" t="s">
        <v>30888</v>
      </c>
      <c r="H4113" s="2" t="s">
        <v>523</v>
      </c>
      <c r="I4113" s="2" t="s">
        <v>5551</v>
      </c>
      <c r="J4113" s="2" t="s">
        <v>35</v>
      </c>
      <c r="K4113" s="2" t="s">
        <v>30887</v>
      </c>
      <c r="L4113" s="2" t="s">
        <v>5551</v>
      </c>
      <c r="M4113" s="2" t="s">
        <v>523</v>
      </c>
      <c r="N4113" s="2" t="s">
        <v>30889</v>
      </c>
      <c r="O4113" s="2"/>
      <c r="P4113" s="2" t="s">
        <v>79</v>
      </c>
      <c r="Q4113" s="4" t="n">
        <v>6794</v>
      </c>
      <c r="R4113" s="2" t="s">
        <v>136</v>
      </c>
      <c r="S4113" s="2" t="s">
        <v>39</v>
      </c>
      <c r="T4113" s="2" t="s">
        <v>40</v>
      </c>
      <c r="U4113" s="2" t="s">
        <v>30890</v>
      </c>
      <c r="V4113" s="2"/>
      <c r="W4113" s="2" t="s">
        <v>82</v>
      </c>
      <c r="X4113" s="2" t="s">
        <v>43</v>
      </c>
      <c r="Y4113" s="2" t="s">
        <v>37</v>
      </c>
      <c r="Z4113" s="2" t="s">
        <v>44</v>
      </c>
      <c r="AA4113" s="2"/>
      <c r="AB4113" s="2"/>
      <c r="AC4113" s="2" t="s">
        <v>30891</v>
      </c>
      <c r="AD4113" s="2" t="s">
        <v>46</v>
      </c>
    </row>
    <row r="4114" customFormat="false" ht="15.7" hidden="false" customHeight="true" outlineLevel="0" collapsed="false">
      <c r="A4114" s="2"/>
      <c r="B4114" s="3" t="n">
        <f aca="false">DATE(2019,3,26)</f>
        <v>0</v>
      </c>
      <c r="C4114" s="3" t="n">
        <v>43550</v>
      </c>
      <c r="D4114" s="2" t="s">
        <v>30892</v>
      </c>
      <c r="F4114" s="2" t="s">
        <v>16659</v>
      </c>
      <c r="G4114" s="2" t="s">
        <v>30893</v>
      </c>
      <c r="H4114" s="2" t="s">
        <v>387</v>
      </c>
      <c r="I4114" s="2" t="s">
        <v>51</v>
      </c>
      <c r="J4114" s="2" t="s">
        <v>5858</v>
      </c>
      <c r="K4114" s="2" t="s">
        <v>30892</v>
      </c>
      <c r="L4114" s="2" t="s">
        <v>51</v>
      </c>
      <c r="M4114" s="2" t="s">
        <v>387</v>
      </c>
      <c r="N4114" s="2" t="s">
        <v>30894</v>
      </c>
      <c r="O4114" s="2"/>
      <c r="P4114" s="2" t="s">
        <v>79</v>
      </c>
      <c r="Q4114" s="4" t="n">
        <v>6794</v>
      </c>
      <c r="R4114" s="2" t="s">
        <v>56</v>
      </c>
      <c r="S4114" s="2"/>
      <c r="T4114" s="2" t="s">
        <v>40</v>
      </c>
      <c r="U4114" s="2" t="s">
        <v>30895</v>
      </c>
      <c r="V4114" s="2"/>
      <c r="W4114" s="2" t="s">
        <v>82</v>
      </c>
      <c r="X4114" s="2" t="s">
        <v>43</v>
      </c>
      <c r="Y4114" s="2" t="s">
        <v>37</v>
      </c>
      <c r="Z4114" s="2" t="s">
        <v>44</v>
      </c>
      <c r="AA4114" s="2"/>
      <c r="AB4114" s="2"/>
      <c r="AC4114" s="2" t="s">
        <v>30896</v>
      </c>
      <c r="AD4114" s="2" t="s">
        <v>46</v>
      </c>
    </row>
    <row r="4115" customFormat="false" ht="15.7" hidden="false" customHeight="true" outlineLevel="0" collapsed="false">
      <c r="A4115" s="2"/>
      <c r="B4115" s="3" t="n">
        <f aca="false">DATE(2019,3,26)</f>
        <v>0</v>
      </c>
      <c r="C4115" s="3" t="n">
        <v>43550</v>
      </c>
      <c r="D4115" s="2" t="s">
        <v>30897</v>
      </c>
      <c r="F4115" s="2" t="s">
        <v>24100</v>
      </c>
      <c r="G4115" s="2" t="s">
        <v>30898</v>
      </c>
      <c r="H4115" s="2" t="s">
        <v>3703</v>
      </c>
      <c r="I4115" s="2" t="s">
        <v>51</v>
      </c>
      <c r="J4115" s="2" t="s">
        <v>2190</v>
      </c>
      <c r="K4115" s="2" t="s">
        <v>30897</v>
      </c>
      <c r="L4115" s="2" t="s">
        <v>51</v>
      </c>
      <c r="M4115" s="2" t="s">
        <v>3703</v>
      </c>
      <c r="N4115" s="2" t="s">
        <v>30899</v>
      </c>
      <c r="O4115" s="2"/>
      <c r="P4115" s="2" t="s">
        <v>37</v>
      </c>
      <c r="Q4115" s="4" t="n">
        <v>6794</v>
      </c>
      <c r="R4115" s="2" t="s">
        <v>56</v>
      </c>
      <c r="S4115" s="2"/>
      <c r="T4115" s="2" t="s">
        <v>40</v>
      </c>
      <c r="U4115" s="2" t="s">
        <v>30900</v>
      </c>
      <c r="V4115" s="2"/>
      <c r="W4115" s="2" t="s">
        <v>82</v>
      </c>
      <c r="X4115" s="2" t="s">
        <v>43</v>
      </c>
      <c r="Y4115" s="2" t="s">
        <v>37</v>
      </c>
      <c r="Z4115" s="2" t="s">
        <v>44</v>
      </c>
      <c r="AA4115" s="2"/>
      <c r="AB4115" s="2"/>
      <c r="AC4115" s="2" t="s">
        <v>30901</v>
      </c>
      <c r="AD4115" s="2" t="s">
        <v>46</v>
      </c>
    </row>
    <row r="4116" customFormat="false" ht="15.7" hidden="false" customHeight="true" outlineLevel="0" collapsed="false">
      <c r="A4116" s="2"/>
      <c r="B4116" s="3" t="n">
        <f aca="false">DATE(2019,3,26)</f>
        <v>0</v>
      </c>
      <c r="C4116" s="3" t="n">
        <v>43550</v>
      </c>
      <c r="D4116" s="2" t="s">
        <v>30902</v>
      </c>
      <c r="F4116" s="2" t="s">
        <v>30903</v>
      </c>
      <c r="G4116" s="2" t="s">
        <v>30904</v>
      </c>
      <c r="H4116" s="2" t="s">
        <v>3110</v>
      </c>
      <c r="I4116" s="2" t="s">
        <v>670</v>
      </c>
      <c r="J4116" s="2" t="s">
        <v>65</v>
      </c>
      <c r="K4116" s="2" t="s">
        <v>30902</v>
      </c>
      <c r="L4116" s="2" t="s">
        <v>670</v>
      </c>
      <c r="M4116" s="2" t="s">
        <v>3110</v>
      </c>
      <c r="N4116" s="2" t="s">
        <v>30905</v>
      </c>
      <c r="O4116" s="2"/>
      <c r="P4116" s="2" t="s">
        <v>37</v>
      </c>
      <c r="Q4116" s="4" t="n">
        <v>7372</v>
      </c>
      <c r="R4116" s="2" t="s">
        <v>136</v>
      </c>
      <c r="S4116" s="2" t="s">
        <v>39</v>
      </c>
      <c r="T4116" s="2" t="s">
        <v>40</v>
      </c>
      <c r="U4116" s="2" t="s">
        <v>30906</v>
      </c>
      <c r="V4116" s="2"/>
      <c r="W4116" s="2" t="s">
        <v>6066</v>
      </c>
      <c r="X4116" s="2" t="s">
        <v>43</v>
      </c>
      <c r="Y4116" s="2" t="s">
        <v>37</v>
      </c>
      <c r="Z4116" s="2" t="s">
        <v>44</v>
      </c>
      <c r="AA4116" s="2"/>
      <c r="AB4116" s="2"/>
      <c r="AC4116" s="2" t="s">
        <v>30907</v>
      </c>
      <c r="AD4116" s="2" t="s">
        <v>46</v>
      </c>
    </row>
    <row r="4117" customFormat="false" ht="15.7" hidden="false" customHeight="true" outlineLevel="0" collapsed="false">
      <c r="A4117" s="2"/>
      <c r="B4117" s="3" t="n">
        <f aca="false">DATE(2019,3,26)</f>
        <v>0</v>
      </c>
      <c r="C4117" s="3" t="n">
        <v>43550</v>
      </c>
      <c r="D4117" s="2" t="s">
        <v>30908</v>
      </c>
      <c r="F4117" s="2" t="s">
        <v>28542</v>
      </c>
      <c r="G4117" s="2" t="s">
        <v>30909</v>
      </c>
      <c r="H4117" s="2" t="s">
        <v>523</v>
      </c>
      <c r="I4117" s="2" t="s">
        <v>330</v>
      </c>
      <c r="J4117" s="2" t="s">
        <v>132</v>
      </c>
      <c r="K4117" s="2" t="s">
        <v>30908</v>
      </c>
      <c r="L4117" s="2" t="s">
        <v>330</v>
      </c>
      <c r="M4117" s="2" t="s">
        <v>523</v>
      </c>
      <c r="N4117" s="2" t="s">
        <v>30910</v>
      </c>
      <c r="O4117" s="2"/>
      <c r="P4117" s="2" t="s">
        <v>79</v>
      </c>
      <c r="Q4117" s="4" t="n">
        <v>6794</v>
      </c>
      <c r="R4117" s="2" t="s">
        <v>56</v>
      </c>
      <c r="S4117" s="2"/>
      <c r="T4117" s="2" t="s">
        <v>40</v>
      </c>
      <c r="U4117" s="2" t="s">
        <v>30911</v>
      </c>
      <c r="V4117" s="2"/>
      <c r="W4117" s="2" t="s">
        <v>82</v>
      </c>
      <c r="X4117" s="2" t="s">
        <v>43</v>
      </c>
      <c r="Y4117" s="2" t="s">
        <v>37</v>
      </c>
      <c r="Z4117" s="2" t="s">
        <v>44</v>
      </c>
      <c r="AA4117" s="2"/>
      <c r="AB4117" s="2"/>
      <c r="AC4117" s="2" t="s">
        <v>30912</v>
      </c>
      <c r="AD4117" s="2" t="s">
        <v>46</v>
      </c>
    </row>
    <row r="4118" customFormat="false" ht="15.7" hidden="false" customHeight="true" outlineLevel="0" collapsed="false">
      <c r="A4118" s="2"/>
      <c r="B4118" s="3" t="n">
        <f aca="false">DATE(2019,3,28)</f>
        <v>0</v>
      </c>
      <c r="C4118" s="3" t="n">
        <v>43552</v>
      </c>
      <c r="D4118" s="2" t="s">
        <v>30913</v>
      </c>
      <c r="F4118" s="2" t="s">
        <v>30914</v>
      </c>
      <c r="G4118" s="2" t="s">
        <v>30915</v>
      </c>
      <c r="H4118" s="2" t="s">
        <v>30916</v>
      </c>
      <c r="I4118" s="2" t="s">
        <v>30917</v>
      </c>
      <c r="J4118" s="2" t="s">
        <v>35</v>
      </c>
      <c r="K4118" s="2" t="s">
        <v>30918</v>
      </c>
      <c r="L4118" s="2" t="s">
        <v>30917</v>
      </c>
      <c r="M4118" s="2" t="s">
        <v>30919</v>
      </c>
      <c r="N4118" s="2" t="s">
        <v>30920</v>
      </c>
      <c r="O4118" s="2"/>
      <c r="P4118" s="2" t="s">
        <v>37</v>
      </c>
      <c r="Q4118" s="4" t="n">
        <v>8731</v>
      </c>
      <c r="R4118" s="2" t="s">
        <v>136</v>
      </c>
      <c r="S4118" s="2" t="s">
        <v>39</v>
      </c>
      <c r="T4118" s="2" t="s">
        <v>40</v>
      </c>
      <c r="U4118" s="2" t="s">
        <v>30921</v>
      </c>
      <c r="V4118" s="2"/>
      <c r="W4118" s="2" t="s">
        <v>42</v>
      </c>
      <c r="X4118" s="2" t="s">
        <v>43</v>
      </c>
      <c r="Y4118" s="2" t="s">
        <v>37</v>
      </c>
      <c r="Z4118" s="2" t="s">
        <v>44</v>
      </c>
      <c r="AA4118" s="2"/>
      <c r="AB4118" s="2"/>
      <c r="AC4118" s="2" t="s">
        <v>30922</v>
      </c>
      <c r="AD4118" s="2" t="s">
        <v>46</v>
      </c>
    </row>
    <row r="4119" customFormat="false" ht="15.7" hidden="false" customHeight="true" outlineLevel="0" collapsed="false">
      <c r="A4119" s="2"/>
      <c r="B4119" s="3" t="n">
        <f aca="false">DATE(2019,3,28)</f>
        <v>0</v>
      </c>
      <c r="C4119" s="3" t="n">
        <v>43552</v>
      </c>
      <c r="D4119" s="2" t="s">
        <v>30923</v>
      </c>
      <c r="F4119" s="2" t="s">
        <v>30924</v>
      </c>
      <c r="G4119" s="2" t="s">
        <v>30925</v>
      </c>
      <c r="H4119" s="2" t="s">
        <v>30926</v>
      </c>
      <c r="I4119" s="2" t="s">
        <v>3336</v>
      </c>
      <c r="J4119" s="2" t="s">
        <v>35</v>
      </c>
      <c r="K4119" s="2" t="s">
        <v>30923</v>
      </c>
      <c r="L4119" s="2" t="s">
        <v>3336</v>
      </c>
      <c r="M4119" s="2" t="s">
        <v>30926</v>
      </c>
      <c r="N4119" s="2" t="s">
        <v>30927</v>
      </c>
      <c r="O4119" s="2"/>
      <c r="P4119" s="2" t="s">
        <v>37</v>
      </c>
      <c r="Q4119" s="4" t="n">
        <v>8099</v>
      </c>
      <c r="R4119" s="2" t="s">
        <v>2508</v>
      </c>
      <c r="S4119" s="2" t="s">
        <v>39</v>
      </c>
      <c r="T4119" s="2" t="s">
        <v>403</v>
      </c>
      <c r="U4119" s="2" t="s">
        <v>30928</v>
      </c>
      <c r="V4119" s="2"/>
      <c r="W4119" s="2" t="s">
        <v>19532</v>
      </c>
      <c r="X4119" s="2" t="s">
        <v>43</v>
      </c>
      <c r="Y4119" s="2" t="s">
        <v>37</v>
      </c>
      <c r="Z4119" s="2" t="s">
        <v>44</v>
      </c>
      <c r="AA4119" s="2"/>
      <c r="AB4119" s="2"/>
      <c r="AC4119" s="2" t="s">
        <v>30929</v>
      </c>
      <c r="AD4119" s="2" t="s">
        <v>46</v>
      </c>
    </row>
    <row r="4120" customFormat="false" ht="15.7" hidden="false" customHeight="true" outlineLevel="0" collapsed="false">
      <c r="A4120" s="2"/>
      <c r="B4120" s="3" t="n">
        <f aca="false">DATE(2019,3,28)</f>
        <v>0</v>
      </c>
      <c r="C4120" s="3" t="n">
        <v>43552</v>
      </c>
      <c r="D4120" s="2" t="s">
        <v>30930</v>
      </c>
      <c r="F4120" s="2" t="s">
        <v>30931</v>
      </c>
      <c r="G4120" s="2" t="s">
        <v>30932</v>
      </c>
      <c r="H4120" s="2" t="s">
        <v>5687</v>
      </c>
      <c r="I4120" s="2" t="s">
        <v>30933</v>
      </c>
      <c r="J4120" s="2" t="s">
        <v>35</v>
      </c>
      <c r="K4120" s="2" t="s">
        <v>30934</v>
      </c>
      <c r="L4120" s="2" t="s">
        <v>19120</v>
      </c>
      <c r="M4120" s="2" t="s">
        <v>1574</v>
      </c>
      <c r="N4120" s="2" t="s">
        <v>30935</v>
      </c>
      <c r="O4120" s="2"/>
      <c r="P4120" s="2" t="s">
        <v>37</v>
      </c>
      <c r="Q4120" s="4" t="n">
        <v>8099</v>
      </c>
      <c r="R4120" s="2" t="s">
        <v>136</v>
      </c>
      <c r="S4120" s="2" t="s">
        <v>39</v>
      </c>
      <c r="T4120" s="2" t="s">
        <v>403</v>
      </c>
      <c r="U4120" s="2" t="s">
        <v>30936</v>
      </c>
      <c r="V4120" s="2"/>
      <c r="W4120" s="2" t="s">
        <v>4487</v>
      </c>
      <c r="X4120" s="2" t="s">
        <v>43</v>
      </c>
      <c r="Y4120" s="2" t="s">
        <v>37</v>
      </c>
      <c r="Z4120" s="2" t="s">
        <v>44</v>
      </c>
      <c r="AA4120" s="2"/>
      <c r="AB4120" s="2"/>
      <c r="AC4120" s="2" t="s">
        <v>30937</v>
      </c>
      <c r="AD4120" s="2" t="s">
        <v>46</v>
      </c>
    </row>
    <row r="4121" customFormat="false" ht="15.7" hidden="false" customHeight="true" outlineLevel="0" collapsed="false">
      <c r="A4121" s="2"/>
      <c r="B4121" s="3" t="n">
        <f aca="false">DATE(2019,3,29)</f>
        <v>0</v>
      </c>
      <c r="C4121" s="3" t="n">
        <v>43553</v>
      </c>
      <c r="D4121" s="2" t="s">
        <v>30938</v>
      </c>
      <c r="F4121" s="2" t="s">
        <v>30939</v>
      </c>
      <c r="G4121" s="2" t="s">
        <v>30940</v>
      </c>
      <c r="H4121" s="2" t="s">
        <v>27843</v>
      </c>
      <c r="I4121" s="2" t="s">
        <v>30941</v>
      </c>
      <c r="J4121" s="2" t="s">
        <v>35</v>
      </c>
      <c r="K4121" s="2" t="s">
        <v>30938</v>
      </c>
      <c r="L4121" s="2" t="s">
        <v>30941</v>
      </c>
      <c r="M4121" s="2" t="s">
        <v>27843</v>
      </c>
      <c r="N4121" s="2" t="s">
        <v>30942</v>
      </c>
      <c r="O4121" s="2"/>
      <c r="P4121" s="2" t="s">
        <v>37</v>
      </c>
      <c r="Q4121" s="4" t="n">
        <v>7372</v>
      </c>
      <c r="R4121" s="2" t="s">
        <v>19637</v>
      </c>
      <c r="S4121" s="2" t="s">
        <v>39</v>
      </c>
      <c r="T4121" s="2" t="s">
        <v>40</v>
      </c>
      <c r="U4121" s="2" t="s">
        <v>30943</v>
      </c>
      <c r="V4121" s="2"/>
      <c r="W4121" s="2" t="s">
        <v>6066</v>
      </c>
      <c r="X4121" s="2" t="s">
        <v>43</v>
      </c>
      <c r="Y4121" s="2" t="s">
        <v>37</v>
      </c>
      <c r="Z4121" s="2" t="s">
        <v>44</v>
      </c>
      <c r="AA4121" s="2"/>
      <c r="AB4121" s="2"/>
      <c r="AC4121" s="2" t="s">
        <v>30944</v>
      </c>
      <c r="AD4121" s="2" t="s">
        <v>46</v>
      </c>
    </row>
    <row r="4122" customFormat="false" ht="15.7" hidden="false" customHeight="true" outlineLevel="0" collapsed="false">
      <c r="A4122" s="2"/>
      <c r="B4122" s="3" t="n">
        <f aca="false">DATE(2019,3,29)</f>
        <v>0</v>
      </c>
      <c r="C4122" s="3" t="n">
        <v>43553</v>
      </c>
      <c r="D4122" s="2" t="s">
        <v>30945</v>
      </c>
      <c r="F4122" s="2" t="s">
        <v>30946</v>
      </c>
      <c r="G4122" s="2" t="s">
        <v>30947</v>
      </c>
      <c r="H4122" s="2" t="s">
        <v>30948</v>
      </c>
      <c r="I4122" s="2" t="s">
        <v>540</v>
      </c>
      <c r="J4122" s="2" t="s">
        <v>35</v>
      </c>
      <c r="K4122" s="2" t="s">
        <v>30949</v>
      </c>
      <c r="L4122" s="2" t="s">
        <v>487</v>
      </c>
      <c r="M4122" s="2" t="s">
        <v>30950</v>
      </c>
      <c r="N4122" s="2" t="s">
        <v>30951</v>
      </c>
      <c r="O4122" s="2"/>
      <c r="P4122" s="2" t="s">
        <v>37</v>
      </c>
      <c r="Q4122" s="4" t="n">
        <v>7372</v>
      </c>
      <c r="R4122" s="2" t="s">
        <v>1448</v>
      </c>
      <c r="S4122" s="2" t="s">
        <v>39</v>
      </c>
      <c r="T4122" s="2" t="s">
        <v>40</v>
      </c>
      <c r="U4122" s="2" t="s">
        <v>30952</v>
      </c>
      <c r="V4122" s="2"/>
      <c r="W4122" s="2" t="s">
        <v>6066</v>
      </c>
      <c r="X4122" s="2" t="s">
        <v>43</v>
      </c>
      <c r="Y4122" s="2" t="s">
        <v>37</v>
      </c>
      <c r="Z4122" s="2" t="s">
        <v>44</v>
      </c>
      <c r="AA4122" s="2"/>
      <c r="AB4122" s="2"/>
      <c r="AC4122" s="2" t="s">
        <v>30953</v>
      </c>
      <c r="AD4122" s="2" t="s">
        <v>46</v>
      </c>
    </row>
    <row r="4123" customFormat="false" ht="15.7" hidden="false" customHeight="true" outlineLevel="0" collapsed="false">
      <c r="A4123" s="2"/>
      <c r="B4123" s="3" t="n">
        <f aca="false">DATE(2019,4,2)</f>
        <v>0</v>
      </c>
      <c r="C4123" s="3" t="n">
        <v>43557</v>
      </c>
      <c r="D4123" s="2" t="s">
        <v>30954</v>
      </c>
      <c r="F4123" s="2" t="s">
        <v>17957</v>
      </c>
      <c r="G4123" s="2" t="s">
        <v>30955</v>
      </c>
      <c r="H4123" s="2" t="s">
        <v>1020</v>
      </c>
      <c r="I4123" s="2" t="s">
        <v>88</v>
      </c>
      <c r="J4123" s="2" t="s">
        <v>575</v>
      </c>
      <c r="K4123" s="2" t="s">
        <v>30954</v>
      </c>
      <c r="L4123" s="2" t="s">
        <v>88</v>
      </c>
      <c r="M4123" s="2" t="s">
        <v>1020</v>
      </c>
      <c r="N4123" s="2" t="s">
        <v>30956</v>
      </c>
      <c r="O4123" s="2"/>
      <c r="P4123" s="2" t="s">
        <v>37</v>
      </c>
      <c r="Q4123" s="4" t="n">
        <v>8731</v>
      </c>
      <c r="R4123" s="2" t="s">
        <v>136</v>
      </c>
      <c r="S4123" s="2" t="s">
        <v>39</v>
      </c>
      <c r="T4123" s="2" t="s">
        <v>40</v>
      </c>
      <c r="U4123" s="2" t="s">
        <v>30957</v>
      </c>
      <c r="V4123" s="2"/>
      <c r="W4123" s="2" t="s">
        <v>42</v>
      </c>
      <c r="X4123" s="2" t="s">
        <v>43</v>
      </c>
      <c r="Y4123" s="2" t="s">
        <v>37</v>
      </c>
      <c r="Z4123" s="2" t="s">
        <v>44</v>
      </c>
      <c r="AA4123" s="2"/>
      <c r="AB4123" s="2"/>
      <c r="AC4123" s="2" t="s">
        <v>30958</v>
      </c>
      <c r="AD4123" s="2" t="s">
        <v>46</v>
      </c>
    </row>
    <row r="4124" customFormat="false" ht="15.7" hidden="false" customHeight="true" outlineLevel="0" collapsed="false">
      <c r="A4124" s="2"/>
      <c r="B4124" s="3" t="n">
        <f aca="false">DATE(2019,4,2)</f>
        <v>0</v>
      </c>
      <c r="C4124" s="3" t="n">
        <v>43557</v>
      </c>
      <c r="D4124" s="2" t="s">
        <v>30959</v>
      </c>
      <c r="F4124" s="2" t="s">
        <v>30960</v>
      </c>
      <c r="G4124" s="2" t="s">
        <v>30961</v>
      </c>
      <c r="H4124" s="2" t="s">
        <v>2283</v>
      </c>
      <c r="I4124" s="2" t="s">
        <v>51</v>
      </c>
      <c r="J4124" s="2" t="s">
        <v>30962</v>
      </c>
      <c r="K4124" s="2" t="s">
        <v>30963</v>
      </c>
      <c r="L4124" s="2" t="s">
        <v>51</v>
      </c>
      <c r="M4124" s="2" t="s">
        <v>762</v>
      </c>
      <c r="N4124" s="2" t="s">
        <v>30964</v>
      </c>
      <c r="O4124" s="2"/>
      <c r="P4124" s="2" t="s">
        <v>37</v>
      </c>
      <c r="Q4124" s="4" t="n">
        <v>8731</v>
      </c>
      <c r="R4124" s="2" t="s">
        <v>56</v>
      </c>
      <c r="S4124" s="2"/>
      <c r="T4124" s="2" t="s">
        <v>40</v>
      </c>
      <c r="U4124" s="2" t="s">
        <v>30965</v>
      </c>
      <c r="V4124" s="2"/>
      <c r="W4124" s="2" t="s">
        <v>1050</v>
      </c>
      <c r="X4124" s="2" t="s">
        <v>43</v>
      </c>
      <c r="Y4124" s="2" t="s">
        <v>37</v>
      </c>
      <c r="Z4124" s="2" t="s">
        <v>44</v>
      </c>
      <c r="AA4124" s="2"/>
      <c r="AB4124" s="2"/>
      <c r="AC4124" s="2" t="s">
        <v>30966</v>
      </c>
      <c r="AD4124" s="2" t="s">
        <v>46</v>
      </c>
    </row>
    <row r="4125" customFormat="false" ht="15.7" hidden="false" customHeight="true" outlineLevel="0" collapsed="false">
      <c r="A4125" s="2"/>
      <c r="B4125" s="3" t="n">
        <f aca="false">DATE(2019,4,2)</f>
        <v>0</v>
      </c>
      <c r="C4125" s="3" t="n">
        <v>43557</v>
      </c>
      <c r="D4125" s="2" t="s">
        <v>30967</v>
      </c>
      <c r="F4125" s="2" t="s">
        <v>18520</v>
      </c>
      <c r="G4125" s="2" t="s">
        <v>30968</v>
      </c>
      <c r="H4125" s="2" t="s">
        <v>1027</v>
      </c>
      <c r="I4125" s="2" t="s">
        <v>670</v>
      </c>
      <c r="J4125" s="2" t="s">
        <v>625</v>
      </c>
      <c r="K4125" s="2" t="s">
        <v>30969</v>
      </c>
      <c r="L4125" s="2" t="s">
        <v>670</v>
      </c>
      <c r="M4125" s="2" t="s">
        <v>1027</v>
      </c>
      <c r="N4125" s="2" t="s">
        <v>30970</v>
      </c>
      <c r="O4125" s="2"/>
      <c r="P4125" s="2" t="s">
        <v>79</v>
      </c>
      <c r="Q4125" s="4" t="n">
        <v>6794</v>
      </c>
      <c r="R4125" s="2" t="s">
        <v>402</v>
      </c>
      <c r="S4125" s="2" t="s">
        <v>39</v>
      </c>
      <c r="T4125" s="2" t="s">
        <v>40</v>
      </c>
      <c r="U4125" s="2" t="s">
        <v>30971</v>
      </c>
      <c r="V4125" s="2"/>
      <c r="W4125" s="2" t="s">
        <v>206</v>
      </c>
      <c r="X4125" s="2" t="s">
        <v>43</v>
      </c>
      <c r="Y4125" s="2" t="s">
        <v>37</v>
      </c>
      <c r="Z4125" s="2" t="s">
        <v>44</v>
      </c>
      <c r="AA4125" s="2"/>
      <c r="AB4125" s="2"/>
      <c r="AC4125" s="2" t="s">
        <v>30972</v>
      </c>
      <c r="AD4125" s="2" t="s">
        <v>46</v>
      </c>
    </row>
    <row r="4126" customFormat="false" ht="15.7" hidden="false" customHeight="true" outlineLevel="0" collapsed="false">
      <c r="A4126" s="2"/>
      <c r="B4126" s="3" t="n">
        <f aca="false">DATE(2019,4,2)</f>
        <v>0</v>
      </c>
      <c r="C4126" s="3" t="n">
        <v>43557</v>
      </c>
      <c r="D4126" s="2" t="s">
        <v>30973</v>
      </c>
      <c r="F4126" s="2" t="s">
        <v>27972</v>
      </c>
      <c r="G4126" s="2" t="s">
        <v>30974</v>
      </c>
      <c r="H4126" s="2" t="s">
        <v>2361</v>
      </c>
      <c r="I4126" s="2" t="s">
        <v>51</v>
      </c>
      <c r="J4126" s="2" t="s">
        <v>30975</v>
      </c>
      <c r="K4126" s="2" t="s">
        <v>30976</v>
      </c>
      <c r="L4126" s="2" t="s">
        <v>51</v>
      </c>
      <c r="M4126" s="2" t="s">
        <v>19781</v>
      </c>
      <c r="N4126" s="2" t="s">
        <v>30977</v>
      </c>
      <c r="O4126" s="2"/>
      <c r="P4126" s="2" t="s">
        <v>37</v>
      </c>
      <c r="Q4126" s="4" t="n">
        <v>6794</v>
      </c>
      <c r="R4126" s="2" t="s">
        <v>56</v>
      </c>
      <c r="S4126" s="2"/>
      <c r="T4126" s="2" t="s">
        <v>40</v>
      </c>
      <c r="U4126" s="2" t="s">
        <v>30978</v>
      </c>
      <c r="V4126" s="2"/>
      <c r="W4126" s="2" t="s">
        <v>23887</v>
      </c>
      <c r="X4126" s="2" t="s">
        <v>43</v>
      </c>
      <c r="Y4126" s="2" t="s">
        <v>37</v>
      </c>
      <c r="Z4126" s="2" t="s">
        <v>44</v>
      </c>
      <c r="AA4126" s="2"/>
      <c r="AB4126" s="2"/>
      <c r="AC4126" s="2" t="s">
        <v>30979</v>
      </c>
      <c r="AD4126" s="2" t="s">
        <v>46</v>
      </c>
    </row>
    <row r="4127" customFormat="false" ht="15.7" hidden="false" customHeight="true" outlineLevel="0" collapsed="false">
      <c r="A4127" s="2"/>
      <c r="B4127" s="3" t="n">
        <f aca="false">DATE(2019,4,2)</f>
        <v>0</v>
      </c>
      <c r="C4127" s="3" t="n">
        <v>43557</v>
      </c>
      <c r="D4127" s="2" t="s">
        <v>30980</v>
      </c>
      <c r="F4127" s="2" t="s">
        <v>18520</v>
      </c>
      <c r="G4127" s="2" t="s">
        <v>30981</v>
      </c>
      <c r="H4127" s="2" t="s">
        <v>30982</v>
      </c>
      <c r="I4127" s="2" t="s">
        <v>487</v>
      </c>
      <c r="J4127" s="2" t="s">
        <v>732</v>
      </c>
      <c r="K4127" s="2" t="s">
        <v>30980</v>
      </c>
      <c r="L4127" s="2" t="s">
        <v>487</v>
      </c>
      <c r="M4127" s="2" t="s">
        <v>1027</v>
      </c>
      <c r="N4127" s="2" t="s">
        <v>30983</v>
      </c>
      <c r="O4127" s="2"/>
      <c r="P4127" s="2" t="s">
        <v>37</v>
      </c>
      <c r="Q4127" s="4" t="n">
        <v>8731</v>
      </c>
      <c r="R4127" s="2" t="s">
        <v>1448</v>
      </c>
      <c r="S4127" s="2" t="s">
        <v>39</v>
      </c>
      <c r="T4127" s="2" t="s">
        <v>40</v>
      </c>
      <c r="U4127" s="2" t="s">
        <v>30984</v>
      </c>
      <c r="V4127" s="2"/>
      <c r="W4127" s="2" t="s">
        <v>344</v>
      </c>
      <c r="X4127" s="2" t="s">
        <v>43</v>
      </c>
      <c r="Y4127" s="2" t="s">
        <v>37</v>
      </c>
      <c r="Z4127" s="2" t="s">
        <v>44</v>
      </c>
      <c r="AA4127" s="2"/>
      <c r="AB4127" s="2"/>
      <c r="AC4127" s="2" t="s">
        <v>30985</v>
      </c>
      <c r="AD4127" s="2" t="s">
        <v>46</v>
      </c>
    </row>
    <row r="4128" customFormat="false" ht="15.7" hidden="false" customHeight="true" outlineLevel="0" collapsed="false">
      <c r="A4128" s="2"/>
      <c r="B4128" s="3" t="n">
        <f aca="false">DATE(2019,4,3)</f>
        <v>0</v>
      </c>
      <c r="C4128" s="3" t="n">
        <v>43558</v>
      </c>
      <c r="D4128" s="2" t="s">
        <v>30986</v>
      </c>
      <c r="F4128" s="2" t="s">
        <v>30987</v>
      </c>
      <c r="G4128" s="2" t="s">
        <v>30988</v>
      </c>
      <c r="H4128" s="2" t="s">
        <v>30989</v>
      </c>
      <c r="I4128" s="2" t="s">
        <v>30990</v>
      </c>
      <c r="J4128" s="2" t="s">
        <v>116</v>
      </c>
      <c r="K4128" s="2" t="s">
        <v>30986</v>
      </c>
      <c r="L4128" s="2" t="s">
        <v>30990</v>
      </c>
      <c r="M4128" s="2" t="s">
        <v>30989</v>
      </c>
      <c r="N4128" s="2" t="s">
        <v>30991</v>
      </c>
      <c r="O4128" s="2"/>
      <c r="P4128" s="2" t="s">
        <v>37</v>
      </c>
      <c r="Q4128" s="4" t="n">
        <v>8731</v>
      </c>
      <c r="R4128" s="2" t="s">
        <v>402</v>
      </c>
      <c r="S4128" s="2" t="s">
        <v>39</v>
      </c>
      <c r="T4128" s="2" t="s">
        <v>403</v>
      </c>
      <c r="U4128" s="2" t="s">
        <v>30992</v>
      </c>
      <c r="V4128" s="2"/>
      <c r="W4128" s="2" t="s">
        <v>42</v>
      </c>
      <c r="X4128" s="2" t="s">
        <v>46</v>
      </c>
      <c r="Y4128" s="2" t="s">
        <v>37</v>
      </c>
      <c r="Z4128" s="2" t="s">
        <v>916</v>
      </c>
      <c r="AA4128" s="2"/>
      <c r="AB4128" s="2"/>
      <c r="AC4128" s="2" t="s">
        <v>30993</v>
      </c>
      <c r="AD4128" s="2" t="s">
        <v>46</v>
      </c>
    </row>
    <row r="4129" customFormat="false" ht="15.7" hidden="false" customHeight="true" outlineLevel="0" collapsed="false">
      <c r="A4129" s="2"/>
      <c r="B4129" s="3" t="n">
        <f aca="false">DATE(2019,4,3)</f>
        <v>0</v>
      </c>
      <c r="C4129" s="3" t="n">
        <v>43558</v>
      </c>
      <c r="D4129" s="2" t="s">
        <v>30994</v>
      </c>
      <c r="F4129" s="2" t="s">
        <v>17957</v>
      </c>
      <c r="G4129" s="2" t="s">
        <v>30995</v>
      </c>
      <c r="H4129" s="2" t="s">
        <v>1020</v>
      </c>
      <c r="I4129" s="2" t="s">
        <v>51</v>
      </c>
      <c r="J4129" s="2" t="s">
        <v>2633</v>
      </c>
      <c r="K4129" s="2" t="s">
        <v>30994</v>
      </c>
      <c r="L4129" s="2" t="s">
        <v>51</v>
      </c>
      <c r="M4129" s="2" t="s">
        <v>1020</v>
      </c>
      <c r="N4129" s="2" t="s">
        <v>30996</v>
      </c>
      <c r="O4129" s="2"/>
      <c r="P4129" s="2" t="s">
        <v>37</v>
      </c>
      <c r="Q4129" s="4" t="n">
        <v>6794</v>
      </c>
      <c r="R4129" s="2" t="s">
        <v>136</v>
      </c>
      <c r="S4129" s="2" t="s">
        <v>39</v>
      </c>
      <c r="T4129" s="2" t="s">
        <v>40</v>
      </c>
      <c r="U4129" s="2" t="s">
        <v>30997</v>
      </c>
      <c r="V4129" s="2"/>
      <c r="W4129" s="2" t="s">
        <v>82</v>
      </c>
      <c r="X4129" s="2" t="s">
        <v>43</v>
      </c>
      <c r="Y4129" s="2" t="s">
        <v>37</v>
      </c>
      <c r="Z4129" s="2" t="s">
        <v>44</v>
      </c>
      <c r="AA4129" s="2"/>
      <c r="AB4129" s="2"/>
      <c r="AC4129" s="2" t="s">
        <v>30998</v>
      </c>
      <c r="AD4129" s="2" t="s">
        <v>46</v>
      </c>
    </row>
    <row r="4130" customFormat="false" ht="15.7" hidden="false" customHeight="true" outlineLevel="0" collapsed="false">
      <c r="A4130" s="2"/>
      <c r="B4130" s="3" t="n">
        <f aca="false">DATE(2019,4,3)</f>
        <v>0</v>
      </c>
      <c r="C4130" s="3" t="n">
        <v>43558</v>
      </c>
      <c r="D4130" s="2" t="s">
        <v>30999</v>
      </c>
      <c r="F4130" s="2" t="s">
        <v>31000</v>
      </c>
      <c r="G4130" s="2" t="s">
        <v>31001</v>
      </c>
      <c r="H4130" s="2" t="s">
        <v>31002</v>
      </c>
      <c r="I4130" s="2" t="s">
        <v>17785</v>
      </c>
      <c r="J4130" s="2" t="s">
        <v>35</v>
      </c>
      <c r="K4130" s="2" t="s">
        <v>31003</v>
      </c>
      <c r="L4130" s="2" t="s">
        <v>17785</v>
      </c>
      <c r="M4130" s="2" t="s">
        <v>10544</v>
      </c>
      <c r="N4130" s="2" t="s">
        <v>31004</v>
      </c>
      <c r="O4130" s="2"/>
      <c r="P4130" s="2" t="s">
        <v>37</v>
      </c>
      <c r="Q4130" s="4" t="n">
        <v>8731</v>
      </c>
      <c r="R4130" s="2"/>
      <c r="S4130" s="2"/>
      <c r="T4130" s="2" t="s">
        <v>11074</v>
      </c>
      <c r="U4130" s="2" t="s">
        <v>31005</v>
      </c>
      <c r="V4130" s="2"/>
      <c r="W4130" s="2" t="s">
        <v>4505</v>
      </c>
      <c r="X4130" s="2" t="s">
        <v>46</v>
      </c>
      <c r="Y4130" s="2" t="s">
        <v>37</v>
      </c>
      <c r="Z4130" s="2" t="s">
        <v>44</v>
      </c>
      <c r="AA4130" s="2"/>
      <c r="AB4130" s="2"/>
      <c r="AC4130" s="2" t="s">
        <v>31006</v>
      </c>
      <c r="AD4130" s="2" t="s">
        <v>46</v>
      </c>
    </row>
    <row r="4131" customFormat="false" ht="15.7" hidden="false" customHeight="true" outlineLevel="0" collapsed="false">
      <c r="A4131" s="2"/>
      <c r="B4131" s="3" t="n">
        <f aca="false">DATE(2019,4,4)</f>
        <v>0</v>
      </c>
      <c r="C4131" s="3" t="n">
        <v>43559</v>
      </c>
      <c r="D4131" s="2" t="s">
        <v>31007</v>
      </c>
      <c r="F4131" s="2" t="s">
        <v>31008</v>
      </c>
      <c r="G4131" s="2" t="s">
        <v>31009</v>
      </c>
      <c r="H4131" s="2" t="s">
        <v>31010</v>
      </c>
      <c r="I4131" s="2" t="s">
        <v>31011</v>
      </c>
      <c r="J4131" s="2" t="s">
        <v>398</v>
      </c>
      <c r="K4131" s="2" t="s">
        <v>31012</v>
      </c>
      <c r="L4131" s="2" t="s">
        <v>31011</v>
      </c>
      <c r="M4131" s="2" t="s">
        <v>31013</v>
      </c>
      <c r="N4131" s="2" t="s">
        <v>31014</v>
      </c>
      <c r="O4131" s="2"/>
      <c r="P4131" s="2" t="s">
        <v>37</v>
      </c>
      <c r="Q4131" s="4" t="n">
        <v>8731</v>
      </c>
      <c r="R4131" s="2"/>
      <c r="S4131" s="2"/>
      <c r="T4131" s="2" t="s">
        <v>40</v>
      </c>
      <c r="U4131" s="2" t="s">
        <v>31015</v>
      </c>
      <c r="V4131" s="2"/>
      <c r="W4131" s="2" t="s">
        <v>42</v>
      </c>
      <c r="X4131" s="2" t="s">
        <v>46</v>
      </c>
      <c r="Y4131" s="2" t="s">
        <v>37</v>
      </c>
      <c r="Z4131" s="2" t="s">
        <v>8596</v>
      </c>
      <c r="AA4131" s="2"/>
      <c r="AB4131" s="2"/>
      <c r="AC4131" s="2" t="s">
        <v>31016</v>
      </c>
      <c r="AD4131" s="2" t="s">
        <v>46</v>
      </c>
    </row>
    <row r="4132" customFormat="false" ht="15.7" hidden="false" customHeight="true" outlineLevel="0" collapsed="false">
      <c r="A4132" s="2"/>
      <c r="B4132" s="3" t="n">
        <f aca="false">DATE(2019,4,4)</f>
        <v>0</v>
      </c>
      <c r="C4132" s="3" t="n">
        <v>43559</v>
      </c>
      <c r="D4132" s="2" t="s">
        <v>31017</v>
      </c>
      <c r="F4132" s="2" t="s">
        <v>31018</v>
      </c>
      <c r="G4132" s="2" t="s">
        <v>31019</v>
      </c>
      <c r="H4132" s="2" t="s">
        <v>17563</v>
      </c>
      <c r="I4132" s="2" t="s">
        <v>31020</v>
      </c>
      <c r="J4132" s="2" t="s">
        <v>116</v>
      </c>
      <c r="K4132" s="2" t="s">
        <v>31021</v>
      </c>
      <c r="L4132" s="2" t="s">
        <v>31022</v>
      </c>
      <c r="M4132" s="2" t="s">
        <v>18289</v>
      </c>
      <c r="N4132" s="2" t="s">
        <v>31023</v>
      </c>
      <c r="O4132" s="2"/>
      <c r="P4132" s="2" t="s">
        <v>37</v>
      </c>
      <c r="Q4132" s="4" t="n">
        <v>8731</v>
      </c>
      <c r="R4132" s="2"/>
      <c r="S4132" s="2"/>
      <c r="T4132" s="2" t="s">
        <v>40</v>
      </c>
      <c r="U4132" s="2" t="s">
        <v>31024</v>
      </c>
      <c r="V4132" s="2"/>
      <c r="W4132" s="2" t="s">
        <v>344</v>
      </c>
      <c r="X4132" s="2" t="s">
        <v>43</v>
      </c>
      <c r="Y4132" s="2" t="s">
        <v>37</v>
      </c>
      <c r="Z4132" s="2" t="s">
        <v>916</v>
      </c>
      <c r="AA4132" s="2"/>
      <c r="AB4132" s="2"/>
      <c r="AC4132" s="2" t="s">
        <v>31025</v>
      </c>
      <c r="AD4132" s="2" t="s">
        <v>46</v>
      </c>
    </row>
    <row r="4133" customFormat="false" ht="15.7" hidden="false" customHeight="true" outlineLevel="0" collapsed="false">
      <c r="A4133" s="2"/>
      <c r="B4133" s="3" t="n">
        <f aca="false">DATE(2019,4,4)</f>
        <v>0</v>
      </c>
      <c r="C4133" s="3" t="n">
        <v>43559</v>
      </c>
      <c r="D4133" s="2" t="s">
        <v>31026</v>
      </c>
      <c r="F4133" s="2" t="s">
        <v>31027</v>
      </c>
      <c r="G4133" s="2" t="s">
        <v>31028</v>
      </c>
      <c r="H4133" s="2" t="s">
        <v>170</v>
      </c>
      <c r="I4133" s="2" t="s">
        <v>51</v>
      </c>
      <c r="J4133" s="2" t="s">
        <v>2633</v>
      </c>
      <c r="K4133" s="2" t="s">
        <v>31029</v>
      </c>
      <c r="L4133" s="2" t="s">
        <v>51</v>
      </c>
      <c r="M4133" s="2" t="s">
        <v>31030</v>
      </c>
      <c r="N4133" s="2" t="s">
        <v>31031</v>
      </c>
      <c r="O4133" s="2"/>
      <c r="P4133" s="2" t="s">
        <v>37</v>
      </c>
      <c r="Q4133" s="4" t="n">
        <v>6794</v>
      </c>
      <c r="R4133" s="2" t="s">
        <v>136</v>
      </c>
      <c r="S4133" s="2" t="s">
        <v>39</v>
      </c>
      <c r="T4133" s="2" t="s">
        <v>40</v>
      </c>
      <c r="U4133" s="2" t="s">
        <v>31032</v>
      </c>
      <c r="V4133" s="2"/>
      <c r="W4133" s="2" t="s">
        <v>82</v>
      </c>
      <c r="X4133" s="2" t="s">
        <v>43</v>
      </c>
      <c r="Y4133" s="2" t="s">
        <v>37</v>
      </c>
      <c r="Z4133" s="2" t="s">
        <v>44</v>
      </c>
      <c r="AA4133" s="2"/>
      <c r="AB4133" s="2"/>
      <c r="AC4133" s="2" t="s">
        <v>31033</v>
      </c>
      <c r="AD4133" s="2" t="s">
        <v>46</v>
      </c>
    </row>
    <row r="4134" customFormat="false" ht="15.7" hidden="false" customHeight="true" outlineLevel="0" collapsed="false">
      <c r="A4134" s="2"/>
      <c r="B4134" s="3" t="n">
        <f aca="false">DATE(2019,4,8)</f>
        <v>0</v>
      </c>
      <c r="C4134" s="3" t="n">
        <v>43563</v>
      </c>
      <c r="D4134" s="2" t="s">
        <v>31034</v>
      </c>
      <c r="F4134" s="2" t="s">
        <v>30500</v>
      </c>
      <c r="G4134" s="2" t="s">
        <v>31035</v>
      </c>
      <c r="H4134" s="2" t="s">
        <v>63</v>
      </c>
      <c r="I4134" s="2" t="s">
        <v>34</v>
      </c>
      <c r="J4134" s="2" t="s">
        <v>35</v>
      </c>
      <c r="K4134" s="2" t="s">
        <v>31036</v>
      </c>
      <c r="L4134" s="2" t="s">
        <v>20020</v>
      </c>
      <c r="M4134" s="2" t="s">
        <v>63</v>
      </c>
      <c r="N4134" s="2" t="s">
        <v>31037</v>
      </c>
      <c r="O4134" s="2"/>
      <c r="P4134" s="2" t="s">
        <v>37</v>
      </c>
      <c r="Q4134" s="4" t="n">
        <v>6794</v>
      </c>
      <c r="R4134" s="2" t="s">
        <v>4317</v>
      </c>
      <c r="S4134" s="2" t="s">
        <v>5334</v>
      </c>
      <c r="T4134" s="2" t="s">
        <v>40</v>
      </c>
      <c r="U4134" s="2" t="s">
        <v>31038</v>
      </c>
      <c r="V4134" s="2"/>
      <c r="W4134" s="2" t="s">
        <v>24132</v>
      </c>
      <c r="X4134" s="2" t="s">
        <v>43</v>
      </c>
      <c r="Y4134" s="2" t="s">
        <v>79</v>
      </c>
      <c r="Z4134" s="2" t="s">
        <v>44</v>
      </c>
      <c r="AA4134" s="2"/>
      <c r="AB4134" s="2"/>
      <c r="AC4134" s="2" t="s">
        <v>31039</v>
      </c>
      <c r="AD4134" s="2" t="s">
        <v>46</v>
      </c>
    </row>
    <row r="4135" customFormat="false" ht="15.7" hidden="false" customHeight="true" outlineLevel="0" collapsed="false">
      <c r="A4135" s="2"/>
      <c r="B4135" s="3" t="n">
        <f aca="false">DATE(2019,4,8)</f>
        <v>0</v>
      </c>
      <c r="C4135" s="3" t="n">
        <v>43563</v>
      </c>
      <c r="D4135" s="2" t="s">
        <v>31040</v>
      </c>
      <c r="F4135" s="2" t="s">
        <v>31041</v>
      </c>
      <c r="G4135" s="2" t="s">
        <v>31042</v>
      </c>
      <c r="H4135" s="2" t="s">
        <v>26938</v>
      </c>
      <c r="I4135" s="2" t="s">
        <v>664</v>
      </c>
      <c r="J4135" s="2" t="s">
        <v>132</v>
      </c>
      <c r="K4135" s="2" t="s">
        <v>31040</v>
      </c>
      <c r="L4135" s="2" t="s">
        <v>664</v>
      </c>
      <c r="M4135" s="2" t="s">
        <v>26938</v>
      </c>
      <c r="N4135" s="2" t="s">
        <v>31043</v>
      </c>
      <c r="O4135" s="2"/>
      <c r="P4135" s="2" t="s">
        <v>37</v>
      </c>
      <c r="Q4135" s="4" t="n">
        <v>8731</v>
      </c>
      <c r="R4135" s="2" t="s">
        <v>664</v>
      </c>
      <c r="S4135" s="2" t="s">
        <v>28195</v>
      </c>
      <c r="T4135" s="2" t="s">
        <v>40</v>
      </c>
      <c r="U4135" s="2" t="s">
        <v>31044</v>
      </c>
      <c r="V4135" s="2"/>
      <c r="W4135" s="2" t="s">
        <v>42</v>
      </c>
      <c r="X4135" s="2" t="s">
        <v>43</v>
      </c>
      <c r="Y4135" s="2" t="s">
        <v>79</v>
      </c>
      <c r="Z4135" s="2" t="s">
        <v>44</v>
      </c>
      <c r="AA4135" s="2"/>
      <c r="AB4135" s="2"/>
      <c r="AC4135" s="2" t="s">
        <v>31045</v>
      </c>
      <c r="AD4135" s="2" t="s">
        <v>46</v>
      </c>
    </row>
    <row r="4136" customFormat="false" ht="15.7" hidden="false" customHeight="true" outlineLevel="0" collapsed="false">
      <c r="A4136" s="2"/>
      <c r="B4136" s="3" t="n">
        <f aca="false">DATE(2019,4,9)</f>
        <v>0</v>
      </c>
      <c r="C4136" s="3" t="n">
        <v>43564</v>
      </c>
      <c r="D4136" s="2" t="s">
        <v>31046</v>
      </c>
      <c r="F4136" s="2" t="s">
        <v>31047</v>
      </c>
      <c r="G4136" s="2" t="s">
        <v>31048</v>
      </c>
      <c r="H4136" s="2" t="s">
        <v>31049</v>
      </c>
      <c r="I4136" s="2" t="s">
        <v>51</v>
      </c>
      <c r="J4136" s="2" t="s">
        <v>31050</v>
      </c>
      <c r="K4136" s="2" t="s">
        <v>31046</v>
      </c>
      <c r="L4136" s="2" t="s">
        <v>51</v>
      </c>
      <c r="M4136" s="2" t="s">
        <v>31049</v>
      </c>
      <c r="N4136" s="2" t="s">
        <v>31051</v>
      </c>
      <c r="O4136" s="2"/>
      <c r="P4136" s="2" t="s">
        <v>37</v>
      </c>
      <c r="Q4136" s="4" t="n">
        <v>8731</v>
      </c>
      <c r="R4136" s="2" t="s">
        <v>56</v>
      </c>
      <c r="S4136" s="2"/>
      <c r="T4136" s="2" t="s">
        <v>403</v>
      </c>
      <c r="U4136" s="2" t="s">
        <v>31052</v>
      </c>
      <c r="V4136" s="2"/>
      <c r="W4136" s="2" t="s">
        <v>42</v>
      </c>
      <c r="X4136" s="2" t="s">
        <v>43</v>
      </c>
      <c r="Y4136" s="2" t="s">
        <v>37</v>
      </c>
      <c r="Z4136" s="2" t="s">
        <v>44</v>
      </c>
      <c r="AA4136" s="2"/>
      <c r="AB4136" s="2"/>
      <c r="AC4136" s="2" t="s">
        <v>31053</v>
      </c>
      <c r="AD4136" s="2" t="s">
        <v>46</v>
      </c>
    </row>
    <row r="4137" customFormat="false" ht="15.7" hidden="false" customHeight="true" outlineLevel="0" collapsed="false">
      <c r="A4137" s="2"/>
      <c r="B4137" s="3" t="n">
        <f aca="false">DATE(2019,4,10)</f>
        <v>0</v>
      </c>
      <c r="C4137" s="3" t="n">
        <v>43565</v>
      </c>
      <c r="D4137" s="2" t="s">
        <v>31054</v>
      </c>
      <c r="F4137" s="2" t="s">
        <v>31055</v>
      </c>
      <c r="G4137" s="2" t="s">
        <v>31056</v>
      </c>
      <c r="H4137" s="2" t="s">
        <v>31057</v>
      </c>
      <c r="I4137" s="2" t="s">
        <v>31058</v>
      </c>
      <c r="J4137" s="2" t="s">
        <v>116</v>
      </c>
      <c r="K4137" s="2" t="s">
        <v>31054</v>
      </c>
      <c r="L4137" s="2" t="s">
        <v>31058</v>
      </c>
      <c r="M4137" s="2" t="s">
        <v>31057</v>
      </c>
      <c r="N4137" s="2" t="s">
        <v>31059</v>
      </c>
      <c r="O4137" s="2"/>
      <c r="P4137" s="2" t="s">
        <v>37</v>
      </c>
      <c r="Q4137" s="4" t="n">
        <v>8731</v>
      </c>
      <c r="R4137" s="2" t="s">
        <v>136</v>
      </c>
      <c r="S4137" s="2" t="s">
        <v>39</v>
      </c>
      <c r="T4137" s="2" t="s">
        <v>403</v>
      </c>
      <c r="U4137" s="2" t="s">
        <v>31060</v>
      </c>
      <c r="V4137" s="2"/>
      <c r="W4137" s="2" t="s">
        <v>42</v>
      </c>
      <c r="X4137" s="2" t="s">
        <v>43</v>
      </c>
      <c r="Y4137" s="2" t="s">
        <v>37</v>
      </c>
      <c r="Z4137" s="2" t="s">
        <v>916</v>
      </c>
      <c r="AA4137" s="2"/>
      <c r="AB4137" s="2"/>
      <c r="AC4137" s="2" t="s">
        <v>31061</v>
      </c>
      <c r="AD4137" s="2" t="s">
        <v>46</v>
      </c>
    </row>
    <row r="4138" customFormat="false" ht="15.7" hidden="false" customHeight="true" outlineLevel="0" collapsed="false">
      <c r="A4138" s="2"/>
      <c r="B4138" s="3" t="n">
        <f aca="false">DATE(2019,4,10)</f>
        <v>0</v>
      </c>
      <c r="C4138" s="3" t="n">
        <v>43565</v>
      </c>
      <c r="D4138" s="2" t="s">
        <v>31062</v>
      </c>
      <c r="F4138" s="2" t="s">
        <v>31063</v>
      </c>
      <c r="G4138" s="2" t="s">
        <v>31064</v>
      </c>
      <c r="H4138" s="2" t="s">
        <v>31065</v>
      </c>
      <c r="I4138" s="2" t="s">
        <v>51</v>
      </c>
      <c r="J4138" s="2" t="s">
        <v>6758</v>
      </c>
      <c r="K4138" s="2" t="s">
        <v>31062</v>
      </c>
      <c r="L4138" s="2" t="s">
        <v>51</v>
      </c>
      <c r="M4138" s="2" t="s">
        <v>31065</v>
      </c>
      <c r="N4138" s="2" t="s">
        <v>31066</v>
      </c>
      <c r="O4138" s="2"/>
      <c r="P4138" s="2" t="s">
        <v>37</v>
      </c>
      <c r="Q4138" s="4" t="n">
        <v>8731</v>
      </c>
      <c r="R4138" s="2" t="s">
        <v>56</v>
      </c>
      <c r="S4138" s="2"/>
      <c r="T4138" s="2" t="s">
        <v>40</v>
      </c>
      <c r="U4138" s="2" t="s">
        <v>31067</v>
      </c>
      <c r="V4138" s="2"/>
      <c r="W4138" s="2" t="s">
        <v>1050</v>
      </c>
      <c r="X4138" s="2" t="s">
        <v>43</v>
      </c>
      <c r="Y4138" s="2" t="s">
        <v>37</v>
      </c>
      <c r="Z4138" s="2" t="s">
        <v>44</v>
      </c>
      <c r="AA4138" s="2"/>
      <c r="AB4138" s="2"/>
      <c r="AC4138" s="2" t="s">
        <v>31068</v>
      </c>
      <c r="AD4138" s="2" t="s">
        <v>46</v>
      </c>
    </row>
    <row r="4139" customFormat="false" ht="15.7" hidden="false" customHeight="true" outlineLevel="0" collapsed="false">
      <c r="A4139" s="2"/>
      <c r="B4139" s="3" t="n">
        <f aca="false">DATE(2019,4,10)</f>
        <v>0</v>
      </c>
      <c r="C4139" s="3" t="n">
        <v>43565</v>
      </c>
      <c r="D4139" s="2" t="s">
        <v>31069</v>
      </c>
      <c r="F4139" s="2" t="s">
        <v>31070</v>
      </c>
      <c r="G4139" s="2" t="s">
        <v>31071</v>
      </c>
      <c r="H4139" s="2" t="s">
        <v>305</v>
      </c>
      <c r="I4139" s="2" t="s">
        <v>1779</v>
      </c>
      <c r="J4139" s="2" t="s">
        <v>35</v>
      </c>
      <c r="K4139" s="2" t="s">
        <v>31069</v>
      </c>
      <c r="L4139" s="2" t="s">
        <v>1779</v>
      </c>
      <c r="M4139" s="2" t="s">
        <v>305</v>
      </c>
      <c r="N4139" s="2" t="s">
        <v>31072</v>
      </c>
      <c r="O4139" s="2"/>
      <c r="P4139" s="2" t="s">
        <v>37</v>
      </c>
      <c r="Q4139" s="4" t="n">
        <v>6794</v>
      </c>
      <c r="R4139" s="2" t="s">
        <v>38</v>
      </c>
      <c r="S4139" s="2" t="s">
        <v>39</v>
      </c>
      <c r="T4139" s="2" t="s">
        <v>40</v>
      </c>
      <c r="U4139" s="2" t="s">
        <v>31073</v>
      </c>
      <c r="V4139" s="2"/>
      <c r="W4139" s="2" t="s">
        <v>15545</v>
      </c>
      <c r="X4139" s="2" t="s">
        <v>43</v>
      </c>
      <c r="Y4139" s="2" t="s">
        <v>37</v>
      </c>
      <c r="Z4139" s="2" t="s">
        <v>44</v>
      </c>
      <c r="AA4139" s="2"/>
      <c r="AB4139" s="2"/>
      <c r="AC4139" s="2" t="s">
        <v>31074</v>
      </c>
      <c r="AD4139" s="2" t="s">
        <v>46</v>
      </c>
    </row>
    <row r="4140" customFormat="false" ht="15.7" hidden="false" customHeight="true" outlineLevel="0" collapsed="false">
      <c r="A4140" s="2"/>
      <c r="B4140" s="3" t="n">
        <f aca="false">DATE(2019,4,11)</f>
        <v>0</v>
      </c>
      <c r="C4140" s="3" t="n">
        <v>43566</v>
      </c>
      <c r="D4140" s="2" t="s">
        <v>31075</v>
      </c>
      <c r="F4140" s="2" t="s">
        <v>31076</v>
      </c>
      <c r="G4140" s="2" t="s">
        <v>31077</v>
      </c>
      <c r="H4140" s="2" t="s">
        <v>20480</v>
      </c>
      <c r="I4140" s="2" t="s">
        <v>5102</v>
      </c>
      <c r="J4140" s="2" t="s">
        <v>35</v>
      </c>
      <c r="K4140" s="2" t="s">
        <v>31075</v>
      </c>
      <c r="L4140" s="2" t="s">
        <v>5102</v>
      </c>
      <c r="M4140" s="2" t="s">
        <v>20480</v>
      </c>
      <c r="N4140" s="2" t="s">
        <v>31078</v>
      </c>
      <c r="O4140" s="2"/>
      <c r="P4140" s="2" t="s">
        <v>37</v>
      </c>
      <c r="Q4140" s="4" t="n">
        <v>3999</v>
      </c>
      <c r="R4140" s="2" t="s">
        <v>70</v>
      </c>
      <c r="S4140" s="2" t="s">
        <v>39</v>
      </c>
      <c r="T4140" s="2" t="s">
        <v>403</v>
      </c>
      <c r="U4140" s="2" t="s">
        <v>31079</v>
      </c>
      <c r="V4140" s="2"/>
      <c r="W4140" s="2" t="s">
        <v>21331</v>
      </c>
      <c r="X4140" s="2" t="s">
        <v>43</v>
      </c>
      <c r="Y4140" s="2" t="s">
        <v>37</v>
      </c>
      <c r="Z4140" s="2" t="s">
        <v>44</v>
      </c>
      <c r="AA4140" s="2"/>
      <c r="AB4140" s="2"/>
      <c r="AC4140" s="2" t="s">
        <v>31080</v>
      </c>
      <c r="AD4140" s="2" t="s">
        <v>46</v>
      </c>
    </row>
    <row r="4141" customFormat="false" ht="15.7" hidden="false" customHeight="true" outlineLevel="0" collapsed="false">
      <c r="A4141" s="2"/>
      <c r="B4141" s="3" t="n">
        <f aca="false">DATE(2019,4,11)</f>
        <v>0</v>
      </c>
      <c r="C4141" s="3" t="n">
        <v>43566</v>
      </c>
      <c r="D4141" s="2" t="s">
        <v>31081</v>
      </c>
      <c r="F4141" s="2" t="s">
        <v>31082</v>
      </c>
      <c r="G4141" s="2" t="s">
        <v>31083</v>
      </c>
      <c r="H4141" s="2" t="s">
        <v>15979</v>
      </c>
      <c r="I4141" s="2" t="s">
        <v>2530</v>
      </c>
      <c r="J4141" s="2" t="s">
        <v>31084</v>
      </c>
      <c r="K4141" s="2" t="s">
        <v>31081</v>
      </c>
      <c r="L4141" s="2" t="s">
        <v>2530</v>
      </c>
      <c r="M4141" s="2" t="s">
        <v>15979</v>
      </c>
      <c r="N4141" s="2" t="s">
        <v>31085</v>
      </c>
      <c r="O4141" s="2"/>
      <c r="P4141" s="2" t="s">
        <v>37</v>
      </c>
      <c r="Q4141" s="4" t="n">
        <v>8099</v>
      </c>
      <c r="R4141" s="2" t="s">
        <v>56</v>
      </c>
      <c r="S4141" s="2" t="s">
        <v>251</v>
      </c>
      <c r="T4141" s="2" t="s">
        <v>40</v>
      </c>
      <c r="U4141" s="2" t="s">
        <v>31086</v>
      </c>
      <c r="V4141" s="2"/>
      <c r="W4141" s="2" t="s">
        <v>19532</v>
      </c>
      <c r="X4141" s="2" t="s">
        <v>43</v>
      </c>
      <c r="Y4141" s="2" t="s">
        <v>37</v>
      </c>
      <c r="Z4141" s="2" t="s">
        <v>916</v>
      </c>
      <c r="AA4141" s="2"/>
      <c r="AB4141" s="2"/>
      <c r="AC4141" s="2" t="s">
        <v>31087</v>
      </c>
      <c r="AD4141" s="2" t="s">
        <v>46</v>
      </c>
    </row>
    <row r="4142" customFormat="false" ht="15.7" hidden="false" customHeight="true" outlineLevel="0" collapsed="false">
      <c r="A4142" s="2"/>
      <c r="B4142" s="3" t="n">
        <f aca="false">DATE(2019,4,11)</f>
        <v>0</v>
      </c>
      <c r="C4142" s="3" t="n">
        <v>43566</v>
      </c>
      <c r="D4142" s="2" t="s">
        <v>31088</v>
      </c>
      <c r="F4142" s="2" t="s">
        <v>31089</v>
      </c>
      <c r="G4142" s="2" t="s">
        <v>31090</v>
      </c>
      <c r="H4142" s="2" t="s">
        <v>7132</v>
      </c>
      <c r="I4142" s="2" t="s">
        <v>31091</v>
      </c>
      <c r="J4142" s="2" t="s">
        <v>35</v>
      </c>
      <c r="K4142" s="2" t="s">
        <v>31088</v>
      </c>
      <c r="L4142" s="2" t="s">
        <v>31091</v>
      </c>
      <c r="M4142" s="2" t="s">
        <v>7132</v>
      </c>
      <c r="N4142" s="2" t="s">
        <v>31092</v>
      </c>
      <c r="O4142" s="2"/>
      <c r="P4142" s="2" t="s">
        <v>37</v>
      </c>
      <c r="Q4142" s="4" t="n">
        <v>8731</v>
      </c>
      <c r="R4142" s="2" t="s">
        <v>19637</v>
      </c>
      <c r="S4142" s="2" t="s">
        <v>39</v>
      </c>
      <c r="T4142" s="2" t="s">
        <v>40</v>
      </c>
      <c r="U4142" s="2" t="s">
        <v>31093</v>
      </c>
      <c r="V4142" s="2"/>
      <c r="W4142" s="2" t="s">
        <v>344</v>
      </c>
      <c r="X4142" s="2" t="s">
        <v>43</v>
      </c>
      <c r="Y4142" s="2" t="s">
        <v>37</v>
      </c>
      <c r="Z4142" s="2" t="s">
        <v>44</v>
      </c>
      <c r="AA4142" s="2"/>
      <c r="AB4142" s="2"/>
      <c r="AC4142" s="2" t="s">
        <v>31094</v>
      </c>
      <c r="AD4142" s="2" t="s">
        <v>46</v>
      </c>
    </row>
    <row r="4143" customFormat="false" ht="15.7" hidden="false" customHeight="true" outlineLevel="0" collapsed="false">
      <c r="A4143" s="2"/>
      <c r="B4143" s="3" t="n">
        <f aca="false">DATE(2019,4,15)</f>
        <v>0</v>
      </c>
      <c r="C4143" s="3" t="n">
        <v>43570</v>
      </c>
      <c r="D4143" s="2" t="s">
        <v>31095</v>
      </c>
      <c r="F4143" s="2" t="s">
        <v>31096</v>
      </c>
      <c r="G4143" s="2" t="s">
        <v>31097</v>
      </c>
      <c r="H4143" s="2" t="s">
        <v>762</v>
      </c>
      <c r="I4143" s="2" t="s">
        <v>435</v>
      </c>
      <c r="J4143" s="2" t="s">
        <v>950</v>
      </c>
      <c r="K4143" s="2" t="s">
        <v>31095</v>
      </c>
      <c r="L4143" s="2" t="s">
        <v>435</v>
      </c>
      <c r="M4143" s="2" t="s">
        <v>762</v>
      </c>
      <c r="N4143" s="2" t="s">
        <v>31098</v>
      </c>
      <c r="O4143" s="2"/>
      <c r="P4143" s="2" t="s">
        <v>37</v>
      </c>
      <c r="Q4143" s="4" t="n">
        <v>8731</v>
      </c>
      <c r="R4143" s="2" t="s">
        <v>56</v>
      </c>
      <c r="S4143" s="2" t="s">
        <v>771</v>
      </c>
      <c r="T4143" s="2" t="s">
        <v>40</v>
      </c>
      <c r="U4143" s="2" t="s">
        <v>31099</v>
      </c>
      <c r="V4143" s="2"/>
      <c r="W4143" s="2" t="s">
        <v>344</v>
      </c>
      <c r="X4143" s="2" t="s">
        <v>43</v>
      </c>
      <c r="Y4143" s="2" t="s">
        <v>37</v>
      </c>
      <c r="Z4143" s="2" t="s">
        <v>44</v>
      </c>
      <c r="AA4143" s="2"/>
      <c r="AB4143" s="2"/>
      <c r="AC4143" s="2" t="s">
        <v>31100</v>
      </c>
      <c r="AD4143" s="2" t="s">
        <v>46</v>
      </c>
    </row>
    <row r="4144" customFormat="false" ht="15.7" hidden="false" customHeight="true" outlineLevel="0" collapsed="false">
      <c r="A4144" s="2"/>
      <c r="B4144" s="3" t="n">
        <f aca="false">DATE(2019,4,15)</f>
        <v>0</v>
      </c>
      <c r="C4144" s="3" t="n">
        <v>43570</v>
      </c>
      <c r="D4144" s="2" t="s">
        <v>31101</v>
      </c>
      <c r="F4144" s="2" t="s">
        <v>31102</v>
      </c>
      <c r="G4144" s="2" t="s">
        <v>31103</v>
      </c>
      <c r="H4144" s="2" t="s">
        <v>17479</v>
      </c>
      <c r="I4144" s="2" t="s">
        <v>724</v>
      </c>
      <c r="J4144" s="2" t="s">
        <v>313</v>
      </c>
      <c r="K4144" s="2" t="s">
        <v>31101</v>
      </c>
      <c r="L4144" s="2" t="s">
        <v>724</v>
      </c>
      <c r="M4144" s="2" t="s">
        <v>17479</v>
      </c>
      <c r="N4144" s="2" t="s">
        <v>31104</v>
      </c>
      <c r="O4144" s="2"/>
      <c r="P4144" s="2" t="s">
        <v>37</v>
      </c>
      <c r="Q4144" s="4" t="n">
        <v>8731</v>
      </c>
      <c r="R4144" s="2" t="s">
        <v>56</v>
      </c>
      <c r="S4144" s="2"/>
      <c r="T4144" s="2" t="s">
        <v>403</v>
      </c>
      <c r="U4144" s="2" t="s">
        <v>31105</v>
      </c>
      <c r="V4144" s="2"/>
      <c r="W4144" s="2" t="s">
        <v>42</v>
      </c>
      <c r="X4144" s="2" t="s">
        <v>43</v>
      </c>
      <c r="Y4144" s="2" t="s">
        <v>37</v>
      </c>
      <c r="Z4144" s="2" t="s">
        <v>44</v>
      </c>
      <c r="AA4144" s="2"/>
      <c r="AB4144" s="2"/>
      <c r="AC4144" s="2" t="s">
        <v>31106</v>
      </c>
      <c r="AD4144" s="2" t="s">
        <v>46</v>
      </c>
    </row>
    <row r="4145" customFormat="false" ht="15.7" hidden="false" customHeight="true" outlineLevel="0" collapsed="false">
      <c r="A4145" s="2"/>
      <c r="B4145" s="3" t="n">
        <f aca="false">DATE(2019,4,15)</f>
        <v>0</v>
      </c>
      <c r="C4145" s="3" t="n">
        <v>43570</v>
      </c>
      <c r="D4145" s="2" t="s">
        <v>31107</v>
      </c>
      <c r="F4145" s="2" t="s">
        <v>6625</v>
      </c>
      <c r="G4145" s="2" t="s">
        <v>31108</v>
      </c>
      <c r="H4145" s="2" t="s">
        <v>130</v>
      </c>
      <c r="I4145" s="2" t="s">
        <v>51</v>
      </c>
      <c r="J4145" s="2" t="s">
        <v>3117</v>
      </c>
      <c r="K4145" s="2" t="s">
        <v>31109</v>
      </c>
      <c r="L4145" s="2" t="s">
        <v>51</v>
      </c>
      <c r="M4145" s="2" t="s">
        <v>130</v>
      </c>
      <c r="N4145" s="2" t="s">
        <v>31110</v>
      </c>
      <c r="O4145" s="2"/>
      <c r="P4145" s="2" t="s">
        <v>37</v>
      </c>
      <c r="Q4145" s="4" t="n">
        <v>8731</v>
      </c>
      <c r="R4145" s="2" t="s">
        <v>56</v>
      </c>
      <c r="S4145" s="2"/>
      <c r="T4145" s="2" t="s">
        <v>40</v>
      </c>
      <c r="U4145" s="2" t="s">
        <v>31111</v>
      </c>
      <c r="V4145" s="2"/>
      <c r="W4145" s="2" t="s">
        <v>42</v>
      </c>
      <c r="X4145" s="2" t="s">
        <v>43</v>
      </c>
      <c r="Y4145" s="2" t="s">
        <v>37</v>
      </c>
      <c r="Z4145" s="2" t="s">
        <v>44</v>
      </c>
      <c r="AA4145" s="2"/>
      <c r="AB4145" s="2"/>
      <c r="AC4145" s="2" t="s">
        <v>31112</v>
      </c>
      <c r="AD4145" s="2" t="s">
        <v>46</v>
      </c>
    </row>
    <row r="4146" customFormat="false" ht="15.7" hidden="false" customHeight="true" outlineLevel="0" collapsed="false">
      <c r="A4146" s="2"/>
      <c r="B4146" s="3" t="n">
        <f aca="false">DATE(2019,4,15)</f>
        <v>0</v>
      </c>
      <c r="C4146" s="3" t="n">
        <v>43570</v>
      </c>
      <c r="D4146" s="2" t="s">
        <v>31113</v>
      </c>
      <c r="F4146" s="2" t="s">
        <v>30150</v>
      </c>
      <c r="G4146" s="2" t="s">
        <v>31114</v>
      </c>
      <c r="H4146" s="2" t="s">
        <v>24696</v>
      </c>
      <c r="I4146" s="2" t="s">
        <v>487</v>
      </c>
      <c r="J4146" s="2" t="s">
        <v>795</v>
      </c>
      <c r="K4146" s="2" t="s">
        <v>31113</v>
      </c>
      <c r="L4146" s="2" t="s">
        <v>487</v>
      </c>
      <c r="M4146" s="2" t="s">
        <v>24696</v>
      </c>
      <c r="N4146" s="2" t="s">
        <v>31115</v>
      </c>
      <c r="O4146" s="2"/>
      <c r="P4146" s="2" t="s">
        <v>37</v>
      </c>
      <c r="Q4146" s="4" t="n">
        <v>8731</v>
      </c>
      <c r="R4146" s="2" t="s">
        <v>56</v>
      </c>
      <c r="S4146" s="2"/>
      <c r="T4146" s="2" t="s">
        <v>403</v>
      </c>
      <c r="U4146" s="2" t="s">
        <v>31116</v>
      </c>
      <c r="V4146" s="2"/>
      <c r="W4146" s="2" t="s">
        <v>42</v>
      </c>
      <c r="X4146" s="2" t="s">
        <v>46</v>
      </c>
      <c r="Y4146" s="2" t="s">
        <v>37</v>
      </c>
      <c r="Z4146" s="2" t="s">
        <v>44</v>
      </c>
      <c r="AA4146" s="2"/>
      <c r="AB4146" s="2"/>
      <c r="AC4146" s="2" t="s">
        <v>31117</v>
      </c>
      <c r="AD4146" s="2" t="s">
        <v>46</v>
      </c>
    </row>
    <row r="4147" customFormat="false" ht="15.7" hidden="false" customHeight="true" outlineLevel="0" collapsed="false">
      <c r="A4147" s="2"/>
      <c r="B4147" s="3" t="n">
        <f aca="false">DATE(2019,4,15)</f>
        <v>0</v>
      </c>
      <c r="C4147" s="3" t="n">
        <v>43570</v>
      </c>
      <c r="D4147" s="2" t="s">
        <v>31118</v>
      </c>
      <c r="F4147" s="2" t="s">
        <v>31119</v>
      </c>
      <c r="G4147" s="2" t="s">
        <v>31120</v>
      </c>
      <c r="H4147" s="2" t="s">
        <v>20323</v>
      </c>
      <c r="I4147" s="2" t="s">
        <v>11415</v>
      </c>
      <c r="J4147" s="2" t="s">
        <v>35</v>
      </c>
      <c r="K4147" s="2" t="s">
        <v>31121</v>
      </c>
      <c r="L4147" s="2" t="s">
        <v>6838</v>
      </c>
      <c r="M4147" s="2" t="s">
        <v>1574</v>
      </c>
      <c r="N4147" s="2" t="s">
        <v>31122</v>
      </c>
      <c r="O4147" s="2"/>
      <c r="P4147" s="2" t="s">
        <v>37</v>
      </c>
      <c r="Q4147" s="4" t="n">
        <v>4812</v>
      </c>
      <c r="R4147" s="2" t="s">
        <v>402</v>
      </c>
      <c r="S4147" s="2" t="s">
        <v>39</v>
      </c>
      <c r="T4147" s="2" t="s">
        <v>403</v>
      </c>
      <c r="U4147" s="2" t="s">
        <v>31123</v>
      </c>
      <c r="V4147" s="2"/>
      <c r="W4147" s="2" t="s">
        <v>31124</v>
      </c>
      <c r="X4147" s="2" t="s">
        <v>46</v>
      </c>
      <c r="Y4147" s="2" t="s">
        <v>37</v>
      </c>
      <c r="Z4147" s="2" t="s">
        <v>987</v>
      </c>
      <c r="AA4147" s="2" t="s">
        <v>31125</v>
      </c>
      <c r="AB4147" s="2"/>
      <c r="AC4147" s="2" t="s">
        <v>31126</v>
      </c>
      <c r="AD4147" s="2" t="s">
        <v>46</v>
      </c>
    </row>
    <row r="4148" customFormat="false" ht="15.7" hidden="false" customHeight="true" outlineLevel="0" collapsed="false">
      <c r="A4148" s="2"/>
      <c r="B4148" s="3" t="n">
        <f aca="false">DATE(2019,4,16)</f>
        <v>0</v>
      </c>
      <c r="C4148" s="3" t="n">
        <v>43571</v>
      </c>
      <c r="D4148" s="2" t="s">
        <v>31127</v>
      </c>
      <c r="F4148" s="2" t="s">
        <v>31128</v>
      </c>
      <c r="G4148" s="2" t="s">
        <v>31129</v>
      </c>
      <c r="H4148" s="2" t="s">
        <v>1528</v>
      </c>
      <c r="I4148" s="2" t="s">
        <v>435</v>
      </c>
      <c r="J4148" s="2" t="s">
        <v>132</v>
      </c>
      <c r="K4148" s="2" t="s">
        <v>31130</v>
      </c>
      <c r="L4148" s="2" t="s">
        <v>435</v>
      </c>
      <c r="M4148" s="2" t="s">
        <v>25719</v>
      </c>
      <c r="N4148" s="2" t="s">
        <v>31131</v>
      </c>
      <c r="O4148" s="2"/>
      <c r="P4148" s="2" t="s">
        <v>37</v>
      </c>
      <c r="Q4148" s="4" t="n">
        <v>8731</v>
      </c>
      <c r="R4148" s="2" t="s">
        <v>136</v>
      </c>
      <c r="S4148" s="2" t="s">
        <v>39</v>
      </c>
      <c r="T4148" s="2" t="s">
        <v>403</v>
      </c>
      <c r="U4148" s="2" t="s">
        <v>31132</v>
      </c>
      <c r="V4148" s="2"/>
      <c r="W4148" s="2" t="s">
        <v>15773</v>
      </c>
      <c r="X4148" s="2" t="s">
        <v>43</v>
      </c>
      <c r="Y4148" s="2" t="s">
        <v>37</v>
      </c>
      <c r="Z4148" s="2" t="s">
        <v>44</v>
      </c>
      <c r="AA4148" s="2"/>
      <c r="AB4148" s="2"/>
      <c r="AC4148" s="2" t="s">
        <v>31133</v>
      </c>
      <c r="AD4148" s="2" t="s">
        <v>46</v>
      </c>
    </row>
    <row r="4149" customFormat="false" ht="15.7" hidden="false" customHeight="true" outlineLevel="0" collapsed="false">
      <c r="A4149" s="2"/>
      <c r="B4149" s="3" t="n">
        <f aca="false">DATE(2019,4,16)</f>
        <v>0</v>
      </c>
      <c r="C4149" s="3" t="n">
        <v>43571</v>
      </c>
      <c r="D4149" s="2" t="s">
        <v>31134</v>
      </c>
      <c r="F4149" s="2" t="s">
        <v>31135</v>
      </c>
      <c r="G4149" s="2" t="s">
        <v>31136</v>
      </c>
      <c r="H4149" s="2" t="s">
        <v>814</v>
      </c>
      <c r="I4149" s="2" t="s">
        <v>4325</v>
      </c>
      <c r="J4149" s="2" t="s">
        <v>35</v>
      </c>
      <c r="K4149" s="2" t="s">
        <v>31137</v>
      </c>
      <c r="L4149" s="2" t="s">
        <v>4325</v>
      </c>
      <c r="M4149" s="2" t="s">
        <v>814</v>
      </c>
      <c r="N4149" s="2" t="s">
        <v>31138</v>
      </c>
      <c r="O4149" s="2"/>
      <c r="P4149" s="2" t="s">
        <v>37</v>
      </c>
      <c r="Q4149" s="4" t="n">
        <v>8731</v>
      </c>
      <c r="R4149" s="2" t="s">
        <v>402</v>
      </c>
      <c r="S4149" s="2" t="s">
        <v>39</v>
      </c>
      <c r="T4149" s="2" t="s">
        <v>40</v>
      </c>
      <c r="U4149" s="2" t="s">
        <v>31139</v>
      </c>
      <c r="V4149" s="2"/>
      <c r="W4149" s="2" t="s">
        <v>31140</v>
      </c>
      <c r="X4149" s="2" t="s">
        <v>43</v>
      </c>
      <c r="Y4149" s="2" t="s">
        <v>37</v>
      </c>
      <c r="Z4149" s="2" t="s">
        <v>44</v>
      </c>
      <c r="AA4149" s="2"/>
      <c r="AB4149" s="2"/>
      <c r="AC4149" s="2" t="s">
        <v>31141</v>
      </c>
      <c r="AD4149" s="2" t="s">
        <v>46</v>
      </c>
    </row>
    <row r="4150" customFormat="false" ht="15.7" hidden="false" customHeight="true" outlineLevel="0" collapsed="false">
      <c r="A4150" s="2"/>
      <c r="B4150" s="3" t="n">
        <f aca="false">DATE(2019,4,16)</f>
        <v>0</v>
      </c>
      <c r="C4150" s="3" t="n">
        <v>43571</v>
      </c>
      <c r="D4150" s="2" t="s">
        <v>31142</v>
      </c>
      <c r="F4150" s="2" t="s">
        <v>31143</v>
      </c>
      <c r="G4150" s="2" t="s">
        <v>31144</v>
      </c>
      <c r="H4150" s="2" t="s">
        <v>31145</v>
      </c>
      <c r="I4150" s="2" t="s">
        <v>51</v>
      </c>
      <c r="J4150" s="2" t="s">
        <v>1319</v>
      </c>
      <c r="K4150" s="2" t="s">
        <v>31142</v>
      </c>
      <c r="L4150" s="2" t="s">
        <v>51</v>
      </c>
      <c r="M4150" s="2" t="s">
        <v>31145</v>
      </c>
      <c r="N4150" s="2" t="s">
        <v>31146</v>
      </c>
      <c r="O4150" s="2"/>
      <c r="P4150" s="2" t="s">
        <v>37</v>
      </c>
      <c r="Q4150" s="4" t="n">
        <v>8731</v>
      </c>
      <c r="R4150" s="2" t="s">
        <v>402</v>
      </c>
      <c r="S4150" s="2" t="s">
        <v>39</v>
      </c>
      <c r="T4150" s="2" t="s">
        <v>40</v>
      </c>
      <c r="U4150" s="2" t="s">
        <v>31147</v>
      </c>
      <c r="V4150" s="2"/>
      <c r="W4150" s="2" t="s">
        <v>6344</v>
      </c>
      <c r="X4150" s="2" t="s">
        <v>43</v>
      </c>
      <c r="Y4150" s="2" t="s">
        <v>37</v>
      </c>
      <c r="Z4150" s="2" t="s">
        <v>44</v>
      </c>
      <c r="AA4150" s="2"/>
      <c r="AB4150" s="2"/>
      <c r="AC4150" s="2" t="s">
        <v>31148</v>
      </c>
      <c r="AD4150" s="2" t="s">
        <v>46</v>
      </c>
    </row>
    <row r="4151" customFormat="false" ht="15.7" hidden="false" customHeight="true" outlineLevel="0" collapsed="false">
      <c r="A4151" s="2"/>
      <c r="B4151" s="3" t="n">
        <f aca="false">DATE(2019,4,16)</f>
        <v>0</v>
      </c>
      <c r="C4151" s="3" t="n">
        <v>43571</v>
      </c>
      <c r="D4151" s="2" t="s">
        <v>31149</v>
      </c>
      <c r="F4151" s="2" t="s">
        <v>31150</v>
      </c>
      <c r="G4151" s="2" t="s">
        <v>31151</v>
      </c>
      <c r="H4151" s="2" t="s">
        <v>2283</v>
      </c>
      <c r="I4151" s="2" t="s">
        <v>31152</v>
      </c>
      <c r="J4151" s="2" t="s">
        <v>35</v>
      </c>
      <c r="K4151" s="2" t="s">
        <v>31149</v>
      </c>
      <c r="L4151" s="2" t="s">
        <v>31152</v>
      </c>
      <c r="M4151" s="2" t="s">
        <v>2283</v>
      </c>
      <c r="N4151" s="2" t="s">
        <v>31153</v>
      </c>
      <c r="O4151" s="2"/>
      <c r="P4151" s="2" t="s">
        <v>37</v>
      </c>
      <c r="Q4151" s="4" t="n">
        <v>8731</v>
      </c>
      <c r="R4151" s="2" t="s">
        <v>136</v>
      </c>
      <c r="S4151" s="2" t="s">
        <v>39</v>
      </c>
      <c r="T4151" s="2" t="s">
        <v>40</v>
      </c>
      <c r="U4151" s="2" t="s">
        <v>31154</v>
      </c>
      <c r="V4151" s="2"/>
      <c r="W4151" s="2" t="s">
        <v>31155</v>
      </c>
      <c r="X4151" s="2" t="s">
        <v>43</v>
      </c>
      <c r="Y4151" s="2" t="s">
        <v>37</v>
      </c>
      <c r="Z4151" s="2" t="s">
        <v>44</v>
      </c>
      <c r="AA4151" s="2"/>
      <c r="AB4151" s="2"/>
      <c r="AC4151" s="2" t="s">
        <v>31156</v>
      </c>
      <c r="AD4151" s="2" t="s">
        <v>46</v>
      </c>
    </row>
    <row r="4152" customFormat="false" ht="15.7" hidden="false" customHeight="true" outlineLevel="0" collapsed="false">
      <c r="A4152" s="2"/>
      <c r="B4152" s="3" t="n">
        <f aca="false">DATE(2019,4,16)</f>
        <v>0</v>
      </c>
      <c r="C4152" s="3" t="n">
        <v>43571</v>
      </c>
      <c r="D4152" s="2" t="s">
        <v>31157</v>
      </c>
      <c r="F4152" s="2" t="s">
        <v>31158</v>
      </c>
      <c r="G4152" s="2" t="s">
        <v>31159</v>
      </c>
      <c r="H4152" s="2" t="s">
        <v>21761</v>
      </c>
      <c r="I4152" s="2" t="s">
        <v>30323</v>
      </c>
      <c r="J4152" s="2" t="s">
        <v>65</v>
      </c>
      <c r="K4152" s="2" t="s">
        <v>31160</v>
      </c>
      <c r="L4152" s="2" t="s">
        <v>219</v>
      </c>
      <c r="M4152" s="2" t="s">
        <v>31161</v>
      </c>
      <c r="N4152" s="2" t="s">
        <v>31162</v>
      </c>
      <c r="O4152" s="2"/>
      <c r="P4152" s="2" t="s">
        <v>37</v>
      </c>
      <c r="Q4152" s="4" t="n">
        <v>8731</v>
      </c>
      <c r="R4152" s="2" t="s">
        <v>30323</v>
      </c>
      <c r="S4152" s="2" t="s">
        <v>3000</v>
      </c>
      <c r="T4152" s="2" t="s">
        <v>403</v>
      </c>
      <c r="U4152" s="2" t="s">
        <v>31163</v>
      </c>
      <c r="V4152" s="2"/>
      <c r="W4152" s="2" t="s">
        <v>31164</v>
      </c>
      <c r="X4152" s="2" t="s">
        <v>43</v>
      </c>
      <c r="Y4152" s="2" t="s">
        <v>79</v>
      </c>
      <c r="Z4152" s="2" t="s">
        <v>44</v>
      </c>
      <c r="AA4152" s="2"/>
      <c r="AB4152" s="2"/>
      <c r="AC4152" s="2" t="s">
        <v>31165</v>
      </c>
      <c r="AD4152" s="2" t="s">
        <v>46</v>
      </c>
    </row>
    <row r="4153" customFormat="false" ht="15.7" hidden="false" customHeight="true" outlineLevel="0" collapsed="false">
      <c r="A4153" s="2"/>
      <c r="B4153" s="3" t="n">
        <f aca="false">DATE(2019,4,16)</f>
        <v>0</v>
      </c>
      <c r="C4153" s="3" t="n">
        <v>43571</v>
      </c>
      <c r="D4153" s="2" t="s">
        <v>31166</v>
      </c>
      <c r="F4153" s="2" t="s">
        <v>31167</v>
      </c>
      <c r="G4153" s="2" t="s">
        <v>31168</v>
      </c>
      <c r="H4153" s="2" t="s">
        <v>523</v>
      </c>
      <c r="I4153" s="2" t="s">
        <v>1867</v>
      </c>
      <c r="J4153" s="2" t="s">
        <v>35</v>
      </c>
      <c r="K4153" s="2" t="s">
        <v>31166</v>
      </c>
      <c r="L4153" s="2" t="s">
        <v>1867</v>
      </c>
      <c r="M4153" s="2" t="s">
        <v>523</v>
      </c>
      <c r="N4153" s="2" t="s">
        <v>31169</v>
      </c>
      <c r="O4153" s="2"/>
      <c r="P4153" s="2" t="s">
        <v>79</v>
      </c>
      <c r="Q4153" s="4" t="n">
        <v>6794</v>
      </c>
      <c r="R4153" s="2" t="s">
        <v>136</v>
      </c>
      <c r="S4153" s="2" t="s">
        <v>39</v>
      </c>
      <c r="T4153" s="2" t="s">
        <v>40</v>
      </c>
      <c r="U4153" s="2" t="s">
        <v>31170</v>
      </c>
      <c r="V4153" s="2"/>
      <c r="W4153" s="2" t="s">
        <v>82</v>
      </c>
      <c r="X4153" s="2" t="s">
        <v>43</v>
      </c>
      <c r="Y4153" s="2" t="s">
        <v>37</v>
      </c>
      <c r="Z4153" s="2" t="s">
        <v>44</v>
      </c>
      <c r="AA4153" s="2"/>
      <c r="AB4153" s="2"/>
      <c r="AC4153" s="2" t="s">
        <v>31171</v>
      </c>
      <c r="AD4153" s="2" t="s">
        <v>46</v>
      </c>
    </row>
    <row r="4154" customFormat="false" ht="15.7" hidden="false" customHeight="true" outlineLevel="0" collapsed="false">
      <c r="A4154" s="2"/>
      <c r="B4154" s="3" t="n">
        <f aca="false">DATE(2019,4,16)</f>
        <v>0</v>
      </c>
      <c r="C4154" s="3" t="n">
        <v>43571</v>
      </c>
      <c r="D4154" s="2" t="s">
        <v>31172</v>
      </c>
      <c r="F4154" s="2" t="s">
        <v>31173</v>
      </c>
      <c r="G4154" s="2" t="s">
        <v>31174</v>
      </c>
      <c r="H4154" s="2" t="s">
        <v>12871</v>
      </c>
      <c r="I4154" s="2" t="s">
        <v>9745</v>
      </c>
      <c r="J4154" s="2" t="s">
        <v>35</v>
      </c>
      <c r="K4154" s="2" t="s">
        <v>31175</v>
      </c>
      <c r="L4154" s="2" t="s">
        <v>31176</v>
      </c>
      <c r="M4154" s="2" t="s">
        <v>1564</v>
      </c>
      <c r="N4154" s="2" t="s">
        <v>31177</v>
      </c>
      <c r="O4154" s="2"/>
      <c r="P4154" s="2" t="s">
        <v>37</v>
      </c>
      <c r="Q4154" s="4" t="n">
        <v>8731</v>
      </c>
      <c r="R4154" s="2"/>
      <c r="S4154" s="2"/>
      <c r="T4154" s="2" t="s">
        <v>40</v>
      </c>
      <c r="U4154" s="2" t="s">
        <v>31178</v>
      </c>
      <c r="V4154" s="2"/>
      <c r="W4154" s="2" t="s">
        <v>22456</v>
      </c>
      <c r="X4154" s="2" t="s">
        <v>43</v>
      </c>
      <c r="Y4154" s="2" t="s">
        <v>37</v>
      </c>
      <c r="Z4154" s="2" t="s">
        <v>44</v>
      </c>
      <c r="AA4154" s="2"/>
      <c r="AB4154" s="2"/>
      <c r="AC4154" s="2" t="s">
        <v>31179</v>
      </c>
      <c r="AD4154" s="2" t="s">
        <v>46</v>
      </c>
    </row>
    <row r="4155" customFormat="false" ht="15.7" hidden="false" customHeight="true" outlineLevel="0" collapsed="false">
      <c r="A4155" s="2"/>
      <c r="B4155" s="3" t="n">
        <f aca="false">DATE(2019,4,17)</f>
        <v>0</v>
      </c>
      <c r="C4155" s="3" t="n">
        <v>43572</v>
      </c>
      <c r="D4155" s="2" t="s">
        <v>31180</v>
      </c>
      <c r="F4155" s="2" t="s">
        <v>31181</v>
      </c>
      <c r="G4155" s="2" t="s">
        <v>31182</v>
      </c>
      <c r="H4155" s="2" t="s">
        <v>1020</v>
      </c>
      <c r="I4155" s="2" t="s">
        <v>51</v>
      </c>
      <c r="J4155" s="2" t="s">
        <v>306</v>
      </c>
      <c r="K4155" s="2" t="s">
        <v>31183</v>
      </c>
      <c r="L4155" s="2" t="s">
        <v>51</v>
      </c>
      <c r="M4155" s="2" t="s">
        <v>9924</v>
      </c>
      <c r="N4155" s="2" t="s">
        <v>31184</v>
      </c>
      <c r="O4155" s="2"/>
      <c r="P4155" s="2" t="s">
        <v>37</v>
      </c>
      <c r="Q4155" s="4" t="n">
        <v>8099</v>
      </c>
      <c r="R4155" s="2" t="s">
        <v>2201</v>
      </c>
      <c r="S4155" s="2" t="s">
        <v>39</v>
      </c>
      <c r="T4155" s="2" t="s">
        <v>403</v>
      </c>
      <c r="U4155" s="2" t="s">
        <v>31185</v>
      </c>
      <c r="V4155" s="2"/>
      <c r="W4155" s="2" t="s">
        <v>25722</v>
      </c>
      <c r="X4155" s="2" t="s">
        <v>43</v>
      </c>
      <c r="Y4155" s="2" t="s">
        <v>37</v>
      </c>
      <c r="Z4155" s="2" t="s">
        <v>44</v>
      </c>
      <c r="AA4155" s="2"/>
      <c r="AB4155" s="2"/>
      <c r="AC4155" s="2" t="s">
        <v>31186</v>
      </c>
      <c r="AD4155" s="2" t="s">
        <v>46</v>
      </c>
    </row>
    <row r="4156" customFormat="false" ht="15.7" hidden="false" customHeight="true" outlineLevel="0" collapsed="false">
      <c r="A4156" s="2"/>
      <c r="B4156" s="3" t="n">
        <f aca="false">DATE(2019,4,17)</f>
        <v>0</v>
      </c>
      <c r="C4156" s="3" t="n">
        <v>43572</v>
      </c>
      <c r="D4156" s="2" t="s">
        <v>31187</v>
      </c>
      <c r="F4156" s="2" t="s">
        <v>31188</v>
      </c>
      <c r="G4156" s="2" t="s">
        <v>31189</v>
      </c>
      <c r="H4156" s="2" t="s">
        <v>5378</v>
      </c>
      <c r="I4156" s="2" t="s">
        <v>388</v>
      </c>
      <c r="J4156" s="2" t="s">
        <v>203</v>
      </c>
      <c r="K4156" s="2" t="s">
        <v>31187</v>
      </c>
      <c r="L4156" s="2" t="s">
        <v>388</v>
      </c>
      <c r="M4156" s="2" t="s">
        <v>5378</v>
      </c>
      <c r="N4156" s="2" t="s">
        <v>31190</v>
      </c>
      <c r="O4156" s="2"/>
      <c r="P4156" s="2" t="s">
        <v>37</v>
      </c>
      <c r="Q4156" s="4" t="n">
        <v>8731</v>
      </c>
      <c r="R4156" s="2" t="s">
        <v>136</v>
      </c>
      <c r="S4156" s="2" t="s">
        <v>39</v>
      </c>
      <c r="T4156" s="2" t="s">
        <v>40</v>
      </c>
      <c r="U4156" s="2" t="s">
        <v>31191</v>
      </c>
      <c r="V4156" s="2"/>
      <c r="W4156" s="2" t="s">
        <v>1050</v>
      </c>
      <c r="X4156" s="2" t="s">
        <v>43</v>
      </c>
      <c r="Y4156" s="2" t="s">
        <v>37</v>
      </c>
      <c r="Z4156" s="2" t="s">
        <v>44</v>
      </c>
      <c r="AA4156" s="2"/>
      <c r="AB4156" s="2"/>
      <c r="AC4156" s="2" t="s">
        <v>31192</v>
      </c>
      <c r="AD4156" s="2" t="s">
        <v>46</v>
      </c>
    </row>
    <row r="4157" customFormat="false" ht="15.7" hidden="false" customHeight="true" outlineLevel="0" collapsed="false">
      <c r="A4157" s="2"/>
      <c r="B4157" s="3" t="n">
        <f aca="false">DATE(2019,4,18)</f>
        <v>0</v>
      </c>
      <c r="C4157" s="3" t="n">
        <v>43573</v>
      </c>
      <c r="D4157" s="2" t="s">
        <v>31193</v>
      </c>
      <c r="F4157" s="2" t="s">
        <v>31194</v>
      </c>
      <c r="G4157" s="2" t="s">
        <v>31195</v>
      </c>
      <c r="H4157" s="2" t="s">
        <v>31196</v>
      </c>
      <c r="I4157" s="2" t="s">
        <v>51</v>
      </c>
      <c r="J4157" s="2" t="s">
        <v>4919</v>
      </c>
      <c r="K4157" s="2" t="s">
        <v>31193</v>
      </c>
      <c r="L4157" s="2" t="s">
        <v>51</v>
      </c>
      <c r="M4157" s="2" t="s">
        <v>31196</v>
      </c>
      <c r="N4157" s="2" t="s">
        <v>31197</v>
      </c>
      <c r="O4157" s="2"/>
      <c r="P4157" s="2" t="s">
        <v>37</v>
      </c>
      <c r="Q4157" s="4" t="n">
        <v>8731</v>
      </c>
      <c r="R4157" s="2" t="s">
        <v>56</v>
      </c>
      <c r="S4157" s="2"/>
      <c r="T4157" s="2" t="s">
        <v>40</v>
      </c>
      <c r="U4157" s="2" t="s">
        <v>31198</v>
      </c>
      <c r="V4157" s="2"/>
      <c r="W4157" s="2" t="s">
        <v>344</v>
      </c>
      <c r="X4157" s="2" t="s">
        <v>43</v>
      </c>
      <c r="Y4157" s="2" t="s">
        <v>37</v>
      </c>
      <c r="Z4157" s="2" t="s">
        <v>44</v>
      </c>
      <c r="AA4157" s="2"/>
      <c r="AB4157" s="2"/>
      <c r="AC4157" s="2" t="s">
        <v>31199</v>
      </c>
      <c r="AD4157" s="2" t="s">
        <v>46</v>
      </c>
    </row>
    <row r="4158" customFormat="false" ht="15.7" hidden="false" customHeight="true" outlineLevel="0" collapsed="false">
      <c r="A4158" s="2"/>
      <c r="B4158" s="3" t="n">
        <f aca="false">DATE(2019,4,18)</f>
        <v>0</v>
      </c>
      <c r="C4158" s="3" t="n">
        <v>43573</v>
      </c>
      <c r="D4158" s="2" t="s">
        <v>31200</v>
      </c>
      <c r="F4158" s="2" t="s">
        <v>20650</v>
      </c>
      <c r="G4158" s="2" t="s">
        <v>31201</v>
      </c>
      <c r="H4158" s="2" t="s">
        <v>130</v>
      </c>
      <c r="I4158" s="2" t="s">
        <v>31202</v>
      </c>
      <c r="J4158" s="2" t="s">
        <v>35</v>
      </c>
      <c r="K4158" s="2" t="s">
        <v>31200</v>
      </c>
      <c r="L4158" s="2" t="s">
        <v>31202</v>
      </c>
      <c r="M4158" s="2" t="s">
        <v>130</v>
      </c>
      <c r="N4158" s="2" t="s">
        <v>31203</v>
      </c>
      <c r="O4158" s="2"/>
      <c r="P4158" s="2" t="s">
        <v>37</v>
      </c>
      <c r="Q4158" s="4" t="n">
        <v>8731</v>
      </c>
      <c r="R4158" s="2" t="s">
        <v>5704</v>
      </c>
      <c r="S4158" s="2" t="s">
        <v>39</v>
      </c>
      <c r="T4158" s="2" t="s">
        <v>40</v>
      </c>
      <c r="U4158" s="2" t="s">
        <v>31204</v>
      </c>
      <c r="V4158" s="2"/>
      <c r="W4158" s="2" t="s">
        <v>31205</v>
      </c>
      <c r="X4158" s="2" t="s">
        <v>43</v>
      </c>
      <c r="Y4158" s="2" t="s">
        <v>37</v>
      </c>
      <c r="Z4158" s="2" t="s">
        <v>44</v>
      </c>
      <c r="AA4158" s="2"/>
      <c r="AB4158" s="2"/>
      <c r="AC4158" s="2" t="s">
        <v>31206</v>
      </c>
      <c r="AD4158" s="2" t="s">
        <v>46</v>
      </c>
    </row>
    <row r="4159" customFormat="false" ht="15.7" hidden="false" customHeight="true" outlineLevel="0" collapsed="false">
      <c r="A4159" s="2"/>
      <c r="B4159" s="3" t="n">
        <f aca="false">DATE(2019,4,18)</f>
        <v>0</v>
      </c>
      <c r="C4159" s="3" t="n">
        <v>43573</v>
      </c>
      <c r="D4159" s="2" t="s">
        <v>31207</v>
      </c>
      <c r="F4159" s="2" t="s">
        <v>28026</v>
      </c>
      <c r="G4159" s="2" t="s">
        <v>31208</v>
      </c>
      <c r="H4159" s="2" t="s">
        <v>28028</v>
      </c>
      <c r="I4159" s="2" t="s">
        <v>51</v>
      </c>
      <c r="J4159" s="2" t="s">
        <v>31209</v>
      </c>
      <c r="K4159" s="2" t="s">
        <v>31207</v>
      </c>
      <c r="L4159" s="2" t="s">
        <v>51</v>
      </c>
      <c r="M4159" s="2" t="s">
        <v>28028</v>
      </c>
      <c r="N4159" s="2" t="s">
        <v>31210</v>
      </c>
      <c r="O4159" s="2"/>
      <c r="P4159" s="2" t="s">
        <v>37</v>
      </c>
      <c r="Q4159" s="4" t="n">
        <v>8731</v>
      </c>
      <c r="R4159" s="2" t="s">
        <v>56</v>
      </c>
      <c r="S4159" s="2"/>
      <c r="T4159" s="2" t="s">
        <v>403</v>
      </c>
      <c r="U4159" s="2" t="s">
        <v>31211</v>
      </c>
      <c r="V4159" s="2"/>
      <c r="W4159" s="2" t="s">
        <v>42</v>
      </c>
      <c r="X4159" s="2" t="s">
        <v>43</v>
      </c>
      <c r="Y4159" s="2" t="s">
        <v>37</v>
      </c>
      <c r="Z4159" s="2" t="s">
        <v>44</v>
      </c>
      <c r="AA4159" s="2"/>
      <c r="AB4159" s="2"/>
      <c r="AC4159" s="2" t="s">
        <v>31212</v>
      </c>
      <c r="AD4159" s="2" t="s">
        <v>46</v>
      </c>
    </row>
    <row r="4160" customFormat="false" ht="15.7" hidden="false" customHeight="true" outlineLevel="0" collapsed="false">
      <c r="A4160" s="2"/>
      <c r="B4160" s="3" t="n">
        <f aca="false">DATE(2019,4,18)</f>
        <v>0</v>
      </c>
      <c r="C4160" s="3" t="n">
        <v>43573</v>
      </c>
      <c r="D4160" s="2" t="s">
        <v>31213</v>
      </c>
      <c r="F4160" s="2" t="s">
        <v>31214</v>
      </c>
      <c r="G4160" s="2" t="s">
        <v>31215</v>
      </c>
      <c r="H4160" s="2" t="s">
        <v>31216</v>
      </c>
      <c r="I4160" s="2" t="s">
        <v>4325</v>
      </c>
      <c r="J4160" s="2" t="s">
        <v>35</v>
      </c>
      <c r="K4160" s="2" t="s">
        <v>31217</v>
      </c>
      <c r="L4160" s="2" t="s">
        <v>4325</v>
      </c>
      <c r="M4160" s="2" t="s">
        <v>31218</v>
      </c>
      <c r="N4160" s="2" t="s">
        <v>31219</v>
      </c>
      <c r="O4160" s="2" t="s">
        <v>31220</v>
      </c>
      <c r="P4160" s="2" t="s">
        <v>37</v>
      </c>
      <c r="Q4160" s="4" t="n">
        <v>8731</v>
      </c>
      <c r="R4160" s="2" t="s">
        <v>402</v>
      </c>
      <c r="S4160" s="2" t="s">
        <v>39</v>
      </c>
      <c r="T4160" s="2" t="s">
        <v>40</v>
      </c>
      <c r="U4160" s="2" t="s">
        <v>31221</v>
      </c>
      <c r="V4160" s="2"/>
      <c r="W4160" s="2" t="s">
        <v>138</v>
      </c>
      <c r="X4160" s="2" t="s">
        <v>46</v>
      </c>
      <c r="Y4160" s="2" t="s">
        <v>37</v>
      </c>
      <c r="Z4160" s="2" t="s">
        <v>44</v>
      </c>
      <c r="AA4160" s="2" t="s">
        <v>31222</v>
      </c>
      <c r="AB4160" s="2" t="s">
        <v>31223</v>
      </c>
      <c r="AC4160" s="2" t="s">
        <v>31224</v>
      </c>
      <c r="AD4160" s="2" t="s">
        <v>46</v>
      </c>
    </row>
    <row r="4161" customFormat="false" ht="15.7" hidden="false" customHeight="true" outlineLevel="0" collapsed="false">
      <c r="A4161" s="2"/>
      <c r="B4161" s="3" t="n">
        <f aca="false">DATE(2019,4,22)</f>
        <v>0</v>
      </c>
      <c r="C4161" s="3" t="n">
        <v>43577</v>
      </c>
      <c r="D4161" s="2" t="s">
        <v>31225</v>
      </c>
      <c r="F4161" s="2" t="s">
        <v>20650</v>
      </c>
      <c r="G4161" s="2" t="s">
        <v>31226</v>
      </c>
      <c r="H4161" s="2" t="s">
        <v>130</v>
      </c>
      <c r="I4161" s="2" t="s">
        <v>821</v>
      </c>
      <c r="J4161" s="2" t="s">
        <v>6170</v>
      </c>
      <c r="K4161" s="2" t="s">
        <v>31225</v>
      </c>
      <c r="L4161" s="2" t="s">
        <v>821</v>
      </c>
      <c r="M4161" s="2" t="s">
        <v>130</v>
      </c>
      <c r="N4161" s="2" t="s">
        <v>31227</v>
      </c>
      <c r="O4161" s="2"/>
      <c r="P4161" s="2" t="s">
        <v>37</v>
      </c>
      <c r="Q4161" s="4" t="n">
        <v>8731</v>
      </c>
      <c r="R4161" s="2" t="s">
        <v>56</v>
      </c>
      <c r="S4161" s="2" t="s">
        <v>10955</v>
      </c>
      <c r="T4161" s="2" t="s">
        <v>40</v>
      </c>
      <c r="U4161" s="2" t="s">
        <v>31228</v>
      </c>
      <c r="V4161" s="2"/>
      <c r="W4161" s="2" t="s">
        <v>31229</v>
      </c>
      <c r="X4161" s="2" t="s">
        <v>43</v>
      </c>
      <c r="Y4161" s="2" t="s">
        <v>37</v>
      </c>
      <c r="Z4161" s="2" t="s">
        <v>44</v>
      </c>
      <c r="AA4161" s="2"/>
      <c r="AB4161" s="2"/>
      <c r="AC4161" s="2" t="s">
        <v>31230</v>
      </c>
      <c r="AD4161" s="2" t="s">
        <v>46</v>
      </c>
    </row>
    <row r="4162" customFormat="false" ht="15.7" hidden="false" customHeight="true" outlineLevel="0" collapsed="false">
      <c r="A4162" s="2"/>
      <c r="B4162" s="3" t="n">
        <f aca="false">DATE(2019,4,22)</f>
        <v>0</v>
      </c>
      <c r="C4162" s="3" t="n">
        <v>43577</v>
      </c>
      <c r="D4162" s="2" t="s">
        <v>31231</v>
      </c>
      <c r="F4162" s="2" t="s">
        <v>23416</v>
      </c>
      <c r="G4162" s="2" t="s">
        <v>31232</v>
      </c>
      <c r="H4162" s="2" t="s">
        <v>523</v>
      </c>
      <c r="I4162" s="2" t="s">
        <v>51</v>
      </c>
      <c r="J4162" s="2" t="s">
        <v>6006</v>
      </c>
      <c r="K4162" s="2" t="s">
        <v>31231</v>
      </c>
      <c r="L4162" s="2" t="s">
        <v>51</v>
      </c>
      <c r="M4162" s="2" t="s">
        <v>523</v>
      </c>
      <c r="N4162" s="2" t="s">
        <v>31233</v>
      </c>
      <c r="O4162" s="2"/>
      <c r="P4162" s="2" t="s">
        <v>79</v>
      </c>
      <c r="Q4162" s="4" t="n">
        <v>6794</v>
      </c>
      <c r="R4162" s="2" t="s">
        <v>56</v>
      </c>
      <c r="S4162" s="2" t="s">
        <v>8043</v>
      </c>
      <c r="T4162" s="2" t="s">
        <v>40</v>
      </c>
      <c r="U4162" s="2" t="s">
        <v>31234</v>
      </c>
      <c r="V4162" s="2"/>
      <c r="W4162" s="2" t="s">
        <v>24466</v>
      </c>
      <c r="X4162" s="2" t="s">
        <v>43</v>
      </c>
      <c r="Y4162" s="2" t="s">
        <v>37</v>
      </c>
      <c r="Z4162" s="2" t="s">
        <v>44</v>
      </c>
      <c r="AA4162" s="2"/>
      <c r="AB4162" s="2"/>
      <c r="AC4162" s="2" t="s">
        <v>31235</v>
      </c>
      <c r="AD4162" s="2" t="s">
        <v>46</v>
      </c>
    </row>
    <row r="4163" customFormat="false" ht="15.7" hidden="false" customHeight="true" outlineLevel="0" collapsed="false">
      <c r="A4163" s="2"/>
      <c r="B4163" s="3" t="n">
        <f aca="false">DATE(2019,4,23)</f>
        <v>0</v>
      </c>
      <c r="C4163" s="3" t="n">
        <v>43578</v>
      </c>
      <c r="D4163" s="2" t="s">
        <v>31236</v>
      </c>
      <c r="F4163" s="2" t="s">
        <v>31237</v>
      </c>
      <c r="G4163" s="2" t="s">
        <v>31238</v>
      </c>
      <c r="H4163" s="2" t="s">
        <v>31239</v>
      </c>
      <c r="I4163" s="2" t="s">
        <v>31240</v>
      </c>
      <c r="J4163" s="2" t="s">
        <v>35</v>
      </c>
      <c r="K4163" s="2" t="s">
        <v>31236</v>
      </c>
      <c r="L4163" s="2" t="s">
        <v>31240</v>
      </c>
      <c r="M4163" s="2" t="s">
        <v>31239</v>
      </c>
      <c r="N4163" s="2" t="s">
        <v>31241</v>
      </c>
      <c r="O4163" s="2"/>
      <c r="P4163" s="2" t="s">
        <v>37</v>
      </c>
      <c r="Q4163" s="4" t="n">
        <v>7372</v>
      </c>
      <c r="R4163" s="2" t="s">
        <v>2165</v>
      </c>
      <c r="S4163" s="2" t="s">
        <v>39</v>
      </c>
      <c r="T4163" s="2" t="s">
        <v>403</v>
      </c>
      <c r="U4163" s="2" t="s">
        <v>31242</v>
      </c>
      <c r="V4163" s="2"/>
      <c r="W4163" s="2" t="s">
        <v>31243</v>
      </c>
      <c r="X4163" s="2" t="s">
        <v>46</v>
      </c>
      <c r="Y4163" s="2" t="s">
        <v>37</v>
      </c>
      <c r="Z4163" s="2" t="s">
        <v>44</v>
      </c>
      <c r="AA4163" s="2"/>
      <c r="AB4163" s="2"/>
      <c r="AC4163" s="2" t="s">
        <v>31244</v>
      </c>
      <c r="AD4163" s="2" t="s">
        <v>46</v>
      </c>
    </row>
    <row r="4164" customFormat="false" ht="15.7" hidden="false" customHeight="true" outlineLevel="0" collapsed="false">
      <c r="A4164" s="2"/>
      <c r="B4164" s="3" t="n">
        <f aca="false">DATE(2019,4,23)</f>
        <v>0</v>
      </c>
      <c r="C4164" s="3" t="n">
        <v>43578</v>
      </c>
      <c r="D4164" s="2" t="s">
        <v>31245</v>
      </c>
      <c r="F4164" s="2" t="s">
        <v>31246</v>
      </c>
      <c r="G4164" s="2" t="s">
        <v>31247</v>
      </c>
      <c r="H4164" s="2" t="s">
        <v>31248</v>
      </c>
      <c r="I4164" s="2" t="s">
        <v>2727</v>
      </c>
      <c r="J4164" s="2" t="s">
        <v>35</v>
      </c>
      <c r="K4164" s="2" t="s">
        <v>31245</v>
      </c>
      <c r="L4164" s="2" t="s">
        <v>2727</v>
      </c>
      <c r="M4164" s="2" t="s">
        <v>31248</v>
      </c>
      <c r="N4164" s="2" t="s">
        <v>31249</v>
      </c>
      <c r="O4164" s="2"/>
      <c r="P4164" s="2" t="s">
        <v>37</v>
      </c>
      <c r="Q4164" s="4" t="n">
        <v>8731</v>
      </c>
      <c r="R4164" s="2" t="s">
        <v>402</v>
      </c>
      <c r="S4164" s="2" t="s">
        <v>39</v>
      </c>
      <c r="T4164" s="2" t="s">
        <v>403</v>
      </c>
      <c r="U4164" s="2" t="s">
        <v>31250</v>
      </c>
      <c r="V4164" s="2"/>
      <c r="W4164" s="2" t="s">
        <v>42</v>
      </c>
      <c r="X4164" s="2" t="s">
        <v>46</v>
      </c>
      <c r="Y4164" s="2" t="s">
        <v>37</v>
      </c>
      <c r="Z4164" s="2" t="s">
        <v>44</v>
      </c>
      <c r="AA4164" s="2"/>
      <c r="AB4164" s="2"/>
      <c r="AC4164" s="2" t="s">
        <v>31251</v>
      </c>
      <c r="AD4164" s="2" t="s">
        <v>46</v>
      </c>
    </row>
    <row r="4165" customFormat="false" ht="15.7" hidden="false" customHeight="true" outlineLevel="0" collapsed="false">
      <c r="A4165" s="2"/>
      <c r="B4165" s="3" t="n">
        <f aca="false">DATE(2019,4,24)</f>
        <v>0</v>
      </c>
      <c r="C4165" s="3" t="n">
        <v>43579</v>
      </c>
      <c r="D4165" s="2" t="s">
        <v>31252</v>
      </c>
      <c r="F4165" s="2" t="s">
        <v>31253</v>
      </c>
      <c r="G4165" s="2" t="s">
        <v>31254</v>
      </c>
      <c r="H4165" s="2" t="s">
        <v>7184</v>
      </c>
      <c r="I4165" s="2" t="s">
        <v>31255</v>
      </c>
      <c r="J4165" s="2" t="s">
        <v>35</v>
      </c>
      <c r="K4165" s="2" t="s">
        <v>31252</v>
      </c>
      <c r="L4165" s="2" t="s">
        <v>31255</v>
      </c>
      <c r="M4165" s="2" t="s">
        <v>7184</v>
      </c>
      <c r="N4165" s="2" t="s">
        <v>31256</v>
      </c>
      <c r="O4165" s="2"/>
      <c r="P4165" s="2" t="s">
        <v>37</v>
      </c>
      <c r="Q4165" s="4" t="n">
        <v>8731</v>
      </c>
      <c r="R4165" s="2" t="s">
        <v>136</v>
      </c>
      <c r="S4165" s="2" t="s">
        <v>39</v>
      </c>
      <c r="T4165" s="2" t="s">
        <v>40</v>
      </c>
      <c r="U4165" s="2" t="s">
        <v>31257</v>
      </c>
      <c r="V4165" s="2"/>
      <c r="W4165" s="2" t="s">
        <v>42</v>
      </c>
      <c r="X4165" s="2" t="s">
        <v>43</v>
      </c>
      <c r="Y4165" s="2" t="s">
        <v>37</v>
      </c>
      <c r="Z4165" s="2" t="s">
        <v>44</v>
      </c>
      <c r="AA4165" s="2"/>
      <c r="AB4165" s="2"/>
      <c r="AC4165" s="2" t="s">
        <v>31258</v>
      </c>
      <c r="AD4165" s="2" t="s">
        <v>46</v>
      </c>
    </row>
    <row r="4166" customFormat="false" ht="15.7" hidden="false" customHeight="true" outlineLevel="0" collapsed="false">
      <c r="A4166" s="2"/>
      <c r="B4166" s="3" t="n">
        <f aca="false">DATE(2019,4,24)</f>
        <v>0</v>
      </c>
      <c r="C4166" s="3" t="n">
        <v>43579</v>
      </c>
      <c r="D4166" s="2" t="s">
        <v>31259</v>
      </c>
      <c r="F4166" s="2" t="s">
        <v>347</v>
      </c>
      <c r="G4166" s="2" t="s">
        <v>31260</v>
      </c>
      <c r="H4166" s="2" t="s">
        <v>63</v>
      </c>
      <c r="I4166" s="2" t="s">
        <v>88</v>
      </c>
      <c r="J4166" s="2" t="s">
        <v>65</v>
      </c>
      <c r="K4166" s="2" t="s">
        <v>31261</v>
      </c>
      <c r="L4166" s="2" t="s">
        <v>88</v>
      </c>
      <c r="M4166" s="2" t="s">
        <v>63</v>
      </c>
      <c r="N4166" s="2" t="s">
        <v>31262</v>
      </c>
      <c r="O4166" s="2"/>
      <c r="P4166" s="2" t="s">
        <v>37</v>
      </c>
      <c r="Q4166" s="4" t="n">
        <v>8731</v>
      </c>
      <c r="R4166" s="2" t="s">
        <v>136</v>
      </c>
      <c r="S4166" s="2" t="s">
        <v>39</v>
      </c>
      <c r="T4166" s="2" t="s">
        <v>40</v>
      </c>
      <c r="U4166" s="2" t="s">
        <v>31263</v>
      </c>
      <c r="V4166" s="2"/>
      <c r="W4166" s="2" t="s">
        <v>42</v>
      </c>
      <c r="X4166" s="2" t="s">
        <v>43</v>
      </c>
      <c r="Y4166" s="2" t="s">
        <v>37</v>
      </c>
      <c r="Z4166" s="2" t="s">
        <v>44</v>
      </c>
      <c r="AA4166" s="2"/>
      <c r="AB4166" s="2"/>
      <c r="AC4166" s="2" t="s">
        <v>31264</v>
      </c>
      <c r="AD4166" s="2" t="s">
        <v>46</v>
      </c>
    </row>
    <row r="4167" customFormat="false" ht="15.7" hidden="false" customHeight="true" outlineLevel="0" collapsed="false">
      <c r="A4167" s="2"/>
      <c r="B4167" s="3" t="n">
        <f aca="false">DATE(2019,4,24)</f>
        <v>0</v>
      </c>
      <c r="C4167" s="3" t="n">
        <v>43579</v>
      </c>
      <c r="D4167" s="2" t="s">
        <v>31265</v>
      </c>
      <c r="F4167" s="2" t="s">
        <v>31266</v>
      </c>
      <c r="G4167" s="2" t="s">
        <v>31267</v>
      </c>
      <c r="H4167" s="2" t="s">
        <v>31268</v>
      </c>
      <c r="I4167" s="2" t="s">
        <v>51</v>
      </c>
      <c r="J4167" s="2" t="s">
        <v>30663</v>
      </c>
      <c r="K4167" s="2" t="s">
        <v>31265</v>
      </c>
      <c r="L4167" s="2" t="s">
        <v>51</v>
      </c>
      <c r="M4167" s="2" t="s">
        <v>31268</v>
      </c>
      <c r="N4167" s="2" t="s">
        <v>31269</v>
      </c>
      <c r="O4167" s="2"/>
      <c r="P4167" s="2" t="s">
        <v>37</v>
      </c>
      <c r="Q4167" s="4" t="n">
        <v>8731</v>
      </c>
      <c r="R4167" s="2" t="s">
        <v>56</v>
      </c>
      <c r="S4167" s="2"/>
      <c r="T4167" s="2" t="s">
        <v>403</v>
      </c>
      <c r="U4167" s="2" t="s">
        <v>31270</v>
      </c>
      <c r="V4167" s="2"/>
      <c r="W4167" s="2" t="s">
        <v>42</v>
      </c>
      <c r="X4167" s="2" t="s">
        <v>43</v>
      </c>
      <c r="Y4167" s="2" t="s">
        <v>37</v>
      </c>
      <c r="Z4167" s="2" t="s">
        <v>44</v>
      </c>
      <c r="AA4167" s="2"/>
      <c r="AB4167" s="2"/>
      <c r="AC4167" s="2" t="s">
        <v>31271</v>
      </c>
      <c r="AD4167" s="2" t="s">
        <v>46</v>
      </c>
    </row>
    <row r="4168" customFormat="false" ht="15.7" hidden="false" customHeight="true" outlineLevel="0" collapsed="false">
      <c r="A4168" s="2"/>
      <c r="B4168" s="3" t="n">
        <f aca="false">DATE(2019,4,24)</f>
        <v>0</v>
      </c>
      <c r="C4168" s="3" t="n">
        <v>43579</v>
      </c>
      <c r="D4168" s="2" t="s">
        <v>31272</v>
      </c>
      <c r="F4168" s="2" t="s">
        <v>31273</v>
      </c>
      <c r="G4168" s="2" t="s">
        <v>31274</v>
      </c>
      <c r="H4168" s="2" t="s">
        <v>31275</v>
      </c>
      <c r="I4168" s="2" t="s">
        <v>31276</v>
      </c>
      <c r="J4168" s="2" t="s">
        <v>31277</v>
      </c>
      <c r="K4168" s="2" t="s">
        <v>31272</v>
      </c>
      <c r="L4168" s="2" t="s">
        <v>31276</v>
      </c>
      <c r="M4168" s="2" t="s">
        <v>31275</v>
      </c>
      <c r="N4168" s="2" t="s">
        <v>31278</v>
      </c>
      <c r="O4168" s="2"/>
      <c r="P4168" s="2" t="s">
        <v>37</v>
      </c>
      <c r="Q4168" s="4" t="n">
        <v>8731</v>
      </c>
      <c r="R4168" s="2" t="s">
        <v>136</v>
      </c>
      <c r="S4168" s="2" t="s">
        <v>39</v>
      </c>
      <c r="T4168" s="2" t="s">
        <v>403</v>
      </c>
      <c r="U4168" s="2" t="s">
        <v>31279</v>
      </c>
      <c r="V4168" s="2"/>
      <c r="W4168" s="2" t="s">
        <v>42</v>
      </c>
      <c r="X4168" s="2" t="s">
        <v>43</v>
      </c>
      <c r="Y4168" s="2" t="s">
        <v>37</v>
      </c>
      <c r="Z4168" s="2" t="s">
        <v>4053</v>
      </c>
      <c r="AA4168" s="2"/>
      <c r="AB4168" s="2"/>
      <c r="AC4168" s="2" t="s">
        <v>31280</v>
      </c>
      <c r="AD4168" s="2" t="s">
        <v>46</v>
      </c>
    </row>
    <row r="4169" customFormat="false" ht="15.7" hidden="false" customHeight="true" outlineLevel="0" collapsed="false">
      <c r="A4169" s="2"/>
      <c r="B4169" s="3" t="n">
        <f aca="false">DATE(2019,4,24)</f>
        <v>0</v>
      </c>
      <c r="C4169" s="3" t="n">
        <v>43579</v>
      </c>
      <c r="D4169" s="2" t="s">
        <v>31281</v>
      </c>
      <c r="F4169" s="2" t="s">
        <v>20650</v>
      </c>
      <c r="G4169" s="2" t="s">
        <v>31282</v>
      </c>
      <c r="H4169" s="2" t="s">
        <v>130</v>
      </c>
      <c r="I4169" s="2" t="s">
        <v>388</v>
      </c>
      <c r="J4169" s="2" t="s">
        <v>625</v>
      </c>
      <c r="K4169" s="2" t="s">
        <v>31281</v>
      </c>
      <c r="L4169" s="2" t="s">
        <v>388</v>
      </c>
      <c r="M4169" s="2" t="s">
        <v>130</v>
      </c>
      <c r="N4169" s="2" t="s">
        <v>31283</v>
      </c>
      <c r="O4169" s="2"/>
      <c r="P4169" s="2" t="s">
        <v>79</v>
      </c>
      <c r="Q4169" s="4" t="n">
        <v>6794</v>
      </c>
      <c r="R4169" s="2" t="s">
        <v>136</v>
      </c>
      <c r="S4169" s="2" t="s">
        <v>39</v>
      </c>
      <c r="T4169" s="2" t="s">
        <v>40</v>
      </c>
      <c r="U4169" s="2" t="s">
        <v>31284</v>
      </c>
      <c r="V4169" s="2"/>
      <c r="W4169" s="2" t="s">
        <v>206</v>
      </c>
      <c r="X4169" s="2" t="s">
        <v>43</v>
      </c>
      <c r="Y4169" s="2" t="s">
        <v>37</v>
      </c>
      <c r="Z4169" s="2" t="s">
        <v>44</v>
      </c>
      <c r="AA4169" s="2"/>
      <c r="AB4169" s="2"/>
      <c r="AC4169" s="2" t="s">
        <v>31285</v>
      </c>
      <c r="AD4169" s="2" t="s">
        <v>46</v>
      </c>
    </row>
    <row r="4170" customFormat="false" ht="15.7" hidden="false" customHeight="true" outlineLevel="0" collapsed="false">
      <c r="A4170" s="2"/>
      <c r="B4170" s="3" t="n">
        <f aca="false">DATE(2019,4,24)</f>
        <v>0</v>
      </c>
      <c r="C4170" s="3" t="n">
        <v>43579</v>
      </c>
      <c r="D4170" s="2" t="s">
        <v>31286</v>
      </c>
      <c r="F4170" s="2" t="s">
        <v>31287</v>
      </c>
      <c r="G4170" s="2" t="s">
        <v>31288</v>
      </c>
      <c r="H4170" s="2" t="s">
        <v>1020</v>
      </c>
      <c r="I4170" s="2" t="s">
        <v>8387</v>
      </c>
      <c r="J4170" s="2" t="s">
        <v>35</v>
      </c>
      <c r="K4170" s="2" t="s">
        <v>31286</v>
      </c>
      <c r="L4170" s="2" t="s">
        <v>8387</v>
      </c>
      <c r="M4170" s="2" t="s">
        <v>1020</v>
      </c>
      <c r="N4170" s="2" t="s">
        <v>31289</v>
      </c>
      <c r="O4170" s="2"/>
      <c r="P4170" s="2" t="s">
        <v>37</v>
      </c>
      <c r="Q4170" s="4" t="n">
        <v>8731</v>
      </c>
      <c r="R4170" s="2" t="s">
        <v>1402</v>
      </c>
      <c r="S4170" s="2" t="s">
        <v>39</v>
      </c>
      <c r="T4170" s="2" t="s">
        <v>403</v>
      </c>
      <c r="U4170" s="2" t="s">
        <v>31290</v>
      </c>
      <c r="V4170" s="2"/>
      <c r="W4170" s="2" t="s">
        <v>42</v>
      </c>
      <c r="X4170" s="2" t="s">
        <v>43</v>
      </c>
      <c r="Y4170" s="2" t="s">
        <v>37</v>
      </c>
      <c r="Z4170" s="2" t="s">
        <v>44</v>
      </c>
      <c r="AA4170" s="2"/>
      <c r="AB4170" s="2"/>
      <c r="AC4170" s="2" t="s">
        <v>31291</v>
      </c>
      <c r="AD4170" s="2" t="s">
        <v>46</v>
      </c>
    </row>
    <row r="4171" customFormat="false" ht="15.7" hidden="false" customHeight="true" outlineLevel="0" collapsed="false">
      <c r="A4171" s="2"/>
      <c r="B4171" s="3" t="n">
        <f aca="false">DATE(2019,4,24)</f>
        <v>0</v>
      </c>
      <c r="C4171" s="3" t="n">
        <v>43579</v>
      </c>
      <c r="D4171" s="2" t="s">
        <v>31292</v>
      </c>
      <c r="F4171" s="2" t="s">
        <v>18436</v>
      </c>
      <c r="G4171" s="2" t="s">
        <v>31293</v>
      </c>
      <c r="H4171" s="2" t="s">
        <v>762</v>
      </c>
      <c r="I4171" s="2" t="s">
        <v>11507</v>
      </c>
      <c r="J4171" s="2" t="s">
        <v>35</v>
      </c>
      <c r="K4171" s="2" t="s">
        <v>31292</v>
      </c>
      <c r="L4171" s="2" t="s">
        <v>11507</v>
      </c>
      <c r="M4171" s="2" t="s">
        <v>762</v>
      </c>
      <c r="N4171" s="2" t="s">
        <v>31294</v>
      </c>
      <c r="O4171" s="2"/>
      <c r="P4171" s="2" t="s">
        <v>79</v>
      </c>
      <c r="Q4171" s="4" t="n">
        <v>6794</v>
      </c>
      <c r="R4171" s="2" t="s">
        <v>136</v>
      </c>
      <c r="S4171" s="2" t="s">
        <v>39</v>
      </c>
      <c r="T4171" s="2" t="s">
        <v>40</v>
      </c>
      <c r="U4171" s="2" t="s">
        <v>31295</v>
      </c>
      <c r="V4171" s="2"/>
      <c r="W4171" s="2" t="s">
        <v>82</v>
      </c>
      <c r="X4171" s="2" t="s">
        <v>43</v>
      </c>
      <c r="Y4171" s="2" t="s">
        <v>37</v>
      </c>
      <c r="Z4171" s="2" t="s">
        <v>44</v>
      </c>
      <c r="AA4171" s="2"/>
      <c r="AB4171" s="2"/>
      <c r="AC4171" s="2" t="s">
        <v>31296</v>
      </c>
      <c r="AD4171" s="2" t="s">
        <v>46</v>
      </c>
    </row>
    <row r="4172" customFormat="false" ht="15.7" hidden="false" customHeight="true" outlineLevel="0" collapsed="false">
      <c r="A4172" s="2"/>
      <c r="B4172" s="3" t="n">
        <f aca="false">DATE(2019,4,25)</f>
        <v>0</v>
      </c>
      <c r="C4172" s="3" t="n">
        <v>43580</v>
      </c>
      <c r="D4172" s="2" t="s">
        <v>31297</v>
      </c>
      <c r="F4172" s="2" t="s">
        <v>24385</v>
      </c>
      <c r="G4172" s="2" t="s">
        <v>31298</v>
      </c>
      <c r="H4172" s="2" t="s">
        <v>898</v>
      </c>
      <c r="I4172" s="2" t="s">
        <v>664</v>
      </c>
      <c r="J4172" s="2" t="s">
        <v>966</v>
      </c>
      <c r="K4172" s="2" t="s">
        <v>31299</v>
      </c>
      <c r="L4172" s="2" t="s">
        <v>8351</v>
      </c>
      <c r="M4172" s="2" t="s">
        <v>3717</v>
      </c>
      <c r="N4172" s="2" t="s">
        <v>31300</v>
      </c>
      <c r="O4172" s="2"/>
      <c r="P4172" s="2" t="s">
        <v>37</v>
      </c>
      <c r="Q4172" s="4" t="n">
        <v>6794</v>
      </c>
      <c r="R4172" s="2" t="s">
        <v>56</v>
      </c>
      <c r="S4172" s="2"/>
      <c r="T4172" s="2" t="s">
        <v>40</v>
      </c>
      <c r="U4172" s="2" t="s">
        <v>31301</v>
      </c>
      <c r="V4172" s="2"/>
      <c r="W4172" s="2" t="s">
        <v>253</v>
      </c>
      <c r="X4172" s="2" t="s">
        <v>43</v>
      </c>
      <c r="Y4172" s="2" t="s">
        <v>37</v>
      </c>
      <c r="Z4172" s="2" t="s">
        <v>44</v>
      </c>
      <c r="AA4172" s="2"/>
      <c r="AB4172" s="2"/>
      <c r="AC4172" s="2" t="s">
        <v>31302</v>
      </c>
      <c r="AD4172" s="2" t="s">
        <v>46</v>
      </c>
    </row>
    <row r="4173" customFormat="false" ht="15.7" hidden="false" customHeight="true" outlineLevel="0" collapsed="false">
      <c r="A4173" s="2"/>
      <c r="B4173" s="3" t="n">
        <f aca="false">DATE(2019,4,25)</f>
        <v>0</v>
      </c>
      <c r="C4173" s="3" t="n">
        <v>43580</v>
      </c>
      <c r="D4173" s="2" t="s">
        <v>31303</v>
      </c>
      <c r="F4173" s="2" t="s">
        <v>31304</v>
      </c>
      <c r="G4173" s="2" t="s">
        <v>31305</v>
      </c>
      <c r="H4173" s="2" t="s">
        <v>31306</v>
      </c>
      <c r="I4173" s="2" t="s">
        <v>7116</v>
      </c>
      <c r="J4173" s="2" t="s">
        <v>20763</v>
      </c>
      <c r="K4173" s="2" t="s">
        <v>31303</v>
      </c>
      <c r="L4173" s="2" t="s">
        <v>7116</v>
      </c>
      <c r="M4173" s="2" t="s">
        <v>31306</v>
      </c>
      <c r="N4173" s="2" t="s">
        <v>31307</v>
      </c>
      <c r="O4173" s="2"/>
      <c r="P4173" s="2" t="s">
        <v>37</v>
      </c>
      <c r="Q4173" s="4" t="n">
        <v>8731</v>
      </c>
      <c r="R4173" s="2" t="s">
        <v>56</v>
      </c>
      <c r="S4173" s="2"/>
      <c r="T4173" s="2" t="s">
        <v>40</v>
      </c>
      <c r="U4173" s="2" t="s">
        <v>31308</v>
      </c>
      <c r="V4173" s="2"/>
      <c r="W4173" s="2" t="s">
        <v>9400</v>
      </c>
      <c r="X4173" s="2" t="s">
        <v>43</v>
      </c>
      <c r="Y4173" s="2" t="s">
        <v>37</v>
      </c>
      <c r="Z4173" s="2" t="s">
        <v>44</v>
      </c>
      <c r="AA4173" s="2"/>
      <c r="AB4173" s="2"/>
      <c r="AC4173" s="2" t="s">
        <v>31309</v>
      </c>
      <c r="AD4173" s="2" t="s">
        <v>46</v>
      </c>
    </row>
    <row r="4174" customFormat="false" ht="15.7" hidden="false" customHeight="true" outlineLevel="0" collapsed="false">
      <c r="A4174" s="2"/>
      <c r="B4174" s="3" t="n">
        <f aca="false">DATE(2019,4,26)</f>
        <v>0</v>
      </c>
      <c r="C4174" s="3" t="n">
        <v>43581</v>
      </c>
      <c r="D4174" s="2" t="s">
        <v>31310</v>
      </c>
      <c r="F4174" s="2" t="s">
        <v>24385</v>
      </c>
      <c r="G4174" s="2" t="s">
        <v>31311</v>
      </c>
      <c r="H4174" s="2" t="s">
        <v>898</v>
      </c>
      <c r="I4174" s="2" t="s">
        <v>1080</v>
      </c>
      <c r="J4174" s="2" t="s">
        <v>35</v>
      </c>
      <c r="K4174" s="2" t="s">
        <v>31310</v>
      </c>
      <c r="L4174" s="2" t="s">
        <v>1080</v>
      </c>
      <c r="M4174" s="2" t="s">
        <v>898</v>
      </c>
      <c r="N4174" s="2" t="s">
        <v>31312</v>
      </c>
      <c r="O4174" s="2"/>
      <c r="P4174" s="2" t="s">
        <v>37</v>
      </c>
      <c r="Q4174" s="4" t="n">
        <v>8731</v>
      </c>
      <c r="R4174" s="2" t="s">
        <v>2201</v>
      </c>
      <c r="S4174" s="2" t="s">
        <v>39</v>
      </c>
      <c r="T4174" s="2" t="s">
        <v>40</v>
      </c>
      <c r="U4174" s="2" t="s">
        <v>31313</v>
      </c>
      <c r="V4174" s="2"/>
      <c r="W4174" s="2" t="s">
        <v>42</v>
      </c>
      <c r="X4174" s="2" t="s">
        <v>46</v>
      </c>
      <c r="Y4174" s="2" t="s">
        <v>37</v>
      </c>
      <c r="Z4174" s="2" t="s">
        <v>44</v>
      </c>
      <c r="AA4174" s="2"/>
      <c r="AB4174" s="2"/>
      <c r="AC4174" s="2" t="s">
        <v>31314</v>
      </c>
      <c r="AD4174" s="2" t="s">
        <v>46</v>
      </c>
    </row>
    <row r="4175" customFormat="false" ht="15.7" hidden="false" customHeight="true" outlineLevel="0" collapsed="false">
      <c r="A4175" s="2"/>
      <c r="B4175" s="3" t="n">
        <f aca="false">DATE(2019,4,26)</f>
        <v>0</v>
      </c>
      <c r="C4175" s="3" t="n">
        <v>43581</v>
      </c>
      <c r="D4175" s="2" t="s">
        <v>31315</v>
      </c>
      <c r="F4175" s="2" t="s">
        <v>14130</v>
      </c>
      <c r="G4175" s="2" t="s">
        <v>31316</v>
      </c>
      <c r="H4175" s="2" t="s">
        <v>170</v>
      </c>
      <c r="I4175" s="2" t="s">
        <v>31317</v>
      </c>
      <c r="J4175" s="2" t="s">
        <v>35</v>
      </c>
      <c r="K4175" s="2" t="s">
        <v>31318</v>
      </c>
      <c r="L4175" s="2" t="s">
        <v>31317</v>
      </c>
      <c r="M4175" s="2" t="s">
        <v>170</v>
      </c>
      <c r="N4175" s="2" t="s">
        <v>31319</v>
      </c>
      <c r="O4175" s="2"/>
      <c r="P4175" s="2" t="s">
        <v>37</v>
      </c>
      <c r="Q4175" s="4" t="n">
        <v>8731</v>
      </c>
      <c r="R4175" s="2" t="s">
        <v>7068</v>
      </c>
      <c r="S4175" s="2" t="s">
        <v>39</v>
      </c>
      <c r="T4175" s="2" t="s">
        <v>403</v>
      </c>
      <c r="U4175" s="2" t="s">
        <v>31320</v>
      </c>
      <c r="V4175" s="2"/>
      <c r="W4175" s="2" t="s">
        <v>42</v>
      </c>
      <c r="X4175" s="2" t="s">
        <v>43</v>
      </c>
      <c r="Y4175" s="2" t="s">
        <v>37</v>
      </c>
      <c r="Z4175" s="2" t="s">
        <v>44</v>
      </c>
      <c r="AA4175" s="2"/>
      <c r="AB4175" s="2"/>
      <c r="AC4175" s="2" t="s">
        <v>31321</v>
      </c>
      <c r="AD4175" s="2" t="s">
        <v>46</v>
      </c>
    </row>
    <row r="4176" customFormat="false" ht="15.7" hidden="false" customHeight="true" outlineLevel="0" collapsed="false">
      <c r="A4176" s="2"/>
      <c r="B4176" s="3" t="n">
        <f aca="false">DATE(2019,4,29)</f>
        <v>0</v>
      </c>
      <c r="C4176" s="3" t="n">
        <v>43584</v>
      </c>
      <c r="D4176" s="2" t="s">
        <v>31322</v>
      </c>
      <c r="F4176" s="2" t="s">
        <v>31323</v>
      </c>
      <c r="G4176" s="2" t="s">
        <v>31324</v>
      </c>
      <c r="H4176" s="2" t="s">
        <v>31325</v>
      </c>
      <c r="I4176" s="2" t="s">
        <v>51</v>
      </c>
      <c r="J4176" s="2" t="s">
        <v>25368</v>
      </c>
      <c r="K4176" s="2" t="s">
        <v>31322</v>
      </c>
      <c r="L4176" s="2" t="s">
        <v>51</v>
      </c>
      <c r="M4176" s="2" t="s">
        <v>31325</v>
      </c>
      <c r="N4176" s="2" t="s">
        <v>31326</v>
      </c>
      <c r="O4176" s="2"/>
      <c r="P4176" s="2" t="s">
        <v>37</v>
      </c>
      <c r="Q4176" s="4" t="n">
        <v>6552</v>
      </c>
      <c r="R4176" s="2" t="s">
        <v>56</v>
      </c>
      <c r="S4176" s="2" t="s">
        <v>472</v>
      </c>
      <c r="T4176" s="2" t="s">
        <v>40</v>
      </c>
      <c r="U4176" s="2" t="s">
        <v>31327</v>
      </c>
      <c r="V4176" s="2"/>
      <c r="W4176" s="2" t="s">
        <v>31328</v>
      </c>
      <c r="X4176" s="2" t="s">
        <v>43</v>
      </c>
      <c r="Y4176" s="2" t="s">
        <v>37</v>
      </c>
      <c r="Z4176" s="2" t="s">
        <v>44</v>
      </c>
      <c r="AA4176" s="2"/>
      <c r="AB4176" s="2"/>
      <c r="AC4176" s="2" t="s">
        <v>31329</v>
      </c>
      <c r="AD4176" s="2" t="s">
        <v>46</v>
      </c>
    </row>
    <row r="4177" customFormat="false" ht="15.7" hidden="false" customHeight="true" outlineLevel="0" collapsed="false">
      <c r="A4177" s="2"/>
      <c r="B4177" s="3" t="n">
        <f aca="false">DATE(2019,4,29)</f>
        <v>0</v>
      </c>
      <c r="C4177" s="3" t="n">
        <v>43584</v>
      </c>
      <c r="D4177" s="2" t="s">
        <v>31330</v>
      </c>
      <c r="F4177" s="2" t="s">
        <v>31331</v>
      </c>
      <c r="G4177" s="2" t="s">
        <v>31332</v>
      </c>
      <c r="H4177" s="2" t="s">
        <v>31333</v>
      </c>
      <c r="I4177" s="2" t="s">
        <v>7737</v>
      </c>
      <c r="J4177" s="2" t="s">
        <v>35</v>
      </c>
      <c r="K4177" s="2" t="s">
        <v>31330</v>
      </c>
      <c r="L4177" s="2" t="s">
        <v>7737</v>
      </c>
      <c r="M4177" s="2" t="s">
        <v>31333</v>
      </c>
      <c r="N4177" s="2" t="s">
        <v>31334</v>
      </c>
      <c r="O4177" s="2"/>
      <c r="P4177" s="2" t="s">
        <v>37</v>
      </c>
      <c r="Q4177" s="4" t="n">
        <v>8731</v>
      </c>
      <c r="R4177" s="2" t="s">
        <v>2201</v>
      </c>
      <c r="S4177" s="2" t="s">
        <v>39</v>
      </c>
      <c r="T4177" s="2" t="s">
        <v>403</v>
      </c>
      <c r="U4177" s="2" t="s">
        <v>31335</v>
      </c>
      <c r="V4177" s="2"/>
      <c r="W4177" s="2" t="s">
        <v>42</v>
      </c>
      <c r="X4177" s="2" t="s">
        <v>46</v>
      </c>
      <c r="Y4177" s="2" t="s">
        <v>37</v>
      </c>
      <c r="Z4177" s="2" t="s">
        <v>44</v>
      </c>
      <c r="AA4177" s="2"/>
      <c r="AB4177" s="2"/>
      <c r="AC4177" s="2" t="s">
        <v>31336</v>
      </c>
      <c r="AD4177" s="2" t="s">
        <v>46</v>
      </c>
    </row>
    <row r="4178" customFormat="false" ht="15.7" hidden="false" customHeight="true" outlineLevel="0" collapsed="false">
      <c r="A4178" s="2"/>
      <c r="B4178" s="3" t="n">
        <f aca="false">DATE(2019,4,29)</f>
        <v>0</v>
      </c>
      <c r="C4178" s="3" t="n">
        <v>43584</v>
      </c>
      <c r="D4178" s="2" t="s">
        <v>31337</v>
      </c>
      <c r="F4178" s="2" t="s">
        <v>347</v>
      </c>
      <c r="G4178" s="2" t="s">
        <v>31338</v>
      </c>
      <c r="H4178" s="2" t="s">
        <v>63</v>
      </c>
      <c r="I4178" s="2" t="s">
        <v>31339</v>
      </c>
      <c r="J4178" s="2" t="s">
        <v>35</v>
      </c>
      <c r="K4178" s="2" t="s">
        <v>31337</v>
      </c>
      <c r="L4178" s="2" t="s">
        <v>31339</v>
      </c>
      <c r="M4178" s="2" t="s">
        <v>63</v>
      </c>
      <c r="N4178" s="2" t="s">
        <v>31340</v>
      </c>
      <c r="O4178" s="2"/>
      <c r="P4178" s="2" t="s">
        <v>37</v>
      </c>
      <c r="Q4178" s="4" t="n">
        <v>8731</v>
      </c>
      <c r="R4178" s="2" t="s">
        <v>31341</v>
      </c>
      <c r="S4178" s="2" t="s">
        <v>28563</v>
      </c>
      <c r="T4178" s="2" t="s">
        <v>40</v>
      </c>
      <c r="U4178" s="2" t="s">
        <v>31342</v>
      </c>
      <c r="V4178" s="2"/>
      <c r="W4178" s="2" t="s">
        <v>42</v>
      </c>
      <c r="X4178" s="2" t="s">
        <v>43</v>
      </c>
      <c r="Y4178" s="2" t="s">
        <v>79</v>
      </c>
      <c r="Z4178" s="2" t="s">
        <v>44</v>
      </c>
      <c r="AA4178" s="2"/>
      <c r="AB4178" s="2"/>
      <c r="AC4178" s="2" t="s">
        <v>31343</v>
      </c>
      <c r="AD4178" s="2" t="s">
        <v>46</v>
      </c>
    </row>
    <row r="4179" customFormat="false" ht="15.7" hidden="false" customHeight="true" outlineLevel="0" collapsed="false">
      <c r="A4179" s="2"/>
      <c r="B4179" s="3" t="n">
        <f aca="false">DATE(2019,4,29)</f>
        <v>0</v>
      </c>
      <c r="C4179" s="3" t="n">
        <v>43584</v>
      </c>
      <c r="D4179" s="2" t="s">
        <v>31344</v>
      </c>
      <c r="F4179" s="2" t="s">
        <v>31345</v>
      </c>
      <c r="G4179" s="2" t="s">
        <v>31346</v>
      </c>
      <c r="H4179" s="2" t="s">
        <v>31347</v>
      </c>
      <c r="I4179" s="2" t="s">
        <v>296</v>
      </c>
      <c r="J4179" s="2" t="s">
        <v>65</v>
      </c>
      <c r="K4179" s="2" t="s">
        <v>31348</v>
      </c>
      <c r="L4179" s="2" t="s">
        <v>8351</v>
      </c>
      <c r="M4179" s="2" t="s">
        <v>31349</v>
      </c>
      <c r="N4179" s="2" t="s">
        <v>31350</v>
      </c>
      <c r="O4179" s="2"/>
      <c r="P4179" s="2" t="s">
        <v>37</v>
      </c>
      <c r="Q4179" s="4" t="n">
        <v>8731</v>
      </c>
      <c r="R4179" s="2" t="s">
        <v>296</v>
      </c>
      <c r="S4179" s="2" t="s">
        <v>3000</v>
      </c>
      <c r="T4179" s="2" t="s">
        <v>403</v>
      </c>
      <c r="U4179" s="2" t="s">
        <v>31351</v>
      </c>
      <c r="V4179" s="2"/>
      <c r="W4179" s="2" t="s">
        <v>2367</v>
      </c>
      <c r="X4179" s="2" t="s">
        <v>43</v>
      </c>
      <c r="Y4179" s="2" t="s">
        <v>79</v>
      </c>
      <c r="Z4179" s="2" t="s">
        <v>44</v>
      </c>
      <c r="AA4179" s="2"/>
      <c r="AB4179" s="2"/>
      <c r="AC4179" s="2" t="s">
        <v>31352</v>
      </c>
      <c r="AD4179" s="2" t="s">
        <v>46</v>
      </c>
    </row>
    <row r="4180" customFormat="false" ht="15.7" hidden="false" customHeight="true" outlineLevel="0" collapsed="false">
      <c r="A4180" s="2"/>
      <c r="B4180" s="3" t="n">
        <f aca="false">DATE(2019,4,29)</f>
        <v>0</v>
      </c>
      <c r="C4180" s="3" t="n">
        <v>43584</v>
      </c>
      <c r="D4180" s="2" t="s">
        <v>31353</v>
      </c>
      <c r="F4180" s="2" t="s">
        <v>31354</v>
      </c>
      <c r="G4180" s="2" t="s">
        <v>31355</v>
      </c>
      <c r="H4180" s="2" t="s">
        <v>31356</v>
      </c>
      <c r="I4180" s="2" t="s">
        <v>30323</v>
      </c>
      <c r="J4180" s="2" t="s">
        <v>575</v>
      </c>
      <c r="K4180" s="2" t="s">
        <v>31357</v>
      </c>
      <c r="L4180" s="2" t="s">
        <v>30323</v>
      </c>
      <c r="M4180" s="2" t="s">
        <v>29218</v>
      </c>
      <c r="N4180" s="2" t="s">
        <v>31358</v>
      </c>
      <c r="O4180" s="2"/>
      <c r="P4180" s="2" t="s">
        <v>37</v>
      </c>
      <c r="Q4180" s="4" t="n">
        <v>8731</v>
      </c>
      <c r="R4180" s="2" t="s">
        <v>2952</v>
      </c>
      <c r="S4180" s="2" t="s">
        <v>39</v>
      </c>
      <c r="T4180" s="2" t="s">
        <v>40</v>
      </c>
      <c r="U4180" s="2" t="s">
        <v>31359</v>
      </c>
      <c r="V4180" s="2"/>
      <c r="W4180" s="2" t="s">
        <v>17454</v>
      </c>
      <c r="X4180" s="2" t="s">
        <v>43</v>
      </c>
      <c r="Y4180" s="2" t="s">
        <v>37</v>
      </c>
      <c r="Z4180" s="2" t="s">
        <v>44</v>
      </c>
      <c r="AA4180" s="2"/>
      <c r="AB4180" s="2"/>
      <c r="AC4180" s="2" t="s">
        <v>31360</v>
      </c>
      <c r="AD4180" s="2" t="s">
        <v>46</v>
      </c>
    </row>
    <row r="4181" customFormat="false" ht="15.7" hidden="false" customHeight="true" outlineLevel="0" collapsed="false">
      <c r="A4181" s="2"/>
      <c r="B4181" s="3" t="n">
        <f aca="false">DATE(2019,4,30)</f>
        <v>0</v>
      </c>
      <c r="C4181" s="3" t="n">
        <v>43585</v>
      </c>
      <c r="D4181" s="2" t="s">
        <v>31361</v>
      </c>
      <c r="F4181" s="2" t="s">
        <v>31362</v>
      </c>
      <c r="G4181" s="2" t="s">
        <v>31363</v>
      </c>
      <c r="H4181" s="2" t="s">
        <v>153</v>
      </c>
      <c r="I4181" s="2" t="s">
        <v>51</v>
      </c>
      <c r="J4181" s="2" t="s">
        <v>24003</v>
      </c>
      <c r="K4181" s="2" t="s">
        <v>31361</v>
      </c>
      <c r="L4181" s="2" t="s">
        <v>51</v>
      </c>
      <c r="M4181" s="2" t="s">
        <v>153</v>
      </c>
      <c r="N4181" s="2" t="s">
        <v>31364</v>
      </c>
      <c r="O4181" s="2"/>
      <c r="P4181" s="2" t="s">
        <v>37</v>
      </c>
      <c r="Q4181" s="4" t="n">
        <v>5099</v>
      </c>
      <c r="R4181" s="2" t="s">
        <v>56</v>
      </c>
      <c r="S4181" s="2"/>
      <c r="T4181" s="2" t="s">
        <v>40</v>
      </c>
      <c r="U4181" s="2" t="s">
        <v>31365</v>
      </c>
      <c r="V4181" s="2"/>
      <c r="W4181" s="2" t="s">
        <v>13100</v>
      </c>
      <c r="X4181" s="2" t="s">
        <v>43</v>
      </c>
      <c r="Y4181" s="2" t="s">
        <v>37</v>
      </c>
      <c r="Z4181" s="2" t="s">
        <v>44</v>
      </c>
      <c r="AA4181" s="2"/>
      <c r="AB4181" s="2"/>
      <c r="AC4181" s="2" t="s">
        <v>31366</v>
      </c>
      <c r="AD4181" s="2" t="s">
        <v>46</v>
      </c>
    </row>
    <row r="4182" customFormat="false" ht="15.7" hidden="false" customHeight="true" outlineLevel="0" collapsed="false">
      <c r="A4182" s="2"/>
      <c r="B4182" s="3" t="n">
        <f aca="false">DATE(2019,4,30)</f>
        <v>0</v>
      </c>
      <c r="C4182" s="3" t="n">
        <v>43585</v>
      </c>
      <c r="D4182" s="2" t="s">
        <v>31367</v>
      </c>
      <c r="F4182" s="2" t="s">
        <v>31368</v>
      </c>
      <c r="G4182" s="2" t="s">
        <v>31369</v>
      </c>
      <c r="H4182" s="2" t="s">
        <v>31370</v>
      </c>
      <c r="I4182" s="2" t="s">
        <v>540</v>
      </c>
      <c r="J4182" s="2" t="s">
        <v>35</v>
      </c>
      <c r="K4182" s="2" t="s">
        <v>31371</v>
      </c>
      <c r="L4182" s="2" t="s">
        <v>540</v>
      </c>
      <c r="M4182" s="2" t="s">
        <v>31372</v>
      </c>
      <c r="N4182" s="2" t="s">
        <v>31373</v>
      </c>
      <c r="O4182" s="2"/>
      <c r="P4182" s="2" t="s">
        <v>37</v>
      </c>
      <c r="Q4182" s="4" t="n">
        <v>8099</v>
      </c>
      <c r="R4182" s="2" t="s">
        <v>1448</v>
      </c>
      <c r="S4182" s="2" t="s">
        <v>39</v>
      </c>
      <c r="T4182" s="2" t="s">
        <v>403</v>
      </c>
      <c r="U4182" s="2" t="s">
        <v>31374</v>
      </c>
      <c r="V4182" s="2"/>
      <c r="W4182" s="2" t="s">
        <v>6955</v>
      </c>
      <c r="X4182" s="2" t="s">
        <v>46</v>
      </c>
      <c r="Y4182" s="2" t="s">
        <v>37</v>
      </c>
      <c r="Z4182" s="2" t="s">
        <v>362</v>
      </c>
      <c r="AA4182" s="2"/>
      <c r="AB4182" s="2"/>
      <c r="AC4182" s="2" t="s">
        <v>31375</v>
      </c>
      <c r="AD4182" s="2" t="s">
        <v>46</v>
      </c>
    </row>
    <row r="4183" customFormat="false" ht="15.7" hidden="false" customHeight="true" outlineLevel="0" collapsed="false">
      <c r="A4183" s="2"/>
      <c r="B4183" s="3" t="n">
        <f aca="false">DATE(2019,5,1)</f>
        <v>0</v>
      </c>
      <c r="C4183" s="3" t="n">
        <v>43586</v>
      </c>
      <c r="D4183" s="2" t="s">
        <v>31376</v>
      </c>
      <c r="F4183" s="2" t="s">
        <v>31377</v>
      </c>
      <c r="G4183" s="2" t="s">
        <v>31378</v>
      </c>
      <c r="H4183" s="2" t="s">
        <v>31379</v>
      </c>
      <c r="I4183" s="2" t="s">
        <v>17440</v>
      </c>
      <c r="J4183" s="2" t="s">
        <v>35</v>
      </c>
      <c r="K4183" s="2" t="s">
        <v>31376</v>
      </c>
      <c r="L4183" s="2" t="s">
        <v>17440</v>
      </c>
      <c r="M4183" s="2" t="s">
        <v>31379</v>
      </c>
      <c r="N4183" s="2" t="s">
        <v>31380</v>
      </c>
      <c r="O4183" s="2"/>
      <c r="P4183" s="2" t="s">
        <v>37</v>
      </c>
      <c r="Q4183" s="4" t="n">
        <v>7373</v>
      </c>
      <c r="R4183" s="2" t="s">
        <v>70</v>
      </c>
      <c r="S4183" s="2" t="s">
        <v>39</v>
      </c>
      <c r="T4183" s="2" t="s">
        <v>403</v>
      </c>
      <c r="U4183" s="2" t="s">
        <v>31381</v>
      </c>
      <c r="V4183" s="2"/>
      <c r="W4183" s="2" t="s">
        <v>31382</v>
      </c>
      <c r="X4183" s="2" t="s">
        <v>43</v>
      </c>
      <c r="Y4183" s="2" t="s">
        <v>37</v>
      </c>
      <c r="Z4183" s="2" t="s">
        <v>44</v>
      </c>
      <c r="AA4183" s="2"/>
      <c r="AB4183" s="2"/>
      <c r="AC4183" s="2" t="s">
        <v>31383</v>
      </c>
      <c r="AD4183" s="2" t="s">
        <v>46</v>
      </c>
    </row>
    <row r="4184" customFormat="false" ht="15.7" hidden="false" customHeight="true" outlineLevel="0" collapsed="false">
      <c r="A4184" s="2"/>
      <c r="B4184" s="3" t="n">
        <f aca="false">DATE(2019,5,1)</f>
        <v>0</v>
      </c>
      <c r="C4184" s="3" t="n">
        <v>43586</v>
      </c>
      <c r="D4184" s="2" t="s">
        <v>31384</v>
      </c>
      <c r="F4184" s="2" t="s">
        <v>31385</v>
      </c>
      <c r="G4184" s="2" t="s">
        <v>31386</v>
      </c>
      <c r="H4184" s="2" t="s">
        <v>28537</v>
      </c>
      <c r="I4184" s="2" t="s">
        <v>51</v>
      </c>
      <c r="J4184" s="2" t="s">
        <v>31387</v>
      </c>
      <c r="K4184" s="2" t="s">
        <v>31384</v>
      </c>
      <c r="L4184" s="2" t="s">
        <v>51</v>
      </c>
      <c r="M4184" s="2" t="s">
        <v>28537</v>
      </c>
      <c r="N4184" s="2" t="s">
        <v>31388</v>
      </c>
      <c r="O4184" s="2"/>
      <c r="P4184" s="2" t="s">
        <v>37</v>
      </c>
      <c r="Q4184" s="4" t="n">
        <v>7372</v>
      </c>
      <c r="R4184" s="2" t="s">
        <v>56</v>
      </c>
      <c r="S4184" s="2"/>
      <c r="T4184" s="2" t="s">
        <v>40</v>
      </c>
      <c r="U4184" s="2" t="s">
        <v>31389</v>
      </c>
      <c r="V4184" s="2"/>
      <c r="W4184" s="2" t="s">
        <v>6066</v>
      </c>
      <c r="X4184" s="2" t="s">
        <v>43</v>
      </c>
      <c r="Y4184" s="2" t="s">
        <v>37</v>
      </c>
      <c r="Z4184" s="2" t="s">
        <v>44</v>
      </c>
      <c r="AA4184" s="2"/>
      <c r="AB4184" s="2"/>
      <c r="AC4184" s="2" t="s">
        <v>31390</v>
      </c>
      <c r="AD4184" s="2" t="s">
        <v>46</v>
      </c>
    </row>
    <row r="4185" customFormat="false" ht="15.7" hidden="false" customHeight="true" outlineLevel="0" collapsed="false">
      <c r="A4185" s="2"/>
      <c r="B4185" s="3" t="n">
        <f aca="false">DATE(2019,5,1)</f>
        <v>0</v>
      </c>
      <c r="C4185" s="3" t="n">
        <v>43586</v>
      </c>
      <c r="D4185" s="2" t="s">
        <v>31391</v>
      </c>
      <c r="F4185" s="2" t="s">
        <v>28777</v>
      </c>
      <c r="G4185" s="2" t="s">
        <v>31392</v>
      </c>
      <c r="H4185" s="2" t="s">
        <v>28779</v>
      </c>
      <c r="I4185" s="2" t="s">
        <v>540</v>
      </c>
      <c r="J4185" s="2" t="s">
        <v>35</v>
      </c>
      <c r="K4185" s="2" t="s">
        <v>31391</v>
      </c>
      <c r="L4185" s="2" t="s">
        <v>540</v>
      </c>
      <c r="M4185" s="2" t="s">
        <v>28779</v>
      </c>
      <c r="N4185" s="2" t="s">
        <v>31393</v>
      </c>
      <c r="O4185" s="2"/>
      <c r="P4185" s="2" t="s">
        <v>37</v>
      </c>
      <c r="Q4185" s="4" t="n">
        <v>8731</v>
      </c>
      <c r="R4185" s="2" t="s">
        <v>1448</v>
      </c>
      <c r="S4185" s="2" t="s">
        <v>39</v>
      </c>
      <c r="T4185" s="2" t="s">
        <v>403</v>
      </c>
      <c r="U4185" s="2" t="s">
        <v>31394</v>
      </c>
      <c r="V4185" s="2"/>
      <c r="W4185" s="2" t="s">
        <v>344</v>
      </c>
      <c r="X4185" s="2" t="s">
        <v>43</v>
      </c>
      <c r="Y4185" s="2" t="s">
        <v>37</v>
      </c>
      <c r="Z4185" s="2" t="s">
        <v>44</v>
      </c>
      <c r="AA4185" s="2"/>
      <c r="AB4185" s="2"/>
      <c r="AC4185" s="2" t="s">
        <v>31395</v>
      </c>
      <c r="AD4185" s="2" t="s">
        <v>46</v>
      </c>
    </row>
    <row r="4186" customFormat="false" ht="15.7" hidden="false" customHeight="true" outlineLevel="0" collapsed="false">
      <c r="A4186" s="2"/>
      <c r="B4186" s="3" t="n">
        <f aca="false">DATE(2019,5,2)</f>
        <v>0</v>
      </c>
      <c r="C4186" s="3" t="n">
        <v>43587</v>
      </c>
      <c r="D4186" s="2" t="s">
        <v>31396</v>
      </c>
      <c r="F4186" s="2" t="s">
        <v>31397</v>
      </c>
      <c r="G4186" s="2" t="s">
        <v>31398</v>
      </c>
      <c r="H4186" s="2" t="s">
        <v>25753</v>
      </c>
      <c r="I4186" s="2" t="s">
        <v>31399</v>
      </c>
      <c r="J4186" s="2" t="s">
        <v>35</v>
      </c>
      <c r="K4186" s="2" t="s">
        <v>31396</v>
      </c>
      <c r="L4186" s="2" t="s">
        <v>31399</v>
      </c>
      <c r="M4186" s="2" t="s">
        <v>25753</v>
      </c>
      <c r="N4186" s="2" t="s">
        <v>31400</v>
      </c>
      <c r="O4186" s="2"/>
      <c r="P4186" s="2" t="s">
        <v>37</v>
      </c>
      <c r="Q4186" s="4" t="n">
        <v>8731</v>
      </c>
      <c r="R4186" s="2" t="s">
        <v>24961</v>
      </c>
      <c r="S4186" s="2" t="s">
        <v>39</v>
      </c>
      <c r="T4186" s="2" t="s">
        <v>40</v>
      </c>
      <c r="U4186" s="2" t="s">
        <v>31401</v>
      </c>
      <c r="V4186" s="2"/>
      <c r="W4186" s="2" t="s">
        <v>382</v>
      </c>
      <c r="X4186" s="2" t="s">
        <v>43</v>
      </c>
      <c r="Y4186" s="2" t="s">
        <v>37</v>
      </c>
      <c r="Z4186" s="2" t="s">
        <v>44</v>
      </c>
      <c r="AA4186" s="2"/>
      <c r="AB4186" s="2"/>
      <c r="AC4186" s="2" t="s">
        <v>31402</v>
      </c>
      <c r="AD4186" s="2" t="s">
        <v>46</v>
      </c>
    </row>
    <row r="4187" customFormat="false" ht="15.7" hidden="false" customHeight="true" outlineLevel="0" collapsed="false">
      <c r="A4187" s="2"/>
      <c r="B4187" s="3" t="n">
        <f aca="false">DATE(2019,5,2)</f>
        <v>0</v>
      </c>
      <c r="C4187" s="3" t="n">
        <v>43587</v>
      </c>
      <c r="D4187" s="2" t="s">
        <v>31403</v>
      </c>
      <c r="F4187" s="2" t="s">
        <v>26656</v>
      </c>
      <c r="G4187" s="2" t="s">
        <v>31404</v>
      </c>
      <c r="H4187" s="2" t="s">
        <v>9924</v>
      </c>
      <c r="I4187" s="2" t="s">
        <v>568</v>
      </c>
      <c r="J4187" s="2" t="s">
        <v>65</v>
      </c>
      <c r="K4187" s="2" t="s">
        <v>31403</v>
      </c>
      <c r="L4187" s="2" t="s">
        <v>568</v>
      </c>
      <c r="M4187" s="2" t="s">
        <v>9924</v>
      </c>
      <c r="N4187" s="2" t="s">
        <v>31405</v>
      </c>
      <c r="O4187" s="2"/>
      <c r="P4187" s="2" t="s">
        <v>37</v>
      </c>
      <c r="Q4187" s="4" t="n">
        <v>8731</v>
      </c>
      <c r="R4187" s="2" t="s">
        <v>56</v>
      </c>
      <c r="S4187" s="2"/>
      <c r="T4187" s="2" t="s">
        <v>403</v>
      </c>
      <c r="U4187" s="2" t="s">
        <v>31406</v>
      </c>
      <c r="V4187" s="2"/>
      <c r="W4187" s="2" t="s">
        <v>42</v>
      </c>
      <c r="X4187" s="2" t="s">
        <v>43</v>
      </c>
      <c r="Y4187" s="2" t="s">
        <v>37</v>
      </c>
      <c r="Z4187" s="2" t="s">
        <v>44</v>
      </c>
      <c r="AA4187" s="2"/>
      <c r="AB4187" s="2"/>
      <c r="AC4187" s="2" t="s">
        <v>31407</v>
      </c>
      <c r="AD4187" s="2" t="s">
        <v>46</v>
      </c>
    </row>
    <row r="4188" customFormat="false" ht="15.7" hidden="false" customHeight="true" outlineLevel="0" collapsed="false">
      <c r="A4188" s="2"/>
      <c r="B4188" s="3" t="n">
        <f aca="false">DATE(2019,5,3)</f>
        <v>0</v>
      </c>
      <c r="C4188" s="3" t="n">
        <v>43588</v>
      </c>
      <c r="D4188" s="2" t="s">
        <v>31408</v>
      </c>
      <c r="F4188" s="2" t="s">
        <v>31409</v>
      </c>
      <c r="G4188" s="2" t="s">
        <v>31410</v>
      </c>
      <c r="H4188" s="2" t="s">
        <v>31411</v>
      </c>
      <c r="I4188" s="2" t="s">
        <v>540</v>
      </c>
      <c r="J4188" s="2" t="s">
        <v>35</v>
      </c>
      <c r="K4188" s="2" t="s">
        <v>31412</v>
      </c>
      <c r="L4188" s="2" t="s">
        <v>540</v>
      </c>
      <c r="M4188" s="2" t="s">
        <v>31413</v>
      </c>
      <c r="N4188" s="2" t="s">
        <v>31414</v>
      </c>
      <c r="O4188" s="2"/>
      <c r="P4188" s="2" t="s">
        <v>37</v>
      </c>
      <c r="Q4188" s="4" t="n">
        <v>8731</v>
      </c>
      <c r="R4188" s="2" t="s">
        <v>1448</v>
      </c>
      <c r="S4188" s="2" t="s">
        <v>39</v>
      </c>
      <c r="T4188" s="2" t="s">
        <v>403</v>
      </c>
      <c r="U4188" s="2" t="s">
        <v>31415</v>
      </c>
      <c r="V4188" s="2"/>
      <c r="W4188" s="2" t="s">
        <v>42</v>
      </c>
      <c r="X4188" s="2" t="s">
        <v>43</v>
      </c>
      <c r="Y4188" s="2" t="s">
        <v>37</v>
      </c>
      <c r="Z4188" s="2" t="s">
        <v>44</v>
      </c>
      <c r="AA4188" s="2"/>
      <c r="AB4188" s="2"/>
      <c r="AC4188" s="2" t="s">
        <v>31416</v>
      </c>
      <c r="AD4188" s="2" t="s">
        <v>46</v>
      </c>
    </row>
    <row r="4189" customFormat="false" ht="15.7" hidden="false" customHeight="true" outlineLevel="0" collapsed="false">
      <c r="A4189" s="2"/>
      <c r="B4189" s="3" t="n">
        <f aca="false">DATE(2019,5,3)</f>
        <v>0</v>
      </c>
      <c r="C4189" s="3" t="n">
        <v>43588</v>
      </c>
      <c r="D4189" s="2" t="s">
        <v>31417</v>
      </c>
      <c r="F4189" s="2" t="s">
        <v>25047</v>
      </c>
      <c r="G4189" s="2" t="s">
        <v>31418</v>
      </c>
      <c r="H4189" s="2" t="s">
        <v>21833</v>
      </c>
      <c r="I4189" s="2" t="s">
        <v>51</v>
      </c>
      <c r="J4189" s="2" t="s">
        <v>31419</v>
      </c>
      <c r="K4189" s="2" t="s">
        <v>31417</v>
      </c>
      <c r="L4189" s="2" t="s">
        <v>51</v>
      </c>
      <c r="M4189" s="2" t="s">
        <v>21833</v>
      </c>
      <c r="N4189" s="2" t="s">
        <v>31420</v>
      </c>
      <c r="O4189" s="2"/>
      <c r="P4189" s="2" t="s">
        <v>37</v>
      </c>
      <c r="Q4189" s="4" t="n">
        <v>6794</v>
      </c>
      <c r="R4189" s="2" t="s">
        <v>56</v>
      </c>
      <c r="S4189" s="2" t="s">
        <v>380</v>
      </c>
      <c r="T4189" s="2" t="s">
        <v>40</v>
      </c>
      <c r="U4189" s="2" t="s">
        <v>31421</v>
      </c>
      <c r="V4189" s="2"/>
      <c r="W4189" s="2" t="s">
        <v>15545</v>
      </c>
      <c r="X4189" s="2" t="s">
        <v>43</v>
      </c>
      <c r="Y4189" s="2" t="s">
        <v>37</v>
      </c>
      <c r="Z4189" s="2" t="s">
        <v>44</v>
      </c>
      <c r="AA4189" s="2"/>
      <c r="AB4189" s="2"/>
      <c r="AC4189" s="2" t="s">
        <v>31422</v>
      </c>
      <c r="AD4189" s="2" t="s">
        <v>46</v>
      </c>
    </row>
    <row r="4190" customFormat="false" ht="15.7" hidden="false" customHeight="true" outlineLevel="0" collapsed="false">
      <c r="A4190" s="2"/>
      <c r="B4190" s="3" t="n">
        <f aca="false">DATE(2019,5,3)</f>
        <v>0</v>
      </c>
      <c r="C4190" s="3" t="n">
        <v>43588</v>
      </c>
      <c r="D4190" s="2" t="s">
        <v>31423</v>
      </c>
      <c r="F4190" s="2" t="s">
        <v>31424</v>
      </c>
      <c r="G4190" s="2" t="s">
        <v>31425</v>
      </c>
      <c r="H4190" s="2" t="s">
        <v>2918</v>
      </c>
      <c r="I4190" s="2" t="s">
        <v>9653</v>
      </c>
      <c r="J4190" s="2" t="s">
        <v>116</v>
      </c>
      <c r="K4190" s="2" t="s">
        <v>31423</v>
      </c>
      <c r="L4190" s="2" t="s">
        <v>9653</v>
      </c>
      <c r="M4190" s="2" t="s">
        <v>2918</v>
      </c>
      <c r="N4190" s="2" t="s">
        <v>31426</v>
      </c>
      <c r="O4190" s="2"/>
      <c r="P4190" s="2" t="s">
        <v>37</v>
      </c>
      <c r="Q4190" s="4" t="n">
        <v>8099</v>
      </c>
      <c r="R4190" s="2" t="s">
        <v>1402</v>
      </c>
      <c r="S4190" s="2" t="s">
        <v>39</v>
      </c>
      <c r="T4190" s="2" t="s">
        <v>40</v>
      </c>
      <c r="U4190" s="2" t="s">
        <v>31427</v>
      </c>
      <c r="V4190" s="2"/>
      <c r="W4190" s="2" t="s">
        <v>28234</v>
      </c>
      <c r="X4190" s="2" t="s">
        <v>43</v>
      </c>
      <c r="Y4190" s="2" t="s">
        <v>37</v>
      </c>
      <c r="Z4190" s="2" t="s">
        <v>916</v>
      </c>
      <c r="AA4190" s="2"/>
      <c r="AB4190" s="2"/>
      <c r="AC4190" s="2" t="s">
        <v>31428</v>
      </c>
      <c r="AD4190" s="2" t="s">
        <v>46</v>
      </c>
    </row>
    <row r="4191" customFormat="false" ht="15.7" hidden="false" customHeight="true" outlineLevel="0" collapsed="false">
      <c r="A4191" s="2"/>
      <c r="B4191" s="3" t="n">
        <f aca="false">DATE(2019,5,5)</f>
        <v>0</v>
      </c>
      <c r="C4191" s="3" t="n">
        <v>43590</v>
      </c>
      <c r="D4191" s="2" t="s">
        <v>31429</v>
      </c>
      <c r="F4191" s="2" t="s">
        <v>31430</v>
      </c>
      <c r="G4191" s="2" t="s">
        <v>31431</v>
      </c>
      <c r="H4191" s="2" t="s">
        <v>16599</v>
      </c>
      <c r="I4191" s="2" t="s">
        <v>3223</v>
      </c>
      <c r="J4191" s="2" t="s">
        <v>116</v>
      </c>
      <c r="K4191" s="2" t="s">
        <v>31432</v>
      </c>
      <c r="L4191" s="2" t="s">
        <v>3223</v>
      </c>
      <c r="M4191" s="2" t="s">
        <v>16599</v>
      </c>
      <c r="N4191" s="2" t="s">
        <v>31433</v>
      </c>
      <c r="O4191" s="2"/>
      <c r="P4191" s="2" t="s">
        <v>37</v>
      </c>
      <c r="Q4191" s="4" t="n">
        <v>6794</v>
      </c>
      <c r="R4191" s="2" t="s">
        <v>402</v>
      </c>
      <c r="S4191" s="2" t="s">
        <v>39</v>
      </c>
      <c r="T4191" s="2" t="s">
        <v>40</v>
      </c>
      <c r="U4191" s="2" t="s">
        <v>31434</v>
      </c>
      <c r="V4191" s="2"/>
      <c r="W4191" s="2" t="s">
        <v>82</v>
      </c>
      <c r="X4191" s="2" t="s">
        <v>46</v>
      </c>
      <c r="Y4191" s="2" t="s">
        <v>37</v>
      </c>
      <c r="Z4191" s="2" t="s">
        <v>916</v>
      </c>
      <c r="AA4191" s="2"/>
      <c r="AB4191" s="2"/>
      <c r="AC4191" s="2" t="s">
        <v>31435</v>
      </c>
      <c r="AD4191" s="2" t="s">
        <v>46</v>
      </c>
    </row>
    <row r="4192" customFormat="false" ht="15.7" hidden="false" customHeight="true" outlineLevel="0" collapsed="false">
      <c r="A4192" s="2"/>
      <c r="B4192" s="3" t="n">
        <f aca="false">DATE(2019,5,5)</f>
        <v>0</v>
      </c>
      <c r="C4192" s="3" t="n">
        <v>43590</v>
      </c>
      <c r="D4192" s="2" t="s">
        <v>31436</v>
      </c>
      <c r="F4192" s="2" t="s">
        <v>31437</v>
      </c>
      <c r="G4192" s="2" t="s">
        <v>31438</v>
      </c>
      <c r="H4192" s="2" t="s">
        <v>31439</v>
      </c>
      <c r="I4192" s="2" t="s">
        <v>3501</v>
      </c>
      <c r="J4192" s="2" t="s">
        <v>35</v>
      </c>
      <c r="K4192" s="2" t="s">
        <v>31440</v>
      </c>
      <c r="L4192" s="2" t="s">
        <v>3501</v>
      </c>
      <c r="M4192" s="2" t="s">
        <v>31441</v>
      </c>
      <c r="N4192" s="2" t="s">
        <v>31442</v>
      </c>
      <c r="O4192" s="2"/>
      <c r="P4192" s="2" t="s">
        <v>37</v>
      </c>
      <c r="Q4192" s="4" t="n">
        <v>8731</v>
      </c>
      <c r="R4192" s="2" t="s">
        <v>136</v>
      </c>
      <c r="S4192" s="2" t="s">
        <v>39</v>
      </c>
      <c r="T4192" s="2" t="s">
        <v>40</v>
      </c>
      <c r="U4192" s="2" t="s">
        <v>31443</v>
      </c>
      <c r="V4192" s="2"/>
      <c r="W4192" s="2" t="s">
        <v>878</v>
      </c>
      <c r="X4192" s="2" t="s">
        <v>43</v>
      </c>
      <c r="Y4192" s="2" t="s">
        <v>37</v>
      </c>
      <c r="Z4192" s="2" t="s">
        <v>44</v>
      </c>
      <c r="AA4192" s="2"/>
      <c r="AB4192" s="2"/>
      <c r="AC4192" s="2" t="s">
        <v>31444</v>
      </c>
      <c r="AD4192" s="2" t="s">
        <v>46</v>
      </c>
    </row>
    <row r="4193" customFormat="false" ht="15.7" hidden="false" customHeight="true" outlineLevel="0" collapsed="false">
      <c r="A4193" s="2"/>
      <c r="B4193" s="3" t="n">
        <f aca="false">DATE(2019,5,5)</f>
        <v>0</v>
      </c>
      <c r="C4193" s="3" t="n">
        <v>43590</v>
      </c>
      <c r="D4193" s="2" t="s">
        <v>31445</v>
      </c>
      <c r="F4193" s="2" t="s">
        <v>13944</v>
      </c>
      <c r="G4193" s="2" t="s">
        <v>31446</v>
      </c>
      <c r="H4193" s="2" t="s">
        <v>1027</v>
      </c>
      <c r="I4193" s="2" t="s">
        <v>4458</v>
      </c>
      <c r="J4193" s="2" t="s">
        <v>35</v>
      </c>
      <c r="K4193" s="2" t="s">
        <v>31447</v>
      </c>
      <c r="L4193" s="2" t="s">
        <v>4325</v>
      </c>
      <c r="M4193" s="2" t="s">
        <v>1027</v>
      </c>
      <c r="N4193" s="2" t="s">
        <v>31448</v>
      </c>
      <c r="O4193" s="2"/>
      <c r="P4193" s="2" t="s">
        <v>37</v>
      </c>
      <c r="Q4193" s="4" t="n">
        <v>8731</v>
      </c>
      <c r="R4193" s="2" t="s">
        <v>56</v>
      </c>
      <c r="S4193" s="2"/>
      <c r="T4193" s="2" t="s">
        <v>403</v>
      </c>
      <c r="U4193" s="2" t="s">
        <v>31449</v>
      </c>
      <c r="V4193" s="2"/>
      <c r="W4193" s="2" t="s">
        <v>42</v>
      </c>
      <c r="X4193" s="2" t="s">
        <v>43</v>
      </c>
      <c r="Y4193" s="2" t="s">
        <v>37</v>
      </c>
      <c r="Z4193" s="2" t="s">
        <v>44</v>
      </c>
      <c r="AA4193" s="2"/>
      <c r="AB4193" s="2"/>
      <c r="AC4193" s="2" t="s">
        <v>31450</v>
      </c>
      <c r="AD4193" s="2" t="s">
        <v>46</v>
      </c>
    </row>
    <row r="4194" customFormat="false" ht="15.7" hidden="false" customHeight="true" outlineLevel="0" collapsed="false">
      <c r="A4194" s="2"/>
      <c r="B4194" s="3" t="n">
        <f aca="false">DATE(2019,5,5)</f>
        <v>0</v>
      </c>
      <c r="C4194" s="3" t="n">
        <v>43590</v>
      </c>
      <c r="D4194" s="2" t="s">
        <v>31451</v>
      </c>
      <c r="F4194" s="2" t="s">
        <v>30274</v>
      </c>
      <c r="G4194" s="2" t="s">
        <v>31452</v>
      </c>
      <c r="H4194" s="2" t="s">
        <v>523</v>
      </c>
      <c r="I4194" s="2" t="s">
        <v>5930</v>
      </c>
      <c r="J4194" s="2" t="s">
        <v>35</v>
      </c>
      <c r="K4194" s="2" t="s">
        <v>31451</v>
      </c>
      <c r="L4194" s="2" t="s">
        <v>5930</v>
      </c>
      <c r="M4194" s="2" t="s">
        <v>523</v>
      </c>
      <c r="N4194" s="2" t="s">
        <v>31453</v>
      </c>
      <c r="O4194" s="2"/>
      <c r="P4194" s="2" t="s">
        <v>37</v>
      </c>
      <c r="Q4194" s="4" t="n">
        <v>8731</v>
      </c>
      <c r="R4194" s="2" t="s">
        <v>2201</v>
      </c>
      <c r="S4194" s="2" t="s">
        <v>39</v>
      </c>
      <c r="T4194" s="2" t="s">
        <v>40</v>
      </c>
      <c r="U4194" s="2" t="s">
        <v>31454</v>
      </c>
      <c r="V4194" s="2"/>
      <c r="W4194" s="2" t="s">
        <v>42</v>
      </c>
      <c r="X4194" s="2" t="s">
        <v>43</v>
      </c>
      <c r="Y4194" s="2" t="s">
        <v>37</v>
      </c>
      <c r="Z4194" s="2" t="s">
        <v>44</v>
      </c>
      <c r="AA4194" s="2"/>
      <c r="AB4194" s="2"/>
      <c r="AC4194" s="2" t="s">
        <v>31455</v>
      </c>
      <c r="AD4194" s="2" t="s">
        <v>46</v>
      </c>
    </row>
    <row r="4195" customFormat="false" ht="15.7" hidden="false" customHeight="true" outlineLevel="0" collapsed="false">
      <c r="A4195" s="2"/>
      <c r="B4195" s="3" t="n">
        <f aca="false">DATE(2019,5,5)</f>
        <v>0</v>
      </c>
      <c r="C4195" s="3" t="n">
        <v>43590</v>
      </c>
      <c r="D4195" s="2" t="s">
        <v>31456</v>
      </c>
      <c r="F4195" s="2" t="s">
        <v>31457</v>
      </c>
      <c r="G4195" s="2" t="s">
        <v>31458</v>
      </c>
      <c r="H4195" s="2" t="s">
        <v>130</v>
      </c>
      <c r="I4195" s="2" t="s">
        <v>5930</v>
      </c>
      <c r="J4195" s="2" t="s">
        <v>35</v>
      </c>
      <c r="K4195" s="2" t="s">
        <v>31456</v>
      </c>
      <c r="L4195" s="2" t="s">
        <v>5930</v>
      </c>
      <c r="M4195" s="2" t="s">
        <v>130</v>
      </c>
      <c r="N4195" s="2" t="s">
        <v>31459</v>
      </c>
      <c r="O4195" s="2"/>
      <c r="P4195" s="2" t="s">
        <v>37</v>
      </c>
      <c r="Q4195" s="4" t="n">
        <v>8731</v>
      </c>
      <c r="R4195" s="2" t="s">
        <v>2201</v>
      </c>
      <c r="S4195" s="2" t="s">
        <v>39</v>
      </c>
      <c r="T4195" s="2" t="s">
        <v>40</v>
      </c>
      <c r="U4195" s="2" t="s">
        <v>31460</v>
      </c>
      <c r="V4195" s="2"/>
      <c r="W4195" s="2" t="s">
        <v>42</v>
      </c>
      <c r="X4195" s="2" t="s">
        <v>43</v>
      </c>
      <c r="Y4195" s="2" t="s">
        <v>37</v>
      </c>
      <c r="Z4195" s="2" t="s">
        <v>44</v>
      </c>
      <c r="AA4195" s="2"/>
      <c r="AB4195" s="2"/>
      <c r="AC4195" s="2" t="s">
        <v>31461</v>
      </c>
      <c r="AD4195" s="2" t="s">
        <v>46</v>
      </c>
    </row>
    <row r="4196" customFormat="false" ht="15.7" hidden="false" customHeight="true" outlineLevel="0" collapsed="false">
      <c r="A4196" s="2"/>
      <c r="B4196" s="3" t="n">
        <f aca="false">DATE(2019,5,6)</f>
        <v>0</v>
      </c>
      <c r="C4196" s="3" t="n">
        <v>43591</v>
      </c>
      <c r="D4196" s="2" t="s">
        <v>31462</v>
      </c>
      <c r="F4196" s="2" t="s">
        <v>31463</v>
      </c>
      <c r="G4196" s="2" t="s">
        <v>31464</v>
      </c>
      <c r="H4196" s="2" t="s">
        <v>305</v>
      </c>
      <c r="I4196" s="2" t="s">
        <v>180</v>
      </c>
      <c r="J4196" s="2" t="s">
        <v>3385</v>
      </c>
      <c r="K4196" s="2" t="s">
        <v>31462</v>
      </c>
      <c r="L4196" s="2" t="s">
        <v>180</v>
      </c>
      <c r="M4196" s="2" t="s">
        <v>305</v>
      </c>
      <c r="N4196" s="2" t="s">
        <v>31465</v>
      </c>
      <c r="O4196" s="2"/>
      <c r="P4196" s="2" t="s">
        <v>37</v>
      </c>
      <c r="Q4196" s="4" t="n">
        <v>8731</v>
      </c>
      <c r="R4196" s="2" t="s">
        <v>56</v>
      </c>
      <c r="S4196" s="2"/>
      <c r="T4196" s="2" t="s">
        <v>403</v>
      </c>
      <c r="U4196" s="2" t="s">
        <v>31466</v>
      </c>
      <c r="V4196" s="2"/>
      <c r="W4196" s="2" t="s">
        <v>42</v>
      </c>
      <c r="X4196" s="2" t="s">
        <v>43</v>
      </c>
      <c r="Y4196" s="2" t="s">
        <v>37</v>
      </c>
      <c r="Z4196" s="2" t="s">
        <v>44</v>
      </c>
      <c r="AA4196" s="2"/>
      <c r="AB4196" s="2"/>
      <c r="AC4196" s="2" t="s">
        <v>31467</v>
      </c>
      <c r="AD4196" s="2" t="s">
        <v>46</v>
      </c>
    </row>
    <row r="4197" customFormat="false" ht="15.7" hidden="false" customHeight="true" outlineLevel="0" collapsed="false">
      <c r="A4197" s="2"/>
      <c r="B4197" s="3" t="n">
        <f aca="false">DATE(2019,5,6)</f>
        <v>0</v>
      </c>
      <c r="C4197" s="3" t="n">
        <v>43591</v>
      </c>
      <c r="D4197" s="2" t="s">
        <v>31468</v>
      </c>
      <c r="F4197" s="2" t="s">
        <v>2471</v>
      </c>
      <c r="G4197" s="2" t="s">
        <v>31469</v>
      </c>
      <c r="H4197" s="2" t="s">
        <v>130</v>
      </c>
      <c r="I4197" s="2" t="s">
        <v>31470</v>
      </c>
      <c r="J4197" s="2" t="s">
        <v>35</v>
      </c>
      <c r="K4197" s="2" t="s">
        <v>31468</v>
      </c>
      <c r="L4197" s="2" t="s">
        <v>31470</v>
      </c>
      <c r="M4197" s="2" t="s">
        <v>130</v>
      </c>
      <c r="N4197" s="2" t="s">
        <v>31471</v>
      </c>
      <c r="O4197" s="2"/>
      <c r="P4197" s="2" t="s">
        <v>37</v>
      </c>
      <c r="Q4197" s="4" t="n">
        <v>8731</v>
      </c>
      <c r="R4197" s="2" t="s">
        <v>136</v>
      </c>
      <c r="S4197" s="2" t="s">
        <v>39</v>
      </c>
      <c r="T4197" s="2" t="s">
        <v>40</v>
      </c>
      <c r="U4197" s="2" t="s">
        <v>31472</v>
      </c>
      <c r="V4197" s="2"/>
      <c r="W4197" s="2" t="s">
        <v>42</v>
      </c>
      <c r="X4197" s="2" t="s">
        <v>43</v>
      </c>
      <c r="Y4197" s="2" t="s">
        <v>37</v>
      </c>
      <c r="Z4197" s="2" t="s">
        <v>44</v>
      </c>
      <c r="AA4197" s="2"/>
      <c r="AB4197" s="2"/>
      <c r="AC4197" s="2" t="s">
        <v>31473</v>
      </c>
      <c r="AD4197" s="2" t="s">
        <v>46</v>
      </c>
    </row>
    <row r="4198" customFormat="false" ht="15.7" hidden="false" customHeight="true" outlineLevel="0" collapsed="false">
      <c r="A4198" s="2"/>
      <c r="B4198" s="3" t="n">
        <f aca="false">DATE(2019,5,6)</f>
        <v>0</v>
      </c>
      <c r="C4198" s="3" t="n">
        <v>43591</v>
      </c>
      <c r="D4198" s="2" t="s">
        <v>31474</v>
      </c>
      <c r="F4198" s="2" t="s">
        <v>25041</v>
      </c>
      <c r="G4198" s="2" t="s">
        <v>31475</v>
      </c>
      <c r="H4198" s="2" t="s">
        <v>1020</v>
      </c>
      <c r="I4198" s="2" t="s">
        <v>685</v>
      </c>
      <c r="J4198" s="2" t="s">
        <v>35</v>
      </c>
      <c r="K4198" s="2" t="s">
        <v>31474</v>
      </c>
      <c r="L4198" s="2" t="s">
        <v>685</v>
      </c>
      <c r="M4198" s="2" t="s">
        <v>1020</v>
      </c>
      <c r="N4198" s="2" t="s">
        <v>31476</v>
      </c>
      <c r="O4198" s="2"/>
      <c r="P4198" s="2" t="s">
        <v>37</v>
      </c>
      <c r="Q4198" s="4" t="n">
        <v>8731</v>
      </c>
      <c r="R4198" s="2" t="s">
        <v>688</v>
      </c>
      <c r="S4198" s="2" t="s">
        <v>39</v>
      </c>
      <c r="T4198" s="2" t="s">
        <v>40</v>
      </c>
      <c r="U4198" s="2" t="s">
        <v>31477</v>
      </c>
      <c r="V4198" s="2"/>
      <c r="W4198" s="2" t="s">
        <v>42</v>
      </c>
      <c r="X4198" s="2" t="s">
        <v>43</v>
      </c>
      <c r="Y4198" s="2" t="s">
        <v>37</v>
      </c>
      <c r="Z4198" s="2" t="s">
        <v>44</v>
      </c>
      <c r="AA4198" s="2"/>
      <c r="AB4198" s="2"/>
      <c r="AC4198" s="2" t="s">
        <v>31478</v>
      </c>
      <c r="AD4198" s="2" t="s">
        <v>46</v>
      </c>
    </row>
    <row r="4199" customFormat="false" ht="15.7" hidden="false" customHeight="true" outlineLevel="0" collapsed="false">
      <c r="A4199" s="2"/>
      <c r="B4199" s="3" t="n">
        <f aca="false">DATE(2019,5,6)</f>
        <v>0</v>
      </c>
      <c r="C4199" s="3" t="n">
        <v>43591</v>
      </c>
      <c r="D4199" s="2" t="s">
        <v>31479</v>
      </c>
      <c r="F4199" s="2" t="s">
        <v>31480</v>
      </c>
      <c r="G4199" s="2" t="s">
        <v>31481</v>
      </c>
      <c r="H4199" s="2" t="s">
        <v>130</v>
      </c>
      <c r="I4199" s="2" t="s">
        <v>31482</v>
      </c>
      <c r="J4199" s="2" t="s">
        <v>35</v>
      </c>
      <c r="K4199" s="2" t="s">
        <v>31479</v>
      </c>
      <c r="L4199" s="2" t="s">
        <v>31482</v>
      </c>
      <c r="M4199" s="2" t="s">
        <v>130</v>
      </c>
      <c r="N4199" s="2" t="s">
        <v>31483</v>
      </c>
      <c r="O4199" s="2"/>
      <c r="P4199" s="2" t="s">
        <v>37</v>
      </c>
      <c r="Q4199" s="4" t="n">
        <v>8731</v>
      </c>
      <c r="R4199" s="2" t="s">
        <v>136</v>
      </c>
      <c r="S4199" s="2" t="s">
        <v>39</v>
      </c>
      <c r="T4199" s="2" t="s">
        <v>40</v>
      </c>
      <c r="U4199" s="2" t="s">
        <v>31484</v>
      </c>
      <c r="V4199" s="2"/>
      <c r="W4199" s="2" t="s">
        <v>42</v>
      </c>
      <c r="X4199" s="2" t="s">
        <v>43</v>
      </c>
      <c r="Y4199" s="2" t="s">
        <v>37</v>
      </c>
      <c r="Z4199" s="2" t="s">
        <v>44</v>
      </c>
      <c r="AA4199" s="2"/>
      <c r="AB4199" s="2"/>
      <c r="AC4199" s="2" t="s">
        <v>31485</v>
      </c>
      <c r="AD4199" s="2" t="s">
        <v>46</v>
      </c>
    </row>
    <row r="4200" customFormat="false" ht="15.7" hidden="false" customHeight="true" outlineLevel="0" collapsed="false">
      <c r="A4200" s="2"/>
      <c r="B4200" s="3" t="n">
        <f aca="false">DATE(2019,5,6)</f>
        <v>0</v>
      </c>
      <c r="C4200" s="3" t="n">
        <v>43591</v>
      </c>
      <c r="D4200" s="2" t="s">
        <v>31486</v>
      </c>
      <c r="F4200" s="2" t="s">
        <v>24100</v>
      </c>
      <c r="G4200" s="2" t="s">
        <v>31487</v>
      </c>
      <c r="H4200" s="2" t="s">
        <v>3703</v>
      </c>
      <c r="I4200" s="2" t="s">
        <v>3267</v>
      </c>
      <c r="J4200" s="2" t="s">
        <v>132</v>
      </c>
      <c r="K4200" s="2" t="s">
        <v>31486</v>
      </c>
      <c r="L4200" s="2" t="s">
        <v>3267</v>
      </c>
      <c r="M4200" s="2" t="s">
        <v>3703</v>
      </c>
      <c r="N4200" s="2" t="s">
        <v>31488</v>
      </c>
      <c r="O4200" s="2"/>
      <c r="P4200" s="2" t="s">
        <v>37</v>
      </c>
      <c r="Q4200" s="4" t="n">
        <v>6794</v>
      </c>
      <c r="R4200" s="2" t="s">
        <v>136</v>
      </c>
      <c r="S4200" s="2" t="s">
        <v>39</v>
      </c>
      <c r="T4200" s="2" t="s">
        <v>40</v>
      </c>
      <c r="U4200" s="2" t="s">
        <v>31489</v>
      </c>
      <c r="V4200" s="2"/>
      <c r="W4200" s="2" t="s">
        <v>15545</v>
      </c>
      <c r="X4200" s="2" t="s">
        <v>43</v>
      </c>
      <c r="Y4200" s="2" t="s">
        <v>37</v>
      </c>
      <c r="Z4200" s="2" t="s">
        <v>44</v>
      </c>
      <c r="AA4200" s="2"/>
      <c r="AB4200" s="2"/>
      <c r="AC4200" s="2" t="s">
        <v>31490</v>
      </c>
      <c r="AD4200" s="2" t="s">
        <v>46</v>
      </c>
    </row>
    <row r="4201" customFormat="false" ht="15.7" hidden="false" customHeight="true" outlineLevel="0" collapsed="false">
      <c r="A4201" s="2"/>
      <c r="B4201" s="3" t="n">
        <f aca="false">DATE(2019,5,7)</f>
        <v>0</v>
      </c>
      <c r="C4201" s="3" t="n">
        <v>43592</v>
      </c>
      <c r="D4201" s="2" t="s">
        <v>31491</v>
      </c>
      <c r="F4201" s="2" t="s">
        <v>31492</v>
      </c>
      <c r="G4201" s="2" t="s">
        <v>31493</v>
      </c>
      <c r="H4201" s="2" t="s">
        <v>31494</v>
      </c>
      <c r="I4201" s="2" t="s">
        <v>540</v>
      </c>
      <c r="J4201" s="2" t="s">
        <v>35</v>
      </c>
      <c r="K4201" s="2" t="s">
        <v>31491</v>
      </c>
      <c r="L4201" s="2" t="s">
        <v>540</v>
      </c>
      <c r="M4201" s="2" t="s">
        <v>31494</v>
      </c>
      <c r="N4201" s="2" t="s">
        <v>31495</v>
      </c>
      <c r="O4201" s="2"/>
      <c r="P4201" s="2" t="s">
        <v>37</v>
      </c>
      <c r="Q4201" s="4" t="n">
        <v>5099</v>
      </c>
      <c r="R4201" s="2" t="s">
        <v>1448</v>
      </c>
      <c r="S4201" s="2" t="s">
        <v>39</v>
      </c>
      <c r="T4201" s="2" t="s">
        <v>40</v>
      </c>
      <c r="U4201" s="2" t="s">
        <v>31496</v>
      </c>
      <c r="V4201" s="2"/>
      <c r="W4201" s="2" t="s">
        <v>13100</v>
      </c>
      <c r="X4201" s="2" t="s">
        <v>43</v>
      </c>
      <c r="Y4201" s="2" t="s">
        <v>37</v>
      </c>
      <c r="Z4201" s="2" t="s">
        <v>44</v>
      </c>
      <c r="AA4201" s="2"/>
      <c r="AB4201" s="2"/>
      <c r="AC4201" s="2" t="s">
        <v>31497</v>
      </c>
      <c r="AD4201" s="2" t="s">
        <v>46</v>
      </c>
    </row>
    <row r="4202" customFormat="false" ht="15.7" hidden="false" customHeight="true" outlineLevel="0" collapsed="false">
      <c r="A4202" s="2"/>
      <c r="B4202" s="3" t="n">
        <f aca="false">DATE(2019,5,7)</f>
        <v>0</v>
      </c>
      <c r="C4202" s="3" t="n">
        <v>43592</v>
      </c>
      <c r="D4202" s="2" t="s">
        <v>31498</v>
      </c>
      <c r="F4202" s="2" t="s">
        <v>23409</v>
      </c>
      <c r="G4202" s="2" t="s">
        <v>31499</v>
      </c>
      <c r="H4202" s="2" t="s">
        <v>26938</v>
      </c>
      <c r="I4202" s="2" t="s">
        <v>4325</v>
      </c>
      <c r="J4202" s="2" t="s">
        <v>35</v>
      </c>
      <c r="K4202" s="2" t="s">
        <v>31500</v>
      </c>
      <c r="L4202" s="2" t="s">
        <v>4325</v>
      </c>
      <c r="M4202" s="2" t="s">
        <v>26938</v>
      </c>
      <c r="N4202" s="2" t="s">
        <v>31501</v>
      </c>
      <c r="O4202" s="2" t="s">
        <v>31502</v>
      </c>
      <c r="P4202" s="2" t="s">
        <v>37</v>
      </c>
      <c r="Q4202" s="4" t="n">
        <v>8731</v>
      </c>
      <c r="R4202" s="2" t="s">
        <v>402</v>
      </c>
      <c r="S4202" s="2" t="s">
        <v>39</v>
      </c>
      <c r="T4202" s="2" t="s">
        <v>40</v>
      </c>
      <c r="U4202" s="2" t="s">
        <v>31503</v>
      </c>
      <c r="V4202" s="2"/>
      <c r="W4202" s="2" t="s">
        <v>42</v>
      </c>
      <c r="X4202" s="2" t="s">
        <v>46</v>
      </c>
      <c r="Y4202" s="2" t="s">
        <v>37</v>
      </c>
      <c r="Z4202" s="2" t="s">
        <v>1639</v>
      </c>
      <c r="AA4202" s="2" t="s">
        <v>31504</v>
      </c>
      <c r="AB4202" s="2" t="s">
        <v>31505</v>
      </c>
      <c r="AC4202" s="2" t="s">
        <v>31506</v>
      </c>
      <c r="AD4202" s="2" t="s">
        <v>46</v>
      </c>
    </row>
    <row r="4203" customFormat="false" ht="15.7" hidden="false" customHeight="true" outlineLevel="0" collapsed="false">
      <c r="A4203" s="2"/>
      <c r="B4203" s="3" t="n">
        <f aca="false">DATE(2019,5,7)</f>
        <v>0</v>
      </c>
      <c r="C4203" s="3" t="n">
        <v>43592</v>
      </c>
      <c r="D4203" s="2" t="s">
        <v>31507</v>
      </c>
      <c r="F4203" s="2" t="s">
        <v>21855</v>
      </c>
      <c r="G4203" s="2" t="s">
        <v>31508</v>
      </c>
      <c r="H4203" s="2" t="s">
        <v>17836</v>
      </c>
      <c r="I4203" s="2" t="s">
        <v>17366</v>
      </c>
      <c r="J4203" s="2" t="s">
        <v>8615</v>
      </c>
      <c r="K4203" s="2" t="s">
        <v>31507</v>
      </c>
      <c r="L4203" s="2" t="s">
        <v>17366</v>
      </c>
      <c r="M4203" s="2" t="s">
        <v>17836</v>
      </c>
      <c r="N4203" s="2" t="s">
        <v>31509</v>
      </c>
      <c r="O4203" s="2"/>
      <c r="P4203" s="2" t="s">
        <v>37</v>
      </c>
      <c r="Q4203" s="4" t="n">
        <v>8731</v>
      </c>
      <c r="R4203" s="2" t="s">
        <v>56</v>
      </c>
      <c r="S4203" s="2"/>
      <c r="T4203" s="2" t="s">
        <v>403</v>
      </c>
      <c r="U4203" s="2" t="s">
        <v>31510</v>
      </c>
      <c r="V4203" s="2"/>
      <c r="W4203" s="2" t="s">
        <v>344</v>
      </c>
      <c r="X4203" s="2" t="s">
        <v>43</v>
      </c>
      <c r="Y4203" s="2" t="s">
        <v>37</v>
      </c>
      <c r="Z4203" s="2" t="s">
        <v>44</v>
      </c>
      <c r="AA4203" s="2"/>
      <c r="AB4203" s="2"/>
      <c r="AC4203" s="2" t="s">
        <v>31511</v>
      </c>
      <c r="AD4203" s="2" t="s">
        <v>46</v>
      </c>
    </row>
    <row r="4204" customFormat="false" ht="15.7" hidden="false" customHeight="true" outlineLevel="0" collapsed="false">
      <c r="A4204" s="2"/>
      <c r="B4204" s="3" t="n">
        <f aca="false">DATE(2019,5,7)</f>
        <v>0</v>
      </c>
      <c r="C4204" s="3" t="n">
        <v>43592</v>
      </c>
      <c r="D4204" s="2" t="s">
        <v>31512</v>
      </c>
      <c r="F4204" s="2" t="s">
        <v>31513</v>
      </c>
      <c r="G4204" s="2" t="s">
        <v>31514</v>
      </c>
      <c r="H4204" s="2" t="s">
        <v>31515</v>
      </c>
      <c r="I4204" s="2" t="s">
        <v>388</v>
      </c>
      <c r="J4204" s="2" t="s">
        <v>1456</v>
      </c>
      <c r="K4204" s="2" t="s">
        <v>31516</v>
      </c>
      <c r="L4204" s="2" t="s">
        <v>388</v>
      </c>
      <c r="M4204" s="2" t="s">
        <v>20159</v>
      </c>
      <c r="N4204" s="2" t="s">
        <v>31517</v>
      </c>
      <c r="O4204" s="2"/>
      <c r="P4204" s="2" t="s">
        <v>37</v>
      </c>
      <c r="Q4204" s="4" t="n">
        <v>8731</v>
      </c>
      <c r="R4204" s="2" t="s">
        <v>56</v>
      </c>
      <c r="S4204" s="2"/>
      <c r="T4204" s="2" t="s">
        <v>40</v>
      </c>
      <c r="U4204" s="2" t="s">
        <v>31518</v>
      </c>
      <c r="V4204" s="2"/>
      <c r="W4204" s="2" t="s">
        <v>42</v>
      </c>
      <c r="X4204" s="2" t="s">
        <v>43</v>
      </c>
      <c r="Y4204" s="2" t="s">
        <v>37</v>
      </c>
      <c r="Z4204" s="2" t="s">
        <v>44</v>
      </c>
      <c r="AA4204" s="2"/>
      <c r="AB4204" s="2"/>
      <c r="AC4204" s="2" t="s">
        <v>31519</v>
      </c>
      <c r="AD4204" s="2" t="s">
        <v>46</v>
      </c>
    </row>
    <row r="4205" customFormat="false" ht="15.7" hidden="false" customHeight="true" outlineLevel="0" collapsed="false">
      <c r="A4205" s="2"/>
      <c r="B4205" s="3" t="n">
        <f aca="false">DATE(2019,5,8)</f>
        <v>0</v>
      </c>
      <c r="C4205" s="3" t="n">
        <v>43593</v>
      </c>
      <c r="D4205" s="2" t="s">
        <v>31520</v>
      </c>
      <c r="F4205" s="2" t="s">
        <v>31521</v>
      </c>
      <c r="G4205" s="2" t="s">
        <v>31522</v>
      </c>
      <c r="H4205" s="2" t="s">
        <v>31523</v>
      </c>
      <c r="I4205" s="2" t="s">
        <v>51</v>
      </c>
      <c r="J4205" s="2" t="s">
        <v>171</v>
      </c>
      <c r="K4205" s="2" t="s">
        <v>31520</v>
      </c>
      <c r="L4205" s="2" t="s">
        <v>51</v>
      </c>
      <c r="M4205" s="2" t="s">
        <v>31523</v>
      </c>
      <c r="N4205" s="2" t="s">
        <v>31524</v>
      </c>
      <c r="O4205" s="2"/>
      <c r="P4205" s="2" t="s">
        <v>37</v>
      </c>
      <c r="Q4205" s="4" t="n">
        <v>8731</v>
      </c>
      <c r="R4205" s="2" t="s">
        <v>56</v>
      </c>
      <c r="S4205" s="2"/>
      <c r="T4205" s="2" t="s">
        <v>40</v>
      </c>
      <c r="U4205" s="2" t="s">
        <v>31525</v>
      </c>
      <c r="V4205" s="2"/>
      <c r="W4205" s="2" t="s">
        <v>42</v>
      </c>
      <c r="X4205" s="2" t="s">
        <v>46</v>
      </c>
      <c r="Y4205" s="2" t="s">
        <v>37</v>
      </c>
      <c r="Z4205" s="2" t="s">
        <v>44</v>
      </c>
      <c r="AA4205" s="2"/>
      <c r="AB4205" s="2"/>
      <c r="AC4205" s="2" t="s">
        <v>31526</v>
      </c>
      <c r="AD4205" s="2" t="s">
        <v>46</v>
      </c>
    </row>
    <row r="4206" customFormat="false" ht="15.7" hidden="false" customHeight="true" outlineLevel="0" collapsed="false">
      <c r="A4206" s="2"/>
      <c r="B4206" s="3" t="n">
        <f aca="false">DATE(2019,5,8)</f>
        <v>0</v>
      </c>
      <c r="C4206" s="3" t="n">
        <v>43593</v>
      </c>
      <c r="D4206" s="2" t="s">
        <v>31527</v>
      </c>
      <c r="F4206" s="2" t="s">
        <v>31528</v>
      </c>
      <c r="G4206" s="2" t="s">
        <v>31529</v>
      </c>
      <c r="H4206" s="2" t="s">
        <v>898</v>
      </c>
      <c r="I4206" s="2" t="s">
        <v>3802</v>
      </c>
      <c r="J4206" s="2" t="s">
        <v>35</v>
      </c>
      <c r="K4206" s="2" t="s">
        <v>31527</v>
      </c>
      <c r="L4206" s="2" t="s">
        <v>3802</v>
      </c>
      <c r="M4206" s="2" t="s">
        <v>898</v>
      </c>
      <c r="N4206" s="2" t="s">
        <v>31530</v>
      </c>
      <c r="O4206" s="2"/>
      <c r="P4206" s="2" t="s">
        <v>37</v>
      </c>
      <c r="Q4206" s="4" t="n">
        <v>8731</v>
      </c>
      <c r="R4206" s="2" t="s">
        <v>136</v>
      </c>
      <c r="S4206" s="2" t="s">
        <v>39</v>
      </c>
      <c r="T4206" s="2" t="s">
        <v>40</v>
      </c>
      <c r="U4206" s="2" t="s">
        <v>31531</v>
      </c>
      <c r="V4206" s="2"/>
      <c r="W4206" s="2" t="s">
        <v>23324</v>
      </c>
      <c r="X4206" s="2" t="s">
        <v>43</v>
      </c>
      <c r="Y4206" s="2" t="s">
        <v>37</v>
      </c>
      <c r="Z4206" s="2" t="s">
        <v>44</v>
      </c>
      <c r="AA4206" s="2"/>
      <c r="AB4206" s="2"/>
      <c r="AC4206" s="2" t="s">
        <v>31532</v>
      </c>
      <c r="AD4206" s="2" t="s">
        <v>46</v>
      </c>
    </row>
    <row r="4207" customFormat="false" ht="15.7" hidden="false" customHeight="true" outlineLevel="0" collapsed="false">
      <c r="A4207" s="2"/>
      <c r="B4207" s="3" t="n">
        <f aca="false">DATE(2019,5,8)</f>
        <v>0</v>
      </c>
      <c r="C4207" s="3" t="n">
        <v>43593</v>
      </c>
      <c r="D4207" s="2" t="s">
        <v>31533</v>
      </c>
      <c r="F4207" s="2" t="s">
        <v>31534</v>
      </c>
      <c r="G4207" s="2" t="s">
        <v>31535</v>
      </c>
      <c r="H4207" s="2" t="s">
        <v>1340</v>
      </c>
      <c r="I4207" s="2" t="s">
        <v>31536</v>
      </c>
      <c r="J4207" s="2" t="s">
        <v>35</v>
      </c>
      <c r="K4207" s="2" t="s">
        <v>31533</v>
      </c>
      <c r="L4207" s="2" t="s">
        <v>31536</v>
      </c>
      <c r="M4207" s="2" t="s">
        <v>1340</v>
      </c>
      <c r="N4207" s="2" t="s">
        <v>31537</v>
      </c>
      <c r="O4207" s="2"/>
      <c r="P4207" s="2" t="s">
        <v>37</v>
      </c>
      <c r="Q4207" s="4" t="n">
        <v>8099</v>
      </c>
      <c r="R4207" s="2" t="s">
        <v>670</v>
      </c>
      <c r="S4207" s="2" t="s">
        <v>25421</v>
      </c>
      <c r="T4207" s="2" t="s">
        <v>40</v>
      </c>
      <c r="U4207" s="2" t="s">
        <v>31538</v>
      </c>
      <c r="V4207" s="2"/>
      <c r="W4207" s="2" t="s">
        <v>4487</v>
      </c>
      <c r="X4207" s="2" t="s">
        <v>43</v>
      </c>
      <c r="Y4207" s="2" t="s">
        <v>79</v>
      </c>
      <c r="Z4207" s="2" t="s">
        <v>44</v>
      </c>
      <c r="AA4207" s="2"/>
      <c r="AB4207" s="2"/>
      <c r="AC4207" s="2" t="s">
        <v>31539</v>
      </c>
      <c r="AD4207" s="2" t="s">
        <v>46</v>
      </c>
    </row>
    <row r="4208" customFormat="false" ht="15.7" hidden="false" customHeight="true" outlineLevel="0" collapsed="false">
      <c r="A4208" s="2"/>
      <c r="B4208" s="3" t="n">
        <f aca="false">DATE(2019,5,8)</f>
        <v>0</v>
      </c>
      <c r="C4208" s="3" t="n">
        <v>43593</v>
      </c>
      <c r="D4208" s="2" t="s">
        <v>31540</v>
      </c>
      <c r="F4208" s="2" t="s">
        <v>31541</v>
      </c>
      <c r="G4208" s="2" t="s">
        <v>31542</v>
      </c>
      <c r="H4208" s="2" t="s">
        <v>31543</v>
      </c>
      <c r="I4208" s="2" t="s">
        <v>31544</v>
      </c>
      <c r="J4208" s="2" t="s">
        <v>116</v>
      </c>
      <c r="K4208" s="2" t="s">
        <v>31540</v>
      </c>
      <c r="L4208" s="2" t="s">
        <v>31544</v>
      </c>
      <c r="M4208" s="2" t="s">
        <v>31543</v>
      </c>
      <c r="N4208" s="2" t="s">
        <v>31545</v>
      </c>
      <c r="O4208" s="2"/>
      <c r="P4208" s="2" t="s">
        <v>37</v>
      </c>
      <c r="Q4208" s="4" t="n">
        <v>8731</v>
      </c>
      <c r="R4208" s="2" t="s">
        <v>31546</v>
      </c>
      <c r="S4208" s="2" t="s">
        <v>39</v>
      </c>
      <c r="T4208" s="2" t="s">
        <v>403</v>
      </c>
      <c r="U4208" s="2" t="s">
        <v>31547</v>
      </c>
      <c r="V4208" s="2"/>
      <c r="W4208" s="2" t="s">
        <v>4505</v>
      </c>
      <c r="X4208" s="2" t="s">
        <v>43</v>
      </c>
      <c r="Y4208" s="2" t="s">
        <v>37</v>
      </c>
      <c r="Z4208" s="2" t="s">
        <v>916</v>
      </c>
      <c r="AA4208" s="2"/>
      <c r="AB4208" s="2"/>
      <c r="AC4208" s="2" t="s">
        <v>31548</v>
      </c>
      <c r="AD4208" s="2" t="s">
        <v>46</v>
      </c>
    </row>
    <row r="4209" customFormat="false" ht="15.7" hidden="false" customHeight="true" outlineLevel="0" collapsed="false">
      <c r="A4209" s="2"/>
      <c r="B4209" s="3" t="n">
        <f aca="false">DATE(2019,5,8)</f>
        <v>0</v>
      </c>
      <c r="C4209" s="3" t="n">
        <v>43593</v>
      </c>
      <c r="D4209" s="2" t="s">
        <v>31549</v>
      </c>
      <c r="F4209" s="2" t="s">
        <v>31550</v>
      </c>
      <c r="G4209" s="2" t="s">
        <v>31551</v>
      </c>
      <c r="H4209" s="2" t="s">
        <v>26408</v>
      </c>
      <c r="I4209" s="2" t="s">
        <v>51</v>
      </c>
      <c r="J4209" s="2" t="s">
        <v>31552</v>
      </c>
      <c r="K4209" s="2" t="s">
        <v>31553</v>
      </c>
      <c r="L4209" s="2" t="s">
        <v>51</v>
      </c>
      <c r="M4209" s="2" t="s">
        <v>26408</v>
      </c>
      <c r="N4209" s="2" t="s">
        <v>31554</v>
      </c>
      <c r="O4209" s="2"/>
      <c r="P4209" s="2" t="s">
        <v>37</v>
      </c>
      <c r="Q4209" s="4" t="n">
        <v>8731</v>
      </c>
      <c r="R4209" s="2" t="s">
        <v>56</v>
      </c>
      <c r="S4209" s="2" t="s">
        <v>80</v>
      </c>
      <c r="T4209" s="2" t="s">
        <v>40</v>
      </c>
      <c r="U4209" s="2" t="s">
        <v>31555</v>
      </c>
      <c r="V4209" s="2"/>
      <c r="W4209" s="2" t="s">
        <v>24797</v>
      </c>
      <c r="X4209" s="2" t="s">
        <v>43</v>
      </c>
      <c r="Y4209" s="2" t="s">
        <v>37</v>
      </c>
      <c r="Z4209" s="2" t="s">
        <v>44</v>
      </c>
      <c r="AA4209" s="2"/>
      <c r="AB4209" s="2"/>
      <c r="AC4209" s="2" t="s">
        <v>31556</v>
      </c>
      <c r="AD4209" s="2" t="s">
        <v>46</v>
      </c>
    </row>
    <row r="4210" customFormat="false" ht="15.7" hidden="false" customHeight="true" outlineLevel="0" collapsed="false">
      <c r="A4210" s="2"/>
      <c r="B4210" s="3" t="n">
        <f aca="false">DATE(2019,5,8)</f>
        <v>0</v>
      </c>
      <c r="C4210" s="3" t="n">
        <v>43593</v>
      </c>
      <c r="D4210" s="2" t="s">
        <v>31557</v>
      </c>
      <c r="F4210" s="2" t="s">
        <v>31558</v>
      </c>
      <c r="G4210" s="2" t="s">
        <v>31559</v>
      </c>
      <c r="H4210" s="2" t="s">
        <v>305</v>
      </c>
      <c r="I4210" s="2" t="s">
        <v>664</v>
      </c>
      <c r="J4210" s="2" t="s">
        <v>5355</v>
      </c>
      <c r="K4210" s="2" t="s">
        <v>31557</v>
      </c>
      <c r="L4210" s="2" t="s">
        <v>664</v>
      </c>
      <c r="M4210" s="2" t="s">
        <v>305</v>
      </c>
      <c r="N4210" s="2" t="s">
        <v>31560</v>
      </c>
      <c r="O4210" s="2"/>
      <c r="P4210" s="2" t="s">
        <v>37</v>
      </c>
      <c r="Q4210" s="4" t="n">
        <v>8731</v>
      </c>
      <c r="R4210" s="2" t="s">
        <v>56</v>
      </c>
      <c r="S4210" s="2"/>
      <c r="T4210" s="2" t="s">
        <v>40</v>
      </c>
      <c r="U4210" s="2" t="s">
        <v>31561</v>
      </c>
      <c r="V4210" s="2"/>
      <c r="W4210" s="2" t="s">
        <v>1050</v>
      </c>
      <c r="X4210" s="2" t="s">
        <v>43</v>
      </c>
      <c r="Y4210" s="2" t="s">
        <v>37</v>
      </c>
      <c r="Z4210" s="2" t="s">
        <v>44</v>
      </c>
      <c r="AA4210" s="2"/>
      <c r="AB4210" s="2"/>
      <c r="AC4210" s="2" t="s">
        <v>31562</v>
      </c>
      <c r="AD4210" s="2" t="s">
        <v>46</v>
      </c>
    </row>
    <row r="4211" customFormat="false" ht="15.7" hidden="false" customHeight="true" outlineLevel="0" collapsed="false">
      <c r="A4211" s="2"/>
      <c r="B4211" s="3" t="n">
        <f aca="false">DATE(2019,5,8)</f>
        <v>0</v>
      </c>
      <c r="C4211" s="3" t="n">
        <v>43593</v>
      </c>
      <c r="D4211" s="2" t="s">
        <v>31563</v>
      </c>
      <c r="F4211" s="2" t="s">
        <v>31564</v>
      </c>
      <c r="G4211" s="2" t="s">
        <v>31565</v>
      </c>
      <c r="H4211" s="2" t="s">
        <v>130</v>
      </c>
      <c r="I4211" s="2" t="s">
        <v>487</v>
      </c>
      <c r="J4211" s="2" t="s">
        <v>7101</v>
      </c>
      <c r="K4211" s="2" t="s">
        <v>31563</v>
      </c>
      <c r="L4211" s="2" t="s">
        <v>487</v>
      </c>
      <c r="M4211" s="2" t="s">
        <v>130</v>
      </c>
      <c r="N4211" s="2" t="s">
        <v>31566</v>
      </c>
      <c r="O4211" s="2"/>
      <c r="P4211" s="2" t="s">
        <v>37</v>
      </c>
      <c r="Q4211" s="4" t="n">
        <v>8731</v>
      </c>
      <c r="R4211" s="2" t="s">
        <v>56</v>
      </c>
      <c r="S4211" s="2"/>
      <c r="T4211" s="2" t="s">
        <v>40</v>
      </c>
      <c r="U4211" s="2" t="s">
        <v>31567</v>
      </c>
      <c r="V4211" s="2"/>
      <c r="W4211" s="2" t="s">
        <v>42</v>
      </c>
      <c r="X4211" s="2" t="s">
        <v>43</v>
      </c>
      <c r="Y4211" s="2" t="s">
        <v>37</v>
      </c>
      <c r="Z4211" s="2" t="s">
        <v>44</v>
      </c>
      <c r="AA4211" s="2"/>
      <c r="AB4211" s="2"/>
      <c r="AC4211" s="2" t="s">
        <v>31568</v>
      </c>
      <c r="AD4211" s="2" t="s">
        <v>46</v>
      </c>
    </row>
    <row r="4212" customFormat="false" ht="15.7" hidden="false" customHeight="true" outlineLevel="0" collapsed="false">
      <c r="A4212" s="2"/>
      <c r="B4212" s="3" t="n">
        <f aca="false">DATE(2019,5,8)</f>
        <v>0</v>
      </c>
      <c r="C4212" s="3" t="n">
        <v>43593</v>
      </c>
      <c r="D4212" s="2" t="s">
        <v>31569</v>
      </c>
      <c r="F4212" s="2" t="s">
        <v>31570</v>
      </c>
      <c r="G4212" s="2" t="s">
        <v>31571</v>
      </c>
      <c r="H4212" s="2" t="s">
        <v>31572</v>
      </c>
      <c r="I4212" s="2" t="s">
        <v>64</v>
      </c>
      <c r="J4212" s="2" t="s">
        <v>65</v>
      </c>
      <c r="K4212" s="2" t="s">
        <v>31569</v>
      </c>
      <c r="L4212" s="2" t="s">
        <v>64</v>
      </c>
      <c r="M4212" s="2" t="s">
        <v>31572</v>
      </c>
      <c r="N4212" s="2" t="s">
        <v>31573</v>
      </c>
      <c r="O4212" s="2"/>
      <c r="P4212" s="2" t="s">
        <v>37</v>
      </c>
      <c r="Q4212" s="4" t="n">
        <v>8731</v>
      </c>
      <c r="R4212" s="2" t="s">
        <v>136</v>
      </c>
      <c r="S4212" s="2" t="s">
        <v>39</v>
      </c>
      <c r="T4212" s="2" t="s">
        <v>40</v>
      </c>
      <c r="U4212" s="2" t="s">
        <v>31574</v>
      </c>
      <c r="V4212" s="2"/>
      <c r="W4212" s="2" t="s">
        <v>42</v>
      </c>
      <c r="X4212" s="2" t="s">
        <v>43</v>
      </c>
      <c r="Y4212" s="2" t="s">
        <v>37</v>
      </c>
      <c r="Z4212" s="2" t="s">
        <v>44</v>
      </c>
      <c r="AA4212" s="2"/>
      <c r="AB4212" s="2"/>
      <c r="AC4212" s="2" t="s">
        <v>31575</v>
      </c>
      <c r="AD4212" s="2" t="s">
        <v>46</v>
      </c>
    </row>
    <row r="4213" customFormat="false" ht="15.7" hidden="false" customHeight="true" outlineLevel="0" collapsed="false">
      <c r="A4213" s="2"/>
      <c r="B4213" s="3" t="n">
        <f aca="false">DATE(2019,5,8)</f>
        <v>0</v>
      </c>
      <c r="C4213" s="3" t="n">
        <v>43593</v>
      </c>
      <c r="D4213" s="2" t="s">
        <v>31576</v>
      </c>
      <c r="F4213" s="2" t="s">
        <v>31577</v>
      </c>
      <c r="G4213" s="2" t="s">
        <v>31578</v>
      </c>
      <c r="H4213" s="2" t="s">
        <v>16387</v>
      </c>
      <c r="I4213" s="2" t="s">
        <v>51</v>
      </c>
      <c r="J4213" s="2" t="s">
        <v>2338</v>
      </c>
      <c r="K4213" s="2" t="s">
        <v>31576</v>
      </c>
      <c r="L4213" s="2" t="s">
        <v>51</v>
      </c>
      <c r="M4213" s="2" t="s">
        <v>16387</v>
      </c>
      <c r="N4213" s="2" t="s">
        <v>31579</v>
      </c>
      <c r="O4213" s="2"/>
      <c r="P4213" s="2" t="s">
        <v>37</v>
      </c>
      <c r="Q4213" s="4" t="n">
        <v>6794</v>
      </c>
      <c r="R4213" s="2" t="s">
        <v>56</v>
      </c>
      <c r="S4213" s="2" t="s">
        <v>92</v>
      </c>
      <c r="T4213" s="2" t="s">
        <v>40</v>
      </c>
      <c r="U4213" s="2" t="s">
        <v>31580</v>
      </c>
      <c r="V4213" s="2"/>
      <c r="W4213" s="2" t="s">
        <v>15545</v>
      </c>
      <c r="X4213" s="2" t="s">
        <v>43</v>
      </c>
      <c r="Y4213" s="2" t="s">
        <v>37</v>
      </c>
      <c r="Z4213" s="2" t="s">
        <v>44</v>
      </c>
      <c r="AA4213" s="2"/>
      <c r="AB4213" s="2"/>
      <c r="AC4213" s="2" t="s">
        <v>31581</v>
      </c>
      <c r="AD4213" s="2" t="s">
        <v>46</v>
      </c>
    </row>
    <row r="4214" customFormat="false" ht="15.7" hidden="false" customHeight="true" outlineLevel="0" collapsed="false">
      <c r="A4214" s="2"/>
      <c r="B4214" s="3" t="n">
        <f aca="false">DATE(2019,5,8)</f>
        <v>0</v>
      </c>
      <c r="C4214" s="3" t="n">
        <v>43593</v>
      </c>
      <c r="D4214" s="2" t="s">
        <v>31582</v>
      </c>
      <c r="F4214" s="2" t="s">
        <v>26332</v>
      </c>
      <c r="G4214" s="2" t="s">
        <v>31583</v>
      </c>
      <c r="H4214" s="2" t="s">
        <v>63</v>
      </c>
      <c r="I4214" s="2" t="s">
        <v>88</v>
      </c>
      <c r="J4214" s="2" t="s">
        <v>15829</v>
      </c>
      <c r="K4214" s="2" t="s">
        <v>31582</v>
      </c>
      <c r="L4214" s="2" t="s">
        <v>88</v>
      </c>
      <c r="M4214" s="2" t="s">
        <v>63</v>
      </c>
      <c r="N4214" s="2" t="s">
        <v>31584</v>
      </c>
      <c r="O4214" s="2"/>
      <c r="P4214" s="2" t="s">
        <v>37</v>
      </c>
      <c r="Q4214" s="4" t="n">
        <v>8731</v>
      </c>
      <c r="R4214" s="2" t="s">
        <v>136</v>
      </c>
      <c r="S4214" s="2" t="s">
        <v>39</v>
      </c>
      <c r="T4214" s="2" t="s">
        <v>40</v>
      </c>
      <c r="U4214" s="2" t="s">
        <v>31585</v>
      </c>
      <c r="V4214" s="2"/>
      <c r="W4214" s="2" t="s">
        <v>42</v>
      </c>
      <c r="X4214" s="2" t="s">
        <v>43</v>
      </c>
      <c r="Y4214" s="2" t="s">
        <v>37</v>
      </c>
      <c r="Z4214" s="2" t="s">
        <v>44</v>
      </c>
      <c r="AA4214" s="2"/>
      <c r="AB4214" s="2"/>
      <c r="AC4214" s="2" t="s">
        <v>31586</v>
      </c>
      <c r="AD4214" s="2" t="s">
        <v>46</v>
      </c>
    </row>
    <row r="4215" customFormat="false" ht="15.7" hidden="false" customHeight="true" outlineLevel="0" collapsed="false">
      <c r="A4215" s="2"/>
      <c r="B4215" s="3" t="n">
        <f aca="false">DATE(2019,5,9)</f>
        <v>0</v>
      </c>
      <c r="C4215" s="3" t="n">
        <v>43594</v>
      </c>
      <c r="D4215" s="2" t="s">
        <v>31587</v>
      </c>
      <c r="F4215" s="2" t="s">
        <v>31588</v>
      </c>
      <c r="G4215" s="2" t="s">
        <v>31589</v>
      </c>
      <c r="H4215" s="2" t="s">
        <v>31590</v>
      </c>
      <c r="I4215" s="2" t="s">
        <v>4458</v>
      </c>
      <c r="J4215" s="2" t="s">
        <v>35</v>
      </c>
      <c r="K4215" s="2" t="s">
        <v>31591</v>
      </c>
      <c r="L4215" s="2" t="s">
        <v>8326</v>
      </c>
      <c r="M4215" s="2" t="s">
        <v>1976</v>
      </c>
      <c r="N4215" s="2" t="s">
        <v>31592</v>
      </c>
      <c r="O4215" s="2"/>
      <c r="P4215" s="2" t="s">
        <v>37</v>
      </c>
      <c r="Q4215" s="4" t="n">
        <v>8731</v>
      </c>
      <c r="R4215" s="2" t="s">
        <v>402</v>
      </c>
      <c r="S4215" s="2" t="s">
        <v>39</v>
      </c>
      <c r="T4215" s="2" t="s">
        <v>403</v>
      </c>
      <c r="U4215" s="2" t="s">
        <v>31593</v>
      </c>
      <c r="V4215" s="2"/>
      <c r="W4215" s="2" t="s">
        <v>42</v>
      </c>
      <c r="X4215" s="2" t="s">
        <v>43</v>
      </c>
      <c r="Y4215" s="2" t="s">
        <v>37</v>
      </c>
      <c r="Z4215" s="2" t="s">
        <v>44</v>
      </c>
      <c r="AA4215" s="2"/>
      <c r="AB4215" s="2"/>
      <c r="AC4215" s="2" t="s">
        <v>31594</v>
      </c>
      <c r="AD4215" s="2" t="s">
        <v>46</v>
      </c>
    </row>
    <row r="4216" customFormat="false" ht="15.7" hidden="false" customHeight="true" outlineLevel="0" collapsed="false">
      <c r="A4216" s="2"/>
      <c r="B4216" s="3" t="n">
        <f aca="false">DATE(2019,5,9)</f>
        <v>0</v>
      </c>
      <c r="C4216" s="3" t="n">
        <v>43594</v>
      </c>
      <c r="D4216" s="2" t="s">
        <v>31595</v>
      </c>
      <c r="F4216" s="2" t="s">
        <v>31596</v>
      </c>
      <c r="G4216" s="2" t="s">
        <v>31597</v>
      </c>
      <c r="H4216" s="2" t="s">
        <v>31598</v>
      </c>
      <c r="I4216" s="2" t="s">
        <v>2530</v>
      </c>
      <c r="J4216" s="2" t="s">
        <v>31599</v>
      </c>
      <c r="K4216" s="2" t="s">
        <v>31595</v>
      </c>
      <c r="L4216" s="2" t="s">
        <v>2530</v>
      </c>
      <c r="M4216" s="2" t="s">
        <v>31598</v>
      </c>
      <c r="N4216" s="2" t="s">
        <v>31600</v>
      </c>
      <c r="O4216" s="2"/>
      <c r="P4216" s="2" t="s">
        <v>37</v>
      </c>
      <c r="Q4216" s="4" t="n">
        <v>8731</v>
      </c>
      <c r="R4216" s="2" t="s">
        <v>56</v>
      </c>
      <c r="S4216" s="2" t="s">
        <v>251</v>
      </c>
      <c r="T4216" s="2" t="s">
        <v>403</v>
      </c>
      <c r="U4216" s="2" t="s">
        <v>31601</v>
      </c>
      <c r="V4216" s="2"/>
      <c r="W4216" s="2" t="s">
        <v>10985</v>
      </c>
      <c r="X4216" s="2" t="s">
        <v>43</v>
      </c>
      <c r="Y4216" s="2" t="s">
        <v>37</v>
      </c>
      <c r="Z4216" s="2" t="s">
        <v>916</v>
      </c>
      <c r="AA4216" s="2"/>
      <c r="AB4216" s="2"/>
      <c r="AC4216" s="2" t="s">
        <v>31602</v>
      </c>
      <c r="AD4216" s="2" t="s">
        <v>46</v>
      </c>
    </row>
    <row r="4217" customFormat="false" ht="15.7" hidden="false" customHeight="true" outlineLevel="0" collapsed="false">
      <c r="A4217" s="2"/>
      <c r="B4217" s="3" t="n">
        <f aca="false">DATE(2019,5,10)</f>
        <v>0</v>
      </c>
      <c r="C4217" s="3" t="n">
        <v>43595</v>
      </c>
      <c r="D4217" s="2" t="s">
        <v>31603</v>
      </c>
      <c r="F4217" s="2" t="s">
        <v>31521</v>
      </c>
      <c r="G4217" s="2" t="s">
        <v>31604</v>
      </c>
      <c r="H4217" s="2" t="s">
        <v>31523</v>
      </c>
      <c r="I4217" s="2" t="s">
        <v>2294</v>
      </c>
      <c r="J4217" s="2" t="s">
        <v>35</v>
      </c>
      <c r="K4217" s="2" t="s">
        <v>31603</v>
      </c>
      <c r="L4217" s="2" t="s">
        <v>2294</v>
      </c>
      <c r="M4217" s="2" t="s">
        <v>31523</v>
      </c>
      <c r="N4217" s="2" t="s">
        <v>31605</v>
      </c>
      <c r="O4217" s="2"/>
      <c r="P4217" s="2" t="s">
        <v>37</v>
      </c>
      <c r="Q4217" s="4" t="n">
        <v>8731</v>
      </c>
      <c r="R4217" s="2" t="s">
        <v>450</v>
      </c>
      <c r="S4217" s="2" t="s">
        <v>39</v>
      </c>
      <c r="T4217" s="2" t="s">
        <v>403</v>
      </c>
      <c r="U4217" s="2" t="s">
        <v>31606</v>
      </c>
      <c r="V4217" s="2"/>
      <c r="W4217" s="2" t="s">
        <v>42</v>
      </c>
      <c r="X4217" s="2" t="s">
        <v>43</v>
      </c>
      <c r="Y4217" s="2" t="s">
        <v>37</v>
      </c>
      <c r="Z4217" s="2" t="s">
        <v>44</v>
      </c>
      <c r="AA4217" s="2"/>
      <c r="AB4217" s="2"/>
      <c r="AC4217" s="2" t="s">
        <v>31607</v>
      </c>
      <c r="AD4217" s="2" t="s">
        <v>46</v>
      </c>
    </row>
    <row r="4218" customFormat="false" ht="15.7" hidden="false" customHeight="true" outlineLevel="0" collapsed="false">
      <c r="A4218" s="2"/>
      <c r="B4218" s="3" t="n">
        <f aca="false">DATE(2019,5,10)</f>
        <v>0</v>
      </c>
      <c r="C4218" s="3" t="n">
        <v>43595</v>
      </c>
      <c r="D4218" s="2" t="s">
        <v>31608</v>
      </c>
      <c r="F4218" s="2" t="s">
        <v>31457</v>
      </c>
      <c r="G4218" s="2" t="s">
        <v>31609</v>
      </c>
      <c r="H4218" s="2" t="s">
        <v>5818</v>
      </c>
      <c r="I4218" s="2" t="s">
        <v>51</v>
      </c>
      <c r="J4218" s="2" t="s">
        <v>31610</v>
      </c>
      <c r="K4218" s="2" t="s">
        <v>31608</v>
      </c>
      <c r="L4218" s="2" t="s">
        <v>51</v>
      </c>
      <c r="M4218" s="2" t="s">
        <v>5818</v>
      </c>
      <c r="N4218" s="2" t="s">
        <v>31611</v>
      </c>
      <c r="O4218" s="2"/>
      <c r="P4218" s="2" t="s">
        <v>37</v>
      </c>
      <c r="Q4218" s="4" t="n">
        <v>8731</v>
      </c>
      <c r="R4218" s="2" t="s">
        <v>56</v>
      </c>
      <c r="S4218" s="2"/>
      <c r="T4218" s="2" t="s">
        <v>403</v>
      </c>
      <c r="U4218" s="2" t="s">
        <v>31612</v>
      </c>
      <c r="V4218" s="2"/>
      <c r="W4218" s="2" t="s">
        <v>42</v>
      </c>
      <c r="X4218" s="2" t="s">
        <v>43</v>
      </c>
      <c r="Y4218" s="2" t="s">
        <v>37</v>
      </c>
      <c r="Z4218" s="2" t="s">
        <v>44</v>
      </c>
      <c r="AA4218" s="2"/>
      <c r="AB4218" s="2"/>
      <c r="AC4218" s="2" t="s">
        <v>31613</v>
      </c>
      <c r="AD4218" s="2" t="s">
        <v>46</v>
      </c>
    </row>
    <row r="4219" customFormat="false" ht="15.7" hidden="false" customHeight="true" outlineLevel="0" collapsed="false">
      <c r="A4219" s="2"/>
      <c r="B4219" s="3" t="n">
        <f aca="false">DATE(2019,5,13)</f>
        <v>0</v>
      </c>
      <c r="C4219" s="3" t="n">
        <v>43598</v>
      </c>
      <c r="D4219" s="2" t="s">
        <v>31614</v>
      </c>
      <c r="F4219" s="2" t="s">
        <v>31615</v>
      </c>
      <c r="G4219" s="2" t="s">
        <v>31616</v>
      </c>
      <c r="H4219" s="2" t="s">
        <v>31617</v>
      </c>
      <c r="I4219" s="2" t="s">
        <v>51</v>
      </c>
      <c r="J4219" s="2" t="s">
        <v>171</v>
      </c>
      <c r="K4219" s="2" t="s">
        <v>31618</v>
      </c>
      <c r="L4219" s="2" t="s">
        <v>219</v>
      </c>
      <c r="M4219" s="2" t="s">
        <v>31617</v>
      </c>
      <c r="N4219" s="2" t="s">
        <v>31619</v>
      </c>
      <c r="O4219" s="2"/>
      <c r="P4219" s="2" t="s">
        <v>37</v>
      </c>
      <c r="Q4219" s="4" t="n">
        <v>6794</v>
      </c>
      <c r="R4219" s="2" t="s">
        <v>56</v>
      </c>
      <c r="S4219" s="2" t="s">
        <v>92</v>
      </c>
      <c r="T4219" s="2" t="s">
        <v>40</v>
      </c>
      <c r="U4219" s="2" t="s">
        <v>31620</v>
      </c>
      <c r="V4219" s="2"/>
      <c r="W4219" s="2" t="s">
        <v>31621</v>
      </c>
      <c r="X4219" s="2" t="s">
        <v>43</v>
      </c>
      <c r="Y4219" s="2" t="s">
        <v>37</v>
      </c>
      <c r="Z4219" s="2" t="s">
        <v>44</v>
      </c>
      <c r="AA4219" s="2"/>
      <c r="AB4219" s="2"/>
      <c r="AC4219" s="2" t="s">
        <v>31622</v>
      </c>
      <c r="AD4219" s="2" t="s">
        <v>46</v>
      </c>
    </row>
    <row r="4220" customFormat="false" ht="15.7" hidden="false" customHeight="true" outlineLevel="0" collapsed="false">
      <c r="A4220" s="2"/>
      <c r="B4220" s="3" t="n">
        <f aca="false">DATE(2019,5,13)</f>
        <v>0</v>
      </c>
      <c r="C4220" s="3" t="n">
        <v>43598</v>
      </c>
      <c r="D4220" s="2" t="s">
        <v>31623</v>
      </c>
      <c r="F4220" s="2" t="s">
        <v>22407</v>
      </c>
      <c r="G4220" s="2" t="s">
        <v>31624</v>
      </c>
      <c r="H4220" s="2" t="s">
        <v>762</v>
      </c>
      <c r="I4220" s="2" t="s">
        <v>25774</v>
      </c>
      <c r="J4220" s="2" t="s">
        <v>35</v>
      </c>
      <c r="K4220" s="2" t="s">
        <v>31623</v>
      </c>
      <c r="L4220" s="2" t="s">
        <v>25774</v>
      </c>
      <c r="M4220" s="2" t="s">
        <v>762</v>
      </c>
      <c r="N4220" s="2" t="s">
        <v>31625</v>
      </c>
      <c r="O4220" s="2"/>
      <c r="P4220" s="2" t="s">
        <v>37</v>
      </c>
      <c r="Q4220" s="4" t="n">
        <v>8731</v>
      </c>
      <c r="R4220" s="2" t="s">
        <v>1441</v>
      </c>
      <c r="S4220" s="2" t="s">
        <v>39</v>
      </c>
      <c r="T4220" s="2" t="s">
        <v>403</v>
      </c>
      <c r="U4220" s="2" t="s">
        <v>31626</v>
      </c>
      <c r="V4220" s="2"/>
      <c r="W4220" s="2" t="s">
        <v>42</v>
      </c>
      <c r="X4220" s="2" t="s">
        <v>43</v>
      </c>
      <c r="Y4220" s="2" t="s">
        <v>37</v>
      </c>
      <c r="Z4220" s="2" t="s">
        <v>44</v>
      </c>
      <c r="AA4220" s="2"/>
      <c r="AB4220" s="2"/>
      <c r="AC4220" s="2" t="s">
        <v>31627</v>
      </c>
      <c r="AD4220" s="2" t="s">
        <v>46</v>
      </c>
    </row>
    <row r="4221" customFormat="false" ht="15.7" hidden="false" customHeight="true" outlineLevel="0" collapsed="false">
      <c r="A4221" s="2"/>
      <c r="B4221" s="3" t="n">
        <f aca="false">DATE(2019,5,14)</f>
        <v>0</v>
      </c>
      <c r="C4221" s="3" t="n">
        <v>43599</v>
      </c>
      <c r="D4221" s="2" t="s">
        <v>31628</v>
      </c>
      <c r="F4221" s="2" t="s">
        <v>31629</v>
      </c>
      <c r="G4221" s="2" t="s">
        <v>31630</v>
      </c>
      <c r="H4221" s="2" t="s">
        <v>31631</v>
      </c>
      <c r="I4221" s="2" t="s">
        <v>51</v>
      </c>
      <c r="J4221" s="2" t="s">
        <v>2833</v>
      </c>
      <c r="K4221" s="2" t="s">
        <v>31632</v>
      </c>
      <c r="L4221" s="2" t="s">
        <v>51</v>
      </c>
      <c r="M4221" s="2" t="s">
        <v>31631</v>
      </c>
      <c r="N4221" s="2" t="s">
        <v>31633</v>
      </c>
      <c r="O4221" s="2"/>
      <c r="P4221" s="2" t="s">
        <v>37</v>
      </c>
      <c r="Q4221" s="4" t="n">
        <v>8099</v>
      </c>
      <c r="R4221" s="2" t="s">
        <v>56</v>
      </c>
      <c r="S4221" s="2" t="s">
        <v>277</v>
      </c>
      <c r="T4221" s="2" t="s">
        <v>40</v>
      </c>
      <c r="U4221" s="2" t="s">
        <v>31634</v>
      </c>
      <c r="V4221" s="2"/>
      <c r="W4221" s="2" t="s">
        <v>4487</v>
      </c>
      <c r="X4221" s="2" t="s">
        <v>43</v>
      </c>
      <c r="Y4221" s="2" t="s">
        <v>37</v>
      </c>
      <c r="Z4221" s="2" t="s">
        <v>44</v>
      </c>
      <c r="AA4221" s="2"/>
      <c r="AB4221" s="2"/>
      <c r="AC4221" s="2" t="s">
        <v>31635</v>
      </c>
      <c r="AD4221" s="2" t="s">
        <v>46</v>
      </c>
    </row>
    <row r="4222" customFormat="false" ht="15.7" hidden="false" customHeight="true" outlineLevel="0" collapsed="false">
      <c r="A4222" s="2"/>
      <c r="B4222" s="3" t="n">
        <f aca="false">DATE(2019,5,14)</f>
        <v>0</v>
      </c>
      <c r="C4222" s="3" t="n">
        <v>43599</v>
      </c>
      <c r="D4222" s="2" t="s">
        <v>31636</v>
      </c>
      <c r="F4222" s="2" t="s">
        <v>31637</v>
      </c>
      <c r="G4222" s="2" t="s">
        <v>31638</v>
      </c>
      <c r="H4222" s="2" t="s">
        <v>31639</v>
      </c>
      <c r="I4222" s="2" t="s">
        <v>321</v>
      </c>
      <c r="J4222" s="2" t="s">
        <v>35</v>
      </c>
      <c r="K4222" s="2" t="s">
        <v>31640</v>
      </c>
      <c r="L4222" s="2" t="s">
        <v>321</v>
      </c>
      <c r="M4222" s="2" t="s">
        <v>25545</v>
      </c>
      <c r="N4222" s="2" t="s">
        <v>31641</v>
      </c>
      <c r="O4222" s="2"/>
      <c r="P4222" s="2" t="s">
        <v>37</v>
      </c>
      <c r="Q4222" s="4" t="n">
        <v>8099</v>
      </c>
      <c r="R4222" s="2" t="s">
        <v>2508</v>
      </c>
      <c r="S4222" s="2" t="s">
        <v>39</v>
      </c>
      <c r="T4222" s="2" t="s">
        <v>40</v>
      </c>
      <c r="U4222" s="2" t="s">
        <v>31642</v>
      </c>
      <c r="V4222" s="2"/>
      <c r="W4222" s="2" t="s">
        <v>4487</v>
      </c>
      <c r="X4222" s="2" t="s">
        <v>43</v>
      </c>
      <c r="Y4222" s="2" t="s">
        <v>37</v>
      </c>
      <c r="Z4222" s="2" t="s">
        <v>44</v>
      </c>
      <c r="AA4222" s="2"/>
      <c r="AB4222" s="2"/>
      <c r="AC4222" s="2" t="s">
        <v>31643</v>
      </c>
      <c r="AD4222" s="2" t="s">
        <v>46</v>
      </c>
    </row>
    <row r="4223" customFormat="false" ht="15.7" hidden="false" customHeight="true" outlineLevel="0" collapsed="false">
      <c r="A4223" s="2"/>
      <c r="B4223" s="3" t="n">
        <f aca="false">DATE(2019,5,14)</f>
        <v>0</v>
      </c>
      <c r="C4223" s="3" t="n">
        <v>43599</v>
      </c>
      <c r="D4223" s="2" t="s">
        <v>31644</v>
      </c>
      <c r="F4223" s="2" t="s">
        <v>31645</v>
      </c>
      <c r="G4223" s="2" t="s">
        <v>31646</v>
      </c>
      <c r="H4223" s="2" t="s">
        <v>2572</v>
      </c>
      <c r="I4223" s="2" t="s">
        <v>388</v>
      </c>
      <c r="J4223" s="2" t="s">
        <v>575</v>
      </c>
      <c r="K4223" s="2" t="s">
        <v>31644</v>
      </c>
      <c r="L4223" s="2" t="s">
        <v>388</v>
      </c>
      <c r="M4223" s="2" t="s">
        <v>2572</v>
      </c>
      <c r="N4223" s="2" t="s">
        <v>31647</v>
      </c>
      <c r="O4223" s="2"/>
      <c r="P4223" s="2" t="s">
        <v>37</v>
      </c>
      <c r="Q4223" s="4" t="n">
        <v>8731</v>
      </c>
      <c r="R4223" s="2" t="s">
        <v>136</v>
      </c>
      <c r="S4223" s="2" t="s">
        <v>39</v>
      </c>
      <c r="T4223" s="2" t="s">
        <v>40</v>
      </c>
      <c r="U4223" s="2" t="s">
        <v>31648</v>
      </c>
      <c r="V4223" s="2"/>
      <c r="W4223" s="2" t="s">
        <v>10841</v>
      </c>
      <c r="X4223" s="2" t="s">
        <v>43</v>
      </c>
      <c r="Y4223" s="2" t="s">
        <v>37</v>
      </c>
      <c r="Z4223" s="2" t="s">
        <v>44</v>
      </c>
      <c r="AA4223" s="2"/>
      <c r="AB4223" s="2"/>
      <c r="AC4223" s="2" t="s">
        <v>31649</v>
      </c>
      <c r="AD4223" s="2" t="s">
        <v>46</v>
      </c>
    </row>
    <row r="4224" customFormat="false" ht="15.7" hidden="false" customHeight="true" outlineLevel="0" collapsed="false">
      <c r="A4224" s="2"/>
      <c r="B4224" s="3" t="n">
        <f aca="false">DATE(2019,5,14)</f>
        <v>0</v>
      </c>
      <c r="C4224" s="3" t="n">
        <v>43599</v>
      </c>
      <c r="D4224" s="2" t="s">
        <v>31650</v>
      </c>
      <c r="F4224" s="2" t="s">
        <v>31651</v>
      </c>
      <c r="G4224" s="2" t="s">
        <v>31652</v>
      </c>
      <c r="H4224" s="2" t="s">
        <v>4114</v>
      </c>
      <c r="I4224" s="2" t="s">
        <v>51</v>
      </c>
      <c r="J4224" s="2" t="s">
        <v>10521</v>
      </c>
      <c r="K4224" s="2" t="s">
        <v>31650</v>
      </c>
      <c r="L4224" s="2" t="s">
        <v>51</v>
      </c>
      <c r="M4224" s="2" t="s">
        <v>4114</v>
      </c>
      <c r="N4224" s="2" t="s">
        <v>31653</v>
      </c>
      <c r="O4224" s="2"/>
      <c r="P4224" s="2" t="s">
        <v>37</v>
      </c>
      <c r="Q4224" s="4" t="n">
        <v>8731</v>
      </c>
      <c r="R4224" s="2" t="s">
        <v>56</v>
      </c>
      <c r="S4224" s="2"/>
      <c r="T4224" s="2" t="s">
        <v>403</v>
      </c>
      <c r="U4224" s="2" t="s">
        <v>31654</v>
      </c>
      <c r="V4224" s="2"/>
      <c r="W4224" s="2" t="s">
        <v>1050</v>
      </c>
      <c r="X4224" s="2" t="s">
        <v>43</v>
      </c>
      <c r="Y4224" s="2" t="s">
        <v>37</v>
      </c>
      <c r="Z4224" s="2" t="s">
        <v>44</v>
      </c>
      <c r="AA4224" s="2"/>
      <c r="AB4224" s="2"/>
      <c r="AC4224" s="2" t="s">
        <v>31655</v>
      </c>
      <c r="AD4224" s="2" t="s">
        <v>46</v>
      </c>
    </row>
    <row r="4225" customFormat="false" ht="15.7" hidden="false" customHeight="true" outlineLevel="0" collapsed="false">
      <c r="A4225" s="2"/>
      <c r="B4225" s="3" t="n">
        <f aca="false">DATE(2019,5,14)</f>
        <v>0</v>
      </c>
      <c r="C4225" s="3" t="n">
        <v>43599</v>
      </c>
      <c r="D4225" s="2" t="s">
        <v>31656</v>
      </c>
      <c r="F4225" s="2" t="s">
        <v>17957</v>
      </c>
      <c r="G4225" s="2" t="s">
        <v>31657</v>
      </c>
      <c r="H4225" s="2" t="s">
        <v>1020</v>
      </c>
      <c r="I4225" s="2" t="s">
        <v>487</v>
      </c>
      <c r="J4225" s="2" t="s">
        <v>132</v>
      </c>
      <c r="K4225" s="2" t="s">
        <v>31656</v>
      </c>
      <c r="L4225" s="2" t="s">
        <v>487</v>
      </c>
      <c r="M4225" s="2" t="s">
        <v>1020</v>
      </c>
      <c r="N4225" s="2" t="s">
        <v>31658</v>
      </c>
      <c r="O4225" s="2"/>
      <c r="P4225" s="2" t="s">
        <v>37</v>
      </c>
      <c r="Q4225" s="4" t="n">
        <v>6794</v>
      </c>
      <c r="R4225" s="2" t="s">
        <v>56</v>
      </c>
      <c r="S4225" s="2" t="s">
        <v>92</v>
      </c>
      <c r="T4225" s="2" t="s">
        <v>40</v>
      </c>
      <c r="U4225" s="2" t="s">
        <v>31659</v>
      </c>
      <c r="V4225" s="2"/>
      <c r="W4225" s="2" t="s">
        <v>15545</v>
      </c>
      <c r="X4225" s="2" t="s">
        <v>43</v>
      </c>
      <c r="Y4225" s="2" t="s">
        <v>37</v>
      </c>
      <c r="Z4225" s="2" t="s">
        <v>44</v>
      </c>
      <c r="AA4225" s="2"/>
      <c r="AB4225" s="2"/>
      <c r="AC4225" s="2" t="s">
        <v>31660</v>
      </c>
      <c r="AD4225" s="2" t="s">
        <v>46</v>
      </c>
    </row>
    <row r="4226" customFormat="false" ht="15.7" hidden="false" customHeight="true" outlineLevel="0" collapsed="false">
      <c r="A4226" s="2"/>
      <c r="B4226" s="3" t="n">
        <f aca="false">DATE(2019,5,15)</f>
        <v>0</v>
      </c>
      <c r="C4226" s="3" t="n">
        <v>43600</v>
      </c>
      <c r="D4226" s="2" t="s">
        <v>31661</v>
      </c>
      <c r="F4226" s="2" t="s">
        <v>18520</v>
      </c>
      <c r="G4226" s="2" t="s">
        <v>31662</v>
      </c>
      <c r="H4226" s="2" t="s">
        <v>1027</v>
      </c>
      <c r="I4226" s="2" t="s">
        <v>330</v>
      </c>
      <c r="J4226" s="2" t="s">
        <v>488</v>
      </c>
      <c r="K4226" s="2" t="s">
        <v>31661</v>
      </c>
      <c r="L4226" s="2" t="s">
        <v>330</v>
      </c>
      <c r="M4226" s="2" t="s">
        <v>1027</v>
      </c>
      <c r="N4226" s="2" t="s">
        <v>31663</v>
      </c>
      <c r="O4226" s="2"/>
      <c r="P4226" s="2" t="s">
        <v>37</v>
      </c>
      <c r="Q4226" s="4" t="n">
        <v>8099</v>
      </c>
      <c r="R4226" s="2" t="s">
        <v>56</v>
      </c>
      <c r="S4226" s="2" t="s">
        <v>1226</v>
      </c>
      <c r="T4226" s="2" t="s">
        <v>403</v>
      </c>
      <c r="U4226" s="2" t="s">
        <v>31664</v>
      </c>
      <c r="V4226" s="2"/>
      <c r="W4226" s="2" t="s">
        <v>6955</v>
      </c>
      <c r="X4226" s="2" t="s">
        <v>43</v>
      </c>
      <c r="Y4226" s="2" t="s">
        <v>37</v>
      </c>
      <c r="Z4226" s="2" t="s">
        <v>44</v>
      </c>
      <c r="AA4226" s="2"/>
      <c r="AB4226" s="2"/>
      <c r="AC4226" s="2" t="s">
        <v>31665</v>
      </c>
      <c r="AD4226" s="2" t="s">
        <v>46</v>
      </c>
    </row>
    <row r="4227" customFormat="false" ht="15.7" hidden="false" customHeight="true" outlineLevel="0" collapsed="false">
      <c r="A4227" s="2"/>
      <c r="B4227" s="3" t="n">
        <f aca="false">DATE(2019,5,15)</f>
        <v>0</v>
      </c>
      <c r="C4227" s="3" t="n">
        <v>43600</v>
      </c>
      <c r="D4227" s="2" t="s">
        <v>31666</v>
      </c>
      <c r="F4227" s="2" t="s">
        <v>20650</v>
      </c>
      <c r="G4227" s="2" t="s">
        <v>31667</v>
      </c>
      <c r="H4227" s="2" t="s">
        <v>130</v>
      </c>
      <c r="I4227" s="2" t="s">
        <v>369</v>
      </c>
      <c r="J4227" s="2" t="s">
        <v>35</v>
      </c>
      <c r="K4227" s="2" t="s">
        <v>31666</v>
      </c>
      <c r="L4227" s="2" t="s">
        <v>369</v>
      </c>
      <c r="M4227" s="2" t="s">
        <v>130</v>
      </c>
      <c r="N4227" s="2" t="s">
        <v>31668</v>
      </c>
      <c r="O4227" s="2"/>
      <c r="P4227" s="2" t="s">
        <v>37</v>
      </c>
      <c r="Q4227" s="4" t="n">
        <v>8731</v>
      </c>
      <c r="R4227" s="2" t="s">
        <v>105</v>
      </c>
      <c r="S4227" s="2" t="s">
        <v>39</v>
      </c>
      <c r="T4227" s="2" t="s">
        <v>40</v>
      </c>
      <c r="U4227" s="2" t="s">
        <v>31669</v>
      </c>
      <c r="V4227" s="2"/>
      <c r="W4227" s="2" t="s">
        <v>344</v>
      </c>
      <c r="X4227" s="2" t="s">
        <v>46</v>
      </c>
      <c r="Y4227" s="2" t="s">
        <v>37</v>
      </c>
      <c r="Z4227" s="2" t="s">
        <v>44</v>
      </c>
      <c r="AA4227" s="2"/>
      <c r="AB4227" s="2"/>
      <c r="AC4227" s="2" t="s">
        <v>31670</v>
      </c>
      <c r="AD4227" s="2" t="s">
        <v>46</v>
      </c>
    </row>
    <row r="4228" customFormat="false" ht="15.7" hidden="false" customHeight="true" outlineLevel="0" collapsed="false">
      <c r="A4228" s="2"/>
      <c r="B4228" s="3" t="n">
        <f aca="false">DATE(2019,5,15)</f>
        <v>0</v>
      </c>
      <c r="C4228" s="3" t="n">
        <v>43600</v>
      </c>
      <c r="D4228" s="2" t="s">
        <v>31671</v>
      </c>
      <c r="F4228" s="2" t="s">
        <v>31672</v>
      </c>
      <c r="G4228" s="2" t="s">
        <v>31673</v>
      </c>
      <c r="H4228" s="2" t="s">
        <v>1020</v>
      </c>
      <c r="I4228" s="2" t="s">
        <v>530</v>
      </c>
      <c r="J4228" s="2" t="s">
        <v>35</v>
      </c>
      <c r="K4228" s="2" t="s">
        <v>31674</v>
      </c>
      <c r="L4228" s="2" t="s">
        <v>530</v>
      </c>
      <c r="M4228" s="2" t="s">
        <v>4333</v>
      </c>
      <c r="N4228" s="2" t="s">
        <v>31675</v>
      </c>
      <c r="O4228" s="2"/>
      <c r="P4228" s="2" t="s">
        <v>37</v>
      </c>
      <c r="Q4228" s="4" t="n">
        <v>8731</v>
      </c>
      <c r="R4228" s="2" t="s">
        <v>450</v>
      </c>
      <c r="S4228" s="2" t="s">
        <v>39</v>
      </c>
      <c r="T4228" s="2" t="s">
        <v>403</v>
      </c>
      <c r="U4228" s="2" t="s">
        <v>31676</v>
      </c>
      <c r="V4228" s="2"/>
      <c r="W4228" s="2" t="s">
        <v>344</v>
      </c>
      <c r="X4228" s="2" t="s">
        <v>43</v>
      </c>
      <c r="Y4228" s="2" t="s">
        <v>37</v>
      </c>
      <c r="Z4228" s="2" t="s">
        <v>44</v>
      </c>
      <c r="AA4228" s="2"/>
      <c r="AB4228" s="2"/>
      <c r="AC4228" s="2" t="s">
        <v>31677</v>
      </c>
      <c r="AD4228" s="2" t="s">
        <v>46</v>
      </c>
    </row>
    <row r="4229" customFormat="false" ht="15.7" hidden="false" customHeight="true" outlineLevel="0" collapsed="false">
      <c r="A4229" s="2"/>
      <c r="B4229" s="3" t="n">
        <f aca="false">DATE(2019,5,15)</f>
        <v>0</v>
      </c>
      <c r="C4229" s="3" t="n">
        <v>43600</v>
      </c>
      <c r="D4229" s="2" t="s">
        <v>31678</v>
      </c>
      <c r="F4229" s="2" t="s">
        <v>31679</v>
      </c>
      <c r="G4229" s="2" t="s">
        <v>31680</v>
      </c>
      <c r="H4229" s="2" t="s">
        <v>31681</v>
      </c>
      <c r="I4229" s="2" t="s">
        <v>51</v>
      </c>
      <c r="J4229" s="2" t="s">
        <v>14107</v>
      </c>
      <c r="K4229" s="2" t="s">
        <v>31682</v>
      </c>
      <c r="L4229" s="2" t="s">
        <v>51</v>
      </c>
      <c r="M4229" s="2" t="s">
        <v>31683</v>
      </c>
      <c r="N4229" s="2" t="s">
        <v>31684</v>
      </c>
      <c r="O4229" s="2"/>
      <c r="P4229" s="2" t="s">
        <v>37</v>
      </c>
      <c r="Q4229" s="4" t="n">
        <v>8731</v>
      </c>
      <c r="R4229" s="2" t="s">
        <v>56</v>
      </c>
      <c r="S4229" s="2"/>
      <c r="T4229" s="2" t="s">
        <v>40</v>
      </c>
      <c r="U4229" s="2" t="s">
        <v>31685</v>
      </c>
      <c r="V4229" s="2"/>
      <c r="W4229" s="2" t="s">
        <v>42</v>
      </c>
      <c r="X4229" s="2" t="s">
        <v>43</v>
      </c>
      <c r="Y4229" s="2" t="s">
        <v>37</v>
      </c>
      <c r="Z4229" s="2" t="s">
        <v>44</v>
      </c>
      <c r="AA4229" s="2"/>
      <c r="AB4229" s="2"/>
      <c r="AC4229" s="2" t="s">
        <v>31686</v>
      </c>
      <c r="AD4229" s="2" t="s">
        <v>46</v>
      </c>
    </row>
    <row r="4230" customFormat="false" ht="15.7" hidden="false" customHeight="true" outlineLevel="0" collapsed="false">
      <c r="A4230" s="2"/>
      <c r="B4230" s="3" t="n">
        <f aca="false">DATE(2019,5,15)</f>
        <v>0</v>
      </c>
      <c r="C4230" s="3" t="n">
        <v>43600</v>
      </c>
      <c r="D4230" s="2" t="s">
        <v>31687</v>
      </c>
      <c r="F4230" s="2" t="s">
        <v>31688</v>
      </c>
      <c r="G4230" s="2" t="s">
        <v>31689</v>
      </c>
      <c r="H4230" s="2" t="s">
        <v>30239</v>
      </c>
      <c r="I4230" s="2" t="s">
        <v>369</v>
      </c>
      <c r="J4230" s="2" t="s">
        <v>35</v>
      </c>
      <c r="K4230" s="2" t="s">
        <v>31690</v>
      </c>
      <c r="L4230" s="2" t="s">
        <v>369</v>
      </c>
      <c r="M4230" s="2" t="s">
        <v>31691</v>
      </c>
      <c r="N4230" s="2" t="s">
        <v>31692</v>
      </c>
      <c r="O4230" s="2"/>
      <c r="P4230" s="2" t="s">
        <v>37</v>
      </c>
      <c r="Q4230" s="4" t="n">
        <v>8731</v>
      </c>
      <c r="R4230" s="2" t="s">
        <v>105</v>
      </c>
      <c r="S4230" s="2" t="s">
        <v>39</v>
      </c>
      <c r="T4230" s="2" t="s">
        <v>40</v>
      </c>
      <c r="U4230" s="2" t="s">
        <v>31693</v>
      </c>
      <c r="V4230" s="2"/>
      <c r="W4230" s="2" t="s">
        <v>42</v>
      </c>
      <c r="X4230" s="2" t="s">
        <v>43</v>
      </c>
      <c r="Y4230" s="2" t="s">
        <v>37</v>
      </c>
      <c r="Z4230" s="2" t="s">
        <v>44</v>
      </c>
      <c r="AA4230" s="2"/>
      <c r="AB4230" s="2"/>
      <c r="AC4230" s="2" t="s">
        <v>31694</v>
      </c>
      <c r="AD4230" s="2" t="s">
        <v>46</v>
      </c>
    </row>
    <row r="4231" customFormat="false" ht="15.7" hidden="false" customHeight="true" outlineLevel="0" collapsed="false">
      <c r="A4231" s="2"/>
      <c r="B4231" s="3" t="n">
        <f aca="false">DATE(2019,5,16)</f>
        <v>0</v>
      </c>
      <c r="C4231" s="3" t="n">
        <v>43601</v>
      </c>
      <c r="D4231" s="2" t="s">
        <v>31695</v>
      </c>
      <c r="F4231" s="2" t="s">
        <v>31696</v>
      </c>
      <c r="G4231" s="2" t="s">
        <v>31697</v>
      </c>
      <c r="H4231" s="2" t="s">
        <v>31698</v>
      </c>
      <c r="I4231" s="2" t="s">
        <v>51</v>
      </c>
      <c r="J4231" s="2" t="s">
        <v>7462</v>
      </c>
      <c r="K4231" s="2" t="s">
        <v>31699</v>
      </c>
      <c r="L4231" s="2" t="s">
        <v>1544</v>
      </c>
      <c r="M4231" s="2" t="s">
        <v>31700</v>
      </c>
      <c r="N4231" s="2" t="s">
        <v>31701</v>
      </c>
      <c r="O4231" s="2"/>
      <c r="P4231" s="2" t="s">
        <v>37</v>
      </c>
      <c r="Q4231" s="4" t="n">
        <v>8731</v>
      </c>
      <c r="R4231" s="2" t="s">
        <v>56</v>
      </c>
      <c r="S4231" s="2" t="s">
        <v>92</v>
      </c>
      <c r="T4231" s="2" t="s">
        <v>403</v>
      </c>
      <c r="U4231" s="2" t="s">
        <v>31702</v>
      </c>
      <c r="V4231" s="2"/>
      <c r="W4231" s="2" t="s">
        <v>31703</v>
      </c>
      <c r="X4231" s="2" t="s">
        <v>43</v>
      </c>
      <c r="Y4231" s="2" t="s">
        <v>37</v>
      </c>
      <c r="Z4231" s="2" t="s">
        <v>44</v>
      </c>
      <c r="AA4231" s="2"/>
      <c r="AB4231" s="2"/>
      <c r="AC4231" s="2" t="s">
        <v>31704</v>
      </c>
      <c r="AD4231" s="2" t="s">
        <v>46</v>
      </c>
    </row>
    <row r="4232" customFormat="false" ht="15.7" hidden="false" customHeight="true" outlineLevel="0" collapsed="false">
      <c r="A4232" s="2"/>
      <c r="B4232" s="3" t="n">
        <f aca="false">DATE(2019,5,16)</f>
        <v>0</v>
      </c>
      <c r="C4232" s="3" t="n">
        <v>43601</v>
      </c>
      <c r="D4232" s="2" t="s">
        <v>31705</v>
      </c>
      <c r="F4232" s="2" t="s">
        <v>31706</v>
      </c>
      <c r="G4232" s="2" t="s">
        <v>31707</v>
      </c>
      <c r="H4232" s="2" t="s">
        <v>31708</v>
      </c>
      <c r="I4232" s="2" t="s">
        <v>13151</v>
      </c>
      <c r="J4232" s="2" t="s">
        <v>35</v>
      </c>
      <c r="K4232" s="2" t="s">
        <v>31705</v>
      </c>
      <c r="L4232" s="2" t="s">
        <v>13151</v>
      </c>
      <c r="M4232" s="2" t="s">
        <v>31708</v>
      </c>
      <c r="N4232" s="2" t="s">
        <v>31709</v>
      </c>
      <c r="O4232" s="2"/>
      <c r="P4232" s="2" t="s">
        <v>37</v>
      </c>
      <c r="Q4232" s="4" t="n">
        <v>8731</v>
      </c>
      <c r="R4232" s="2" t="s">
        <v>402</v>
      </c>
      <c r="S4232" s="2" t="s">
        <v>39</v>
      </c>
      <c r="T4232" s="2" t="s">
        <v>403</v>
      </c>
      <c r="U4232" s="2" t="s">
        <v>31710</v>
      </c>
      <c r="V4232" s="2"/>
      <c r="W4232" s="2" t="s">
        <v>31711</v>
      </c>
      <c r="X4232" s="2" t="s">
        <v>43</v>
      </c>
      <c r="Y4232" s="2" t="s">
        <v>37</v>
      </c>
      <c r="Z4232" s="2" t="s">
        <v>44</v>
      </c>
      <c r="AA4232" s="2"/>
      <c r="AB4232" s="2"/>
      <c r="AC4232" s="2" t="s">
        <v>31712</v>
      </c>
      <c r="AD4232" s="2" t="s">
        <v>46</v>
      </c>
    </row>
    <row r="4233" customFormat="false" ht="15.7" hidden="false" customHeight="true" outlineLevel="0" collapsed="false">
      <c r="A4233" s="2"/>
      <c r="B4233" s="3" t="n">
        <f aca="false">DATE(2019,5,17)</f>
        <v>0</v>
      </c>
      <c r="C4233" s="3" t="n">
        <v>43602</v>
      </c>
      <c r="D4233" s="2" t="s">
        <v>31713</v>
      </c>
      <c r="F4233" s="2" t="s">
        <v>31714</v>
      </c>
      <c r="G4233" s="2" t="s">
        <v>31715</v>
      </c>
      <c r="H4233" s="2" t="s">
        <v>551</v>
      </c>
      <c r="I4233" s="2" t="s">
        <v>664</v>
      </c>
      <c r="J4233" s="2" t="s">
        <v>1891</v>
      </c>
      <c r="K4233" s="2" t="s">
        <v>31713</v>
      </c>
      <c r="L4233" s="2" t="s">
        <v>664</v>
      </c>
      <c r="M4233" s="2" t="s">
        <v>551</v>
      </c>
      <c r="N4233" s="2" t="s">
        <v>31716</v>
      </c>
      <c r="O4233" s="2"/>
      <c r="P4233" s="2" t="s">
        <v>37</v>
      </c>
      <c r="Q4233" s="4" t="n">
        <v>8731</v>
      </c>
      <c r="R4233" s="2" t="s">
        <v>136</v>
      </c>
      <c r="S4233" s="2" t="s">
        <v>39</v>
      </c>
      <c r="T4233" s="2" t="s">
        <v>40</v>
      </c>
      <c r="U4233" s="2" t="s">
        <v>31717</v>
      </c>
      <c r="V4233" s="2"/>
      <c r="W4233" s="2" t="s">
        <v>23324</v>
      </c>
      <c r="X4233" s="2" t="s">
        <v>43</v>
      </c>
      <c r="Y4233" s="2" t="s">
        <v>37</v>
      </c>
      <c r="Z4233" s="2" t="s">
        <v>44</v>
      </c>
      <c r="AA4233" s="2"/>
      <c r="AB4233" s="2"/>
      <c r="AC4233" s="2" t="s">
        <v>31718</v>
      </c>
      <c r="AD4233" s="2" t="s">
        <v>46</v>
      </c>
    </row>
    <row r="4234" customFormat="false" ht="15.7" hidden="false" customHeight="true" outlineLevel="0" collapsed="false">
      <c r="A4234" s="2"/>
      <c r="B4234" s="3" t="n">
        <f aca="false">DATE(2019,5,20)</f>
        <v>0</v>
      </c>
      <c r="C4234" s="3" t="n">
        <v>43605</v>
      </c>
      <c r="D4234" s="2" t="s">
        <v>31719</v>
      </c>
      <c r="F4234" s="2" t="s">
        <v>31720</v>
      </c>
      <c r="G4234" s="2" t="s">
        <v>31721</v>
      </c>
      <c r="H4234" s="2" t="s">
        <v>31722</v>
      </c>
      <c r="I4234" s="2" t="s">
        <v>4623</v>
      </c>
      <c r="J4234" s="2" t="s">
        <v>35</v>
      </c>
      <c r="K4234" s="2" t="s">
        <v>31719</v>
      </c>
      <c r="L4234" s="2" t="s">
        <v>4623</v>
      </c>
      <c r="M4234" s="2" t="s">
        <v>31722</v>
      </c>
      <c r="N4234" s="2" t="s">
        <v>31723</v>
      </c>
      <c r="O4234" s="2"/>
      <c r="P4234" s="2" t="s">
        <v>37</v>
      </c>
      <c r="Q4234" s="4" t="n">
        <v>7812</v>
      </c>
      <c r="R4234" s="2" t="s">
        <v>1195</v>
      </c>
      <c r="S4234" s="2" t="s">
        <v>39</v>
      </c>
      <c r="T4234" s="2" t="s">
        <v>403</v>
      </c>
      <c r="U4234" s="2" t="s">
        <v>31724</v>
      </c>
      <c r="V4234" s="2"/>
      <c r="W4234" s="2" t="s">
        <v>31725</v>
      </c>
      <c r="X4234" s="2" t="s">
        <v>43</v>
      </c>
      <c r="Y4234" s="2" t="s">
        <v>37</v>
      </c>
      <c r="Z4234" s="2" t="s">
        <v>44</v>
      </c>
      <c r="AA4234" s="2"/>
      <c r="AB4234" s="2"/>
      <c r="AC4234" s="2" t="s">
        <v>31726</v>
      </c>
      <c r="AD4234" s="2" t="s">
        <v>46</v>
      </c>
    </row>
    <row r="4235" customFormat="false" ht="15.7" hidden="false" customHeight="true" outlineLevel="0" collapsed="false">
      <c r="A4235" s="2"/>
      <c r="B4235" s="3" t="n">
        <f aca="false">DATE(2019,5,21)</f>
        <v>0</v>
      </c>
      <c r="C4235" s="3" t="n">
        <v>43606</v>
      </c>
      <c r="D4235" s="2" t="s">
        <v>31727</v>
      </c>
      <c r="F4235" s="2" t="s">
        <v>31728</v>
      </c>
      <c r="G4235" s="2" t="s">
        <v>31729</v>
      </c>
      <c r="H4235" s="2" t="s">
        <v>31730</v>
      </c>
      <c r="I4235" s="2" t="s">
        <v>18475</v>
      </c>
      <c r="J4235" s="2" t="s">
        <v>31731</v>
      </c>
      <c r="K4235" s="2" t="s">
        <v>31732</v>
      </c>
      <c r="L4235" s="2" t="s">
        <v>18475</v>
      </c>
      <c r="M4235" s="2" t="s">
        <v>31730</v>
      </c>
      <c r="N4235" s="2" t="s">
        <v>31733</v>
      </c>
      <c r="O4235" s="2"/>
      <c r="P4235" s="2" t="s">
        <v>37</v>
      </c>
      <c r="Q4235" s="4" t="n">
        <v>8731</v>
      </c>
      <c r="R4235" s="2" t="s">
        <v>56</v>
      </c>
      <c r="S4235" s="2"/>
      <c r="T4235" s="2" t="s">
        <v>403</v>
      </c>
      <c r="U4235" s="2" t="s">
        <v>31734</v>
      </c>
      <c r="V4235" s="2"/>
      <c r="W4235" s="2" t="s">
        <v>4101</v>
      </c>
      <c r="X4235" s="2" t="s">
        <v>43</v>
      </c>
      <c r="Y4235" s="2" t="s">
        <v>37</v>
      </c>
      <c r="Z4235" s="2" t="s">
        <v>916</v>
      </c>
      <c r="AA4235" s="2"/>
      <c r="AB4235" s="2"/>
      <c r="AC4235" s="2" t="s">
        <v>31735</v>
      </c>
      <c r="AD4235" s="2" t="s">
        <v>46</v>
      </c>
    </row>
    <row r="4236" customFormat="false" ht="15.7" hidden="false" customHeight="true" outlineLevel="0" collapsed="false">
      <c r="A4236" s="2"/>
      <c r="B4236" s="3" t="n">
        <f aca="false">DATE(2019,5,21)</f>
        <v>0</v>
      </c>
      <c r="C4236" s="3" t="n">
        <v>43606</v>
      </c>
      <c r="D4236" s="2" t="s">
        <v>31736</v>
      </c>
      <c r="F4236" s="2" t="s">
        <v>29514</v>
      </c>
      <c r="G4236" s="2" t="s">
        <v>31737</v>
      </c>
      <c r="H4236" s="2" t="s">
        <v>29516</v>
      </c>
      <c r="I4236" s="2" t="s">
        <v>51</v>
      </c>
      <c r="J4236" s="2" t="s">
        <v>171</v>
      </c>
      <c r="K4236" s="2" t="s">
        <v>31736</v>
      </c>
      <c r="L4236" s="2" t="s">
        <v>51</v>
      </c>
      <c r="M4236" s="2" t="s">
        <v>29516</v>
      </c>
      <c r="N4236" s="2" t="s">
        <v>31738</v>
      </c>
      <c r="O4236" s="2"/>
      <c r="P4236" s="2" t="s">
        <v>37</v>
      </c>
      <c r="Q4236" s="4" t="n">
        <v>8731</v>
      </c>
      <c r="R4236" s="2" t="s">
        <v>56</v>
      </c>
      <c r="S4236" s="2"/>
      <c r="T4236" s="2" t="s">
        <v>403</v>
      </c>
      <c r="U4236" s="2" t="s">
        <v>31739</v>
      </c>
      <c r="V4236" s="2"/>
      <c r="W4236" s="2" t="s">
        <v>42</v>
      </c>
      <c r="X4236" s="2" t="s">
        <v>43</v>
      </c>
      <c r="Y4236" s="2" t="s">
        <v>37</v>
      </c>
      <c r="Z4236" s="2" t="s">
        <v>44</v>
      </c>
      <c r="AA4236" s="2"/>
      <c r="AB4236" s="2"/>
      <c r="AC4236" s="2" t="s">
        <v>31740</v>
      </c>
      <c r="AD4236" s="2" t="s">
        <v>46</v>
      </c>
    </row>
    <row r="4237" customFormat="false" ht="15.7" hidden="false" customHeight="true" outlineLevel="0" collapsed="false">
      <c r="A4237" s="2"/>
      <c r="B4237" s="3" t="n">
        <f aca="false">DATE(2019,5,21)</f>
        <v>0</v>
      </c>
      <c r="C4237" s="3" t="n">
        <v>43606</v>
      </c>
      <c r="D4237" s="2" t="s">
        <v>31741</v>
      </c>
      <c r="F4237" s="2" t="s">
        <v>31742</v>
      </c>
      <c r="G4237" s="2" t="s">
        <v>31743</v>
      </c>
      <c r="H4237" s="2" t="s">
        <v>31744</v>
      </c>
      <c r="I4237" s="2" t="s">
        <v>31745</v>
      </c>
      <c r="J4237" s="2" t="s">
        <v>31746</v>
      </c>
      <c r="K4237" s="2" t="s">
        <v>31741</v>
      </c>
      <c r="L4237" s="2" t="s">
        <v>31745</v>
      </c>
      <c r="M4237" s="2" t="s">
        <v>31744</v>
      </c>
      <c r="N4237" s="2" t="s">
        <v>31747</v>
      </c>
      <c r="O4237" s="2"/>
      <c r="P4237" s="2" t="s">
        <v>37</v>
      </c>
      <c r="Q4237" s="4" t="n">
        <v>8099</v>
      </c>
      <c r="R4237" s="2" t="s">
        <v>56</v>
      </c>
      <c r="S4237" s="2" t="s">
        <v>507</v>
      </c>
      <c r="T4237" s="2" t="s">
        <v>403</v>
      </c>
      <c r="U4237" s="2" t="s">
        <v>31748</v>
      </c>
      <c r="V4237" s="2"/>
      <c r="W4237" s="2" t="s">
        <v>18781</v>
      </c>
      <c r="X4237" s="2" t="s">
        <v>43</v>
      </c>
      <c r="Y4237" s="2" t="s">
        <v>37</v>
      </c>
      <c r="Z4237" s="2" t="s">
        <v>31749</v>
      </c>
      <c r="AA4237" s="2"/>
      <c r="AB4237" s="2"/>
      <c r="AC4237" s="2" t="s">
        <v>31750</v>
      </c>
      <c r="AD4237" s="2" t="s">
        <v>46</v>
      </c>
    </row>
    <row r="4238" customFormat="false" ht="15.7" hidden="false" customHeight="true" outlineLevel="0" collapsed="false">
      <c r="A4238" s="2"/>
      <c r="B4238" s="3" t="n">
        <f aca="false">DATE(2019,5,21)</f>
        <v>0</v>
      </c>
      <c r="C4238" s="3" t="n">
        <v>43606</v>
      </c>
      <c r="D4238" s="2" t="s">
        <v>31751</v>
      </c>
      <c r="F4238" s="2" t="s">
        <v>31752</v>
      </c>
      <c r="G4238" s="2" t="s">
        <v>31753</v>
      </c>
      <c r="H4238" s="2" t="s">
        <v>31754</v>
      </c>
      <c r="I4238" s="2" t="s">
        <v>487</v>
      </c>
      <c r="J4238" s="2" t="s">
        <v>732</v>
      </c>
      <c r="K4238" s="2" t="s">
        <v>31755</v>
      </c>
      <c r="L4238" s="2" t="s">
        <v>487</v>
      </c>
      <c r="M4238" s="2" t="s">
        <v>31756</v>
      </c>
      <c r="N4238" s="2" t="s">
        <v>31757</v>
      </c>
      <c r="O4238" s="2"/>
      <c r="P4238" s="2" t="s">
        <v>37</v>
      </c>
      <c r="Q4238" s="4" t="n">
        <v>8731</v>
      </c>
      <c r="R4238" s="2" t="s">
        <v>56</v>
      </c>
      <c r="S4238" s="2"/>
      <c r="T4238" s="2" t="s">
        <v>403</v>
      </c>
      <c r="U4238" s="2" t="s">
        <v>31758</v>
      </c>
      <c r="V4238" s="2"/>
      <c r="W4238" s="2" t="s">
        <v>42</v>
      </c>
      <c r="X4238" s="2" t="s">
        <v>43</v>
      </c>
      <c r="Y4238" s="2" t="s">
        <v>37</v>
      </c>
      <c r="Z4238" s="2" t="s">
        <v>44</v>
      </c>
      <c r="AA4238" s="2"/>
      <c r="AB4238" s="2"/>
      <c r="AC4238" s="2" t="s">
        <v>31759</v>
      </c>
      <c r="AD4238" s="2" t="s">
        <v>46</v>
      </c>
    </row>
    <row r="4239" customFormat="false" ht="15.7" hidden="false" customHeight="true" outlineLevel="0" collapsed="false">
      <c r="A4239" s="2"/>
      <c r="B4239" s="3" t="n">
        <f aca="false">DATE(2019,5,21)</f>
        <v>0</v>
      </c>
      <c r="C4239" s="3" t="n">
        <v>43606</v>
      </c>
      <c r="D4239" s="2" t="s">
        <v>31760</v>
      </c>
      <c r="F4239" s="2" t="s">
        <v>21831</v>
      </c>
      <c r="G4239" s="2" t="s">
        <v>31761</v>
      </c>
      <c r="H4239" s="2" t="s">
        <v>21833</v>
      </c>
      <c r="I4239" s="2" t="s">
        <v>7116</v>
      </c>
      <c r="J4239" s="2" t="s">
        <v>65</v>
      </c>
      <c r="K4239" s="2" t="s">
        <v>31760</v>
      </c>
      <c r="L4239" s="2" t="s">
        <v>7116</v>
      </c>
      <c r="M4239" s="2" t="s">
        <v>21833</v>
      </c>
      <c r="N4239" s="2" t="s">
        <v>31762</v>
      </c>
      <c r="O4239" s="2"/>
      <c r="P4239" s="2" t="s">
        <v>37</v>
      </c>
      <c r="Q4239" s="4" t="n">
        <v>8731</v>
      </c>
      <c r="R4239" s="2" t="s">
        <v>56</v>
      </c>
      <c r="S4239" s="2"/>
      <c r="T4239" s="2" t="s">
        <v>40</v>
      </c>
      <c r="U4239" s="2" t="s">
        <v>31763</v>
      </c>
      <c r="V4239" s="2"/>
      <c r="W4239" s="2" t="s">
        <v>773</v>
      </c>
      <c r="X4239" s="2" t="s">
        <v>43</v>
      </c>
      <c r="Y4239" s="2" t="s">
        <v>37</v>
      </c>
      <c r="Z4239" s="2" t="s">
        <v>44</v>
      </c>
      <c r="AA4239" s="2"/>
      <c r="AB4239" s="2"/>
      <c r="AC4239" s="2" t="s">
        <v>31764</v>
      </c>
      <c r="AD4239" s="2" t="s">
        <v>46</v>
      </c>
    </row>
    <row r="4240" customFormat="false" ht="15.7" hidden="false" customHeight="true" outlineLevel="0" collapsed="false">
      <c r="A4240" s="2"/>
      <c r="B4240" s="3" t="n">
        <f aca="false">DATE(2019,5,21)</f>
        <v>0</v>
      </c>
      <c r="C4240" s="3" t="n">
        <v>43606</v>
      </c>
      <c r="D4240" s="2" t="s">
        <v>31765</v>
      </c>
      <c r="F4240" s="2" t="s">
        <v>31766</v>
      </c>
      <c r="G4240" s="2" t="s">
        <v>31767</v>
      </c>
      <c r="H4240" s="2" t="s">
        <v>31768</v>
      </c>
      <c r="I4240" s="2" t="s">
        <v>4325</v>
      </c>
      <c r="J4240" s="2" t="s">
        <v>35</v>
      </c>
      <c r="K4240" s="2" t="s">
        <v>31769</v>
      </c>
      <c r="L4240" s="2" t="s">
        <v>2590</v>
      </c>
      <c r="M4240" s="2" t="s">
        <v>230</v>
      </c>
      <c r="N4240" s="2" t="s">
        <v>31770</v>
      </c>
      <c r="O4240" s="2"/>
      <c r="P4240" s="2" t="s">
        <v>37</v>
      </c>
      <c r="Q4240" s="4" t="n">
        <v>8731</v>
      </c>
      <c r="R4240" s="2" t="s">
        <v>402</v>
      </c>
      <c r="S4240" s="2" t="s">
        <v>39</v>
      </c>
      <c r="T4240" s="2" t="s">
        <v>40</v>
      </c>
      <c r="U4240" s="2" t="s">
        <v>31771</v>
      </c>
      <c r="V4240" s="2"/>
      <c r="W4240" s="2" t="s">
        <v>2056</v>
      </c>
      <c r="X4240" s="2" t="s">
        <v>43</v>
      </c>
      <c r="Y4240" s="2" t="s">
        <v>37</v>
      </c>
      <c r="Z4240" s="2" t="s">
        <v>44</v>
      </c>
      <c r="AA4240" s="2"/>
      <c r="AB4240" s="2"/>
      <c r="AC4240" s="2" t="s">
        <v>31772</v>
      </c>
      <c r="AD4240" s="2" t="s">
        <v>46</v>
      </c>
    </row>
    <row r="4241" customFormat="false" ht="15.7" hidden="false" customHeight="true" outlineLevel="0" collapsed="false">
      <c r="A4241" s="2"/>
      <c r="B4241" s="3" t="n">
        <f aca="false">DATE(2019,5,22)</f>
        <v>0</v>
      </c>
      <c r="C4241" s="3" t="n">
        <v>43607</v>
      </c>
      <c r="D4241" s="2" t="s">
        <v>31773</v>
      </c>
      <c r="F4241" s="2" t="s">
        <v>31774</v>
      </c>
      <c r="G4241" s="2" t="s">
        <v>31775</v>
      </c>
      <c r="H4241" s="2" t="s">
        <v>2361</v>
      </c>
      <c r="I4241" s="2" t="s">
        <v>51</v>
      </c>
      <c r="J4241" s="2" t="s">
        <v>19709</v>
      </c>
      <c r="K4241" s="2" t="s">
        <v>31776</v>
      </c>
      <c r="L4241" s="2" t="s">
        <v>51</v>
      </c>
      <c r="M4241" s="2" t="s">
        <v>31777</v>
      </c>
      <c r="N4241" s="2" t="s">
        <v>31778</v>
      </c>
      <c r="O4241" s="2"/>
      <c r="P4241" s="2" t="s">
        <v>37</v>
      </c>
      <c r="Q4241" s="4" t="n">
        <v>7372</v>
      </c>
      <c r="R4241" s="2" t="s">
        <v>56</v>
      </c>
      <c r="S4241" s="2"/>
      <c r="T4241" s="2" t="s">
        <v>40</v>
      </c>
      <c r="U4241" s="2" t="s">
        <v>31779</v>
      </c>
      <c r="V4241" s="2"/>
      <c r="W4241" s="2" t="s">
        <v>6066</v>
      </c>
      <c r="X4241" s="2" t="s">
        <v>43</v>
      </c>
      <c r="Y4241" s="2" t="s">
        <v>37</v>
      </c>
      <c r="Z4241" s="2" t="s">
        <v>44</v>
      </c>
      <c r="AA4241" s="2"/>
      <c r="AB4241" s="2"/>
      <c r="AC4241" s="2" t="s">
        <v>31780</v>
      </c>
      <c r="AD4241" s="2" t="s">
        <v>46</v>
      </c>
    </row>
    <row r="4242" customFormat="false" ht="15.7" hidden="false" customHeight="true" outlineLevel="0" collapsed="false">
      <c r="A4242" s="2"/>
      <c r="B4242" s="3" t="n">
        <f aca="false">DATE(2019,5,22)</f>
        <v>0</v>
      </c>
      <c r="C4242" s="3" t="n">
        <v>43607</v>
      </c>
      <c r="D4242" s="2" t="s">
        <v>31781</v>
      </c>
      <c r="F4242" s="2" t="s">
        <v>26762</v>
      </c>
      <c r="G4242" s="2" t="s">
        <v>31782</v>
      </c>
      <c r="H4242" s="2" t="s">
        <v>7288</v>
      </c>
      <c r="I4242" s="2" t="s">
        <v>487</v>
      </c>
      <c r="J4242" s="2" t="s">
        <v>258</v>
      </c>
      <c r="K4242" s="2" t="s">
        <v>31781</v>
      </c>
      <c r="L4242" s="2" t="s">
        <v>487</v>
      </c>
      <c r="M4242" s="2" t="s">
        <v>7288</v>
      </c>
      <c r="N4242" s="2" t="s">
        <v>31783</v>
      </c>
      <c r="O4242" s="2"/>
      <c r="P4242" s="2" t="s">
        <v>37</v>
      </c>
      <c r="Q4242" s="4" t="n">
        <v>8731</v>
      </c>
      <c r="R4242" s="2" t="s">
        <v>56</v>
      </c>
      <c r="S4242" s="2"/>
      <c r="T4242" s="2" t="s">
        <v>40</v>
      </c>
      <c r="U4242" s="2" t="s">
        <v>31784</v>
      </c>
      <c r="V4242" s="2"/>
      <c r="W4242" s="2" t="s">
        <v>344</v>
      </c>
      <c r="X4242" s="2" t="s">
        <v>43</v>
      </c>
      <c r="Y4242" s="2" t="s">
        <v>37</v>
      </c>
      <c r="Z4242" s="2" t="s">
        <v>44</v>
      </c>
      <c r="AA4242" s="2"/>
      <c r="AB4242" s="2"/>
      <c r="AC4242" s="2" t="s">
        <v>31785</v>
      </c>
      <c r="AD4242" s="2" t="s">
        <v>46</v>
      </c>
    </row>
    <row r="4243" customFormat="false" ht="15.7" hidden="false" customHeight="true" outlineLevel="0" collapsed="false">
      <c r="A4243" s="2"/>
      <c r="B4243" s="3" t="n">
        <f aca="false">DATE(2019,5,22)</f>
        <v>0</v>
      </c>
      <c r="C4243" s="3" t="n">
        <v>43607</v>
      </c>
      <c r="D4243" s="2" t="s">
        <v>31786</v>
      </c>
      <c r="F4243" s="2" t="s">
        <v>31787</v>
      </c>
      <c r="G4243" s="2" t="s">
        <v>31788</v>
      </c>
      <c r="H4243" s="2" t="s">
        <v>31789</v>
      </c>
      <c r="I4243" s="2" t="s">
        <v>51</v>
      </c>
      <c r="J4243" s="2" t="s">
        <v>16703</v>
      </c>
      <c r="K4243" s="2" t="s">
        <v>31786</v>
      </c>
      <c r="L4243" s="2" t="s">
        <v>51</v>
      </c>
      <c r="M4243" s="2" t="s">
        <v>31789</v>
      </c>
      <c r="N4243" s="2" t="s">
        <v>31790</v>
      </c>
      <c r="O4243" s="2"/>
      <c r="P4243" s="2" t="s">
        <v>37</v>
      </c>
      <c r="Q4243" s="4" t="n">
        <v>8731</v>
      </c>
      <c r="R4243" s="2" t="s">
        <v>56</v>
      </c>
      <c r="S4243" s="2"/>
      <c r="T4243" s="2" t="s">
        <v>40</v>
      </c>
      <c r="U4243" s="2" t="s">
        <v>31791</v>
      </c>
      <c r="V4243" s="2"/>
      <c r="W4243" s="2" t="s">
        <v>42</v>
      </c>
      <c r="X4243" s="2" t="s">
        <v>43</v>
      </c>
      <c r="Y4243" s="2" t="s">
        <v>37</v>
      </c>
      <c r="Z4243" s="2" t="s">
        <v>44</v>
      </c>
      <c r="AA4243" s="2"/>
      <c r="AB4243" s="2"/>
      <c r="AC4243" s="2" t="s">
        <v>31792</v>
      </c>
      <c r="AD4243" s="2" t="s">
        <v>46</v>
      </c>
    </row>
    <row r="4244" customFormat="false" ht="15.7" hidden="false" customHeight="true" outlineLevel="0" collapsed="false">
      <c r="A4244" s="2"/>
      <c r="B4244" s="3" t="n">
        <f aca="false">DATE(2019,5,22)</f>
        <v>0</v>
      </c>
      <c r="C4244" s="3" t="n">
        <v>43607</v>
      </c>
      <c r="D4244" s="2" t="s">
        <v>31793</v>
      </c>
      <c r="F4244" s="2" t="s">
        <v>31794</v>
      </c>
      <c r="G4244" s="2" t="s">
        <v>31795</v>
      </c>
      <c r="H4244" s="2" t="s">
        <v>230</v>
      </c>
      <c r="I4244" s="2" t="s">
        <v>31796</v>
      </c>
      <c r="J4244" s="2" t="s">
        <v>35</v>
      </c>
      <c r="K4244" s="2" t="s">
        <v>31797</v>
      </c>
      <c r="L4244" s="2" t="s">
        <v>100</v>
      </c>
      <c r="M4244" s="2" t="s">
        <v>230</v>
      </c>
      <c r="N4244" s="2" t="s">
        <v>31798</v>
      </c>
      <c r="O4244" s="2"/>
      <c r="P4244" s="2" t="s">
        <v>37</v>
      </c>
      <c r="Q4244" s="4" t="n">
        <v>8099</v>
      </c>
      <c r="R4244" s="2" t="s">
        <v>1195</v>
      </c>
      <c r="S4244" s="2" t="s">
        <v>39</v>
      </c>
      <c r="T4244" s="2" t="s">
        <v>403</v>
      </c>
      <c r="U4244" s="2" t="s">
        <v>31799</v>
      </c>
      <c r="V4244" s="2"/>
      <c r="W4244" s="2" t="s">
        <v>6955</v>
      </c>
      <c r="X4244" s="2" t="s">
        <v>43</v>
      </c>
      <c r="Y4244" s="2" t="s">
        <v>37</v>
      </c>
      <c r="Z4244" s="2" t="s">
        <v>44</v>
      </c>
      <c r="AA4244" s="2"/>
      <c r="AB4244" s="2"/>
      <c r="AC4244" s="2" t="s">
        <v>31800</v>
      </c>
      <c r="AD4244" s="2" t="s">
        <v>46</v>
      </c>
    </row>
    <row r="4245" customFormat="false" ht="15.7" hidden="false" customHeight="true" outlineLevel="0" collapsed="false">
      <c r="A4245" s="2"/>
      <c r="B4245" s="3" t="n">
        <f aca="false">DATE(2019,5,23)</f>
        <v>0</v>
      </c>
      <c r="C4245" s="3" t="n">
        <v>43608</v>
      </c>
      <c r="D4245" s="2" t="s">
        <v>31801</v>
      </c>
      <c r="F4245" s="2" t="s">
        <v>31802</v>
      </c>
      <c r="G4245" s="2" t="s">
        <v>31803</v>
      </c>
      <c r="H4245" s="2" t="s">
        <v>31804</v>
      </c>
      <c r="I4245" s="2" t="s">
        <v>11307</v>
      </c>
      <c r="J4245" s="2" t="s">
        <v>35</v>
      </c>
      <c r="K4245" s="2" t="s">
        <v>31801</v>
      </c>
      <c r="L4245" s="2" t="s">
        <v>11307</v>
      </c>
      <c r="M4245" s="2" t="s">
        <v>31804</v>
      </c>
      <c r="N4245" s="2" t="s">
        <v>31805</v>
      </c>
      <c r="O4245" s="2"/>
      <c r="P4245" s="2" t="s">
        <v>37</v>
      </c>
      <c r="Q4245" s="4" t="n">
        <v>8731</v>
      </c>
      <c r="R4245" s="2" t="s">
        <v>2118</v>
      </c>
      <c r="S4245" s="2" t="s">
        <v>39</v>
      </c>
      <c r="T4245" s="2" t="s">
        <v>40</v>
      </c>
      <c r="U4245" s="2" t="s">
        <v>31806</v>
      </c>
      <c r="V4245" s="2"/>
      <c r="W4245" s="2" t="s">
        <v>42</v>
      </c>
      <c r="X4245" s="2" t="s">
        <v>43</v>
      </c>
      <c r="Y4245" s="2" t="s">
        <v>37</v>
      </c>
      <c r="Z4245" s="2" t="s">
        <v>44</v>
      </c>
      <c r="AA4245" s="2"/>
      <c r="AB4245" s="2"/>
      <c r="AC4245" s="2" t="s">
        <v>31807</v>
      </c>
      <c r="AD4245" s="2" t="s">
        <v>46</v>
      </c>
    </row>
    <row r="4246" customFormat="false" ht="15.7" hidden="false" customHeight="true" outlineLevel="0" collapsed="false">
      <c r="A4246" s="2"/>
      <c r="B4246" s="3" t="n">
        <f aca="false">DATE(2019,5,24)</f>
        <v>0</v>
      </c>
      <c r="C4246" s="3" t="n">
        <v>43609</v>
      </c>
      <c r="D4246" s="2" t="s">
        <v>31808</v>
      </c>
      <c r="F4246" s="2" t="s">
        <v>31809</v>
      </c>
      <c r="G4246" s="2" t="s">
        <v>31810</v>
      </c>
      <c r="H4246" s="2" t="s">
        <v>31811</v>
      </c>
      <c r="I4246" s="2" t="s">
        <v>31812</v>
      </c>
      <c r="J4246" s="2" t="s">
        <v>35</v>
      </c>
      <c r="K4246" s="2" t="s">
        <v>31808</v>
      </c>
      <c r="L4246" s="2" t="s">
        <v>31812</v>
      </c>
      <c r="M4246" s="2" t="s">
        <v>31811</v>
      </c>
      <c r="N4246" s="2" t="s">
        <v>31813</v>
      </c>
      <c r="O4246" s="2"/>
      <c r="P4246" s="2" t="s">
        <v>37</v>
      </c>
      <c r="Q4246" s="4" t="n">
        <v>8731</v>
      </c>
      <c r="R4246" s="2" t="s">
        <v>19637</v>
      </c>
      <c r="S4246" s="2" t="s">
        <v>39</v>
      </c>
      <c r="T4246" s="2" t="s">
        <v>40</v>
      </c>
      <c r="U4246" s="2" t="s">
        <v>31814</v>
      </c>
      <c r="V4246" s="2"/>
      <c r="W4246" s="2" t="s">
        <v>31815</v>
      </c>
      <c r="X4246" s="2" t="s">
        <v>43</v>
      </c>
      <c r="Y4246" s="2" t="s">
        <v>37</v>
      </c>
      <c r="Z4246" s="2" t="s">
        <v>44</v>
      </c>
      <c r="AA4246" s="2"/>
      <c r="AB4246" s="2"/>
      <c r="AC4246" s="2" t="s">
        <v>31816</v>
      </c>
      <c r="AD4246" s="2" t="s">
        <v>46</v>
      </c>
    </row>
    <row r="4247" customFormat="false" ht="15.7" hidden="false" customHeight="true" outlineLevel="0" collapsed="false">
      <c r="A4247" s="2"/>
      <c r="B4247" s="3" t="n">
        <f aca="false">DATE(2019,5,27)</f>
        <v>0</v>
      </c>
      <c r="C4247" s="3" t="n">
        <v>43612</v>
      </c>
      <c r="D4247" s="2" t="s">
        <v>31817</v>
      </c>
      <c r="F4247" s="2" t="s">
        <v>31818</v>
      </c>
      <c r="G4247" s="2" t="s">
        <v>31819</v>
      </c>
      <c r="H4247" s="2" t="s">
        <v>31820</v>
      </c>
      <c r="I4247" s="2" t="s">
        <v>131</v>
      </c>
      <c r="J4247" s="2" t="s">
        <v>331</v>
      </c>
      <c r="K4247" s="2" t="s">
        <v>31817</v>
      </c>
      <c r="L4247" s="2" t="s">
        <v>131</v>
      </c>
      <c r="M4247" s="2" t="s">
        <v>31820</v>
      </c>
      <c r="N4247" s="2" t="s">
        <v>31821</v>
      </c>
      <c r="O4247" s="2"/>
      <c r="P4247" s="2" t="s">
        <v>37</v>
      </c>
      <c r="Q4247" s="4" t="n">
        <v>8731</v>
      </c>
      <c r="R4247" s="2" t="s">
        <v>56</v>
      </c>
      <c r="S4247" s="2" t="s">
        <v>80</v>
      </c>
      <c r="T4247" s="2" t="s">
        <v>403</v>
      </c>
      <c r="U4247" s="2" t="s">
        <v>31822</v>
      </c>
      <c r="V4247" s="2"/>
      <c r="W4247" s="2" t="s">
        <v>1197</v>
      </c>
      <c r="X4247" s="2" t="s">
        <v>46</v>
      </c>
      <c r="Y4247" s="2" t="s">
        <v>37</v>
      </c>
      <c r="Z4247" s="2" t="s">
        <v>44</v>
      </c>
      <c r="AA4247" s="2"/>
      <c r="AB4247" s="2"/>
      <c r="AC4247" s="2" t="s">
        <v>31823</v>
      </c>
      <c r="AD4247" s="2" t="s">
        <v>46</v>
      </c>
    </row>
    <row r="4248" customFormat="false" ht="15.7" hidden="false" customHeight="true" outlineLevel="0" collapsed="false">
      <c r="A4248" s="2"/>
      <c r="B4248" s="3" t="n">
        <f aca="false">DATE(2019,5,27)</f>
        <v>0</v>
      </c>
      <c r="C4248" s="3" t="n">
        <v>43612</v>
      </c>
      <c r="D4248" s="2" t="s">
        <v>31824</v>
      </c>
      <c r="F4248" s="2" t="s">
        <v>14976</v>
      </c>
      <c r="G4248" s="2" t="s">
        <v>31825</v>
      </c>
      <c r="H4248" s="2" t="s">
        <v>523</v>
      </c>
      <c r="I4248" s="2" t="s">
        <v>685</v>
      </c>
      <c r="J4248" s="2" t="s">
        <v>35</v>
      </c>
      <c r="K4248" s="2" t="s">
        <v>31824</v>
      </c>
      <c r="L4248" s="2" t="s">
        <v>685</v>
      </c>
      <c r="M4248" s="2" t="s">
        <v>523</v>
      </c>
      <c r="N4248" s="2" t="s">
        <v>31826</v>
      </c>
      <c r="O4248" s="2"/>
      <c r="P4248" s="2" t="s">
        <v>37</v>
      </c>
      <c r="Q4248" s="4" t="n">
        <v>8731</v>
      </c>
      <c r="R4248" s="2" t="s">
        <v>688</v>
      </c>
      <c r="S4248" s="2" t="s">
        <v>39</v>
      </c>
      <c r="T4248" s="2" t="s">
        <v>403</v>
      </c>
      <c r="U4248" s="2" t="s">
        <v>31827</v>
      </c>
      <c r="V4248" s="2"/>
      <c r="W4248" s="2" t="s">
        <v>1050</v>
      </c>
      <c r="X4248" s="2" t="s">
        <v>43</v>
      </c>
      <c r="Y4248" s="2" t="s">
        <v>37</v>
      </c>
      <c r="Z4248" s="2" t="s">
        <v>44</v>
      </c>
      <c r="AA4248" s="2"/>
      <c r="AB4248" s="2"/>
      <c r="AC4248" s="2" t="s">
        <v>31828</v>
      </c>
      <c r="AD4248" s="2" t="s">
        <v>46</v>
      </c>
    </row>
    <row r="4249" customFormat="false" ht="15.7" hidden="false" customHeight="true" outlineLevel="0" collapsed="false">
      <c r="A4249" s="2"/>
      <c r="B4249" s="3" t="n">
        <f aca="false">DATE(2019,5,28)</f>
        <v>0</v>
      </c>
      <c r="C4249" s="3" t="n">
        <v>43613</v>
      </c>
      <c r="D4249" s="2" t="s">
        <v>31829</v>
      </c>
      <c r="F4249" s="2" t="s">
        <v>31830</v>
      </c>
      <c r="G4249" s="2" t="s">
        <v>31831</v>
      </c>
      <c r="H4249" s="2" t="s">
        <v>31832</v>
      </c>
      <c r="I4249" s="2" t="s">
        <v>31833</v>
      </c>
      <c r="J4249" s="2" t="s">
        <v>116</v>
      </c>
      <c r="K4249" s="2" t="s">
        <v>31834</v>
      </c>
      <c r="L4249" s="2" t="s">
        <v>31833</v>
      </c>
      <c r="M4249" s="2" t="s">
        <v>31835</v>
      </c>
      <c r="N4249" s="2" t="s">
        <v>31836</v>
      </c>
      <c r="O4249" s="2"/>
      <c r="P4249" s="2" t="s">
        <v>79</v>
      </c>
      <c r="Q4249" s="4" t="n">
        <v>6794</v>
      </c>
      <c r="R4249" s="2" t="s">
        <v>136</v>
      </c>
      <c r="S4249" s="2" t="s">
        <v>39</v>
      </c>
      <c r="T4249" s="2" t="s">
        <v>40</v>
      </c>
      <c r="U4249" s="2" t="s">
        <v>31837</v>
      </c>
      <c r="V4249" s="2"/>
      <c r="W4249" s="2" t="s">
        <v>206</v>
      </c>
      <c r="X4249" s="2" t="s">
        <v>43</v>
      </c>
      <c r="Y4249" s="2" t="s">
        <v>37</v>
      </c>
      <c r="Z4249" s="2" t="s">
        <v>916</v>
      </c>
      <c r="AA4249" s="2"/>
      <c r="AB4249" s="2"/>
      <c r="AC4249" s="2" t="s">
        <v>31838</v>
      </c>
      <c r="AD4249" s="2" t="s">
        <v>46</v>
      </c>
    </row>
    <row r="4250" customFormat="false" ht="15.7" hidden="false" customHeight="true" outlineLevel="0" collapsed="false">
      <c r="A4250" s="2"/>
      <c r="B4250" s="3" t="n">
        <f aca="false">DATE(2019,5,28)</f>
        <v>0</v>
      </c>
      <c r="C4250" s="3" t="n">
        <v>43613</v>
      </c>
      <c r="D4250" s="2" t="s">
        <v>31839</v>
      </c>
      <c r="F4250" s="2" t="s">
        <v>31840</v>
      </c>
      <c r="G4250" s="2" t="s">
        <v>31841</v>
      </c>
      <c r="H4250" s="2" t="s">
        <v>3840</v>
      </c>
      <c r="I4250" s="2" t="s">
        <v>6838</v>
      </c>
      <c r="J4250" s="2" t="s">
        <v>35</v>
      </c>
      <c r="K4250" s="2" t="s">
        <v>31839</v>
      </c>
      <c r="L4250" s="2" t="s">
        <v>6838</v>
      </c>
      <c r="M4250" s="2" t="s">
        <v>3840</v>
      </c>
      <c r="N4250" s="2" t="s">
        <v>31842</v>
      </c>
      <c r="O4250" s="2"/>
      <c r="P4250" s="2" t="s">
        <v>37</v>
      </c>
      <c r="Q4250" s="4" t="n">
        <v>6794</v>
      </c>
      <c r="R4250" s="2" t="s">
        <v>136</v>
      </c>
      <c r="S4250" s="2" t="s">
        <v>39</v>
      </c>
      <c r="T4250" s="2" t="s">
        <v>40</v>
      </c>
      <c r="U4250" s="2" t="s">
        <v>31843</v>
      </c>
      <c r="V4250" s="2"/>
      <c r="W4250" s="2" t="s">
        <v>15545</v>
      </c>
      <c r="X4250" s="2" t="s">
        <v>43</v>
      </c>
      <c r="Y4250" s="2" t="s">
        <v>37</v>
      </c>
      <c r="Z4250" s="2" t="s">
        <v>44</v>
      </c>
      <c r="AA4250" s="2"/>
      <c r="AB4250" s="2"/>
      <c r="AC4250" s="2" t="s">
        <v>31844</v>
      </c>
      <c r="AD4250" s="2" t="s">
        <v>46</v>
      </c>
    </row>
    <row r="4251" customFormat="false" ht="15.7" hidden="false" customHeight="true" outlineLevel="0" collapsed="false">
      <c r="A4251" s="2"/>
      <c r="B4251" s="3" t="n">
        <f aca="false">DATE(2019,5,28)</f>
        <v>0</v>
      </c>
      <c r="C4251" s="3" t="n">
        <v>43613</v>
      </c>
      <c r="D4251" s="2" t="s">
        <v>31845</v>
      </c>
      <c r="F4251" s="2" t="s">
        <v>31846</v>
      </c>
      <c r="G4251" s="2" t="s">
        <v>31847</v>
      </c>
      <c r="H4251" s="2" t="s">
        <v>31848</v>
      </c>
      <c r="I4251" s="2" t="s">
        <v>51</v>
      </c>
      <c r="J4251" s="2" t="s">
        <v>1001</v>
      </c>
      <c r="K4251" s="2" t="s">
        <v>31849</v>
      </c>
      <c r="L4251" s="2" t="s">
        <v>51</v>
      </c>
      <c r="M4251" s="2" t="s">
        <v>31848</v>
      </c>
      <c r="N4251" s="2" t="s">
        <v>31850</v>
      </c>
      <c r="O4251" s="2"/>
      <c r="P4251" s="2" t="s">
        <v>37</v>
      </c>
      <c r="Q4251" s="4" t="n">
        <v>6794</v>
      </c>
      <c r="R4251" s="2" t="s">
        <v>56</v>
      </c>
      <c r="S4251" s="2" t="s">
        <v>80</v>
      </c>
      <c r="T4251" s="2" t="s">
        <v>403</v>
      </c>
      <c r="U4251" s="2" t="s">
        <v>31851</v>
      </c>
      <c r="V4251" s="2"/>
      <c r="W4251" s="2" t="s">
        <v>7555</v>
      </c>
      <c r="X4251" s="2" t="s">
        <v>43</v>
      </c>
      <c r="Y4251" s="2" t="s">
        <v>37</v>
      </c>
      <c r="Z4251" s="2" t="s">
        <v>44</v>
      </c>
      <c r="AA4251" s="2"/>
      <c r="AB4251" s="2"/>
      <c r="AC4251" s="2" t="s">
        <v>31852</v>
      </c>
      <c r="AD4251" s="2" t="s">
        <v>46</v>
      </c>
    </row>
    <row r="4252" customFormat="false" ht="15.7" hidden="false" customHeight="true" outlineLevel="0" collapsed="false">
      <c r="A4252" s="2"/>
      <c r="B4252" s="3" t="n">
        <f aca="false">DATE(2019,5,29)</f>
        <v>0</v>
      </c>
      <c r="C4252" s="3" t="n">
        <v>43614</v>
      </c>
      <c r="D4252" s="2" t="s">
        <v>31853</v>
      </c>
      <c r="F4252" s="2" t="s">
        <v>31854</v>
      </c>
      <c r="G4252" s="2" t="s">
        <v>31855</v>
      </c>
      <c r="H4252" s="2" t="s">
        <v>541</v>
      </c>
      <c r="I4252" s="2" t="s">
        <v>227</v>
      </c>
      <c r="J4252" s="2" t="s">
        <v>966</v>
      </c>
      <c r="K4252" s="2" t="s">
        <v>31853</v>
      </c>
      <c r="L4252" s="2" t="s">
        <v>227</v>
      </c>
      <c r="M4252" s="2" t="s">
        <v>541</v>
      </c>
      <c r="N4252" s="2" t="s">
        <v>31856</v>
      </c>
      <c r="O4252" s="2"/>
      <c r="P4252" s="2" t="s">
        <v>37</v>
      </c>
      <c r="Q4252" s="4" t="n">
        <v>8099</v>
      </c>
      <c r="R4252" s="2" t="s">
        <v>16962</v>
      </c>
      <c r="S4252" s="2" t="s">
        <v>39</v>
      </c>
      <c r="T4252" s="2" t="s">
        <v>40</v>
      </c>
      <c r="U4252" s="2" t="s">
        <v>31857</v>
      </c>
      <c r="V4252" s="2"/>
      <c r="W4252" s="2" t="s">
        <v>4487</v>
      </c>
      <c r="X4252" s="2" t="s">
        <v>43</v>
      </c>
      <c r="Y4252" s="2" t="s">
        <v>37</v>
      </c>
      <c r="Z4252" s="2" t="s">
        <v>44</v>
      </c>
      <c r="AA4252" s="2"/>
      <c r="AB4252" s="2"/>
      <c r="AC4252" s="2" t="s">
        <v>31858</v>
      </c>
      <c r="AD4252" s="2" t="s">
        <v>46</v>
      </c>
    </row>
    <row r="4253" customFormat="false" ht="15.7" hidden="false" customHeight="true" outlineLevel="0" collapsed="false">
      <c r="A4253" s="2"/>
      <c r="B4253" s="3" t="n">
        <f aca="false">DATE(2019,5,29)</f>
        <v>0</v>
      </c>
      <c r="C4253" s="3" t="n">
        <v>43614</v>
      </c>
      <c r="D4253" s="2" t="s">
        <v>31859</v>
      </c>
      <c r="F4253" s="2" t="s">
        <v>31860</v>
      </c>
      <c r="G4253" s="2" t="s">
        <v>31861</v>
      </c>
      <c r="H4253" s="2" t="s">
        <v>18273</v>
      </c>
      <c r="I4253" s="2" t="s">
        <v>51</v>
      </c>
      <c r="J4253" s="2" t="s">
        <v>171</v>
      </c>
      <c r="K4253" s="2" t="s">
        <v>31859</v>
      </c>
      <c r="L4253" s="2" t="s">
        <v>51</v>
      </c>
      <c r="M4253" s="2" t="s">
        <v>18273</v>
      </c>
      <c r="N4253" s="2" t="s">
        <v>31862</v>
      </c>
      <c r="O4253" s="2"/>
      <c r="P4253" s="2" t="s">
        <v>37</v>
      </c>
      <c r="Q4253" s="4" t="n">
        <v>8731</v>
      </c>
      <c r="R4253" s="2" t="s">
        <v>56</v>
      </c>
      <c r="S4253" s="2"/>
      <c r="T4253" s="2" t="s">
        <v>40</v>
      </c>
      <c r="U4253" s="2" t="s">
        <v>31863</v>
      </c>
      <c r="V4253" s="2"/>
      <c r="W4253" s="2" t="s">
        <v>42</v>
      </c>
      <c r="X4253" s="2" t="s">
        <v>43</v>
      </c>
      <c r="Y4253" s="2" t="s">
        <v>37</v>
      </c>
      <c r="Z4253" s="2" t="s">
        <v>44</v>
      </c>
      <c r="AA4253" s="2"/>
      <c r="AB4253" s="2"/>
      <c r="AC4253" s="2" t="s">
        <v>31864</v>
      </c>
      <c r="AD4253" s="2" t="s">
        <v>46</v>
      </c>
    </row>
    <row r="4254" customFormat="false" ht="15.7" hidden="false" customHeight="true" outlineLevel="0" collapsed="false">
      <c r="A4254" s="2"/>
      <c r="B4254" s="3" t="n">
        <f aca="false">DATE(2019,5,29)</f>
        <v>0</v>
      </c>
      <c r="C4254" s="3" t="n">
        <v>43614</v>
      </c>
      <c r="D4254" s="2" t="s">
        <v>31865</v>
      </c>
      <c r="F4254" s="2" t="s">
        <v>31866</v>
      </c>
      <c r="G4254" s="2" t="s">
        <v>31867</v>
      </c>
      <c r="H4254" s="2" t="s">
        <v>31868</v>
      </c>
      <c r="I4254" s="2" t="s">
        <v>3795</v>
      </c>
      <c r="J4254" s="2" t="s">
        <v>132</v>
      </c>
      <c r="K4254" s="2" t="s">
        <v>31869</v>
      </c>
      <c r="L4254" s="2" t="s">
        <v>3267</v>
      </c>
      <c r="M4254" s="2" t="s">
        <v>2832</v>
      </c>
      <c r="N4254" s="2" t="s">
        <v>31870</v>
      </c>
      <c r="O4254" s="2"/>
      <c r="P4254" s="2" t="s">
        <v>37</v>
      </c>
      <c r="Q4254" s="4" t="n">
        <v>8731</v>
      </c>
      <c r="R4254" s="2" t="s">
        <v>3154</v>
      </c>
      <c r="S4254" s="2" t="s">
        <v>39</v>
      </c>
      <c r="T4254" s="2" t="s">
        <v>403</v>
      </c>
      <c r="U4254" s="2" t="s">
        <v>31871</v>
      </c>
      <c r="V4254" s="2"/>
      <c r="W4254" s="2" t="s">
        <v>4101</v>
      </c>
      <c r="X4254" s="2" t="s">
        <v>46</v>
      </c>
      <c r="Y4254" s="2" t="s">
        <v>37</v>
      </c>
      <c r="Z4254" s="2" t="s">
        <v>44</v>
      </c>
      <c r="AA4254" s="2"/>
      <c r="AB4254" s="2"/>
      <c r="AC4254" s="2" t="s">
        <v>31872</v>
      </c>
      <c r="AD4254" s="2" t="s">
        <v>46</v>
      </c>
    </row>
    <row r="4255" customFormat="false" ht="15.7" hidden="false" customHeight="true" outlineLevel="0" collapsed="false">
      <c r="A4255" s="2"/>
      <c r="B4255" s="3" t="n">
        <f aca="false">DATE(2019,5,29)</f>
        <v>0</v>
      </c>
      <c r="C4255" s="3" t="n">
        <v>43614</v>
      </c>
      <c r="D4255" s="2" t="s">
        <v>31873</v>
      </c>
      <c r="F4255" s="2" t="s">
        <v>31874</v>
      </c>
      <c r="G4255" s="2" t="s">
        <v>31875</v>
      </c>
      <c r="H4255" s="2" t="s">
        <v>31876</v>
      </c>
      <c r="I4255" s="2" t="s">
        <v>540</v>
      </c>
      <c r="J4255" s="2" t="s">
        <v>35</v>
      </c>
      <c r="K4255" s="2" t="s">
        <v>31873</v>
      </c>
      <c r="L4255" s="2" t="s">
        <v>540</v>
      </c>
      <c r="M4255" s="2" t="s">
        <v>31876</v>
      </c>
      <c r="N4255" s="2" t="s">
        <v>31877</v>
      </c>
      <c r="O4255" s="2"/>
      <c r="P4255" s="2" t="s">
        <v>37</v>
      </c>
      <c r="Q4255" s="4" t="n">
        <v>8731</v>
      </c>
      <c r="R4255" s="2" t="s">
        <v>1448</v>
      </c>
      <c r="S4255" s="2" t="s">
        <v>39</v>
      </c>
      <c r="T4255" s="2" t="s">
        <v>403</v>
      </c>
      <c r="U4255" s="2" t="s">
        <v>31878</v>
      </c>
      <c r="V4255" s="2"/>
      <c r="W4255" s="2" t="s">
        <v>344</v>
      </c>
      <c r="X4255" s="2" t="s">
        <v>43</v>
      </c>
      <c r="Y4255" s="2" t="s">
        <v>37</v>
      </c>
      <c r="Z4255" s="2" t="s">
        <v>44</v>
      </c>
      <c r="AA4255" s="2"/>
      <c r="AB4255" s="2"/>
      <c r="AC4255" s="2" t="s">
        <v>31879</v>
      </c>
      <c r="AD4255" s="2" t="s">
        <v>46</v>
      </c>
    </row>
    <row r="4256" customFormat="false" ht="15.7" hidden="false" customHeight="true" outlineLevel="0" collapsed="false">
      <c r="A4256" s="2"/>
      <c r="B4256" s="3" t="n">
        <f aca="false">DATE(2019,5,30)</f>
        <v>0</v>
      </c>
      <c r="C4256" s="3" t="n">
        <v>43615</v>
      </c>
      <c r="D4256" s="2" t="s">
        <v>31880</v>
      </c>
      <c r="F4256" s="2" t="s">
        <v>31881</v>
      </c>
      <c r="G4256" s="2" t="s">
        <v>31882</v>
      </c>
      <c r="H4256" s="2" t="s">
        <v>31883</v>
      </c>
      <c r="I4256" s="2" t="s">
        <v>4325</v>
      </c>
      <c r="J4256" s="2" t="s">
        <v>35</v>
      </c>
      <c r="K4256" s="2" t="s">
        <v>31880</v>
      </c>
      <c r="L4256" s="2" t="s">
        <v>4325</v>
      </c>
      <c r="M4256" s="2" t="s">
        <v>31883</v>
      </c>
      <c r="N4256" s="2" t="s">
        <v>31884</v>
      </c>
      <c r="O4256" s="2"/>
      <c r="P4256" s="2" t="s">
        <v>37</v>
      </c>
      <c r="Q4256" s="4" t="n">
        <v>8731</v>
      </c>
      <c r="R4256" s="2" t="s">
        <v>402</v>
      </c>
      <c r="S4256" s="2" t="s">
        <v>39</v>
      </c>
      <c r="T4256" s="2" t="s">
        <v>403</v>
      </c>
      <c r="U4256" s="2" t="s">
        <v>31885</v>
      </c>
      <c r="V4256" s="2"/>
      <c r="W4256" s="2" t="s">
        <v>31886</v>
      </c>
      <c r="X4256" s="2" t="s">
        <v>43</v>
      </c>
      <c r="Y4256" s="2" t="s">
        <v>37</v>
      </c>
      <c r="Z4256" s="2" t="s">
        <v>44</v>
      </c>
      <c r="AA4256" s="2"/>
      <c r="AB4256" s="2"/>
      <c r="AC4256" s="2" t="s">
        <v>31887</v>
      </c>
      <c r="AD4256" s="2" t="s">
        <v>46</v>
      </c>
    </row>
    <row r="4257" customFormat="false" ht="15.7" hidden="false" customHeight="true" outlineLevel="0" collapsed="false">
      <c r="A4257" s="2"/>
      <c r="B4257" s="3" t="n">
        <f aca="false">DATE(2019,5,30)</f>
        <v>0</v>
      </c>
      <c r="C4257" s="3" t="n">
        <v>43615</v>
      </c>
      <c r="D4257" s="2" t="s">
        <v>31888</v>
      </c>
      <c r="F4257" s="2" t="s">
        <v>31889</v>
      </c>
      <c r="G4257" s="2" t="s">
        <v>31890</v>
      </c>
      <c r="H4257" s="2" t="s">
        <v>2319</v>
      </c>
      <c r="I4257" s="2" t="s">
        <v>670</v>
      </c>
      <c r="J4257" s="2" t="s">
        <v>625</v>
      </c>
      <c r="K4257" s="2" t="s">
        <v>31891</v>
      </c>
      <c r="L4257" s="2" t="s">
        <v>670</v>
      </c>
      <c r="M4257" s="2" t="s">
        <v>2832</v>
      </c>
      <c r="N4257" s="2" t="s">
        <v>31892</v>
      </c>
      <c r="O4257" s="2"/>
      <c r="P4257" s="2" t="s">
        <v>79</v>
      </c>
      <c r="Q4257" s="4" t="n">
        <v>6794</v>
      </c>
      <c r="R4257" s="2" t="s">
        <v>136</v>
      </c>
      <c r="S4257" s="2" t="s">
        <v>39</v>
      </c>
      <c r="T4257" s="2" t="s">
        <v>40</v>
      </c>
      <c r="U4257" s="2" t="s">
        <v>31893</v>
      </c>
      <c r="V4257" s="2"/>
      <c r="W4257" s="2" t="s">
        <v>82</v>
      </c>
      <c r="X4257" s="2" t="s">
        <v>43</v>
      </c>
      <c r="Y4257" s="2" t="s">
        <v>37</v>
      </c>
      <c r="Z4257" s="2" t="s">
        <v>44</v>
      </c>
      <c r="AA4257" s="2"/>
      <c r="AB4257" s="2"/>
      <c r="AC4257" s="2" t="s">
        <v>31894</v>
      </c>
      <c r="AD4257" s="2" t="s">
        <v>46</v>
      </c>
    </row>
    <row r="4258" customFormat="false" ht="15.7" hidden="false" customHeight="true" outlineLevel="0" collapsed="false">
      <c r="A4258" s="2"/>
      <c r="B4258" s="3" t="n">
        <f aca="false">DATE(2019,5,31)</f>
        <v>0</v>
      </c>
      <c r="C4258" s="3" t="n">
        <v>43616</v>
      </c>
      <c r="D4258" s="2" t="s">
        <v>31895</v>
      </c>
      <c r="F4258" s="2" t="s">
        <v>31896</v>
      </c>
      <c r="G4258" s="2" t="s">
        <v>31897</v>
      </c>
      <c r="H4258" s="2" t="s">
        <v>11479</v>
      </c>
      <c r="I4258" s="2" t="s">
        <v>1080</v>
      </c>
      <c r="J4258" s="2" t="s">
        <v>35</v>
      </c>
      <c r="K4258" s="2" t="s">
        <v>31895</v>
      </c>
      <c r="L4258" s="2" t="s">
        <v>1080</v>
      </c>
      <c r="M4258" s="2" t="s">
        <v>11479</v>
      </c>
      <c r="N4258" s="2" t="s">
        <v>31898</v>
      </c>
      <c r="O4258" s="2"/>
      <c r="P4258" s="2" t="s">
        <v>37</v>
      </c>
      <c r="Q4258" s="4" t="n">
        <v>8731</v>
      </c>
      <c r="R4258" s="2" t="s">
        <v>2201</v>
      </c>
      <c r="S4258" s="2" t="s">
        <v>39</v>
      </c>
      <c r="T4258" s="2" t="s">
        <v>403</v>
      </c>
      <c r="U4258" s="2" t="s">
        <v>31899</v>
      </c>
      <c r="V4258" s="2"/>
      <c r="W4258" s="2" t="s">
        <v>9400</v>
      </c>
      <c r="X4258" s="2" t="s">
        <v>46</v>
      </c>
      <c r="Y4258" s="2" t="s">
        <v>37</v>
      </c>
      <c r="Z4258" s="2" t="s">
        <v>44</v>
      </c>
      <c r="AA4258" s="2"/>
      <c r="AB4258" s="2"/>
      <c r="AC4258" s="2" t="s">
        <v>31900</v>
      </c>
      <c r="AD4258" s="2" t="s">
        <v>46</v>
      </c>
    </row>
    <row r="4259" customFormat="false" ht="15.7" hidden="false" customHeight="true" outlineLevel="0" collapsed="false">
      <c r="A4259" s="2"/>
      <c r="B4259" s="3" t="n">
        <f aca="false">DATE(2019,6,3)</f>
        <v>0</v>
      </c>
      <c r="C4259" s="3" t="n">
        <v>43619</v>
      </c>
      <c r="D4259" s="2" t="s">
        <v>31901</v>
      </c>
      <c r="F4259" s="2" t="s">
        <v>31902</v>
      </c>
      <c r="G4259" s="2" t="s">
        <v>31903</v>
      </c>
      <c r="H4259" s="2" t="s">
        <v>31904</v>
      </c>
      <c r="I4259" s="2" t="s">
        <v>51</v>
      </c>
      <c r="J4259" s="2" t="s">
        <v>31905</v>
      </c>
      <c r="K4259" s="2" t="s">
        <v>31906</v>
      </c>
      <c r="L4259" s="2" t="s">
        <v>51</v>
      </c>
      <c r="M4259" s="2" t="s">
        <v>31907</v>
      </c>
      <c r="N4259" s="2" t="s">
        <v>31908</v>
      </c>
      <c r="O4259" s="2"/>
      <c r="P4259" s="2" t="s">
        <v>37</v>
      </c>
      <c r="Q4259" s="4" t="n">
        <v>8731</v>
      </c>
      <c r="R4259" s="2" t="s">
        <v>56</v>
      </c>
      <c r="S4259" s="2" t="s">
        <v>472</v>
      </c>
      <c r="T4259" s="2" t="s">
        <v>403</v>
      </c>
      <c r="U4259" s="2" t="s">
        <v>31909</v>
      </c>
      <c r="V4259" s="2"/>
      <c r="W4259" s="2" t="s">
        <v>42</v>
      </c>
      <c r="X4259" s="2" t="s">
        <v>43</v>
      </c>
      <c r="Y4259" s="2" t="s">
        <v>37</v>
      </c>
      <c r="Z4259" s="2" t="s">
        <v>44</v>
      </c>
      <c r="AA4259" s="2"/>
      <c r="AB4259" s="2"/>
      <c r="AC4259" s="2" t="s">
        <v>31910</v>
      </c>
      <c r="AD4259" s="2" t="s">
        <v>46</v>
      </c>
    </row>
    <row r="4260" customFormat="false" ht="15.7" hidden="false" customHeight="true" outlineLevel="0" collapsed="false">
      <c r="A4260" s="2"/>
      <c r="B4260" s="3" t="n">
        <f aca="false">DATE(2019,6,3)</f>
        <v>0</v>
      </c>
      <c r="C4260" s="3" t="n">
        <v>43619</v>
      </c>
      <c r="D4260" s="2" t="s">
        <v>31911</v>
      </c>
      <c r="F4260" s="2" t="s">
        <v>31912</v>
      </c>
      <c r="G4260" s="2" t="s">
        <v>31913</v>
      </c>
      <c r="H4260" s="2" t="s">
        <v>10082</v>
      </c>
      <c r="I4260" s="2" t="s">
        <v>51</v>
      </c>
      <c r="J4260" s="2" t="s">
        <v>3045</v>
      </c>
      <c r="K4260" s="2" t="s">
        <v>31911</v>
      </c>
      <c r="L4260" s="2" t="s">
        <v>51</v>
      </c>
      <c r="M4260" s="2" t="s">
        <v>10082</v>
      </c>
      <c r="N4260" s="2" t="s">
        <v>31914</v>
      </c>
      <c r="O4260" s="2"/>
      <c r="P4260" s="2" t="s">
        <v>37</v>
      </c>
      <c r="Q4260" s="4" t="n">
        <v>8731</v>
      </c>
      <c r="R4260" s="2" t="s">
        <v>56</v>
      </c>
      <c r="S4260" s="2" t="s">
        <v>92</v>
      </c>
      <c r="T4260" s="2" t="s">
        <v>403</v>
      </c>
      <c r="U4260" s="2" t="s">
        <v>31915</v>
      </c>
      <c r="V4260" s="2"/>
      <c r="W4260" s="2" t="s">
        <v>344</v>
      </c>
      <c r="X4260" s="2" t="s">
        <v>43</v>
      </c>
      <c r="Y4260" s="2" t="s">
        <v>37</v>
      </c>
      <c r="Z4260" s="2" t="s">
        <v>44</v>
      </c>
      <c r="AA4260" s="2"/>
      <c r="AB4260" s="2"/>
      <c r="AC4260" s="2" t="s">
        <v>31916</v>
      </c>
      <c r="AD4260" s="2" t="s">
        <v>46</v>
      </c>
    </row>
    <row r="4261" customFormat="false" ht="15.7" hidden="false" customHeight="true" outlineLevel="0" collapsed="false">
      <c r="A4261" s="2"/>
      <c r="B4261" s="3" t="n">
        <f aca="false">DATE(2019,6,3)</f>
        <v>0</v>
      </c>
      <c r="C4261" s="3" t="n">
        <v>43619</v>
      </c>
      <c r="D4261" s="2" t="s">
        <v>31917</v>
      </c>
      <c r="F4261" s="2" t="s">
        <v>20650</v>
      </c>
      <c r="G4261" s="2" t="s">
        <v>31918</v>
      </c>
      <c r="H4261" s="2" t="s">
        <v>130</v>
      </c>
      <c r="I4261" s="2" t="s">
        <v>540</v>
      </c>
      <c r="J4261" s="2" t="s">
        <v>35</v>
      </c>
      <c r="K4261" s="2" t="s">
        <v>31917</v>
      </c>
      <c r="L4261" s="2" t="s">
        <v>540</v>
      </c>
      <c r="M4261" s="2" t="s">
        <v>130</v>
      </c>
      <c r="N4261" s="2" t="s">
        <v>31919</v>
      </c>
      <c r="O4261" s="2"/>
      <c r="P4261" s="2" t="s">
        <v>37</v>
      </c>
      <c r="Q4261" s="4" t="n">
        <v>8731</v>
      </c>
      <c r="R4261" s="2" t="s">
        <v>56</v>
      </c>
      <c r="S4261" s="2"/>
      <c r="T4261" s="2" t="s">
        <v>673</v>
      </c>
      <c r="U4261" s="2" t="s">
        <v>31920</v>
      </c>
      <c r="V4261" s="2"/>
      <c r="W4261" s="2" t="s">
        <v>697</v>
      </c>
      <c r="X4261" s="2" t="s">
        <v>43</v>
      </c>
      <c r="Y4261" s="2" t="s">
        <v>37</v>
      </c>
      <c r="Z4261" s="2" t="s">
        <v>44</v>
      </c>
      <c r="AA4261" s="2"/>
      <c r="AB4261" s="2"/>
      <c r="AC4261" s="2" t="s">
        <v>31921</v>
      </c>
      <c r="AD4261" s="2" t="s">
        <v>46</v>
      </c>
    </row>
    <row r="4262" customFormat="false" ht="15.7" hidden="false" customHeight="true" outlineLevel="0" collapsed="false">
      <c r="A4262" s="2"/>
      <c r="B4262" s="3" t="n">
        <f aca="false">DATE(2019,6,3)</f>
        <v>0</v>
      </c>
      <c r="C4262" s="3" t="n">
        <v>43619</v>
      </c>
      <c r="D4262" s="2" t="s">
        <v>31922</v>
      </c>
      <c r="F4262" s="2" t="s">
        <v>29399</v>
      </c>
      <c r="G4262" s="2" t="s">
        <v>31923</v>
      </c>
      <c r="H4262" s="2" t="s">
        <v>1101</v>
      </c>
      <c r="I4262" s="2" t="s">
        <v>51</v>
      </c>
      <c r="J4262" s="2" t="s">
        <v>171</v>
      </c>
      <c r="K4262" s="2" t="s">
        <v>31924</v>
      </c>
      <c r="L4262" s="2" t="s">
        <v>670</v>
      </c>
      <c r="M4262" s="2" t="s">
        <v>814</v>
      </c>
      <c r="N4262" s="2" t="s">
        <v>31925</v>
      </c>
      <c r="O4262" s="2"/>
      <c r="P4262" s="2" t="s">
        <v>37</v>
      </c>
      <c r="Q4262" s="4" t="n">
        <v>6794</v>
      </c>
      <c r="R4262" s="2" t="s">
        <v>56</v>
      </c>
      <c r="S4262" s="2" t="s">
        <v>92</v>
      </c>
      <c r="T4262" s="2" t="s">
        <v>403</v>
      </c>
      <c r="U4262" s="2" t="s">
        <v>31926</v>
      </c>
      <c r="V4262" s="2"/>
      <c r="W4262" s="2" t="s">
        <v>15545</v>
      </c>
      <c r="X4262" s="2" t="s">
        <v>43</v>
      </c>
      <c r="Y4262" s="2" t="s">
        <v>37</v>
      </c>
      <c r="Z4262" s="2" t="s">
        <v>44</v>
      </c>
      <c r="AA4262" s="2"/>
      <c r="AB4262" s="2"/>
      <c r="AC4262" s="2" t="s">
        <v>31927</v>
      </c>
      <c r="AD4262" s="2" t="s">
        <v>46</v>
      </c>
    </row>
    <row r="4263" customFormat="false" ht="15.7" hidden="false" customHeight="true" outlineLevel="0" collapsed="false">
      <c r="A4263" s="2"/>
      <c r="B4263" s="3" t="n">
        <f aca="false">DATE(2019,6,4)</f>
        <v>0</v>
      </c>
      <c r="C4263" s="3" t="n">
        <v>43620</v>
      </c>
      <c r="D4263" s="2" t="s">
        <v>31928</v>
      </c>
      <c r="F4263" s="2" t="s">
        <v>31929</v>
      </c>
      <c r="G4263" s="2" t="s">
        <v>31930</v>
      </c>
      <c r="H4263" s="2" t="s">
        <v>134</v>
      </c>
      <c r="I4263" s="2" t="s">
        <v>131</v>
      </c>
      <c r="J4263" s="2" t="s">
        <v>14811</v>
      </c>
      <c r="K4263" s="2" t="s">
        <v>31928</v>
      </c>
      <c r="L4263" s="2" t="s">
        <v>131</v>
      </c>
      <c r="M4263" s="2" t="s">
        <v>134</v>
      </c>
      <c r="N4263" s="2" t="s">
        <v>31931</v>
      </c>
      <c r="O4263" s="2"/>
      <c r="P4263" s="2" t="s">
        <v>37</v>
      </c>
      <c r="Q4263" s="4" t="n">
        <v>8731</v>
      </c>
      <c r="R4263" s="2" t="s">
        <v>136</v>
      </c>
      <c r="S4263" s="2" t="s">
        <v>39</v>
      </c>
      <c r="T4263" s="2" t="s">
        <v>40</v>
      </c>
      <c r="U4263" s="2" t="s">
        <v>31932</v>
      </c>
      <c r="V4263" s="2"/>
      <c r="W4263" s="2" t="s">
        <v>42</v>
      </c>
      <c r="X4263" s="2" t="s">
        <v>43</v>
      </c>
      <c r="Y4263" s="2" t="s">
        <v>37</v>
      </c>
      <c r="Z4263" s="2" t="s">
        <v>44</v>
      </c>
      <c r="AA4263" s="2"/>
      <c r="AB4263" s="2"/>
      <c r="AC4263" s="2" t="s">
        <v>31933</v>
      </c>
      <c r="AD4263" s="2" t="s">
        <v>46</v>
      </c>
    </row>
    <row r="4264" customFormat="false" ht="15.7" hidden="false" customHeight="true" outlineLevel="0" collapsed="false">
      <c r="A4264" s="2"/>
      <c r="B4264" s="3" t="n">
        <f aca="false">DATE(2019,6,4)</f>
        <v>0</v>
      </c>
      <c r="C4264" s="3" t="n">
        <v>43620</v>
      </c>
      <c r="D4264" s="2" t="s">
        <v>31934</v>
      </c>
      <c r="F4264" s="2" t="s">
        <v>17277</v>
      </c>
      <c r="G4264" s="2" t="s">
        <v>31935</v>
      </c>
      <c r="H4264" s="2" t="s">
        <v>523</v>
      </c>
      <c r="I4264" s="2" t="s">
        <v>296</v>
      </c>
      <c r="J4264" s="2" t="s">
        <v>31936</v>
      </c>
      <c r="K4264" s="2" t="s">
        <v>31934</v>
      </c>
      <c r="L4264" s="2" t="s">
        <v>296</v>
      </c>
      <c r="M4264" s="2" t="s">
        <v>523</v>
      </c>
      <c r="N4264" s="2" t="s">
        <v>31937</v>
      </c>
      <c r="O4264" s="2"/>
      <c r="P4264" s="2" t="s">
        <v>79</v>
      </c>
      <c r="Q4264" s="4" t="n">
        <v>6794</v>
      </c>
      <c r="R4264" s="2" t="s">
        <v>136</v>
      </c>
      <c r="S4264" s="2" t="s">
        <v>39</v>
      </c>
      <c r="T4264" s="2" t="s">
        <v>40</v>
      </c>
      <c r="U4264" s="2" t="s">
        <v>31938</v>
      </c>
      <c r="V4264" s="2"/>
      <c r="W4264" s="2" t="s">
        <v>82</v>
      </c>
      <c r="X4264" s="2" t="s">
        <v>43</v>
      </c>
      <c r="Y4264" s="2" t="s">
        <v>37</v>
      </c>
      <c r="Z4264" s="2" t="s">
        <v>44</v>
      </c>
      <c r="AA4264" s="2"/>
      <c r="AB4264" s="2"/>
      <c r="AC4264" s="2" t="s">
        <v>31939</v>
      </c>
      <c r="AD4264" s="2" t="s">
        <v>46</v>
      </c>
    </row>
    <row r="4265" customFormat="false" ht="15.7" hidden="false" customHeight="true" outlineLevel="0" collapsed="false">
      <c r="A4265" s="2"/>
      <c r="B4265" s="3" t="n">
        <f aca="false">DATE(2019,6,4)</f>
        <v>0</v>
      </c>
      <c r="C4265" s="3" t="n">
        <v>43620</v>
      </c>
      <c r="D4265" s="2" t="s">
        <v>31940</v>
      </c>
      <c r="F4265" s="2" t="s">
        <v>31941</v>
      </c>
      <c r="G4265" s="2" t="s">
        <v>31942</v>
      </c>
      <c r="H4265" s="2" t="s">
        <v>31943</v>
      </c>
      <c r="I4265" s="2" t="s">
        <v>24503</v>
      </c>
      <c r="J4265" s="2" t="s">
        <v>1397</v>
      </c>
      <c r="K4265" s="2" t="s">
        <v>31944</v>
      </c>
      <c r="L4265" s="2" t="s">
        <v>14858</v>
      </c>
      <c r="M4265" s="2" t="s">
        <v>31945</v>
      </c>
      <c r="N4265" s="2" t="s">
        <v>31946</v>
      </c>
      <c r="O4265" s="2"/>
      <c r="P4265" s="2" t="s">
        <v>37</v>
      </c>
      <c r="Q4265" s="4" t="n">
        <v>8731</v>
      </c>
      <c r="R4265" s="2"/>
      <c r="S4265" s="2"/>
      <c r="T4265" s="2" t="s">
        <v>40</v>
      </c>
      <c r="U4265" s="2" t="s">
        <v>31947</v>
      </c>
      <c r="V4265" s="2"/>
      <c r="W4265" s="2" t="s">
        <v>13622</v>
      </c>
      <c r="X4265" s="2" t="s">
        <v>46</v>
      </c>
      <c r="Y4265" s="2" t="s">
        <v>37</v>
      </c>
      <c r="Z4265" s="2" t="s">
        <v>916</v>
      </c>
      <c r="AA4265" s="2"/>
      <c r="AB4265" s="2"/>
      <c r="AC4265" s="2" t="s">
        <v>31948</v>
      </c>
      <c r="AD4265" s="2" t="s">
        <v>46</v>
      </c>
    </row>
    <row r="4266" customFormat="false" ht="15.7" hidden="false" customHeight="true" outlineLevel="0" collapsed="false">
      <c r="A4266" s="2"/>
      <c r="B4266" s="3" t="n">
        <f aca="false">DATE(2019,6,4)</f>
        <v>0</v>
      </c>
      <c r="C4266" s="3" t="n">
        <v>43620</v>
      </c>
      <c r="D4266" s="2" t="s">
        <v>31949</v>
      </c>
      <c r="F4266" s="2" t="s">
        <v>31950</v>
      </c>
      <c r="G4266" s="2" t="s">
        <v>31951</v>
      </c>
      <c r="H4266" s="2" t="s">
        <v>31952</v>
      </c>
      <c r="I4266" s="2" t="s">
        <v>3795</v>
      </c>
      <c r="J4266" s="2" t="s">
        <v>3906</v>
      </c>
      <c r="K4266" s="2" t="s">
        <v>31949</v>
      </c>
      <c r="L4266" s="2" t="s">
        <v>3795</v>
      </c>
      <c r="M4266" s="2" t="s">
        <v>31952</v>
      </c>
      <c r="N4266" s="2" t="s">
        <v>31953</v>
      </c>
      <c r="O4266" s="2"/>
      <c r="P4266" s="2" t="s">
        <v>37</v>
      </c>
      <c r="Q4266" s="4" t="n">
        <v>8731</v>
      </c>
      <c r="R4266" s="2" t="s">
        <v>56</v>
      </c>
      <c r="S4266" s="2"/>
      <c r="T4266" s="2" t="s">
        <v>403</v>
      </c>
      <c r="U4266" s="2" t="s">
        <v>31954</v>
      </c>
      <c r="V4266" s="2"/>
      <c r="W4266" s="2" t="s">
        <v>42</v>
      </c>
      <c r="X4266" s="2" t="s">
        <v>43</v>
      </c>
      <c r="Y4266" s="2" t="s">
        <v>37</v>
      </c>
      <c r="Z4266" s="2" t="s">
        <v>44</v>
      </c>
      <c r="AA4266" s="2"/>
      <c r="AB4266" s="2"/>
      <c r="AC4266" s="2" t="s">
        <v>31955</v>
      </c>
      <c r="AD4266" s="2" t="s">
        <v>46</v>
      </c>
    </row>
    <row r="4267" customFormat="false" ht="15.7" hidden="false" customHeight="true" outlineLevel="0" collapsed="false">
      <c r="A4267" s="2"/>
      <c r="B4267" s="3" t="n">
        <f aca="false">DATE(2019,6,5)</f>
        <v>0</v>
      </c>
      <c r="C4267" s="3" t="n">
        <v>43621</v>
      </c>
      <c r="D4267" s="2" t="s">
        <v>31956</v>
      </c>
      <c r="F4267" s="2" t="s">
        <v>31957</v>
      </c>
      <c r="G4267" s="2" t="s">
        <v>31958</v>
      </c>
      <c r="H4267" s="2" t="s">
        <v>240</v>
      </c>
      <c r="I4267" s="2" t="s">
        <v>899</v>
      </c>
      <c r="J4267" s="2" t="s">
        <v>132</v>
      </c>
      <c r="K4267" s="2" t="s">
        <v>31956</v>
      </c>
      <c r="L4267" s="2" t="s">
        <v>899</v>
      </c>
      <c r="M4267" s="2" t="s">
        <v>240</v>
      </c>
      <c r="N4267" s="2" t="s">
        <v>31959</v>
      </c>
      <c r="O4267" s="2"/>
      <c r="P4267" s="2" t="s">
        <v>37</v>
      </c>
      <c r="Q4267" s="4" t="n">
        <v>8731</v>
      </c>
      <c r="R4267" s="2" t="s">
        <v>56</v>
      </c>
      <c r="S4267" s="2"/>
      <c r="T4267" s="2" t="s">
        <v>403</v>
      </c>
      <c r="U4267" s="2" t="s">
        <v>31960</v>
      </c>
      <c r="V4267" s="2"/>
      <c r="W4267" s="2" t="s">
        <v>42</v>
      </c>
      <c r="X4267" s="2" t="s">
        <v>43</v>
      </c>
      <c r="Y4267" s="2" t="s">
        <v>37</v>
      </c>
      <c r="Z4267" s="2" t="s">
        <v>44</v>
      </c>
      <c r="AA4267" s="2"/>
      <c r="AB4267" s="2"/>
      <c r="AC4267" s="2" t="s">
        <v>31961</v>
      </c>
      <c r="AD4267" s="2" t="s">
        <v>46</v>
      </c>
    </row>
    <row r="4268" customFormat="false" ht="15.7" hidden="false" customHeight="true" outlineLevel="0" collapsed="false">
      <c r="A4268" s="2"/>
      <c r="B4268" s="3" t="n">
        <f aca="false">DATE(2019,6,5)</f>
        <v>0</v>
      </c>
      <c r="C4268" s="3" t="n">
        <v>43621</v>
      </c>
      <c r="D4268" s="2" t="s">
        <v>31962</v>
      </c>
      <c r="F4268" s="2" t="s">
        <v>23591</v>
      </c>
      <c r="G4268" s="2" t="s">
        <v>31963</v>
      </c>
      <c r="H4268" s="2" t="s">
        <v>1027</v>
      </c>
      <c r="I4268" s="2" t="s">
        <v>664</v>
      </c>
      <c r="J4268" s="2" t="s">
        <v>1891</v>
      </c>
      <c r="K4268" s="2" t="s">
        <v>31962</v>
      </c>
      <c r="L4268" s="2" t="s">
        <v>664</v>
      </c>
      <c r="M4268" s="2" t="s">
        <v>1027</v>
      </c>
      <c r="N4268" s="2" t="s">
        <v>31964</v>
      </c>
      <c r="O4268" s="2"/>
      <c r="P4268" s="2" t="s">
        <v>37</v>
      </c>
      <c r="Q4268" s="4" t="n">
        <v>8731</v>
      </c>
      <c r="R4268" s="2" t="s">
        <v>136</v>
      </c>
      <c r="S4268" s="2" t="s">
        <v>39</v>
      </c>
      <c r="T4268" s="2" t="s">
        <v>40</v>
      </c>
      <c r="U4268" s="2" t="s">
        <v>31965</v>
      </c>
      <c r="V4268" s="2"/>
      <c r="W4268" s="2" t="s">
        <v>42</v>
      </c>
      <c r="X4268" s="2" t="s">
        <v>43</v>
      </c>
      <c r="Y4268" s="2" t="s">
        <v>37</v>
      </c>
      <c r="Z4268" s="2" t="s">
        <v>44</v>
      </c>
      <c r="AA4268" s="2"/>
      <c r="AB4268" s="2"/>
      <c r="AC4268" s="2" t="s">
        <v>31966</v>
      </c>
      <c r="AD4268" s="2" t="s">
        <v>46</v>
      </c>
    </row>
    <row r="4269" customFormat="false" ht="15.7" hidden="false" customHeight="true" outlineLevel="0" collapsed="false">
      <c r="A4269" s="2"/>
      <c r="B4269" s="3" t="n">
        <f aca="false">DATE(2019,6,5)</f>
        <v>0</v>
      </c>
      <c r="C4269" s="3" t="n">
        <v>43621</v>
      </c>
      <c r="D4269" s="2" t="s">
        <v>31967</v>
      </c>
      <c r="F4269" s="2" t="s">
        <v>31968</v>
      </c>
      <c r="G4269" s="2" t="s">
        <v>31969</v>
      </c>
      <c r="H4269" s="2" t="s">
        <v>31970</v>
      </c>
      <c r="I4269" s="2" t="s">
        <v>51</v>
      </c>
      <c r="J4269" s="2" t="s">
        <v>15570</v>
      </c>
      <c r="K4269" s="2" t="s">
        <v>31971</v>
      </c>
      <c r="L4269" s="2" t="s">
        <v>51</v>
      </c>
      <c r="M4269" s="2" t="s">
        <v>31970</v>
      </c>
      <c r="N4269" s="2" t="s">
        <v>31972</v>
      </c>
      <c r="O4269" s="2"/>
      <c r="P4269" s="2" t="s">
        <v>37</v>
      </c>
      <c r="Q4269" s="4" t="n">
        <v>7374</v>
      </c>
      <c r="R4269" s="2" t="s">
        <v>56</v>
      </c>
      <c r="S4269" s="2" t="s">
        <v>360</v>
      </c>
      <c r="T4269" s="2" t="s">
        <v>403</v>
      </c>
      <c r="U4269" s="2" t="s">
        <v>31973</v>
      </c>
      <c r="V4269" s="2"/>
      <c r="W4269" s="2" t="s">
        <v>6901</v>
      </c>
      <c r="X4269" s="2" t="s">
        <v>43</v>
      </c>
      <c r="Y4269" s="2" t="s">
        <v>37</v>
      </c>
      <c r="Z4269" s="2" t="s">
        <v>44</v>
      </c>
      <c r="AA4269" s="2"/>
      <c r="AB4269" s="2"/>
      <c r="AC4269" s="2" t="s">
        <v>31974</v>
      </c>
      <c r="AD4269" s="2" t="s">
        <v>46</v>
      </c>
    </row>
    <row r="4270" customFormat="false" ht="15.7" hidden="false" customHeight="true" outlineLevel="0" collapsed="false">
      <c r="A4270" s="2"/>
      <c r="B4270" s="3" t="n">
        <f aca="false">DATE(2019,6,6)</f>
        <v>0</v>
      </c>
      <c r="C4270" s="3" t="n">
        <v>43622</v>
      </c>
      <c r="D4270" s="2" t="s">
        <v>31975</v>
      </c>
      <c r="F4270" s="2" t="s">
        <v>31976</v>
      </c>
      <c r="G4270" s="2" t="s">
        <v>31977</v>
      </c>
      <c r="H4270" s="2" t="s">
        <v>31978</v>
      </c>
      <c r="I4270" s="2" t="s">
        <v>31979</v>
      </c>
      <c r="J4270" s="2" t="s">
        <v>116</v>
      </c>
      <c r="K4270" s="2" t="s">
        <v>31980</v>
      </c>
      <c r="L4270" s="2" t="s">
        <v>15586</v>
      </c>
      <c r="M4270" s="2" t="s">
        <v>31981</v>
      </c>
      <c r="N4270" s="2" t="s">
        <v>31982</v>
      </c>
      <c r="O4270" s="2"/>
      <c r="P4270" s="2" t="s">
        <v>37</v>
      </c>
      <c r="Q4270" s="4" t="n">
        <v>8099</v>
      </c>
      <c r="R4270" s="2" t="s">
        <v>2201</v>
      </c>
      <c r="S4270" s="2" t="s">
        <v>39</v>
      </c>
      <c r="T4270" s="2" t="s">
        <v>403</v>
      </c>
      <c r="U4270" s="2" t="s">
        <v>31983</v>
      </c>
      <c r="V4270" s="2"/>
      <c r="W4270" s="2" t="s">
        <v>4487</v>
      </c>
      <c r="X4270" s="2" t="s">
        <v>43</v>
      </c>
      <c r="Y4270" s="2" t="s">
        <v>37</v>
      </c>
      <c r="Z4270" s="2" t="s">
        <v>916</v>
      </c>
      <c r="AA4270" s="2"/>
      <c r="AB4270" s="2"/>
      <c r="AC4270" s="2" t="s">
        <v>31984</v>
      </c>
      <c r="AD4270" s="2" t="s">
        <v>46</v>
      </c>
    </row>
    <row r="4271" customFormat="false" ht="15.7" hidden="false" customHeight="true" outlineLevel="0" collapsed="false">
      <c r="A4271" s="2"/>
      <c r="B4271" s="3" t="n">
        <f aca="false">DATE(2019,6,6)</f>
        <v>0</v>
      </c>
      <c r="C4271" s="3" t="n">
        <v>43622</v>
      </c>
      <c r="D4271" s="2" t="s">
        <v>31985</v>
      </c>
      <c r="F4271" s="2" t="s">
        <v>31986</v>
      </c>
      <c r="G4271" s="2" t="s">
        <v>31987</v>
      </c>
      <c r="H4271" s="2" t="s">
        <v>4457</v>
      </c>
      <c r="I4271" s="2" t="s">
        <v>8936</v>
      </c>
      <c r="J4271" s="2" t="s">
        <v>35</v>
      </c>
      <c r="K4271" s="2" t="s">
        <v>31988</v>
      </c>
      <c r="L4271" s="2" t="s">
        <v>8936</v>
      </c>
      <c r="M4271" s="2" t="s">
        <v>12477</v>
      </c>
      <c r="N4271" s="2" t="s">
        <v>31989</v>
      </c>
      <c r="O4271" s="2"/>
      <c r="P4271" s="2" t="s">
        <v>37</v>
      </c>
      <c r="Q4271" s="4" t="n">
        <v>3999</v>
      </c>
      <c r="R4271" s="2" t="s">
        <v>450</v>
      </c>
      <c r="S4271" s="2" t="s">
        <v>39</v>
      </c>
      <c r="T4271" s="2" t="s">
        <v>40</v>
      </c>
      <c r="U4271" s="2" t="s">
        <v>31990</v>
      </c>
      <c r="V4271" s="2"/>
      <c r="W4271" s="2" t="s">
        <v>31991</v>
      </c>
      <c r="X4271" s="2" t="s">
        <v>46</v>
      </c>
      <c r="Y4271" s="2" t="s">
        <v>37</v>
      </c>
      <c r="Z4271" s="2" t="s">
        <v>44</v>
      </c>
      <c r="AA4271" s="2"/>
      <c r="AB4271" s="2"/>
      <c r="AC4271" s="2" t="s">
        <v>31992</v>
      </c>
      <c r="AD4271" s="2" t="s">
        <v>46</v>
      </c>
    </row>
    <row r="4272" customFormat="false" ht="15.7" hidden="false" customHeight="true" outlineLevel="0" collapsed="false">
      <c r="A4272" s="2"/>
      <c r="B4272" s="3" t="n">
        <f aca="false">DATE(2019,6,6)</f>
        <v>0</v>
      </c>
      <c r="C4272" s="3" t="n">
        <v>43622</v>
      </c>
      <c r="D4272" s="2" t="s">
        <v>31993</v>
      </c>
      <c r="F4272" s="2" t="s">
        <v>27972</v>
      </c>
      <c r="G4272" s="2" t="s">
        <v>31994</v>
      </c>
      <c r="H4272" s="2" t="s">
        <v>20376</v>
      </c>
      <c r="I4272" s="2" t="s">
        <v>821</v>
      </c>
      <c r="J4272" s="2" t="s">
        <v>313</v>
      </c>
      <c r="K4272" s="2" t="s">
        <v>31995</v>
      </c>
      <c r="L4272" s="2" t="s">
        <v>821</v>
      </c>
      <c r="M4272" s="2" t="s">
        <v>27360</v>
      </c>
      <c r="N4272" s="2" t="s">
        <v>31996</v>
      </c>
      <c r="O4272" s="2"/>
      <c r="P4272" s="2" t="s">
        <v>37</v>
      </c>
      <c r="Q4272" s="4" t="n">
        <v>8731</v>
      </c>
      <c r="R4272" s="2" t="s">
        <v>136</v>
      </c>
      <c r="S4272" s="2" t="s">
        <v>39</v>
      </c>
      <c r="T4272" s="2" t="s">
        <v>403</v>
      </c>
      <c r="U4272" s="2" t="s">
        <v>31997</v>
      </c>
      <c r="V4272" s="2"/>
      <c r="W4272" s="2" t="s">
        <v>25385</v>
      </c>
      <c r="X4272" s="2" t="s">
        <v>43</v>
      </c>
      <c r="Y4272" s="2" t="s">
        <v>37</v>
      </c>
      <c r="Z4272" s="2" t="s">
        <v>44</v>
      </c>
      <c r="AA4272" s="2"/>
      <c r="AB4272" s="2"/>
      <c r="AC4272" s="2" t="s">
        <v>31998</v>
      </c>
      <c r="AD4272" s="2" t="s">
        <v>46</v>
      </c>
    </row>
    <row r="4273" customFormat="false" ht="15.7" hidden="false" customHeight="true" outlineLevel="0" collapsed="false">
      <c r="A4273" s="2"/>
      <c r="B4273" s="3" t="n">
        <f aca="false">DATE(2019,6,7)</f>
        <v>0</v>
      </c>
      <c r="C4273" s="3" t="n">
        <v>43623</v>
      </c>
      <c r="D4273" s="2" t="s">
        <v>31999</v>
      </c>
      <c r="F4273" s="2" t="s">
        <v>32000</v>
      </c>
      <c r="G4273" s="2" t="s">
        <v>32001</v>
      </c>
      <c r="H4273" s="2" t="s">
        <v>32002</v>
      </c>
      <c r="I4273" s="2" t="s">
        <v>1080</v>
      </c>
      <c r="J4273" s="2" t="s">
        <v>35</v>
      </c>
      <c r="K4273" s="2" t="s">
        <v>31999</v>
      </c>
      <c r="L4273" s="2" t="s">
        <v>1080</v>
      </c>
      <c r="M4273" s="2" t="s">
        <v>32002</v>
      </c>
      <c r="N4273" s="2" t="s">
        <v>32003</v>
      </c>
      <c r="O4273" s="2"/>
      <c r="P4273" s="2" t="s">
        <v>37</v>
      </c>
      <c r="Q4273" s="4" t="n">
        <v>8731</v>
      </c>
      <c r="R4273" s="2" t="s">
        <v>2201</v>
      </c>
      <c r="S4273" s="2" t="s">
        <v>39</v>
      </c>
      <c r="T4273" s="2" t="s">
        <v>40</v>
      </c>
      <c r="U4273" s="2" t="s">
        <v>32004</v>
      </c>
      <c r="V4273" s="2"/>
      <c r="W4273" s="2" t="s">
        <v>42</v>
      </c>
      <c r="X4273" s="2" t="s">
        <v>43</v>
      </c>
      <c r="Y4273" s="2" t="s">
        <v>37</v>
      </c>
      <c r="Z4273" s="2" t="s">
        <v>44</v>
      </c>
      <c r="AA4273" s="2"/>
      <c r="AB4273" s="2"/>
      <c r="AC4273" s="2" t="s">
        <v>32005</v>
      </c>
      <c r="AD4273" s="2" t="s">
        <v>46</v>
      </c>
    </row>
    <row r="4274" customFormat="false" ht="15.7" hidden="false" customHeight="true" outlineLevel="0" collapsed="false">
      <c r="A4274" s="2"/>
      <c r="B4274" s="3" t="n">
        <f aca="false">DATE(2019,6,7)</f>
        <v>0</v>
      </c>
      <c r="C4274" s="3" t="n">
        <v>43623</v>
      </c>
      <c r="D4274" s="2" t="s">
        <v>32006</v>
      </c>
      <c r="F4274" s="2" t="s">
        <v>32007</v>
      </c>
      <c r="G4274" s="2" t="s">
        <v>32008</v>
      </c>
      <c r="H4274" s="2" t="s">
        <v>32009</v>
      </c>
      <c r="I4274" s="2" t="s">
        <v>724</v>
      </c>
      <c r="J4274" s="2" t="s">
        <v>101</v>
      </c>
      <c r="K4274" s="2" t="s">
        <v>32006</v>
      </c>
      <c r="L4274" s="2" t="s">
        <v>724</v>
      </c>
      <c r="M4274" s="2" t="s">
        <v>32009</v>
      </c>
      <c r="N4274" s="2" t="s">
        <v>32010</v>
      </c>
      <c r="O4274" s="2"/>
      <c r="P4274" s="2" t="s">
        <v>37</v>
      </c>
      <c r="Q4274" s="4" t="n">
        <v>8731</v>
      </c>
      <c r="R4274" s="2" t="s">
        <v>56</v>
      </c>
      <c r="S4274" s="2"/>
      <c r="T4274" s="2" t="s">
        <v>403</v>
      </c>
      <c r="U4274" s="2" t="s">
        <v>32011</v>
      </c>
      <c r="V4274" s="2"/>
      <c r="W4274" s="2" t="s">
        <v>42</v>
      </c>
      <c r="X4274" s="2" t="s">
        <v>43</v>
      </c>
      <c r="Y4274" s="2" t="s">
        <v>37</v>
      </c>
      <c r="Z4274" s="2" t="s">
        <v>44</v>
      </c>
      <c r="AA4274" s="2"/>
      <c r="AB4274" s="2"/>
      <c r="AC4274" s="2" t="s">
        <v>32012</v>
      </c>
      <c r="AD4274" s="2" t="s">
        <v>46</v>
      </c>
    </row>
    <row r="4275" customFormat="false" ht="15.7" hidden="false" customHeight="true" outlineLevel="0" collapsed="false">
      <c r="A4275" s="2"/>
      <c r="B4275" s="3" t="n">
        <f aca="false">DATE(2019,6,7)</f>
        <v>0</v>
      </c>
      <c r="C4275" s="3" t="n">
        <v>43623</v>
      </c>
      <c r="D4275" s="2" t="s">
        <v>32013</v>
      </c>
      <c r="F4275" s="2" t="s">
        <v>32014</v>
      </c>
      <c r="G4275" s="2" t="s">
        <v>32015</v>
      </c>
      <c r="H4275" s="2" t="s">
        <v>32016</v>
      </c>
      <c r="I4275" s="2" t="s">
        <v>7513</v>
      </c>
      <c r="J4275" s="2" t="s">
        <v>35</v>
      </c>
      <c r="K4275" s="2" t="s">
        <v>32013</v>
      </c>
      <c r="L4275" s="2" t="s">
        <v>7513</v>
      </c>
      <c r="M4275" s="2" t="s">
        <v>32016</v>
      </c>
      <c r="N4275" s="2" t="s">
        <v>32017</v>
      </c>
      <c r="O4275" s="2"/>
      <c r="P4275" s="2" t="s">
        <v>37</v>
      </c>
      <c r="Q4275" s="4" t="n">
        <v>8731</v>
      </c>
      <c r="R4275" s="2"/>
      <c r="S4275" s="2"/>
      <c r="T4275" s="2" t="s">
        <v>40</v>
      </c>
      <c r="U4275" s="2" t="s">
        <v>32018</v>
      </c>
      <c r="V4275" s="2"/>
      <c r="W4275" s="2" t="s">
        <v>21331</v>
      </c>
      <c r="X4275" s="2" t="s">
        <v>46</v>
      </c>
      <c r="Y4275" s="2" t="s">
        <v>37</v>
      </c>
      <c r="Z4275" s="2" t="s">
        <v>44</v>
      </c>
      <c r="AA4275" s="2"/>
      <c r="AB4275" s="2"/>
      <c r="AC4275" s="2" t="s">
        <v>32019</v>
      </c>
      <c r="AD4275" s="2" t="s">
        <v>46</v>
      </c>
    </row>
    <row r="4276" customFormat="false" ht="15.7" hidden="false" customHeight="true" outlineLevel="0" collapsed="false">
      <c r="A4276" s="2"/>
      <c r="B4276" s="3" t="n">
        <f aca="false">DATE(2019,6,8)</f>
        <v>0</v>
      </c>
      <c r="C4276" s="3" t="n">
        <v>43624</v>
      </c>
      <c r="D4276" s="2" t="s">
        <v>32020</v>
      </c>
      <c r="F4276" s="2" t="s">
        <v>32021</v>
      </c>
      <c r="G4276" s="2" t="s">
        <v>32022</v>
      </c>
      <c r="H4276" s="2" t="s">
        <v>32023</v>
      </c>
      <c r="I4276" s="2" t="s">
        <v>3103</v>
      </c>
      <c r="J4276" s="2" t="s">
        <v>575</v>
      </c>
      <c r="K4276" s="2" t="s">
        <v>32024</v>
      </c>
      <c r="L4276" s="2" t="s">
        <v>17769</v>
      </c>
      <c r="M4276" s="2" t="s">
        <v>32025</v>
      </c>
      <c r="N4276" s="2" t="s">
        <v>32026</v>
      </c>
      <c r="O4276" s="2"/>
      <c r="P4276" s="2" t="s">
        <v>37</v>
      </c>
      <c r="Q4276" s="4" t="n">
        <v>8731</v>
      </c>
      <c r="R4276" s="2"/>
      <c r="S4276" s="2"/>
      <c r="T4276" s="2" t="s">
        <v>403</v>
      </c>
      <c r="U4276" s="2" t="s">
        <v>32027</v>
      </c>
      <c r="V4276" s="2"/>
      <c r="W4276" s="2" t="s">
        <v>32028</v>
      </c>
      <c r="X4276" s="2" t="s">
        <v>46</v>
      </c>
      <c r="Y4276" s="2" t="s">
        <v>37</v>
      </c>
      <c r="Z4276" s="2" t="s">
        <v>44</v>
      </c>
      <c r="AA4276" s="2"/>
      <c r="AB4276" s="2"/>
      <c r="AC4276" s="2" t="s">
        <v>32029</v>
      </c>
      <c r="AD4276" s="2" t="s">
        <v>46</v>
      </c>
    </row>
    <row r="4277" customFormat="false" ht="15.7" hidden="false" customHeight="true" outlineLevel="0" collapsed="false">
      <c r="A4277" s="2"/>
      <c r="B4277" s="3" t="n">
        <f aca="false">DATE(2019,6,8)</f>
        <v>0</v>
      </c>
      <c r="C4277" s="3" t="n">
        <v>43624</v>
      </c>
      <c r="D4277" s="2" t="s">
        <v>32030</v>
      </c>
      <c r="F4277" s="2" t="s">
        <v>32031</v>
      </c>
      <c r="G4277" s="2" t="s">
        <v>32032</v>
      </c>
      <c r="H4277" s="2" t="s">
        <v>32033</v>
      </c>
      <c r="I4277" s="2" t="s">
        <v>17785</v>
      </c>
      <c r="J4277" s="2" t="s">
        <v>35</v>
      </c>
      <c r="K4277" s="2" t="s">
        <v>32030</v>
      </c>
      <c r="L4277" s="2" t="s">
        <v>17785</v>
      </c>
      <c r="M4277" s="2" t="s">
        <v>32033</v>
      </c>
      <c r="N4277" s="2" t="s">
        <v>32034</v>
      </c>
      <c r="O4277" s="2"/>
      <c r="P4277" s="2" t="s">
        <v>37</v>
      </c>
      <c r="Q4277" s="4" t="n">
        <v>8731</v>
      </c>
      <c r="R4277" s="2" t="s">
        <v>1208</v>
      </c>
      <c r="S4277" s="2" t="s">
        <v>39</v>
      </c>
      <c r="T4277" s="2" t="s">
        <v>40</v>
      </c>
      <c r="U4277" s="2" t="s">
        <v>32035</v>
      </c>
      <c r="V4277" s="2"/>
      <c r="W4277" s="2" t="s">
        <v>27982</v>
      </c>
      <c r="X4277" s="2" t="s">
        <v>43</v>
      </c>
      <c r="Y4277" s="2" t="s">
        <v>37</v>
      </c>
      <c r="Z4277" s="2" t="s">
        <v>44</v>
      </c>
      <c r="AA4277" s="2"/>
      <c r="AB4277" s="2"/>
      <c r="AC4277" s="2" t="s">
        <v>32036</v>
      </c>
      <c r="AD4277" s="2" t="s">
        <v>46</v>
      </c>
    </row>
    <row r="4278" customFormat="false" ht="15.7" hidden="false" customHeight="true" outlineLevel="0" collapsed="false">
      <c r="A4278" s="2"/>
      <c r="B4278" s="3" t="n">
        <f aca="false">DATE(2019,6,10)</f>
        <v>0</v>
      </c>
      <c r="C4278" s="3" t="n">
        <v>43626</v>
      </c>
      <c r="D4278" s="2" t="s">
        <v>32037</v>
      </c>
      <c r="F4278" s="2" t="s">
        <v>32038</v>
      </c>
      <c r="G4278" s="2" t="s">
        <v>32039</v>
      </c>
      <c r="H4278" s="2" t="s">
        <v>32040</v>
      </c>
      <c r="I4278" s="2" t="s">
        <v>131</v>
      </c>
      <c r="J4278" s="2" t="s">
        <v>1891</v>
      </c>
      <c r="K4278" s="2" t="s">
        <v>32037</v>
      </c>
      <c r="L4278" s="2" t="s">
        <v>131</v>
      </c>
      <c r="M4278" s="2" t="s">
        <v>32040</v>
      </c>
      <c r="N4278" s="2" t="s">
        <v>32041</v>
      </c>
      <c r="O4278" s="2"/>
      <c r="P4278" s="2" t="s">
        <v>37</v>
      </c>
      <c r="Q4278" s="4" t="n">
        <v>8731</v>
      </c>
      <c r="R4278" s="2" t="s">
        <v>136</v>
      </c>
      <c r="S4278" s="2" t="s">
        <v>39</v>
      </c>
      <c r="T4278" s="2" t="s">
        <v>40</v>
      </c>
      <c r="U4278" s="2" t="s">
        <v>32042</v>
      </c>
      <c r="V4278" s="2"/>
      <c r="W4278" s="2" t="s">
        <v>344</v>
      </c>
      <c r="X4278" s="2" t="s">
        <v>43</v>
      </c>
      <c r="Y4278" s="2" t="s">
        <v>37</v>
      </c>
      <c r="Z4278" s="2" t="s">
        <v>44</v>
      </c>
      <c r="AA4278" s="2"/>
      <c r="AB4278" s="2"/>
      <c r="AC4278" s="2" t="s">
        <v>32043</v>
      </c>
      <c r="AD4278" s="2" t="s">
        <v>46</v>
      </c>
    </row>
    <row r="4279" customFormat="false" ht="15.7" hidden="false" customHeight="true" outlineLevel="0" collapsed="false">
      <c r="A4279" s="2"/>
      <c r="B4279" s="3" t="n">
        <f aca="false">DATE(2019,6,10)</f>
        <v>0</v>
      </c>
      <c r="C4279" s="3" t="n">
        <v>43626</v>
      </c>
      <c r="D4279" s="2" t="s">
        <v>32044</v>
      </c>
      <c r="F4279" s="2" t="s">
        <v>32045</v>
      </c>
      <c r="G4279" s="2" t="s">
        <v>32046</v>
      </c>
      <c r="H4279" s="2" t="s">
        <v>29516</v>
      </c>
      <c r="I4279" s="2" t="s">
        <v>540</v>
      </c>
      <c r="J4279" s="2" t="s">
        <v>35</v>
      </c>
      <c r="K4279" s="2" t="s">
        <v>32044</v>
      </c>
      <c r="L4279" s="2" t="s">
        <v>540</v>
      </c>
      <c r="M4279" s="2" t="s">
        <v>29516</v>
      </c>
      <c r="N4279" s="2" t="s">
        <v>32047</v>
      </c>
      <c r="O4279" s="2"/>
      <c r="P4279" s="2" t="s">
        <v>37</v>
      </c>
      <c r="Q4279" s="4" t="n">
        <v>6794</v>
      </c>
      <c r="R4279" s="2" t="s">
        <v>1448</v>
      </c>
      <c r="S4279" s="2" t="s">
        <v>39</v>
      </c>
      <c r="T4279" s="2" t="s">
        <v>40</v>
      </c>
      <c r="U4279" s="2" t="s">
        <v>32048</v>
      </c>
      <c r="V4279" s="2"/>
      <c r="W4279" s="2" t="s">
        <v>24466</v>
      </c>
      <c r="X4279" s="2" t="s">
        <v>46</v>
      </c>
      <c r="Y4279" s="2" t="s">
        <v>37</v>
      </c>
      <c r="Z4279" s="2" t="s">
        <v>44</v>
      </c>
      <c r="AA4279" s="2"/>
      <c r="AB4279" s="2"/>
      <c r="AC4279" s="2" t="s">
        <v>32049</v>
      </c>
      <c r="AD4279" s="2" t="s">
        <v>46</v>
      </c>
    </row>
    <row r="4280" customFormat="false" ht="15.7" hidden="false" customHeight="true" outlineLevel="0" collapsed="false">
      <c r="A4280" s="2"/>
      <c r="B4280" s="3" t="n">
        <f aca="false">DATE(2019,6,11)</f>
        <v>0</v>
      </c>
      <c r="C4280" s="3" t="n">
        <v>43627</v>
      </c>
      <c r="D4280" s="2" t="s">
        <v>32050</v>
      </c>
      <c r="F4280" s="2" t="s">
        <v>19797</v>
      </c>
      <c r="G4280" s="2" t="s">
        <v>32051</v>
      </c>
      <c r="H4280" s="2" t="s">
        <v>10686</v>
      </c>
      <c r="I4280" s="2" t="s">
        <v>51</v>
      </c>
      <c r="J4280" s="2" t="s">
        <v>3478</v>
      </c>
      <c r="K4280" s="2" t="s">
        <v>32050</v>
      </c>
      <c r="L4280" s="2" t="s">
        <v>51</v>
      </c>
      <c r="M4280" s="2" t="s">
        <v>10686</v>
      </c>
      <c r="N4280" s="2" t="s">
        <v>32052</v>
      </c>
      <c r="O4280" s="2"/>
      <c r="P4280" s="2" t="s">
        <v>37</v>
      </c>
      <c r="Q4280" s="4" t="n">
        <v>6552</v>
      </c>
      <c r="R4280" s="2" t="s">
        <v>56</v>
      </c>
      <c r="S4280" s="2"/>
      <c r="T4280" s="2" t="s">
        <v>403</v>
      </c>
      <c r="U4280" s="2" t="s">
        <v>32053</v>
      </c>
      <c r="V4280" s="2"/>
      <c r="W4280" s="2" t="s">
        <v>32054</v>
      </c>
      <c r="X4280" s="2" t="s">
        <v>43</v>
      </c>
      <c r="Y4280" s="2" t="s">
        <v>37</v>
      </c>
      <c r="Z4280" s="2" t="s">
        <v>44</v>
      </c>
      <c r="AA4280" s="2"/>
      <c r="AB4280" s="2"/>
      <c r="AC4280" s="2" t="s">
        <v>32055</v>
      </c>
      <c r="AD4280" s="2" t="s">
        <v>46</v>
      </c>
    </row>
    <row r="4281" customFormat="false" ht="15.7" hidden="false" customHeight="true" outlineLevel="0" collapsed="false">
      <c r="A4281" s="2"/>
      <c r="B4281" s="3" t="n">
        <f aca="false">DATE(2019,6,11)</f>
        <v>0</v>
      </c>
      <c r="C4281" s="3" t="n">
        <v>43627</v>
      </c>
      <c r="D4281" s="2" t="s">
        <v>32056</v>
      </c>
      <c r="F4281" s="2" t="s">
        <v>32057</v>
      </c>
      <c r="G4281" s="2" t="s">
        <v>32058</v>
      </c>
      <c r="H4281" s="2" t="s">
        <v>32059</v>
      </c>
      <c r="I4281" s="2" t="s">
        <v>51</v>
      </c>
      <c r="J4281" s="2" t="s">
        <v>10503</v>
      </c>
      <c r="K4281" s="2" t="s">
        <v>32056</v>
      </c>
      <c r="L4281" s="2" t="s">
        <v>51</v>
      </c>
      <c r="M4281" s="2" t="s">
        <v>32059</v>
      </c>
      <c r="N4281" s="2" t="s">
        <v>32060</v>
      </c>
      <c r="O4281" s="2"/>
      <c r="P4281" s="2" t="s">
        <v>37</v>
      </c>
      <c r="Q4281" s="4" t="n">
        <v>8731</v>
      </c>
      <c r="R4281" s="2" t="s">
        <v>56</v>
      </c>
      <c r="S4281" s="2"/>
      <c r="T4281" s="2" t="s">
        <v>403</v>
      </c>
      <c r="U4281" s="2" t="s">
        <v>32061</v>
      </c>
      <c r="V4281" s="2"/>
      <c r="W4281" s="2" t="s">
        <v>42</v>
      </c>
      <c r="X4281" s="2" t="s">
        <v>43</v>
      </c>
      <c r="Y4281" s="2" t="s">
        <v>37</v>
      </c>
      <c r="Z4281" s="2" t="s">
        <v>44</v>
      </c>
      <c r="AA4281" s="2"/>
      <c r="AB4281" s="2"/>
      <c r="AC4281" s="2" t="s">
        <v>32062</v>
      </c>
      <c r="AD4281" s="2" t="s">
        <v>46</v>
      </c>
    </row>
    <row r="4282" customFormat="false" ht="15.7" hidden="false" customHeight="true" outlineLevel="0" collapsed="false">
      <c r="A4282" s="2"/>
      <c r="B4282" s="3" t="n">
        <f aca="false">DATE(2019,6,11)</f>
        <v>0</v>
      </c>
      <c r="C4282" s="3" t="n">
        <v>43627</v>
      </c>
      <c r="D4282" s="2" t="s">
        <v>32063</v>
      </c>
      <c r="F4282" s="2" t="s">
        <v>32064</v>
      </c>
      <c r="G4282" s="2" t="s">
        <v>32065</v>
      </c>
      <c r="H4282" s="2" t="s">
        <v>32066</v>
      </c>
      <c r="I4282" s="2" t="s">
        <v>3103</v>
      </c>
      <c r="J4282" s="2" t="s">
        <v>101</v>
      </c>
      <c r="K4282" s="2" t="s">
        <v>32063</v>
      </c>
      <c r="L4282" s="2" t="s">
        <v>3103</v>
      </c>
      <c r="M4282" s="2" t="s">
        <v>32066</v>
      </c>
      <c r="N4282" s="2" t="s">
        <v>32067</v>
      </c>
      <c r="O4282" s="2"/>
      <c r="P4282" s="2" t="s">
        <v>37</v>
      </c>
      <c r="Q4282" s="4" t="n">
        <v>8731</v>
      </c>
      <c r="R4282" s="2" t="s">
        <v>1402</v>
      </c>
      <c r="S4282" s="2" t="s">
        <v>39</v>
      </c>
      <c r="T4282" s="2" t="s">
        <v>40</v>
      </c>
      <c r="U4282" s="2" t="s">
        <v>32068</v>
      </c>
      <c r="V4282" s="2"/>
      <c r="W4282" s="2" t="s">
        <v>13346</v>
      </c>
      <c r="X4282" s="2" t="s">
        <v>46</v>
      </c>
      <c r="Y4282" s="2" t="s">
        <v>37</v>
      </c>
      <c r="Z4282" s="2" t="s">
        <v>44</v>
      </c>
      <c r="AA4282" s="2"/>
      <c r="AB4282" s="2"/>
      <c r="AC4282" s="2" t="s">
        <v>32069</v>
      </c>
      <c r="AD4282" s="2" t="s">
        <v>46</v>
      </c>
    </row>
    <row r="4283" customFormat="false" ht="15.7" hidden="false" customHeight="true" outlineLevel="0" collapsed="false">
      <c r="A4283" s="2"/>
      <c r="B4283" s="3" t="n">
        <f aca="false">DATE(2019,6,11)</f>
        <v>0</v>
      </c>
      <c r="C4283" s="3" t="n">
        <v>43627</v>
      </c>
      <c r="D4283" s="2" t="s">
        <v>32070</v>
      </c>
      <c r="F4283" s="2" t="s">
        <v>32071</v>
      </c>
      <c r="G4283" s="2" t="s">
        <v>32072</v>
      </c>
      <c r="H4283" s="2" t="s">
        <v>32073</v>
      </c>
      <c r="I4283" s="2" t="s">
        <v>487</v>
      </c>
      <c r="J4283" s="2" t="s">
        <v>795</v>
      </c>
      <c r="K4283" s="2" t="s">
        <v>32070</v>
      </c>
      <c r="L4283" s="2" t="s">
        <v>487</v>
      </c>
      <c r="M4283" s="2" t="s">
        <v>32073</v>
      </c>
      <c r="N4283" s="2" t="s">
        <v>32074</v>
      </c>
      <c r="O4283" s="2"/>
      <c r="P4283" s="2" t="s">
        <v>37</v>
      </c>
      <c r="Q4283" s="4" t="n">
        <v>1522</v>
      </c>
      <c r="R4283" s="2"/>
      <c r="S4283" s="2"/>
      <c r="T4283" s="2" t="s">
        <v>403</v>
      </c>
      <c r="U4283" s="2" t="s">
        <v>32075</v>
      </c>
      <c r="V4283" s="2"/>
      <c r="W4283" s="2" t="s">
        <v>32076</v>
      </c>
      <c r="X4283" s="2" t="s">
        <v>46</v>
      </c>
      <c r="Y4283" s="2" t="s">
        <v>37</v>
      </c>
      <c r="Z4283" s="2" t="s">
        <v>44</v>
      </c>
      <c r="AA4283" s="2"/>
      <c r="AB4283" s="2"/>
      <c r="AC4283" s="2" t="s">
        <v>32077</v>
      </c>
      <c r="AD4283" s="2" t="s">
        <v>46</v>
      </c>
    </row>
    <row r="4284" customFormat="false" ht="15.7" hidden="false" customHeight="true" outlineLevel="0" collapsed="false">
      <c r="A4284" s="2"/>
      <c r="B4284" s="3" t="n">
        <f aca="false">DATE(2019,6,12)</f>
        <v>0</v>
      </c>
      <c r="C4284" s="3" t="n">
        <v>43628</v>
      </c>
      <c r="D4284" s="2" t="s">
        <v>32078</v>
      </c>
      <c r="F4284" s="2" t="s">
        <v>32079</v>
      </c>
      <c r="G4284" s="2" t="s">
        <v>32080</v>
      </c>
      <c r="H4284" s="2" t="s">
        <v>32081</v>
      </c>
      <c r="I4284" s="2" t="s">
        <v>32082</v>
      </c>
      <c r="J4284" s="2" t="s">
        <v>116</v>
      </c>
      <c r="K4284" s="2" t="s">
        <v>32083</v>
      </c>
      <c r="L4284" s="2" t="s">
        <v>32082</v>
      </c>
      <c r="M4284" s="2" t="s">
        <v>32084</v>
      </c>
      <c r="N4284" s="2" t="s">
        <v>32085</v>
      </c>
      <c r="O4284" s="2"/>
      <c r="P4284" s="2" t="s">
        <v>37</v>
      </c>
      <c r="Q4284" s="4" t="n">
        <v>8731</v>
      </c>
      <c r="R4284" s="2" t="s">
        <v>461</v>
      </c>
      <c r="S4284" s="2" t="s">
        <v>39</v>
      </c>
      <c r="T4284" s="2" t="s">
        <v>40</v>
      </c>
      <c r="U4284" s="2" t="s">
        <v>32086</v>
      </c>
      <c r="V4284" s="2"/>
      <c r="W4284" s="2" t="s">
        <v>42</v>
      </c>
      <c r="X4284" s="2" t="s">
        <v>46</v>
      </c>
      <c r="Y4284" s="2" t="s">
        <v>37</v>
      </c>
      <c r="Z4284" s="2" t="s">
        <v>32087</v>
      </c>
      <c r="AA4284" s="2" t="s">
        <v>32088</v>
      </c>
      <c r="AB4284" s="2"/>
      <c r="AC4284" s="2" t="s">
        <v>32089</v>
      </c>
      <c r="AD4284" s="2" t="s">
        <v>46</v>
      </c>
    </row>
    <row r="4285" customFormat="false" ht="15.7" hidden="false" customHeight="true" outlineLevel="0" collapsed="false">
      <c r="A4285" s="2"/>
      <c r="B4285" s="3" t="n">
        <f aca="false">DATE(2019,6,12)</f>
        <v>0</v>
      </c>
      <c r="C4285" s="3" t="n">
        <v>43628</v>
      </c>
      <c r="D4285" s="2" t="s">
        <v>15331</v>
      </c>
      <c r="F4285" s="2" t="s">
        <v>256</v>
      </c>
      <c r="G4285" s="2" t="s">
        <v>15332</v>
      </c>
      <c r="H4285" s="2" t="s">
        <v>170</v>
      </c>
      <c r="I4285" s="2" t="s">
        <v>899</v>
      </c>
      <c r="J4285" s="2" t="s">
        <v>258</v>
      </c>
      <c r="K4285" s="2" t="s">
        <v>15333</v>
      </c>
      <c r="L4285" s="2" t="s">
        <v>899</v>
      </c>
      <c r="M4285" s="2" t="s">
        <v>63</v>
      </c>
      <c r="N4285" s="2" t="s">
        <v>15334</v>
      </c>
      <c r="O4285" s="2"/>
      <c r="P4285" s="2" t="s">
        <v>37</v>
      </c>
      <c r="Q4285" s="4" t="n">
        <v>6794</v>
      </c>
      <c r="R4285" s="2" t="s">
        <v>136</v>
      </c>
      <c r="S4285" s="2" t="s">
        <v>39</v>
      </c>
      <c r="T4285" s="2" t="s">
        <v>40</v>
      </c>
      <c r="U4285" s="2" t="s">
        <v>32090</v>
      </c>
      <c r="V4285" s="2"/>
      <c r="W4285" s="2" t="s">
        <v>206</v>
      </c>
      <c r="X4285" s="2" t="s">
        <v>43</v>
      </c>
      <c r="Y4285" s="2" t="s">
        <v>37</v>
      </c>
      <c r="Z4285" s="2" t="s">
        <v>44</v>
      </c>
      <c r="AA4285" s="2"/>
      <c r="AB4285" s="2"/>
      <c r="AC4285" s="2" t="s">
        <v>15337</v>
      </c>
      <c r="AD4285" s="2" t="s">
        <v>46</v>
      </c>
    </row>
    <row r="4286" customFormat="false" ht="15.7" hidden="false" customHeight="true" outlineLevel="0" collapsed="false">
      <c r="A4286" s="2"/>
      <c r="B4286" s="3" t="n">
        <f aca="false">DATE(2019,6,12)</f>
        <v>0</v>
      </c>
      <c r="C4286" s="3" t="n">
        <v>43628</v>
      </c>
      <c r="D4286" s="2" t="s">
        <v>32091</v>
      </c>
      <c r="F4286" s="2" t="s">
        <v>32092</v>
      </c>
      <c r="G4286" s="2" t="s">
        <v>32093</v>
      </c>
      <c r="H4286" s="2" t="s">
        <v>4406</v>
      </c>
      <c r="I4286" s="2" t="s">
        <v>32094</v>
      </c>
      <c r="J4286" s="2" t="s">
        <v>35</v>
      </c>
      <c r="K4286" s="2" t="s">
        <v>32095</v>
      </c>
      <c r="L4286" s="2" t="s">
        <v>32096</v>
      </c>
      <c r="M4286" s="2" t="s">
        <v>32097</v>
      </c>
      <c r="N4286" s="2" t="s">
        <v>32098</v>
      </c>
      <c r="O4286" s="2"/>
      <c r="P4286" s="2" t="s">
        <v>37</v>
      </c>
      <c r="Q4286" s="4" t="n">
        <v>8731</v>
      </c>
      <c r="R4286" s="2" t="s">
        <v>402</v>
      </c>
      <c r="S4286" s="2" t="s">
        <v>39</v>
      </c>
      <c r="T4286" s="2" t="s">
        <v>40</v>
      </c>
      <c r="U4286" s="2" t="s">
        <v>32099</v>
      </c>
      <c r="V4286" s="2"/>
      <c r="W4286" s="2" t="s">
        <v>344</v>
      </c>
      <c r="X4286" s="2" t="s">
        <v>46</v>
      </c>
      <c r="Y4286" s="2" t="s">
        <v>37</v>
      </c>
      <c r="Z4286" s="2" t="s">
        <v>44</v>
      </c>
      <c r="AA4286" s="2" t="s">
        <v>32100</v>
      </c>
      <c r="AB4286" s="2"/>
      <c r="AC4286" s="2" t="s">
        <v>32101</v>
      </c>
      <c r="AD4286" s="2" t="s">
        <v>46</v>
      </c>
    </row>
    <row r="4287" customFormat="false" ht="15.7" hidden="false" customHeight="true" outlineLevel="0" collapsed="false">
      <c r="A4287" s="2"/>
      <c r="B4287" s="3" t="n">
        <f aca="false">DATE(2019,6,13)</f>
        <v>0</v>
      </c>
      <c r="C4287" s="3" t="n">
        <v>43629</v>
      </c>
      <c r="D4287" s="2" t="s">
        <v>32102</v>
      </c>
      <c r="F4287" s="2" t="s">
        <v>32103</v>
      </c>
      <c r="G4287" s="2" t="s">
        <v>32104</v>
      </c>
      <c r="H4287" s="2" t="s">
        <v>32105</v>
      </c>
      <c r="I4287" s="2" t="s">
        <v>20456</v>
      </c>
      <c r="J4287" s="2" t="s">
        <v>35</v>
      </c>
      <c r="K4287" s="2" t="s">
        <v>32102</v>
      </c>
      <c r="L4287" s="2" t="s">
        <v>20456</v>
      </c>
      <c r="M4287" s="2" t="s">
        <v>32105</v>
      </c>
      <c r="N4287" s="2" t="s">
        <v>32106</v>
      </c>
      <c r="O4287" s="2"/>
      <c r="P4287" s="2" t="s">
        <v>37</v>
      </c>
      <c r="Q4287" s="4" t="n">
        <v>8742</v>
      </c>
      <c r="R4287" s="2" t="s">
        <v>32107</v>
      </c>
      <c r="S4287" s="2" t="s">
        <v>5334</v>
      </c>
      <c r="T4287" s="2" t="s">
        <v>40</v>
      </c>
      <c r="U4287" s="2" t="s">
        <v>32108</v>
      </c>
      <c r="V4287" s="2"/>
      <c r="W4287" s="2" t="s">
        <v>42</v>
      </c>
      <c r="X4287" s="2" t="s">
        <v>43</v>
      </c>
      <c r="Y4287" s="2" t="s">
        <v>79</v>
      </c>
      <c r="Z4287" s="2" t="s">
        <v>44</v>
      </c>
      <c r="AA4287" s="2"/>
      <c r="AB4287" s="2"/>
      <c r="AC4287" s="2" t="s">
        <v>32109</v>
      </c>
      <c r="AD4287" s="2" t="s">
        <v>46</v>
      </c>
    </row>
    <row r="4288" customFormat="false" ht="15.7" hidden="false" customHeight="true" outlineLevel="0" collapsed="false">
      <c r="A4288" s="2"/>
      <c r="B4288" s="3" t="n">
        <f aca="false">DATE(2019,6,13)</f>
        <v>0</v>
      </c>
      <c r="C4288" s="3" t="n">
        <v>43629</v>
      </c>
      <c r="D4288" s="2" t="s">
        <v>32110</v>
      </c>
      <c r="F4288" s="2" t="s">
        <v>32111</v>
      </c>
      <c r="G4288" s="2" t="s">
        <v>32112</v>
      </c>
      <c r="H4288" s="2" t="s">
        <v>1749</v>
      </c>
      <c r="I4288" s="2" t="s">
        <v>7513</v>
      </c>
      <c r="J4288" s="2" t="s">
        <v>35</v>
      </c>
      <c r="K4288" s="2" t="s">
        <v>32110</v>
      </c>
      <c r="L4288" s="2" t="s">
        <v>7513</v>
      </c>
      <c r="M4288" s="2" t="s">
        <v>1749</v>
      </c>
      <c r="N4288" s="2" t="s">
        <v>32113</v>
      </c>
      <c r="O4288" s="2"/>
      <c r="P4288" s="2" t="s">
        <v>37</v>
      </c>
      <c r="Q4288" s="4" t="n">
        <v>8731</v>
      </c>
      <c r="R4288" s="2" t="s">
        <v>105</v>
      </c>
      <c r="S4288" s="2" t="s">
        <v>39</v>
      </c>
      <c r="T4288" s="2" t="s">
        <v>40</v>
      </c>
      <c r="U4288" s="2" t="s">
        <v>32114</v>
      </c>
      <c r="V4288" s="2"/>
      <c r="W4288" s="2" t="s">
        <v>382</v>
      </c>
      <c r="X4288" s="2" t="s">
        <v>43</v>
      </c>
      <c r="Y4288" s="2" t="s">
        <v>37</v>
      </c>
      <c r="Z4288" s="2" t="s">
        <v>44</v>
      </c>
      <c r="AA4288" s="2"/>
      <c r="AB4288" s="2"/>
      <c r="AC4288" s="2" t="s">
        <v>32115</v>
      </c>
      <c r="AD4288" s="2" t="s">
        <v>46</v>
      </c>
    </row>
    <row r="4289" customFormat="false" ht="15.7" hidden="false" customHeight="true" outlineLevel="0" collapsed="false">
      <c r="A4289" s="2"/>
      <c r="B4289" s="3" t="n">
        <f aca="false">DATE(2019,6,13)</f>
        <v>0</v>
      </c>
      <c r="C4289" s="3" t="n">
        <v>43629</v>
      </c>
      <c r="D4289" s="2" t="s">
        <v>32116</v>
      </c>
      <c r="F4289" s="2" t="s">
        <v>32117</v>
      </c>
      <c r="G4289" s="2" t="s">
        <v>32118</v>
      </c>
      <c r="H4289" s="2" t="s">
        <v>240</v>
      </c>
      <c r="I4289" s="2" t="s">
        <v>51</v>
      </c>
      <c r="J4289" s="2" t="s">
        <v>3045</v>
      </c>
      <c r="K4289" s="2" t="s">
        <v>32116</v>
      </c>
      <c r="L4289" s="2" t="s">
        <v>51</v>
      </c>
      <c r="M4289" s="2" t="s">
        <v>240</v>
      </c>
      <c r="N4289" s="2" t="s">
        <v>32119</v>
      </c>
      <c r="O4289" s="2"/>
      <c r="P4289" s="2" t="s">
        <v>37</v>
      </c>
      <c r="Q4289" s="4" t="n">
        <v>8731</v>
      </c>
      <c r="R4289" s="2" t="s">
        <v>56</v>
      </c>
      <c r="S4289" s="2"/>
      <c r="T4289" s="2" t="s">
        <v>403</v>
      </c>
      <c r="U4289" s="2" t="s">
        <v>32120</v>
      </c>
      <c r="V4289" s="2"/>
      <c r="W4289" s="2" t="s">
        <v>3235</v>
      </c>
      <c r="X4289" s="2" t="s">
        <v>43</v>
      </c>
      <c r="Y4289" s="2" t="s">
        <v>37</v>
      </c>
      <c r="Z4289" s="2" t="s">
        <v>44</v>
      </c>
      <c r="AA4289" s="2"/>
      <c r="AB4289" s="2"/>
      <c r="AC4289" s="2" t="s">
        <v>32121</v>
      </c>
      <c r="AD4289" s="2" t="s">
        <v>46</v>
      </c>
    </row>
    <row r="4290" customFormat="false" ht="15.7" hidden="false" customHeight="true" outlineLevel="0" collapsed="false">
      <c r="A4290" s="2"/>
      <c r="B4290" s="3" t="n">
        <f aca="false">DATE(2019,6,13)</f>
        <v>0</v>
      </c>
      <c r="C4290" s="3" t="n">
        <v>43629</v>
      </c>
      <c r="D4290" s="2" t="s">
        <v>32122</v>
      </c>
      <c r="F4290" s="2" t="s">
        <v>32123</v>
      </c>
      <c r="G4290" s="2" t="s">
        <v>32124</v>
      </c>
      <c r="H4290" s="2" t="s">
        <v>30428</v>
      </c>
      <c r="I4290" s="2" t="s">
        <v>51</v>
      </c>
      <c r="J4290" s="2" t="s">
        <v>3653</v>
      </c>
      <c r="K4290" s="2" t="s">
        <v>32125</v>
      </c>
      <c r="L4290" s="2" t="s">
        <v>296</v>
      </c>
      <c r="M4290" s="2" t="s">
        <v>20964</v>
      </c>
      <c r="N4290" s="2" t="s">
        <v>32126</v>
      </c>
      <c r="O4290" s="2"/>
      <c r="P4290" s="2" t="s">
        <v>37</v>
      </c>
      <c r="Q4290" s="4" t="n">
        <v>8742</v>
      </c>
      <c r="R4290" s="2" t="s">
        <v>51</v>
      </c>
      <c r="S4290" s="2" t="s">
        <v>26322</v>
      </c>
      <c r="T4290" s="2" t="s">
        <v>40</v>
      </c>
      <c r="U4290" s="2" t="s">
        <v>32127</v>
      </c>
      <c r="V4290" s="2"/>
      <c r="W4290" s="2" t="s">
        <v>42</v>
      </c>
      <c r="X4290" s="2" t="s">
        <v>43</v>
      </c>
      <c r="Y4290" s="2" t="s">
        <v>37</v>
      </c>
      <c r="Z4290" s="2" t="s">
        <v>44</v>
      </c>
      <c r="AA4290" s="2"/>
      <c r="AB4290" s="2"/>
      <c r="AC4290" s="2" t="s">
        <v>32128</v>
      </c>
      <c r="AD4290" s="2" t="s">
        <v>46</v>
      </c>
    </row>
    <row r="4291" customFormat="false" ht="15.7" hidden="false" customHeight="true" outlineLevel="0" collapsed="false">
      <c r="A4291" s="2"/>
      <c r="B4291" s="3" t="n">
        <f aca="false">DATE(2019,6,13)</f>
        <v>0</v>
      </c>
      <c r="C4291" s="3" t="n">
        <v>43629</v>
      </c>
      <c r="D4291" s="2" t="s">
        <v>32129</v>
      </c>
      <c r="F4291" s="2" t="s">
        <v>32130</v>
      </c>
      <c r="G4291" s="2" t="s">
        <v>32131</v>
      </c>
      <c r="H4291" s="2" t="s">
        <v>478</v>
      </c>
      <c r="I4291" s="2" t="s">
        <v>219</v>
      </c>
      <c r="J4291" s="2" t="s">
        <v>155</v>
      </c>
      <c r="K4291" s="2" t="s">
        <v>32129</v>
      </c>
      <c r="L4291" s="2" t="s">
        <v>219</v>
      </c>
      <c r="M4291" s="2" t="s">
        <v>478</v>
      </c>
      <c r="N4291" s="2" t="s">
        <v>32132</v>
      </c>
      <c r="O4291" s="2"/>
      <c r="P4291" s="2" t="s">
        <v>37</v>
      </c>
      <c r="Q4291" s="4" t="n">
        <v>8731</v>
      </c>
      <c r="R4291" s="2" t="s">
        <v>136</v>
      </c>
      <c r="S4291" s="2" t="s">
        <v>39</v>
      </c>
      <c r="T4291" s="2" t="s">
        <v>40</v>
      </c>
      <c r="U4291" s="2" t="s">
        <v>32133</v>
      </c>
      <c r="V4291" s="2"/>
      <c r="W4291" s="2" t="s">
        <v>42</v>
      </c>
      <c r="X4291" s="2" t="s">
        <v>43</v>
      </c>
      <c r="Y4291" s="2" t="s">
        <v>37</v>
      </c>
      <c r="Z4291" s="2" t="s">
        <v>44</v>
      </c>
      <c r="AA4291" s="2"/>
      <c r="AB4291" s="2"/>
      <c r="AC4291" s="2" t="s">
        <v>32134</v>
      </c>
      <c r="AD4291" s="2" t="s">
        <v>46</v>
      </c>
    </row>
    <row r="4292" customFormat="false" ht="15.7" hidden="false" customHeight="true" outlineLevel="0" collapsed="false">
      <c r="A4292" s="2"/>
      <c r="B4292" s="3" t="n">
        <f aca="false">DATE(2019,6,14)</f>
        <v>0</v>
      </c>
      <c r="C4292" s="3" t="n">
        <v>43630</v>
      </c>
      <c r="D4292" s="2" t="s">
        <v>32135</v>
      </c>
      <c r="F4292" s="2" t="s">
        <v>32136</v>
      </c>
      <c r="G4292" s="2" t="s">
        <v>32137</v>
      </c>
      <c r="H4292" s="2" t="s">
        <v>1101</v>
      </c>
      <c r="I4292" s="2" t="s">
        <v>51</v>
      </c>
      <c r="J4292" s="2" t="s">
        <v>171</v>
      </c>
      <c r="K4292" s="2" t="s">
        <v>32135</v>
      </c>
      <c r="L4292" s="2" t="s">
        <v>51</v>
      </c>
      <c r="M4292" s="2" t="s">
        <v>1101</v>
      </c>
      <c r="N4292" s="2" t="s">
        <v>32138</v>
      </c>
      <c r="O4292" s="2"/>
      <c r="P4292" s="2" t="s">
        <v>37</v>
      </c>
      <c r="Q4292" s="4" t="n">
        <v>8099</v>
      </c>
      <c r="R4292" s="2" t="s">
        <v>56</v>
      </c>
      <c r="S4292" s="2"/>
      <c r="T4292" s="2" t="s">
        <v>2444</v>
      </c>
      <c r="U4292" s="2" t="s">
        <v>32139</v>
      </c>
      <c r="V4292" s="2"/>
      <c r="W4292" s="2" t="s">
        <v>18401</v>
      </c>
      <c r="X4292" s="2" t="s">
        <v>43</v>
      </c>
      <c r="Y4292" s="2" t="s">
        <v>37</v>
      </c>
      <c r="Z4292" s="2" t="s">
        <v>44</v>
      </c>
      <c r="AA4292" s="2"/>
      <c r="AB4292" s="2"/>
      <c r="AC4292" s="2" t="s">
        <v>32140</v>
      </c>
      <c r="AD4292" s="2" t="s">
        <v>46</v>
      </c>
    </row>
    <row r="4293" customFormat="false" ht="15.7" hidden="false" customHeight="true" outlineLevel="0" collapsed="false">
      <c r="A4293" s="2"/>
      <c r="B4293" s="3" t="n">
        <f aca="false">DATE(2019,6,14)</f>
        <v>0</v>
      </c>
      <c r="C4293" s="3" t="n">
        <v>43630</v>
      </c>
      <c r="D4293" s="2" t="s">
        <v>32141</v>
      </c>
      <c r="F4293" s="2" t="s">
        <v>32142</v>
      </c>
      <c r="G4293" s="2" t="s">
        <v>32143</v>
      </c>
      <c r="H4293" s="2" t="s">
        <v>32144</v>
      </c>
      <c r="I4293" s="2" t="s">
        <v>32145</v>
      </c>
      <c r="J4293" s="2" t="s">
        <v>35</v>
      </c>
      <c r="K4293" s="2" t="s">
        <v>32141</v>
      </c>
      <c r="L4293" s="2" t="s">
        <v>32145</v>
      </c>
      <c r="M4293" s="2" t="s">
        <v>32144</v>
      </c>
      <c r="N4293" s="2" t="s">
        <v>32146</v>
      </c>
      <c r="O4293" s="2"/>
      <c r="P4293" s="2" t="s">
        <v>37</v>
      </c>
      <c r="Q4293" s="4" t="n">
        <v>8731</v>
      </c>
      <c r="R4293" s="2" t="s">
        <v>32147</v>
      </c>
      <c r="S4293" s="2" t="s">
        <v>5334</v>
      </c>
      <c r="T4293" s="2" t="s">
        <v>40</v>
      </c>
      <c r="U4293" s="2" t="s">
        <v>32148</v>
      </c>
      <c r="V4293" s="2"/>
      <c r="W4293" s="2" t="s">
        <v>1693</v>
      </c>
      <c r="X4293" s="2" t="s">
        <v>43</v>
      </c>
      <c r="Y4293" s="2" t="s">
        <v>79</v>
      </c>
      <c r="Z4293" s="2" t="s">
        <v>44</v>
      </c>
      <c r="AA4293" s="2"/>
      <c r="AB4293" s="2"/>
      <c r="AC4293" s="2" t="s">
        <v>32149</v>
      </c>
      <c r="AD4293" s="2" t="s">
        <v>46</v>
      </c>
    </row>
    <row r="4294" customFormat="false" ht="15.7" hidden="false" customHeight="true" outlineLevel="0" collapsed="false">
      <c r="A4294" s="2"/>
      <c r="B4294" s="3" t="n">
        <f aca="false">DATE(2019,6,14)</f>
        <v>0</v>
      </c>
      <c r="C4294" s="3" t="n">
        <v>43630</v>
      </c>
      <c r="D4294" s="2" t="s">
        <v>32150</v>
      </c>
      <c r="F4294" s="2" t="s">
        <v>25771</v>
      </c>
      <c r="G4294" s="2" t="s">
        <v>32151</v>
      </c>
      <c r="H4294" s="2" t="s">
        <v>762</v>
      </c>
      <c r="I4294" s="2" t="s">
        <v>2294</v>
      </c>
      <c r="J4294" s="2" t="s">
        <v>35</v>
      </c>
      <c r="K4294" s="2" t="s">
        <v>32150</v>
      </c>
      <c r="L4294" s="2" t="s">
        <v>2294</v>
      </c>
      <c r="M4294" s="2" t="s">
        <v>762</v>
      </c>
      <c r="N4294" s="2" t="s">
        <v>32152</v>
      </c>
      <c r="O4294" s="2"/>
      <c r="P4294" s="2" t="s">
        <v>37</v>
      </c>
      <c r="Q4294" s="4" t="n">
        <v>6794</v>
      </c>
      <c r="R4294" s="2" t="s">
        <v>450</v>
      </c>
      <c r="S4294" s="2" t="s">
        <v>39</v>
      </c>
      <c r="T4294" s="2" t="s">
        <v>40</v>
      </c>
      <c r="U4294" s="2" t="s">
        <v>32153</v>
      </c>
      <c r="V4294" s="2"/>
      <c r="W4294" s="2" t="s">
        <v>22507</v>
      </c>
      <c r="X4294" s="2" t="s">
        <v>43</v>
      </c>
      <c r="Y4294" s="2" t="s">
        <v>37</v>
      </c>
      <c r="Z4294" s="2" t="s">
        <v>44</v>
      </c>
      <c r="AA4294" s="2"/>
      <c r="AB4294" s="2"/>
      <c r="AC4294" s="2" t="s">
        <v>32154</v>
      </c>
      <c r="AD4294" s="2" t="s">
        <v>46</v>
      </c>
    </row>
    <row r="4295" customFormat="false" ht="15.7" hidden="false" customHeight="true" outlineLevel="0" collapsed="false">
      <c r="A4295" s="2"/>
      <c r="B4295" s="3" t="n">
        <f aca="false">DATE(2019,6,14)</f>
        <v>0</v>
      </c>
      <c r="C4295" s="3" t="n">
        <v>43630</v>
      </c>
      <c r="D4295" s="2" t="s">
        <v>32155</v>
      </c>
      <c r="F4295" s="2" t="s">
        <v>32156</v>
      </c>
      <c r="G4295" s="2" t="s">
        <v>32157</v>
      </c>
      <c r="H4295" s="2" t="s">
        <v>32158</v>
      </c>
      <c r="I4295" s="2" t="s">
        <v>11795</v>
      </c>
      <c r="J4295" s="2" t="s">
        <v>132</v>
      </c>
      <c r="K4295" s="2" t="s">
        <v>32159</v>
      </c>
      <c r="L4295" s="2" t="s">
        <v>22554</v>
      </c>
      <c r="M4295" s="2" t="s">
        <v>32160</v>
      </c>
      <c r="N4295" s="2" t="s">
        <v>32161</v>
      </c>
      <c r="O4295" s="2"/>
      <c r="P4295" s="2" t="s">
        <v>37</v>
      </c>
      <c r="Q4295" s="4" t="n">
        <v>6289</v>
      </c>
      <c r="R4295" s="2" t="s">
        <v>7327</v>
      </c>
      <c r="S4295" s="2" t="s">
        <v>3000</v>
      </c>
      <c r="T4295" s="2" t="s">
        <v>40</v>
      </c>
      <c r="U4295" s="2" t="s">
        <v>32162</v>
      </c>
      <c r="V4295" s="2"/>
      <c r="W4295" s="2" t="s">
        <v>17454</v>
      </c>
      <c r="X4295" s="2" t="s">
        <v>43</v>
      </c>
      <c r="Y4295" s="2" t="s">
        <v>79</v>
      </c>
      <c r="Z4295" s="2" t="s">
        <v>44</v>
      </c>
      <c r="AA4295" s="2"/>
      <c r="AB4295" s="2"/>
      <c r="AC4295" s="2" t="s">
        <v>32163</v>
      </c>
      <c r="AD4295" s="2" t="s">
        <v>46</v>
      </c>
    </row>
    <row r="4296" customFormat="false" ht="15.7" hidden="false" customHeight="true" outlineLevel="0" collapsed="false">
      <c r="A4296" s="2"/>
      <c r="B4296" s="3" t="n">
        <f aca="false">DATE(2019,6,16)</f>
        <v>0</v>
      </c>
      <c r="C4296" s="3" t="n">
        <v>43632</v>
      </c>
      <c r="D4296" s="2" t="s">
        <v>32164</v>
      </c>
      <c r="F4296" s="2" t="s">
        <v>32165</v>
      </c>
      <c r="G4296" s="2" t="s">
        <v>32166</v>
      </c>
      <c r="H4296" s="2" t="s">
        <v>32167</v>
      </c>
      <c r="I4296" s="2" t="s">
        <v>32168</v>
      </c>
      <c r="J4296" s="2" t="s">
        <v>35</v>
      </c>
      <c r="K4296" s="2" t="s">
        <v>32164</v>
      </c>
      <c r="L4296" s="2" t="s">
        <v>32168</v>
      </c>
      <c r="M4296" s="2" t="s">
        <v>32167</v>
      </c>
      <c r="N4296" s="2" t="s">
        <v>32169</v>
      </c>
      <c r="O4296" s="2"/>
      <c r="P4296" s="2" t="s">
        <v>37</v>
      </c>
      <c r="Q4296" s="4" t="n">
        <v>8731</v>
      </c>
      <c r="R4296" s="2"/>
      <c r="S4296" s="2"/>
      <c r="T4296" s="2" t="s">
        <v>40</v>
      </c>
      <c r="U4296" s="2" t="s">
        <v>32170</v>
      </c>
      <c r="V4296" s="2"/>
      <c r="W4296" s="2" t="s">
        <v>32171</v>
      </c>
      <c r="X4296" s="2" t="s">
        <v>46</v>
      </c>
      <c r="Y4296" s="2" t="s">
        <v>37</v>
      </c>
      <c r="Z4296" s="2" t="s">
        <v>44</v>
      </c>
      <c r="AA4296" s="2"/>
      <c r="AB4296" s="2"/>
      <c r="AC4296" s="2" t="s">
        <v>32172</v>
      </c>
      <c r="AD4296" s="2" t="s">
        <v>46</v>
      </c>
    </row>
    <row r="4297" customFormat="false" ht="15.7" hidden="false" customHeight="true" outlineLevel="0" collapsed="false">
      <c r="A4297" s="2"/>
      <c r="B4297" s="3" t="n">
        <f aca="false">DATE(2019,6,17)</f>
        <v>0</v>
      </c>
      <c r="C4297" s="3" t="n">
        <v>43633</v>
      </c>
      <c r="D4297" s="2" t="s">
        <v>32173</v>
      </c>
      <c r="F4297" s="2" t="s">
        <v>32174</v>
      </c>
      <c r="G4297" s="2" t="s">
        <v>32175</v>
      </c>
      <c r="H4297" s="2" t="s">
        <v>32176</v>
      </c>
      <c r="I4297" s="2" t="s">
        <v>540</v>
      </c>
      <c r="J4297" s="2" t="s">
        <v>35</v>
      </c>
      <c r="K4297" s="2" t="s">
        <v>32177</v>
      </c>
      <c r="L4297" s="2" t="s">
        <v>540</v>
      </c>
      <c r="M4297" s="2" t="s">
        <v>32178</v>
      </c>
      <c r="N4297" s="2" t="s">
        <v>32179</v>
      </c>
      <c r="O4297" s="2"/>
      <c r="P4297" s="2" t="s">
        <v>37</v>
      </c>
      <c r="Q4297" s="4" t="n">
        <v>8731</v>
      </c>
      <c r="R4297" s="2" t="s">
        <v>1448</v>
      </c>
      <c r="S4297" s="2" t="s">
        <v>39</v>
      </c>
      <c r="T4297" s="2" t="s">
        <v>40</v>
      </c>
      <c r="U4297" s="2" t="s">
        <v>32180</v>
      </c>
      <c r="V4297" s="2"/>
      <c r="W4297" s="2" t="s">
        <v>6344</v>
      </c>
      <c r="X4297" s="2" t="s">
        <v>43</v>
      </c>
      <c r="Y4297" s="2" t="s">
        <v>37</v>
      </c>
      <c r="Z4297" s="2" t="s">
        <v>44</v>
      </c>
      <c r="AA4297" s="2"/>
      <c r="AB4297" s="2"/>
      <c r="AC4297" s="2" t="s">
        <v>32181</v>
      </c>
      <c r="AD4297" s="2" t="s">
        <v>46</v>
      </c>
    </row>
    <row r="4298" customFormat="false" ht="15.7" hidden="false" customHeight="true" outlineLevel="0" collapsed="false">
      <c r="A4298" s="2"/>
      <c r="B4298" s="3" t="n">
        <f aca="false">DATE(2019,6,17)</f>
        <v>0</v>
      </c>
      <c r="C4298" s="3" t="n">
        <v>43633</v>
      </c>
      <c r="D4298" s="2" t="s">
        <v>32182</v>
      </c>
      <c r="F4298" s="2" t="s">
        <v>32183</v>
      </c>
      <c r="G4298" s="2" t="s">
        <v>32184</v>
      </c>
      <c r="H4298" s="2" t="s">
        <v>32185</v>
      </c>
      <c r="I4298" s="2" t="s">
        <v>32186</v>
      </c>
      <c r="J4298" s="2" t="s">
        <v>116</v>
      </c>
      <c r="K4298" s="2" t="s">
        <v>32182</v>
      </c>
      <c r="L4298" s="2" t="s">
        <v>32186</v>
      </c>
      <c r="M4298" s="2" t="s">
        <v>32185</v>
      </c>
      <c r="N4298" s="2" t="s">
        <v>32187</v>
      </c>
      <c r="O4298" s="2"/>
      <c r="P4298" s="2" t="s">
        <v>37</v>
      </c>
      <c r="Q4298" s="4" t="n">
        <v>8731</v>
      </c>
      <c r="R4298" s="2"/>
      <c r="S4298" s="2"/>
      <c r="T4298" s="2" t="s">
        <v>403</v>
      </c>
      <c r="U4298" s="2" t="s">
        <v>32188</v>
      </c>
      <c r="V4298" s="2"/>
      <c r="W4298" s="2" t="s">
        <v>7275</v>
      </c>
      <c r="X4298" s="2" t="s">
        <v>43</v>
      </c>
      <c r="Y4298" s="2" t="s">
        <v>37</v>
      </c>
      <c r="Z4298" s="2" t="s">
        <v>916</v>
      </c>
      <c r="AA4298" s="2"/>
      <c r="AB4298" s="2"/>
      <c r="AC4298" s="2" t="s">
        <v>32189</v>
      </c>
      <c r="AD4298" s="2" t="s">
        <v>46</v>
      </c>
    </row>
    <row r="4299" customFormat="false" ht="15.7" hidden="false" customHeight="true" outlineLevel="0" collapsed="false">
      <c r="A4299" s="2"/>
      <c r="B4299" s="3" t="n">
        <f aca="false">DATE(2019,6,17)</f>
        <v>0</v>
      </c>
      <c r="C4299" s="3" t="n">
        <v>43633</v>
      </c>
      <c r="D4299" s="2" t="s">
        <v>32190</v>
      </c>
      <c r="F4299" s="2" t="s">
        <v>303</v>
      </c>
      <c r="G4299" s="2" t="s">
        <v>32191</v>
      </c>
      <c r="H4299" s="2" t="s">
        <v>305</v>
      </c>
      <c r="I4299" s="2" t="s">
        <v>4325</v>
      </c>
      <c r="J4299" s="2" t="s">
        <v>35</v>
      </c>
      <c r="K4299" s="2" t="s">
        <v>32192</v>
      </c>
      <c r="L4299" s="2" t="s">
        <v>4325</v>
      </c>
      <c r="M4299" s="2" t="s">
        <v>305</v>
      </c>
      <c r="N4299" s="2" t="s">
        <v>32193</v>
      </c>
      <c r="O4299" s="2"/>
      <c r="P4299" s="2" t="s">
        <v>37</v>
      </c>
      <c r="Q4299" s="4" t="n">
        <v>8731</v>
      </c>
      <c r="R4299" s="2" t="s">
        <v>402</v>
      </c>
      <c r="S4299" s="2" t="s">
        <v>39</v>
      </c>
      <c r="T4299" s="2" t="s">
        <v>40</v>
      </c>
      <c r="U4299" s="2" t="s">
        <v>32194</v>
      </c>
      <c r="V4299" s="2"/>
      <c r="W4299" s="2" t="s">
        <v>344</v>
      </c>
      <c r="X4299" s="2" t="s">
        <v>46</v>
      </c>
      <c r="Y4299" s="2" t="s">
        <v>37</v>
      </c>
      <c r="Z4299" s="2" t="s">
        <v>44</v>
      </c>
      <c r="AA4299" s="2" t="s">
        <v>32195</v>
      </c>
      <c r="AB4299" s="2"/>
      <c r="AC4299" s="2" t="s">
        <v>32196</v>
      </c>
      <c r="AD4299" s="2" t="s">
        <v>46</v>
      </c>
    </row>
    <row r="4300" customFormat="false" ht="15.7" hidden="false" customHeight="true" outlineLevel="0" collapsed="false">
      <c r="A4300" s="2"/>
      <c r="B4300" s="3" t="n">
        <f aca="false">DATE(2019,6,17)</f>
        <v>0</v>
      </c>
      <c r="C4300" s="3" t="n">
        <v>43633</v>
      </c>
      <c r="D4300" s="2" t="s">
        <v>32197</v>
      </c>
      <c r="F4300" s="2" t="s">
        <v>14130</v>
      </c>
      <c r="G4300" s="2" t="s">
        <v>32198</v>
      </c>
      <c r="H4300" s="2" t="s">
        <v>170</v>
      </c>
      <c r="I4300" s="2" t="s">
        <v>51</v>
      </c>
      <c r="J4300" s="2" t="s">
        <v>2633</v>
      </c>
      <c r="K4300" s="2" t="s">
        <v>32199</v>
      </c>
      <c r="L4300" s="2" t="s">
        <v>568</v>
      </c>
      <c r="M4300" s="2" t="s">
        <v>63</v>
      </c>
      <c r="N4300" s="2" t="s">
        <v>32200</v>
      </c>
      <c r="O4300" s="2"/>
      <c r="P4300" s="2" t="s">
        <v>37</v>
      </c>
      <c r="Q4300" s="4" t="n">
        <v>8731</v>
      </c>
      <c r="R4300" s="2" t="s">
        <v>56</v>
      </c>
      <c r="S4300" s="2"/>
      <c r="T4300" s="2" t="s">
        <v>40</v>
      </c>
      <c r="U4300" s="2" t="s">
        <v>32201</v>
      </c>
      <c r="V4300" s="2"/>
      <c r="W4300" s="2" t="s">
        <v>42</v>
      </c>
      <c r="X4300" s="2" t="s">
        <v>43</v>
      </c>
      <c r="Y4300" s="2" t="s">
        <v>37</v>
      </c>
      <c r="Z4300" s="2" t="s">
        <v>44</v>
      </c>
      <c r="AA4300" s="2"/>
      <c r="AB4300" s="2"/>
      <c r="AC4300" s="2" t="s">
        <v>32202</v>
      </c>
      <c r="AD4300" s="2" t="s">
        <v>46</v>
      </c>
    </row>
    <row r="4301" customFormat="false" ht="15.7" hidden="false" customHeight="true" outlineLevel="0" collapsed="false">
      <c r="A4301" s="2"/>
      <c r="B4301" s="3" t="n">
        <f aca="false">DATE(2019,6,17)</f>
        <v>0</v>
      </c>
      <c r="C4301" s="3" t="n">
        <v>43633</v>
      </c>
      <c r="D4301" s="2" t="s">
        <v>32203</v>
      </c>
      <c r="F4301" s="2" t="s">
        <v>32204</v>
      </c>
      <c r="G4301" s="2" t="s">
        <v>32205</v>
      </c>
      <c r="H4301" s="2" t="s">
        <v>32206</v>
      </c>
      <c r="I4301" s="2" t="s">
        <v>51</v>
      </c>
      <c r="J4301" s="2" t="s">
        <v>7353</v>
      </c>
      <c r="K4301" s="2" t="s">
        <v>32203</v>
      </c>
      <c r="L4301" s="2" t="s">
        <v>51</v>
      </c>
      <c r="M4301" s="2" t="s">
        <v>32206</v>
      </c>
      <c r="N4301" s="2" t="s">
        <v>32207</v>
      </c>
      <c r="O4301" s="2"/>
      <c r="P4301" s="2" t="s">
        <v>37</v>
      </c>
      <c r="Q4301" s="4" t="n">
        <v>8742</v>
      </c>
      <c r="R4301" s="2"/>
      <c r="S4301" s="2"/>
      <c r="T4301" s="2" t="s">
        <v>40</v>
      </c>
      <c r="U4301" s="2" t="s">
        <v>32208</v>
      </c>
      <c r="V4301" s="2"/>
      <c r="W4301" s="2" t="s">
        <v>7958</v>
      </c>
      <c r="X4301" s="2" t="s">
        <v>46</v>
      </c>
      <c r="Y4301" s="2" t="s">
        <v>37</v>
      </c>
      <c r="Z4301" s="2" t="s">
        <v>44</v>
      </c>
      <c r="AA4301" s="2"/>
      <c r="AB4301" s="2"/>
      <c r="AC4301" s="2" t="s">
        <v>32209</v>
      </c>
      <c r="AD4301" s="2" t="s">
        <v>46</v>
      </c>
    </row>
    <row r="4302" customFormat="false" ht="15.7" hidden="false" customHeight="true" outlineLevel="0" collapsed="false">
      <c r="A4302" s="2"/>
      <c r="B4302" s="3" t="n">
        <f aca="false">DATE(2019,6,18)</f>
        <v>0</v>
      </c>
      <c r="C4302" s="3" t="n">
        <v>43634</v>
      </c>
      <c r="D4302" s="2" t="s">
        <v>32210</v>
      </c>
      <c r="F4302" s="2" t="s">
        <v>32211</v>
      </c>
      <c r="G4302" s="2" t="s">
        <v>32212</v>
      </c>
      <c r="H4302" s="2" t="s">
        <v>32213</v>
      </c>
      <c r="I4302" s="2" t="s">
        <v>51</v>
      </c>
      <c r="J4302" s="2" t="s">
        <v>171</v>
      </c>
      <c r="K4302" s="2" t="s">
        <v>32210</v>
      </c>
      <c r="L4302" s="2" t="s">
        <v>51</v>
      </c>
      <c r="M4302" s="2" t="s">
        <v>32213</v>
      </c>
      <c r="N4302" s="2" t="s">
        <v>32214</v>
      </c>
      <c r="O4302" s="2"/>
      <c r="P4302" s="2" t="s">
        <v>37</v>
      </c>
      <c r="Q4302" s="4" t="n">
        <v>6021</v>
      </c>
      <c r="R4302" s="2" t="s">
        <v>51</v>
      </c>
      <c r="S4302" s="2" t="s">
        <v>32215</v>
      </c>
      <c r="T4302" s="2" t="s">
        <v>403</v>
      </c>
      <c r="U4302" s="2" t="s">
        <v>32216</v>
      </c>
      <c r="V4302" s="2"/>
      <c r="W4302" s="2" t="s">
        <v>18171</v>
      </c>
      <c r="X4302" s="2" t="s">
        <v>43</v>
      </c>
      <c r="Y4302" s="2" t="s">
        <v>37</v>
      </c>
      <c r="Z4302" s="2" t="s">
        <v>44</v>
      </c>
      <c r="AA4302" s="2"/>
      <c r="AB4302" s="2"/>
      <c r="AC4302" s="2" t="s">
        <v>32217</v>
      </c>
      <c r="AD4302" s="2" t="s">
        <v>46</v>
      </c>
    </row>
    <row r="4303" customFormat="false" ht="15.7" hidden="false" customHeight="true" outlineLevel="0" collapsed="false">
      <c r="A4303" s="2"/>
      <c r="B4303" s="3" t="n">
        <f aca="false">DATE(2019,6,18)</f>
        <v>0</v>
      </c>
      <c r="C4303" s="3" t="n">
        <v>43634</v>
      </c>
      <c r="D4303" s="2" t="s">
        <v>32218</v>
      </c>
      <c r="F4303" s="2" t="s">
        <v>32219</v>
      </c>
      <c r="G4303" s="2" t="s">
        <v>32220</v>
      </c>
      <c r="H4303" s="2" t="s">
        <v>32221</v>
      </c>
      <c r="I4303" s="2" t="s">
        <v>51</v>
      </c>
      <c r="J4303" s="2" t="s">
        <v>32222</v>
      </c>
      <c r="K4303" s="2" t="s">
        <v>32218</v>
      </c>
      <c r="L4303" s="2" t="s">
        <v>51</v>
      </c>
      <c r="M4303" s="2" t="s">
        <v>32221</v>
      </c>
      <c r="N4303" s="2" t="s">
        <v>32223</v>
      </c>
      <c r="O4303" s="2"/>
      <c r="P4303" s="2" t="s">
        <v>37</v>
      </c>
      <c r="Q4303" s="4" t="n">
        <v>8731</v>
      </c>
      <c r="R4303" s="2" t="s">
        <v>56</v>
      </c>
      <c r="S4303" s="2"/>
      <c r="T4303" s="2" t="s">
        <v>403</v>
      </c>
      <c r="U4303" s="2" t="s">
        <v>32224</v>
      </c>
      <c r="V4303" s="2"/>
      <c r="W4303" s="2" t="s">
        <v>344</v>
      </c>
      <c r="X4303" s="2" t="s">
        <v>46</v>
      </c>
      <c r="Y4303" s="2" t="s">
        <v>37</v>
      </c>
      <c r="Z4303" s="2" t="s">
        <v>12970</v>
      </c>
      <c r="AA4303" s="2"/>
      <c r="AB4303" s="2"/>
      <c r="AC4303" s="2" t="s">
        <v>32225</v>
      </c>
      <c r="AD4303" s="2" t="s">
        <v>46</v>
      </c>
    </row>
    <row r="4304" customFormat="false" ht="15.7" hidden="false" customHeight="true" outlineLevel="0" collapsed="false">
      <c r="A4304" s="2"/>
      <c r="B4304" s="3" t="n">
        <f aca="false">DATE(2019,6,18)</f>
        <v>0</v>
      </c>
      <c r="C4304" s="3" t="n">
        <v>43634</v>
      </c>
      <c r="D4304" s="2" t="s">
        <v>32226</v>
      </c>
      <c r="F4304" s="2" t="s">
        <v>32227</v>
      </c>
      <c r="G4304" s="2" t="s">
        <v>32228</v>
      </c>
      <c r="H4304" s="2" t="s">
        <v>9267</v>
      </c>
      <c r="I4304" s="2" t="s">
        <v>685</v>
      </c>
      <c r="J4304" s="2" t="s">
        <v>35</v>
      </c>
      <c r="K4304" s="2" t="s">
        <v>32226</v>
      </c>
      <c r="L4304" s="2" t="s">
        <v>685</v>
      </c>
      <c r="M4304" s="2" t="s">
        <v>9267</v>
      </c>
      <c r="N4304" s="2" t="s">
        <v>32229</v>
      </c>
      <c r="O4304" s="2"/>
      <c r="P4304" s="2" t="s">
        <v>37</v>
      </c>
      <c r="Q4304" s="4" t="n">
        <v>8731</v>
      </c>
      <c r="R4304" s="2"/>
      <c r="S4304" s="2"/>
      <c r="T4304" s="2" t="s">
        <v>40</v>
      </c>
      <c r="U4304" s="2" t="s">
        <v>32230</v>
      </c>
      <c r="V4304" s="2"/>
      <c r="W4304" s="2" t="s">
        <v>138</v>
      </c>
      <c r="X4304" s="2" t="s">
        <v>43</v>
      </c>
      <c r="Y4304" s="2" t="s">
        <v>37</v>
      </c>
      <c r="Z4304" s="2" t="s">
        <v>44</v>
      </c>
      <c r="AA4304" s="2"/>
      <c r="AB4304" s="2"/>
      <c r="AC4304" s="2" t="s">
        <v>32231</v>
      </c>
      <c r="AD4304" s="2" t="s">
        <v>46</v>
      </c>
    </row>
    <row r="4305" customFormat="false" ht="15.7" hidden="false" customHeight="true" outlineLevel="0" collapsed="false">
      <c r="A4305" s="2"/>
      <c r="B4305" s="3" t="n">
        <f aca="false">DATE(2019,6,19)</f>
        <v>0</v>
      </c>
      <c r="C4305" s="3" t="n">
        <v>43635</v>
      </c>
      <c r="D4305" s="2" t="s">
        <v>32232</v>
      </c>
      <c r="F4305" s="2" t="s">
        <v>32233</v>
      </c>
      <c r="G4305" s="2" t="s">
        <v>32234</v>
      </c>
      <c r="H4305" s="2" t="s">
        <v>32235</v>
      </c>
      <c r="I4305" s="2" t="s">
        <v>664</v>
      </c>
      <c r="J4305" s="2" t="s">
        <v>228</v>
      </c>
      <c r="K4305" s="2" t="s">
        <v>32236</v>
      </c>
      <c r="L4305" s="2" t="s">
        <v>664</v>
      </c>
      <c r="M4305" s="2" t="s">
        <v>32235</v>
      </c>
      <c r="N4305" s="2" t="s">
        <v>32237</v>
      </c>
      <c r="O4305" s="2"/>
      <c r="P4305" s="2" t="s">
        <v>37</v>
      </c>
      <c r="Q4305" s="4" t="n">
        <v>8731</v>
      </c>
      <c r="R4305" s="2" t="s">
        <v>136</v>
      </c>
      <c r="S4305" s="2" t="s">
        <v>39</v>
      </c>
      <c r="T4305" s="2" t="s">
        <v>40</v>
      </c>
      <c r="U4305" s="2" t="s">
        <v>32238</v>
      </c>
      <c r="V4305" s="2"/>
      <c r="W4305" s="2" t="s">
        <v>344</v>
      </c>
      <c r="X4305" s="2" t="s">
        <v>43</v>
      </c>
      <c r="Y4305" s="2" t="s">
        <v>37</v>
      </c>
      <c r="Z4305" s="2" t="s">
        <v>44</v>
      </c>
      <c r="AA4305" s="2"/>
      <c r="AB4305" s="2"/>
      <c r="AC4305" s="2" t="s">
        <v>32239</v>
      </c>
      <c r="AD4305" s="2" t="s">
        <v>46</v>
      </c>
    </row>
    <row r="4306" customFormat="false" ht="15.7" hidden="false" customHeight="true" outlineLevel="0" collapsed="false">
      <c r="A4306" s="2"/>
      <c r="B4306" s="3" t="n">
        <f aca="false">DATE(2019,6,19)</f>
        <v>0</v>
      </c>
      <c r="C4306" s="3" t="n">
        <v>43635</v>
      </c>
      <c r="D4306" s="2" t="s">
        <v>32240</v>
      </c>
      <c r="F4306" s="2" t="s">
        <v>32241</v>
      </c>
      <c r="G4306" s="2" t="s">
        <v>32242</v>
      </c>
      <c r="H4306" s="2" t="s">
        <v>32243</v>
      </c>
      <c r="I4306" s="2" t="s">
        <v>17785</v>
      </c>
      <c r="J4306" s="2" t="s">
        <v>35</v>
      </c>
      <c r="K4306" s="2" t="s">
        <v>32240</v>
      </c>
      <c r="L4306" s="2" t="s">
        <v>17785</v>
      </c>
      <c r="M4306" s="2" t="s">
        <v>32243</v>
      </c>
      <c r="N4306" s="2" t="s">
        <v>32244</v>
      </c>
      <c r="O4306" s="2"/>
      <c r="P4306" s="2" t="s">
        <v>37</v>
      </c>
      <c r="Q4306" s="4" t="n">
        <v>8731</v>
      </c>
      <c r="R4306" s="2" t="s">
        <v>1208</v>
      </c>
      <c r="S4306" s="2" t="s">
        <v>39</v>
      </c>
      <c r="T4306" s="2" t="s">
        <v>403</v>
      </c>
      <c r="U4306" s="2" t="s">
        <v>32245</v>
      </c>
      <c r="V4306" s="2"/>
      <c r="W4306" s="2" t="s">
        <v>23324</v>
      </c>
      <c r="X4306" s="2" t="s">
        <v>43</v>
      </c>
      <c r="Y4306" s="2" t="s">
        <v>37</v>
      </c>
      <c r="Z4306" s="2" t="s">
        <v>44</v>
      </c>
      <c r="AA4306" s="2"/>
      <c r="AB4306" s="2"/>
      <c r="AC4306" s="2" t="s">
        <v>32246</v>
      </c>
      <c r="AD4306" s="2" t="s">
        <v>46</v>
      </c>
    </row>
    <row r="4307" customFormat="false" ht="15.7" hidden="false" customHeight="true" outlineLevel="0" collapsed="false">
      <c r="A4307" s="2"/>
      <c r="B4307" s="3" t="n">
        <f aca="false">DATE(2019,6,19)</f>
        <v>0</v>
      </c>
      <c r="C4307" s="3" t="n">
        <v>43635</v>
      </c>
      <c r="D4307" s="2" t="s">
        <v>32247</v>
      </c>
      <c r="F4307" s="2" t="s">
        <v>32248</v>
      </c>
      <c r="G4307" s="2" t="s">
        <v>32249</v>
      </c>
      <c r="H4307" s="2" t="s">
        <v>32250</v>
      </c>
      <c r="I4307" s="2" t="s">
        <v>32251</v>
      </c>
      <c r="J4307" s="2" t="s">
        <v>35</v>
      </c>
      <c r="K4307" s="2" t="s">
        <v>32247</v>
      </c>
      <c r="L4307" s="2" t="s">
        <v>32251</v>
      </c>
      <c r="M4307" s="2" t="s">
        <v>32250</v>
      </c>
      <c r="N4307" s="2" t="s">
        <v>32252</v>
      </c>
      <c r="O4307" s="2"/>
      <c r="P4307" s="2" t="s">
        <v>37</v>
      </c>
      <c r="Q4307" s="4" t="n">
        <v>8731</v>
      </c>
      <c r="R4307" s="2" t="s">
        <v>136</v>
      </c>
      <c r="S4307" s="2" t="s">
        <v>39</v>
      </c>
      <c r="T4307" s="2" t="s">
        <v>40</v>
      </c>
      <c r="U4307" s="2" t="s">
        <v>32253</v>
      </c>
      <c r="V4307" s="2"/>
      <c r="W4307" s="2" t="s">
        <v>42</v>
      </c>
      <c r="X4307" s="2" t="s">
        <v>43</v>
      </c>
      <c r="Y4307" s="2" t="s">
        <v>37</v>
      </c>
      <c r="Z4307" s="2" t="s">
        <v>44</v>
      </c>
      <c r="AA4307" s="2"/>
      <c r="AB4307" s="2"/>
      <c r="AC4307" s="2" t="s">
        <v>32254</v>
      </c>
      <c r="AD4307" s="2" t="s">
        <v>46</v>
      </c>
    </row>
    <row r="4308" customFormat="false" ht="15.7" hidden="false" customHeight="true" outlineLevel="0" collapsed="false">
      <c r="A4308" s="2"/>
      <c r="B4308" s="3" t="n">
        <f aca="false">DATE(2019,6,20)</f>
        <v>0</v>
      </c>
      <c r="C4308" s="3" t="n">
        <v>43636</v>
      </c>
      <c r="D4308" s="2" t="s">
        <v>32255</v>
      </c>
      <c r="F4308" s="2" t="s">
        <v>32256</v>
      </c>
      <c r="G4308" s="2" t="s">
        <v>32257</v>
      </c>
      <c r="H4308" s="2" t="s">
        <v>4956</v>
      </c>
      <c r="I4308" s="2" t="s">
        <v>51</v>
      </c>
      <c r="J4308" s="2" t="s">
        <v>12183</v>
      </c>
      <c r="K4308" s="2" t="s">
        <v>32255</v>
      </c>
      <c r="L4308" s="2" t="s">
        <v>51</v>
      </c>
      <c r="M4308" s="2" t="s">
        <v>4956</v>
      </c>
      <c r="N4308" s="2" t="s">
        <v>32258</v>
      </c>
      <c r="O4308" s="2"/>
      <c r="P4308" s="2" t="s">
        <v>37</v>
      </c>
      <c r="Q4308" s="4" t="n">
        <v>8731</v>
      </c>
      <c r="R4308" s="2" t="s">
        <v>56</v>
      </c>
      <c r="S4308" s="2" t="s">
        <v>1226</v>
      </c>
      <c r="T4308" s="2" t="s">
        <v>40</v>
      </c>
      <c r="U4308" s="2" t="s">
        <v>32259</v>
      </c>
      <c r="V4308" s="2"/>
      <c r="W4308" s="2" t="s">
        <v>3949</v>
      </c>
      <c r="X4308" s="2" t="s">
        <v>43</v>
      </c>
      <c r="Y4308" s="2" t="s">
        <v>37</v>
      </c>
      <c r="Z4308" s="2" t="s">
        <v>44</v>
      </c>
      <c r="AA4308" s="2"/>
      <c r="AB4308" s="2"/>
      <c r="AC4308" s="2" t="s">
        <v>32260</v>
      </c>
      <c r="AD4308" s="2" t="s">
        <v>46</v>
      </c>
    </row>
    <row r="4309" customFormat="false" ht="15.7" hidden="false" customHeight="true" outlineLevel="0" collapsed="false">
      <c r="A4309" s="2"/>
      <c r="B4309" s="3" t="n">
        <f aca="false">DATE(2019,6,20)</f>
        <v>0</v>
      </c>
      <c r="C4309" s="3" t="n">
        <v>43636</v>
      </c>
      <c r="D4309" s="2" t="s">
        <v>32261</v>
      </c>
      <c r="F4309" s="2" t="s">
        <v>32262</v>
      </c>
      <c r="G4309" s="2" t="s">
        <v>32263</v>
      </c>
      <c r="H4309" s="2" t="s">
        <v>32264</v>
      </c>
      <c r="I4309" s="2" t="s">
        <v>2103</v>
      </c>
      <c r="J4309" s="2" t="s">
        <v>35</v>
      </c>
      <c r="K4309" s="2" t="s">
        <v>32261</v>
      </c>
      <c r="L4309" s="2" t="s">
        <v>2103</v>
      </c>
      <c r="M4309" s="2" t="s">
        <v>32264</v>
      </c>
      <c r="N4309" s="2" t="s">
        <v>32265</v>
      </c>
      <c r="O4309" s="2"/>
      <c r="P4309" s="2" t="s">
        <v>37</v>
      </c>
      <c r="Q4309" s="4" t="n">
        <v>8099</v>
      </c>
      <c r="R4309" s="2" t="s">
        <v>2105</v>
      </c>
      <c r="S4309" s="2" t="s">
        <v>39</v>
      </c>
      <c r="T4309" s="2" t="s">
        <v>403</v>
      </c>
      <c r="U4309" s="2" t="s">
        <v>32266</v>
      </c>
      <c r="V4309" s="2"/>
      <c r="W4309" s="2" t="s">
        <v>4487</v>
      </c>
      <c r="X4309" s="2" t="s">
        <v>46</v>
      </c>
      <c r="Y4309" s="2" t="s">
        <v>37</v>
      </c>
      <c r="Z4309" s="2" t="s">
        <v>44</v>
      </c>
      <c r="AA4309" s="2"/>
      <c r="AB4309" s="2"/>
      <c r="AC4309" s="2" t="s">
        <v>32267</v>
      </c>
      <c r="AD4309" s="2" t="s">
        <v>46</v>
      </c>
    </row>
    <row r="4310" customFormat="false" ht="15.7" hidden="false" customHeight="true" outlineLevel="0" collapsed="false">
      <c r="A4310" s="2"/>
      <c r="B4310" s="3" t="n">
        <f aca="false">DATE(2019,6,20)</f>
        <v>0</v>
      </c>
      <c r="C4310" s="3" t="n">
        <v>43636</v>
      </c>
      <c r="D4310" s="2" t="s">
        <v>32268</v>
      </c>
      <c r="F4310" s="2" t="s">
        <v>32269</v>
      </c>
      <c r="G4310" s="2" t="s">
        <v>32270</v>
      </c>
      <c r="H4310" s="2" t="s">
        <v>32271</v>
      </c>
      <c r="I4310" s="2" t="s">
        <v>51</v>
      </c>
      <c r="J4310" s="2" t="s">
        <v>32272</v>
      </c>
      <c r="K4310" s="2" t="s">
        <v>32268</v>
      </c>
      <c r="L4310" s="2" t="s">
        <v>51</v>
      </c>
      <c r="M4310" s="2" t="s">
        <v>32271</v>
      </c>
      <c r="N4310" s="2" t="s">
        <v>32273</v>
      </c>
      <c r="O4310" s="2"/>
      <c r="P4310" s="2" t="s">
        <v>37</v>
      </c>
      <c r="Q4310" s="4" t="n">
        <v>6000</v>
      </c>
      <c r="R4310" s="2" t="s">
        <v>56</v>
      </c>
      <c r="S4310" s="2"/>
      <c r="T4310" s="2" t="s">
        <v>40</v>
      </c>
      <c r="U4310" s="2" t="s">
        <v>32274</v>
      </c>
      <c r="V4310" s="2"/>
      <c r="W4310" s="2" t="s">
        <v>32275</v>
      </c>
      <c r="X4310" s="2" t="s">
        <v>43</v>
      </c>
      <c r="Y4310" s="2" t="s">
        <v>37</v>
      </c>
      <c r="Z4310" s="2" t="s">
        <v>44</v>
      </c>
      <c r="AA4310" s="2"/>
      <c r="AB4310" s="2"/>
      <c r="AC4310" s="2" t="s">
        <v>32276</v>
      </c>
      <c r="AD4310" s="2" t="s">
        <v>46</v>
      </c>
    </row>
    <row r="4311" customFormat="false" ht="15.7" hidden="false" customHeight="true" outlineLevel="0" collapsed="false">
      <c r="A4311" s="2"/>
      <c r="B4311" s="3" t="n">
        <f aca="false">DATE(2019,6,20)</f>
        <v>0</v>
      </c>
      <c r="C4311" s="3" t="n">
        <v>43636</v>
      </c>
      <c r="D4311" s="2" t="s">
        <v>32277</v>
      </c>
      <c r="F4311" s="2" t="s">
        <v>32278</v>
      </c>
      <c r="G4311" s="2" t="s">
        <v>32279</v>
      </c>
      <c r="H4311" s="2" t="s">
        <v>2361</v>
      </c>
      <c r="I4311" s="2" t="s">
        <v>51</v>
      </c>
      <c r="J4311" s="2" t="s">
        <v>1730</v>
      </c>
      <c r="K4311" s="2" t="s">
        <v>32277</v>
      </c>
      <c r="L4311" s="2" t="s">
        <v>51</v>
      </c>
      <c r="M4311" s="2" t="s">
        <v>2361</v>
      </c>
      <c r="N4311" s="2" t="s">
        <v>32280</v>
      </c>
      <c r="O4311" s="2"/>
      <c r="P4311" s="2" t="s">
        <v>37</v>
      </c>
      <c r="Q4311" s="4" t="n">
        <v>8731</v>
      </c>
      <c r="R4311" s="2" t="s">
        <v>56</v>
      </c>
      <c r="S4311" s="2"/>
      <c r="T4311" s="2" t="s">
        <v>40</v>
      </c>
      <c r="U4311" s="2" t="s">
        <v>32281</v>
      </c>
      <c r="V4311" s="2"/>
      <c r="W4311" s="2" t="s">
        <v>42</v>
      </c>
      <c r="X4311" s="2" t="s">
        <v>43</v>
      </c>
      <c r="Y4311" s="2" t="s">
        <v>37</v>
      </c>
      <c r="Z4311" s="2" t="s">
        <v>44</v>
      </c>
      <c r="AA4311" s="2"/>
      <c r="AB4311" s="2"/>
      <c r="AC4311" s="2" t="s">
        <v>32282</v>
      </c>
      <c r="AD4311" s="2" t="s">
        <v>46</v>
      </c>
    </row>
    <row r="4312" customFormat="false" ht="15.7" hidden="false" customHeight="true" outlineLevel="0" collapsed="false">
      <c r="A4312" s="2"/>
      <c r="B4312" s="3" t="n">
        <f aca="false">DATE(2019,6,24)</f>
        <v>0</v>
      </c>
      <c r="C4312" s="3" t="n">
        <v>43640</v>
      </c>
      <c r="D4312" s="2" t="s">
        <v>32283</v>
      </c>
      <c r="F4312" s="2" t="s">
        <v>32284</v>
      </c>
      <c r="G4312" s="2" t="s">
        <v>32285</v>
      </c>
      <c r="H4312" s="2" t="s">
        <v>32286</v>
      </c>
      <c r="I4312" s="2" t="s">
        <v>32287</v>
      </c>
      <c r="J4312" s="2" t="s">
        <v>32288</v>
      </c>
      <c r="K4312" s="2" t="s">
        <v>32289</v>
      </c>
      <c r="L4312" s="2" t="s">
        <v>32287</v>
      </c>
      <c r="M4312" s="2" t="s">
        <v>32286</v>
      </c>
      <c r="N4312" s="2" t="s">
        <v>32290</v>
      </c>
      <c r="O4312" s="2"/>
      <c r="P4312" s="2" t="s">
        <v>37</v>
      </c>
      <c r="Q4312" s="4" t="n">
        <v>2836</v>
      </c>
      <c r="R4312" s="2" t="s">
        <v>32291</v>
      </c>
      <c r="S4312" s="2" t="s">
        <v>32292</v>
      </c>
      <c r="T4312" s="2" t="s">
        <v>40</v>
      </c>
      <c r="U4312" s="2" t="s">
        <v>32293</v>
      </c>
      <c r="V4312" s="2"/>
      <c r="W4312" s="2" t="s">
        <v>18171</v>
      </c>
      <c r="X4312" s="2" t="s">
        <v>43</v>
      </c>
      <c r="Y4312" s="2" t="s">
        <v>79</v>
      </c>
      <c r="Z4312" s="2" t="s">
        <v>916</v>
      </c>
      <c r="AA4312" s="2"/>
      <c r="AB4312" s="2"/>
      <c r="AC4312" s="2" t="s">
        <v>32294</v>
      </c>
      <c r="AD4312" s="2" t="s">
        <v>46</v>
      </c>
    </row>
    <row r="4313" customFormat="false" ht="15.7" hidden="false" customHeight="true" outlineLevel="0" collapsed="false">
      <c r="A4313" s="2"/>
      <c r="B4313" s="3" t="n">
        <f aca="false">DATE(2019,6,24)</f>
        <v>0</v>
      </c>
      <c r="C4313" s="3" t="n">
        <v>43640</v>
      </c>
      <c r="D4313" s="2" t="s">
        <v>32295</v>
      </c>
      <c r="F4313" s="2" t="s">
        <v>30150</v>
      </c>
      <c r="G4313" s="2" t="s">
        <v>32296</v>
      </c>
      <c r="H4313" s="2" t="s">
        <v>24696</v>
      </c>
      <c r="I4313" s="2" t="s">
        <v>1080</v>
      </c>
      <c r="J4313" s="2" t="s">
        <v>35</v>
      </c>
      <c r="K4313" s="2" t="s">
        <v>32295</v>
      </c>
      <c r="L4313" s="2" t="s">
        <v>1080</v>
      </c>
      <c r="M4313" s="2" t="s">
        <v>24696</v>
      </c>
      <c r="N4313" s="2" t="s">
        <v>32297</v>
      </c>
      <c r="O4313" s="2"/>
      <c r="P4313" s="2" t="s">
        <v>37</v>
      </c>
      <c r="Q4313" s="4" t="n">
        <v>8731</v>
      </c>
      <c r="R4313" s="2" t="s">
        <v>2201</v>
      </c>
      <c r="S4313" s="2" t="s">
        <v>39</v>
      </c>
      <c r="T4313" s="2" t="s">
        <v>40</v>
      </c>
      <c r="U4313" s="2" t="s">
        <v>32298</v>
      </c>
      <c r="V4313" s="2"/>
      <c r="W4313" s="2" t="s">
        <v>42</v>
      </c>
      <c r="X4313" s="2" t="s">
        <v>43</v>
      </c>
      <c r="Y4313" s="2" t="s">
        <v>37</v>
      </c>
      <c r="Z4313" s="2" t="s">
        <v>44</v>
      </c>
      <c r="AA4313" s="2"/>
      <c r="AB4313" s="2"/>
      <c r="AC4313" s="2" t="s">
        <v>32299</v>
      </c>
      <c r="AD4313" s="2" t="s">
        <v>46</v>
      </c>
    </row>
    <row r="4314" customFormat="false" ht="15.7" hidden="false" customHeight="true" outlineLevel="0" collapsed="false">
      <c r="A4314" s="2"/>
      <c r="B4314" s="3" t="n">
        <f aca="false">DATE(2019,6,24)</f>
        <v>0</v>
      </c>
      <c r="C4314" s="3" t="n">
        <v>43640</v>
      </c>
      <c r="D4314" s="2" t="s">
        <v>32300</v>
      </c>
      <c r="F4314" s="2" t="s">
        <v>17277</v>
      </c>
      <c r="G4314" s="2" t="s">
        <v>32301</v>
      </c>
      <c r="H4314" s="2" t="s">
        <v>523</v>
      </c>
      <c r="I4314" s="2" t="s">
        <v>1080</v>
      </c>
      <c r="J4314" s="2" t="s">
        <v>35</v>
      </c>
      <c r="K4314" s="2" t="s">
        <v>32300</v>
      </c>
      <c r="L4314" s="2" t="s">
        <v>1080</v>
      </c>
      <c r="M4314" s="2" t="s">
        <v>523</v>
      </c>
      <c r="N4314" s="2" t="s">
        <v>32302</v>
      </c>
      <c r="O4314" s="2"/>
      <c r="P4314" s="2" t="s">
        <v>37</v>
      </c>
      <c r="Q4314" s="4" t="n">
        <v>8731</v>
      </c>
      <c r="R4314" s="2" t="s">
        <v>1080</v>
      </c>
      <c r="S4314" s="2" t="s">
        <v>5334</v>
      </c>
      <c r="T4314" s="2" t="s">
        <v>403</v>
      </c>
      <c r="U4314" s="2" t="s">
        <v>32303</v>
      </c>
      <c r="V4314" s="2"/>
      <c r="W4314" s="2" t="s">
        <v>18171</v>
      </c>
      <c r="X4314" s="2" t="s">
        <v>43</v>
      </c>
      <c r="Y4314" s="2" t="s">
        <v>37</v>
      </c>
      <c r="Z4314" s="2" t="s">
        <v>44</v>
      </c>
      <c r="AA4314" s="2"/>
      <c r="AB4314" s="2"/>
      <c r="AC4314" s="2" t="s">
        <v>32304</v>
      </c>
      <c r="AD4314" s="2" t="s">
        <v>46</v>
      </c>
    </row>
    <row r="4315" customFormat="false" ht="15.7" hidden="false" customHeight="true" outlineLevel="0" collapsed="false">
      <c r="A4315" s="2"/>
      <c r="B4315" s="3" t="n">
        <f aca="false">DATE(2019,6,24)</f>
        <v>0</v>
      </c>
      <c r="C4315" s="3" t="n">
        <v>43640</v>
      </c>
      <c r="D4315" s="2" t="s">
        <v>32305</v>
      </c>
      <c r="F4315" s="2" t="s">
        <v>32306</v>
      </c>
      <c r="G4315" s="2" t="s">
        <v>32307</v>
      </c>
      <c r="H4315" s="2" t="s">
        <v>32308</v>
      </c>
      <c r="I4315" s="2" t="s">
        <v>32309</v>
      </c>
      <c r="J4315" s="2" t="s">
        <v>398</v>
      </c>
      <c r="K4315" s="2" t="s">
        <v>32310</v>
      </c>
      <c r="L4315" s="2" t="s">
        <v>32309</v>
      </c>
      <c r="M4315" s="2" t="s">
        <v>32311</v>
      </c>
      <c r="N4315" s="2" t="s">
        <v>32312</v>
      </c>
      <c r="O4315" s="2"/>
      <c r="P4315" s="2" t="s">
        <v>37</v>
      </c>
      <c r="Q4315" s="4" t="n">
        <v>8731</v>
      </c>
      <c r="R4315" s="2" t="s">
        <v>105</v>
      </c>
      <c r="S4315" s="2" t="s">
        <v>39</v>
      </c>
      <c r="T4315" s="2" t="s">
        <v>40</v>
      </c>
      <c r="U4315" s="2" t="s">
        <v>32313</v>
      </c>
      <c r="V4315" s="2"/>
      <c r="W4315" s="2" t="s">
        <v>32314</v>
      </c>
      <c r="X4315" s="2" t="s">
        <v>43</v>
      </c>
      <c r="Y4315" s="2" t="s">
        <v>37</v>
      </c>
      <c r="Z4315" s="2" t="s">
        <v>8596</v>
      </c>
      <c r="AA4315" s="2"/>
      <c r="AB4315" s="2"/>
      <c r="AC4315" s="2" t="s">
        <v>32315</v>
      </c>
      <c r="AD4315" s="2" t="s">
        <v>46</v>
      </c>
    </row>
    <row r="4316" customFormat="false" ht="15.7" hidden="false" customHeight="true" outlineLevel="0" collapsed="false">
      <c r="A4316" s="2"/>
      <c r="B4316" s="3" t="n">
        <f aca="false">DATE(2019,6,24)</f>
        <v>0</v>
      </c>
      <c r="C4316" s="3" t="n">
        <v>43640</v>
      </c>
      <c r="D4316" s="2" t="s">
        <v>32316</v>
      </c>
      <c r="F4316" s="2" t="s">
        <v>20650</v>
      </c>
      <c r="G4316" s="2" t="s">
        <v>32317</v>
      </c>
      <c r="H4316" s="2" t="s">
        <v>130</v>
      </c>
      <c r="I4316" s="2" t="s">
        <v>32318</v>
      </c>
      <c r="J4316" s="2" t="s">
        <v>35</v>
      </c>
      <c r="K4316" s="2" t="s">
        <v>32316</v>
      </c>
      <c r="L4316" s="2" t="s">
        <v>32318</v>
      </c>
      <c r="M4316" s="2" t="s">
        <v>130</v>
      </c>
      <c r="N4316" s="2" t="s">
        <v>32319</v>
      </c>
      <c r="O4316" s="2"/>
      <c r="P4316" s="2" t="s">
        <v>37</v>
      </c>
      <c r="Q4316" s="4" t="n">
        <v>6794</v>
      </c>
      <c r="R4316" s="2" t="s">
        <v>38</v>
      </c>
      <c r="S4316" s="2" t="s">
        <v>39</v>
      </c>
      <c r="T4316" s="2" t="s">
        <v>403</v>
      </c>
      <c r="U4316" s="2" t="s">
        <v>32320</v>
      </c>
      <c r="V4316" s="2"/>
      <c r="W4316" s="2" t="s">
        <v>32321</v>
      </c>
      <c r="X4316" s="2" t="s">
        <v>43</v>
      </c>
      <c r="Y4316" s="2" t="s">
        <v>37</v>
      </c>
      <c r="Z4316" s="2" t="s">
        <v>44</v>
      </c>
      <c r="AA4316" s="2"/>
      <c r="AB4316" s="2"/>
      <c r="AC4316" s="2" t="s">
        <v>32322</v>
      </c>
      <c r="AD4316" s="2" t="s">
        <v>46</v>
      </c>
    </row>
    <row r="4317" customFormat="false" ht="15.7" hidden="false" customHeight="true" outlineLevel="0" collapsed="false">
      <c r="A4317" s="2"/>
      <c r="B4317" s="3" t="n">
        <f aca="false">DATE(2019,6,24)</f>
        <v>0</v>
      </c>
      <c r="C4317" s="3" t="n">
        <v>43640</v>
      </c>
      <c r="D4317" s="2" t="s">
        <v>32323</v>
      </c>
      <c r="F4317" s="2" t="s">
        <v>32324</v>
      </c>
      <c r="G4317" s="2" t="s">
        <v>32325</v>
      </c>
      <c r="H4317" s="2" t="s">
        <v>32326</v>
      </c>
      <c r="I4317" s="2" t="s">
        <v>549</v>
      </c>
      <c r="J4317" s="2" t="s">
        <v>3385</v>
      </c>
      <c r="K4317" s="2" t="s">
        <v>32323</v>
      </c>
      <c r="L4317" s="2" t="s">
        <v>549</v>
      </c>
      <c r="M4317" s="2" t="s">
        <v>32326</v>
      </c>
      <c r="N4317" s="2" t="s">
        <v>32327</v>
      </c>
      <c r="O4317" s="2"/>
      <c r="P4317" s="2" t="s">
        <v>37</v>
      </c>
      <c r="Q4317" s="4" t="n">
        <v>8731</v>
      </c>
      <c r="R4317" s="2" t="s">
        <v>2508</v>
      </c>
      <c r="S4317" s="2" t="s">
        <v>39</v>
      </c>
      <c r="T4317" s="2" t="s">
        <v>403</v>
      </c>
      <c r="U4317" s="2" t="s">
        <v>32328</v>
      </c>
      <c r="V4317" s="2"/>
      <c r="W4317" s="2" t="s">
        <v>4101</v>
      </c>
      <c r="X4317" s="2" t="s">
        <v>46</v>
      </c>
      <c r="Y4317" s="2" t="s">
        <v>37</v>
      </c>
      <c r="Z4317" s="2" t="s">
        <v>362</v>
      </c>
      <c r="AA4317" s="2"/>
      <c r="AB4317" s="2"/>
      <c r="AC4317" s="2" t="s">
        <v>32329</v>
      </c>
      <c r="AD4317" s="2" t="s">
        <v>46</v>
      </c>
    </row>
    <row r="4318" customFormat="false" ht="15.7" hidden="false" customHeight="true" outlineLevel="0" collapsed="false">
      <c r="A4318" s="2"/>
      <c r="B4318" s="3" t="n">
        <f aca="false">DATE(2019,6,24)</f>
        <v>0</v>
      </c>
      <c r="C4318" s="3" t="n">
        <v>43640</v>
      </c>
      <c r="D4318" s="2" t="s">
        <v>32330</v>
      </c>
      <c r="F4318" s="2" t="s">
        <v>20280</v>
      </c>
      <c r="G4318" s="2" t="s">
        <v>32331</v>
      </c>
      <c r="H4318" s="2" t="s">
        <v>170</v>
      </c>
      <c r="I4318" s="2" t="s">
        <v>965</v>
      </c>
      <c r="J4318" s="2" t="s">
        <v>331</v>
      </c>
      <c r="K4318" s="2" t="s">
        <v>32330</v>
      </c>
      <c r="L4318" s="2" t="s">
        <v>965</v>
      </c>
      <c r="M4318" s="2" t="s">
        <v>170</v>
      </c>
      <c r="N4318" s="2" t="s">
        <v>32332</v>
      </c>
      <c r="O4318" s="2"/>
      <c r="P4318" s="2" t="s">
        <v>37</v>
      </c>
      <c r="Q4318" s="4" t="n">
        <v>6794</v>
      </c>
      <c r="R4318" s="2" t="s">
        <v>136</v>
      </c>
      <c r="S4318" s="2" t="s">
        <v>39</v>
      </c>
      <c r="T4318" s="2" t="s">
        <v>40</v>
      </c>
      <c r="U4318" s="2" t="s">
        <v>32333</v>
      </c>
      <c r="V4318" s="2"/>
      <c r="W4318" s="2" t="s">
        <v>15545</v>
      </c>
      <c r="X4318" s="2" t="s">
        <v>43</v>
      </c>
      <c r="Y4318" s="2" t="s">
        <v>37</v>
      </c>
      <c r="Z4318" s="2" t="s">
        <v>44</v>
      </c>
      <c r="AA4318" s="2" t="s">
        <v>32334</v>
      </c>
      <c r="AB4318" s="2"/>
      <c r="AC4318" s="2" t="s">
        <v>32335</v>
      </c>
      <c r="AD4318" s="2" t="s">
        <v>46</v>
      </c>
    </row>
    <row r="4319" customFormat="false" ht="15.7" hidden="false" customHeight="true" outlineLevel="0" collapsed="false">
      <c r="A4319" s="2"/>
      <c r="B4319" s="3" t="n">
        <f aca="false">DATE(2019,6,24)</f>
        <v>0</v>
      </c>
      <c r="C4319" s="3" t="n">
        <v>43640</v>
      </c>
      <c r="D4319" s="2" t="s">
        <v>32336</v>
      </c>
      <c r="F4319" s="2" t="s">
        <v>20650</v>
      </c>
      <c r="G4319" s="2" t="s">
        <v>32337</v>
      </c>
      <c r="H4319" s="2" t="s">
        <v>130</v>
      </c>
      <c r="I4319" s="2" t="s">
        <v>51</v>
      </c>
      <c r="J4319" s="2" t="s">
        <v>32338</v>
      </c>
      <c r="K4319" s="2" t="s">
        <v>32336</v>
      </c>
      <c r="L4319" s="2" t="s">
        <v>51</v>
      </c>
      <c r="M4319" s="2" t="s">
        <v>130</v>
      </c>
      <c r="N4319" s="2" t="s">
        <v>32339</v>
      </c>
      <c r="O4319" s="2"/>
      <c r="P4319" s="2" t="s">
        <v>37</v>
      </c>
      <c r="Q4319" s="4" t="n">
        <v>8099</v>
      </c>
      <c r="R4319" s="2" t="s">
        <v>56</v>
      </c>
      <c r="S4319" s="2"/>
      <c r="T4319" s="2" t="s">
        <v>403</v>
      </c>
      <c r="U4319" s="2" t="s">
        <v>32340</v>
      </c>
      <c r="V4319" s="2"/>
      <c r="W4319" s="2" t="s">
        <v>4487</v>
      </c>
      <c r="X4319" s="2" t="s">
        <v>43</v>
      </c>
      <c r="Y4319" s="2" t="s">
        <v>37</v>
      </c>
      <c r="Z4319" s="2" t="s">
        <v>44</v>
      </c>
      <c r="AA4319" s="2"/>
      <c r="AB4319" s="2"/>
      <c r="AC4319" s="2" t="s">
        <v>32341</v>
      </c>
      <c r="AD4319" s="2" t="s">
        <v>46</v>
      </c>
    </row>
    <row r="4320" customFormat="false" ht="15.7" hidden="false" customHeight="true" outlineLevel="0" collapsed="false">
      <c r="A4320" s="2"/>
      <c r="B4320" s="3" t="n">
        <f aca="false">DATE(2019,6,25)</f>
        <v>0</v>
      </c>
      <c r="C4320" s="3" t="n">
        <v>43641</v>
      </c>
      <c r="D4320" s="2" t="s">
        <v>32342</v>
      </c>
      <c r="F4320" s="2" t="s">
        <v>32343</v>
      </c>
      <c r="G4320" s="2" t="s">
        <v>32344</v>
      </c>
      <c r="H4320" s="2" t="s">
        <v>32345</v>
      </c>
      <c r="I4320" s="2" t="s">
        <v>3103</v>
      </c>
      <c r="J4320" s="2" t="s">
        <v>65</v>
      </c>
      <c r="K4320" s="2" t="s">
        <v>32346</v>
      </c>
      <c r="L4320" s="2" t="s">
        <v>3103</v>
      </c>
      <c r="M4320" s="2" t="s">
        <v>32347</v>
      </c>
      <c r="N4320" s="2" t="s">
        <v>32348</v>
      </c>
      <c r="O4320" s="2"/>
      <c r="P4320" s="2" t="s">
        <v>37</v>
      </c>
      <c r="Q4320" s="4" t="n">
        <v>8731</v>
      </c>
      <c r="R4320" s="2" t="s">
        <v>56</v>
      </c>
      <c r="S4320" s="2"/>
      <c r="T4320" s="2" t="s">
        <v>403</v>
      </c>
      <c r="U4320" s="2" t="s">
        <v>32349</v>
      </c>
      <c r="V4320" s="2"/>
      <c r="W4320" s="2" t="s">
        <v>344</v>
      </c>
      <c r="X4320" s="2" t="s">
        <v>43</v>
      </c>
      <c r="Y4320" s="2" t="s">
        <v>37</v>
      </c>
      <c r="Z4320" s="2" t="s">
        <v>44</v>
      </c>
      <c r="AA4320" s="2"/>
      <c r="AB4320" s="2"/>
      <c r="AC4320" s="2" t="s">
        <v>32350</v>
      </c>
      <c r="AD4320" s="2" t="s">
        <v>46</v>
      </c>
    </row>
    <row r="4321" customFormat="false" ht="15.7" hidden="false" customHeight="true" outlineLevel="0" collapsed="false">
      <c r="A4321" s="2"/>
      <c r="B4321" s="3" t="n">
        <f aca="false">DATE(2019,6,25)</f>
        <v>0</v>
      </c>
      <c r="C4321" s="3" t="n">
        <v>43641</v>
      </c>
      <c r="D4321" s="2" t="s">
        <v>32351</v>
      </c>
      <c r="F4321" s="2" t="s">
        <v>32352</v>
      </c>
      <c r="G4321" s="2" t="s">
        <v>32353</v>
      </c>
      <c r="H4321" s="2" t="s">
        <v>14314</v>
      </c>
      <c r="I4321" s="2" t="s">
        <v>51</v>
      </c>
      <c r="J4321" s="2" t="s">
        <v>5565</v>
      </c>
      <c r="K4321" s="2" t="s">
        <v>32351</v>
      </c>
      <c r="L4321" s="2" t="s">
        <v>51</v>
      </c>
      <c r="M4321" s="2" t="s">
        <v>14314</v>
      </c>
      <c r="N4321" s="2" t="s">
        <v>32354</v>
      </c>
      <c r="O4321" s="2"/>
      <c r="P4321" s="2" t="s">
        <v>37</v>
      </c>
      <c r="Q4321" s="4" t="n">
        <v>8731</v>
      </c>
      <c r="R4321" s="2" t="s">
        <v>56</v>
      </c>
      <c r="S4321" s="2" t="s">
        <v>360</v>
      </c>
      <c r="T4321" s="2" t="s">
        <v>403</v>
      </c>
      <c r="U4321" s="2" t="s">
        <v>32355</v>
      </c>
      <c r="V4321" s="2"/>
      <c r="W4321" s="2" t="s">
        <v>2536</v>
      </c>
      <c r="X4321" s="2" t="s">
        <v>43</v>
      </c>
      <c r="Y4321" s="2" t="s">
        <v>37</v>
      </c>
      <c r="Z4321" s="2" t="s">
        <v>44</v>
      </c>
      <c r="AA4321" s="2"/>
      <c r="AB4321" s="2"/>
      <c r="AC4321" s="2" t="s">
        <v>32356</v>
      </c>
      <c r="AD4321" s="2" t="s">
        <v>46</v>
      </c>
    </row>
    <row r="4322" customFormat="false" ht="15.7" hidden="false" customHeight="true" outlineLevel="0" collapsed="false">
      <c r="A4322" s="2"/>
      <c r="B4322" s="3" t="n">
        <f aca="false">DATE(2019,6,25)</f>
        <v>0</v>
      </c>
      <c r="C4322" s="3" t="n">
        <v>43641</v>
      </c>
      <c r="D4322" s="2" t="s">
        <v>32357</v>
      </c>
      <c r="F4322" s="2" t="s">
        <v>32358</v>
      </c>
      <c r="G4322" s="2" t="s">
        <v>32359</v>
      </c>
      <c r="H4322" s="2" t="s">
        <v>32360</v>
      </c>
      <c r="I4322" s="2" t="s">
        <v>51</v>
      </c>
      <c r="J4322" s="2" t="s">
        <v>2190</v>
      </c>
      <c r="K4322" s="2" t="s">
        <v>32357</v>
      </c>
      <c r="L4322" s="2" t="s">
        <v>51</v>
      </c>
      <c r="M4322" s="2" t="s">
        <v>32360</v>
      </c>
      <c r="N4322" s="2" t="s">
        <v>32361</v>
      </c>
      <c r="O4322" s="2"/>
      <c r="P4322" s="2" t="s">
        <v>37</v>
      </c>
      <c r="Q4322" s="4" t="n">
        <v>5047</v>
      </c>
      <c r="R4322" s="2" t="s">
        <v>51</v>
      </c>
      <c r="S4322" s="2" t="s">
        <v>32362</v>
      </c>
      <c r="T4322" s="2" t="s">
        <v>403</v>
      </c>
      <c r="U4322" s="2" t="s">
        <v>32363</v>
      </c>
      <c r="V4322" s="2"/>
      <c r="W4322" s="2" t="s">
        <v>344</v>
      </c>
      <c r="X4322" s="2" t="s">
        <v>43</v>
      </c>
      <c r="Y4322" s="2" t="s">
        <v>37</v>
      </c>
      <c r="Z4322" s="2" t="s">
        <v>44</v>
      </c>
      <c r="AA4322" s="2"/>
      <c r="AB4322" s="2"/>
      <c r="AC4322" s="2" t="s">
        <v>32364</v>
      </c>
      <c r="AD4322" s="2" t="s">
        <v>46</v>
      </c>
    </row>
    <row r="4323" customFormat="false" ht="15.7" hidden="false" customHeight="true" outlineLevel="0" collapsed="false">
      <c r="A4323" s="2"/>
      <c r="B4323" s="3" t="n">
        <f aca="false">DATE(2019,6,25)</f>
        <v>0</v>
      </c>
      <c r="C4323" s="3" t="n">
        <v>43641</v>
      </c>
      <c r="D4323" s="2" t="s">
        <v>32365</v>
      </c>
      <c r="F4323" s="2" t="s">
        <v>32366</v>
      </c>
      <c r="G4323" s="2" t="s">
        <v>32367</v>
      </c>
      <c r="H4323" s="2" t="s">
        <v>22366</v>
      </c>
      <c r="I4323" s="2" t="s">
        <v>51</v>
      </c>
      <c r="J4323" s="2" t="s">
        <v>2338</v>
      </c>
      <c r="K4323" s="2" t="s">
        <v>32365</v>
      </c>
      <c r="L4323" s="2" t="s">
        <v>51</v>
      </c>
      <c r="M4323" s="2" t="s">
        <v>22366</v>
      </c>
      <c r="N4323" s="2" t="s">
        <v>32368</v>
      </c>
      <c r="O4323" s="2"/>
      <c r="P4323" s="2" t="s">
        <v>37</v>
      </c>
      <c r="Q4323" s="4" t="n">
        <v>8731</v>
      </c>
      <c r="R4323" s="2" t="s">
        <v>56</v>
      </c>
      <c r="S4323" s="2"/>
      <c r="T4323" s="2" t="s">
        <v>403</v>
      </c>
      <c r="U4323" s="2" t="s">
        <v>32369</v>
      </c>
      <c r="V4323" s="2"/>
      <c r="W4323" s="2" t="s">
        <v>138</v>
      </c>
      <c r="X4323" s="2" t="s">
        <v>43</v>
      </c>
      <c r="Y4323" s="2" t="s">
        <v>37</v>
      </c>
      <c r="Z4323" s="2" t="s">
        <v>44</v>
      </c>
      <c r="AA4323" s="2"/>
      <c r="AB4323" s="2"/>
      <c r="AC4323" s="2" t="s">
        <v>32370</v>
      </c>
      <c r="AD4323" s="2" t="s">
        <v>46</v>
      </c>
    </row>
    <row r="4324" customFormat="false" ht="15.7" hidden="false" customHeight="true" outlineLevel="0" collapsed="false">
      <c r="A4324" s="2"/>
      <c r="B4324" s="3" t="n">
        <f aca="false">DATE(2019,6,25)</f>
        <v>0</v>
      </c>
      <c r="C4324" s="3" t="n">
        <v>43641</v>
      </c>
      <c r="D4324" s="2" t="s">
        <v>32371</v>
      </c>
      <c r="F4324" s="2" t="s">
        <v>20280</v>
      </c>
      <c r="G4324" s="2" t="s">
        <v>32372</v>
      </c>
      <c r="H4324" s="2" t="s">
        <v>170</v>
      </c>
      <c r="I4324" s="2" t="s">
        <v>10332</v>
      </c>
      <c r="J4324" s="2" t="s">
        <v>35</v>
      </c>
      <c r="K4324" s="2" t="s">
        <v>32373</v>
      </c>
      <c r="L4324" s="2" t="s">
        <v>10332</v>
      </c>
      <c r="M4324" s="2" t="s">
        <v>170</v>
      </c>
      <c r="N4324" s="2" t="s">
        <v>32374</v>
      </c>
      <c r="O4324" s="2"/>
      <c r="P4324" s="2" t="s">
        <v>37</v>
      </c>
      <c r="Q4324" s="4" t="n">
        <v>6794</v>
      </c>
      <c r="R4324" s="2" t="s">
        <v>2165</v>
      </c>
      <c r="S4324" s="2" t="s">
        <v>39</v>
      </c>
      <c r="T4324" s="2" t="s">
        <v>40</v>
      </c>
      <c r="U4324" s="2" t="s">
        <v>32375</v>
      </c>
      <c r="V4324" s="2"/>
      <c r="W4324" s="2" t="s">
        <v>82</v>
      </c>
      <c r="X4324" s="2" t="s">
        <v>43</v>
      </c>
      <c r="Y4324" s="2" t="s">
        <v>37</v>
      </c>
      <c r="Z4324" s="2" t="s">
        <v>44</v>
      </c>
      <c r="AA4324" s="2"/>
      <c r="AB4324" s="2"/>
      <c r="AC4324" s="2" t="s">
        <v>32376</v>
      </c>
      <c r="AD4324" s="2" t="s">
        <v>46</v>
      </c>
    </row>
    <row r="4325" customFormat="false" ht="15.7" hidden="false" customHeight="true" outlineLevel="0" collapsed="false">
      <c r="A4325" s="2"/>
      <c r="B4325" s="3" t="n">
        <f aca="false">DATE(2019,6,25)</f>
        <v>0</v>
      </c>
      <c r="C4325" s="3" t="n">
        <v>43641</v>
      </c>
      <c r="D4325" s="2" t="s">
        <v>32377</v>
      </c>
      <c r="F4325" s="2" t="s">
        <v>2471</v>
      </c>
      <c r="G4325" s="2" t="s">
        <v>32378</v>
      </c>
      <c r="H4325" s="2" t="s">
        <v>130</v>
      </c>
      <c r="I4325" s="2" t="s">
        <v>2103</v>
      </c>
      <c r="J4325" s="2" t="s">
        <v>35</v>
      </c>
      <c r="K4325" s="2" t="s">
        <v>32379</v>
      </c>
      <c r="L4325" s="2" t="s">
        <v>2103</v>
      </c>
      <c r="M4325" s="2" t="s">
        <v>130</v>
      </c>
      <c r="N4325" s="2" t="s">
        <v>32380</v>
      </c>
      <c r="O4325" s="2"/>
      <c r="P4325" s="2" t="s">
        <v>79</v>
      </c>
      <c r="Q4325" s="4" t="n">
        <v>6794</v>
      </c>
      <c r="R4325" s="2" t="s">
        <v>2105</v>
      </c>
      <c r="S4325" s="2" t="s">
        <v>39</v>
      </c>
      <c r="T4325" s="2" t="s">
        <v>40</v>
      </c>
      <c r="U4325" s="2" t="s">
        <v>32381</v>
      </c>
      <c r="V4325" s="2"/>
      <c r="W4325" s="2" t="s">
        <v>82</v>
      </c>
      <c r="X4325" s="2" t="s">
        <v>43</v>
      </c>
      <c r="Y4325" s="2" t="s">
        <v>37</v>
      </c>
      <c r="Z4325" s="2" t="s">
        <v>44</v>
      </c>
      <c r="AA4325" s="2"/>
      <c r="AB4325" s="2"/>
      <c r="AC4325" s="2" t="s">
        <v>32382</v>
      </c>
      <c r="AD4325" s="2" t="s">
        <v>46</v>
      </c>
    </row>
    <row r="4326" customFormat="false" ht="15.7" hidden="false" customHeight="true" outlineLevel="0" collapsed="false">
      <c r="A4326" s="2"/>
      <c r="B4326" s="3" t="n">
        <f aca="false">DATE(2019,6,26)</f>
        <v>0</v>
      </c>
      <c r="C4326" s="3" t="n">
        <v>43642</v>
      </c>
      <c r="D4326" s="2" t="s">
        <v>32383</v>
      </c>
      <c r="F4326" s="2" t="s">
        <v>32384</v>
      </c>
      <c r="G4326" s="2" t="s">
        <v>32385</v>
      </c>
      <c r="H4326" s="2" t="s">
        <v>32386</v>
      </c>
      <c r="I4326" s="2" t="s">
        <v>2294</v>
      </c>
      <c r="J4326" s="2" t="s">
        <v>35</v>
      </c>
      <c r="K4326" s="2" t="s">
        <v>32383</v>
      </c>
      <c r="L4326" s="2" t="s">
        <v>2294</v>
      </c>
      <c r="M4326" s="2" t="s">
        <v>32386</v>
      </c>
      <c r="N4326" s="2" t="s">
        <v>32387</v>
      </c>
      <c r="O4326" s="2"/>
      <c r="P4326" s="2" t="s">
        <v>37</v>
      </c>
      <c r="Q4326" s="4" t="n">
        <v>8731</v>
      </c>
      <c r="R4326" s="2" t="s">
        <v>450</v>
      </c>
      <c r="S4326" s="2" t="s">
        <v>39</v>
      </c>
      <c r="T4326" s="2" t="s">
        <v>403</v>
      </c>
      <c r="U4326" s="2" t="s">
        <v>32388</v>
      </c>
      <c r="V4326" s="2"/>
      <c r="W4326" s="2" t="s">
        <v>344</v>
      </c>
      <c r="X4326" s="2" t="s">
        <v>43</v>
      </c>
      <c r="Y4326" s="2" t="s">
        <v>37</v>
      </c>
      <c r="Z4326" s="2" t="s">
        <v>44</v>
      </c>
      <c r="AA4326" s="2"/>
      <c r="AB4326" s="2"/>
      <c r="AC4326" s="2" t="s">
        <v>32389</v>
      </c>
      <c r="AD4326" s="2" t="s">
        <v>46</v>
      </c>
    </row>
    <row r="4327" customFormat="false" ht="15.7" hidden="false" customHeight="true" outlineLevel="0" collapsed="false">
      <c r="A4327" s="2"/>
      <c r="B4327" s="3" t="n">
        <f aca="false">DATE(2019,6,26)</f>
        <v>0</v>
      </c>
      <c r="C4327" s="3" t="n">
        <v>43642</v>
      </c>
      <c r="D4327" s="2" t="s">
        <v>32390</v>
      </c>
      <c r="F4327" s="2" t="s">
        <v>32391</v>
      </c>
      <c r="G4327" s="2" t="s">
        <v>32392</v>
      </c>
      <c r="H4327" s="2" t="s">
        <v>20964</v>
      </c>
      <c r="I4327" s="2" t="s">
        <v>88</v>
      </c>
      <c r="J4327" s="2" t="s">
        <v>625</v>
      </c>
      <c r="K4327" s="2" t="s">
        <v>32393</v>
      </c>
      <c r="L4327" s="2" t="s">
        <v>88</v>
      </c>
      <c r="M4327" s="2" t="s">
        <v>32394</v>
      </c>
      <c r="N4327" s="2" t="s">
        <v>32395</v>
      </c>
      <c r="O4327" s="2"/>
      <c r="P4327" s="2" t="s">
        <v>37</v>
      </c>
      <c r="Q4327" s="4" t="n">
        <v>8731</v>
      </c>
      <c r="R4327" s="2" t="s">
        <v>56</v>
      </c>
      <c r="S4327" s="2"/>
      <c r="T4327" s="2" t="s">
        <v>40</v>
      </c>
      <c r="U4327" s="2" t="s">
        <v>32396</v>
      </c>
      <c r="V4327" s="2"/>
      <c r="W4327" s="2" t="s">
        <v>744</v>
      </c>
      <c r="X4327" s="2" t="s">
        <v>43</v>
      </c>
      <c r="Y4327" s="2" t="s">
        <v>37</v>
      </c>
      <c r="Z4327" s="2" t="s">
        <v>44</v>
      </c>
      <c r="AA4327" s="2"/>
      <c r="AB4327" s="2"/>
      <c r="AC4327" s="2" t="s">
        <v>32397</v>
      </c>
      <c r="AD4327" s="2" t="s">
        <v>46</v>
      </c>
    </row>
    <row r="4328" customFormat="false" ht="15.7" hidden="false" customHeight="true" outlineLevel="0" collapsed="false">
      <c r="A4328" s="2"/>
      <c r="B4328" s="3" t="n">
        <f aca="false">DATE(2019,6,26)</f>
        <v>0</v>
      </c>
      <c r="C4328" s="3" t="n">
        <v>43642</v>
      </c>
      <c r="D4328" s="2" t="s">
        <v>32398</v>
      </c>
      <c r="F4328" s="2" t="s">
        <v>32399</v>
      </c>
      <c r="G4328" s="2" t="s">
        <v>32400</v>
      </c>
      <c r="H4328" s="2" t="s">
        <v>32401</v>
      </c>
      <c r="I4328" s="2" t="s">
        <v>4325</v>
      </c>
      <c r="J4328" s="2" t="s">
        <v>35</v>
      </c>
      <c r="K4328" s="2" t="s">
        <v>32402</v>
      </c>
      <c r="L4328" s="2" t="s">
        <v>4325</v>
      </c>
      <c r="M4328" s="2" t="s">
        <v>32401</v>
      </c>
      <c r="N4328" s="2" t="s">
        <v>32403</v>
      </c>
      <c r="O4328" s="2"/>
      <c r="P4328" s="2" t="s">
        <v>37</v>
      </c>
      <c r="Q4328" s="4" t="n">
        <v>8731</v>
      </c>
      <c r="R4328" s="2" t="s">
        <v>402</v>
      </c>
      <c r="S4328" s="2" t="s">
        <v>39</v>
      </c>
      <c r="T4328" s="2" t="s">
        <v>40</v>
      </c>
      <c r="U4328" s="2" t="s">
        <v>32404</v>
      </c>
      <c r="V4328" s="2"/>
      <c r="W4328" s="2" t="s">
        <v>7275</v>
      </c>
      <c r="X4328" s="2" t="s">
        <v>43</v>
      </c>
      <c r="Y4328" s="2" t="s">
        <v>37</v>
      </c>
      <c r="Z4328" s="2" t="s">
        <v>44</v>
      </c>
      <c r="AA4328" s="2"/>
      <c r="AB4328" s="2"/>
      <c r="AC4328" s="2" t="s">
        <v>32405</v>
      </c>
      <c r="AD4328" s="2" t="s">
        <v>46</v>
      </c>
    </row>
    <row r="4329" customFormat="false" ht="15.7" hidden="false" customHeight="true" outlineLevel="0" collapsed="false">
      <c r="A4329" s="2"/>
      <c r="B4329" s="3" t="n">
        <f aca="false">DATE(2019,6,26)</f>
        <v>0</v>
      </c>
      <c r="C4329" s="3" t="n">
        <v>43642</v>
      </c>
      <c r="D4329" s="2" t="s">
        <v>32406</v>
      </c>
      <c r="F4329" s="2" t="s">
        <v>32407</v>
      </c>
      <c r="G4329" s="2" t="s">
        <v>32408</v>
      </c>
      <c r="H4329" s="2" t="s">
        <v>130</v>
      </c>
      <c r="I4329" s="2" t="s">
        <v>4089</v>
      </c>
      <c r="J4329" s="2" t="s">
        <v>35</v>
      </c>
      <c r="K4329" s="2" t="s">
        <v>32406</v>
      </c>
      <c r="L4329" s="2" t="s">
        <v>4089</v>
      </c>
      <c r="M4329" s="2" t="s">
        <v>130</v>
      </c>
      <c r="N4329" s="2" t="s">
        <v>32409</v>
      </c>
      <c r="O4329" s="2"/>
      <c r="P4329" s="2" t="s">
        <v>37</v>
      </c>
      <c r="Q4329" s="4" t="n">
        <v>6794</v>
      </c>
      <c r="R4329" s="2" t="s">
        <v>136</v>
      </c>
      <c r="S4329" s="2" t="s">
        <v>39</v>
      </c>
      <c r="T4329" s="2" t="s">
        <v>40</v>
      </c>
      <c r="U4329" s="2" t="s">
        <v>32410</v>
      </c>
      <c r="V4329" s="2"/>
      <c r="W4329" s="2" t="s">
        <v>29775</v>
      </c>
      <c r="X4329" s="2" t="s">
        <v>43</v>
      </c>
      <c r="Y4329" s="2" t="s">
        <v>37</v>
      </c>
      <c r="Z4329" s="2" t="s">
        <v>44</v>
      </c>
      <c r="AA4329" s="2"/>
      <c r="AB4329" s="2"/>
      <c r="AC4329" s="2" t="s">
        <v>32411</v>
      </c>
      <c r="AD4329" s="2" t="s">
        <v>46</v>
      </c>
    </row>
    <row r="4330" customFormat="false" ht="15.7" hidden="false" customHeight="true" outlineLevel="0" collapsed="false">
      <c r="A4330" s="2"/>
      <c r="B4330" s="3" t="n">
        <f aca="false">DATE(2019,6,27)</f>
        <v>0</v>
      </c>
      <c r="C4330" s="3" t="n">
        <v>43643</v>
      </c>
      <c r="D4330" s="2" t="s">
        <v>32412</v>
      </c>
      <c r="F4330" s="2" t="s">
        <v>32413</v>
      </c>
      <c r="G4330" s="2" t="s">
        <v>32414</v>
      </c>
      <c r="H4330" s="2" t="s">
        <v>8970</v>
      </c>
      <c r="I4330" s="2" t="s">
        <v>51</v>
      </c>
      <c r="J4330" s="2" t="s">
        <v>2980</v>
      </c>
      <c r="K4330" s="2" t="s">
        <v>32415</v>
      </c>
      <c r="L4330" s="2" t="s">
        <v>51</v>
      </c>
      <c r="M4330" s="2" t="s">
        <v>8970</v>
      </c>
      <c r="N4330" s="2" t="s">
        <v>32416</v>
      </c>
      <c r="O4330" s="2"/>
      <c r="P4330" s="2" t="s">
        <v>37</v>
      </c>
      <c r="Q4330" s="4" t="n">
        <v>6141</v>
      </c>
      <c r="R4330" s="2" t="s">
        <v>56</v>
      </c>
      <c r="S4330" s="2"/>
      <c r="T4330" s="2" t="s">
        <v>40</v>
      </c>
      <c r="U4330" s="2" t="s">
        <v>32417</v>
      </c>
      <c r="V4330" s="2"/>
      <c r="W4330" s="2" t="s">
        <v>19420</v>
      </c>
      <c r="X4330" s="2" t="s">
        <v>43</v>
      </c>
      <c r="Y4330" s="2" t="s">
        <v>37</v>
      </c>
      <c r="Z4330" s="2" t="s">
        <v>44</v>
      </c>
      <c r="AA4330" s="2"/>
      <c r="AB4330" s="2"/>
      <c r="AC4330" s="2" t="s">
        <v>32418</v>
      </c>
      <c r="AD4330" s="2" t="s">
        <v>46</v>
      </c>
    </row>
    <row r="4331" customFormat="false" ht="15.7" hidden="false" customHeight="true" outlineLevel="0" collapsed="false">
      <c r="A4331" s="2"/>
      <c r="B4331" s="3" t="n">
        <f aca="false">DATE(2019,6,27)</f>
        <v>0</v>
      </c>
      <c r="C4331" s="3" t="n">
        <v>43643</v>
      </c>
      <c r="D4331" s="2" t="s">
        <v>32419</v>
      </c>
      <c r="F4331" s="2" t="s">
        <v>30568</v>
      </c>
      <c r="G4331" s="2" t="s">
        <v>32420</v>
      </c>
      <c r="H4331" s="2" t="s">
        <v>130</v>
      </c>
      <c r="I4331" s="2" t="s">
        <v>8191</v>
      </c>
      <c r="J4331" s="2" t="s">
        <v>35</v>
      </c>
      <c r="K4331" s="2" t="s">
        <v>32419</v>
      </c>
      <c r="L4331" s="2" t="s">
        <v>8191</v>
      </c>
      <c r="M4331" s="2" t="s">
        <v>130</v>
      </c>
      <c r="N4331" s="2" t="s">
        <v>32421</v>
      </c>
      <c r="O4331" s="2"/>
      <c r="P4331" s="2" t="s">
        <v>37</v>
      </c>
      <c r="Q4331" s="4" t="n">
        <v>2834</v>
      </c>
      <c r="R4331" s="2" t="s">
        <v>6209</v>
      </c>
      <c r="S4331" s="2" t="s">
        <v>5334</v>
      </c>
      <c r="T4331" s="2" t="s">
        <v>40</v>
      </c>
      <c r="U4331" s="2" t="s">
        <v>32422</v>
      </c>
      <c r="V4331" s="2"/>
      <c r="W4331" s="2" t="s">
        <v>29775</v>
      </c>
      <c r="X4331" s="2" t="s">
        <v>43</v>
      </c>
      <c r="Y4331" s="2" t="s">
        <v>79</v>
      </c>
      <c r="Z4331" s="2" t="s">
        <v>44</v>
      </c>
      <c r="AA4331" s="2"/>
      <c r="AB4331" s="2"/>
      <c r="AC4331" s="2" t="s">
        <v>32423</v>
      </c>
      <c r="AD4331" s="2" t="s">
        <v>46</v>
      </c>
    </row>
    <row r="4332" customFormat="false" ht="15.7" hidden="false" customHeight="true" outlineLevel="0" collapsed="false">
      <c r="A4332" s="2"/>
      <c r="B4332" s="3" t="n">
        <f aca="false">DATE(2019,6,27)</f>
        <v>0</v>
      </c>
      <c r="C4332" s="3" t="n">
        <v>43643</v>
      </c>
      <c r="D4332" s="2" t="s">
        <v>32424</v>
      </c>
      <c r="F4332" s="2" t="s">
        <v>32425</v>
      </c>
      <c r="G4332" s="2" t="s">
        <v>32426</v>
      </c>
      <c r="H4332" s="2" t="s">
        <v>32427</v>
      </c>
      <c r="I4332" s="2" t="s">
        <v>51</v>
      </c>
      <c r="J4332" s="2" t="s">
        <v>13986</v>
      </c>
      <c r="K4332" s="2" t="s">
        <v>32424</v>
      </c>
      <c r="L4332" s="2" t="s">
        <v>51</v>
      </c>
      <c r="M4332" s="2" t="s">
        <v>32427</v>
      </c>
      <c r="N4332" s="2" t="s">
        <v>32428</v>
      </c>
      <c r="O4332" s="2"/>
      <c r="P4332" s="2" t="s">
        <v>37</v>
      </c>
      <c r="Q4332" s="4" t="n">
        <v>6794</v>
      </c>
      <c r="R4332" s="2" t="s">
        <v>56</v>
      </c>
      <c r="S4332" s="2" t="s">
        <v>507</v>
      </c>
      <c r="T4332" s="2" t="s">
        <v>40</v>
      </c>
      <c r="U4332" s="2" t="s">
        <v>32429</v>
      </c>
      <c r="V4332" s="2"/>
      <c r="W4332" s="2" t="s">
        <v>32430</v>
      </c>
      <c r="X4332" s="2" t="s">
        <v>43</v>
      </c>
      <c r="Y4332" s="2" t="s">
        <v>37</v>
      </c>
      <c r="Z4332" s="2" t="s">
        <v>44</v>
      </c>
      <c r="AA4332" s="2"/>
      <c r="AB4332" s="2"/>
      <c r="AC4332" s="2" t="s">
        <v>32431</v>
      </c>
      <c r="AD4332" s="2" t="s">
        <v>46</v>
      </c>
    </row>
    <row r="4333" customFormat="false" ht="15.7" hidden="false" customHeight="true" outlineLevel="0" collapsed="false">
      <c r="A4333" s="2"/>
      <c r="B4333" s="3" t="n">
        <f aca="false">DATE(2019,6,28)</f>
        <v>0</v>
      </c>
      <c r="C4333" s="3" t="n">
        <v>43644</v>
      </c>
      <c r="D4333" s="2" t="s">
        <v>32432</v>
      </c>
      <c r="F4333" s="2" t="s">
        <v>23707</v>
      </c>
      <c r="G4333" s="2" t="s">
        <v>32433</v>
      </c>
      <c r="H4333" s="2" t="s">
        <v>1101</v>
      </c>
      <c r="I4333" s="2" t="s">
        <v>330</v>
      </c>
      <c r="J4333" s="2" t="s">
        <v>488</v>
      </c>
      <c r="K4333" s="2" t="s">
        <v>32432</v>
      </c>
      <c r="L4333" s="2" t="s">
        <v>330</v>
      </c>
      <c r="M4333" s="2" t="s">
        <v>1101</v>
      </c>
      <c r="N4333" s="2" t="s">
        <v>32434</v>
      </c>
      <c r="O4333" s="2"/>
      <c r="P4333" s="2" t="s">
        <v>37</v>
      </c>
      <c r="Q4333" s="4" t="n">
        <v>8099</v>
      </c>
      <c r="R4333" s="2" t="s">
        <v>56</v>
      </c>
      <c r="S4333" s="2" t="s">
        <v>277</v>
      </c>
      <c r="T4333" s="2" t="s">
        <v>40</v>
      </c>
      <c r="U4333" s="2" t="s">
        <v>32435</v>
      </c>
      <c r="V4333" s="2"/>
      <c r="W4333" s="2" t="s">
        <v>4487</v>
      </c>
      <c r="X4333" s="2" t="s">
        <v>43</v>
      </c>
      <c r="Y4333" s="2" t="s">
        <v>37</v>
      </c>
      <c r="Z4333" s="2" t="s">
        <v>44</v>
      </c>
      <c r="AA4333" s="2"/>
      <c r="AB4333" s="2"/>
      <c r="AC4333" s="2" t="s">
        <v>32436</v>
      </c>
      <c r="AD4333" s="2" t="s">
        <v>46</v>
      </c>
    </row>
    <row r="4334" customFormat="false" ht="15.7" hidden="false" customHeight="true" outlineLevel="0" collapsed="false">
      <c r="A4334" s="2"/>
      <c r="B4334" s="3" t="n">
        <f aca="false">DATE(2019,7,1)</f>
        <v>0</v>
      </c>
      <c r="C4334" s="3" t="n">
        <v>43647</v>
      </c>
      <c r="D4334" s="2" t="s">
        <v>32437</v>
      </c>
      <c r="F4334" s="2" t="s">
        <v>15541</v>
      </c>
      <c r="G4334" s="2" t="s">
        <v>32438</v>
      </c>
      <c r="H4334" s="2" t="s">
        <v>170</v>
      </c>
      <c r="I4334" s="2" t="s">
        <v>32439</v>
      </c>
      <c r="J4334" s="2" t="s">
        <v>35</v>
      </c>
      <c r="K4334" s="2" t="s">
        <v>32437</v>
      </c>
      <c r="L4334" s="2" t="s">
        <v>32439</v>
      </c>
      <c r="M4334" s="2" t="s">
        <v>170</v>
      </c>
      <c r="N4334" s="2" t="s">
        <v>32440</v>
      </c>
      <c r="O4334" s="2"/>
      <c r="P4334" s="2" t="s">
        <v>37</v>
      </c>
      <c r="Q4334" s="4" t="n">
        <v>6794</v>
      </c>
      <c r="R4334" s="2" t="s">
        <v>1441</v>
      </c>
      <c r="S4334" s="2" t="s">
        <v>39</v>
      </c>
      <c r="T4334" s="2" t="s">
        <v>403</v>
      </c>
      <c r="U4334" s="2" t="s">
        <v>32441</v>
      </c>
      <c r="V4334" s="2"/>
      <c r="W4334" s="2" t="s">
        <v>20757</v>
      </c>
      <c r="X4334" s="2" t="s">
        <v>43</v>
      </c>
      <c r="Y4334" s="2" t="s">
        <v>37</v>
      </c>
      <c r="Z4334" s="2" t="s">
        <v>44</v>
      </c>
      <c r="AA4334" s="2"/>
      <c r="AB4334" s="2"/>
      <c r="AC4334" s="2" t="s">
        <v>32442</v>
      </c>
      <c r="AD4334" s="2" t="s">
        <v>46</v>
      </c>
    </row>
    <row r="4335" customFormat="false" ht="15.7" hidden="false" customHeight="true" outlineLevel="0" collapsed="false">
      <c r="A4335" s="2"/>
      <c r="B4335" s="3" t="n">
        <f aca="false">DATE(2019,7,1)</f>
        <v>0</v>
      </c>
      <c r="C4335" s="3" t="n">
        <v>43647</v>
      </c>
      <c r="D4335" s="2" t="s">
        <v>32443</v>
      </c>
      <c r="F4335" s="2" t="s">
        <v>20650</v>
      </c>
      <c r="G4335" s="2" t="s">
        <v>32444</v>
      </c>
      <c r="H4335" s="2" t="s">
        <v>130</v>
      </c>
      <c r="I4335" s="2" t="s">
        <v>51</v>
      </c>
      <c r="J4335" s="2" t="s">
        <v>32445</v>
      </c>
      <c r="K4335" s="2" t="s">
        <v>32443</v>
      </c>
      <c r="L4335" s="2" t="s">
        <v>51</v>
      </c>
      <c r="M4335" s="2" t="s">
        <v>130</v>
      </c>
      <c r="N4335" s="2" t="s">
        <v>32446</v>
      </c>
      <c r="O4335" s="2"/>
      <c r="P4335" s="2" t="s">
        <v>37</v>
      </c>
      <c r="Q4335" s="4" t="n">
        <v>5099</v>
      </c>
      <c r="R4335" s="2" t="s">
        <v>56</v>
      </c>
      <c r="S4335" s="2"/>
      <c r="T4335" s="2" t="s">
        <v>403</v>
      </c>
      <c r="U4335" s="2" t="s">
        <v>32447</v>
      </c>
      <c r="V4335" s="2"/>
      <c r="W4335" s="2" t="s">
        <v>13100</v>
      </c>
      <c r="X4335" s="2" t="s">
        <v>43</v>
      </c>
      <c r="Y4335" s="2" t="s">
        <v>37</v>
      </c>
      <c r="Z4335" s="2" t="s">
        <v>44</v>
      </c>
      <c r="AA4335" s="2"/>
      <c r="AB4335" s="2"/>
      <c r="AC4335" s="2" t="s">
        <v>32448</v>
      </c>
      <c r="AD4335" s="2" t="s">
        <v>46</v>
      </c>
    </row>
    <row r="4336" customFormat="false" ht="15.7" hidden="false" customHeight="true" outlineLevel="0" collapsed="false">
      <c r="A4336" s="2"/>
      <c r="B4336" s="3" t="n">
        <f aca="false">DATE(2019,7,1)</f>
        <v>0</v>
      </c>
      <c r="C4336" s="3" t="n">
        <v>43647</v>
      </c>
      <c r="D4336" s="2" t="s">
        <v>32449</v>
      </c>
      <c r="F4336" s="2" t="s">
        <v>32450</v>
      </c>
      <c r="G4336" s="2" t="s">
        <v>32451</v>
      </c>
      <c r="H4336" s="2" t="s">
        <v>32452</v>
      </c>
      <c r="I4336" s="2" t="s">
        <v>921</v>
      </c>
      <c r="J4336" s="2" t="s">
        <v>35</v>
      </c>
      <c r="K4336" s="2" t="s">
        <v>32449</v>
      </c>
      <c r="L4336" s="2" t="s">
        <v>921</v>
      </c>
      <c r="M4336" s="2" t="s">
        <v>32452</v>
      </c>
      <c r="N4336" s="2" t="s">
        <v>32453</v>
      </c>
      <c r="O4336" s="2"/>
      <c r="P4336" s="2" t="s">
        <v>37</v>
      </c>
      <c r="Q4336" s="4" t="n">
        <v>8731</v>
      </c>
      <c r="R4336" s="2" t="s">
        <v>921</v>
      </c>
      <c r="S4336" s="2" t="s">
        <v>5334</v>
      </c>
      <c r="T4336" s="2" t="s">
        <v>40</v>
      </c>
      <c r="U4336" s="2" t="s">
        <v>32454</v>
      </c>
      <c r="V4336" s="2"/>
      <c r="W4336" s="2" t="s">
        <v>344</v>
      </c>
      <c r="X4336" s="2" t="s">
        <v>43</v>
      </c>
      <c r="Y4336" s="2" t="s">
        <v>79</v>
      </c>
      <c r="Z4336" s="2" t="s">
        <v>44</v>
      </c>
      <c r="AA4336" s="2"/>
      <c r="AB4336" s="2"/>
      <c r="AC4336" s="2" t="s">
        <v>32455</v>
      </c>
      <c r="AD4336" s="2" t="s">
        <v>46</v>
      </c>
    </row>
    <row r="4337" customFormat="false" ht="15.7" hidden="false" customHeight="true" outlineLevel="0" collapsed="false">
      <c r="A4337" s="2"/>
      <c r="B4337" s="3" t="n">
        <f aca="false">DATE(2019,7,1)</f>
        <v>0</v>
      </c>
      <c r="C4337" s="3" t="n">
        <v>43647</v>
      </c>
      <c r="D4337" s="2" t="s">
        <v>32456</v>
      </c>
      <c r="F4337" s="2" t="s">
        <v>20650</v>
      </c>
      <c r="G4337" s="2" t="s">
        <v>32457</v>
      </c>
      <c r="H4337" s="2" t="s">
        <v>130</v>
      </c>
      <c r="I4337" s="2" t="s">
        <v>32458</v>
      </c>
      <c r="J4337" s="2" t="s">
        <v>35</v>
      </c>
      <c r="K4337" s="2" t="s">
        <v>32456</v>
      </c>
      <c r="L4337" s="2" t="s">
        <v>32458</v>
      </c>
      <c r="M4337" s="2" t="s">
        <v>130</v>
      </c>
      <c r="N4337" s="2" t="s">
        <v>32459</v>
      </c>
      <c r="O4337" s="2"/>
      <c r="P4337" s="2" t="s">
        <v>79</v>
      </c>
      <c r="Q4337" s="4" t="n">
        <v>6794</v>
      </c>
      <c r="R4337" s="2" t="s">
        <v>136</v>
      </c>
      <c r="S4337" s="2" t="s">
        <v>39</v>
      </c>
      <c r="T4337" s="2" t="s">
        <v>40</v>
      </c>
      <c r="U4337" s="2" t="s">
        <v>32460</v>
      </c>
      <c r="V4337" s="2"/>
      <c r="W4337" s="2" t="s">
        <v>82</v>
      </c>
      <c r="X4337" s="2" t="s">
        <v>43</v>
      </c>
      <c r="Y4337" s="2" t="s">
        <v>37</v>
      </c>
      <c r="Z4337" s="2" t="s">
        <v>44</v>
      </c>
      <c r="AA4337" s="2"/>
      <c r="AB4337" s="2"/>
      <c r="AC4337" s="2" t="s">
        <v>32461</v>
      </c>
      <c r="AD4337" s="2" t="s">
        <v>46</v>
      </c>
    </row>
    <row r="4338" customFormat="false" ht="15.7" hidden="false" customHeight="true" outlineLevel="0" collapsed="false">
      <c r="A4338" s="2"/>
      <c r="B4338" s="3" t="n">
        <f aca="false">DATE(2019,7,1)</f>
        <v>0</v>
      </c>
      <c r="C4338" s="3" t="n">
        <v>43647</v>
      </c>
      <c r="D4338" s="2" t="s">
        <v>32462</v>
      </c>
      <c r="F4338" s="2" t="s">
        <v>32463</v>
      </c>
      <c r="G4338" s="2" t="s">
        <v>32464</v>
      </c>
      <c r="H4338" s="2" t="s">
        <v>32465</v>
      </c>
      <c r="I4338" s="2" t="s">
        <v>5551</v>
      </c>
      <c r="J4338" s="2" t="s">
        <v>35</v>
      </c>
      <c r="K4338" s="2" t="s">
        <v>32462</v>
      </c>
      <c r="L4338" s="2" t="s">
        <v>5551</v>
      </c>
      <c r="M4338" s="2" t="s">
        <v>32465</v>
      </c>
      <c r="N4338" s="2" t="s">
        <v>32466</v>
      </c>
      <c r="O4338" s="2"/>
      <c r="P4338" s="2" t="s">
        <v>37</v>
      </c>
      <c r="Q4338" s="4" t="n">
        <v>8731</v>
      </c>
      <c r="R4338" s="2" t="s">
        <v>688</v>
      </c>
      <c r="S4338" s="2" t="s">
        <v>39</v>
      </c>
      <c r="T4338" s="2" t="s">
        <v>403</v>
      </c>
      <c r="U4338" s="2" t="s">
        <v>32467</v>
      </c>
      <c r="V4338" s="2"/>
      <c r="W4338" s="2" t="s">
        <v>32468</v>
      </c>
      <c r="X4338" s="2" t="s">
        <v>43</v>
      </c>
      <c r="Y4338" s="2" t="s">
        <v>37</v>
      </c>
      <c r="Z4338" s="2" t="s">
        <v>44</v>
      </c>
      <c r="AA4338" s="2"/>
      <c r="AB4338" s="2"/>
      <c r="AC4338" s="2" t="s">
        <v>32469</v>
      </c>
      <c r="AD4338" s="2" t="s">
        <v>46</v>
      </c>
    </row>
    <row r="4339" customFormat="false" ht="15.7" hidden="false" customHeight="true" outlineLevel="0" collapsed="false">
      <c r="A4339" s="2"/>
      <c r="B4339" s="3" t="n">
        <f aca="false">DATE(2019,7,2)</f>
        <v>0</v>
      </c>
      <c r="C4339" s="3" t="n">
        <v>43648</v>
      </c>
      <c r="D4339" s="2" t="s">
        <v>32470</v>
      </c>
      <c r="F4339" s="2" t="s">
        <v>32471</v>
      </c>
      <c r="G4339" s="2" t="s">
        <v>32472</v>
      </c>
      <c r="H4339" s="2" t="s">
        <v>32473</v>
      </c>
      <c r="I4339" s="2" t="s">
        <v>3223</v>
      </c>
      <c r="J4339" s="2" t="s">
        <v>116</v>
      </c>
      <c r="K4339" s="2" t="s">
        <v>32470</v>
      </c>
      <c r="L4339" s="2" t="s">
        <v>3223</v>
      </c>
      <c r="M4339" s="2" t="s">
        <v>32473</v>
      </c>
      <c r="N4339" s="2" t="s">
        <v>32474</v>
      </c>
      <c r="O4339" s="2"/>
      <c r="P4339" s="2" t="s">
        <v>37</v>
      </c>
      <c r="Q4339" s="4" t="n">
        <v>6799</v>
      </c>
      <c r="R4339" s="2"/>
      <c r="S4339" s="2"/>
      <c r="T4339" s="2" t="s">
        <v>403</v>
      </c>
      <c r="U4339" s="2" t="s">
        <v>32475</v>
      </c>
      <c r="V4339" s="2"/>
      <c r="W4339" s="2" t="s">
        <v>32476</v>
      </c>
      <c r="X4339" s="2" t="s">
        <v>46</v>
      </c>
      <c r="Y4339" s="2" t="s">
        <v>37</v>
      </c>
      <c r="Z4339" s="2" t="s">
        <v>916</v>
      </c>
      <c r="AA4339" s="2"/>
      <c r="AB4339" s="2"/>
      <c r="AC4339" s="2" t="s">
        <v>32477</v>
      </c>
      <c r="AD4339" s="2" t="s">
        <v>46</v>
      </c>
    </row>
    <row r="4340" customFormat="false" ht="15.7" hidden="false" customHeight="true" outlineLevel="0" collapsed="false">
      <c r="A4340" s="2"/>
      <c r="B4340" s="3" t="n">
        <f aca="false">DATE(2019,7,2)</f>
        <v>0</v>
      </c>
      <c r="C4340" s="3" t="n">
        <v>43648</v>
      </c>
      <c r="D4340" s="2" t="s">
        <v>32478</v>
      </c>
      <c r="F4340" s="2" t="s">
        <v>32479</v>
      </c>
      <c r="G4340" s="2" t="s">
        <v>32480</v>
      </c>
      <c r="H4340" s="2" t="s">
        <v>32481</v>
      </c>
      <c r="I4340" s="2" t="s">
        <v>4570</v>
      </c>
      <c r="J4340" s="2" t="s">
        <v>35</v>
      </c>
      <c r="K4340" s="2" t="s">
        <v>32478</v>
      </c>
      <c r="L4340" s="2" t="s">
        <v>4570</v>
      </c>
      <c r="M4340" s="2" t="s">
        <v>32481</v>
      </c>
      <c r="N4340" s="2" t="s">
        <v>32482</v>
      </c>
      <c r="O4340" s="2"/>
      <c r="P4340" s="2" t="s">
        <v>37</v>
      </c>
      <c r="Q4340" s="4" t="n">
        <v>2819</v>
      </c>
      <c r="R4340" s="2" t="s">
        <v>1287</v>
      </c>
      <c r="S4340" s="2" t="s">
        <v>5334</v>
      </c>
      <c r="T4340" s="2" t="s">
        <v>40</v>
      </c>
      <c r="U4340" s="2" t="s">
        <v>32483</v>
      </c>
      <c r="V4340" s="2"/>
      <c r="W4340" s="2" t="s">
        <v>3235</v>
      </c>
      <c r="X4340" s="2" t="s">
        <v>43</v>
      </c>
      <c r="Y4340" s="2" t="s">
        <v>79</v>
      </c>
      <c r="Z4340" s="2" t="s">
        <v>44</v>
      </c>
      <c r="AA4340" s="2"/>
      <c r="AB4340" s="2"/>
      <c r="AC4340" s="2" t="s">
        <v>32484</v>
      </c>
      <c r="AD4340" s="2" t="s">
        <v>46</v>
      </c>
    </row>
    <row r="4341" customFormat="false" ht="15.7" hidden="false" customHeight="true" outlineLevel="0" collapsed="false">
      <c r="A4341" s="2"/>
      <c r="B4341" s="3" t="n">
        <f aca="false">DATE(2019,7,2)</f>
        <v>0</v>
      </c>
      <c r="C4341" s="3" t="n">
        <v>43648</v>
      </c>
      <c r="D4341" s="2" t="s">
        <v>32485</v>
      </c>
      <c r="F4341" s="2" t="s">
        <v>32486</v>
      </c>
      <c r="G4341" s="2" t="s">
        <v>32487</v>
      </c>
      <c r="H4341" s="2" t="s">
        <v>32488</v>
      </c>
      <c r="I4341" s="2" t="s">
        <v>3802</v>
      </c>
      <c r="J4341" s="2" t="s">
        <v>35</v>
      </c>
      <c r="K4341" s="2" t="s">
        <v>32489</v>
      </c>
      <c r="L4341" s="2" t="s">
        <v>3802</v>
      </c>
      <c r="M4341" s="2" t="s">
        <v>32490</v>
      </c>
      <c r="N4341" s="2" t="s">
        <v>32491</v>
      </c>
      <c r="O4341" s="2"/>
      <c r="P4341" s="2" t="s">
        <v>37</v>
      </c>
      <c r="Q4341" s="4" t="n">
        <v>8731</v>
      </c>
      <c r="R4341" s="2"/>
      <c r="S4341" s="2"/>
      <c r="T4341" s="2" t="s">
        <v>403</v>
      </c>
      <c r="U4341" s="2" t="s">
        <v>32492</v>
      </c>
      <c r="V4341" s="2"/>
      <c r="W4341" s="2" t="s">
        <v>11084</v>
      </c>
      <c r="X4341" s="2" t="s">
        <v>46</v>
      </c>
      <c r="Y4341" s="2" t="s">
        <v>37</v>
      </c>
      <c r="Z4341" s="2" t="s">
        <v>44</v>
      </c>
      <c r="AA4341" s="2"/>
      <c r="AB4341" s="2"/>
      <c r="AC4341" s="2" t="s">
        <v>32493</v>
      </c>
      <c r="AD4341" s="2" t="s">
        <v>46</v>
      </c>
    </row>
    <row r="4342" customFormat="false" ht="15.7" hidden="false" customHeight="true" outlineLevel="0" collapsed="false">
      <c r="A4342" s="2"/>
      <c r="B4342" s="3" t="n">
        <f aca="false">DATE(2019,7,2)</f>
        <v>0</v>
      </c>
      <c r="C4342" s="3" t="n">
        <v>43648</v>
      </c>
      <c r="D4342" s="2" t="s">
        <v>32494</v>
      </c>
      <c r="F4342" s="2" t="s">
        <v>17957</v>
      </c>
      <c r="G4342" s="2" t="s">
        <v>32495</v>
      </c>
      <c r="H4342" s="2" t="s">
        <v>1020</v>
      </c>
      <c r="I4342" s="2" t="s">
        <v>51</v>
      </c>
      <c r="J4342" s="2" t="s">
        <v>12183</v>
      </c>
      <c r="K4342" s="2" t="s">
        <v>32494</v>
      </c>
      <c r="L4342" s="2" t="s">
        <v>51</v>
      </c>
      <c r="M4342" s="2" t="s">
        <v>1020</v>
      </c>
      <c r="N4342" s="2" t="s">
        <v>32496</v>
      </c>
      <c r="O4342" s="2"/>
      <c r="P4342" s="2" t="s">
        <v>37</v>
      </c>
      <c r="Q4342" s="4" t="n">
        <v>8731</v>
      </c>
      <c r="R4342" s="2" t="s">
        <v>56</v>
      </c>
      <c r="S4342" s="2"/>
      <c r="T4342" s="2" t="s">
        <v>40</v>
      </c>
      <c r="U4342" s="2" t="s">
        <v>32497</v>
      </c>
      <c r="V4342" s="2"/>
      <c r="W4342" s="2" t="s">
        <v>1050</v>
      </c>
      <c r="X4342" s="2" t="s">
        <v>43</v>
      </c>
      <c r="Y4342" s="2" t="s">
        <v>37</v>
      </c>
      <c r="Z4342" s="2" t="s">
        <v>44</v>
      </c>
      <c r="AA4342" s="2"/>
      <c r="AB4342" s="2"/>
      <c r="AC4342" s="2" t="s">
        <v>32498</v>
      </c>
      <c r="AD4342" s="2" t="s">
        <v>46</v>
      </c>
    </row>
    <row r="4343" customFormat="false" ht="15.7" hidden="false" customHeight="true" outlineLevel="0" collapsed="false">
      <c r="A4343" s="2"/>
      <c r="B4343" s="3" t="n">
        <f aca="false">DATE(2019,7,2)</f>
        <v>0</v>
      </c>
      <c r="C4343" s="3" t="n">
        <v>43648</v>
      </c>
      <c r="D4343" s="2" t="s">
        <v>32499</v>
      </c>
      <c r="F4343" s="2" t="s">
        <v>32500</v>
      </c>
      <c r="G4343" s="2" t="s">
        <v>32501</v>
      </c>
      <c r="H4343" s="2" t="s">
        <v>130</v>
      </c>
      <c r="I4343" s="2" t="s">
        <v>51</v>
      </c>
      <c r="J4343" s="2" t="s">
        <v>1319</v>
      </c>
      <c r="K4343" s="2" t="s">
        <v>32502</v>
      </c>
      <c r="L4343" s="2" t="s">
        <v>51</v>
      </c>
      <c r="M4343" s="2" t="s">
        <v>130</v>
      </c>
      <c r="N4343" s="2" t="s">
        <v>32503</v>
      </c>
      <c r="O4343" s="2"/>
      <c r="P4343" s="2" t="s">
        <v>37</v>
      </c>
      <c r="Q4343" s="4" t="n">
        <v>8099</v>
      </c>
      <c r="R4343" s="2" t="s">
        <v>56</v>
      </c>
      <c r="S4343" s="2"/>
      <c r="T4343" s="2" t="s">
        <v>40</v>
      </c>
      <c r="U4343" s="2" t="s">
        <v>32504</v>
      </c>
      <c r="V4343" s="2"/>
      <c r="W4343" s="2" t="s">
        <v>4487</v>
      </c>
      <c r="X4343" s="2" t="s">
        <v>43</v>
      </c>
      <c r="Y4343" s="2" t="s">
        <v>37</v>
      </c>
      <c r="Z4343" s="2" t="s">
        <v>44</v>
      </c>
      <c r="AA4343" s="2"/>
      <c r="AB4343" s="2"/>
      <c r="AC4343" s="2" t="s">
        <v>32505</v>
      </c>
      <c r="AD4343" s="2" t="s">
        <v>46</v>
      </c>
    </row>
    <row r="4344" customFormat="false" ht="15.7" hidden="false" customHeight="true" outlineLevel="0" collapsed="false">
      <c r="A4344" s="2"/>
      <c r="B4344" s="3" t="n">
        <f aca="false">DATE(2019,7,3)</f>
        <v>0</v>
      </c>
      <c r="C4344" s="3" t="n">
        <v>43649</v>
      </c>
      <c r="D4344" s="2" t="s">
        <v>32506</v>
      </c>
      <c r="F4344" s="2" t="s">
        <v>12189</v>
      </c>
      <c r="G4344" s="2" t="s">
        <v>32507</v>
      </c>
      <c r="H4344" s="2" t="s">
        <v>9318</v>
      </c>
      <c r="I4344" s="2" t="s">
        <v>9342</v>
      </c>
      <c r="J4344" s="2" t="s">
        <v>35</v>
      </c>
      <c r="K4344" s="2" t="s">
        <v>32506</v>
      </c>
      <c r="L4344" s="2" t="s">
        <v>9342</v>
      </c>
      <c r="M4344" s="2" t="s">
        <v>9318</v>
      </c>
      <c r="N4344" s="2" t="s">
        <v>32508</v>
      </c>
      <c r="O4344" s="2"/>
      <c r="P4344" s="2" t="s">
        <v>37</v>
      </c>
      <c r="Q4344" s="4" t="n">
        <v>8731</v>
      </c>
      <c r="R4344" s="2" t="s">
        <v>136</v>
      </c>
      <c r="S4344" s="2" t="s">
        <v>39</v>
      </c>
      <c r="T4344" s="2" t="s">
        <v>40</v>
      </c>
      <c r="U4344" s="2" t="s">
        <v>32509</v>
      </c>
      <c r="V4344" s="2"/>
      <c r="W4344" s="2" t="s">
        <v>42</v>
      </c>
      <c r="X4344" s="2" t="s">
        <v>43</v>
      </c>
      <c r="Y4344" s="2" t="s">
        <v>37</v>
      </c>
      <c r="Z4344" s="2" t="s">
        <v>44</v>
      </c>
      <c r="AA4344" s="2"/>
      <c r="AB4344" s="2"/>
      <c r="AC4344" s="2" t="s">
        <v>32510</v>
      </c>
      <c r="AD4344" s="2" t="s">
        <v>46</v>
      </c>
    </row>
    <row r="4345" customFormat="false" ht="15.7" hidden="false" customHeight="true" outlineLevel="0" collapsed="false">
      <c r="A4345" s="2"/>
      <c r="B4345" s="3" t="n">
        <f aca="false">DATE(2019,7,3)</f>
        <v>0</v>
      </c>
      <c r="C4345" s="3" t="n">
        <v>43649</v>
      </c>
      <c r="D4345" s="2" t="s">
        <v>32511</v>
      </c>
      <c r="F4345" s="2" t="s">
        <v>15541</v>
      </c>
      <c r="G4345" s="2" t="s">
        <v>32512</v>
      </c>
      <c r="H4345" s="2" t="s">
        <v>170</v>
      </c>
      <c r="I4345" s="2" t="s">
        <v>540</v>
      </c>
      <c r="J4345" s="2" t="s">
        <v>35</v>
      </c>
      <c r="K4345" s="2" t="s">
        <v>32511</v>
      </c>
      <c r="L4345" s="2" t="s">
        <v>540</v>
      </c>
      <c r="M4345" s="2" t="s">
        <v>170</v>
      </c>
      <c r="N4345" s="2" t="s">
        <v>32513</v>
      </c>
      <c r="O4345" s="2"/>
      <c r="P4345" s="2" t="s">
        <v>37</v>
      </c>
      <c r="Q4345" s="4" t="n">
        <v>8099</v>
      </c>
      <c r="R4345" s="2" t="s">
        <v>1448</v>
      </c>
      <c r="S4345" s="2" t="s">
        <v>39</v>
      </c>
      <c r="T4345" s="2" t="s">
        <v>403</v>
      </c>
      <c r="U4345" s="2" t="s">
        <v>32514</v>
      </c>
      <c r="V4345" s="2"/>
      <c r="W4345" s="2" t="s">
        <v>4487</v>
      </c>
      <c r="X4345" s="2" t="s">
        <v>43</v>
      </c>
      <c r="Y4345" s="2" t="s">
        <v>37</v>
      </c>
      <c r="Z4345" s="2" t="s">
        <v>44</v>
      </c>
      <c r="AA4345" s="2"/>
      <c r="AB4345" s="2"/>
      <c r="AC4345" s="2" t="s">
        <v>32515</v>
      </c>
      <c r="AD4345" s="2" t="s">
        <v>46</v>
      </c>
    </row>
    <row r="4346" customFormat="false" ht="15.7" hidden="false" customHeight="true" outlineLevel="0" collapsed="false">
      <c r="A4346" s="2"/>
      <c r="B4346" s="3" t="n">
        <f aca="false">DATE(2019,7,4)</f>
        <v>0</v>
      </c>
      <c r="C4346" s="3" t="n">
        <v>43650</v>
      </c>
      <c r="D4346" s="2" t="s">
        <v>32516</v>
      </c>
      <c r="F4346" s="2" t="s">
        <v>32517</v>
      </c>
      <c r="G4346" s="2" t="s">
        <v>32518</v>
      </c>
      <c r="H4346" s="2" t="s">
        <v>32519</v>
      </c>
      <c r="I4346" s="2" t="s">
        <v>1439</v>
      </c>
      <c r="J4346" s="2" t="s">
        <v>35</v>
      </c>
      <c r="K4346" s="2" t="s">
        <v>32520</v>
      </c>
      <c r="L4346" s="2" t="s">
        <v>410</v>
      </c>
      <c r="M4346" s="2" t="s">
        <v>1770</v>
      </c>
      <c r="N4346" s="2" t="s">
        <v>32521</v>
      </c>
      <c r="O4346" s="2"/>
      <c r="P4346" s="2" t="s">
        <v>37</v>
      </c>
      <c r="Q4346" s="4" t="n">
        <v>8731</v>
      </c>
      <c r="R4346" s="2" t="s">
        <v>2201</v>
      </c>
      <c r="S4346" s="2" t="s">
        <v>39</v>
      </c>
      <c r="T4346" s="2" t="s">
        <v>40</v>
      </c>
      <c r="U4346" s="2" t="s">
        <v>32522</v>
      </c>
      <c r="V4346" s="2"/>
      <c r="W4346" s="2" t="s">
        <v>2056</v>
      </c>
      <c r="X4346" s="2" t="s">
        <v>43</v>
      </c>
      <c r="Y4346" s="2" t="s">
        <v>37</v>
      </c>
      <c r="Z4346" s="2" t="s">
        <v>44</v>
      </c>
      <c r="AA4346" s="2"/>
      <c r="AB4346" s="2"/>
      <c r="AC4346" s="2" t="s">
        <v>32523</v>
      </c>
      <c r="AD4346" s="2" t="s">
        <v>46</v>
      </c>
    </row>
    <row r="4347" customFormat="false" ht="15.7" hidden="false" customHeight="true" outlineLevel="0" collapsed="false">
      <c r="A4347" s="2"/>
      <c r="B4347" s="3" t="n">
        <f aca="false">DATE(2019,7,4)</f>
        <v>0</v>
      </c>
      <c r="C4347" s="3" t="n">
        <v>43650</v>
      </c>
      <c r="D4347" s="2" t="s">
        <v>32524</v>
      </c>
      <c r="F4347" s="2" t="s">
        <v>18520</v>
      </c>
      <c r="G4347" s="2" t="s">
        <v>32525</v>
      </c>
      <c r="H4347" s="2" t="s">
        <v>1027</v>
      </c>
      <c r="I4347" s="2" t="s">
        <v>18530</v>
      </c>
      <c r="J4347" s="2" t="s">
        <v>35</v>
      </c>
      <c r="K4347" s="2" t="s">
        <v>32524</v>
      </c>
      <c r="L4347" s="2" t="s">
        <v>18530</v>
      </c>
      <c r="M4347" s="2" t="s">
        <v>1027</v>
      </c>
      <c r="N4347" s="2" t="s">
        <v>32526</v>
      </c>
      <c r="O4347" s="2"/>
      <c r="P4347" s="2" t="s">
        <v>37</v>
      </c>
      <c r="Q4347" s="4" t="n">
        <v>8099</v>
      </c>
      <c r="R4347" s="2" t="s">
        <v>56</v>
      </c>
      <c r="S4347" s="2"/>
      <c r="T4347" s="2" t="s">
        <v>40</v>
      </c>
      <c r="U4347" s="2" t="s">
        <v>32527</v>
      </c>
      <c r="V4347" s="2"/>
      <c r="W4347" s="2" t="s">
        <v>4487</v>
      </c>
      <c r="X4347" s="2" t="s">
        <v>43</v>
      </c>
      <c r="Y4347" s="2" t="s">
        <v>37</v>
      </c>
      <c r="Z4347" s="2" t="s">
        <v>44</v>
      </c>
      <c r="AA4347" s="2"/>
      <c r="AB4347" s="2"/>
      <c r="AC4347" s="2" t="s">
        <v>32528</v>
      </c>
      <c r="AD4347" s="2" t="s">
        <v>46</v>
      </c>
    </row>
    <row r="4348" customFormat="false" ht="15.7" hidden="false" customHeight="true" outlineLevel="0" collapsed="false">
      <c r="A4348" s="2"/>
      <c r="B4348" s="3" t="n">
        <f aca="false">DATE(2019,7,5)</f>
        <v>0</v>
      </c>
      <c r="C4348" s="3" t="n">
        <v>43651</v>
      </c>
      <c r="D4348" s="2" t="s">
        <v>32529</v>
      </c>
      <c r="F4348" s="2" t="s">
        <v>32530</v>
      </c>
      <c r="G4348" s="2" t="s">
        <v>32531</v>
      </c>
      <c r="H4348" s="2" t="s">
        <v>1528</v>
      </c>
      <c r="I4348" s="2" t="s">
        <v>899</v>
      </c>
      <c r="J4348" s="2" t="s">
        <v>132</v>
      </c>
      <c r="K4348" s="2" t="s">
        <v>32532</v>
      </c>
      <c r="L4348" s="2" t="s">
        <v>899</v>
      </c>
      <c r="M4348" s="2" t="s">
        <v>25719</v>
      </c>
      <c r="N4348" s="2" t="s">
        <v>32533</v>
      </c>
      <c r="O4348" s="2"/>
      <c r="P4348" s="2" t="s">
        <v>37</v>
      </c>
      <c r="Q4348" s="4" t="n">
        <v>8731</v>
      </c>
      <c r="R4348" s="2" t="s">
        <v>56</v>
      </c>
      <c r="S4348" s="2"/>
      <c r="T4348" s="2" t="s">
        <v>403</v>
      </c>
      <c r="U4348" s="2" t="s">
        <v>32534</v>
      </c>
      <c r="V4348" s="2"/>
      <c r="W4348" s="2" t="s">
        <v>42</v>
      </c>
      <c r="X4348" s="2" t="s">
        <v>43</v>
      </c>
      <c r="Y4348" s="2" t="s">
        <v>37</v>
      </c>
      <c r="Z4348" s="2" t="s">
        <v>44</v>
      </c>
      <c r="AA4348" s="2"/>
      <c r="AB4348" s="2"/>
      <c r="AC4348" s="2" t="s">
        <v>32535</v>
      </c>
      <c r="AD4348" s="2" t="s">
        <v>46</v>
      </c>
    </row>
    <row r="4349" customFormat="false" ht="15.7" hidden="false" customHeight="true" outlineLevel="0" collapsed="false">
      <c r="A4349" s="2"/>
      <c r="B4349" s="3" t="n">
        <f aca="false">DATE(2019,7,6)</f>
        <v>0</v>
      </c>
      <c r="C4349" s="3" t="n">
        <v>43652</v>
      </c>
      <c r="D4349" s="2" t="s">
        <v>32536</v>
      </c>
      <c r="F4349" s="2" t="s">
        <v>32537</v>
      </c>
      <c r="G4349" s="2" t="s">
        <v>32538</v>
      </c>
      <c r="H4349" s="2" t="s">
        <v>32539</v>
      </c>
      <c r="I4349" s="2" t="s">
        <v>388</v>
      </c>
      <c r="J4349" s="2" t="s">
        <v>625</v>
      </c>
      <c r="K4349" s="2" t="s">
        <v>32536</v>
      </c>
      <c r="L4349" s="2" t="s">
        <v>388</v>
      </c>
      <c r="M4349" s="2" t="s">
        <v>32539</v>
      </c>
      <c r="N4349" s="2" t="s">
        <v>32540</v>
      </c>
      <c r="O4349" s="2"/>
      <c r="P4349" s="2" t="s">
        <v>37</v>
      </c>
      <c r="Q4349" s="4" t="n">
        <v>8099</v>
      </c>
      <c r="R4349" s="2" t="s">
        <v>56</v>
      </c>
      <c r="S4349" s="2"/>
      <c r="T4349" s="2" t="s">
        <v>403</v>
      </c>
      <c r="U4349" s="2" t="s">
        <v>32541</v>
      </c>
      <c r="V4349" s="2"/>
      <c r="W4349" s="2" t="s">
        <v>4487</v>
      </c>
      <c r="X4349" s="2" t="s">
        <v>43</v>
      </c>
      <c r="Y4349" s="2" t="s">
        <v>37</v>
      </c>
      <c r="Z4349" s="2" t="s">
        <v>44</v>
      </c>
      <c r="AA4349" s="2"/>
      <c r="AB4349" s="2"/>
      <c r="AC4349" s="2" t="s">
        <v>32542</v>
      </c>
      <c r="AD4349" s="2" t="s">
        <v>46</v>
      </c>
    </row>
    <row r="4350" customFormat="false" ht="15.7" hidden="false" customHeight="true" outlineLevel="0" collapsed="false">
      <c r="A4350" s="2"/>
      <c r="B4350" s="3" t="n">
        <f aca="false">DATE(2019,7,6)</f>
        <v>0</v>
      </c>
      <c r="C4350" s="3" t="n">
        <v>43652</v>
      </c>
      <c r="D4350" s="2" t="s">
        <v>32543</v>
      </c>
      <c r="F4350" s="2" t="s">
        <v>32544</v>
      </c>
      <c r="G4350" s="2" t="s">
        <v>32545</v>
      </c>
      <c r="H4350" s="2" t="s">
        <v>32546</v>
      </c>
      <c r="I4350" s="2" t="s">
        <v>9832</v>
      </c>
      <c r="J4350" s="2" t="s">
        <v>35</v>
      </c>
      <c r="K4350" s="2" t="s">
        <v>32547</v>
      </c>
      <c r="L4350" s="2" t="s">
        <v>9832</v>
      </c>
      <c r="M4350" s="2" t="s">
        <v>32548</v>
      </c>
      <c r="N4350" s="2" t="s">
        <v>32549</v>
      </c>
      <c r="O4350" s="2"/>
      <c r="P4350" s="2" t="s">
        <v>37</v>
      </c>
      <c r="Q4350" s="4" t="n">
        <v>8731</v>
      </c>
      <c r="R4350" s="2" t="s">
        <v>869</v>
      </c>
      <c r="S4350" s="2" t="s">
        <v>39</v>
      </c>
      <c r="T4350" s="2" t="s">
        <v>40</v>
      </c>
      <c r="U4350" s="2" t="s">
        <v>32550</v>
      </c>
      <c r="V4350" s="2"/>
      <c r="W4350" s="2" t="s">
        <v>42</v>
      </c>
      <c r="X4350" s="2" t="s">
        <v>43</v>
      </c>
      <c r="Y4350" s="2" t="s">
        <v>37</v>
      </c>
      <c r="Z4350" s="2" t="s">
        <v>44</v>
      </c>
      <c r="AA4350" s="2"/>
      <c r="AB4350" s="2"/>
      <c r="AC4350" s="2" t="s">
        <v>32551</v>
      </c>
      <c r="AD4350" s="2" t="s">
        <v>46</v>
      </c>
    </row>
    <row r="4351" customFormat="false" ht="15.7" hidden="false" customHeight="true" outlineLevel="0" collapsed="false">
      <c r="A4351" s="2"/>
      <c r="B4351" s="3" t="n">
        <f aca="false">DATE(2019,7,8)</f>
        <v>0</v>
      </c>
      <c r="C4351" s="3" t="n">
        <v>43654</v>
      </c>
      <c r="D4351" s="2" t="s">
        <v>32552</v>
      </c>
      <c r="F4351" s="2" t="s">
        <v>32553</v>
      </c>
      <c r="G4351" s="2" t="s">
        <v>32554</v>
      </c>
      <c r="H4351" s="2" t="s">
        <v>32555</v>
      </c>
      <c r="I4351" s="2" t="s">
        <v>51</v>
      </c>
      <c r="J4351" s="2" t="s">
        <v>504</v>
      </c>
      <c r="K4351" s="2" t="s">
        <v>32552</v>
      </c>
      <c r="L4351" s="2" t="s">
        <v>51</v>
      </c>
      <c r="M4351" s="2" t="s">
        <v>32555</v>
      </c>
      <c r="N4351" s="2" t="s">
        <v>32556</v>
      </c>
      <c r="O4351" s="2"/>
      <c r="P4351" s="2" t="s">
        <v>37</v>
      </c>
      <c r="Q4351" s="4" t="n">
        <v>8731</v>
      </c>
      <c r="R4351" s="2" t="s">
        <v>56</v>
      </c>
      <c r="S4351" s="2"/>
      <c r="T4351" s="2" t="s">
        <v>40</v>
      </c>
      <c r="U4351" s="2" t="s">
        <v>32557</v>
      </c>
      <c r="V4351" s="2"/>
      <c r="W4351" s="2" t="s">
        <v>17454</v>
      </c>
      <c r="X4351" s="2" t="s">
        <v>46</v>
      </c>
      <c r="Y4351" s="2" t="s">
        <v>37</v>
      </c>
      <c r="Z4351" s="2" t="s">
        <v>44</v>
      </c>
      <c r="AA4351" s="2"/>
      <c r="AB4351" s="2"/>
      <c r="AC4351" s="2" t="s">
        <v>32558</v>
      </c>
      <c r="AD4351" s="2" t="s">
        <v>46</v>
      </c>
    </row>
    <row r="4352" customFormat="false" ht="15.7" hidden="false" customHeight="true" outlineLevel="0" collapsed="false">
      <c r="A4352" s="2"/>
      <c r="B4352" s="3" t="n">
        <f aca="false">DATE(2019,7,8)</f>
        <v>0</v>
      </c>
      <c r="C4352" s="3" t="n">
        <v>43654</v>
      </c>
      <c r="D4352" s="2" t="s">
        <v>32559</v>
      </c>
      <c r="F4352" s="2" t="s">
        <v>32560</v>
      </c>
      <c r="G4352" s="2" t="s">
        <v>32561</v>
      </c>
      <c r="H4352" s="2" t="s">
        <v>32562</v>
      </c>
      <c r="I4352" s="2" t="s">
        <v>7737</v>
      </c>
      <c r="J4352" s="2" t="s">
        <v>35</v>
      </c>
      <c r="K4352" s="2" t="s">
        <v>32559</v>
      </c>
      <c r="L4352" s="2" t="s">
        <v>7737</v>
      </c>
      <c r="M4352" s="2" t="s">
        <v>32562</v>
      </c>
      <c r="N4352" s="2" t="s">
        <v>32563</v>
      </c>
      <c r="O4352" s="2"/>
      <c r="P4352" s="2" t="s">
        <v>37</v>
      </c>
      <c r="Q4352" s="4" t="n">
        <v>8731</v>
      </c>
      <c r="R4352" s="2" t="s">
        <v>1448</v>
      </c>
      <c r="S4352" s="2" t="s">
        <v>39</v>
      </c>
      <c r="T4352" s="2" t="s">
        <v>40</v>
      </c>
      <c r="U4352" s="2" t="s">
        <v>32564</v>
      </c>
      <c r="V4352" s="2"/>
      <c r="W4352" s="2" t="s">
        <v>32565</v>
      </c>
      <c r="X4352" s="2" t="s">
        <v>46</v>
      </c>
      <c r="Y4352" s="2" t="s">
        <v>37</v>
      </c>
      <c r="Z4352" s="2" t="s">
        <v>44</v>
      </c>
      <c r="AA4352" s="2"/>
      <c r="AB4352" s="2"/>
      <c r="AC4352" s="2" t="s">
        <v>32566</v>
      </c>
      <c r="AD4352" s="2" t="s">
        <v>46</v>
      </c>
    </row>
    <row r="4353" customFormat="false" ht="15.7" hidden="false" customHeight="true" outlineLevel="0" collapsed="false">
      <c r="A4353" s="2"/>
      <c r="B4353" s="3" t="n">
        <f aca="false">DATE(2019,7,9)</f>
        <v>0</v>
      </c>
      <c r="C4353" s="3" t="n">
        <v>43655</v>
      </c>
      <c r="D4353" s="2" t="s">
        <v>32567</v>
      </c>
      <c r="F4353" s="2" t="s">
        <v>32568</v>
      </c>
      <c r="G4353" s="2" t="s">
        <v>32569</v>
      </c>
      <c r="H4353" s="2" t="s">
        <v>6185</v>
      </c>
      <c r="I4353" s="2" t="s">
        <v>664</v>
      </c>
      <c r="J4353" s="2" t="s">
        <v>132</v>
      </c>
      <c r="K4353" s="2" t="s">
        <v>32567</v>
      </c>
      <c r="L4353" s="2" t="s">
        <v>664</v>
      </c>
      <c r="M4353" s="2" t="s">
        <v>6185</v>
      </c>
      <c r="N4353" s="2" t="s">
        <v>32570</v>
      </c>
      <c r="O4353" s="2"/>
      <c r="P4353" s="2" t="s">
        <v>37</v>
      </c>
      <c r="Q4353" s="4" t="n">
        <v>8731</v>
      </c>
      <c r="R4353" s="2" t="s">
        <v>219</v>
      </c>
      <c r="S4353" s="2" t="s">
        <v>3000</v>
      </c>
      <c r="T4353" s="2" t="s">
        <v>403</v>
      </c>
      <c r="U4353" s="2" t="s">
        <v>32571</v>
      </c>
      <c r="V4353" s="2"/>
      <c r="W4353" s="2" t="s">
        <v>3235</v>
      </c>
      <c r="X4353" s="2" t="s">
        <v>43</v>
      </c>
      <c r="Y4353" s="2" t="s">
        <v>79</v>
      </c>
      <c r="Z4353" s="2" t="s">
        <v>44</v>
      </c>
      <c r="AA4353" s="2"/>
      <c r="AB4353" s="2"/>
      <c r="AC4353" s="2" t="s">
        <v>32572</v>
      </c>
      <c r="AD4353" s="2" t="s">
        <v>46</v>
      </c>
    </row>
    <row r="4354" customFormat="false" ht="15.7" hidden="false" customHeight="true" outlineLevel="0" collapsed="false">
      <c r="A4354" s="2"/>
      <c r="B4354" s="3" t="n">
        <f aca="false">DATE(2019,7,9)</f>
        <v>0</v>
      </c>
      <c r="C4354" s="3" t="n">
        <v>43655</v>
      </c>
      <c r="D4354" s="2" t="s">
        <v>32573</v>
      </c>
      <c r="F4354" s="2" t="s">
        <v>32574</v>
      </c>
      <c r="G4354" s="2" t="s">
        <v>32575</v>
      </c>
      <c r="H4354" s="2" t="s">
        <v>32576</v>
      </c>
      <c r="I4354" s="2" t="s">
        <v>685</v>
      </c>
      <c r="J4354" s="2" t="s">
        <v>35</v>
      </c>
      <c r="K4354" s="2" t="s">
        <v>32573</v>
      </c>
      <c r="L4354" s="2" t="s">
        <v>685</v>
      </c>
      <c r="M4354" s="2" t="s">
        <v>32576</v>
      </c>
      <c r="N4354" s="2" t="s">
        <v>32577</v>
      </c>
      <c r="O4354" s="2"/>
      <c r="P4354" s="2" t="s">
        <v>37</v>
      </c>
      <c r="Q4354" s="4" t="n">
        <v>8731</v>
      </c>
      <c r="R4354" s="2" t="s">
        <v>688</v>
      </c>
      <c r="S4354" s="2" t="s">
        <v>39</v>
      </c>
      <c r="T4354" s="2" t="s">
        <v>40</v>
      </c>
      <c r="U4354" s="2" t="s">
        <v>32578</v>
      </c>
      <c r="V4354" s="2"/>
      <c r="W4354" s="2" t="s">
        <v>42</v>
      </c>
      <c r="X4354" s="2" t="s">
        <v>43</v>
      </c>
      <c r="Y4354" s="2" t="s">
        <v>37</v>
      </c>
      <c r="Z4354" s="2" t="s">
        <v>44</v>
      </c>
      <c r="AA4354" s="2"/>
      <c r="AB4354" s="2"/>
      <c r="AC4354" s="2" t="s">
        <v>32579</v>
      </c>
      <c r="AD4354" s="2" t="s">
        <v>46</v>
      </c>
    </row>
    <row r="4355" customFormat="false" ht="15.7" hidden="false" customHeight="true" outlineLevel="0" collapsed="false">
      <c r="A4355" s="2"/>
      <c r="B4355" s="3" t="n">
        <f aca="false">DATE(2019,7,10)</f>
        <v>0</v>
      </c>
      <c r="C4355" s="3" t="n">
        <v>43656</v>
      </c>
      <c r="D4355" s="2" t="s">
        <v>32580</v>
      </c>
      <c r="F4355" s="2" t="s">
        <v>17484</v>
      </c>
      <c r="G4355" s="2" t="s">
        <v>32581</v>
      </c>
      <c r="H4355" s="2" t="s">
        <v>305</v>
      </c>
      <c r="I4355" s="2" t="s">
        <v>670</v>
      </c>
      <c r="J4355" s="2" t="s">
        <v>203</v>
      </c>
      <c r="K4355" s="2" t="s">
        <v>32580</v>
      </c>
      <c r="L4355" s="2" t="s">
        <v>670</v>
      </c>
      <c r="M4355" s="2" t="s">
        <v>305</v>
      </c>
      <c r="N4355" s="2" t="s">
        <v>32582</v>
      </c>
      <c r="O4355" s="2"/>
      <c r="P4355" s="2" t="s">
        <v>37</v>
      </c>
      <c r="Q4355" s="4" t="n">
        <v>6794</v>
      </c>
      <c r="R4355" s="2" t="s">
        <v>56</v>
      </c>
      <c r="S4355" s="2"/>
      <c r="T4355" s="2" t="s">
        <v>40</v>
      </c>
      <c r="U4355" s="2" t="s">
        <v>32583</v>
      </c>
      <c r="V4355" s="2"/>
      <c r="W4355" s="2" t="s">
        <v>15545</v>
      </c>
      <c r="X4355" s="2" t="s">
        <v>43</v>
      </c>
      <c r="Y4355" s="2" t="s">
        <v>37</v>
      </c>
      <c r="Z4355" s="2" t="s">
        <v>44</v>
      </c>
      <c r="AA4355" s="2"/>
      <c r="AB4355" s="2"/>
      <c r="AC4355" s="2" t="s">
        <v>32584</v>
      </c>
      <c r="AD4355" s="2" t="s">
        <v>46</v>
      </c>
    </row>
    <row r="4356" customFormat="false" ht="15.7" hidden="false" customHeight="true" outlineLevel="0" collapsed="false">
      <c r="A4356" s="2"/>
      <c r="B4356" s="3" t="n">
        <f aca="false">DATE(2019,7,10)</f>
        <v>0</v>
      </c>
      <c r="C4356" s="3" t="n">
        <v>43656</v>
      </c>
      <c r="D4356" s="2" t="s">
        <v>32585</v>
      </c>
      <c r="F4356" s="2" t="s">
        <v>32586</v>
      </c>
      <c r="G4356" s="2" t="s">
        <v>32587</v>
      </c>
      <c r="H4356" s="2" t="s">
        <v>63</v>
      </c>
      <c r="I4356" s="2" t="s">
        <v>51</v>
      </c>
      <c r="J4356" s="2" t="s">
        <v>15847</v>
      </c>
      <c r="K4356" s="2" t="s">
        <v>32588</v>
      </c>
      <c r="L4356" s="2" t="s">
        <v>51</v>
      </c>
      <c r="M4356" s="2" t="s">
        <v>63</v>
      </c>
      <c r="N4356" s="2" t="s">
        <v>32589</v>
      </c>
      <c r="O4356" s="2"/>
      <c r="P4356" s="2" t="s">
        <v>37</v>
      </c>
      <c r="Q4356" s="4" t="n">
        <v>8731</v>
      </c>
      <c r="R4356" s="2" t="s">
        <v>56</v>
      </c>
      <c r="S4356" s="2" t="s">
        <v>977</v>
      </c>
      <c r="T4356" s="2" t="s">
        <v>40</v>
      </c>
      <c r="U4356" s="2" t="s">
        <v>32590</v>
      </c>
      <c r="V4356" s="2"/>
      <c r="W4356" s="2" t="s">
        <v>18966</v>
      </c>
      <c r="X4356" s="2" t="s">
        <v>43</v>
      </c>
      <c r="Y4356" s="2" t="s">
        <v>37</v>
      </c>
      <c r="Z4356" s="2" t="s">
        <v>44</v>
      </c>
      <c r="AA4356" s="2"/>
      <c r="AB4356" s="2"/>
      <c r="AC4356" s="2" t="s">
        <v>32591</v>
      </c>
      <c r="AD4356" s="2" t="s">
        <v>46</v>
      </c>
    </row>
    <row r="4357" customFormat="false" ht="15.7" hidden="false" customHeight="true" outlineLevel="0" collapsed="false">
      <c r="A4357" s="2"/>
      <c r="B4357" s="3" t="n">
        <f aca="false">DATE(2019,7,10)</f>
        <v>0</v>
      </c>
      <c r="C4357" s="3" t="n">
        <v>43656</v>
      </c>
      <c r="D4357" s="2" t="s">
        <v>32592</v>
      </c>
      <c r="F4357" s="2" t="s">
        <v>32593</v>
      </c>
      <c r="G4357" s="2" t="s">
        <v>32594</v>
      </c>
      <c r="H4357" s="2" t="s">
        <v>32595</v>
      </c>
      <c r="I4357" s="2" t="s">
        <v>5102</v>
      </c>
      <c r="J4357" s="2" t="s">
        <v>35</v>
      </c>
      <c r="K4357" s="2" t="s">
        <v>32592</v>
      </c>
      <c r="L4357" s="2" t="s">
        <v>5102</v>
      </c>
      <c r="M4357" s="2" t="s">
        <v>32595</v>
      </c>
      <c r="N4357" s="2" t="s">
        <v>32596</v>
      </c>
      <c r="O4357" s="2"/>
      <c r="P4357" s="2" t="s">
        <v>37</v>
      </c>
      <c r="Q4357" s="4" t="n">
        <v>6794</v>
      </c>
      <c r="R4357" s="2" t="s">
        <v>70</v>
      </c>
      <c r="S4357" s="2" t="s">
        <v>39</v>
      </c>
      <c r="T4357" s="2" t="s">
        <v>40</v>
      </c>
      <c r="U4357" s="2" t="s">
        <v>32597</v>
      </c>
      <c r="V4357" s="2"/>
      <c r="W4357" s="2" t="s">
        <v>20757</v>
      </c>
      <c r="X4357" s="2" t="s">
        <v>43</v>
      </c>
      <c r="Y4357" s="2" t="s">
        <v>37</v>
      </c>
      <c r="Z4357" s="2" t="s">
        <v>44</v>
      </c>
      <c r="AA4357" s="2"/>
      <c r="AB4357" s="2"/>
      <c r="AC4357" s="2" t="s">
        <v>32598</v>
      </c>
      <c r="AD4357" s="2" t="s">
        <v>46</v>
      </c>
    </row>
    <row r="4358" customFormat="false" ht="15.7" hidden="false" customHeight="true" outlineLevel="0" collapsed="false">
      <c r="A4358" s="2"/>
      <c r="B4358" s="3" t="n">
        <f aca="false">DATE(2019,7,11)</f>
        <v>0</v>
      </c>
      <c r="C4358" s="3" t="n">
        <v>43657</v>
      </c>
      <c r="D4358" s="2" t="s">
        <v>32599</v>
      </c>
      <c r="F4358" s="2" t="s">
        <v>31840</v>
      </c>
      <c r="G4358" s="2" t="s">
        <v>32600</v>
      </c>
      <c r="H4358" s="2" t="s">
        <v>3840</v>
      </c>
      <c r="I4358" s="2" t="s">
        <v>32601</v>
      </c>
      <c r="J4358" s="2" t="s">
        <v>35</v>
      </c>
      <c r="K4358" s="2" t="s">
        <v>32602</v>
      </c>
      <c r="L4358" s="2" t="s">
        <v>7116</v>
      </c>
      <c r="M4358" s="2" t="s">
        <v>551</v>
      </c>
      <c r="N4358" s="2" t="s">
        <v>32603</v>
      </c>
      <c r="O4358" s="2"/>
      <c r="P4358" s="2" t="s">
        <v>37</v>
      </c>
      <c r="Q4358" s="4" t="n">
        <v>3999</v>
      </c>
      <c r="R4358" s="2" t="s">
        <v>32604</v>
      </c>
      <c r="S4358" s="2" t="s">
        <v>39</v>
      </c>
      <c r="T4358" s="2" t="s">
        <v>40</v>
      </c>
      <c r="U4358" s="2" t="s">
        <v>32605</v>
      </c>
      <c r="V4358" s="2"/>
      <c r="W4358" s="2" t="s">
        <v>24648</v>
      </c>
      <c r="X4358" s="2" t="s">
        <v>43</v>
      </c>
      <c r="Y4358" s="2" t="s">
        <v>37</v>
      </c>
      <c r="Z4358" s="2" t="s">
        <v>44</v>
      </c>
      <c r="AA4358" s="2"/>
      <c r="AB4358" s="2"/>
      <c r="AC4358" s="2" t="s">
        <v>32606</v>
      </c>
      <c r="AD4358" s="2" t="s">
        <v>46</v>
      </c>
    </row>
    <row r="4359" customFormat="false" ht="15.7" hidden="false" customHeight="true" outlineLevel="0" collapsed="false">
      <c r="A4359" s="2"/>
      <c r="B4359" s="3" t="n">
        <f aca="false">DATE(2019,7,11)</f>
        <v>0</v>
      </c>
      <c r="C4359" s="3" t="n">
        <v>43657</v>
      </c>
      <c r="D4359" s="2" t="s">
        <v>32607</v>
      </c>
      <c r="F4359" s="2" t="s">
        <v>32608</v>
      </c>
      <c r="G4359" s="2" t="s">
        <v>32609</v>
      </c>
      <c r="H4359" s="2" t="s">
        <v>15730</v>
      </c>
      <c r="I4359" s="2" t="s">
        <v>3312</v>
      </c>
      <c r="J4359" s="2" t="s">
        <v>132</v>
      </c>
      <c r="K4359" s="2" t="s">
        <v>32607</v>
      </c>
      <c r="L4359" s="2" t="s">
        <v>3312</v>
      </c>
      <c r="M4359" s="2" t="s">
        <v>15730</v>
      </c>
      <c r="N4359" s="2" t="s">
        <v>32610</v>
      </c>
      <c r="O4359" s="2"/>
      <c r="P4359" s="2" t="s">
        <v>37</v>
      </c>
      <c r="Q4359" s="4" t="n">
        <v>8731</v>
      </c>
      <c r="R4359" s="2" t="s">
        <v>56</v>
      </c>
      <c r="S4359" s="2"/>
      <c r="T4359" s="2" t="s">
        <v>403</v>
      </c>
      <c r="U4359" s="2" t="s">
        <v>32611</v>
      </c>
      <c r="V4359" s="2"/>
      <c r="W4359" s="2" t="s">
        <v>697</v>
      </c>
      <c r="X4359" s="2" t="s">
        <v>43</v>
      </c>
      <c r="Y4359" s="2" t="s">
        <v>37</v>
      </c>
      <c r="Z4359" s="2" t="s">
        <v>44</v>
      </c>
      <c r="AA4359" s="2"/>
      <c r="AB4359" s="2"/>
      <c r="AC4359" s="2" t="s">
        <v>32612</v>
      </c>
      <c r="AD4359" s="2" t="s">
        <v>46</v>
      </c>
    </row>
    <row r="4360" customFormat="false" ht="15.7" hidden="false" customHeight="true" outlineLevel="0" collapsed="false">
      <c r="A4360" s="2"/>
      <c r="B4360" s="3" t="n">
        <f aca="false">DATE(2019,7,11)</f>
        <v>0</v>
      </c>
      <c r="C4360" s="3" t="n">
        <v>43657</v>
      </c>
      <c r="D4360" s="2" t="s">
        <v>32613</v>
      </c>
      <c r="F4360" s="2" t="s">
        <v>32614</v>
      </c>
      <c r="G4360" s="2" t="s">
        <v>32615</v>
      </c>
      <c r="H4360" s="2" t="s">
        <v>32616</v>
      </c>
      <c r="I4360" s="2" t="s">
        <v>487</v>
      </c>
      <c r="J4360" s="2" t="s">
        <v>488</v>
      </c>
      <c r="K4360" s="2" t="s">
        <v>32617</v>
      </c>
      <c r="L4360" s="2" t="s">
        <v>487</v>
      </c>
      <c r="M4360" s="2" t="s">
        <v>32618</v>
      </c>
      <c r="N4360" s="2" t="s">
        <v>32619</v>
      </c>
      <c r="O4360" s="2"/>
      <c r="P4360" s="2" t="s">
        <v>37</v>
      </c>
      <c r="Q4360" s="4" t="n">
        <v>6794</v>
      </c>
      <c r="R4360" s="2" t="s">
        <v>1448</v>
      </c>
      <c r="S4360" s="2" t="s">
        <v>39</v>
      </c>
      <c r="T4360" s="2" t="s">
        <v>40</v>
      </c>
      <c r="U4360" s="2" t="s">
        <v>32620</v>
      </c>
      <c r="V4360" s="2"/>
      <c r="W4360" s="2" t="s">
        <v>15545</v>
      </c>
      <c r="X4360" s="2" t="s">
        <v>43</v>
      </c>
      <c r="Y4360" s="2" t="s">
        <v>37</v>
      </c>
      <c r="Z4360" s="2" t="s">
        <v>44</v>
      </c>
      <c r="AA4360" s="2"/>
      <c r="AB4360" s="2"/>
      <c r="AC4360" s="2" t="s">
        <v>32621</v>
      </c>
      <c r="AD4360" s="2" t="s">
        <v>46</v>
      </c>
    </row>
    <row r="4361" customFormat="false" ht="15.7" hidden="false" customHeight="true" outlineLevel="0" collapsed="false">
      <c r="A4361" s="2"/>
      <c r="B4361" s="3" t="n">
        <f aca="false">DATE(2019,7,11)</f>
        <v>0</v>
      </c>
      <c r="C4361" s="3" t="n">
        <v>43657</v>
      </c>
      <c r="D4361" s="2" t="s">
        <v>32622</v>
      </c>
      <c r="F4361" s="2" t="s">
        <v>32623</v>
      </c>
      <c r="G4361" s="2" t="s">
        <v>32624</v>
      </c>
      <c r="H4361" s="2" t="s">
        <v>32625</v>
      </c>
      <c r="I4361" s="2" t="s">
        <v>51</v>
      </c>
      <c r="J4361" s="2" t="s">
        <v>32626</v>
      </c>
      <c r="K4361" s="2" t="s">
        <v>32622</v>
      </c>
      <c r="L4361" s="2" t="s">
        <v>51</v>
      </c>
      <c r="M4361" s="2" t="s">
        <v>32625</v>
      </c>
      <c r="N4361" s="2" t="s">
        <v>32627</v>
      </c>
      <c r="O4361" s="2"/>
      <c r="P4361" s="2" t="s">
        <v>37</v>
      </c>
      <c r="Q4361" s="4" t="n">
        <v>8731</v>
      </c>
      <c r="R4361" s="2" t="s">
        <v>51</v>
      </c>
      <c r="S4361" s="2" t="s">
        <v>32628</v>
      </c>
      <c r="T4361" s="2" t="s">
        <v>403</v>
      </c>
      <c r="U4361" s="2" t="s">
        <v>32629</v>
      </c>
      <c r="V4361" s="2"/>
      <c r="W4361" s="2" t="s">
        <v>32630</v>
      </c>
      <c r="X4361" s="2" t="s">
        <v>43</v>
      </c>
      <c r="Y4361" s="2" t="s">
        <v>37</v>
      </c>
      <c r="Z4361" s="2" t="s">
        <v>44</v>
      </c>
      <c r="AA4361" s="2"/>
      <c r="AB4361" s="2"/>
      <c r="AC4361" s="2" t="s">
        <v>32631</v>
      </c>
      <c r="AD4361" s="2" t="s">
        <v>46</v>
      </c>
    </row>
    <row r="4362" customFormat="false" ht="15.7" hidden="false" customHeight="true" outlineLevel="0" collapsed="false">
      <c r="A4362" s="2"/>
      <c r="B4362" s="3" t="n">
        <f aca="false">DATE(2019,7,11)</f>
        <v>0</v>
      </c>
      <c r="C4362" s="3" t="n">
        <v>43657</v>
      </c>
      <c r="D4362" s="2" t="s">
        <v>32632</v>
      </c>
      <c r="F4362" s="2" t="s">
        <v>32633</v>
      </c>
      <c r="G4362" s="2" t="s">
        <v>32634</v>
      </c>
      <c r="H4362" s="2" t="s">
        <v>7948</v>
      </c>
      <c r="I4362" s="2" t="s">
        <v>51</v>
      </c>
      <c r="J4362" s="2" t="s">
        <v>7787</v>
      </c>
      <c r="K4362" s="2" t="s">
        <v>32632</v>
      </c>
      <c r="L4362" s="2" t="s">
        <v>51</v>
      </c>
      <c r="M4362" s="2" t="s">
        <v>7948</v>
      </c>
      <c r="N4362" s="2" t="s">
        <v>32635</v>
      </c>
      <c r="O4362" s="2"/>
      <c r="P4362" s="2" t="s">
        <v>37</v>
      </c>
      <c r="Q4362" s="4" t="n">
        <v>8731</v>
      </c>
      <c r="R4362" s="2" t="s">
        <v>51</v>
      </c>
      <c r="S4362" s="2" t="s">
        <v>32636</v>
      </c>
      <c r="T4362" s="2" t="s">
        <v>403</v>
      </c>
      <c r="U4362" s="2" t="s">
        <v>32637</v>
      </c>
      <c r="V4362" s="2"/>
      <c r="W4362" s="2" t="s">
        <v>18171</v>
      </c>
      <c r="X4362" s="2" t="s">
        <v>43</v>
      </c>
      <c r="Y4362" s="2" t="s">
        <v>37</v>
      </c>
      <c r="Z4362" s="2" t="s">
        <v>44</v>
      </c>
      <c r="AA4362" s="2"/>
      <c r="AB4362" s="2"/>
      <c r="AC4362" s="2" t="s">
        <v>32638</v>
      </c>
      <c r="AD4362" s="2" t="s">
        <v>46</v>
      </c>
    </row>
    <row r="4363" customFormat="false" ht="15.7" hidden="false" customHeight="true" outlineLevel="0" collapsed="false">
      <c r="A4363" s="2"/>
      <c r="B4363" s="3" t="n">
        <f aca="false">DATE(2019,7,12)</f>
        <v>0</v>
      </c>
      <c r="C4363" s="3" t="n">
        <v>43658</v>
      </c>
      <c r="D4363" s="2" t="s">
        <v>32639</v>
      </c>
      <c r="F4363" s="2" t="s">
        <v>32640</v>
      </c>
      <c r="G4363" s="2" t="s">
        <v>32641</v>
      </c>
      <c r="H4363" s="2" t="s">
        <v>15854</v>
      </c>
      <c r="I4363" s="2" t="s">
        <v>51</v>
      </c>
      <c r="J4363" s="2" t="s">
        <v>2190</v>
      </c>
      <c r="K4363" s="2" t="s">
        <v>32639</v>
      </c>
      <c r="L4363" s="2" t="s">
        <v>51</v>
      </c>
      <c r="M4363" s="2" t="s">
        <v>15854</v>
      </c>
      <c r="N4363" s="2" t="s">
        <v>32642</v>
      </c>
      <c r="O4363" s="2"/>
      <c r="P4363" s="2" t="s">
        <v>37</v>
      </c>
      <c r="Q4363" s="4" t="n">
        <v>8299</v>
      </c>
      <c r="R4363" s="2" t="s">
        <v>56</v>
      </c>
      <c r="S4363" s="2" t="s">
        <v>80</v>
      </c>
      <c r="T4363" s="2" t="s">
        <v>40</v>
      </c>
      <c r="U4363" s="2" t="s">
        <v>32643</v>
      </c>
      <c r="V4363" s="2"/>
      <c r="W4363" s="2" t="s">
        <v>32644</v>
      </c>
      <c r="X4363" s="2" t="s">
        <v>43</v>
      </c>
      <c r="Y4363" s="2" t="s">
        <v>37</v>
      </c>
      <c r="Z4363" s="2" t="s">
        <v>44</v>
      </c>
      <c r="AA4363" s="2"/>
      <c r="AB4363" s="2"/>
      <c r="AC4363" s="2" t="s">
        <v>32645</v>
      </c>
      <c r="AD4363" s="2" t="s">
        <v>46</v>
      </c>
    </row>
    <row r="4364" customFormat="false" ht="15.7" hidden="false" customHeight="true" outlineLevel="0" collapsed="false">
      <c r="A4364" s="2"/>
      <c r="B4364" s="3" t="n">
        <f aca="false">DATE(2019,7,12)</f>
        <v>0</v>
      </c>
      <c r="C4364" s="3" t="n">
        <v>43658</v>
      </c>
      <c r="D4364" s="2" t="s">
        <v>32646</v>
      </c>
      <c r="F4364" s="2" t="s">
        <v>19163</v>
      </c>
      <c r="G4364" s="2" t="s">
        <v>32647</v>
      </c>
      <c r="H4364" s="2" t="s">
        <v>19165</v>
      </c>
      <c r="I4364" s="2" t="s">
        <v>7705</v>
      </c>
      <c r="J4364" s="2" t="s">
        <v>35</v>
      </c>
      <c r="K4364" s="2" t="s">
        <v>32646</v>
      </c>
      <c r="L4364" s="2" t="s">
        <v>7705</v>
      </c>
      <c r="M4364" s="2" t="s">
        <v>19165</v>
      </c>
      <c r="N4364" s="2" t="s">
        <v>32648</v>
      </c>
      <c r="O4364" s="2"/>
      <c r="P4364" s="2" t="s">
        <v>37</v>
      </c>
      <c r="Q4364" s="4" t="n">
        <v>8099</v>
      </c>
      <c r="R4364" s="2" t="s">
        <v>688</v>
      </c>
      <c r="S4364" s="2" t="s">
        <v>39</v>
      </c>
      <c r="T4364" s="2" t="s">
        <v>40</v>
      </c>
      <c r="U4364" s="2" t="s">
        <v>32649</v>
      </c>
      <c r="V4364" s="2"/>
      <c r="W4364" s="2" t="s">
        <v>18401</v>
      </c>
      <c r="X4364" s="2" t="s">
        <v>43</v>
      </c>
      <c r="Y4364" s="2" t="s">
        <v>37</v>
      </c>
      <c r="Z4364" s="2" t="s">
        <v>44</v>
      </c>
      <c r="AA4364" s="2"/>
      <c r="AB4364" s="2"/>
      <c r="AC4364" s="2" t="s">
        <v>32650</v>
      </c>
      <c r="AD4364" s="2" t="s">
        <v>46</v>
      </c>
    </row>
    <row r="4365" customFormat="false" ht="15.7" hidden="false" customHeight="true" outlineLevel="0" collapsed="false">
      <c r="A4365" s="2"/>
      <c r="B4365" s="3" t="n">
        <f aca="false">DATE(2019,7,12)</f>
        <v>0</v>
      </c>
      <c r="C4365" s="3" t="n">
        <v>43658</v>
      </c>
      <c r="D4365" s="2" t="s">
        <v>32651</v>
      </c>
      <c r="F4365" s="2" t="s">
        <v>20650</v>
      </c>
      <c r="G4365" s="2" t="s">
        <v>32652</v>
      </c>
      <c r="H4365" s="2" t="s">
        <v>130</v>
      </c>
      <c r="I4365" s="2" t="s">
        <v>7320</v>
      </c>
      <c r="J4365" s="2" t="s">
        <v>35</v>
      </c>
      <c r="K4365" s="2" t="s">
        <v>32653</v>
      </c>
      <c r="L4365" s="2" t="s">
        <v>7320</v>
      </c>
      <c r="M4365" s="2" t="s">
        <v>130</v>
      </c>
      <c r="N4365" s="2" t="s">
        <v>32654</v>
      </c>
      <c r="O4365" s="2"/>
      <c r="P4365" s="2" t="s">
        <v>37</v>
      </c>
      <c r="Q4365" s="4" t="n">
        <v>8099</v>
      </c>
      <c r="R4365" s="2" t="s">
        <v>2105</v>
      </c>
      <c r="S4365" s="2" t="s">
        <v>39</v>
      </c>
      <c r="T4365" s="2" t="s">
        <v>403</v>
      </c>
      <c r="U4365" s="2" t="s">
        <v>32655</v>
      </c>
      <c r="V4365" s="2"/>
      <c r="W4365" s="2" t="s">
        <v>18401</v>
      </c>
      <c r="X4365" s="2" t="s">
        <v>43</v>
      </c>
      <c r="Y4365" s="2" t="s">
        <v>37</v>
      </c>
      <c r="Z4365" s="2" t="s">
        <v>44</v>
      </c>
      <c r="AA4365" s="2"/>
      <c r="AB4365" s="2"/>
      <c r="AC4365" s="2" t="s">
        <v>32656</v>
      </c>
      <c r="AD4365" s="2" t="s">
        <v>46</v>
      </c>
    </row>
    <row r="4366" customFormat="false" ht="15.7" hidden="false" customHeight="true" outlineLevel="0" collapsed="false">
      <c r="A4366" s="2"/>
      <c r="B4366" s="3" t="n">
        <f aca="false">DATE(2019,7,15)</f>
        <v>0</v>
      </c>
      <c r="C4366" s="3" t="n">
        <v>43661</v>
      </c>
      <c r="D4366" s="2" t="s">
        <v>32657</v>
      </c>
      <c r="F4366" s="2" t="s">
        <v>32658</v>
      </c>
      <c r="G4366" s="2" t="s">
        <v>32659</v>
      </c>
      <c r="H4366" s="2" t="s">
        <v>8866</v>
      </c>
      <c r="I4366" s="2" t="s">
        <v>32660</v>
      </c>
      <c r="J4366" s="2" t="s">
        <v>35</v>
      </c>
      <c r="K4366" s="2" t="s">
        <v>32661</v>
      </c>
      <c r="L4366" s="2" t="s">
        <v>32660</v>
      </c>
      <c r="M4366" s="2" t="s">
        <v>11071</v>
      </c>
      <c r="N4366" s="2" t="s">
        <v>32662</v>
      </c>
      <c r="O4366" s="2"/>
      <c r="P4366" s="2" t="s">
        <v>37</v>
      </c>
      <c r="Q4366" s="4" t="n">
        <v>8731</v>
      </c>
      <c r="R4366" s="2" t="s">
        <v>20239</v>
      </c>
      <c r="S4366" s="2" t="s">
        <v>39</v>
      </c>
      <c r="T4366" s="2" t="s">
        <v>40</v>
      </c>
      <c r="U4366" s="2" t="s">
        <v>32663</v>
      </c>
      <c r="V4366" s="2"/>
      <c r="W4366" s="2" t="s">
        <v>344</v>
      </c>
      <c r="X4366" s="2" t="s">
        <v>43</v>
      </c>
      <c r="Y4366" s="2" t="s">
        <v>37</v>
      </c>
      <c r="Z4366" s="2" t="s">
        <v>44</v>
      </c>
      <c r="AA4366" s="2"/>
      <c r="AB4366" s="2"/>
      <c r="AC4366" s="2" t="s">
        <v>32664</v>
      </c>
      <c r="AD4366" s="2" t="s">
        <v>46</v>
      </c>
    </row>
    <row r="4367" customFormat="false" ht="15.7" hidden="false" customHeight="true" outlineLevel="0" collapsed="false">
      <c r="A4367" s="2"/>
      <c r="B4367" s="3" t="n">
        <f aca="false">DATE(2019,7,16)</f>
        <v>0</v>
      </c>
      <c r="C4367" s="3" t="n">
        <v>43662</v>
      </c>
      <c r="D4367" s="2" t="s">
        <v>32665</v>
      </c>
      <c r="F4367" s="2" t="s">
        <v>32666</v>
      </c>
      <c r="G4367" s="2" t="s">
        <v>32667</v>
      </c>
      <c r="H4367" s="2" t="s">
        <v>32668</v>
      </c>
      <c r="I4367" s="2" t="s">
        <v>51</v>
      </c>
      <c r="J4367" s="2" t="s">
        <v>4804</v>
      </c>
      <c r="K4367" s="2" t="s">
        <v>32665</v>
      </c>
      <c r="L4367" s="2" t="s">
        <v>51</v>
      </c>
      <c r="M4367" s="2" t="s">
        <v>32668</v>
      </c>
      <c r="N4367" s="2" t="s">
        <v>32669</v>
      </c>
      <c r="O4367" s="2"/>
      <c r="P4367" s="2" t="s">
        <v>37</v>
      </c>
      <c r="Q4367" s="4" t="n">
        <v>8099</v>
      </c>
      <c r="R4367" s="2" t="s">
        <v>56</v>
      </c>
      <c r="S4367" s="2" t="s">
        <v>92</v>
      </c>
      <c r="T4367" s="2" t="s">
        <v>40</v>
      </c>
      <c r="U4367" s="2" t="s">
        <v>32670</v>
      </c>
      <c r="V4367" s="2"/>
      <c r="W4367" s="2" t="s">
        <v>4487</v>
      </c>
      <c r="X4367" s="2" t="s">
        <v>43</v>
      </c>
      <c r="Y4367" s="2" t="s">
        <v>37</v>
      </c>
      <c r="Z4367" s="2" t="s">
        <v>44</v>
      </c>
      <c r="AA4367" s="2"/>
      <c r="AB4367" s="2"/>
      <c r="AC4367" s="2" t="s">
        <v>32671</v>
      </c>
      <c r="AD4367" s="2" t="s">
        <v>46</v>
      </c>
    </row>
    <row r="4368" customFormat="false" ht="15.7" hidden="false" customHeight="true" outlineLevel="0" collapsed="false">
      <c r="A4368" s="2"/>
      <c r="B4368" s="3" t="n">
        <f aca="false">DATE(2019,7,16)</f>
        <v>0</v>
      </c>
      <c r="C4368" s="3" t="n">
        <v>43662</v>
      </c>
      <c r="D4368" s="2" t="s">
        <v>32672</v>
      </c>
      <c r="F4368" s="2" t="s">
        <v>32673</v>
      </c>
      <c r="G4368" s="2" t="s">
        <v>32674</v>
      </c>
      <c r="H4368" s="2" t="s">
        <v>305</v>
      </c>
      <c r="I4368" s="2" t="s">
        <v>51</v>
      </c>
      <c r="J4368" s="2" t="s">
        <v>5787</v>
      </c>
      <c r="K4368" s="2" t="s">
        <v>32675</v>
      </c>
      <c r="L4368" s="2" t="s">
        <v>88</v>
      </c>
      <c r="M4368" s="2" t="s">
        <v>130</v>
      </c>
      <c r="N4368" s="2" t="s">
        <v>32676</v>
      </c>
      <c r="O4368" s="2"/>
      <c r="P4368" s="2" t="s">
        <v>37</v>
      </c>
      <c r="Q4368" s="4" t="n">
        <v>8731</v>
      </c>
      <c r="R4368" s="2" t="s">
        <v>56</v>
      </c>
      <c r="S4368" s="2" t="s">
        <v>360</v>
      </c>
      <c r="T4368" s="2" t="s">
        <v>403</v>
      </c>
      <c r="U4368" s="2" t="s">
        <v>32677</v>
      </c>
      <c r="V4368" s="2"/>
      <c r="W4368" s="2" t="s">
        <v>2056</v>
      </c>
      <c r="X4368" s="2" t="s">
        <v>43</v>
      </c>
      <c r="Y4368" s="2" t="s">
        <v>37</v>
      </c>
      <c r="Z4368" s="2" t="s">
        <v>44</v>
      </c>
      <c r="AA4368" s="2"/>
      <c r="AB4368" s="2"/>
      <c r="AC4368" s="2" t="s">
        <v>32678</v>
      </c>
      <c r="AD4368" s="2" t="s">
        <v>46</v>
      </c>
    </row>
    <row r="4369" customFormat="false" ht="15.7" hidden="false" customHeight="true" outlineLevel="0" collapsed="false">
      <c r="A4369" s="2"/>
      <c r="B4369" s="3" t="n">
        <f aca="false">DATE(2019,7,16)</f>
        <v>0</v>
      </c>
      <c r="C4369" s="3" t="n">
        <v>43662</v>
      </c>
      <c r="D4369" s="2" t="s">
        <v>32679</v>
      </c>
      <c r="F4369" s="2" t="s">
        <v>19085</v>
      </c>
      <c r="G4369" s="2" t="s">
        <v>32680</v>
      </c>
      <c r="H4369" s="2" t="s">
        <v>63</v>
      </c>
      <c r="I4369" s="2" t="s">
        <v>32681</v>
      </c>
      <c r="J4369" s="2" t="s">
        <v>35</v>
      </c>
      <c r="K4369" s="2" t="s">
        <v>32679</v>
      </c>
      <c r="L4369" s="2" t="s">
        <v>32681</v>
      </c>
      <c r="M4369" s="2" t="s">
        <v>63</v>
      </c>
      <c r="N4369" s="2" t="s">
        <v>32682</v>
      </c>
      <c r="O4369" s="2"/>
      <c r="P4369" s="2" t="s">
        <v>37</v>
      </c>
      <c r="Q4369" s="4" t="n">
        <v>8099</v>
      </c>
      <c r="R4369" s="2" t="s">
        <v>1448</v>
      </c>
      <c r="S4369" s="2" t="s">
        <v>39</v>
      </c>
      <c r="T4369" s="2" t="s">
        <v>40</v>
      </c>
      <c r="U4369" s="2" t="s">
        <v>32683</v>
      </c>
      <c r="V4369" s="2"/>
      <c r="W4369" s="2" t="s">
        <v>28234</v>
      </c>
      <c r="X4369" s="2" t="s">
        <v>43</v>
      </c>
      <c r="Y4369" s="2" t="s">
        <v>37</v>
      </c>
      <c r="Z4369" s="2" t="s">
        <v>44</v>
      </c>
      <c r="AA4369" s="2"/>
      <c r="AB4369" s="2"/>
      <c r="AC4369" s="2" t="s">
        <v>32684</v>
      </c>
      <c r="AD4369" s="2" t="s">
        <v>46</v>
      </c>
    </row>
    <row r="4370" customFormat="false" ht="15.7" hidden="false" customHeight="true" outlineLevel="0" collapsed="false">
      <c r="A4370" s="2"/>
      <c r="B4370" s="3" t="n">
        <f aca="false">DATE(2019,7,16)</f>
        <v>0</v>
      </c>
      <c r="C4370" s="3" t="n">
        <v>43662</v>
      </c>
      <c r="D4370" s="2" t="s">
        <v>32685</v>
      </c>
      <c r="F4370" s="2" t="s">
        <v>7798</v>
      </c>
      <c r="G4370" s="2" t="s">
        <v>32686</v>
      </c>
      <c r="H4370" s="2" t="s">
        <v>1027</v>
      </c>
      <c r="I4370" s="2" t="s">
        <v>487</v>
      </c>
      <c r="J4370" s="2" t="s">
        <v>966</v>
      </c>
      <c r="K4370" s="2" t="s">
        <v>32685</v>
      </c>
      <c r="L4370" s="2" t="s">
        <v>487</v>
      </c>
      <c r="M4370" s="2" t="s">
        <v>1027</v>
      </c>
      <c r="N4370" s="2" t="s">
        <v>32687</v>
      </c>
      <c r="O4370" s="2"/>
      <c r="P4370" s="2" t="s">
        <v>37</v>
      </c>
      <c r="Q4370" s="4" t="n">
        <v>6794</v>
      </c>
      <c r="R4370" s="2" t="s">
        <v>56</v>
      </c>
      <c r="S4370" s="2"/>
      <c r="T4370" s="2" t="s">
        <v>403</v>
      </c>
      <c r="U4370" s="2" t="s">
        <v>32688</v>
      </c>
      <c r="V4370" s="2"/>
      <c r="W4370" s="2" t="s">
        <v>22971</v>
      </c>
      <c r="X4370" s="2" t="s">
        <v>43</v>
      </c>
      <c r="Y4370" s="2" t="s">
        <v>37</v>
      </c>
      <c r="Z4370" s="2" t="s">
        <v>44</v>
      </c>
      <c r="AA4370" s="2" t="s">
        <v>32689</v>
      </c>
      <c r="AB4370" s="2"/>
      <c r="AC4370" s="2" t="s">
        <v>32690</v>
      </c>
      <c r="AD4370" s="2" t="s">
        <v>46</v>
      </c>
    </row>
    <row r="4371" customFormat="false" ht="15.7" hidden="false" customHeight="true" outlineLevel="0" collapsed="false">
      <c r="A4371" s="2"/>
      <c r="B4371" s="3" t="n">
        <f aca="false">DATE(2019,7,16)</f>
        <v>0</v>
      </c>
      <c r="C4371" s="3" t="n">
        <v>43662</v>
      </c>
      <c r="D4371" s="2" t="s">
        <v>32691</v>
      </c>
      <c r="F4371" s="2" t="s">
        <v>32692</v>
      </c>
      <c r="G4371" s="2" t="s">
        <v>32693</v>
      </c>
      <c r="H4371" s="2" t="s">
        <v>32694</v>
      </c>
      <c r="I4371" s="2" t="s">
        <v>32695</v>
      </c>
      <c r="J4371" s="2" t="s">
        <v>35</v>
      </c>
      <c r="K4371" s="2" t="s">
        <v>32691</v>
      </c>
      <c r="L4371" s="2" t="s">
        <v>32695</v>
      </c>
      <c r="M4371" s="2" t="s">
        <v>32694</v>
      </c>
      <c r="N4371" s="2" t="s">
        <v>32696</v>
      </c>
      <c r="O4371" s="2"/>
      <c r="P4371" s="2" t="s">
        <v>37</v>
      </c>
      <c r="Q4371" s="4" t="n">
        <v>8731</v>
      </c>
      <c r="R4371" s="2" t="s">
        <v>19637</v>
      </c>
      <c r="S4371" s="2" t="s">
        <v>39</v>
      </c>
      <c r="T4371" s="2" t="s">
        <v>403</v>
      </c>
      <c r="U4371" s="2" t="s">
        <v>32697</v>
      </c>
      <c r="V4371" s="2"/>
      <c r="W4371" s="2" t="s">
        <v>24818</v>
      </c>
      <c r="X4371" s="2" t="s">
        <v>46</v>
      </c>
      <c r="Y4371" s="2" t="s">
        <v>37</v>
      </c>
      <c r="Z4371" s="2" t="s">
        <v>44</v>
      </c>
      <c r="AA4371" s="2" t="s">
        <v>32698</v>
      </c>
      <c r="AB4371" s="2"/>
      <c r="AC4371" s="2" t="s">
        <v>32699</v>
      </c>
      <c r="AD4371" s="2" t="s">
        <v>46</v>
      </c>
    </row>
    <row r="4372" customFormat="false" ht="15.7" hidden="false" customHeight="true" outlineLevel="0" collapsed="false">
      <c r="A4372" s="2"/>
      <c r="B4372" s="3" t="n">
        <f aca="false">DATE(2019,7,16)</f>
        <v>0</v>
      </c>
      <c r="C4372" s="3" t="n">
        <v>43662</v>
      </c>
      <c r="D4372" s="2" t="s">
        <v>32700</v>
      </c>
      <c r="F4372" s="2" t="s">
        <v>32701</v>
      </c>
      <c r="G4372" s="2" t="s">
        <v>32702</v>
      </c>
      <c r="H4372" s="2" t="s">
        <v>13908</v>
      </c>
      <c r="I4372" s="2" t="s">
        <v>321</v>
      </c>
      <c r="J4372" s="2" t="s">
        <v>35</v>
      </c>
      <c r="K4372" s="2" t="s">
        <v>32700</v>
      </c>
      <c r="L4372" s="2" t="s">
        <v>321</v>
      </c>
      <c r="M4372" s="2" t="s">
        <v>13908</v>
      </c>
      <c r="N4372" s="2" t="s">
        <v>32703</v>
      </c>
      <c r="O4372" s="2"/>
      <c r="P4372" s="2" t="s">
        <v>37</v>
      </c>
      <c r="Q4372" s="4" t="n">
        <v>8731</v>
      </c>
      <c r="R4372" s="2" t="s">
        <v>2201</v>
      </c>
      <c r="S4372" s="2" t="s">
        <v>39</v>
      </c>
      <c r="T4372" s="2" t="s">
        <v>40</v>
      </c>
      <c r="U4372" s="2" t="s">
        <v>32704</v>
      </c>
      <c r="V4372" s="2"/>
      <c r="W4372" s="2" t="s">
        <v>9400</v>
      </c>
      <c r="X4372" s="2" t="s">
        <v>43</v>
      </c>
      <c r="Y4372" s="2" t="s">
        <v>37</v>
      </c>
      <c r="Z4372" s="2" t="s">
        <v>44</v>
      </c>
      <c r="AA4372" s="2"/>
      <c r="AB4372" s="2"/>
      <c r="AC4372" s="2" t="s">
        <v>32705</v>
      </c>
      <c r="AD4372" s="2" t="s">
        <v>46</v>
      </c>
    </row>
    <row r="4373" customFormat="false" ht="15.7" hidden="false" customHeight="true" outlineLevel="0" collapsed="false">
      <c r="A4373" s="2"/>
      <c r="B4373" s="3" t="n">
        <f aca="false">DATE(2019,7,16)</f>
        <v>0</v>
      </c>
      <c r="C4373" s="3" t="n">
        <v>43662</v>
      </c>
      <c r="D4373" s="2" t="s">
        <v>32706</v>
      </c>
      <c r="F4373" s="2" t="s">
        <v>4786</v>
      </c>
      <c r="G4373" s="2" t="s">
        <v>32707</v>
      </c>
      <c r="H4373" s="2" t="s">
        <v>63</v>
      </c>
      <c r="I4373" s="2" t="s">
        <v>664</v>
      </c>
      <c r="J4373" s="2" t="s">
        <v>132</v>
      </c>
      <c r="K4373" s="2" t="s">
        <v>32708</v>
      </c>
      <c r="L4373" s="2" t="s">
        <v>20020</v>
      </c>
      <c r="M4373" s="2" t="s">
        <v>63</v>
      </c>
      <c r="N4373" s="2" t="s">
        <v>32709</v>
      </c>
      <c r="O4373" s="2"/>
      <c r="P4373" s="2" t="s">
        <v>37</v>
      </c>
      <c r="Q4373" s="4" t="n">
        <v>8731</v>
      </c>
      <c r="R4373" s="2" t="s">
        <v>136</v>
      </c>
      <c r="S4373" s="2" t="s">
        <v>39</v>
      </c>
      <c r="T4373" s="2" t="s">
        <v>40</v>
      </c>
      <c r="U4373" s="2" t="s">
        <v>32710</v>
      </c>
      <c r="V4373" s="2"/>
      <c r="W4373" s="2" t="s">
        <v>24933</v>
      </c>
      <c r="X4373" s="2" t="s">
        <v>43</v>
      </c>
      <c r="Y4373" s="2" t="s">
        <v>37</v>
      </c>
      <c r="Z4373" s="2" t="s">
        <v>44</v>
      </c>
      <c r="AA4373" s="2"/>
      <c r="AB4373" s="2"/>
      <c r="AC4373" s="2" t="s">
        <v>32711</v>
      </c>
      <c r="AD4373" s="2" t="s">
        <v>46</v>
      </c>
    </row>
    <row r="4374" customFormat="false" ht="15.7" hidden="false" customHeight="true" outlineLevel="0" collapsed="false">
      <c r="A4374" s="2"/>
      <c r="B4374" s="3" t="n">
        <f aca="false">DATE(2019,7,17)</f>
        <v>0</v>
      </c>
      <c r="C4374" s="3" t="n">
        <v>43663</v>
      </c>
      <c r="D4374" s="2" t="s">
        <v>32712</v>
      </c>
      <c r="F4374" s="2" t="s">
        <v>15541</v>
      </c>
      <c r="G4374" s="2" t="s">
        <v>32713</v>
      </c>
      <c r="H4374" s="2" t="s">
        <v>170</v>
      </c>
      <c r="I4374" s="2" t="s">
        <v>670</v>
      </c>
      <c r="J4374" s="2" t="s">
        <v>625</v>
      </c>
      <c r="K4374" s="2" t="s">
        <v>32712</v>
      </c>
      <c r="L4374" s="2" t="s">
        <v>670</v>
      </c>
      <c r="M4374" s="2" t="s">
        <v>170</v>
      </c>
      <c r="N4374" s="2" t="s">
        <v>32714</v>
      </c>
      <c r="O4374" s="2"/>
      <c r="P4374" s="2" t="s">
        <v>37</v>
      </c>
      <c r="Q4374" s="4" t="n">
        <v>8731</v>
      </c>
      <c r="R4374" s="2" t="s">
        <v>402</v>
      </c>
      <c r="S4374" s="2" t="s">
        <v>39</v>
      </c>
      <c r="T4374" s="2" t="s">
        <v>40</v>
      </c>
      <c r="U4374" s="2" t="s">
        <v>32715</v>
      </c>
      <c r="V4374" s="2"/>
      <c r="W4374" s="2" t="s">
        <v>23324</v>
      </c>
      <c r="X4374" s="2" t="s">
        <v>43</v>
      </c>
      <c r="Y4374" s="2" t="s">
        <v>37</v>
      </c>
      <c r="Z4374" s="2" t="s">
        <v>44</v>
      </c>
      <c r="AA4374" s="2"/>
      <c r="AB4374" s="2"/>
      <c r="AC4374" s="2" t="s">
        <v>32716</v>
      </c>
      <c r="AD4374" s="2" t="s">
        <v>46</v>
      </c>
    </row>
    <row r="4375" customFormat="false" ht="15.7" hidden="false" customHeight="true" outlineLevel="0" collapsed="false">
      <c r="A4375" s="2"/>
      <c r="B4375" s="3" t="n">
        <f aca="false">DATE(2019,7,18)</f>
        <v>0</v>
      </c>
      <c r="C4375" s="3" t="n">
        <v>43664</v>
      </c>
      <c r="D4375" s="2" t="s">
        <v>32717</v>
      </c>
      <c r="F4375" s="2" t="s">
        <v>17277</v>
      </c>
      <c r="G4375" s="2" t="s">
        <v>32718</v>
      </c>
      <c r="H4375" s="2" t="s">
        <v>523</v>
      </c>
      <c r="I4375" s="2" t="s">
        <v>4341</v>
      </c>
      <c r="J4375" s="2" t="s">
        <v>35</v>
      </c>
      <c r="K4375" s="2" t="s">
        <v>32719</v>
      </c>
      <c r="L4375" s="2" t="s">
        <v>32720</v>
      </c>
      <c r="M4375" s="2" t="s">
        <v>523</v>
      </c>
      <c r="N4375" s="2" t="s">
        <v>32721</v>
      </c>
      <c r="O4375" s="2"/>
      <c r="P4375" s="2" t="s">
        <v>37</v>
      </c>
      <c r="Q4375" s="4" t="n">
        <v>6794</v>
      </c>
      <c r="R4375" s="2" t="s">
        <v>70</v>
      </c>
      <c r="S4375" s="2" t="s">
        <v>39</v>
      </c>
      <c r="T4375" s="2" t="s">
        <v>40</v>
      </c>
      <c r="U4375" s="2" t="s">
        <v>32722</v>
      </c>
      <c r="V4375" s="2"/>
      <c r="W4375" s="2" t="s">
        <v>20757</v>
      </c>
      <c r="X4375" s="2" t="s">
        <v>43</v>
      </c>
      <c r="Y4375" s="2" t="s">
        <v>37</v>
      </c>
      <c r="Z4375" s="2" t="s">
        <v>44</v>
      </c>
      <c r="AA4375" s="2"/>
      <c r="AB4375" s="2"/>
      <c r="AC4375" s="2" t="s">
        <v>32723</v>
      </c>
      <c r="AD4375" s="2" t="s">
        <v>46</v>
      </c>
    </row>
    <row r="4376" customFormat="false" ht="15.7" hidden="false" customHeight="true" outlineLevel="0" collapsed="false">
      <c r="A4376" s="2"/>
      <c r="B4376" s="3" t="n">
        <f aca="false">DATE(2019,7,22)</f>
        <v>0</v>
      </c>
      <c r="C4376" s="3" t="n">
        <v>43668</v>
      </c>
      <c r="D4376" s="2" t="s">
        <v>32724</v>
      </c>
      <c r="F4376" s="2" t="s">
        <v>32725</v>
      </c>
      <c r="G4376" s="2" t="s">
        <v>32726</v>
      </c>
      <c r="H4376" s="2" t="s">
        <v>1163</v>
      </c>
      <c r="I4376" s="2" t="s">
        <v>32727</v>
      </c>
      <c r="J4376" s="2" t="s">
        <v>35</v>
      </c>
      <c r="K4376" s="2" t="s">
        <v>32724</v>
      </c>
      <c r="L4376" s="2" t="s">
        <v>32727</v>
      </c>
      <c r="M4376" s="2" t="s">
        <v>1163</v>
      </c>
      <c r="N4376" s="2" t="s">
        <v>32728</v>
      </c>
      <c r="O4376" s="2"/>
      <c r="P4376" s="2" t="s">
        <v>37</v>
      </c>
      <c r="Q4376" s="4" t="n">
        <v>8099</v>
      </c>
      <c r="R4376" s="2" t="s">
        <v>105</v>
      </c>
      <c r="S4376" s="2" t="s">
        <v>39</v>
      </c>
      <c r="T4376" s="2" t="s">
        <v>40</v>
      </c>
      <c r="U4376" s="2" t="s">
        <v>32729</v>
      </c>
      <c r="V4376" s="2"/>
      <c r="W4376" s="2" t="s">
        <v>19532</v>
      </c>
      <c r="X4376" s="2" t="s">
        <v>43</v>
      </c>
      <c r="Y4376" s="2" t="s">
        <v>37</v>
      </c>
      <c r="Z4376" s="2" t="s">
        <v>44</v>
      </c>
      <c r="AA4376" s="2"/>
      <c r="AB4376" s="2"/>
      <c r="AC4376" s="2" t="s">
        <v>32730</v>
      </c>
      <c r="AD4376" s="2" t="s">
        <v>46</v>
      </c>
    </row>
    <row r="4377" customFormat="false" ht="15.7" hidden="false" customHeight="true" outlineLevel="0" collapsed="false">
      <c r="A4377" s="2"/>
      <c r="B4377" s="3" t="n">
        <f aca="false">DATE(2019,7,23)</f>
        <v>0</v>
      </c>
      <c r="C4377" s="3" t="n">
        <v>43669</v>
      </c>
      <c r="D4377" s="2" t="s">
        <v>32731</v>
      </c>
      <c r="F4377" s="2" t="s">
        <v>22407</v>
      </c>
      <c r="G4377" s="2" t="s">
        <v>32732</v>
      </c>
      <c r="H4377" s="2" t="s">
        <v>762</v>
      </c>
      <c r="I4377" s="2" t="s">
        <v>51</v>
      </c>
      <c r="J4377" s="2" t="s">
        <v>15522</v>
      </c>
      <c r="K4377" s="2" t="s">
        <v>32733</v>
      </c>
      <c r="L4377" s="2" t="s">
        <v>51</v>
      </c>
      <c r="M4377" s="2" t="s">
        <v>170</v>
      </c>
      <c r="N4377" s="2" t="s">
        <v>32734</v>
      </c>
      <c r="O4377" s="2"/>
      <c r="P4377" s="2" t="s">
        <v>37</v>
      </c>
      <c r="Q4377" s="4" t="n">
        <v>6794</v>
      </c>
      <c r="R4377" s="2" t="s">
        <v>56</v>
      </c>
      <c r="S4377" s="2"/>
      <c r="T4377" s="2" t="s">
        <v>40</v>
      </c>
      <c r="U4377" s="2" t="s">
        <v>32735</v>
      </c>
      <c r="V4377" s="2"/>
      <c r="W4377" s="2" t="s">
        <v>22507</v>
      </c>
      <c r="X4377" s="2" t="s">
        <v>43</v>
      </c>
      <c r="Y4377" s="2" t="s">
        <v>37</v>
      </c>
      <c r="Z4377" s="2" t="s">
        <v>44</v>
      </c>
      <c r="AA4377" s="2"/>
      <c r="AB4377" s="2"/>
      <c r="AC4377" s="2" t="s">
        <v>32736</v>
      </c>
      <c r="AD4377" s="2" t="s">
        <v>46</v>
      </c>
    </row>
    <row r="4378" customFormat="false" ht="15.7" hidden="false" customHeight="true" outlineLevel="0" collapsed="false">
      <c r="A4378" s="2"/>
      <c r="B4378" s="3" t="n">
        <f aca="false">DATE(2019,7,23)</f>
        <v>0</v>
      </c>
      <c r="C4378" s="3" t="n">
        <v>43669</v>
      </c>
      <c r="D4378" s="2" t="s">
        <v>32737</v>
      </c>
      <c r="F4378" s="2" t="s">
        <v>32738</v>
      </c>
      <c r="G4378" s="2" t="s">
        <v>32739</v>
      </c>
      <c r="H4378" s="2" t="s">
        <v>32740</v>
      </c>
      <c r="I4378" s="2" t="s">
        <v>51</v>
      </c>
      <c r="J4378" s="2" t="s">
        <v>32741</v>
      </c>
      <c r="K4378" s="2" t="s">
        <v>32742</v>
      </c>
      <c r="L4378" s="2" t="s">
        <v>51</v>
      </c>
      <c r="M4378" s="2" t="s">
        <v>32743</v>
      </c>
      <c r="N4378" s="2" t="s">
        <v>32744</v>
      </c>
      <c r="O4378" s="2"/>
      <c r="P4378" s="2" t="s">
        <v>37</v>
      </c>
      <c r="Q4378" s="4" t="n">
        <v>6311</v>
      </c>
      <c r="R4378" s="2" t="s">
        <v>51</v>
      </c>
      <c r="S4378" s="2" t="s">
        <v>32745</v>
      </c>
      <c r="T4378" s="2" t="s">
        <v>40</v>
      </c>
      <c r="U4378" s="2" t="s">
        <v>32746</v>
      </c>
      <c r="V4378" s="2"/>
      <c r="W4378" s="2" t="s">
        <v>32747</v>
      </c>
      <c r="X4378" s="2" t="s">
        <v>43</v>
      </c>
      <c r="Y4378" s="2" t="s">
        <v>37</v>
      </c>
      <c r="Z4378" s="2" t="s">
        <v>44</v>
      </c>
      <c r="AA4378" s="2"/>
      <c r="AB4378" s="2"/>
      <c r="AC4378" s="2" t="s">
        <v>32748</v>
      </c>
      <c r="AD4378" s="2" t="s">
        <v>46</v>
      </c>
    </row>
    <row r="4379" customFormat="false" ht="15.7" hidden="false" customHeight="true" outlineLevel="0" collapsed="false">
      <c r="A4379" s="2"/>
      <c r="B4379" s="3" t="n">
        <f aca="false">DATE(2019,7,23)</f>
        <v>0</v>
      </c>
      <c r="C4379" s="3" t="n">
        <v>43669</v>
      </c>
      <c r="D4379" s="2" t="s">
        <v>32749</v>
      </c>
      <c r="F4379" s="2" t="s">
        <v>32750</v>
      </c>
      <c r="G4379" s="2" t="s">
        <v>32751</v>
      </c>
      <c r="H4379" s="2" t="s">
        <v>10520</v>
      </c>
      <c r="I4379" s="2" t="s">
        <v>51</v>
      </c>
      <c r="J4379" s="2" t="s">
        <v>10488</v>
      </c>
      <c r="K4379" s="2" t="s">
        <v>32752</v>
      </c>
      <c r="L4379" s="2" t="s">
        <v>51</v>
      </c>
      <c r="M4379" s="2" t="s">
        <v>32753</v>
      </c>
      <c r="N4379" s="2" t="s">
        <v>32754</v>
      </c>
      <c r="O4379" s="2"/>
      <c r="P4379" s="2" t="s">
        <v>37</v>
      </c>
      <c r="Q4379" s="4" t="n">
        <v>8099</v>
      </c>
      <c r="R4379" s="2" t="s">
        <v>56</v>
      </c>
      <c r="S4379" s="2" t="s">
        <v>380</v>
      </c>
      <c r="T4379" s="2" t="s">
        <v>403</v>
      </c>
      <c r="U4379" s="2" t="s">
        <v>32755</v>
      </c>
      <c r="V4379" s="2"/>
      <c r="W4379" s="2" t="s">
        <v>4487</v>
      </c>
      <c r="X4379" s="2" t="s">
        <v>43</v>
      </c>
      <c r="Y4379" s="2" t="s">
        <v>37</v>
      </c>
      <c r="Z4379" s="2" t="s">
        <v>44</v>
      </c>
      <c r="AA4379" s="2"/>
      <c r="AB4379" s="2"/>
      <c r="AC4379" s="2" t="s">
        <v>32756</v>
      </c>
      <c r="AD4379" s="2" t="s">
        <v>46</v>
      </c>
    </row>
    <row r="4380" customFormat="false" ht="15.7" hidden="false" customHeight="true" outlineLevel="0" collapsed="false">
      <c r="A4380" s="2"/>
      <c r="B4380" s="3" t="n">
        <f aca="false">DATE(2019,7,23)</f>
        <v>0</v>
      </c>
      <c r="C4380" s="3" t="n">
        <v>43669</v>
      </c>
      <c r="D4380" s="2" t="s">
        <v>32757</v>
      </c>
      <c r="F4380" s="2" t="s">
        <v>32758</v>
      </c>
      <c r="G4380" s="2" t="s">
        <v>32759</v>
      </c>
      <c r="H4380" s="2" t="s">
        <v>32760</v>
      </c>
      <c r="I4380" s="2" t="s">
        <v>32761</v>
      </c>
      <c r="J4380" s="2" t="s">
        <v>116</v>
      </c>
      <c r="K4380" s="2" t="s">
        <v>32762</v>
      </c>
      <c r="L4380" s="2" t="s">
        <v>32763</v>
      </c>
      <c r="M4380" s="2" t="s">
        <v>32764</v>
      </c>
      <c r="N4380" s="2" t="s">
        <v>32765</v>
      </c>
      <c r="O4380" s="2"/>
      <c r="P4380" s="2" t="s">
        <v>37</v>
      </c>
      <c r="Q4380" s="4" t="n">
        <v>8731</v>
      </c>
      <c r="R4380" s="2"/>
      <c r="S4380" s="2"/>
      <c r="T4380" s="2" t="s">
        <v>40</v>
      </c>
      <c r="U4380" s="2" t="s">
        <v>32766</v>
      </c>
      <c r="V4380" s="2"/>
      <c r="W4380" s="2" t="s">
        <v>32767</v>
      </c>
      <c r="X4380" s="2" t="s">
        <v>43</v>
      </c>
      <c r="Y4380" s="2" t="s">
        <v>37</v>
      </c>
      <c r="Z4380" s="2" t="s">
        <v>916</v>
      </c>
      <c r="AA4380" s="2"/>
      <c r="AB4380" s="2"/>
      <c r="AC4380" s="2" t="s">
        <v>32768</v>
      </c>
      <c r="AD4380" s="2" t="s">
        <v>46</v>
      </c>
    </row>
    <row r="4381" customFormat="false" ht="15.7" hidden="false" customHeight="true" outlineLevel="0" collapsed="false">
      <c r="A4381" s="2"/>
      <c r="B4381" s="3" t="n">
        <f aca="false">DATE(2019,7,23)</f>
        <v>0</v>
      </c>
      <c r="C4381" s="3" t="n">
        <v>43669</v>
      </c>
      <c r="D4381" s="2" t="s">
        <v>32769</v>
      </c>
      <c r="F4381" s="2" t="s">
        <v>32770</v>
      </c>
      <c r="G4381" s="2" t="s">
        <v>32771</v>
      </c>
      <c r="H4381" s="2" t="s">
        <v>6112</v>
      </c>
      <c r="I4381" s="2" t="s">
        <v>51</v>
      </c>
      <c r="J4381" s="2" t="s">
        <v>7123</v>
      </c>
      <c r="K4381" s="2" t="s">
        <v>32769</v>
      </c>
      <c r="L4381" s="2" t="s">
        <v>51</v>
      </c>
      <c r="M4381" s="2" t="s">
        <v>6112</v>
      </c>
      <c r="N4381" s="2" t="s">
        <v>32772</v>
      </c>
      <c r="O4381" s="2"/>
      <c r="P4381" s="2" t="s">
        <v>37</v>
      </c>
      <c r="Q4381" s="4" t="n">
        <v>8731</v>
      </c>
      <c r="R4381" s="2" t="s">
        <v>56</v>
      </c>
      <c r="S4381" s="2" t="s">
        <v>251</v>
      </c>
      <c r="T4381" s="2" t="s">
        <v>403</v>
      </c>
      <c r="U4381" s="2" t="s">
        <v>32773</v>
      </c>
      <c r="V4381" s="2"/>
      <c r="W4381" s="2" t="s">
        <v>344</v>
      </c>
      <c r="X4381" s="2" t="s">
        <v>43</v>
      </c>
      <c r="Y4381" s="2" t="s">
        <v>37</v>
      </c>
      <c r="Z4381" s="2" t="s">
        <v>44</v>
      </c>
      <c r="AA4381" s="2"/>
      <c r="AB4381" s="2"/>
      <c r="AC4381" s="2" t="s">
        <v>32774</v>
      </c>
      <c r="AD4381" s="2" t="s">
        <v>46</v>
      </c>
    </row>
    <row r="4382" customFormat="false" ht="15.7" hidden="false" customHeight="true" outlineLevel="0" collapsed="false">
      <c r="A4382" s="2"/>
      <c r="B4382" s="3" t="n">
        <f aca="false">DATE(2019,7,24)</f>
        <v>0</v>
      </c>
      <c r="C4382" s="3" t="n">
        <v>43670</v>
      </c>
      <c r="D4382" s="2" t="s">
        <v>32775</v>
      </c>
      <c r="F4382" s="2" t="s">
        <v>32776</v>
      </c>
      <c r="G4382" s="2" t="s">
        <v>32777</v>
      </c>
      <c r="H4382" s="2" t="s">
        <v>2076</v>
      </c>
      <c r="I4382" s="2" t="s">
        <v>20129</v>
      </c>
      <c r="J4382" s="2" t="s">
        <v>35</v>
      </c>
      <c r="K4382" s="2" t="s">
        <v>32778</v>
      </c>
      <c r="L4382" s="2" t="s">
        <v>4417</v>
      </c>
      <c r="M4382" s="2" t="s">
        <v>32779</v>
      </c>
      <c r="N4382" s="2" t="s">
        <v>32780</v>
      </c>
      <c r="O4382" s="2"/>
      <c r="P4382" s="2" t="s">
        <v>37</v>
      </c>
      <c r="Q4382" s="4" t="n">
        <v>8731</v>
      </c>
      <c r="R4382" s="2" t="s">
        <v>2225</v>
      </c>
      <c r="S4382" s="2" t="s">
        <v>39</v>
      </c>
      <c r="T4382" s="2" t="s">
        <v>40</v>
      </c>
      <c r="U4382" s="2" t="s">
        <v>32781</v>
      </c>
      <c r="V4382" s="2"/>
      <c r="W4382" s="2" t="s">
        <v>697</v>
      </c>
      <c r="X4382" s="2" t="s">
        <v>43</v>
      </c>
      <c r="Y4382" s="2" t="s">
        <v>37</v>
      </c>
      <c r="Z4382" s="2" t="s">
        <v>44</v>
      </c>
      <c r="AA4382" s="2"/>
      <c r="AB4382" s="2"/>
      <c r="AC4382" s="2" t="s">
        <v>32782</v>
      </c>
      <c r="AD4382" s="2" t="s">
        <v>46</v>
      </c>
    </row>
    <row r="4383" customFormat="false" ht="15.7" hidden="false" customHeight="true" outlineLevel="0" collapsed="false">
      <c r="A4383" s="2"/>
      <c r="B4383" s="3" t="n">
        <f aca="false">DATE(2019,7,24)</f>
        <v>0</v>
      </c>
      <c r="C4383" s="3" t="n">
        <v>43670</v>
      </c>
      <c r="D4383" s="2" t="s">
        <v>32783</v>
      </c>
      <c r="F4383" s="2" t="s">
        <v>32784</v>
      </c>
      <c r="G4383" s="2" t="s">
        <v>32785</v>
      </c>
      <c r="H4383" s="2" t="s">
        <v>32786</v>
      </c>
      <c r="I4383" s="2" t="s">
        <v>540</v>
      </c>
      <c r="J4383" s="2" t="s">
        <v>35</v>
      </c>
      <c r="K4383" s="2" t="s">
        <v>32783</v>
      </c>
      <c r="L4383" s="2" t="s">
        <v>540</v>
      </c>
      <c r="M4383" s="2" t="s">
        <v>32786</v>
      </c>
      <c r="N4383" s="2" t="s">
        <v>32787</v>
      </c>
      <c r="O4383" s="2"/>
      <c r="P4383" s="2" t="s">
        <v>37</v>
      </c>
      <c r="Q4383" s="4" t="n">
        <v>8733</v>
      </c>
      <c r="R4383" s="2" t="s">
        <v>1448</v>
      </c>
      <c r="S4383" s="2" t="s">
        <v>39</v>
      </c>
      <c r="T4383" s="2" t="s">
        <v>40</v>
      </c>
      <c r="U4383" s="2" t="s">
        <v>32788</v>
      </c>
      <c r="V4383" s="2"/>
      <c r="W4383" s="2" t="s">
        <v>13346</v>
      </c>
      <c r="X4383" s="2" t="s">
        <v>43</v>
      </c>
      <c r="Y4383" s="2" t="s">
        <v>37</v>
      </c>
      <c r="Z4383" s="2" t="s">
        <v>44</v>
      </c>
      <c r="AA4383" s="2"/>
      <c r="AB4383" s="2"/>
      <c r="AC4383" s="2" t="s">
        <v>32789</v>
      </c>
      <c r="AD4383" s="2" t="s">
        <v>46</v>
      </c>
    </row>
    <row r="4384" customFormat="false" ht="15.7" hidden="false" customHeight="true" outlineLevel="0" collapsed="false">
      <c r="A4384" s="2"/>
      <c r="B4384" s="3" t="n">
        <f aca="false">DATE(2019,7,25)</f>
        <v>0</v>
      </c>
      <c r="C4384" s="3" t="n">
        <v>43671</v>
      </c>
      <c r="D4384" s="2" t="s">
        <v>32790</v>
      </c>
      <c r="F4384" s="2" t="s">
        <v>32791</v>
      </c>
      <c r="G4384" s="2" t="s">
        <v>32792</v>
      </c>
      <c r="H4384" s="2" t="s">
        <v>1943</v>
      </c>
      <c r="I4384" s="2" t="s">
        <v>330</v>
      </c>
      <c r="J4384" s="2" t="s">
        <v>14811</v>
      </c>
      <c r="K4384" s="2" t="s">
        <v>32790</v>
      </c>
      <c r="L4384" s="2" t="s">
        <v>330</v>
      </c>
      <c r="M4384" s="2" t="s">
        <v>1943</v>
      </c>
      <c r="N4384" s="2" t="s">
        <v>32793</v>
      </c>
      <c r="O4384" s="2"/>
      <c r="P4384" s="2" t="s">
        <v>37</v>
      </c>
      <c r="Q4384" s="4" t="n">
        <v>8099</v>
      </c>
      <c r="R4384" s="2" t="s">
        <v>56</v>
      </c>
      <c r="S4384" s="2" t="s">
        <v>92</v>
      </c>
      <c r="T4384" s="2" t="s">
        <v>403</v>
      </c>
      <c r="U4384" s="2" t="s">
        <v>32794</v>
      </c>
      <c r="V4384" s="2"/>
      <c r="W4384" s="2" t="s">
        <v>18812</v>
      </c>
      <c r="X4384" s="2" t="s">
        <v>46</v>
      </c>
      <c r="Y4384" s="2" t="s">
        <v>37</v>
      </c>
      <c r="Z4384" s="2" t="s">
        <v>44</v>
      </c>
      <c r="AA4384" s="2"/>
      <c r="AB4384" s="2"/>
      <c r="AC4384" s="2" t="s">
        <v>32795</v>
      </c>
      <c r="AD4384" s="2" t="s">
        <v>46</v>
      </c>
    </row>
    <row r="4385" customFormat="false" ht="15.7" hidden="false" customHeight="true" outlineLevel="0" collapsed="false">
      <c r="A4385" s="2"/>
      <c r="B4385" s="3" t="n">
        <f aca="false">DATE(2019,7,25)</f>
        <v>0</v>
      </c>
      <c r="C4385" s="3" t="n">
        <v>43671</v>
      </c>
      <c r="D4385" s="2" t="s">
        <v>32796</v>
      </c>
      <c r="F4385" s="2" t="s">
        <v>32797</v>
      </c>
      <c r="G4385" s="2" t="s">
        <v>32798</v>
      </c>
      <c r="H4385" s="2" t="s">
        <v>32799</v>
      </c>
      <c r="I4385" s="2" t="s">
        <v>32800</v>
      </c>
      <c r="J4385" s="2" t="s">
        <v>3276</v>
      </c>
      <c r="K4385" s="2" t="s">
        <v>32796</v>
      </c>
      <c r="L4385" s="2" t="s">
        <v>32800</v>
      </c>
      <c r="M4385" s="2" t="s">
        <v>32799</v>
      </c>
      <c r="N4385" s="2" t="s">
        <v>32801</v>
      </c>
      <c r="O4385" s="2"/>
      <c r="P4385" s="2" t="s">
        <v>37</v>
      </c>
      <c r="Q4385" s="4" t="n">
        <v>8731</v>
      </c>
      <c r="R4385" s="2"/>
      <c r="S4385" s="2"/>
      <c r="T4385" s="2" t="s">
        <v>403</v>
      </c>
      <c r="U4385" s="2" t="s">
        <v>32802</v>
      </c>
      <c r="V4385" s="2"/>
      <c r="W4385" s="2" t="s">
        <v>2636</v>
      </c>
      <c r="X4385" s="2" t="s">
        <v>43</v>
      </c>
      <c r="Y4385" s="2" t="s">
        <v>37</v>
      </c>
      <c r="Z4385" s="2" t="s">
        <v>916</v>
      </c>
      <c r="AA4385" s="2"/>
      <c r="AB4385" s="2"/>
      <c r="AC4385" s="2" t="s">
        <v>32803</v>
      </c>
      <c r="AD4385" s="2" t="s">
        <v>46</v>
      </c>
    </row>
    <row r="4386" customFormat="false" ht="15.7" hidden="false" customHeight="true" outlineLevel="0" collapsed="false">
      <c r="A4386" s="2"/>
      <c r="B4386" s="3" t="n">
        <f aca="false">DATE(2019,7,26)</f>
        <v>0</v>
      </c>
      <c r="C4386" s="3" t="n">
        <v>43672</v>
      </c>
      <c r="D4386" s="2" t="s">
        <v>32804</v>
      </c>
      <c r="F4386" s="2" t="s">
        <v>17277</v>
      </c>
      <c r="G4386" s="2" t="s">
        <v>32805</v>
      </c>
      <c r="H4386" s="2" t="s">
        <v>16455</v>
      </c>
      <c r="I4386" s="2" t="s">
        <v>410</v>
      </c>
      <c r="J4386" s="2" t="s">
        <v>132</v>
      </c>
      <c r="K4386" s="2" t="s">
        <v>32804</v>
      </c>
      <c r="L4386" s="2" t="s">
        <v>410</v>
      </c>
      <c r="M4386" s="2" t="s">
        <v>523</v>
      </c>
      <c r="N4386" s="2" t="s">
        <v>32806</v>
      </c>
      <c r="O4386" s="2"/>
      <c r="P4386" s="2" t="s">
        <v>37</v>
      </c>
      <c r="Q4386" s="4" t="n">
        <v>8099</v>
      </c>
      <c r="R4386" s="2" t="s">
        <v>1441</v>
      </c>
      <c r="S4386" s="2" t="s">
        <v>39</v>
      </c>
      <c r="T4386" s="2" t="s">
        <v>403</v>
      </c>
      <c r="U4386" s="2" t="s">
        <v>32807</v>
      </c>
      <c r="V4386" s="2"/>
      <c r="W4386" s="2" t="s">
        <v>4487</v>
      </c>
      <c r="X4386" s="2" t="s">
        <v>46</v>
      </c>
      <c r="Y4386" s="2" t="s">
        <v>37</v>
      </c>
      <c r="Z4386" s="2" t="s">
        <v>44</v>
      </c>
      <c r="AA4386" s="2"/>
      <c r="AB4386" s="2"/>
      <c r="AC4386" s="2" t="s">
        <v>32808</v>
      </c>
      <c r="AD4386" s="2" t="s">
        <v>46</v>
      </c>
    </row>
    <row r="4387" customFormat="false" ht="15.7" hidden="false" customHeight="true" outlineLevel="0" collapsed="false">
      <c r="A4387" s="2"/>
      <c r="B4387" s="3" t="n">
        <f aca="false">DATE(2019,7,29)</f>
        <v>0</v>
      </c>
      <c r="C4387" s="3" t="n">
        <v>43675</v>
      </c>
      <c r="D4387" s="2" t="s">
        <v>32809</v>
      </c>
      <c r="F4387" s="2" t="s">
        <v>32810</v>
      </c>
      <c r="G4387" s="2" t="s">
        <v>32811</v>
      </c>
      <c r="H4387" s="2" t="s">
        <v>15854</v>
      </c>
      <c r="I4387" s="2" t="s">
        <v>51</v>
      </c>
      <c r="J4387" s="2" t="s">
        <v>14542</v>
      </c>
      <c r="K4387" s="2" t="s">
        <v>32809</v>
      </c>
      <c r="L4387" s="2" t="s">
        <v>51</v>
      </c>
      <c r="M4387" s="2" t="s">
        <v>15854</v>
      </c>
      <c r="N4387" s="2" t="s">
        <v>32812</v>
      </c>
      <c r="O4387" s="2"/>
      <c r="P4387" s="2" t="s">
        <v>37</v>
      </c>
      <c r="Q4387" s="4" t="n">
        <v>8099</v>
      </c>
      <c r="R4387" s="2" t="s">
        <v>56</v>
      </c>
      <c r="S4387" s="2" t="s">
        <v>3429</v>
      </c>
      <c r="T4387" s="2" t="s">
        <v>403</v>
      </c>
      <c r="U4387" s="2" t="s">
        <v>32813</v>
      </c>
      <c r="V4387" s="2"/>
      <c r="W4387" s="2" t="s">
        <v>4487</v>
      </c>
      <c r="X4387" s="2" t="s">
        <v>43</v>
      </c>
      <c r="Y4387" s="2" t="s">
        <v>37</v>
      </c>
      <c r="Z4387" s="2" t="s">
        <v>44</v>
      </c>
      <c r="AA4387" s="2"/>
      <c r="AB4387" s="2"/>
      <c r="AC4387" s="2" t="s">
        <v>32814</v>
      </c>
      <c r="AD4387" s="2" t="s">
        <v>46</v>
      </c>
    </row>
    <row r="4388" customFormat="false" ht="15.7" hidden="false" customHeight="true" outlineLevel="0" collapsed="false">
      <c r="A4388" s="2"/>
      <c r="B4388" s="3" t="n">
        <f aca="false">DATE(2019,7,31)</f>
        <v>0</v>
      </c>
      <c r="C4388" s="3" t="n">
        <v>43677</v>
      </c>
      <c r="D4388" s="2" t="s">
        <v>32815</v>
      </c>
      <c r="F4388" s="2" t="s">
        <v>32816</v>
      </c>
      <c r="G4388" s="2" t="s">
        <v>32817</v>
      </c>
      <c r="H4388" s="2" t="s">
        <v>523</v>
      </c>
      <c r="I4388" s="2" t="s">
        <v>2294</v>
      </c>
      <c r="J4388" s="2" t="s">
        <v>35</v>
      </c>
      <c r="K4388" s="2" t="s">
        <v>32818</v>
      </c>
      <c r="L4388" s="2" t="s">
        <v>2294</v>
      </c>
      <c r="M4388" s="2" t="s">
        <v>32819</v>
      </c>
      <c r="N4388" s="2" t="s">
        <v>32820</v>
      </c>
      <c r="O4388" s="2"/>
      <c r="P4388" s="2" t="s">
        <v>37</v>
      </c>
      <c r="Q4388" s="4" t="n">
        <v>8731</v>
      </c>
      <c r="R4388" s="2" t="s">
        <v>450</v>
      </c>
      <c r="S4388" s="2" t="s">
        <v>39</v>
      </c>
      <c r="T4388" s="2" t="s">
        <v>403</v>
      </c>
      <c r="U4388" s="2" t="s">
        <v>32821</v>
      </c>
      <c r="V4388" s="2"/>
      <c r="W4388" s="2" t="s">
        <v>344</v>
      </c>
      <c r="X4388" s="2" t="s">
        <v>43</v>
      </c>
      <c r="Y4388" s="2" t="s">
        <v>37</v>
      </c>
      <c r="Z4388" s="2" t="s">
        <v>44</v>
      </c>
      <c r="AA4388" s="2"/>
      <c r="AB4388" s="2"/>
      <c r="AC4388" s="2" t="s">
        <v>32822</v>
      </c>
      <c r="AD4388" s="2" t="s">
        <v>46</v>
      </c>
    </row>
    <row r="4389" customFormat="false" ht="15.7" hidden="false" customHeight="true" outlineLevel="0" collapsed="false">
      <c r="A4389" s="2"/>
      <c r="B4389" s="3" t="n">
        <f aca="false">DATE(2019,7,31)</f>
        <v>0</v>
      </c>
      <c r="C4389" s="3" t="n">
        <v>43677</v>
      </c>
      <c r="D4389" s="2" t="s">
        <v>32823</v>
      </c>
      <c r="F4389" s="2" t="s">
        <v>32824</v>
      </c>
      <c r="G4389" s="2" t="s">
        <v>32825</v>
      </c>
      <c r="H4389" s="2" t="s">
        <v>32826</v>
      </c>
      <c r="I4389" s="2" t="s">
        <v>51</v>
      </c>
      <c r="J4389" s="2" t="s">
        <v>7353</v>
      </c>
      <c r="K4389" s="2" t="s">
        <v>32823</v>
      </c>
      <c r="L4389" s="2" t="s">
        <v>51</v>
      </c>
      <c r="M4389" s="2" t="s">
        <v>32826</v>
      </c>
      <c r="N4389" s="2" t="s">
        <v>32827</v>
      </c>
      <c r="O4389" s="2"/>
      <c r="P4389" s="2" t="s">
        <v>37</v>
      </c>
      <c r="Q4389" s="4" t="n">
        <v>1382</v>
      </c>
      <c r="R4389" s="2" t="s">
        <v>56</v>
      </c>
      <c r="S4389" s="2" t="s">
        <v>1576</v>
      </c>
      <c r="T4389" s="2" t="s">
        <v>40</v>
      </c>
      <c r="U4389" s="2" t="s">
        <v>32828</v>
      </c>
      <c r="V4389" s="2"/>
      <c r="W4389" s="2" t="s">
        <v>4505</v>
      </c>
      <c r="X4389" s="2" t="s">
        <v>46</v>
      </c>
      <c r="Y4389" s="2" t="s">
        <v>37</v>
      </c>
      <c r="Z4389" s="2" t="s">
        <v>26555</v>
      </c>
      <c r="AA4389" s="2"/>
      <c r="AB4389" s="2"/>
      <c r="AC4389" s="2" t="s">
        <v>32829</v>
      </c>
      <c r="AD4389" s="2" t="s">
        <v>46</v>
      </c>
    </row>
    <row r="4390" customFormat="false" ht="15.7" hidden="false" customHeight="true" outlineLevel="0" collapsed="false">
      <c r="A4390" s="2"/>
      <c r="B4390" s="3" t="n">
        <f aca="false">DATE(2019,7,31)</f>
        <v>0</v>
      </c>
      <c r="C4390" s="3" t="n">
        <v>43677</v>
      </c>
      <c r="D4390" s="2" t="s">
        <v>32830</v>
      </c>
      <c r="F4390" s="2" t="s">
        <v>32831</v>
      </c>
      <c r="G4390" s="2" t="s">
        <v>32832</v>
      </c>
      <c r="H4390" s="2" t="s">
        <v>4561</v>
      </c>
      <c r="I4390" s="2" t="s">
        <v>51</v>
      </c>
      <c r="J4390" s="2" t="s">
        <v>10019</v>
      </c>
      <c r="K4390" s="2" t="s">
        <v>32830</v>
      </c>
      <c r="L4390" s="2" t="s">
        <v>51</v>
      </c>
      <c r="M4390" s="2" t="s">
        <v>4561</v>
      </c>
      <c r="N4390" s="2" t="s">
        <v>32833</v>
      </c>
      <c r="O4390" s="2"/>
      <c r="P4390" s="2" t="s">
        <v>37</v>
      </c>
      <c r="Q4390" s="4" t="n">
        <v>721</v>
      </c>
      <c r="R4390" s="2" t="s">
        <v>56</v>
      </c>
      <c r="S4390" s="2"/>
      <c r="T4390" s="2" t="s">
        <v>403</v>
      </c>
      <c r="U4390" s="2" t="s">
        <v>32834</v>
      </c>
      <c r="V4390" s="2"/>
      <c r="W4390" s="2" t="s">
        <v>28431</v>
      </c>
      <c r="X4390" s="2" t="s">
        <v>43</v>
      </c>
      <c r="Y4390" s="2" t="s">
        <v>37</v>
      </c>
      <c r="Z4390" s="2" t="s">
        <v>44</v>
      </c>
      <c r="AA4390" s="2"/>
      <c r="AB4390" s="2"/>
      <c r="AC4390" s="2" t="s">
        <v>32835</v>
      </c>
      <c r="AD4390" s="2" t="s">
        <v>46</v>
      </c>
    </row>
    <row r="4391" customFormat="false" ht="15.7" hidden="false" customHeight="true" outlineLevel="0" collapsed="false">
      <c r="A4391" s="2"/>
      <c r="B4391" s="3" t="n">
        <f aca="false">DATE(2019,8,1)</f>
        <v>0</v>
      </c>
      <c r="C4391" s="3" t="n">
        <v>43678</v>
      </c>
      <c r="D4391" s="2" t="s">
        <v>32836</v>
      </c>
      <c r="F4391" s="2" t="s">
        <v>32837</v>
      </c>
      <c r="G4391" s="2" t="s">
        <v>32838</v>
      </c>
      <c r="H4391" s="2" t="s">
        <v>2319</v>
      </c>
      <c r="I4391" s="2" t="s">
        <v>2294</v>
      </c>
      <c r="J4391" s="2" t="s">
        <v>35</v>
      </c>
      <c r="K4391" s="2" t="s">
        <v>32836</v>
      </c>
      <c r="L4391" s="2" t="s">
        <v>2294</v>
      </c>
      <c r="M4391" s="2" t="s">
        <v>2319</v>
      </c>
      <c r="N4391" s="2" t="s">
        <v>32839</v>
      </c>
      <c r="O4391" s="2"/>
      <c r="P4391" s="2" t="s">
        <v>37</v>
      </c>
      <c r="Q4391" s="4" t="n">
        <v>8099</v>
      </c>
      <c r="R4391" s="2" t="s">
        <v>450</v>
      </c>
      <c r="S4391" s="2" t="s">
        <v>39</v>
      </c>
      <c r="T4391" s="2" t="s">
        <v>403</v>
      </c>
      <c r="U4391" s="2" t="s">
        <v>32840</v>
      </c>
      <c r="V4391" s="2"/>
      <c r="W4391" s="2" t="s">
        <v>4487</v>
      </c>
      <c r="X4391" s="2" t="s">
        <v>43</v>
      </c>
      <c r="Y4391" s="2" t="s">
        <v>37</v>
      </c>
      <c r="Z4391" s="2" t="s">
        <v>44</v>
      </c>
      <c r="AA4391" s="2"/>
      <c r="AB4391" s="2"/>
      <c r="AC4391" s="2" t="s">
        <v>32841</v>
      </c>
      <c r="AD4391" s="2" t="s">
        <v>46</v>
      </c>
    </row>
    <row r="4392" customFormat="false" ht="15.7" hidden="false" customHeight="true" outlineLevel="0" collapsed="false">
      <c r="A4392" s="2"/>
      <c r="B4392" s="3" t="n">
        <f aca="false">DATE(2019,8,1)</f>
        <v>0</v>
      </c>
      <c r="C4392" s="3" t="n">
        <v>43678</v>
      </c>
      <c r="D4392" s="2" t="s">
        <v>32842</v>
      </c>
      <c r="F4392" s="2" t="s">
        <v>15541</v>
      </c>
      <c r="G4392" s="2" t="s">
        <v>32843</v>
      </c>
      <c r="H4392" s="2" t="s">
        <v>170</v>
      </c>
      <c r="I4392" s="2" t="s">
        <v>3265</v>
      </c>
      <c r="J4392" s="2" t="s">
        <v>132</v>
      </c>
      <c r="K4392" s="2" t="s">
        <v>32842</v>
      </c>
      <c r="L4392" s="2" t="s">
        <v>3265</v>
      </c>
      <c r="M4392" s="2" t="s">
        <v>170</v>
      </c>
      <c r="N4392" s="2" t="s">
        <v>32844</v>
      </c>
      <c r="O4392" s="2"/>
      <c r="P4392" s="2" t="s">
        <v>37</v>
      </c>
      <c r="Q4392" s="4" t="n">
        <v>8731</v>
      </c>
      <c r="R4392" s="2"/>
      <c r="S4392" s="2"/>
      <c r="T4392" s="2" t="s">
        <v>403</v>
      </c>
      <c r="U4392" s="2" t="s">
        <v>32845</v>
      </c>
      <c r="V4392" s="2"/>
      <c r="W4392" s="2" t="s">
        <v>18171</v>
      </c>
      <c r="X4392" s="2" t="s">
        <v>43</v>
      </c>
      <c r="Y4392" s="2" t="s">
        <v>37</v>
      </c>
      <c r="Z4392" s="2" t="s">
        <v>44</v>
      </c>
      <c r="AA4392" s="2"/>
      <c r="AB4392" s="2"/>
      <c r="AC4392" s="2" t="s">
        <v>32846</v>
      </c>
      <c r="AD4392" s="2" t="s">
        <v>46</v>
      </c>
    </row>
    <row r="4393" customFormat="false" ht="15.7" hidden="false" customHeight="true" outlineLevel="0" collapsed="false">
      <c r="A4393" s="2"/>
      <c r="B4393" s="3" t="n">
        <f aca="false">DATE(2019,8,1)</f>
        <v>0</v>
      </c>
      <c r="C4393" s="3" t="n">
        <v>43678</v>
      </c>
      <c r="D4393" s="2" t="s">
        <v>32847</v>
      </c>
      <c r="F4393" s="2" t="s">
        <v>32848</v>
      </c>
      <c r="G4393" s="2" t="s">
        <v>32849</v>
      </c>
      <c r="H4393" s="2" t="s">
        <v>16455</v>
      </c>
      <c r="I4393" s="2" t="s">
        <v>51</v>
      </c>
      <c r="J4393" s="2" t="s">
        <v>5565</v>
      </c>
      <c r="K4393" s="2" t="s">
        <v>32850</v>
      </c>
      <c r="L4393" s="2" t="s">
        <v>51</v>
      </c>
      <c r="M4393" s="2" t="s">
        <v>16455</v>
      </c>
      <c r="N4393" s="2" t="s">
        <v>32851</v>
      </c>
      <c r="O4393" s="2"/>
      <c r="P4393" s="2" t="s">
        <v>37</v>
      </c>
      <c r="Q4393" s="4" t="n">
        <v>8731</v>
      </c>
      <c r="R4393" s="2" t="s">
        <v>56</v>
      </c>
      <c r="S4393" s="2" t="s">
        <v>92</v>
      </c>
      <c r="T4393" s="2" t="s">
        <v>403</v>
      </c>
      <c r="U4393" s="2" t="s">
        <v>32852</v>
      </c>
      <c r="V4393" s="2"/>
      <c r="W4393" s="2" t="s">
        <v>4101</v>
      </c>
      <c r="X4393" s="2" t="s">
        <v>43</v>
      </c>
      <c r="Y4393" s="2" t="s">
        <v>37</v>
      </c>
      <c r="Z4393" s="2" t="s">
        <v>44</v>
      </c>
      <c r="AA4393" s="2"/>
      <c r="AB4393" s="2"/>
      <c r="AC4393" s="2" t="s">
        <v>32853</v>
      </c>
      <c r="AD4393" s="2" t="s">
        <v>46</v>
      </c>
    </row>
    <row r="4394" customFormat="false" ht="15.7" hidden="false" customHeight="true" outlineLevel="0" collapsed="false">
      <c r="A4394" s="2"/>
      <c r="B4394" s="3" t="n">
        <f aca="false">DATE(2019,8,1)</f>
        <v>0</v>
      </c>
      <c r="C4394" s="3" t="n">
        <v>43678</v>
      </c>
      <c r="D4394" s="2" t="s">
        <v>32854</v>
      </c>
      <c r="F4394" s="2" t="s">
        <v>32855</v>
      </c>
      <c r="G4394" s="2" t="s">
        <v>32856</v>
      </c>
      <c r="H4394" s="2" t="s">
        <v>5818</v>
      </c>
      <c r="I4394" s="2" t="s">
        <v>3103</v>
      </c>
      <c r="J4394" s="2" t="s">
        <v>4383</v>
      </c>
      <c r="K4394" s="2" t="s">
        <v>32857</v>
      </c>
      <c r="L4394" s="2" t="s">
        <v>1645</v>
      </c>
      <c r="M4394" s="2" t="s">
        <v>32858</v>
      </c>
      <c r="N4394" s="2" t="s">
        <v>32859</v>
      </c>
      <c r="O4394" s="2"/>
      <c r="P4394" s="2" t="s">
        <v>37</v>
      </c>
      <c r="Q4394" s="4" t="n">
        <v>8099</v>
      </c>
      <c r="R4394" s="2" t="s">
        <v>56</v>
      </c>
      <c r="S4394" s="2"/>
      <c r="T4394" s="2" t="s">
        <v>403</v>
      </c>
      <c r="U4394" s="2" t="s">
        <v>32860</v>
      </c>
      <c r="V4394" s="2"/>
      <c r="W4394" s="2" t="s">
        <v>4487</v>
      </c>
      <c r="X4394" s="2" t="s">
        <v>43</v>
      </c>
      <c r="Y4394" s="2" t="s">
        <v>37</v>
      </c>
      <c r="Z4394" s="2" t="s">
        <v>44</v>
      </c>
      <c r="AA4394" s="2"/>
      <c r="AB4394" s="2"/>
      <c r="AC4394" s="2" t="s">
        <v>32861</v>
      </c>
      <c r="AD4394" s="2" t="s">
        <v>46</v>
      </c>
    </row>
    <row r="4395" customFormat="false" ht="15.7" hidden="false" customHeight="true" outlineLevel="0" collapsed="false">
      <c r="A4395" s="2"/>
      <c r="B4395" s="3" t="n">
        <f aca="false">DATE(2019,8,1)</f>
        <v>0</v>
      </c>
      <c r="C4395" s="3" t="n">
        <v>43678</v>
      </c>
      <c r="D4395" s="2" t="s">
        <v>32862</v>
      </c>
      <c r="F4395" s="2" t="s">
        <v>32863</v>
      </c>
      <c r="G4395" s="2" t="s">
        <v>32864</v>
      </c>
      <c r="H4395" s="2" t="s">
        <v>1629</v>
      </c>
      <c r="I4395" s="2" t="s">
        <v>3320</v>
      </c>
      <c r="J4395" s="2" t="s">
        <v>35</v>
      </c>
      <c r="K4395" s="2" t="s">
        <v>32865</v>
      </c>
      <c r="L4395" s="2" t="s">
        <v>3320</v>
      </c>
      <c r="M4395" s="2" t="s">
        <v>32866</v>
      </c>
      <c r="N4395" s="2" t="s">
        <v>32867</v>
      </c>
      <c r="O4395" s="2"/>
      <c r="P4395" s="2" t="s">
        <v>37</v>
      </c>
      <c r="Q4395" s="4" t="n">
        <v>8731</v>
      </c>
      <c r="R4395" s="2"/>
      <c r="S4395" s="2"/>
      <c r="T4395" s="2" t="s">
        <v>40</v>
      </c>
      <c r="U4395" s="2" t="s">
        <v>32868</v>
      </c>
      <c r="V4395" s="2"/>
      <c r="W4395" s="2" t="s">
        <v>18171</v>
      </c>
      <c r="X4395" s="2" t="s">
        <v>46</v>
      </c>
      <c r="Y4395" s="2" t="s">
        <v>37</v>
      </c>
      <c r="Z4395" s="2" t="s">
        <v>44</v>
      </c>
      <c r="AA4395" s="2"/>
      <c r="AB4395" s="2"/>
      <c r="AC4395" s="2" t="s">
        <v>32869</v>
      </c>
      <c r="AD4395" s="2" t="s">
        <v>46</v>
      </c>
    </row>
    <row r="4396" customFormat="false" ht="15.7" hidden="false" customHeight="true" outlineLevel="0" collapsed="false">
      <c r="A4396" s="2"/>
      <c r="B4396" s="3" t="n">
        <f aca="false">DATE(2019,8,1)</f>
        <v>0</v>
      </c>
      <c r="C4396" s="3" t="n">
        <v>43678</v>
      </c>
      <c r="D4396" s="2" t="s">
        <v>32870</v>
      </c>
      <c r="F4396" s="2" t="s">
        <v>2246</v>
      </c>
      <c r="G4396" s="2" t="s">
        <v>32871</v>
      </c>
      <c r="H4396" s="2" t="s">
        <v>1101</v>
      </c>
      <c r="I4396" s="2" t="s">
        <v>1904</v>
      </c>
      <c r="J4396" s="2" t="s">
        <v>132</v>
      </c>
      <c r="K4396" s="2" t="s">
        <v>32872</v>
      </c>
      <c r="L4396" s="2" t="s">
        <v>1904</v>
      </c>
      <c r="M4396" s="2" t="s">
        <v>305</v>
      </c>
      <c r="N4396" s="2" t="s">
        <v>32873</v>
      </c>
      <c r="O4396" s="2"/>
      <c r="P4396" s="2" t="s">
        <v>37</v>
      </c>
      <c r="Q4396" s="4" t="n">
        <v>8099</v>
      </c>
      <c r="R4396" s="2" t="s">
        <v>56</v>
      </c>
      <c r="S4396" s="2"/>
      <c r="T4396" s="2" t="s">
        <v>403</v>
      </c>
      <c r="U4396" s="2" t="s">
        <v>32874</v>
      </c>
      <c r="V4396" s="2"/>
      <c r="W4396" s="2" t="s">
        <v>4487</v>
      </c>
      <c r="X4396" s="2" t="s">
        <v>43</v>
      </c>
      <c r="Y4396" s="2" t="s">
        <v>37</v>
      </c>
      <c r="Z4396" s="2" t="s">
        <v>44</v>
      </c>
      <c r="AA4396" s="2"/>
      <c r="AB4396" s="2"/>
      <c r="AC4396" s="2" t="s">
        <v>32875</v>
      </c>
      <c r="AD4396" s="2" t="s">
        <v>46</v>
      </c>
    </row>
    <row r="4397" customFormat="false" ht="15.7" hidden="false" customHeight="true" outlineLevel="0" collapsed="false">
      <c r="A4397" s="2"/>
      <c r="B4397" s="3" t="n">
        <f aca="false">DATE(2019,8,3)</f>
        <v>0</v>
      </c>
      <c r="C4397" s="3" t="n">
        <v>43680</v>
      </c>
      <c r="D4397" s="2" t="s">
        <v>32876</v>
      </c>
      <c r="F4397" s="2" t="s">
        <v>32877</v>
      </c>
      <c r="G4397" s="2" t="s">
        <v>32878</v>
      </c>
      <c r="H4397" s="2" t="s">
        <v>14443</v>
      </c>
      <c r="I4397" s="2" t="s">
        <v>32879</v>
      </c>
      <c r="J4397" s="2" t="s">
        <v>35</v>
      </c>
      <c r="K4397" s="2" t="s">
        <v>32876</v>
      </c>
      <c r="L4397" s="2" t="s">
        <v>32879</v>
      </c>
      <c r="M4397" s="2" t="s">
        <v>14443</v>
      </c>
      <c r="N4397" s="2" t="s">
        <v>32880</v>
      </c>
      <c r="O4397" s="2"/>
      <c r="P4397" s="2" t="s">
        <v>37</v>
      </c>
      <c r="Q4397" s="4" t="n">
        <v>8299</v>
      </c>
      <c r="R4397" s="2" t="s">
        <v>450</v>
      </c>
      <c r="S4397" s="2" t="s">
        <v>39</v>
      </c>
      <c r="T4397" s="2" t="s">
        <v>40</v>
      </c>
      <c r="U4397" s="2" t="s">
        <v>32881</v>
      </c>
      <c r="V4397" s="2"/>
      <c r="W4397" s="2" t="s">
        <v>21677</v>
      </c>
      <c r="X4397" s="2" t="s">
        <v>43</v>
      </c>
      <c r="Y4397" s="2" t="s">
        <v>37</v>
      </c>
      <c r="Z4397" s="2" t="s">
        <v>44</v>
      </c>
      <c r="AA4397" s="2"/>
      <c r="AB4397" s="2"/>
      <c r="AC4397" s="2" t="s">
        <v>32882</v>
      </c>
      <c r="AD4397" s="2" t="s">
        <v>46</v>
      </c>
    </row>
    <row r="4398" customFormat="false" ht="15.7" hidden="false" customHeight="true" outlineLevel="0" collapsed="false">
      <c r="A4398" s="2"/>
      <c r="B4398" s="3" t="n">
        <f aca="false">DATE(2019,8,4)</f>
        <v>0</v>
      </c>
      <c r="C4398" s="3" t="n">
        <v>43681</v>
      </c>
      <c r="D4398" s="2" t="s">
        <v>32883</v>
      </c>
      <c r="F4398" s="2" t="s">
        <v>32884</v>
      </c>
      <c r="G4398" s="2" t="s">
        <v>32885</v>
      </c>
      <c r="H4398" s="2" t="s">
        <v>32886</v>
      </c>
      <c r="I4398" s="2" t="s">
        <v>32887</v>
      </c>
      <c r="J4398" s="2" t="s">
        <v>116</v>
      </c>
      <c r="K4398" s="2" t="s">
        <v>32888</v>
      </c>
      <c r="L4398" s="2" t="s">
        <v>32889</v>
      </c>
      <c r="M4398" s="2" t="s">
        <v>32890</v>
      </c>
      <c r="N4398" s="2" t="s">
        <v>32891</v>
      </c>
      <c r="O4398" s="2"/>
      <c r="P4398" s="2" t="s">
        <v>37</v>
      </c>
      <c r="Q4398" s="4" t="n">
        <v>6799</v>
      </c>
      <c r="R4398" s="2" t="s">
        <v>8239</v>
      </c>
      <c r="S4398" s="2" t="s">
        <v>39</v>
      </c>
      <c r="T4398" s="2" t="s">
        <v>403</v>
      </c>
      <c r="U4398" s="2" t="s">
        <v>32892</v>
      </c>
      <c r="V4398" s="2"/>
      <c r="W4398" s="2" t="s">
        <v>32893</v>
      </c>
      <c r="X4398" s="2" t="s">
        <v>46</v>
      </c>
      <c r="Y4398" s="2" t="s">
        <v>37</v>
      </c>
      <c r="Z4398" s="2" t="s">
        <v>32894</v>
      </c>
      <c r="AA4398" s="2" t="s">
        <v>32895</v>
      </c>
      <c r="AB4398" s="2"/>
      <c r="AC4398" s="2" t="s">
        <v>32896</v>
      </c>
      <c r="AD4398" s="2" t="s">
        <v>46</v>
      </c>
    </row>
    <row r="4399" customFormat="false" ht="15.7" hidden="false" customHeight="true" outlineLevel="0" collapsed="false">
      <c r="A4399" s="2"/>
      <c r="B4399" s="3" t="n">
        <f aca="false">DATE(2019,8,5)</f>
        <v>0</v>
      </c>
      <c r="C4399" s="3" t="n">
        <v>43682</v>
      </c>
      <c r="D4399" s="2" t="s">
        <v>32897</v>
      </c>
      <c r="F4399" s="2" t="s">
        <v>32898</v>
      </c>
      <c r="G4399" s="2" t="s">
        <v>32899</v>
      </c>
      <c r="H4399" s="2" t="s">
        <v>32900</v>
      </c>
      <c r="I4399" s="2" t="s">
        <v>51</v>
      </c>
      <c r="J4399" s="2" t="s">
        <v>32901</v>
      </c>
      <c r="K4399" s="2" t="s">
        <v>32897</v>
      </c>
      <c r="L4399" s="2" t="s">
        <v>51</v>
      </c>
      <c r="M4399" s="2" t="s">
        <v>32900</v>
      </c>
      <c r="N4399" s="2" t="s">
        <v>32902</v>
      </c>
      <c r="O4399" s="2"/>
      <c r="P4399" s="2" t="s">
        <v>37</v>
      </c>
      <c r="Q4399" s="4" t="n">
        <v>8731</v>
      </c>
      <c r="R4399" s="2" t="s">
        <v>56</v>
      </c>
      <c r="S4399" s="2" t="s">
        <v>277</v>
      </c>
      <c r="T4399" s="2" t="s">
        <v>403</v>
      </c>
      <c r="U4399" s="2" t="s">
        <v>32903</v>
      </c>
      <c r="V4399" s="2"/>
      <c r="W4399" s="2" t="s">
        <v>42</v>
      </c>
      <c r="X4399" s="2" t="s">
        <v>46</v>
      </c>
      <c r="Y4399" s="2" t="s">
        <v>37</v>
      </c>
      <c r="Z4399" s="2" t="s">
        <v>44</v>
      </c>
      <c r="AA4399" s="2"/>
      <c r="AB4399" s="2"/>
      <c r="AC4399" s="2" t="s">
        <v>32904</v>
      </c>
      <c r="AD4399" s="2" t="s">
        <v>46</v>
      </c>
    </row>
    <row r="4400" customFormat="false" ht="15.7" hidden="false" customHeight="true" outlineLevel="0" collapsed="false">
      <c r="A4400" s="2"/>
      <c r="B4400" s="3" t="n">
        <f aca="false">DATE(2019,8,6)</f>
        <v>0</v>
      </c>
      <c r="C4400" s="3" t="n">
        <v>43683</v>
      </c>
      <c r="D4400" s="2" t="s">
        <v>32905</v>
      </c>
      <c r="F4400" s="2" t="s">
        <v>17277</v>
      </c>
      <c r="G4400" s="2" t="s">
        <v>32906</v>
      </c>
      <c r="H4400" s="2" t="s">
        <v>523</v>
      </c>
      <c r="I4400" s="2" t="s">
        <v>330</v>
      </c>
      <c r="J4400" s="2" t="s">
        <v>32907</v>
      </c>
      <c r="K4400" s="2" t="s">
        <v>32905</v>
      </c>
      <c r="L4400" s="2" t="s">
        <v>330</v>
      </c>
      <c r="M4400" s="2" t="s">
        <v>523</v>
      </c>
      <c r="N4400" s="2" t="s">
        <v>32908</v>
      </c>
      <c r="O4400" s="2"/>
      <c r="P4400" s="2" t="s">
        <v>37</v>
      </c>
      <c r="Q4400" s="4" t="n">
        <v>8731</v>
      </c>
      <c r="R4400" s="2" t="s">
        <v>2201</v>
      </c>
      <c r="S4400" s="2" t="s">
        <v>39</v>
      </c>
      <c r="T4400" s="2" t="s">
        <v>40</v>
      </c>
      <c r="U4400" s="2" t="s">
        <v>32909</v>
      </c>
      <c r="V4400" s="2"/>
      <c r="W4400" s="2" t="s">
        <v>344</v>
      </c>
      <c r="X4400" s="2" t="s">
        <v>43</v>
      </c>
      <c r="Y4400" s="2" t="s">
        <v>37</v>
      </c>
      <c r="Z4400" s="2" t="s">
        <v>44</v>
      </c>
      <c r="AA4400" s="2"/>
      <c r="AB4400" s="2"/>
      <c r="AC4400" s="2" t="s">
        <v>32910</v>
      </c>
      <c r="AD4400" s="2" t="s">
        <v>46</v>
      </c>
    </row>
    <row r="4401" customFormat="false" ht="15.7" hidden="false" customHeight="true" outlineLevel="0" collapsed="false">
      <c r="A4401" s="2"/>
      <c r="B4401" s="3" t="n">
        <f aca="false">DATE(2019,8,8)</f>
        <v>0</v>
      </c>
      <c r="C4401" s="3" t="n">
        <v>43685</v>
      </c>
      <c r="D4401" s="2" t="s">
        <v>32911</v>
      </c>
      <c r="F4401" s="2" t="s">
        <v>32912</v>
      </c>
      <c r="G4401" s="2" t="s">
        <v>32913</v>
      </c>
      <c r="H4401" s="2" t="s">
        <v>2832</v>
      </c>
      <c r="I4401" s="2" t="s">
        <v>32914</v>
      </c>
      <c r="J4401" s="2" t="s">
        <v>35</v>
      </c>
      <c r="K4401" s="2" t="s">
        <v>32911</v>
      </c>
      <c r="L4401" s="2" t="s">
        <v>32914</v>
      </c>
      <c r="M4401" s="2" t="s">
        <v>2832</v>
      </c>
      <c r="N4401" s="2" t="s">
        <v>32915</v>
      </c>
      <c r="O4401" s="2"/>
      <c r="P4401" s="2" t="s">
        <v>37</v>
      </c>
      <c r="Q4401" s="4" t="n">
        <v>8731</v>
      </c>
      <c r="R4401" s="2" t="s">
        <v>1402</v>
      </c>
      <c r="S4401" s="2" t="s">
        <v>39</v>
      </c>
      <c r="T4401" s="2" t="s">
        <v>40</v>
      </c>
      <c r="U4401" s="2" t="s">
        <v>32916</v>
      </c>
      <c r="V4401" s="2"/>
      <c r="W4401" s="2" t="s">
        <v>42</v>
      </c>
      <c r="X4401" s="2" t="s">
        <v>43</v>
      </c>
      <c r="Y4401" s="2" t="s">
        <v>37</v>
      </c>
      <c r="Z4401" s="2" t="s">
        <v>44</v>
      </c>
      <c r="AA4401" s="2"/>
      <c r="AB4401" s="2"/>
      <c r="AC4401" s="2" t="s">
        <v>32917</v>
      </c>
      <c r="AD4401" s="2" t="s">
        <v>46</v>
      </c>
    </row>
    <row r="4402" customFormat="false" ht="15.7" hidden="false" customHeight="true" outlineLevel="0" collapsed="false">
      <c r="A4402" s="2"/>
      <c r="B4402" s="3" t="n">
        <f aca="false">DATE(2019,8,9)</f>
        <v>0</v>
      </c>
      <c r="C4402" s="3" t="n">
        <v>43686</v>
      </c>
      <c r="D4402" s="2" t="s">
        <v>32918</v>
      </c>
      <c r="F4402" s="2" t="s">
        <v>32919</v>
      </c>
      <c r="G4402" s="2" t="s">
        <v>32920</v>
      </c>
      <c r="H4402" s="2" t="s">
        <v>32921</v>
      </c>
      <c r="I4402" s="2" t="s">
        <v>32922</v>
      </c>
      <c r="J4402" s="2" t="s">
        <v>32923</v>
      </c>
      <c r="K4402" s="2" t="s">
        <v>32924</v>
      </c>
      <c r="L4402" s="2" t="s">
        <v>32925</v>
      </c>
      <c r="M4402" s="2" t="s">
        <v>32926</v>
      </c>
      <c r="N4402" s="2" t="s">
        <v>32927</v>
      </c>
      <c r="O4402" s="2"/>
      <c r="P4402" s="2" t="s">
        <v>37</v>
      </c>
      <c r="Q4402" s="4" t="n">
        <v>8731</v>
      </c>
      <c r="R4402" s="2" t="s">
        <v>1402</v>
      </c>
      <c r="S4402" s="2" t="s">
        <v>39</v>
      </c>
      <c r="T4402" s="2" t="s">
        <v>40</v>
      </c>
      <c r="U4402" s="2" t="s">
        <v>32928</v>
      </c>
      <c r="V4402" s="2"/>
      <c r="W4402" s="2" t="s">
        <v>344</v>
      </c>
      <c r="X4402" s="2" t="s">
        <v>43</v>
      </c>
      <c r="Y4402" s="2" t="s">
        <v>37</v>
      </c>
      <c r="Z4402" s="2" t="s">
        <v>11148</v>
      </c>
      <c r="AA4402" s="2"/>
      <c r="AB4402" s="2"/>
      <c r="AC4402" s="2" t="s">
        <v>32929</v>
      </c>
      <c r="AD4402" s="2" t="s">
        <v>46</v>
      </c>
    </row>
    <row r="4403" customFormat="false" ht="15.7" hidden="false" customHeight="true" outlineLevel="0" collapsed="false">
      <c r="A4403" s="2"/>
      <c r="B4403" s="3" t="n">
        <f aca="false">DATE(2019,8,12)</f>
        <v>0</v>
      </c>
      <c r="C4403" s="3" t="n">
        <v>43689</v>
      </c>
      <c r="D4403" s="2" t="s">
        <v>32930</v>
      </c>
      <c r="F4403" s="2" t="s">
        <v>32931</v>
      </c>
      <c r="G4403" s="2" t="s">
        <v>32932</v>
      </c>
      <c r="H4403" s="2" t="s">
        <v>32933</v>
      </c>
      <c r="I4403" s="2" t="s">
        <v>51</v>
      </c>
      <c r="J4403" s="2" t="s">
        <v>15068</v>
      </c>
      <c r="K4403" s="2" t="s">
        <v>32930</v>
      </c>
      <c r="L4403" s="2" t="s">
        <v>51</v>
      </c>
      <c r="M4403" s="2" t="s">
        <v>32933</v>
      </c>
      <c r="N4403" s="2" t="s">
        <v>32934</v>
      </c>
      <c r="O4403" s="2"/>
      <c r="P4403" s="2" t="s">
        <v>37</v>
      </c>
      <c r="Q4403" s="4" t="n">
        <v>6794</v>
      </c>
      <c r="R4403" s="2"/>
      <c r="S4403" s="2"/>
      <c r="T4403" s="2" t="s">
        <v>40</v>
      </c>
      <c r="U4403" s="2" t="s">
        <v>32935</v>
      </c>
      <c r="V4403" s="2"/>
      <c r="W4403" s="2" t="s">
        <v>82</v>
      </c>
      <c r="X4403" s="2" t="s">
        <v>43</v>
      </c>
      <c r="Y4403" s="2" t="s">
        <v>37</v>
      </c>
      <c r="Z4403" s="2" t="s">
        <v>44</v>
      </c>
      <c r="AA4403" s="2"/>
      <c r="AB4403" s="2"/>
      <c r="AC4403" s="2" t="s">
        <v>32936</v>
      </c>
      <c r="AD4403" s="2" t="s">
        <v>46</v>
      </c>
    </row>
    <row r="4404" customFormat="false" ht="15.7" hidden="false" customHeight="true" outlineLevel="0" collapsed="false">
      <c r="A4404" s="2"/>
      <c r="B4404" s="3" t="n">
        <f aca="false">DATE(2019,8,12)</f>
        <v>0</v>
      </c>
      <c r="C4404" s="3" t="n">
        <v>43689</v>
      </c>
      <c r="D4404" s="2" t="s">
        <v>32937</v>
      </c>
      <c r="F4404" s="2" t="s">
        <v>32938</v>
      </c>
      <c r="G4404" s="2" t="s">
        <v>32939</v>
      </c>
      <c r="H4404" s="2" t="s">
        <v>1473</v>
      </c>
      <c r="I4404" s="2" t="s">
        <v>180</v>
      </c>
      <c r="J4404" s="2" t="s">
        <v>258</v>
      </c>
      <c r="K4404" s="2" t="s">
        <v>32937</v>
      </c>
      <c r="L4404" s="2" t="s">
        <v>180</v>
      </c>
      <c r="M4404" s="2" t="s">
        <v>1473</v>
      </c>
      <c r="N4404" s="2" t="s">
        <v>32940</v>
      </c>
      <c r="O4404" s="2"/>
      <c r="P4404" s="2" t="s">
        <v>37</v>
      </c>
      <c r="Q4404" s="4" t="n">
        <v>8731</v>
      </c>
      <c r="R4404" s="2" t="s">
        <v>180</v>
      </c>
      <c r="S4404" s="2" t="s">
        <v>27113</v>
      </c>
      <c r="T4404" s="2" t="s">
        <v>403</v>
      </c>
      <c r="U4404" s="2" t="s">
        <v>32941</v>
      </c>
      <c r="V4404" s="2"/>
      <c r="W4404" s="2" t="s">
        <v>344</v>
      </c>
      <c r="X4404" s="2" t="s">
        <v>43</v>
      </c>
      <c r="Y4404" s="2" t="s">
        <v>79</v>
      </c>
      <c r="Z4404" s="2" t="s">
        <v>44</v>
      </c>
      <c r="AA4404" s="2"/>
      <c r="AB4404" s="2"/>
      <c r="AC4404" s="2" t="s">
        <v>32942</v>
      </c>
      <c r="AD4404" s="2" t="s">
        <v>46</v>
      </c>
    </row>
    <row r="4405" customFormat="false" ht="15.7" hidden="false" customHeight="true" outlineLevel="0" collapsed="false">
      <c r="A4405" s="2"/>
      <c r="B4405" s="3" t="n">
        <f aca="false">DATE(2019,8,13)</f>
        <v>0</v>
      </c>
      <c r="C4405" s="3" t="n">
        <v>43690</v>
      </c>
      <c r="D4405" s="2" t="s">
        <v>32943</v>
      </c>
      <c r="F4405" s="2" t="s">
        <v>32944</v>
      </c>
      <c r="G4405" s="2" t="s">
        <v>32945</v>
      </c>
      <c r="H4405" s="2" t="s">
        <v>32946</v>
      </c>
      <c r="I4405" s="2" t="s">
        <v>51</v>
      </c>
      <c r="J4405" s="2" t="s">
        <v>32947</v>
      </c>
      <c r="K4405" s="2" t="s">
        <v>32943</v>
      </c>
      <c r="L4405" s="2" t="s">
        <v>51</v>
      </c>
      <c r="M4405" s="2" t="s">
        <v>32946</v>
      </c>
      <c r="N4405" s="2" t="s">
        <v>32948</v>
      </c>
      <c r="O4405" s="2"/>
      <c r="P4405" s="2" t="s">
        <v>37</v>
      </c>
      <c r="Q4405" s="4" t="n">
        <v>8731</v>
      </c>
      <c r="R4405" s="2"/>
      <c r="S4405" s="2"/>
      <c r="T4405" s="2" t="s">
        <v>40</v>
      </c>
      <c r="U4405" s="2" t="s">
        <v>32949</v>
      </c>
      <c r="V4405" s="2"/>
      <c r="W4405" s="2" t="s">
        <v>17454</v>
      </c>
      <c r="X4405" s="2" t="s">
        <v>46</v>
      </c>
      <c r="Y4405" s="2" t="s">
        <v>37</v>
      </c>
      <c r="Z4405" s="2" t="s">
        <v>44</v>
      </c>
      <c r="AA4405" s="2"/>
      <c r="AB4405" s="2"/>
      <c r="AC4405" s="2" t="s">
        <v>32950</v>
      </c>
      <c r="AD4405" s="2" t="s">
        <v>46</v>
      </c>
    </row>
    <row r="4406" customFormat="false" ht="15.7" hidden="false" customHeight="true" outlineLevel="0" collapsed="false">
      <c r="A4406" s="2"/>
      <c r="B4406" s="3" t="n">
        <f aca="false">DATE(2019,8,13)</f>
        <v>0</v>
      </c>
      <c r="C4406" s="3" t="n">
        <v>43690</v>
      </c>
      <c r="D4406" s="2" t="s">
        <v>32951</v>
      </c>
      <c r="F4406" s="2" t="s">
        <v>2801</v>
      </c>
      <c r="G4406" s="2" t="s">
        <v>32952</v>
      </c>
      <c r="H4406" s="2" t="s">
        <v>130</v>
      </c>
      <c r="I4406" s="2" t="s">
        <v>32953</v>
      </c>
      <c r="J4406" s="2" t="s">
        <v>35</v>
      </c>
      <c r="K4406" s="2" t="s">
        <v>32954</v>
      </c>
      <c r="L4406" s="2" t="s">
        <v>32953</v>
      </c>
      <c r="M4406" s="2" t="s">
        <v>230</v>
      </c>
      <c r="N4406" s="2" t="s">
        <v>32955</v>
      </c>
      <c r="O4406" s="2"/>
      <c r="P4406" s="2" t="s">
        <v>37</v>
      </c>
      <c r="Q4406" s="4" t="n">
        <v>8731</v>
      </c>
      <c r="R4406" s="2"/>
      <c r="S4406" s="2"/>
      <c r="T4406" s="2" t="s">
        <v>40</v>
      </c>
      <c r="U4406" s="2" t="s">
        <v>32956</v>
      </c>
      <c r="V4406" s="2"/>
      <c r="W4406" s="2" t="s">
        <v>22456</v>
      </c>
      <c r="X4406" s="2" t="s">
        <v>43</v>
      </c>
      <c r="Y4406" s="2" t="s">
        <v>37</v>
      </c>
      <c r="Z4406" s="2" t="s">
        <v>44</v>
      </c>
      <c r="AA4406" s="2"/>
      <c r="AB4406" s="2"/>
      <c r="AC4406" s="2" t="s">
        <v>32957</v>
      </c>
      <c r="AD4406" s="2" t="s">
        <v>46</v>
      </c>
    </row>
    <row r="4407" customFormat="false" ht="15.7" hidden="false" customHeight="true" outlineLevel="0" collapsed="false">
      <c r="A4407" s="2"/>
      <c r="B4407" s="3" t="n">
        <f aca="false">DATE(2019,8,13)</f>
        <v>0</v>
      </c>
      <c r="C4407" s="3" t="n">
        <v>43690</v>
      </c>
      <c r="D4407" s="2" t="s">
        <v>32958</v>
      </c>
      <c r="F4407" s="2" t="s">
        <v>32959</v>
      </c>
      <c r="G4407" s="2" t="s">
        <v>32960</v>
      </c>
      <c r="H4407" s="2" t="s">
        <v>32961</v>
      </c>
      <c r="I4407" s="2" t="s">
        <v>2727</v>
      </c>
      <c r="J4407" s="2" t="s">
        <v>35</v>
      </c>
      <c r="K4407" s="2" t="s">
        <v>32962</v>
      </c>
      <c r="L4407" s="2" t="s">
        <v>2727</v>
      </c>
      <c r="M4407" s="2" t="s">
        <v>32963</v>
      </c>
      <c r="N4407" s="2" t="s">
        <v>32964</v>
      </c>
      <c r="O4407" s="2"/>
      <c r="P4407" s="2" t="s">
        <v>37</v>
      </c>
      <c r="Q4407" s="4" t="n">
        <v>8731</v>
      </c>
      <c r="R4407" s="2"/>
      <c r="S4407" s="2"/>
      <c r="T4407" s="2" t="s">
        <v>40</v>
      </c>
      <c r="U4407" s="2" t="s">
        <v>32965</v>
      </c>
      <c r="V4407" s="2"/>
      <c r="W4407" s="2" t="s">
        <v>2636</v>
      </c>
      <c r="X4407" s="2" t="s">
        <v>46</v>
      </c>
      <c r="Y4407" s="2" t="s">
        <v>37</v>
      </c>
      <c r="Z4407" s="2" t="s">
        <v>44</v>
      </c>
      <c r="AA4407" s="2"/>
      <c r="AB4407" s="2"/>
      <c r="AC4407" s="2" t="s">
        <v>32966</v>
      </c>
      <c r="AD4407" s="2" t="s">
        <v>46</v>
      </c>
    </row>
    <row r="4408" customFormat="false" ht="15.7" hidden="false" customHeight="true" outlineLevel="0" collapsed="false">
      <c r="A4408" s="2"/>
      <c r="B4408" s="3" t="n">
        <f aca="false">DATE(2019,8,13)</f>
        <v>0</v>
      </c>
      <c r="C4408" s="3" t="n">
        <v>43690</v>
      </c>
      <c r="D4408" s="2" t="s">
        <v>32967</v>
      </c>
      <c r="F4408" s="2" t="s">
        <v>32968</v>
      </c>
      <c r="G4408" s="2" t="s">
        <v>32969</v>
      </c>
      <c r="H4408" s="2" t="s">
        <v>32970</v>
      </c>
      <c r="I4408" s="2" t="s">
        <v>6889</v>
      </c>
      <c r="J4408" s="2" t="s">
        <v>35</v>
      </c>
      <c r="K4408" s="2" t="s">
        <v>32971</v>
      </c>
      <c r="L4408" s="2" t="s">
        <v>6889</v>
      </c>
      <c r="M4408" s="2" t="s">
        <v>29294</v>
      </c>
      <c r="N4408" s="2" t="s">
        <v>32972</v>
      </c>
      <c r="O4408" s="2"/>
      <c r="P4408" s="2" t="s">
        <v>37</v>
      </c>
      <c r="Q4408" s="4" t="n">
        <v>8731</v>
      </c>
      <c r="R4408" s="2" t="s">
        <v>402</v>
      </c>
      <c r="S4408" s="2" t="s">
        <v>39</v>
      </c>
      <c r="T4408" s="2" t="s">
        <v>40</v>
      </c>
      <c r="U4408" s="2" t="s">
        <v>32973</v>
      </c>
      <c r="V4408" s="2"/>
      <c r="W4408" s="2" t="s">
        <v>6901</v>
      </c>
      <c r="X4408" s="2" t="s">
        <v>43</v>
      </c>
      <c r="Y4408" s="2" t="s">
        <v>37</v>
      </c>
      <c r="Z4408" s="2" t="s">
        <v>44</v>
      </c>
      <c r="AA4408" s="2"/>
      <c r="AB4408" s="2"/>
      <c r="AC4408" s="2" t="s">
        <v>32974</v>
      </c>
      <c r="AD4408" s="2" t="s">
        <v>46</v>
      </c>
    </row>
    <row r="4409" customFormat="false" ht="15.7" hidden="false" customHeight="true" outlineLevel="0" collapsed="false">
      <c r="A4409" s="2"/>
      <c r="B4409" s="3" t="n">
        <f aca="false">DATE(2019,8,13)</f>
        <v>0</v>
      </c>
      <c r="C4409" s="3" t="n">
        <v>43690</v>
      </c>
      <c r="D4409" s="2" t="s">
        <v>32975</v>
      </c>
      <c r="F4409" s="2" t="s">
        <v>32976</v>
      </c>
      <c r="G4409" s="2" t="s">
        <v>32977</v>
      </c>
      <c r="H4409" s="2" t="s">
        <v>32978</v>
      </c>
      <c r="I4409" s="2" t="s">
        <v>51</v>
      </c>
      <c r="J4409" s="2" t="s">
        <v>13785</v>
      </c>
      <c r="K4409" s="2" t="s">
        <v>32975</v>
      </c>
      <c r="L4409" s="2" t="s">
        <v>51</v>
      </c>
      <c r="M4409" s="2" t="s">
        <v>32978</v>
      </c>
      <c r="N4409" s="2" t="s">
        <v>32979</v>
      </c>
      <c r="O4409" s="2"/>
      <c r="P4409" s="2" t="s">
        <v>37</v>
      </c>
      <c r="Q4409" s="4" t="n">
        <v>8731</v>
      </c>
      <c r="R4409" s="2"/>
      <c r="S4409" s="2"/>
      <c r="T4409" s="2" t="s">
        <v>403</v>
      </c>
      <c r="U4409" s="2" t="s">
        <v>32980</v>
      </c>
      <c r="V4409" s="2"/>
      <c r="W4409" s="2" t="s">
        <v>18171</v>
      </c>
      <c r="X4409" s="2" t="s">
        <v>46</v>
      </c>
      <c r="Y4409" s="2" t="s">
        <v>37</v>
      </c>
      <c r="Z4409" s="2" t="s">
        <v>44</v>
      </c>
      <c r="AA4409" s="2"/>
      <c r="AB4409" s="2"/>
      <c r="AC4409" s="2" t="s">
        <v>32981</v>
      </c>
      <c r="AD4409" s="2" t="s">
        <v>46</v>
      </c>
    </row>
    <row r="4410" customFormat="false" ht="15.7" hidden="false" customHeight="true" outlineLevel="0" collapsed="false">
      <c r="A4410" s="2"/>
      <c r="B4410" s="3" t="n">
        <f aca="false">DATE(2019,8,14)</f>
        <v>0</v>
      </c>
      <c r="C4410" s="3" t="n">
        <v>43691</v>
      </c>
      <c r="D4410" s="2" t="s">
        <v>32982</v>
      </c>
      <c r="F4410" s="2" t="s">
        <v>17484</v>
      </c>
      <c r="G4410" s="2" t="s">
        <v>32983</v>
      </c>
      <c r="H4410" s="2" t="s">
        <v>305</v>
      </c>
      <c r="I4410" s="2" t="s">
        <v>51</v>
      </c>
      <c r="J4410" s="2" t="s">
        <v>4151</v>
      </c>
      <c r="K4410" s="2" t="s">
        <v>32982</v>
      </c>
      <c r="L4410" s="2" t="s">
        <v>51</v>
      </c>
      <c r="M4410" s="2" t="s">
        <v>305</v>
      </c>
      <c r="N4410" s="2" t="s">
        <v>32984</v>
      </c>
      <c r="O4410" s="2"/>
      <c r="P4410" s="2" t="s">
        <v>37</v>
      </c>
      <c r="Q4410" s="4" t="n">
        <v>8731</v>
      </c>
      <c r="R4410" s="2" t="s">
        <v>136</v>
      </c>
      <c r="S4410" s="2" t="s">
        <v>39</v>
      </c>
      <c r="T4410" s="2" t="s">
        <v>40</v>
      </c>
      <c r="U4410" s="2" t="s">
        <v>32985</v>
      </c>
      <c r="V4410" s="2"/>
      <c r="W4410" s="2" t="s">
        <v>344</v>
      </c>
      <c r="X4410" s="2" t="s">
        <v>43</v>
      </c>
      <c r="Y4410" s="2" t="s">
        <v>37</v>
      </c>
      <c r="Z4410" s="2" t="s">
        <v>44</v>
      </c>
      <c r="AA4410" s="2"/>
      <c r="AB4410" s="2"/>
      <c r="AC4410" s="2" t="s">
        <v>32986</v>
      </c>
      <c r="AD4410" s="2" t="s">
        <v>46</v>
      </c>
    </row>
    <row r="4411" customFormat="false" ht="15.7" hidden="false" customHeight="true" outlineLevel="0" collapsed="false">
      <c r="A4411" s="2"/>
      <c r="B4411" s="3" t="n">
        <f aca="false">DATE(2019,8,18)</f>
        <v>0</v>
      </c>
      <c r="C4411" s="3" t="n">
        <v>43695</v>
      </c>
      <c r="D4411" s="2" t="s">
        <v>32987</v>
      </c>
      <c r="F4411" s="2" t="s">
        <v>32988</v>
      </c>
      <c r="G4411" s="2" t="s">
        <v>32989</v>
      </c>
      <c r="H4411" s="2" t="s">
        <v>32990</v>
      </c>
      <c r="I4411" s="2" t="s">
        <v>51</v>
      </c>
      <c r="J4411" s="2" t="s">
        <v>504</v>
      </c>
      <c r="K4411" s="2" t="s">
        <v>32987</v>
      </c>
      <c r="L4411" s="2" t="s">
        <v>51</v>
      </c>
      <c r="M4411" s="2" t="s">
        <v>32990</v>
      </c>
      <c r="N4411" s="2" t="s">
        <v>32991</v>
      </c>
      <c r="O4411" s="2"/>
      <c r="P4411" s="2" t="s">
        <v>37</v>
      </c>
      <c r="Q4411" s="4" t="n">
        <v>8731</v>
      </c>
      <c r="R4411" s="2" t="s">
        <v>56</v>
      </c>
      <c r="S4411" s="2" t="s">
        <v>80</v>
      </c>
      <c r="T4411" s="2" t="s">
        <v>40</v>
      </c>
      <c r="U4411" s="2" t="s">
        <v>32992</v>
      </c>
      <c r="V4411" s="2"/>
      <c r="W4411" s="2" t="s">
        <v>2367</v>
      </c>
      <c r="X4411" s="2" t="s">
        <v>43</v>
      </c>
      <c r="Y4411" s="2" t="s">
        <v>37</v>
      </c>
      <c r="Z4411" s="2" t="s">
        <v>44</v>
      </c>
      <c r="AA4411" s="2"/>
      <c r="AB4411" s="2"/>
      <c r="AC4411" s="2" t="s">
        <v>32993</v>
      </c>
      <c r="AD4411" s="2" t="s">
        <v>46</v>
      </c>
    </row>
    <row r="4412" customFormat="false" ht="15.7" hidden="false" customHeight="true" outlineLevel="0" collapsed="false">
      <c r="A4412" s="2"/>
      <c r="B4412" s="3" t="n">
        <f aca="false">DATE(2019,8,19)</f>
        <v>0</v>
      </c>
      <c r="C4412" s="3" t="n">
        <v>43696</v>
      </c>
      <c r="D4412" s="2" t="s">
        <v>32994</v>
      </c>
      <c r="F4412" s="2" t="s">
        <v>25771</v>
      </c>
      <c r="G4412" s="2" t="s">
        <v>32995</v>
      </c>
      <c r="H4412" s="2" t="s">
        <v>762</v>
      </c>
      <c r="I4412" s="2" t="s">
        <v>51</v>
      </c>
      <c r="J4412" s="2" t="s">
        <v>15068</v>
      </c>
      <c r="K4412" s="2" t="s">
        <v>32994</v>
      </c>
      <c r="L4412" s="2" t="s">
        <v>51</v>
      </c>
      <c r="M4412" s="2" t="s">
        <v>762</v>
      </c>
      <c r="N4412" s="2" t="s">
        <v>32996</v>
      </c>
      <c r="O4412" s="2"/>
      <c r="P4412" s="2" t="s">
        <v>37</v>
      </c>
      <c r="Q4412" s="4" t="n">
        <v>6794</v>
      </c>
      <c r="R4412" s="2" t="s">
        <v>136</v>
      </c>
      <c r="S4412" s="2" t="s">
        <v>39</v>
      </c>
      <c r="T4412" s="2" t="s">
        <v>40</v>
      </c>
      <c r="U4412" s="2" t="s">
        <v>32997</v>
      </c>
      <c r="V4412" s="2"/>
      <c r="W4412" s="2" t="s">
        <v>15545</v>
      </c>
      <c r="X4412" s="2" t="s">
        <v>43</v>
      </c>
      <c r="Y4412" s="2" t="s">
        <v>37</v>
      </c>
      <c r="Z4412" s="2" t="s">
        <v>44</v>
      </c>
      <c r="AA4412" s="2"/>
      <c r="AB4412" s="2"/>
      <c r="AC4412" s="2" t="s">
        <v>32998</v>
      </c>
      <c r="AD4412" s="2" t="s">
        <v>46</v>
      </c>
    </row>
    <row r="4413" customFormat="false" ht="15.7" hidden="false" customHeight="true" outlineLevel="0" collapsed="false">
      <c r="A4413" s="2"/>
      <c r="B4413" s="3" t="n">
        <f aca="false">DATE(2019,8,19)</f>
        <v>0</v>
      </c>
      <c r="C4413" s="3" t="n">
        <v>43696</v>
      </c>
      <c r="D4413" s="2" t="s">
        <v>32999</v>
      </c>
      <c r="F4413" s="2" t="s">
        <v>33000</v>
      </c>
      <c r="G4413" s="2" t="s">
        <v>33001</v>
      </c>
      <c r="H4413" s="2" t="s">
        <v>33002</v>
      </c>
      <c r="I4413" s="2" t="s">
        <v>664</v>
      </c>
      <c r="J4413" s="2" t="s">
        <v>331</v>
      </c>
      <c r="K4413" s="2" t="s">
        <v>32999</v>
      </c>
      <c r="L4413" s="2" t="s">
        <v>664</v>
      </c>
      <c r="M4413" s="2" t="s">
        <v>33002</v>
      </c>
      <c r="N4413" s="2" t="s">
        <v>33003</v>
      </c>
      <c r="O4413" s="2"/>
      <c r="P4413" s="2" t="s">
        <v>37</v>
      </c>
      <c r="Q4413" s="4" t="n">
        <v>8731</v>
      </c>
      <c r="R4413" s="2"/>
      <c r="S4413" s="2"/>
      <c r="T4413" s="2" t="s">
        <v>40</v>
      </c>
      <c r="U4413" s="2" t="s">
        <v>33004</v>
      </c>
      <c r="V4413" s="2"/>
      <c r="W4413" s="2" t="s">
        <v>10912</v>
      </c>
      <c r="X4413" s="2" t="s">
        <v>43</v>
      </c>
      <c r="Y4413" s="2" t="s">
        <v>37</v>
      </c>
      <c r="Z4413" s="2" t="s">
        <v>44</v>
      </c>
      <c r="AA4413" s="2"/>
      <c r="AB4413" s="2"/>
      <c r="AC4413" s="2" t="s">
        <v>33005</v>
      </c>
      <c r="AD4413" s="2" t="s">
        <v>46</v>
      </c>
    </row>
    <row r="4414" customFormat="false" ht="15.7" hidden="false" customHeight="true" outlineLevel="0" collapsed="false">
      <c r="A4414" s="2"/>
      <c r="B4414" s="3" t="n">
        <f aca="false">DATE(2019,8,19)</f>
        <v>0</v>
      </c>
      <c r="C4414" s="3" t="n">
        <v>43696</v>
      </c>
      <c r="D4414" s="2" t="s">
        <v>33006</v>
      </c>
      <c r="F4414" s="2" t="s">
        <v>33007</v>
      </c>
      <c r="G4414" s="2" t="s">
        <v>33008</v>
      </c>
      <c r="H4414" s="2" t="s">
        <v>33009</v>
      </c>
      <c r="I4414" s="2" t="s">
        <v>51</v>
      </c>
      <c r="J4414" s="2" t="s">
        <v>3604</v>
      </c>
      <c r="K4414" s="2" t="s">
        <v>33006</v>
      </c>
      <c r="L4414" s="2" t="s">
        <v>51</v>
      </c>
      <c r="M4414" s="2" t="s">
        <v>33009</v>
      </c>
      <c r="N4414" s="2" t="s">
        <v>33010</v>
      </c>
      <c r="O4414" s="2"/>
      <c r="P4414" s="2" t="s">
        <v>37</v>
      </c>
      <c r="Q4414" s="4" t="n">
        <v>6794</v>
      </c>
      <c r="R4414" s="2"/>
      <c r="S4414" s="2"/>
      <c r="T4414" s="2" t="s">
        <v>40</v>
      </c>
      <c r="U4414" s="2" t="s">
        <v>33011</v>
      </c>
      <c r="V4414" s="2"/>
      <c r="W4414" s="2" t="s">
        <v>33012</v>
      </c>
      <c r="X4414" s="2" t="s">
        <v>43</v>
      </c>
      <c r="Y4414" s="2" t="s">
        <v>37</v>
      </c>
      <c r="Z4414" s="2" t="s">
        <v>44</v>
      </c>
      <c r="AA4414" s="2"/>
      <c r="AB4414" s="2"/>
      <c r="AC4414" s="2" t="s">
        <v>33013</v>
      </c>
      <c r="AD4414" s="2" t="s">
        <v>46</v>
      </c>
    </row>
    <row r="4415" customFormat="false" ht="15.7" hidden="false" customHeight="true" outlineLevel="0" collapsed="false">
      <c r="A4415" s="2"/>
      <c r="B4415" s="3" t="n">
        <f aca="false">DATE(2019,8,20)</f>
        <v>0</v>
      </c>
      <c r="C4415" s="3" t="n">
        <v>43697</v>
      </c>
      <c r="D4415" s="2" t="s">
        <v>33014</v>
      </c>
      <c r="F4415" s="2" t="s">
        <v>33015</v>
      </c>
      <c r="G4415" s="2" t="s">
        <v>33016</v>
      </c>
      <c r="H4415" s="2" t="s">
        <v>33017</v>
      </c>
      <c r="I4415" s="2" t="s">
        <v>4325</v>
      </c>
      <c r="J4415" s="2" t="s">
        <v>35</v>
      </c>
      <c r="K4415" s="2" t="s">
        <v>33018</v>
      </c>
      <c r="L4415" s="2" t="s">
        <v>4325</v>
      </c>
      <c r="M4415" s="2" t="s">
        <v>33017</v>
      </c>
      <c r="N4415" s="2" t="s">
        <v>33019</v>
      </c>
      <c r="O4415" s="2"/>
      <c r="P4415" s="2" t="s">
        <v>37</v>
      </c>
      <c r="Q4415" s="4" t="n">
        <v>7538</v>
      </c>
      <c r="R4415" s="2" t="s">
        <v>402</v>
      </c>
      <c r="S4415" s="2" t="s">
        <v>39</v>
      </c>
      <c r="T4415" s="2" t="s">
        <v>403</v>
      </c>
      <c r="U4415" s="2" t="s">
        <v>33020</v>
      </c>
      <c r="V4415" s="2"/>
      <c r="W4415" s="2" t="s">
        <v>33021</v>
      </c>
      <c r="X4415" s="2" t="s">
        <v>46</v>
      </c>
      <c r="Y4415" s="2" t="s">
        <v>37</v>
      </c>
      <c r="Z4415" s="2" t="s">
        <v>44</v>
      </c>
      <c r="AA4415" s="2"/>
      <c r="AB4415" s="2"/>
      <c r="AC4415" s="2" t="s">
        <v>33022</v>
      </c>
      <c r="AD4415" s="2" t="s">
        <v>46</v>
      </c>
    </row>
    <row r="4416" customFormat="false" ht="15.7" hidden="false" customHeight="true" outlineLevel="0" collapsed="false">
      <c r="A4416" s="2"/>
      <c r="B4416" s="3" t="n">
        <f aca="false">DATE(2019,8,20)</f>
        <v>0</v>
      </c>
      <c r="C4416" s="3" t="n">
        <v>43697</v>
      </c>
      <c r="D4416" s="2" t="s">
        <v>33023</v>
      </c>
      <c r="F4416" s="2" t="s">
        <v>33024</v>
      </c>
      <c r="G4416" s="2" t="s">
        <v>33025</v>
      </c>
      <c r="H4416" s="2" t="s">
        <v>32786</v>
      </c>
      <c r="I4416" s="2" t="s">
        <v>2294</v>
      </c>
      <c r="J4416" s="2" t="s">
        <v>35</v>
      </c>
      <c r="K4416" s="2" t="s">
        <v>33023</v>
      </c>
      <c r="L4416" s="2" t="s">
        <v>2294</v>
      </c>
      <c r="M4416" s="2" t="s">
        <v>32786</v>
      </c>
      <c r="N4416" s="2" t="s">
        <v>33026</v>
      </c>
      <c r="O4416" s="2"/>
      <c r="P4416" s="2" t="s">
        <v>37</v>
      </c>
      <c r="Q4416" s="4" t="n">
        <v>8731</v>
      </c>
      <c r="R4416" s="2" t="s">
        <v>450</v>
      </c>
      <c r="S4416" s="2" t="s">
        <v>39</v>
      </c>
      <c r="T4416" s="2" t="s">
        <v>40</v>
      </c>
      <c r="U4416" s="2" t="s">
        <v>33027</v>
      </c>
      <c r="V4416" s="2"/>
      <c r="W4416" s="2" t="s">
        <v>33028</v>
      </c>
      <c r="X4416" s="2" t="s">
        <v>43</v>
      </c>
      <c r="Y4416" s="2" t="s">
        <v>37</v>
      </c>
      <c r="Z4416" s="2" t="s">
        <v>44</v>
      </c>
      <c r="AA4416" s="2"/>
      <c r="AB4416" s="2"/>
      <c r="AC4416" s="2" t="s">
        <v>33029</v>
      </c>
      <c r="AD4416" s="2" t="s">
        <v>46</v>
      </c>
    </row>
    <row r="4417" customFormat="false" ht="15.7" hidden="false" customHeight="true" outlineLevel="0" collapsed="false">
      <c r="A4417" s="2"/>
      <c r="B4417" s="3" t="n">
        <f aca="false">DATE(2019,8,20)</f>
        <v>0</v>
      </c>
      <c r="C4417" s="3" t="n">
        <v>43697</v>
      </c>
      <c r="D4417" s="2" t="s">
        <v>33030</v>
      </c>
      <c r="F4417" s="2" t="s">
        <v>33031</v>
      </c>
      <c r="G4417" s="2" t="s">
        <v>33032</v>
      </c>
      <c r="H4417" s="2" t="s">
        <v>33033</v>
      </c>
      <c r="I4417" s="2" t="s">
        <v>33034</v>
      </c>
      <c r="J4417" s="2" t="s">
        <v>35</v>
      </c>
      <c r="K4417" s="2" t="s">
        <v>33030</v>
      </c>
      <c r="L4417" s="2" t="s">
        <v>33034</v>
      </c>
      <c r="M4417" s="2" t="s">
        <v>33033</v>
      </c>
      <c r="N4417" s="2" t="s">
        <v>33035</v>
      </c>
      <c r="O4417" s="2"/>
      <c r="P4417" s="2" t="s">
        <v>37</v>
      </c>
      <c r="Q4417" s="4" t="n">
        <v>8731</v>
      </c>
      <c r="R4417" s="2" t="s">
        <v>136</v>
      </c>
      <c r="S4417" s="2" t="s">
        <v>39</v>
      </c>
      <c r="T4417" s="2" t="s">
        <v>40</v>
      </c>
      <c r="U4417" s="2" t="s">
        <v>33036</v>
      </c>
      <c r="V4417" s="2"/>
      <c r="W4417" s="2" t="s">
        <v>42</v>
      </c>
      <c r="X4417" s="2" t="s">
        <v>43</v>
      </c>
      <c r="Y4417" s="2" t="s">
        <v>37</v>
      </c>
      <c r="Z4417" s="2" t="s">
        <v>44</v>
      </c>
      <c r="AA4417" s="2"/>
      <c r="AB4417" s="2"/>
      <c r="AC4417" s="2" t="s">
        <v>33037</v>
      </c>
      <c r="AD4417" s="2" t="s">
        <v>46</v>
      </c>
    </row>
    <row r="4418" customFormat="false" ht="15.7" hidden="false" customHeight="true" outlineLevel="0" collapsed="false">
      <c r="A4418" s="2"/>
      <c r="B4418" s="3" t="n">
        <f aca="false">DATE(2019,8,21)</f>
        <v>0</v>
      </c>
      <c r="C4418" s="3" t="n">
        <v>43698</v>
      </c>
      <c r="D4418" s="2" t="s">
        <v>33038</v>
      </c>
      <c r="F4418" s="2" t="s">
        <v>15541</v>
      </c>
      <c r="G4418" s="2" t="s">
        <v>33039</v>
      </c>
      <c r="H4418" s="2" t="s">
        <v>170</v>
      </c>
      <c r="I4418" s="2" t="s">
        <v>51</v>
      </c>
      <c r="J4418" s="2" t="s">
        <v>33040</v>
      </c>
      <c r="K4418" s="2" t="s">
        <v>33038</v>
      </c>
      <c r="L4418" s="2" t="s">
        <v>51</v>
      </c>
      <c r="M4418" s="2" t="s">
        <v>170</v>
      </c>
      <c r="N4418" s="2" t="s">
        <v>33041</v>
      </c>
      <c r="O4418" s="2"/>
      <c r="P4418" s="2" t="s">
        <v>37</v>
      </c>
      <c r="Q4418" s="4" t="n">
        <v>8099</v>
      </c>
      <c r="R4418" s="2" t="s">
        <v>56</v>
      </c>
      <c r="S4418" s="2" t="s">
        <v>507</v>
      </c>
      <c r="T4418" s="2" t="s">
        <v>40</v>
      </c>
      <c r="U4418" s="2" t="s">
        <v>33042</v>
      </c>
      <c r="V4418" s="2"/>
      <c r="W4418" s="2" t="s">
        <v>4487</v>
      </c>
      <c r="X4418" s="2" t="s">
        <v>43</v>
      </c>
      <c r="Y4418" s="2" t="s">
        <v>37</v>
      </c>
      <c r="Z4418" s="2" t="s">
        <v>44</v>
      </c>
      <c r="AA4418" s="2"/>
      <c r="AB4418" s="2"/>
      <c r="AC4418" s="2" t="s">
        <v>33043</v>
      </c>
      <c r="AD4418" s="2" t="s">
        <v>46</v>
      </c>
    </row>
    <row r="4419" customFormat="false" ht="15.7" hidden="false" customHeight="true" outlineLevel="0" collapsed="false">
      <c r="A4419" s="2"/>
      <c r="B4419" s="3" t="n">
        <f aca="false">DATE(2019,8,21)</f>
        <v>0</v>
      </c>
      <c r="C4419" s="3" t="n">
        <v>43698</v>
      </c>
      <c r="D4419" s="2" t="s">
        <v>33044</v>
      </c>
      <c r="F4419" s="2" t="s">
        <v>19085</v>
      </c>
      <c r="G4419" s="2" t="s">
        <v>33045</v>
      </c>
      <c r="H4419" s="2" t="s">
        <v>63</v>
      </c>
      <c r="I4419" s="2" t="s">
        <v>51</v>
      </c>
      <c r="J4419" s="2" t="s">
        <v>5416</v>
      </c>
      <c r="K4419" s="2" t="s">
        <v>33046</v>
      </c>
      <c r="L4419" s="2" t="s">
        <v>51</v>
      </c>
      <c r="M4419" s="2" t="s">
        <v>230</v>
      </c>
      <c r="N4419" s="2" t="s">
        <v>33047</v>
      </c>
      <c r="O4419" s="2"/>
      <c r="P4419" s="2" t="s">
        <v>37</v>
      </c>
      <c r="Q4419" s="4" t="n">
        <v>8731</v>
      </c>
      <c r="R4419" s="2" t="s">
        <v>136</v>
      </c>
      <c r="S4419" s="2" t="s">
        <v>39</v>
      </c>
      <c r="T4419" s="2" t="s">
        <v>40</v>
      </c>
      <c r="U4419" s="2" t="s">
        <v>33048</v>
      </c>
      <c r="V4419" s="2"/>
      <c r="W4419" s="2" t="s">
        <v>24933</v>
      </c>
      <c r="X4419" s="2" t="s">
        <v>43</v>
      </c>
      <c r="Y4419" s="2" t="s">
        <v>37</v>
      </c>
      <c r="Z4419" s="2" t="s">
        <v>44</v>
      </c>
      <c r="AA4419" s="2"/>
      <c r="AB4419" s="2"/>
      <c r="AC4419" s="2" t="s">
        <v>33049</v>
      </c>
      <c r="AD4419" s="2" t="s">
        <v>46</v>
      </c>
    </row>
    <row r="4420" customFormat="false" ht="15.7" hidden="false" customHeight="true" outlineLevel="0" collapsed="false">
      <c r="A4420" s="2"/>
      <c r="B4420" s="3" t="n">
        <f aca="false">DATE(2019,8,21)</f>
        <v>0</v>
      </c>
      <c r="C4420" s="3" t="n">
        <v>43698</v>
      </c>
      <c r="D4420" s="2" t="s">
        <v>33050</v>
      </c>
      <c r="F4420" s="2" t="s">
        <v>33051</v>
      </c>
      <c r="G4420" s="2" t="s">
        <v>33052</v>
      </c>
      <c r="H4420" s="2" t="s">
        <v>33053</v>
      </c>
      <c r="I4420" s="2" t="s">
        <v>7920</v>
      </c>
      <c r="J4420" s="2" t="s">
        <v>33054</v>
      </c>
      <c r="K4420" s="2" t="s">
        <v>33050</v>
      </c>
      <c r="L4420" s="2" t="s">
        <v>7920</v>
      </c>
      <c r="M4420" s="2" t="s">
        <v>33053</v>
      </c>
      <c r="N4420" s="2" t="s">
        <v>33055</v>
      </c>
      <c r="O4420" s="2"/>
      <c r="P4420" s="2" t="s">
        <v>37</v>
      </c>
      <c r="Q4420" s="4" t="n">
        <v>8099</v>
      </c>
      <c r="R4420" s="2" t="s">
        <v>1448</v>
      </c>
      <c r="S4420" s="2" t="s">
        <v>39</v>
      </c>
      <c r="T4420" s="2" t="s">
        <v>403</v>
      </c>
      <c r="U4420" s="2" t="s">
        <v>33056</v>
      </c>
      <c r="V4420" s="2"/>
      <c r="W4420" s="2" t="s">
        <v>4487</v>
      </c>
      <c r="X4420" s="2" t="s">
        <v>46</v>
      </c>
      <c r="Y4420" s="2" t="s">
        <v>37</v>
      </c>
      <c r="Z4420" s="2" t="s">
        <v>916</v>
      </c>
      <c r="AA4420" s="2"/>
      <c r="AB4420" s="2"/>
      <c r="AC4420" s="2" t="s">
        <v>33057</v>
      </c>
      <c r="AD4420" s="2" t="s">
        <v>46</v>
      </c>
    </row>
    <row r="4421" customFormat="false" ht="15.7" hidden="false" customHeight="true" outlineLevel="0" collapsed="false">
      <c r="A4421" s="2"/>
      <c r="B4421" s="3" t="n">
        <f aca="false">DATE(2019,8,21)</f>
        <v>0</v>
      </c>
      <c r="C4421" s="3" t="n">
        <v>43698</v>
      </c>
      <c r="D4421" s="2" t="s">
        <v>33058</v>
      </c>
      <c r="F4421" s="2" t="s">
        <v>33059</v>
      </c>
      <c r="G4421" s="2" t="s">
        <v>33060</v>
      </c>
      <c r="H4421" s="2" t="s">
        <v>33061</v>
      </c>
      <c r="I4421" s="2" t="s">
        <v>2530</v>
      </c>
      <c r="J4421" s="2" t="s">
        <v>33062</v>
      </c>
      <c r="K4421" s="2" t="s">
        <v>33058</v>
      </c>
      <c r="L4421" s="2" t="s">
        <v>2530</v>
      </c>
      <c r="M4421" s="2" t="s">
        <v>33061</v>
      </c>
      <c r="N4421" s="2" t="s">
        <v>33063</v>
      </c>
      <c r="O4421" s="2"/>
      <c r="P4421" s="2" t="s">
        <v>37</v>
      </c>
      <c r="Q4421" s="4" t="n">
        <v>8731</v>
      </c>
      <c r="R4421" s="2" t="s">
        <v>56</v>
      </c>
      <c r="S4421" s="2" t="s">
        <v>977</v>
      </c>
      <c r="T4421" s="2" t="s">
        <v>40</v>
      </c>
      <c r="U4421" s="2" t="s">
        <v>33064</v>
      </c>
      <c r="V4421" s="2"/>
      <c r="W4421" s="2" t="s">
        <v>3235</v>
      </c>
      <c r="X4421" s="2" t="s">
        <v>43</v>
      </c>
      <c r="Y4421" s="2" t="s">
        <v>37</v>
      </c>
      <c r="Z4421" s="2" t="s">
        <v>916</v>
      </c>
      <c r="AA4421" s="2"/>
      <c r="AB4421" s="2"/>
      <c r="AC4421" s="2" t="s">
        <v>33065</v>
      </c>
      <c r="AD4421" s="2" t="s">
        <v>46</v>
      </c>
    </row>
    <row r="4422" customFormat="false" ht="15.7" hidden="false" customHeight="true" outlineLevel="0" collapsed="false">
      <c r="A4422" s="2"/>
      <c r="B4422" s="3" t="n">
        <f aca="false">DATE(2019,8,22)</f>
        <v>0</v>
      </c>
      <c r="C4422" s="3" t="n">
        <v>43699</v>
      </c>
      <c r="D4422" s="2" t="s">
        <v>33066</v>
      </c>
      <c r="F4422" s="2" t="s">
        <v>33067</v>
      </c>
      <c r="G4422" s="2" t="s">
        <v>33068</v>
      </c>
      <c r="H4422" s="2" t="s">
        <v>33069</v>
      </c>
      <c r="I4422" s="2" t="s">
        <v>435</v>
      </c>
      <c r="J4422" s="2" t="s">
        <v>17914</v>
      </c>
      <c r="K4422" s="2" t="s">
        <v>33066</v>
      </c>
      <c r="L4422" s="2" t="s">
        <v>435</v>
      </c>
      <c r="M4422" s="2" t="s">
        <v>33069</v>
      </c>
      <c r="N4422" s="2" t="s">
        <v>33070</v>
      </c>
      <c r="O4422" s="2"/>
      <c r="P4422" s="2" t="s">
        <v>37</v>
      </c>
      <c r="Q4422" s="4" t="n">
        <v>5099</v>
      </c>
      <c r="R4422" s="2" t="s">
        <v>1402</v>
      </c>
      <c r="S4422" s="2" t="s">
        <v>39</v>
      </c>
      <c r="T4422" s="2" t="s">
        <v>40</v>
      </c>
      <c r="U4422" s="2" t="s">
        <v>33071</v>
      </c>
      <c r="V4422" s="2"/>
      <c r="W4422" s="2" t="s">
        <v>30329</v>
      </c>
      <c r="X4422" s="2" t="s">
        <v>43</v>
      </c>
      <c r="Y4422" s="2" t="s">
        <v>37</v>
      </c>
      <c r="Z4422" s="2" t="s">
        <v>44</v>
      </c>
      <c r="AA4422" s="2"/>
      <c r="AB4422" s="2"/>
      <c r="AC4422" s="2" t="s">
        <v>33072</v>
      </c>
      <c r="AD4422" s="2" t="s">
        <v>46</v>
      </c>
    </row>
    <row r="4423" customFormat="false" ht="15.7" hidden="false" customHeight="true" outlineLevel="0" collapsed="false">
      <c r="A4423" s="2"/>
      <c r="B4423" s="3" t="n">
        <f aca="false">DATE(2019,8,22)</f>
        <v>0</v>
      </c>
      <c r="C4423" s="3" t="n">
        <v>43699</v>
      </c>
      <c r="D4423" s="2" t="s">
        <v>33073</v>
      </c>
      <c r="F4423" s="2" t="s">
        <v>28170</v>
      </c>
      <c r="G4423" s="2" t="s">
        <v>33074</v>
      </c>
      <c r="H4423" s="2" t="s">
        <v>28172</v>
      </c>
      <c r="I4423" s="2" t="s">
        <v>540</v>
      </c>
      <c r="J4423" s="2" t="s">
        <v>35</v>
      </c>
      <c r="K4423" s="2" t="s">
        <v>33073</v>
      </c>
      <c r="L4423" s="2" t="s">
        <v>540</v>
      </c>
      <c r="M4423" s="2" t="s">
        <v>28172</v>
      </c>
      <c r="N4423" s="2" t="s">
        <v>33075</v>
      </c>
      <c r="O4423" s="2"/>
      <c r="P4423" s="2" t="s">
        <v>37</v>
      </c>
      <c r="Q4423" s="4" t="n">
        <v>8099</v>
      </c>
      <c r="R4423" s="2" t="s">
        <v>1448</v>
      </c>
      <c r="S4423" s="2" t="s">
        <v>39</v>
      </c>
      <c r="T4423" s="2" t="s">
        <v>40</v>
      </c>
      <c r="U4423" s="2" t="s">
        <v>33076</v>
      </c>
      <c r="V4423" s="2"/>
      <c r="W4423" s="2" t="s">
        <v>25722</v>
      </c>
      <c r="X4423" s="2" t="s">
        <v>43</v>
      </c>
      <c r="Y4423" s="2" t="s">
        <v>37</v>
      </c>
      <c r="Z4423" s="2" t="s">
        <v>44</v>
      </c>
      <c r="AA4423" s="2"/>
      <c r="AB4423" s="2"/>
      <c r="AC4423" s="2" t="s">
        <v>33077</v>
      </c>
      <c r="AD4423" s="2" t="s">
        <v>46</v>
      </c>
    </row>
    <row r="4424" customFormat="false" ht="15.7" hidden="false" customHeight="true" outlineLevel="0" collapsed="false">
      <c r="A4424" s="2"/>
      <c r="B4424" s="3" t="n">
        <f aca="false">DATE(2019,8,22)</f>
        <v>0</v>
      </c>
      <c r="C4424" s="3" t="n">
        <v>43699</v>
      </c>
      <c r="D4424" s="2" t="s">
        <v>33078</v>
      </c>
      <c r="F4424" s="2" t="s">
        <v>33079</v>
      </c>
      <c r="G4424" s="2" t="s">
        <v>33080</v>
      </c>
      <c r="H4424" s="2" t="s">
        <v>33081</v>
      </c>
      <c r="I4424" s="2" t="s">
        <v>1544</v>
      </c>
      <c r="J4424" s="2" t="s">
        <v>795</v>
      </c>
      <c r="K4424" s="2" t="s">
        <v>33078</v>
      </c>
      <c r="L4424" s="2" t="s">
        <v>1544</v>
      </c>
      <c r="M4424" s="2" t="s">
        <v>33081</v>
      </c>
      <c r="N4424" s="2" t="s">
        <v>33082</v>
      </c>
      <c r="O4424" s="2"/>
      <c r="P4424" s="2" t="s">
        <v>37</v>
      </c>
      <c r="Q4424" s="4" t="n">
        <v>8099</v>
      </c>
      <c r="R4424" s="2" t="s">
        <v>2952</v>
      </c>
      <c r="S4424" s="2" t="s">
        <v>39</v>
      </c>
      <c r="T4424" s="2" t="s">
        <v>403</v>
      </c>
      <c r="U4424" s="2" t="s">
        <v>33083</v>
      </c>
      <c r="V4424" s="2"/>
      <c r="W4424" s="2" t="s">
        <v>4487</v>
      </c>
      <c r="X4424" s="2" t="s">
        <v>46</v>
      </c>
      <c r="Y4424" s="2" t="s">
        <v>37</v>
      </c>
      <c r="Z4424" s="2" t="s">
        <v>44</v>
      </c>
      <c r="AA4424" s="2"/>
      <c r="AB4424" s="2"/>
      <c r="AC4424" s="2" t="s">
        <v>33084</v>
      </c>
      <c r="AD4424" s="2" t="s">
        <v>46</v>
      </c>
    </row>
    <row r="4425" customFormat="false" ht="15.7" hidden="false" customHeight="true" outlineLevel="0" collapsed="false">
      <c r="A4425" s="2"/>
      <c r="B4425" s="3" t="n">
        <f aca="false">DATE(2019,8,26)</f>
        <v>0</v>
      </c>
      <c r="C4425" s="3" t="n">
        <v>43703</v>
      </c>
      <c r="D4425" s="2" t="s">
        <v>33085</v>
      </c>
      <c r="F4425" s="2" t="s">
        <v>33086</v>
      </c>
      <c r="G4425" s="2" t="s">
        <v>33087</v>
      </c>
      <c r="H4425" s="2" t="s">
        <v>33088</v>
      </c>
      <c r="I4425" s="2" t="s">
        <v>51</v>
      </c>
      <c r="J4425" s="2" t="s">
        <v>468</v>
      </c>
      <c r="K4425" s="2" t="s">
        <v>33089</v>
      </c>
      <c r="L4425" s="2" t="s">
        <v>330</v>
      </c>
      <c r="M4425" s="2" t="s">
        <v>33088</v>
      </c>
      <c r="N4425" s="2" t="s">
        <v>33090</v>
      </c>
      <c r="O4425" s="2"/>
      <c r="P4425" s="2" t="s">
        <v>37</v>
      </c>
      <c r="Q4425" s="4" t="n">
        <v>8731</v>
      </c>
      <c r="R4425" s="2" t="s">
        <v>56</v>
      </c>
      <c r="S4425" s="2"/>
      <c r="T4425" s="2" t="s">
        <v>40</v>
      </c>
      <c r="U4425" s="2" t="s">
        <v>33091</v>
      </c>
      <c r="V4425" s="2"/>
      <c r="W4425" s="2" t="s">
        <v>33092</v>
      </c>
      <c r="X4425" s="2" t="s">
        <v>43</v>
      </c>
      <c r="Y4425" s="2" t="s">
        <v>37</v>
      </c>
      <c r="Z4425" s="2" t="s">
        <v>44</v>
      </c>
      <c r="AA4425" s="2"/>
      <c r="AB4425" s="2"/>
      <c r="AC4425" s="2" t="s">
        <v>33093</v>
      </c>
      <c r="AD4425" s="2" t="s">
        <v>46</v>
      </c>
    </row>
    <row r="4426" customFormat="false" ht="15.7" hidden="false" customHeight="true" outlineLevel="0" collapsed="false">
      <c r="A4426" s="2"/>
      <c r="B4426" s="3" t="n">
        <f aca="false">DATE(2019,8,26)</f>
        <v>0</v>
      </c>
      <c r="C4426" s="3" t="n">
        <v>43703</v>
      </c>
      <c r="D4426" s="2" t="s">
        <v>33094</v>
      </c>
      <c r="F4426" s="2" t="s">
        <v>17957</v>
      </c>
      <c r="G4426" s="2" t="s">
        <v>33095</v>
      </c>
      <c r="H4426" s="2" t="s">
        <v>1020</v>
      </c>
      <c r="I4426" s="2" t="s">
        <v>51</v>
      </c>
      <c r="J4426" s="2" t="s">
        <v>2633</v>
      </c>
      <c r="K4426" s="2" t="s">
        <v>33094</v>
      </c>
      <c r="L4426" s="2" t="s">
        <v>51</v>
      </c>
      <c r="M4426" s="2" t="s">
        <v>1020</v>
      </c>
      <c r="N4426" s="2" t="s">
        <v>33096</v>
      </c>
      <c r="O4426" s="2"/>
      <c r="P4426" s="2" t="s">
        <v>37</v>
      </c>
      <c r="Q4426" s="4" t="n">
        <v>8731</v>
      </c>
      <c r="R4426" s="2" t="s">
        <v>56</v>
      </c>
      <c r="S4426" s="2"/>
      <c r="T4426" s="2" t="s">
        <v>40</v>
      </c>
      <c r="U4426" s="2" t="s">
        <v>33097</v>
      </c>
      <c r="V4426" s="2"/>
      <c r="W4426" s="2" t="s">
        <v>33098</v>
      </c>
      <c r="X4426" s="2" t="s">
        <v>43</v>
      </c>
      <c r="Y4426" s="2" t="s">
        <v>37</v>
      </c>
      <c r="Z4426" s="2" t="s">
        <v>44</v>
      </c>
      <c r="AA4426" s="2"/>
      <c r="AB4426" s="2"/>
      <c r="AC4426" s="2" t="s">
        <v>33099</v>
      </c>
      <c r="AD4426" s="2" t="s">
        <v>46</v>
      </c>
    </row>
    <row r="4427" customFormat="false" ht="15.7" hidden="false" customHeight="true" outlineLevel="0" collapsed="false">
      <c r="A4427" s="2"/>
      <c r="B4427" s="3" t="n">
        <f aca="false">DATE(2019,8,26)</f>
        <v>0</v>
      </c>
      <c r="C4427" s="3" t="n">
        <v>43703</v>
      </c>
      <c r="D4427" s="2" t="s">
        <v>33100</v>
      </c>
      <c r="F4427" s="2" t="s">
        <v>23534</v>
      </c>
      <c r="G4427" s="2" t="s">
        <v>33101</v>
      </c>
      <c r="H4427" s="2" t="s">
        <v>9242</v>
      </c>
      <c r="I4427" s="2" t="s">
        <v>51</v>
      </c>
      <c r="J4427" s="2" t="s">
        <v>2272</v>
      </c>
      <c r="K4427" s="2" t="s">
        <v>33100</v>
      </c>
      <c r="L4427" s="2" t="s">
        <v>51</v>
      </c>
      <c r="M4427" s="2" t="s">
        <v>9068</v>
      </c>
      <c r="N4427" s="2" t="s">
        <v>33102</v>
      </c>
      <c r="O4427" s="2"/>
      <c r="P4427" s="2" t="s">
        <v>37</v>
      </c>
      <c r="Q4427" s="4" t="n">
        <v>8731</v>
      </c>
      <c r="R4427" s="2" t="s">
        <v>56</v>
      </c>
      <c r="S4427" s="2" t="s">
        <v>771</v>
      </c>
      <c r="T4427" s="2" t="s">
        <v>40</v>
      </c>
      <c r="U4427" s="2" t="s">
        <v>33103</v>
      </c>
      <c r="V4427" s="2"/>
      <c r="W4427" s="2" t="s">
        <v>344</v>
      </c>
      <c r="X4427" s="2" t="s">
        <v>43</v>
      </c>
      <c r="Y4427" s="2" t="s">
        <v>37</v>
      </c>
      <c r="Z4427" s="2" t="s">
        <v>44</v>
      </c>
      <c r="AA4427" s="2"/>
      <c r="AB4427" s="2"/>
      <c r="AC4427" s="2" t="s">
        <v>33104</v>
      </c>
      <c r="AD4427" s="2" t="s">
        <v>46</v>
      </c>
    </row>
    <row r="4428" customFormat="false" ht="15.7" hidden="false" customHeight="true" outlineLevel="0" collapsed="false">
      <c r="A4428" s="2"/>
      <c r="B4428" s="3" t="n">
        <f aca="false">DATE(2019,8,27)</f>
        <v>0</v>
      </c>
      <c r="C4428" s="3" t="n">
        <v>43704</v>
      </c>
      <c r="D4428" s="2" t="s">
        <v>33105</v>
      </c>
      <c r="F4428" s="2" t="s">
        <v>75</v>
      </c>
      <c r="G4428" s="2" t="s">
        <v>33106</v>
      </c>
      <c r="H4428" s="2" t="s">
        <v>63</v>
      </c>
      <c r="I4428" s="2" t="s">
        <v>51</v>
      </c>
      <c r="J4428" s="2" t="s">
        <v>5211</v>
      </c>
      <c r="K4428" s="2" t="s">
        <v>33105</v>
      </c>
      <c r="L4428" s="2" t="s">
        <v>51</v>
      </c>
      <c r="M4428" s="2" t="s">
        <v>63</v>
      </c>
      <c r="N4428" s="2" t="s">
        <v>33107</v>
      </c>
      <c r="O4428" s="2"/>
      <c r="P4428" s="2" t="s">
        <v>37</v>
      </c>
      <c r="Q4428" s="4" t="n">
        <v>8731</v>
      </c>
      <c r="R4428" s="2" t="s">
        <v>56</v>
      </c>
      <c r="S4428" s="2"/>
      <c r="T4428" s="2" t="s">
        <v>40</v>
      </c>
      <c r="U4428" s="2" t="s">
        <v>33108</v>
      </c>
      <c r="V4428" s="2"/>
      <c r="W4428" s="2" t="s">
        <v>42</v>
      </c>
      <c r="X4428" s="2" t="s">
        <v>43</v>
      </c>
      <c r="Y4428" s="2" t="s">
        <v>37</v>
      </c>
      <c r="Z4428" s="2" t="s">
        <v>44</v>
      </c>
      <c r="AA4428" s="2"/>
      <c r="AB4428" s="2"/>
      <c r="AC4428" s="2" t="s">
        <v>33109</v>
      </c>
      <c r="AD4428" s="2" t="s">
        <v>46</v>
      </c>
    </row>
    <row r="4429" customFormat="false" ht="15.7" hidden="false" customHeight="true" outlineLevel="0" collapsed="false">
      <c r="A4429" s="2"/>
      <c r="B4429" s="3" t="n">
        <f aca="false">DATE(2019,8,28)</f>
        <v>0</v>
      </c>
      <c r="C4429" s="3" t="n">
        <v>43705</v>
      </c>
      <c r="D4429" s="2" t="s">
        <v>33110</v>
      </c>
      <c r="F4429" s="2" t="s">
        <v>33111</v>
      </c>
      <c r="G4429" s="2" t="s">
        <v>33112</v>
      </c>
      <c r="H4429" s="2" t="s">
        <v>33113</v>
      </c>
      <c r="I4429" s="2" t="s">
        <v>33114</v>
      </c>
      <c r="J4429" s="2" t="s">
        <v>35</v>
      </c>
      <c r="K4429" s="2" t="s">
        <v>33115</v>
      </c>
      <c r="L4429" s="2" t="s">
        <v>33114</v>
      </c>
      <c r="M4429" s="2" t="s">
        <v>33113</v>
      </c>
      <c r="N4429" s="2" t="s">
        <v>33116</v>
      </c>
      <c r="O4429" s="2"/>
      <c r="P4429" s="2" t="s">
        <v>37</v>
      </c>
      <c r="Q4429" s="4" t="n">
        <v>5063</v>
      </c>
      <c r="R4429" s="2" t="s">
        <v>5860</v>
      </c>
      <c r="S4429" s="2" t="s">
        <v>39</v>
      </c>
      <c r="T4429" s="2" t="s">
        <v>403</v>
      </c>
      <c r="U4429" s="2" t="s">
        <v>33117</v>
      </c>
      <c r="V4429" s="2"/>
      <c r="W4429" s="2" t="s">
        <v>33118</v>
      </c>
      <c r="X4429" s="2" t="s">
        <v>46</v>
      </c>
      <c r="Y4429" s="2" t="s">
        <v>37</v>
      </c>
      <c r="Z4429" s="2" t="s">
        <v>44</v>
      </c>
      <c r="AA4429" s="2" t="s">
        <v>33119</v>
      </c>
      <c r="AB4429" s="2"/>
      <c r="AC4429" s="2" t="s">
        <v>33120</v>
      </c>
      <c r="AD4429" s="2" t="s">
        <v>46</v>
      </c>
    </row>
    <row r="4430" customFormat="false" ht="15.7" hidden="false" customHeight="true" outlineLevel="0" collapsed="false">
      <c r="A4430" s="2"/>
      <c r="B4430" s="3" t="n">
        <f aca="false">DATE(2019,8,28)</f>
        <v>0</v>
      </c>
      <c r="C4430" s="3" t="n">
        <v>43705</v>
      </c>
      <c r="D4430" s="2" t="s">
        <v>33121</v>
      </c>
      <c r="F4430" s="2" t="s">
        <v>33122</v>
      </c>
      <c r="G4430" s="2" t="s">
        <v>33123</v>
      </c>
      <c r="H4430" s="2" t="s">
        <v>14314</v>
      </c>
      <c r="I4430" s="2" t="s">
        <v>17785</v>
      </c>
      <c r="J4430" s="2" t="s">
        <v>35</v>
      </c>
      <c r="K4430" s="2" t="s">
        <v>33124</v>
      </c>
      <c r="L4430" s="2" t="s">
        <v>17785</v>
      </c>
      <c r="M4430" s="2" t="s">
        <v>24775</v>
      </c>
      <c r="N4430" s="2" t="s">
        <v>33125</v>
      </c>
      <c r="O4430" s="2"/>
      <c r="P4430" s="2" t="s">
        <v>37</v>
      </c>
      <c r="Q4430" s="4" t="n">
        <v>8731</v>
      </c>
      <c r="R4430" s="2" t="s">
        <v>1208</v>
      </c>
      <c r="S4430" s="2" t="s">
        <v>39</v>
      </c>
      <c r="T4430" s="2" t="s">
        <v>40</v>
      </c>
      <c r="U4430" s="2" t="s">
        <v>33126</v>
      </c>
      <c r="V4430" s="2"/>
      <c r="W4430" s="2" t="s">
        <v>33127</v>
      </c>
      <c r="X4430" s="2" t="s">
        <v>43</v>
      </c>
      <c r="Y4430" s="2" t="s">
        <v>37</v>
      </c>
      <c r="Z4430" s="2" t="s">
        <v>44</v>
      </c>
      <c r="AA4430" s="2"/>
      <c r="AB4430" s="2"/>
      <c r="AC4430" s="2" t="s">
        <v>33128</v>
      </c>
      <c r="AD4430" s="2" t="s">
        <v>46</v>
      </c>
    </row>
    <row r="4431" customFormat="false" ht="15.7" hidden="false" customHeight="true" outlineLevel="0" collapsed="false">
      <c r="A4431" s="2"/>
      <c r="B4431" s="3" t="n">
        <f aca="false">DATE(2019,8,29)</f>
        <v>0</v>
      </c>
      <c r="C4431" s="3" t="n">
        <v>43706</v>
      </c>
      <c r="D4431" s="2" t="s">
        <v>33129</v>
      </c>
      <c r="F4431" s="2" t="s">
        <v>33130</v>
      </c>
      <c r="G4431" s="2" t="s">
        <v>33131</v>
      </c>
      <c r="H4431" s="2" t="s">
        <v>28486</v>
      </c>
      <c r="I4431" s="2" t="s">
        <v>100</v>
      </c>
      <c r="J4431" s="2" t="s">
        <v>33132</v>
      </c>
      <c r="K4431" s="2" t="s">
        <v>33133</v>
      </c>
      <c r="L4431" s="2" t="s">
        <v>219</v>
      </c>
      <c r="M4431" s="2" t="s">
        <v>28486</v>
      </c>
      <c r="N4431" s="2" t="s">
        <v>33134</v>
      </c>
      <c r="O4431" s="2"/>
      <c r="P4431" s="2" t="s">
        <v>37</v>
      </c>
      <c r="Q4431" s="4" t="n">
        <v>3999</v>
      </c>
      <c r="R4431" s="2" t="s">
        <v>136</v>
      </c>
      <c r="S4431" s="2" t="s">
        <v>39</v>
      </c>
      <c r="T4431" s="2" t="s">
        <v>40</v>
      </c>
      <c r="U4431" s="2" t="s">
        <v>33135</v>
      </c>
      <c r="V4431" s="2"/>
      <c r="W4431" s="2" t="s">
        <v>33136</v>
      </c>
      <c r="X4431" s="2" t="s">
        <v>43</v>
      </c>
      <c r="Y4431" s="2" t="s">
        <v>37</v>
      </c>
      <c r="Z4431" s="2" t="s">
        <v>44</v>
      </c>
      <c r="AA4431" s="2"/>
      <c r="AB4431" s="2"/>
      <c r="AC4431" s="2" t="s">
        <v>33137</v>
      </c>
      <c r="AD4431" s="2" t="s">
        <v>46</v>
      </c>
    </row>
    <row r="4432" customFormat="false" ht="15.7" hidden="false" customHeight="true" outlineLevel="0" collapsed="false">
      <c r="A4432" s="2"/>
      <c r="B4432" s="3" t="n">
        <f aca="false">DATE(2019,8,29)</f>
        <v>0</v>
      </c>
      <c r="C4432" s="3" t="n">
        <v>43706</v>
      </c>
      <c r="D4432" s="2" t="s">
        <v>33138</v>
      </c>
      <c r="F4432" s="2" t="s">
        <v>33139</v>
      </c>
      <c r="G4432" s="2" t="s">
        <v>33140</v>
      </c>
      <c r="H4432" s="2" t="s">
        <v>33141</v>
      </c>
      <c r="I4432" s="2" t="s">
        <v>11009</v>
      </c>
      <c r="J4432" s="2" t="s">
        <v>35</v>
      </c>
      <c r="K4432" s="2" t="s">
        <v>33138</v>
      </c>
      <c r="L4432" s="2" t="s">
        <v>11009</v>
      </c>
      <c r="M4432" s="2" t="s">
        <v>33141</v>
      </c>
      <c r="N4432" s="2" t="s">
        <v>33142</v>
      </c>
      <c r="O4432" s="2"/>
      <c r="P4432" s="2" t="s">
        <v>37</v>
      </c>
      <c r="Q4432" s="4" t="n">
        <v>8731</v>
      </c>
      <c r="R4432" s="2" t="s">
        <v>23172</v>
      </c>
      <c r="S4432" s="2" t="s">
        <v>5334</v>
      </c>
      <c r="T4432" s="2" t="s">
        <v>40</v>
      </c>
      <c r="U4432" s="2" t="s">
        <v>33143</v>
      </c>
      <c r="V4432" s="2"/>
      <c r="W4432" s="2" t="s">
        <v>10985</v>
      </c>
      <c r="X4432" s="2" t="s">
        <v>43</v>
      </c>
      <c r="Y4432" s="2" t="s">
        <v>79</v>
      </c>
      <c r="Z4432" s="2" t="s">
        <v>44</v>
      </c>
      <c r="AA4432" s="2"/>
      <c r="AB4432" s="2"/>
      <c r="AC4432" s="2" t="s">
        <v>33144</v>
      </c>
      <c r="AD4432" s="2" t="s">
        <v>46</v>
      </c>
    </row>
    <row r="4433" customFormat="false" ht="15.7" hidden="false" customHeight="true" outlineLevel="0" collapsed="false">
      <c r="A4433" s="2"/>
      <c r="B4433" s="3" t="n">
        <f aca="false">DATE(2019,8,29)</f>
        <v>0</v>
      </c>
      <c r="C4433" s="3" t="n">
        <v>43706</v>
      </c>
      <c r="D4433" s="2" t="s">
        <v>33145</v>
      </c>
      <c r="F4433" s="2" t="s">
        <v>33146</v>
      </c>
      <c r="G4433" s="2" t="s">
        <v>33147</v>
      </c>
      <c r="H4433" s="2" t="s">
        <v>33148</v>
      </c>
      <c r="I4433" s="2" t="s">
        <v>3275</v>
      </c>
      <c r="J4433" s="2" t="s">
        <v>3276</v>
      </c>
      <c r="K4433" s="2" t="s">
        <v>33149</v>
      </c>
      <c r="L4433" s="2" t="s">
        <v>3275</v>
      </c>
      <c r="M4433" s="2" t="s">
        <v>836</v>
      </c>
      <c r="N4433" s="2" t="s">
        <v>33150</v>
      </c>
      <c r="O4433" s="2" t="s">
        <v>33151</v>
      </c>
      <c r="P4433" s="2" t="s">
        <v>37</v>
      </c>
      <c r="Q4433" s="4" t="n">
        <v>8731</v>
      </c>
      <c r="R4433" s="2" t="s">
        <v>402</v>
      </c>
      <c r="S4433" s="2" t="s">
        <v>39</v>
      </c>
      <c r="T4433" s="2" t="s">
        <v>40</v>
      </c>
      <c r="U4433" s="2" t="s">
        <v>33152</v>
      </c>
      <c r="V4433" s="2"/>
      <c r="W4433" s="2" t="s">
        <v>18760</v>
      </c>
      <c r="X4433" s="2" t="s">
        <v>46</v>
      </c>
      <c r="Y4433" s="2" t="s">
        <v>37</v>
      </c>
      <c r="Z4433" s="2" t="s">
        <v>33153</v>
      </c>
      <c r="AA4433" s="2"/>
      <c r="AB4433" s="2" t="s">
        <v>33154</v>
      </c>
      <c r="AC4433" s="2" t="s">
        <v>33155</v>
      </c>
      <c r="AD4433" s="2" t="s">
        <v>46</v>
      </c>
    </row>
    <row r="4434" customFormat="false" ht="15.7" hidden="false" customHeight="true" outlineLevel="0" collapsed="false">
      <c r="A4434" s="2"/>
      <c r="B4434" s="3" t="n">
        <f aca="false">DATE(2019,9,3)</f>
        <v>0</v>
      </c>
      <c r="C4434" s="3" t="n">
        <v>43711</v>
      </c>
      <c r="D4434" s="2" t="s">
        <v>33156</v>
      </c>
      <c r="F4434" s="2" t="s">
        <v>21382</v>
      </c>
      <c r="G4434" s="2" t="s">
        <v>33157</v>
      </c>
      <c r="H4434" s="2" t="s">
        <v>63</v>
      </c>
      <c r="I4434" s="2" t="s">
        <v>388</v>
      </c>
      <c r="J4434" s="2" t="s">
        <v>65</v>
      </c>
      <c r="K4434" s="2" t="s">
        <v>33156</v>
      </c>
      <c r="L4434" s="2" t="s">
        <v>388</v>
      </c>
      <c r="M4434" s="2" t="s">
        <v>63</v>
      </c>
      <c r="N4434" s="2" t="s">
        <v>33158</v>
      </c>
      <c r="O4434" s="2"/>
      <c r="P4434" s="2" t="s">
        <v>37</v>
      </c>
      <c r="Q4434" s="4" t="n">
        <v>8099</v>
      </c>
      <c r="R4434" s="2" t="s">
        <v>136</v>
      </c>
      <c r="S4434" s="2" t="s">
        <v>39</v>
      </c>
      <c r="T4434" s="2" t="s">
        <v>40</v>
      </c>
      <c r="U4434" s="2" t="s">
        <v>33159</v>
      </c>
      <c r="V4434" s="2"/>
      <c r="W4434" s="2" t="s">
        <v>4487</v>
      </c>
      <c r="X4434" s="2" t="s">
        <v>43</v>
      </c>
      <c r="Y4434" s="2" t="s">
        <v>37</v>
      </c>
      <c r="Z4434" s="2" t="s">
        <v>44</v>
      </c>
      <c r="AA4434" s="2"/>
      <c r="AB4434" s="2"/>
      <c r="AC4434" s="2" t="s">
        <v>33160</v>
      </c>
      <c r="AD4434" s="2" t="s">
        <v>46</v>
      </c>
    </row>
    <row r="4435" customFormat="false" ht="15.7" hidden="false" customHeight="true" outlineLevel="0" collapsed="false">
      <c r="A4435" s="2"/>
      <c r="B4435" s="3" t="n">
        <f aca="false">DATE(2019,9,3)</f>
        <v>0</v>
      </c>
      <c r="C4435" s="3" t="n">
        <v>43711</v>
      </c>
      <c r="D4435" s="2" t="s">
        <v>33161</v>
      </c>
      <c r="F4435" s="2" t="s">
        <v>20650</v>
      </c>
      <c r="G4435" s="2" t="s">
        <v>33162</v>
      </c>
      <c r="H4435" s="2" t="s">
        <v>130</v>
      </c>
      <c r="I4435" s="2" t="s">
        <v>33163</v>
      </c>
      <c r="J4435" s="2" t="s">
        <v>35</v>
      </c>
      <c r="K4435" s="2" t="s">
        <v>33164</v>
      </c>
      <c r="L4435" s="2" t="s">
        <v>33165</v>
      </c>
      <c r="M4435" s="2" t="s">
        <v>130</v>
      </c>
      <c r="N4435" s="2" t="s">
        <v>33166</v>
      </c>
      <c r="O4435" s="2"/>
      <c r="P4435" s="2" t="s">
        <v>37</v>
      </c>
      <c r="Q4435" s="4" t="n">
        <v>8731</v>
      </c>
      <c r="R4435" s="2" t="s">
        <v>136</v>
      </c>
      <c r="S4435" s="2" t="s">
        <v>39</v>
      </c>
      <c r="T4435" s="2" t="s">
        <v>40</v>
      </c>
      <c r="U4435" s="2" t="s">
        <v>33167</v>
      </c>
      <c r="V4435" s="2"/>
      <c r="W4435" s="2" t="s">
        <v>33168</v>
      </c>
      <c r="X4435" s="2" t="s">
        <v>43</v>
      </c>
      <c r="Y4435" s="2" t="s">
        <v>37</v>
      </c>
      <c r="Z4435" s="2" t="s">
        <v>44</v>
      </c>
      <c r="AA4435" s="2"/>
      <c r="AB4435" s="2"/>
      <c r="AC4435" s="2" t="s">
        <v>33169</v>
      </c>
      <c r="AD4435" s="2" t="s">
        <v>46</v>
      </c>
    </row>
    <row r="4436" customFormat="false" ht="15.7" hidden="false" customHeight="true" outlineLevel="0" collapsed="false">
      <c r="A4436" s="2"/>
      <c r="B4436" s="3" t="n">
        <f aca="false">DATE(2019,9,3)</f>
        <v>0</v>
      </c>
      <c r="C4436" s="3" t="n">
        <v>43711</v>
      </c>
      <c r="D4436" s="2" t="s">
        <v>33170</v>
      </c>
      <c r="F4436" s="2" t="s">
        <v>15541</v>
      </c>
      <c r="G4436" s="2" t="s">
        <v>33171</v>
      </c>
      <c r="H4436" s="2" t="s">
        <v>170</v>
      </c>
      <c r="I4436" s="2" t="s">
        <v>369</v>
      </c>
      <c r="J4436" s="2" t="s">
        <v>35</v>
      </c>
      <c r="K4436" s="2" t="s">
        <v>33170</v>
      </c>
      <c r="L4436" s="2" t="s">
        <v>369</v>
      </c>
      <c r="M4436" s="2" t="s">
        <v>170</v>
      </c>
      <c r="N4436" s="2" t="s">
        <v>33172</v>
      </c>
      <c r="O4436" s="2"/>
      <c r="P4436" s="2" t="s">
        <v>37</v>
      </c>
      <c r="Q4436" s="4" t="n">
        <v>8099</v>
      </c>
      <c r="R4436" s="2" t="s">
        <v>105</v>
      </c>
      <c r="S4436" s="2" t="s">
        <v>39</v>
      </c>
      <c r="T4436" s="2" t="s">
        <v>40</v>
      </c>
      <c r="U4436" s="2" t="s">
        <v>33173</v>
      </c>
      <c r="V4436" s="2"/>
      <c r="W4436" s="2" t="s">
        <v>4487</v>
      </c>
      <c r="X4436" s="2" t="s">
        <v>43</v>
      </c>
      <c r="Y4436" s="2" t="s">
        <v>37</v>
      </c>
      <c r="Z4436" s="2" t="s">
        <v>44</v>
      </c>
      <c r="AA4436" s="2"/>
      <c r="AB4436" s="2"/>
      <c r="AC4436" s="2" t="s">
        <v>33174</v>
      </c>
      <c r="AD4436" s="2" t="s">
        <v>46</v>
      </c>
    </row>
    <row r="4437" customFormat="false" ht="15.7" hidden="false" customHeight="true" outlineLevel="0" collapsed="false">
      <c r="A4437" s="2"/>
      <c r="B4437" s="3" t="n">
        <f aca="false">DATE(2019,9,3)</f>
        <v>0</v>
      </c>
      <c r="C4437" s="3" t="n">
        <v>43711</v>
      </c>
      <c r="D4437" s="2" t="s">
        <v>33175</v>
      </c>
      <c r="F4437" s="2" t="s">
        <v>33176</v>
      </c>
      <c r="G4437" s="2" t="s">
        <v>33177</v>
      </c>
      <c r="H4437" s="2" t="s">
        <v>33178</v>
      </c>
      <c r="I4437" s="2" t="s">
        <v>568</v>
      </c>
      <c r="J4437" s="2" t="s">
        <v>1520</v>
      </c>
      <c r="K4437" s="2" t="s">
        <v>33175</v>
      </c>
      <c r="L4437" s="2" t="s">
        <v>568</v>
      </c>
      <c r="M4437" s="2" t="s">
        <v>33178</v>
      </c>
      <c r="N4437" s="2" t="s">
        <v>33179</v>
      </c>
      <c r="O4437" s="2"/>
      <c r="P4437" s="2" t="s">
        <v>37</v>
      </c>
      <c r="Q4437" s="4" t="n">
        <v>5099</v>
      </c>
      <c r="R4437" s="2"/>
      <c r="S4437" s="2"/>
      <c r="T4437" s="2" t="s">
        <v>40</v>
      </c>
      <c r="U4437" s="2" t="s">
        <v>33180</v>
      </c>
      <c r="V4437" s="2"/>
      <c r="W4437" s="2" t="s">
        <v>13100</v>
      </c>
      <c r="X4437" s="2" t="s">
        <v>43</v>
      </c>
      <c r="Y4437" s="2" t="s">
        <v>37</v>
      </c>
      <c r="Z4437" s="2" t="s">
        <v>44</v>
      </c>
      <c r="AA4437" s="2"/>
      <c r="AB4437" s="2"/>
      <c r="AC4437" s="2" t="s">
        <v>33181</v>
      </c>
      <c r="AD4437" s="2" t="s">
        <v>46</v>
      </c>
    </row>
    <row r="4438" customFormat="false" ht="15.7" hidden="false" customHeight="true" outlineLevel="0" collapsed="false">
      <c r="A4438" s="2"/>
      <c r="B4438" s="3" t="n">
        <f aca="false">DATE(2019,9,4)</f>
        <v>0</v>
      </c>
      <c r="C4438" s="3" t="n">
        <v>43712</v>
      </c>
      <c r="D4438" s="2" t="s">
        <v>33182</v>
      </c>
      <c r="F4438" s="2" t="s">
        <v>75</v>
      </c>
      <c r="G4438" s="2" t="s">
        <v>33183</v>
      </c>
      <c r="H4438" s="2" t="s">
        <v>63</v>
      </c>
      <c r="I4438" s="2" t="s">
        <v>51</v>
      </c>
      <c r="J4438" s="2" t="s">
        <v>33184</v>
      </c>
      <c r="K4438" s="2" t="s">
        <v>33182</v>
      </c>
      <c r="L4438" s="2" t="s">
        <v>51</v>
      </c>
      <c r="M4438" s="2" t="s">
        <v>63</v>
      </c>
      <c r="N4438" s="2" t="s">
        <v>33185</v>
      </c>
      <c r="O4438" s="2"/>
      <c r="P4438" s="2" t="s">
        <v>37</v>
      </c>
      <c r="Q4438" s="4" t="n">
        <v>8099</v>
      </c>
      <c r="R4438" s="2" t="s">
        <v>56</v>
      </c>
      <c r="S4438" s="2"/>
      <c r="T4438" s="2" t="s">
        <v>40</v>
      </c>
      <c r="U4438" s="2" t="s">
        <v>33186</v>
      </c>
      <c r="V4438" s="2"/>
      <c r="W4438" s="2" t="s">
        <v>4487</v>
      </c>
      <c r="X4438" s="2" t="s">
        <v>43</v>
      </c>
      <c r="Y4438" s="2" t="s">
        <v>37</v>
      </c>
      <c r="Z4438" s="2" t="s">
        <v>44</v>
      </c>
      <c r="AA4438" s="2"/>
      <c r="AB4438" s="2"/>
      <c r="AC4438" s="2" t="s">
        <v>33187</v>
      </c>
      <c r="AD4438" s="2" t="s">
        <v>46</v>
      </c>
    </row>
    <row r="4439" customFormat="false" ht="15.7" hidden="false" customHeight="true" outlineLevel="0" collapsed="false">
      <c r="A4439" s="2"/>
      <c r="B4439" s="3" t="n">
        <f aca="false">DATE(2019,9,4)</f>
        <v>0</v>
      </c>
      <c r="C4439" s="3" t="n">
        <v>43712</v>
      </c>
      <c r="D4439" s="2" t="s">
        <v>33188</v>
      </c>
      <c r="F4439" s="2" t="s">
        <v>33189</v>
      </c>
      <c r="G4439" s="2" t="s">
        <v>33190</v>
      </c>
      <c r="H4439" s="2" t="s">
        <v>33191</v>
      </c>
      <c r="I4439" s="2" t="s">
        <v>64</v>
      </c>
      <c r="J4439" s="2" t="s">
        <v>514</v>
      </c>
      <c r="K4439" s="2" t="s">
        <v>33188</v>
      </c>
      <c r="L4439" s="2" t="s">
        <v>64</v>
      </c>
      <c r="M4439" s="2" t="s">
        <v>33191</v>
      </c>
      <c r="N4439" s="2" t="s">
        <v>33192</v>
      </c>
      <c r="O4439" s="2"/>
      <c r="P4439" s="2" t="s">
        <v>37</v>
      </c>
      <c r="Q4439" s="4" t="n">
        <v>8099</v>
      </c>
      <c r="R4439" s="2" t="s">
        <v>70</v>
      </c>
      <c r="S4439" s="2" t="s">
        <v>39</v>
      </c>
      <c r="T4439" s="2" t="s">
        <v>40</v>
      </c>
      <c r="U4439" s="2" t="s">
        <v>33193</v>
      </c>
      <c r="V4439" s="2"/>
      <c r="W4439" s="2" t="s">
        <v>4487</v>
      </c>
      <c r="X4439" s="2" t="s">
        <v>43</v>
      </c>
      <c r="Y4439" s="2" t="s">
        <v>37</v>
      </c>
      <c r="Z4439" s="2" t="s">
        <v>44</v>
      </c>
      <c r="AA4439" s="2"/>
      <c r="AB4439" s="2"/>
      <c r="AC4439" s="2" t="s">
        <v>33194</v>
      </c>
      <c r="AD4439" s="2" t="s">
        <v>46</v>
      </c>
    </row>
    <row r="4440" customFormat="false" ht="15.7" hidden="false" customHeight="true" outlineLevel="0" collapsed="false">
      <c r="A4440" s="2"/>
      <c r="B4440" s="3" t="n">
        <f aca="false">DATE(2019,9,4)</f>
        <v>0</v>
      </c>
      <c r="C4440" s="3" t="n">
        <v>43712</v>
      </c>
      <c r="D4440" s="2" t="s">
        <v>33195</v>
      </c>
      <c r="F4440" s="2" t="s">
        <v>33196</v>
      </c>
      <c r="G4440" s="2" t="s">
        <v>33197</v>
      </c>
      <c r="H4440" s="2" t="s">
        <v>551</v>
      </c>
      <c r="I4440" s="2" t="s">
        <v>51</v>
      </c>
      <c r="J4440" s="2" t="s">
        <v>22905</v>
      </c>
      <c r="K4440" s="2" t="s">
        <v>33198</v>
      </c>
      <c r="L4440" s="2" t="s">
        <v>51</v>
      </c>
      <c r="M4440" s="2" t="s">
        <v>551</v>
      </c>
      <c r="N4440" s="2" t="s">
        <v>33199</v>
      </c>
      <c r="O4440" s="2"/>
      <c r="P4440" s="2" t="s">
        <v>37</v>
      </c>
      <c r="Q4440" s="4" t="n">
        <v>6794</v>
      </c>
      <c r="R4440" s="2" t="s">
        <v>56</v>
      </c>
      <c r="S4440" s="2"/>
      <c r="T4440" s="2" t="s">
        <v>40</v>
      </c>
      <c r="U4440" s="2" t="s">
        <v>33200</v>
      </c>
      <c r="V4440" s="2"/>
      <c r="W4440" s="2" t="s">
        <v>20757</v>
      </c>
      <c r="X4440" s="2" t="s">
        <v>43</v>
      </c>
      <c r="Y4440" s="2" t="s">
        <v>37</v>
      </c>
      <c r="Z4440" s="2" t="s">
        <v>44</v>
      </c>
      <c r="AA4440" s="2"/>
      <c r="AB4440" s="2"/>
      <c r="AC4440" s="2" t="s">
        <v>33201</v>
      </c>
      <c r="AD4440" s="2" t="s">
        <v>46</v>
      </c>
    </row>
    <row r="4441" customFormat="false" ht="15.7" hidden="false" customHeight="true" outlineLevel="0" collapsed="false">
      <c r="A4441" s="2"/>
      <c r="B4441" s="3" t="n">
        <f aca="false">DATE(2019,9,4)</f>
        <v>0</v>
      </c>
      <c r="C4441" s="3" t="n">
        <v>43712</v>
      </c>
      <c r="D4441" s="2" t="s">
        <v>33202</v>
      </c>
      <c r="F4441" s="2" t="s">
        <v>33203</v>
      </c>
      <c r="G4441" s="2" t="s">
        <v>33204</v>
      </c>
      <c r="H4441" s="2" t="s">
        <v>33205</v>
      </c>
      <c r="I4441" s="2" t="s">
        <v>51</v>
      </c>
      <c r="J4441" s="2" t="s">
        <v>171</v>
      </c>
      <c r="K4441" s="2" t="s">
        <v>33202</v>
      </c>
      <c r="L4441" s="2" t="s">
        <v>51</v>
      </c>
      <c r="M4441" s="2" t="s">
        <v>33205</v>
      </c>
      <c r="N4441" s="2" t="s">
        <v>33206</v>
      </c>
      <c r="O4441" s="2"/>
      <c r="P4441" s="2" t="s">
        <v>37</v>
      </c>
      <c r="Q4441" s="4" t="n">
        <v>8099</v>
      </c>
      <c r="R4441" s="2" t="s">
        <v>56</v>
      </c>
      <c r="S4441" s="2"/>
      <c r="T4441" s="2" t="s">
        <v>40</v>
      </c>
      <c r="U4441" s="2" t="s">
        <v>33207</v>
      </c>
      <c r="V4441" s="2"/>
      <c r="W4441" s="2" t="s">
        <v>4487</v>
      </c>
      <c r="X4441" s="2" t="s">
        <v>43</v>
      </c>
      <c r="Y4441" s="2" t="s">
        <v>37</v>
      </c>
      <c r="Z4441" s="2" t="s">
        <v>44</v>
      </c>
      <c r="AA4441" s="2"/>
      <c r="AB4441" s="2"/>
      <c r="AC4441" s="2" t="s">
        <v>33208</v>
      </c>
      <c r="AD4441" s="2" t="s">
        <v>46</v>
      </c>
    </row>
    <row r="4442" customFormat="false" ht="15.7" hidden="false" customHeight="true" outlineLevel="0" collapsed="false">
      <c r="A4442" s="2"/>
      <c r="B4442" s="3" t="n">
        <f aca="false">DATE(2019,9,5)</f>
        <v>0</v>
      </c>
      <c r="C4442" s="3" t="n">
        <v>43713</v>
      </c>
      <c r="D4442" s="2" t="s">
        <v>33209</v>
      </c>
      <c r="F4442" s="2" t="s">
        <v>33210</v>
      </c>
      <c r="G4442" s="2" t="s">
        <v>33211</v>
      </c>
      <c r="H4442" s="2" t="s">
        <v>33212</v>
      </c>
      <c r="I4442" s="2" t="s">
        <v>51</v>
      </c>
      <c r="J4442" s="2" t="s">
        <v>18196</v>
      </c>
      <c r="K4442" s="2" t="s">
        <v>33209</v>
      </c>
      <c r="L4442" s="2" t="s">
        <v>51</v>
      </c>
      <c r="M4442" s="2" t="s">
        <v>33212</v>
      </c>
      <c r="N4442" s="2" t="s">
        <v>33213</v>
      </c>
      <c r="O4442" s="2"/>
      <c r="P4442" s="2" t="s">
        <v>37</v>
      </c>
      <c r="Q4442" s="4" t="n">
        <v>8731</v>
      </c>
      <c r="R4442" s="2"/>
      <c r="S4442" s="2"/>
      <c r="T4442" s="2" t="s">
        <v>40</v>
      </c>
      <c r="U4442" s="2" t="s">
        <v>33214</v>
      </c>
      <c r="V4442" s="2"/>
      <c r="W4442" s="2" t="s">
        <v>33215</v>
      </c>
      <c r="X4442" s="2" t="s">
        <v>43</v>
      </c>
      <c r="Y4442" s="2" t="s">
        <v>37</v>
      </c>
      <c r="Z4442" s="2" t="s">
        <v>44</v>
      </c>
      <c r="AA4442" s="2"/>
      <c r="AB4442" s="2"/>
      <c r="AC4442" s="2" t="s">
        <v>33216</v>
      </c>
      <c r="AD4442" s="2" t="s">
        <v>46</v>
      </c>
    </row>
    <row r="4443" customFormat="false" ht="15.7" hidden="false" customHeight="true" outlineLevel="0" collapsed="false">
      <c r="A4443" s="2"/>
      <c r="B4443" s="3" t="n">
        <f aca="false">DATE(2019,9,5)</f>
        <v>0</v>
      </c>
      <c r="C4443" s="3" t="n">
        <v>43713</v>
      </c>
      <c r="D4443" s="2" t="s">
        <v>33217</v>
      </c>
      <c r="F4443" s="2" t="s">
        <v>20135</v>
      </c>
      <c r="G4443" s="2" t="s">
        <v>33218</v>
      </c>
      <c r="H4443" s="2" t="s">
        <v>130</v>
      </c>
      <c r="I4443" s="2" t="s">
        <v>1080</v>
      </c>
      <c r="J4443" s="2" t="s">
        <v>35</v>
      </c>
      <c r="K4443" s="2" t="s">
        <v>33217</v>
      </c>
      <c r="L4443" s="2" t="s">
        <v>1080</v>
      </c>
      <c r="M4443" s="2" t="s">
        <v>130</v>
      </c>
      <c r="N4443" s="2" t="s">
        <v>33219</v>
      </c>
      <c r="O4443" s="2"/>
      <c r="P4443" s="2" t="s">
        <v>37</v>
      </c>
      <c r="Q4443" s="4" t="n">
        <v>6794</v>
      </c>
      <c r="R4443" s="2" t="s">
        <v>136</v>
      </c>
      <c r="S4443" s="2" t="s">
        <v>39</v>
      </c>
      <c r="T4443" s="2" t="s">
        <v>40</v>
      </c>
      <c r="U4443" s="2" t="s">
        <v>33220</v>
      </c>
      <c r="V4443" s="2"/>
      <c r="W4443" s="2" t="s">
        <v>20757</v>
      </c>
      <c r="X4443" s="2" t="s">
        <v>43</v>
      </c>
      <c r="Y4443" s="2" t="s">
        <v>37</v>
      </c>
      <c r="Z4443" s="2" t="s">
        <v>44</v>
      </c>
      <c r="AA4443" s="2"/>
      <c r="AB4443" s="2"/>
      <c r="AC4443" s="2" t="s">
        <v>33221</v>
      </c>
      <c r="AD4443" s="2" t="s">
        <v>46</v>
      </c>
    </row>
    <row r="4444" customFormat="false" ht="15.7" hidden="false" customHeight="true" outlineLevel="0" collapsed="false">
      <c r="A4444" s="2"/>
      <c r="B4444" s="3" t="n">
        <f aca="false">DATE(2019,9,5)</f>
        <v>0</v>
      </c>
      <c r="C4444" s="3" t="n">
        <v>43713</v>
      </c>
      <c r="D4444" s="2" t="s">
        <v>33222</v>
      </c>
      <c r="F4444" s="2" t="s">
        <v>15628</v>
      </c>
      <c r="G4444" s="2" t="s">
        <v>33223</v>
      </c>
      <c r="H4444" s="2" t="s">
        <v>551</v>
      </c>
      <c r="I4444" s="2" t="s">
        <v>7014</v>
      </c>
      <c r="J4444" s="2" t="s">
        <v>35</v>
      </c>
      <c r="K4444" s="2" t="s">
        <v>33222</v>
      </c>
      <c r="L4444" s="2" t="s">
        <v>7014</v>
      </c>
      <c r="M4444" s="2" t="s">
        <v>551</v>
      </c>
      <c r="N4444" s="2" t="s">
        <v>33224</v>
      </c>
      <c r="O4444" s="2"/>
      <c r="P4444" s="2" t="s">
        <v>37</v>
      </c>
      <c r="Q4444" s="4" t="n">
        <v>8731</v>
      </c>
      <c r="R4444" s="2"/>
      <c r="S4444" s="2"/>
      <c r="T4444" s="2" t="s">
        <v>403</v>
      </c>
      <c r="U4444" s="2" t="s">
        <v>33225</v>
      </c>
      <c r="V4444" s="2"/>
      <c r="W4444" s="2" t="s">
        <v>18171</v>
      </c>
      <c r="X4444" s="2" t="s">
        <v>46</v>
      </c>
      <c r="Y4444" s="2" t="s">
        <v>37</v>
      </c>
      <c r="Z4444" s="2" t="s">
        <v>44</v>
      </c>
      <c r="AA4444" s="2"/>
      <c r="AB4444" s="2"/>
      <c r="AC4444" s="2" t="s">
        <v>33226</v>
      </c>
      <c r="AD4444" s="2" t="s">
        <v>46</v>
      </c>
    </row>
    <row r="4445" customFormat="false" ht="15.7" hidden="false" customHeight="true" outlineLevel="0" collapsed="false">
      <c r="A4445" s="2"/>
      <c r="B4445" s="3" t="n">
        <f aca="false">DATE(2019,9,5)</f>
        <v>0</v>
      </c>
      <c r="C4445" s="3" t="n">
        <v>43713</v>
      </c>
      <c r="D4445" s="2" t="s">
        <v>33227</v>
      </c>
      <c r="F4445" s="2" t="s">
        <v>25771</v>
      </c>
      <c r="G4445" s="2" t="s">
        <v>33228</v>
      </c>
      <c r="H4445" s="2" t="s">
        <v>32386</v>
      </c>
      <c r="I4445" s="2" t="s">
        <v>219</v>
      </c>
      <c r="J4445" s="2" t="s">
        <v>575</v>
      </c>
      <c r="K4445" s="2" t="s">
        <v>33227</v>
      </c>
      <c r="L4445" s="2" t="s">
        <v>219</v>
      </c>
      <c r="M4445" s="2" t="s">
        <v>32386</v>
      </c>
      <c r="N4445" s="2" t="s">
        <v>33229</v>
      </c>
      <c r="O4445" s="2"/>
      <c r="P4445" s="2" t="s">
        <v>37</v>
      </c>
      <c r="Q4445" s="4" t="n">
        <v>8099</v>
      </c>
      <c r="R4445" s="2" t="s">
        <v>136</v>
      </c>
      <c r="S4445" s="2" t="s">
        <v>39</v>
      </c>
      <c r="T4445" s="2" t="s">
        <v>40</v>
      </c>
      <c r="U4445" s="2" t="s">
        <v>33230</v>
      </c>
      <c r="V4445" s="2"/>
      <c r="W4445" s="2" t="s">
        <v>4487</v>
      </c>
      <c r="X4445" s="2" t="s">
        <v>43</v>
      </c>
      <c r="Y4445" s="2" t="s">
        <v>37</v>
      </c>
      <c r="Z4445" s="2" t="s">
        <v>44</v>
      </c>
      <c r="AA4445" s="2"/>
      <c r="AB4445" s="2"/>
      <c r="AC4445" s="2" t="s">
        <v>33231</v>
      </c>
      <c r="AD4445" s="2" t="s">
        <v>46</v>
      </c>
    </row>
    <row r="4446" customFormat="false" ht="15.7" hidden="false" customHeight="true" outlineLevel="0" collapsed="false">
      <c r="A4446" s="2"/>
      <c r="B4446" s="3" t="n">
        <f aca="false">DATE(2019,9,5)</f>
        <v>0</v>
      </c>
      <c r="C4446" s="3" t="n">
        <v>43713</v>
      </c>
      <c r="D4446" s="2" t="s">
        <v>33232</v>
      </c>
      <c r="F4446" s="2" t="s">
        <v>28764</v>
      </c>
      <c r="G4446" s="2" t="s">
        <v>33233</v>
      </c>
      <c r="H4446" s="2" t="s">
        <v>13491</v>
      </c>
      <c r="I4446" s="2" t="s">
        <v>33234</v>
      </c>
      <c r="J4446" s="2" t="s">
        <v>35</v>
      </c>
      <c r="K4446" s="2" t="s">
        <v>33235</v>
      </c>
      <c r="L4446" s="2" t="s">
        <v>33234</v>
      </c>
      <c r="M4446" s="2" t="s">
        <v>13491</v>
      </c>
      <c r="N4446" s="2" t="s">
        <v>33236</v>
      </c>
      <c r="O4446" s="2"/>
      <c r="P4446" s="2" t="s">
        <v>37</v>
      </c>
      <c r="Q4446" s="4" t="n">
        <v>8731</v>
      </c>
      <c r="R4446" s="2" t="s">
        <v>12595</v>
      </c>
      <c r="S4446" s="2" t="s">
        <v>39</v>
      </c>
      <c r="T4446" s="2" t="s">
        <v>403</v>
      </c>
      <c r="U4446" s="2" t="s">
        <v>33237</v>
      </c>
      <c r="V4446" s="2"/>
      <c r="W4446" s="2" t="s">
        <v>3235</v>
      </c>
      <c r="X4446" s="2" t="s">
        <v>46</v>
      </c>
      <c r="Y4446" s="2" t="s">
        <v>37</v>
      </c>
      <c r="Z4446" s="2" t="s">
        <v>44</v>
      </c>
      <c r="AA4446" s="2"/>
      <c r="AB4446" s="2"/>
      <c r="AC4446" s="2" t="s">
        <v>33238</v>
      </c>
      <c r="AD4446" s="2" t="s">
        <v>46</v>
      </c>
    </row>
    <row r="4447" customFormat="false" ht="15.7" hidden="false" customHeight="true" outlineLevel="0" collapsed="false">
      <c r="A4447" s="2"/>
      <c r="B4447" s="3" t="n">
        <f aca="false">DATE(2019,9,5)</f>
        <v>0</v>
      </c>
      <c r="C4447" s="3" t="n">
        <v>43713</v>
      </c>
      <c r="D4447" s="2" t="s">
        <v>33239</v>
      </c>
      <c r="F4447" s="2" t="s">
        <v>33240</v>
      </c>
      <c r="G4447" s="2" t="s">
        <v>33241</v>
      </c>
      <c r="H4447" s="2" t="s">
        <v>33242</v>
      </c>
      <c r="I4447" s="2" t="s">
        <v>11795</v>
      </c>
      <c r="J4447" s="2" t="s">
        <v>3906</v>
      </c>
      <c r="K4447" s="2" t="s">
        <v>33239</v>
      </c>
      <c r="L4447" s="2" t="s">
        <v>11795</v>
      </c>
      <c r="M4447" s="2" t="s">
        <v>33242</v>
      </c>
      <c r="N4447" s="2" t="s">
        <v>33243</v>
      </c>
      <c r="O4447" s="2"/>
      <c r="P4447" s="2" t="s">
        <v>37</v>
      </c>
      <c r="Q4447" s="4" t="n">
        <v>8731</v>
      </c>
      <c r="R4447" s="2" t="s">
        <v>1208</v>
      </c>
      <c r="S4447" s="2" t="s">
        <v>39</v>
      </c>
      <c r="T4447" s="2" t="s">
        <v>40</v>
      </c>
      <c r="U4447" s="2" t="s">
        <v>33244</v>
      </c>
      <c r="V4447" s="2"/>
      <c r="W4447" s="2" t="s">
        <v>33245</v>
      </c>
      <c r="X4447" s="2" t="s">
        <v>43</v>
      </c>
      <c r="Y4447" s="2" t="s">
        <v>37</v>
      </c>
      <c r="Z4447" s="2" t="s">
        <v>44</v>
      </c>
      <c r="AA4447" s="2"/>
      <c r="AB4447" s="2"/>
      <c r="AC4447" s="2" t="s">
        <v>33246</v>
      </c>
      <c r="AD4447" s="2" t="s">
        <v>46</v>
      </c>
    </row>
    <row r="4448" customFormat="false" ht="15.7" hidden="false" customHeight="true" outlineLevel="0" collapsed="false">
      <c r="A4448" s="2"/>
      <c r="B4448" s="3" t="n">
        <f aca="false">DATE(2019,9,5)</f>
        <v>0</v>
      </c>
      <c r="C4448" s="3" t="n">
        <v>43713</v>
      </c>
      <c r="D4448" s="2" t="s">
        <v>33247</v>
      </c>
      <c r="F4448" s="2" t="s">
        <v>33248</v>
      </c>
      <c r="G4448" s="2" t="s">
        <v>33249</v>
      </c>
      <c r="H4448" s="2" t="s">
        <v>523</v>
      </c>
      <c r="I4448" s="2" t="s">
        <v>20020</v>
      </c>
      <c r="J4448" s="2" t="s">
        <v>35</v>
      </c>
      <c r="K4448" s="2" t="s">
        <v>33250</v>
      </c>
      <c r="L4448" s="2" t="s">
        <v>20020</v>
      </c>
      <c r="M4448" s="2" t="s">
        <v>5389</v>
      </c>
      <c r="N4448" s="2" t="s">
        <v>33251</v>
      </c>
      <c r="O4448" s="2"/>
      <c r="P4448" s="2" t="s">
        <v>37</v>
      </c>
      <c r="Q4448" s="4" t="n">
        <v>8731</v>
      </c>
      <c r="R4448" s="2" t="s">
        <v>3885</v>
      </c>
      <c r="S4448" s="2" t="s">
        <v>5334</v>
      </c>
      <c r="T4448" s="2" t="s">
        <v>40</v>
      </c>
      <c r="U4448" s="2" t="s">
        <v>33252</v>
      </c>
      <c r="V4448" s="2"/>
      <c r="W4448" s="2" t="s">
        <v>23324</v>
      </c>
      <c r="X4448" s="2" t="s">
        <v>43</v>
      </c>
      <c r="Y4448" s="2" t="s">
        <v>79</v>
      </c>
      <c r="Z4448" s="2" t="s">
        <v>44</v>
      </c>
      <c r="AA4448" s="2"/>
      <c r="AB4448" s="2"/>
      <c r="AC4448" s="2" t="s">
        <v>33253</v>
      </c>
      <c r="AD4448" s="2" t="s">
        <v>46</v>
      </c>
    </row>
    <row r="4449" customFormat="false" ht="15.7" hidden="false" customHeight="true" outlineLevel="0" collapsed="false">
      <c r="A4449" s="2"/>
      <c r="B4449" s="3" t="n">
        <f aca="false">DATE(2019,9,6)</f>
        <v>0</v>
      </c>
      <c r="C4449" s="3" t="n">
        <v>43714</v>
      </c>
      <c r="D4449" s="2" t="s">
        <v>33254</v>
      </c>
      <c r="F4449" s="2" t="s">
        <v>33255</v>
      </c>
      <c r="G4449" s="2" t="s">
        <v>33256</v>
      </c>
      <c r="H4449" s="2" t="s">
        <v>5724</v>
      </c>
      <c r="I4449" s="2" t="s">
        <v>34</v>
      </c>
      <c r="J4449" s="2" t="s">
        <v>35</v>
      </c>
      <c r="K4449" s="2" t="s">
        <v>33257</v>
      </c>
      <c r="L4449" s="2" t="s">
        <v>34</v>
      </c>
      <c r="M4449" s="2" t="s">
        <v>5724</v>
      </c>
      <c r="N4449" s="2" t="s">
        <v>33258</v>
      </c>
      <c r="O4449" s="2"/>
      <c r="P4449" s="2" t="s">
        <v>37</v>
      </c>
      <c r="Q4449" s="4" t="n">
        <v>6794</v>
      </c>
      <c r="R4449" s="2"/>
      <c r="S4449" s="2"/>
      <c r="T4449" s="2" t="s">
        <v>40</v>
      </c>
      <c r="U4449" s="2" t="s">
        <v>33259</v>
      </c>
      <c r="V4449" s="2"/>
      <c r="W4449" s="2" t="s">
        <v>26089</v>
      </c>
      <c r="X4449" s="2" t="s">
        <v>43</v>
      </c>
      <c r="Y4449" s="2" t="s">
        <v>37</v>
      </c>
      <c r="Z4449" s="2" t="s">
        <v>44</v>
      </c>
      <c r="AA4449" s="2"/>
      <c r="AB4449" s="2"/>
      <c r="AC4449" s="2" t="s">
        <v>33260</v>
      </c>
      <c r="AD4449" s="2" t="s">
        <v>46</v>
      </c>
    </row>
    <row r="4450" customFormat="false" ht="15.7" hidden="false" customHeight="true" outlineLevel="0" collapsed="false">
      <c r="A4450" s="2"/>
      <c r="B4450" s="3" t="n">
        <f aca="false">DATE(2019,9,6)</f>
        <v>0</v>
      </c>
      <c r="C4450" s="3" t="n">
        <v>43714</v>
      </c>
      <c r="D4450" s="2" t="s">
        <v>33261</v>
      </c>
      <c r="F4450" s="2" t="s">
        <v>33262</v>
      </c>
      <c r="G4450" s="2" t="s">
        <v>33263</v>
      </c>
      <c r="H4450" s="2" t="s">
        <v>33264</v>
      </c>
      <c r="I4450" s="2" t="s">
        <v>1080</v>
      </c>
      <c r="J4450" s="2" t="s">
        <v>35</v>
      </c>
      <c r="K4450" s="2" t="s">
        <v>33261</v>
      </c>
      <c r="L4450" s="2" t="s">
        <v>1080</v>
      </c>
      <c r="M4450" s="2" t="s">
        <v>33264</v>
      </c>
      <c r="N4450" s="2" t="s">
        <v>33265</v>
      </c>
      <c r="O4450" s="2"/>
      <c r="P4450" s="2" t="s">
        <v>37</v>
      </c>
      <c r="Q4450" s="4" t="n">
        <v>8731</v>
      </c>
      <c r="R4450" s="2" t="s">
        <v>2201</v>
      </c>
      <c r="S4450" s="2" t="s">
        <v>39</v>
      </c>
      <c r="T4450" s="2" t="s">
        <v>40</v>
      </c>
      <c r="U4450" s="2" t="s">
        <v>33266</v>
      </c>
      <c r="V4450" s="2"/>
      <c r="W4450" s="2" t="s">
        <v>42</v>
      </c>
      <c r="X4450" s="2" t="s">
        <v>43</v>
      </c>
      <c r="Y4450" s="2" t="s">
        <v>37</v>
      </c>
      <c r="Z4450" s="2" t="s">
        <v>44</v>
      </c>
      <c r="AA4450" s="2"/>
      <c r="AB4450" s="2"/>
      <c r="AC4450" s="2" t="s">
        <v>33267</v>
      </c>
      <c r="AD4450" s="2" t="s">
        <v>46</v>
      </c>
    </row>
    <row r="4451" customFormat="false" ht="15.7" hidden="false" customHeight="true" outlineLevel="0" collapsed="false">
      <c r="A4451" s="2"/>
      <c r="B4451" s="3" t="n">
        <f aca="false">DATE(2019,9,6)</f>
        <v>0</v>
      </c>
      <c r="C4451" s="3" t="n">
        <v>43714</v>
      </c>
      <c r="D4451" s="2" t="s">
        <v>33268</v>
      </c>
      <c r="F4451" s="2" t="s">
        <v>33269</v>
      </c>
      <c r="G4451" s="2" t="s">
        <v>33270</v>
      </c>
      <c r="H4451" s="2" t="s">
        <v>33271</v>
      </c>
      <c r="I4451" s="2" t="s">
        <v>20875</v>
      </c>
      <c r="J4451" s="2" t="s">
        <v>1305</v>
      </c>
      <c r="K4451" s="2" t="s">
        <v>33272</v>
      </c>
      <c r="L4451" s="2" t="s">
        <v>11818</v>
      </c>
      <c r="M4451" s="2" t="s">
        <v>33273</v>
      </c>
      <c r="N4451" s="2" t="s">
        <v>33274</v>
      </c>
      <c r="O4451" s="2" t="s">
        <v>33275</v>
      </c>
      <c r="P4451" s="2" t="s">
        <v>37</v>
      </c>
      <c r="Q4451" s="4" t="n">
        <v>8731</v>
      </c>
      <c r="R4451" s="2" t="s">
        <v>402</v>
      </c>
      <c r="S4451" s="2" t="s">
        <v>39</v>
      </c>
      <c r="T4451" s="2" t="s">
        <v>40</v>
      </c>
      <c r="U4451" s="2" t="s">
        <v>33276</v>
      </c>
      <c r="V4451" s="2"/>
      <c r="W4451" s="2" t="s">
        <v>42</v>
      </c>
      <c r="X4451" s="2" t="s">
        <v>46</v>
      </c>
      <c r="Y4451" s="2" t="s">
        <v>37</v>
      </c>
      <c r="Z4451" s="2" t="s">
        <v>33277</v>
      </c>
      <c r="AA4451" s="2" t="s">
        <v>33278</v>
      </c>
      <c r="AB4451" s="2" t="s">
        <v>33279</v>
      </c>
      <c r="AC4451" s="2" t="s">
        <v>33280</v>
      </c>
      <c r="AD4451" s="2" t="s">
        <v>46</v>
      </c>
    </row>
    <row r="4452" customFormat="false" ht="15.7" hidden="false" customHeight="true" outlineLevel="0" collapsed="false">
      <c r="A4452" s="2"/>
      <c r="B4452" s="3" t="n">
        <f aca="false">DATE(2019,9,9)</f>
        <v>0</v>
      </c>
      <c r="C4452" s="3" t="n">
        <v>43717</v>
      </c>
      <c r="D4452" s="2" t="s">
        <v>33281</v>
      </c>
      <c r="F4452" s="2" t="s">
        <v>33282</v>
      </c>
      <c r="G4452" s="2" t="s">
        <v>33283</v>
      </c>
      <c r="H4452" s="2" t="s">
        <v>33284</v>
      </c>
      <c r="I4452" s="2" t="s">
        <v>388</v>
      </c>
      <c r="J4452" s="2" t="s">
        <v>65</v>
      </c>
      <c r="K4452" s="2" t="s">
        <v>33285</v>
      </c>
      <c r="L4452" s="2" t="s">
        <v>219</v>
      </c>
      <c r="M4452" s="2" t="s">
        <v>33286</v>
      </c>
      <c r="N4452" s="2" t="s">
        <v>33287</v>
      </c>
      <c r="O4452" s="2"/>
      <c r="P4452" s="2" t="s">
        <v>37</v>
      </c>
      <c r="Q4452" s="4" t="n">
        <v>8731</v>
      </c>
      <c r="R4452" s="2" t="s">
        <v>388</v>
      </c>
      <c r="S4452" s="2" t="s">
        <v>3000</v>
      </c>
      <c r="T4452" s="2" t="s">
        <v>40</v>
      </c>
      <c r="U4452" s="2" t="s">
        <v>33288</v>
      </c>
      <c r="V4452" s="2"/>
      <c r="W4452" s="2" t="s">
        <v>10841</v>
      </c>
      <c r="X4452" s="2" t="s">
        <v>43</v>
      </c>
      <c r="Y4452" s="2" t="s">
        <v>79</v>
      </c>
      <c r="Z4452" s="2" t="s">
        <v>44</v>
      </c>
      <c r="AA4452" s="2"/>
      <c r="AB4452" s="2"/>
      <c r="AC4452" s="2" t="s">
        <v>33289</v>
      </c>
      <c r="AD4452" s="2" t="s">
        <v>46</v>
      </c>
    </row>
    <row r="4453" customFormat="false" ht="15.7" hidden="false" customHeight="true" outlineLevel="0" collapsed="false">
      <c r="A4453" s="2"/>
      <c r="B4453" s="3" t="n">
        <f aca="false">DATE(2019,9,9)</f>
        <v>0</v>
      </c>
      <c r="C4453" s="3" t="n">
        <v>43717</v>
      </c>
      <c r="D4453" s="2" t="s">
        <v>33290</v>
      </c>
      <c r="F4453" s="2" t="s">
        <v>31070</v>
      </c>
      <c r="G4453" s="2" t="s">
        <v>33291</v>
      </c>
      <c r="H4453" s="2" t="s">
        <v>305</v>
      </c>
      <c r="I4453" s="2" t="s">
        <v>22666</v>
      </c>
      <c r="J4453" s="2" t="s">
        <v>35</v>
      </c>
      <c r="K4453" s="2" t="s">
        <v>33290</v>
      </c>
      <c r="L4453" s="2" t="s">
        <v>22666</v>
      </c>
      <c r="M4453" s="2" t="s">
        <v>305</v>
      </c>
      <c r="N4453" s="2" t="s">
        <v>33292</v>
      </c>
      <c r="O4453" s="2"/>
      <c r="P4453" s="2" t="s">
        <v>37</v>
      </c>
      <c r="Q4453" s="4" t="n">
        <v>8731</v>
      </c>
      <c r="R4453" s="2" t="s">
        <v>136</v>
      </c>
      <c r="S4453" s="2" t="s">
        <v>39</v>
      </c>
      <c r="T4453" s="2" t="s">
        <v>40</v>
      </c>
      <c r="U4453" s="2" t="s">
        <v>33293</v>
      </c>
      <c r="V4453" s="2"/>
      <c r="W4453" s="2" t="s">
        <v>23324</v>
      </c>
      <c r="X4453" s="2" t="s">
        <v>43</v>
      </c>
      <c r="Y4453" s="2" t="s">
        <v>37</v>
      </c>
      <c r="Z4453" s="2" t="s">
        <v>44</v>
      </c>
      <c r="AA4453" s="2" t="s">
        <v>33294</v>
      </c>
      <c r="AB4453" s="2"/>
      <c r="AC4453" s="2" t="s">
        <v>33295</v>
      </c>
      <c r="AD4453" s="2" t="s">
        <v>46</v>
      </c>
    </row>
    <row r="4454" customFormat="false" ht="15.7" hidden="false" customHeight="true" outlineLevel="0" collapsed="false">
      <c r="A4454" s="2"/>
      <c r="B4454" s="3" t="n">
        <f aca="false">DATE(2019,9,9)</f>
        <v>0</v>
      </c>
      <c r="C4454" s="3" t="n">
        <v>43717</v>
      </c>
      <c r="D4454" s="2" t="s">
        <v>33296</v>
      </c>
      <c r="F4454" s="2" t="s">
        <v>23409</v>
      </c>
      <c r="G4454" s="2" t="s">
        <v>33297</v>
      </c>
      <c r="H4454" s="2" t="s">
        <v>523</v>
      </c>
      <c r="I4454" s="2" t="s">
        <v>51</v>
      </c>
      <c r="J4454" s="2" t="s">
        <v>17820</v>
      </c>
      <c r="K4454" s="2" t="s">
        <v>33296</v>
      </c>
      <c r="L4454" s="2" t="s">
        <v>51</v>
      </c>
      <c r="M4454" s="2" t="s">
        <v>523</v>
      </c>
      <c r="N4454" s="2" t="s">
        <v>33298</v>
      </c>
      <c r="O4454" s="2"/>
      <c r="P4454" s="2" t="s">
        <v>37</v>
      </c>
      <c r="Q4454" s="4" t="n">
        <v>8099</v>
      </c>
      <c r="R4454" s="2" t="s">
        <v>56</v>
      </c>
      <c r="S4454" s="2" t="s">
        <v>92</v>
      </c>
      <c r="T4454" s="2" t="s">
        <v>40</v>
      </c>
      <c r="U4454" s="2" t="s">
        <v>33299</v>
      </c>
      <c r="V4454" s="2"/>
      <c r="W4454" s="2" t="s">
        <v>4487</v>
      </c>
      <c r="X4454" s="2" t="s">
        <v>43</v>
      </c>
      <c r="Y4454" s="2" t="s">
        <v>37</v>
      </c>
      <c r="Z4454" s="2" t="s">
        <v>44</v>
      </c>
      <c r="AA4454" s="2"/>
      <c r="AB4454" s="2"/>
      <c r="AC4454" s="2" t="s">
        <v>33300</v>
      </c>
      <c r="AD4454" s="2" t="s">
        <v>46</v>
      </c>
    </row>
    <row r="4455" customFormat="false" ht="15.7" hidden="false" customHeight="true" outlineLevel="0" collapsed="false">
      <c r="A4455" s="2"/>
      <c r="B4455" s="3" t="n">
        <f aca="false">DATE(2019,9,9)</f>
        <v>0</v>
      </c>
      <c r="C4455" s="3" t="n">
        <v>43717</v>
      </c>
      <c r="D4455" s="2" t="s">
        <v>33301</v>
      </c>
      <c r="F4455" s="2" t="s">
        <v>29045</v>
      </c>
      <c r="G4455" s="2" t="s">
        <v>33302</v>
      </c>
      <c r="H4455" s="2" t="s">
        <v>29047</v>
      </c>
      <c r="I4455" s="2" t="s">
        <v>51</v>
      </c>
      <c r="J4455" s="2" t="s">
        <v>33303</v>
      </c>
      <c r="K4455" s="2" t="s">
        <v>33301</v>
      </c>
      <c r="L4455" s="2" t="s">
        <v>51</v>
      </c>
      <c r="M4455" s="2" t="s">
        <v>29047</v>
      </c>
      <c r="N4455" s="2" t="s">
        <v>33304</v>
      </c>
      <c r="O4455" s="2"/>
      <c r="P4455" s="2" t="s">
        <v>37</v>
      </c>
      <c r="Q4455" s="4" t="n">
        <v>8731</v>
      </c>
      <c r="R4455" s="2" t="s">
        <v>56</v>
      </c>
      <c r="S4455" s="2" t="s">
        <v>788</v>
      </c>
      <c r="T4455" s="2" t="s">
        <v>403</v>
      </c>
      <c r="U4455" s="2" t="s">
        <v>33305</v>
      </c>
      <c r="V4455" s="2"/>
      <c r="W4455" s="2" t="s">
        <v>13346</v>
      </c>
      <c r="X4455" s="2" t="s">
        <v>43</v>
      </c>
      <c r="Y4455" s="2" t="s">
        <v>37</v>
      </c>
      <c r="Z4455" s="2" t="s">
        <v>44</v>
      </c>
      <c r="AA4455" s="2"/>
      <c r="AB4455" s="2"/>
      <c r="AC4455" s="2" t="s">
        <v>33306</v>
      </c>
      <c r="AD4455" s="2" t="s">
        <v>46</v>
      </c>
    </row>
    <row r="4456" customFormat="false" ht="15.7" hidden="false" customHeight="true" outlineLevel="0" collapsed="false">
      <c r="A4456" s="2"/>
      <c r="B4456" s="3" t="n">
        <f aca="false">DATE(2019,9,9)</f>
        <v>0</v>
      </c>
      <c r="C4456" s="3" t="n">
        <v>43717</v>
      </c>
      <c r="D4456" s="2" t="s">
        <v>33307</v>
      </c>
      <c r="F4456" s="2" t="s">
        <v>25238</v>
      </c>
      <c r="G4456" s="2" t="s">
        <v>33308</v>
      </c>
      <c r="H4456" s="2" t="s">
        <v>387</v>
      </c>
      <c r="I4456" s="2" t="s">
        <v>51</v>
      </c>
      <c r="J4456" s="2" t="s">
        <v>2980</v>
      </c>
      <c r="K4456" s="2" t="s">
        <v>33307</v>
      </c>
      <c r="L4456" s="2" t="s">
        <v>51</v>
      </c>
      <c r="M4456" s="2" t="s">
        <v>387</v>
      </c>
      <c r="N4456" s="2" t="s">
        <v>33309</v>
      </c>
      <c r="O4456" s="2"/>
      <c r="P4456" s="2" t="s">
        <v>37</v>
      </c>
      <c r="Q4456" s="4" t="n">
        <v>8099</v>
      </c>
      <c r="R4456" s="2" t="s">
        <v>56</v>
      </c>
      <c r="S4456" s="2" t="s">
        <v>251</v>
      </c>
      <c r="T4456" s="2" t="s">
        <v>40</v>
      </c>
      <c r="U4456" s="2" t="s">
        <v>33310</v>
      </c>
      <c r="V4456" s="2"/>
      <c r="W4456" s="2" t="s">
        <v>19532</v>
      </c>
      <c r="X4456" s="2" t="s">
        <v>43</v>
      </c>
      <c r="Y4456" s="2" t="s">
        <v>37</v>
      </c>
      <c r="Z4456" s="2" t="s">
        <v>44</v>
      </c>
      <c r="AA4456" s="2"/>
      <c r="AB4456" s="2"/>
      <c r="AC4456" s="2" t="s">
        <v>33311</v>
      </c>
      <c r="AD4456" s="2" t="s">
        <v>46</v>
      </c>
    </row>
    <row r="4457" customFormat="false" ht="15.7" hidden="false" customHeight="true" outlineLevel="0" collapsed="false">
      <c r="A4457" s="2"/>
      <c r="B4457" s="3" t="n">
        <f aca="false">DATE(2019,9,9)</f>
        <v>0</v>
      </c>
      <c r="C4457" s="3" t="n">
        <v>43717</v>
      </c>
      <c r="D4457" s="2" t="s">
        <v>33312</v>
      </c>
      <c r="F4457" s="2" t="s">
        <v>33313</v>
      </c>
      <c r="G4457" s="2" t="s">
        <v>33314</v>
      </c>
      <c r="H4457" s="2" t="s">
        <v>814</v>
      </c>
      <c r="I4457" s="2" t="s">
        <v>487</v>
      </c>
      <c r="J4457" s="2" t="s">
        <v>132</v>
      </c>
      <c r="K4457" s="2" t="s">
        <v>33312</v>
      </c>
      <c r="L4457" s="2" t="s">
        <v>487</v>
      </c>
      <c r="M4457" s="2" t="s">
        <v>814</v>
      </c>
      <c r="N4457" s="2" t="s">
        <v>33315</v>
      </c>
      <c r="O4457" s="2"/>
      <c r="P4457" s="2" t="s">
        <v>37</v>
      </c>
      <c r="Q4457" s="4" t="n">
        <v>6141</v>
      </c>
      <c r="R4457" s="2" t="s">
        <v>1448</v>
      </c>
      <c r="S4457" s="2" t="s">
        <v>39</v>
      </c>
      <c r="T4457" s="2" t="s">
        <v>40</v>
      </c>
      <c r="U4457" s="2" t="s">
        <v>33316</v>
      </c>
      <c r="V4457" s="2"/>
      <c r="W4457" s="2" t="s">
        <v>19420</v>
      </c>
      <c r="X4457" s="2" t="s">
        <v>43</v>
      </c>
      <c r="Y4457" s="2" t="s">
        <v>37</v>
      </c>
      <c r="Z4457" s="2" t="s">
        <v>44</v>
      </c>
      <c r="AA4457" s="2"/>
      <c r="AB4457" s="2"/>
      <c r="AC4457" s="2" t="s">
        <v>33317</v>
      </c>
      <c r="AD4457" s="2" t="s">
        <v>46</v>
      </c>
    </row>
    <row r="4458" customFormat="false" ht="15.7" hidden="false" customHeight="true" outlineLevel="0" collapsed="false">
      <c r="A4458" s="2"/>
      <c r="B4458" s="3" t="n">
        <f aca="false">DATE(2019,9,10)</f>
        <v>0</v>
      </c>
      <c r="C4458" s="3" t="n">
        <v>43718</v>
      </c>
      <c r="D4458" s="2" t="s">
        <v>33318</v>
      </c>
      <c r="F4458" s="2" t="s">
        <v>17610</v>
      </c>
      <c r="G4458" s="2" t="s">
        <v>33319</v>
      </c>
      <c r="H4458" s="2" t="s">
        <v>1181</v>
      </c>
      <c r="I4458" s="2" t="s">
        <v>369</v>
      </c>
      <c r="J4458" s="2" t="s">
        <v>35</v>
      </c>
      <c r="K4458" s="2" t="s">
        <v>33320</v>
      </c>
      <c r="L4458" s="2" t="s">
        <v>163</v>
      </c>
      <c r="M4458" s="2" t="s">
        <v>1732</v>
      </c>
      <c r="N4458" s="2" t="s">
        <v>33321</v>
      </c>
      <c r="O4458" s="2"/>
      <c r="P4458" s="2" t="s">
        <v>37</v>
      </c>
      <c r="Q4458" s="4" t="n">
        <v>8099</v>
      </c>
      <c r="R4458" s="2" t="s">
        <v>105</v>
      </c>
      <c r="S4458" s="2" t="s">
        <v>39</v>
      </c>
      <c r="T4458" s="2" t="s">
        <v>40</v>
      </c>
      <c r="U4458" s="2" t="s">
        <v>33322</v>
      </c>
      <c r="V4458" s="2"/>
      <c r="W4458" s="2" t="s">
        <v>19532</v>
      </c>
      <c r="X4458" s="2" t="s">
        <v>43</v>
      </c>
      <c r="Y4458" s="2" t="s">
        <v>37</v>
      </c>
      <c r="Z4458" s="2" t="s">
        <v>44</v>
      </c>
      <c r="AA4458" s="2"/>
      <c r="AB4458" s="2"/>
      <c r="AC4458" s="2" t="s">
        <v>33323</v>
      </c>
      <c r="AD4458" s="2" t="s">
        <v>46</v>
      </c>
    </row>
    <row r="4459" customFormat="false" ht="15.7" hidden="false" customHeight="true" outlineLevel="0" collapsed="false">
      <c r="A4459" s="2"/>
      <c r="B4459" s="3" t="n">
        <f aca="false">DATE(2019,9,10)</f>
        <v>0</v>
      </c>
      <c r="C4459" s="3" t="n">
        <v>43718</v>
      </c>
      <c r="D4459" s="2" t="s">
        <v>33324</v>
      </c>
      <c r="F4459" s="2" t="s">
        <v>33325</v>
      </c>
      <c r="G4459" s="2" t="s">
        <v>33326</v>
      </c>
      <c r="H4459" s="2" t="s">
        <v>6952</v>
      </c>
      <c r="I4459" s="2" t="s">
        <v>51</v>
      </c>
      <c r="J4459" s="2" t="s">
        <v>3991</v>
      </c>
      <c r="K4459" s="2" t="s">
        <v>33327</v>
      </c>
      <c r="L4459" s="2" t="s">
        <v>51</v>
      </c>
      <c r="M4459" s="2" t="s">
        <v>27134</v>
      </c>
      <c r="N4459" s="2" t="s">
        <v>33328</v>
      </c>
      <c r="O4459" s="2"/>
      <c r="P4459" s="2" t="s">
        <v>37</v>
      </c>
      <c r="Q4459" s="4" t="n">
        <v>8731</v>
      </c>
      <c r="R4459" s="2" t="s">
        <v>56</v>
      </c>
      <c r="S4459" s="2" t="s">
        <v>315</v>
      </c>
      <c r="T4459" s="2" t="s">
        <v>40</v>
      </c>
      <c r="U4459" s="2" t="s">
        <v>33329</v>
      </c>
      <c r="V4459" s="2"/>
      <c r="W4459" s="2" t="s">
        <v>344</v>
      </c>
      <c r="X4459" s="2" t="s">
        <v>43</v>
      </c>
      <c r="Y4459" s="2" t="s">
        <v>37</v>
      </c>
      <c r="Z4459" s="2" t="s">
        <v>44</v>
      </c>
      <c r="AA4459" s="2"/>
      <c r="AB4459" s="2"/>
      <c r="AC4459" s="2" t="s">
        <v>33330</v>
      </c>
      <c r="AD4459" s="2" t="s">
        <v>46</v>
      </c>
    </row>
    <row r="4460" customFormat="false" ht="15.7" hidden="false" customHeight="true" outlineLevel="0" collapsed="false">
      <c r="A4460" s="2"/>
      <c r="B4460" s="3" t="n">
        <f aca="false">DATE(2019,9,10)</f>
        <v>0</v>
      </c>
      <c r="C4460" s="3" t="n">
        <v>43718</v>
      </c>
      <c r="D4460" s="2" t="s">
        <v>33331</v>
      </c>
      <c r="F4460" s="2" t="s">
        <v>33332</v>
      </c>
      <c r="G4460" s="2" t="s">
        <v>33333</v>
      </c>
      <c r="H4460" s="2" t="s">
        <v>18028</v>
      </c>
      <c r="I4460" s="2" t="s">
        <v>51</v>
      </c>
      <c r="J4460" s="2" t="s">
        <v>33334</v>
      </c>
      <c r="K4460" s="2" t="s">
        <v>33335</v>
      </c>
      <c r="L4460" s="2" t="s">
        <v>51</v>
      </c>
      <c r="M4460" s="2" t="s">
        <v>33336</v>
      </c>
      <c r="N4460" s="2" t="s">
        <v>33337</v>
      </c>
      <c r="O4460" s="2"/>
      <c r="P4460" s="2" t="s">
        <v>37</v>
      </c>
      <c r="Q4460" s="4" t="n">
        <v>8099</v>
      </c>
      <c r="R4460" s="2" t="s">
        <v>56</v>
      </c>
      <c r="S4460" s="2" t="s">
        <v>3253</v>
      </c>
      <c r="T4460" s="2" t="s">
        <v>40</v>
      </c>
      <c r="U4460" s="2" t="s">
        <v>33338</v>
      </c>
      <c r="V4460" s="2"/>
      <c r="W4460" s="2" t="s">
        <v>4487</v>
      </c>
      <c r="X4460" s="2" t="s">
        <v>43</v>
      </c>
      <c r="Y4460" s="2" t="s">
        <v>37</v>
      </c>
      <c r="Z4460" s="2" t="s">
        <v>44</v>
      </c>
      <c r="AA4460" s="2"/>
      <c r="AB4460" s="2"/>
      <c r="AC4460" s="2" t="s">
        <v>33339</v>
      </c>
      <c r="AD4460" s="2" t="s">
        <v>46</v>
      </c>
    </row>
    <row r="4461" customFormat="false" ht="15.7" hidden="false" customHeight="true" outlineLevel="0" collapsed="false">
      <c r="A4461" s="2"/>
      <c r="B4461" s="3" t="n">
        <f aca="false">DATE(2019,9,10)</f>
        <v>0</v>
      </c>
      <c r="C4461" s="3" t="n">
        <v>43718</v>
      </c>
      <c r="D4461" s="2" t="s">
        <v>33340</v>
      </c>
      <c r="F4461" s="2" t="s">
        <v>33341</v>
      </c>
      <c r="G4461" s="2" t="s">
        <v>33342</v>
      </c>
      <c r="H4461" s="2" t="s">
        <v>305</v>
      </c>
      <c r="I4461" s="2" t="s">
        <v>1080</v>
      </c>
      <c r="J4461" s="2" t="s">
        <v>35</v>
      </c>
      <c r="K4461" s="2" t="s">
        <v>33340</v>
      </c>
      <c r="L4461" s="2" t="s">
        <v>1080</v>
      </c>
      <c r="M4461" s="2" t="s">
        <v>305</v>
      </c>
      <c r="N4461" s="2" t="s">
        <v>33343</v>
      </c>
      <c r="O4461" s="2"/>
      <c r="P4461" s="2" t="s">
        <v>37</v>
      </c>
      <c r="Q4461" s="4" t="n">
        <v>8731</v>
      </c>
      <c r="R4461" s="2" t="s">
        <v>2201</v>
      </c>
      <c r="S4461" s="2" t="s">
        <v>39</v>
      </c>
      <c r="T4461" s="2" t="s">
        <v>40</v>
      </c>
      <c r="U4461" s="2" t="s">
        <v>33344</v>
      </c>
      <c r="V4461" s="2"/>
      <c r="W4461" s="2" t="s">
        <v>344</v>
      </c>
      <c r="X4461" s="2" t="s">
        <v>46</v>
      </c>
      <c r="Y4461" s="2" t="s">
        <v>37</v>
      </c>
      <c r="Z4461" s="2" t="s">
        <v>44</v>
      </c>
      <c r="AA4461" s="2"/>
      <c r="AB4461" s="2"/>
      <c r="AC4461" s="2" t="s">
        <v>33345</v>
      </c>
      <c r="AD4461" s="2" t="s">
        <v>46</v>
      </c>
    </row>
    <row r="4462" customFormat="false" ht="15.7" hidden="false" customHeight="true" outlineLevel="0" collapsed="false">
      <c r="A4462" s="2"/>
      <c r="B4462" s="3" t="n">
        <f aca="false">DATE(2019,9,10)</f>
        <v>0</v>
      </c>
      <c r="C4462" s="3" t="n">
        <v>43718</v>
      </c>
      <c r="D4462" s="2" t="s">
        <v>33346</v>
      </c>
      <c r="F4462" s="2" t="s">
        <v>20650</v>
      </c>
      <c r="G4462" s="2" t="s">
        <v>33347</v>
      </c>
      <c r="H4462" s="2" t="s">
        <v>130</v>
      </c>
      <c r="I4462" s="2" t="s">
        <v>51</v>
      </c>
      <c r="J4462" s="2" t="s">
        <v>33348</v>
      </c>
      <c r="K4462" s="2" t="s">
        <v>33346</v>
      </c>
      <c r="L4462" s="2" t="s">
        <v>51</v>
      </c>
      <c r="M4462" s="2" t="s">
        <v>130</v>
      </c>
      <c r="N4462" s="2" t="s">
        <v>33349</v>
      </c>
      <c r="O4462" s="2"/>
      <c r="P4462" s="2" t="s">
        <v>37</v>
      </c>
      <c r="Q4462" s="4" t="n">
        <v>3999</v>
      </c>
      <c r="R4462" s="2" t="s">
        <v>56</v>
      </c>
      <c r="S4462" s="2" t="s">
        <v>315</v>
      </c>
      <c r="T4462" s="2" t="s">
        <v>403</v>
      </c>
      <c r="U4462" s="2" t="s">
        <v>33350</v>
      </c>
      <c r="V4462" s="2"/>
      <c r="W4462" s="2" t="s">
        <v>33351</v>
      </c>
      <c r="X4462" s="2" t="s">
        <v>43</v>
      </c>
      <c r="Y4462" s="2" t="s">
        <v>37</v>
      </c>
      <c r="Z4462" s="2" t="s">
        <v>44</v>
      </c>
      <c r="AA4462" s="2"/>
      <c r="AB4462" s="2"/>
      <c r="AC4462" s="2" t="s">
        <v>33352</v>
      </c>
      <c r="AD4462" s="2" t="s">
        <v>46</v>
      </c>
    </row>
    <row r="4463" customFormat="false" ht="15.7" hidden="false" customHeight="true" outlineLevel="0" collapsed="false">
      <c r="A4463" s="2"/>
      <c r="B4463" s="3" t="n">
        <f aca="false">DATE(2019,9,10)</f>
        <v>0</v>
      </c>
      <c r="C4463" s="3" t="n">
        <v>43718</v>
      </c>
      <c r="D4463" s="2" t="s">
        <v>33353</v>
      </c>
      <c r="F4463" s="2" t="s">
        <v>33354</v>
      </c>
      <c r="G4463" s="2" t="s">
        <v>33355</v>
      </c>
      <c r="H4463" s="2" t="s">
        <v>33356</v>
      </c>
      <c r="I4463" s="2" t="s">
        <v>33357</v>
      </c>
      <c r="J4463" s="2" t="s">
        <v>33358</v>
      </c>
      <c r="K4463" s="2" t="s">
        <v>33353</v>
      </c>
      <c r="L4463" s="2" t="s">
        <v>33357</v>
      </c>
      <c r="M4463" s="2" t="s">
        <v>33356</v>
      </c>
      <c r="N4463" s="2" t="s">
        <v>33359</v>
      </c>
      <c r="O4463" s="2"/>
      <c r="P4463" s="2" t="s">
        <v>37</v>
      </c>
      <c r="Q4463" s="4" t="n">
        <v>3999</v>
      </c>
      <c r="R4463" s="2" t="s">
        <v>5774</v>
      </c>
      <c r="S4463" s="2" t="s">
        <v>39</v>
      </c>
      <c r="T4463" s="2" t="s">
        <v>40</v>
      </c>
      <c r="U4463" s="2" t="s">
        <v>33360</v>
      </c>
      <c r="V4463" s="2"/>
      <c r="W4463" s="2" t="s">
        <v>107</v>
      </c>
      <c r="X4463" s="2" t="s">
        <v>46</v>
      </c>
      <c r="Y4463" s="2" t="s">
        <v>37</v>
      </c>
      <c r="Z4463" s="2" t="s">
        <v>11148</v>
      </c>
      <c r="AA4463" s="2" t="s">
        <v>33361</v>
      </c>
      <c r="AB4463" s="2"/>
      <c r="AC4463" s="2" t="s">
        <v>33362</v>
      </c>
      <c r="AD4463" s="2" t="s">
        <v>46</v>
      </c>
    </row>
    <row r="4464" customFormat="false" ht="15.7" hidden="false" customHeight="true" outlineLevel="0" collapsed="false">
      <c r="A4464" s="2"/>
      <c r="B4464" s="3" t="n">
        <f aca="false">DATE(2019,9,10)</f>
        <v>0</v>
      </c>
      <c r="C4464" s="3" t="n">
        <v>43718</v>
      </c>
      <c r="D4464" s="2" t="s">
        <v>33363</v>
      </c>
      <c r="F4464" s="2" t="s">
        <v>33364</v>
      </c>
      <c r="G4464" s="2" t="s">
        <v>33365</v>
      </c>
      <c r="H4464" s="2" t="s">
        <v>7521</v>
      </c>
      <c r="I4464" s="2" t="s">
        <v>33366</v>
      </c>
      <c r="J4464" s="2" t="s">
        <v>35</v>
      </c>
      <c r="K4464" s="2" t="s">
        <v>33363</v>
      </c>
      <c r="L4464" s="2" t="s">
        <v>33366</v>
      </c>
      <c r="M4464" s="2" t="s">
        <v>7521</v>
      </c>
      <c r="N4464" s="2" t="s">
        <v>33367</v>
      </c>
      <c r="O4464" s="2"/>
      <c r="P4464" s="2" t="s">
        <v>37</v>
      </c>
      <c r="Q4464" s="4" t="n">
        <v>8731</v>
      </c>
      <c r="R4464" s="2" t="s">
        <v>33366</v>
      </c>
      <c r="S4464" s="2" t="s">
        <v>5334</v>
      </c>
      <c r="T4464" s="2" t="s">
        <v>403</v>
      </c>
      <c r="U4464" s="2" t="s">
        <v>33368</v>
      </c>
      <c r="V4464" s="2"/>
      <c r="W4464" s="2" t="s">
        <v>2367</v>
      </c>
      <c r="X4464" s="2" t="s">
        <v>43</v>
      </c>
      <c r="Y4464" s="2" t="s">
        <v>79</v>
      </c>
      <c r="Z4464" s="2" t="s">
        <v>44</v>
      </c>
      <c r="AA4464" s="2"/>
      <c r="AB4464" s="2"/>
      <c r="AC4464" s="2" t="s">
        <v>33369</v>
      </c>
      <c r="AD4464" s="2" t="s">
        <v>46</v>
      </c>
    </row>
    <row r="4465" customFormat="false" ht="15.7" hidden="false" customHeight="true" outlineLevel="0" collapsed="false">
      <c r="A4465" s="2"/>
      <c r="B4465" s="3" t="n">
        <f aca="false">DATE(2019,9,11)</f>
        <v>0</v>
      </c>
      <c r="C4465" s="3" t="n">
        <v>43719</v>
      </c>
      <c r="D4465" s="2" t="s">
        <v>33370</v>
      </c>
      <c r="F4465" s="2" t="s">
        <v>33371</v>
      </c>
      <c r="G4465" s="2" t="s">
        <v>33372</v>
      </c>
      <c r="H4465" s="2" t="s">
        <v>33373</v>
      </c>
      <c r="I4465" s="2" t="s">
        <v>10169</v>
      </c>
      <c r="J4465" s="2" t="s">
        <v>33374</v>
      </c>
      <c r="K4465" s="2" t="s">
        <v>33370</v>
      </c>
      <c r="L4465" s="2" t="s">
        <v>10169</v>
      </c>
      <c r="M4465" s="2" t="s">
        <v>33373</v>
      </c>
      <c r="N4465" s="2" t="s">
        <v>33375</v>
      </c>
      <c r="O4465" s="2"/>
      <c r="P4465" s="2" t="s">
        <v>37</v>
      </c>
      <c r="Q4465" s="4" t="n">
        <v>8731</v>
      </c>
      <c r="R4465" s="2" t="s">
        <v>56</v>
      </c>
      <c r="S4465" s="2" t="s">
        <v>57</v>
      </c>
      <c r="T4465" s="2" t="s">
        <v>40</v>
      </c>
      <c r="U4465" s="2" t="s">
        <v>33376</v>
      </c>
      <c r="V4465" s="2"/>
      <c r="W4465" s="2" t="s">
        <v>344</v>
      </c>
      <c r="X4465" s="2" t="s">
        <v>43</v>
      </c>
      <c r="Y4465" s="2" t="s">
        <v>37</v>
      </c>
      <c r="Z4465" s="2" t="s">
        <v>916</v>
      </c>
      <c r="AA4465" s="2"/>
      <c r="AB4465" s="2"/>
      <c r="AC4465" s="2" t="s">
        <v>33377</v>
      </c>
      <c r="AD4465" s="2" t="s">
        <v>46</v>
      </c>
    </row>
    <row r="4466" customFormat="false" ht="15.7" hidden="false" customHeight="true" outlineLevel="0" collapsed="false">
      <c r="A4466" s="2"/>
      <c r="B4466" s="3" t="n">
        <f aca="false">DATE(2019,9,11)</f>
        <v>0</v>
      </c>
      <c r="C4466" s="3" t="n">
        <v>43719</v>
      </c>
      <c r="D4466" s="2" t="s">
        <v>33378</v>
      </c>
      <c r="F4466" s="2" t="s">
        <v>33379</v>
      </c>
      <c r="G4466" s="2" t="s">
        <v>33380</v>
      </c>
      <c r="H4466" s="2" t="s">
        <v>27134</v>
      </c>
      <c r="I4466" s="2" t="s">
        <v>51</v>
      </c>
      <c r="J4466" s="2" t="s">
        <v>560</v>
      </c>
      <c r="K4466" s="2" t="s">
        <v>33378</v>
      </c>
      <c r="L4466" s="2" t="s">
        <v>51</v>
      </c>
      <c r="M4466" s="2" t="s">
        <v>27134</v>
      </c>
      <c r="N4466" s="2" t="s">
        <v>33381</v>
      </c>
      <c r="O4466" s="2"/>
      <c r="P4466" s="2" t="s">
        <v>37</v>
      </c>
      <c r="Q4466" s="4" t="n">
        <v>8731</v>
      </c>
      <c r="R4466" s="2" t="s">
        <v>56</v>
      </c>
      <c r="S4466" s="2"/>
      <c r="T4466" s="2" t="s">
        <v>40</v>
      </c>
      <c r="U4466" s="2" t="s">
        <v>33382</v>
      </c>
      <c r="V4466" s="2"/>
      <c r="W4466" s="2" t="s">
        <v>18171</v>
      </c>
      <c r="X4466" s="2" t="s">
        <v>43</v>
      </c>
      <c r="Y4466" s="2" t="s">
        <v>37</v>
      </c>
      <c r="Z4466" s="2" t="s">
        <v>44</v>
      </c>
      <c r="AA4466" s="2"/>
      <c r="AB4466" s="2"/>
      <c r="AC4466" s="2" t="s">
        <v>33383</v>
      </c>
      <c r="AD4466" s="2" t="s">
        <v>46</v>
      </c>
    </row>
    <row r="4467" customFormat="false" ht="15.7" hidden="false" customHeight="true" outlineLevel="0" collapsed="false">
      <c r="A4467" s="2"/>
      <c r="B4467" s="3" t="n">
        <f aca="false">DATE(2019,9,11)</f>
        <v>0</v>
      </c>
      <c r="C4467" s="3" t="n">
        <v>43719</v>
      </c>
      <c r="D4467" s="2" t="s">
        <v>33384</v>
      </c>
      <c r="F4467" s="2" t="s">
        <v>33385</v>
      </c>
      <c r="G4467" s="2" t="s">
        <v>33386</v>
      </c>
      <c r="H4467" s="2" t="s">
        <v>33387</v>
      </c>
      <c r="I4467" s="2" t="s">
        <v>51</v>
      </c>
      <c r="J4467" s="2" t="s">
        <v>2816</v>
      </c>
      <c r="K4467" s="2" t="s">
        <v>33384</v>
      </c>
      <c r="L4467" s="2" t="s">
        <v>51</v>
      </c>
      <c r="M4467" s="2" t="s">
        <v>33387</v>
      </c>
      <c r="N4467" s="2" t="s">
        <v>33388</v>
      </c>
      <c r="O4467" s="2"/>
      <c r="P4467" s="2" t="s">
        <v>37</v>
      </c>
      <c r="Q4467" s="4" t="n">
        <v>8731</v>
      </c>
      <c r="R4467" s="2" t="s">
        <v>56</v>
      </c>
      <c r="S4467" s="2" t="s">
        <v>507</v>
      </c>
      <c r="T4467" s="2" t="s">
        <v>40</v>
      </c>
      <c r="U4467" s="2" t="s">
        <v>33389</v>
      </c>
      <c r="V4467" s="2"/>
      <c r="W4467" s="2" t="s">
        <v>28967</v>
      </c>
      <c r="X4467" s="2" t="s">
        <v>43</v>
      </c>
      <c r="Y4467" s="2" t="s">
        <v>37</v>
      </c>
      <c r="Z4467" s="2" t="s">
        <v>44</v>
      </c>
      <c r="AA4467" s="2"/>
      <c r="AB4467" s="2"/>
      <c r="AC4467" s="2" t="s">
        <v>33390</v>
      </c>
      <c r="AD4467" s="2" t="s">
        <v>46</v>
      </c>
    </row>
    <row r="4468" customFormat="false" ht="15.7" hidden="false" customHeight="true" outlineLevel="0" collapsed="false">
      <c r="A4468" s="2"/>
      <c r="B4468" s="3" t="n">
        <f aca="false">DATE(2019,9,11)</f>
        <v>0</v>
      </c>
      <c r="C4468" s="3" t="n">
        <v>43719</v>
      </c>
      <c r="D4468" s="2" t="s">
        <v>33391</v>
      </c>
      <c r="F4468" s="2" t="s">
        <v>33392</v>
      </c>
      <c r="G4468" s="2" t="s">
        <v>33393</v>
      </c>
      <c r="H4468" s="2" t="s">
        <v>478</v>
      </c>
      <c r="I4468" s="2" t="s">
        <v>51</v>
      </c>
      <c r="J4468" s="2" t="s">
        <v>13785</v>
      </c>
      <c r="K4468" s="2" t="s">
        <v>33391</v>
      </c>
      <c r="L4468" s="2" t="s">
        <v>51</v>
      </c>
      <c r="M4468" s="2" t="s">
        <v>478</v>
      </c>
      <c r="N4468" s="2" t="s">
        <v>33394</v>
      </c>
      <c r="O4468" s="2"/>
      <c r="P4468" s="2" t="s">
        <v>37</v>
      </c>
      <c r="Q4468" s="4" t="n">
        <v>8731</v>
      </c>
      <c r="R4468" s="2" t="s">
        <v>56</v>
      </c>
      <c r="S4468" s="2" t="s">
        <v>315</v>
      </c>
      <c r="T4468" s="2" t="s">
        <v>40</v>
      </c>
      <c r="U4468" s="2" t="s">
        <v>33395</v>
      </c>
      <c r="V4468" s="2"/>
      <c r="W4468" s="2" t="s">
        <v>344</v>
      </c>
      <c r="X4468" s="2" t="s">
        <v>43</v>
      </c>
      <c r="Y4468" s="2" t="s">
        <v>37</v>
      </c>
      <c r="Z4468" s="2" t="s">
        <v>44</v>
      </c>
      <c r="AA4468" s="2"/>
      <c r="AB4468" s="2"/>
      <c r="AC4468" s="2" t="s">
        <v>33396</v>
      </c>
      <c r="AD4468" s="2" t="s">
        <v>46</v>
      </c>
    </row>
    <row r="4469" customFormat="false" ht="15.7" hidden="false" customHeight="true" outlineLevel="0" collapsed="false">
      <c r="A4469" s="2"/>
      <c r="B4469" s="3" t="n">
        <f aca="false">DATE(2019,9,11)</f>
        <v>0</v>
      </c>
      <c r="C4469" s="3" t="n">
        <v>43719</v>
      </c>
      <c r="D4469" s="2" t="s">
        <v>33397</v>
      </c>
      <c r="F4469" s="2" t="s">
        <v>22407</v>
      </c>
      <c r="G4469" s="2" t="s">
        <v>33398</v>
      </c>
      <c r="H4469" s="2" t="s">
        <v>762</v>
      </c>
      <c r="I4469" s="2" t="s">
        <v>369</v>
      </c>
      <c r="J4469" s="2" t="s">
        <v>35</v>
      </c>
      <c r="K4469" s="2" t="s">
        <v>33397</v>
      </c>
      <c r="L4469" s="2" t="s">
        <v>369</v>
      </c>
      <c r="M4469" s="2" t="s">
        <v>762</v>
      </c>
      <c r="N4469" s="2" t="s">
        <v>33399</v>
      </c>
      <c r="O4469" s="2"/>
      <c r="P4469" s="2" t="s">
        <v>37</v>
      </c>
      <c r="Q4469" s="4" t="n">
        <v>8731</v>
      </c>
      <c r="R4469" s="2" t="s">
        <v>105</v>
      </c>
      <c r="S4469" s="2" t="s">
        <v>39</v>
      </c>
      <c r="T4469" s="2" t="s">
        <v>40</v>
      </c>
      <c r="U4469" s="2" t="s">
        <v>33400</v>
      </c>
      <c r="V4469" s="2"/>
      <c r="W4469" s="2" t="s">
        <v>344</v>
      </c>
      <c r="X4469" s="2" t="s">
        <v>43</v>
      </c>
      <c r="Y4469" s="2" t="s">
        <v>37</v>
      </c>
      <c r="Z4469" s="2" t="s">
        <v>44</v>
      </c>
      <c r="AA4469" s="2"/>
      <c r="AB4469" s="2"/>
      <c r="AC4469" s="2" t="s">
        <v>33401</v>
      </c>
      <c r="AD4469" s="2" t="s">
        <v>46</v>
      </c>
    </row>
    <row r="4470" customFormat="false" ht="15.7" hidden="false" customHeight="true" outlineLevel="0" collapsed="false">
      <c r="A4470" s="2"/>
      <c r="B4470" s="3" t="n">
        <f aca="false">DATE(2019,9,11)</f>
        <v>0</v>
      </c>
      <c r="C4470" s="3" t="n">
        <v>43719</v>
      </c>
      <c r="D4470" s="2" t="s">
        <v>33402</v>
      </c>
      <c r="F4470" s="2" t="s">
        <v>15541</v>
      </c>
      <c r="G4470" s="2" t="s">
        <v>33403</v>
      </c>
      <c r="H4470" s="2" t="s">
        <v>170</v>
      </c>
      <c r="I4470" s="2" t="s">
        <v>51</v>
      </c>
      <c r="J4470" s="2" t="s">
        <v>171</v>
      </c>
      <c r="K4470" s="2" t="s">
        <v>33402</v>
      </c>
      <c r="L4470" s="2" t="s">
        <v>51</v>
      </c>
      <c r="M4470" s="2" t="s">
        <v>170</v>
      </c>
      <c r="N4470" s="2" t="s">
        <v>33404</v>
      </c>
      <c r="O4470" s="2"/>
      <c r="P4470" s="2" t="s">
        <v>37</v>
      </c>
      <c r="Q4470" s="4" t="n">
        <v>8731</v>
      </c>
      <c r="R4470" s="2" t="s">
        <v>56</v>
      </c>
      <c r="S4470" s="2" t="s">
        <v>92</v>
      </c>
      <c r="T4470" s="2" t="s">
        <v>40</v>
      </c>
      <c r="U4470" s="2" t="s">
        <v>33405</v>
      </c>
      <c r="V4470" s="2"/>
      <c r="W4470" s="2" t="s">
        <v>344</v>
      </c>
      <c r="X4470" s="2" t="s">
        <v>46</v>
      </c>
      <c r="Y4470" s="2" t="s">
        <v>37</v>
      </c>
      <c r="Z4470" s="2" t="s">
        <v>44</v>
      </c>
      <c r="AA4470" s="2"/>
      <c r="AB4470" s="2"/>
      <c r="AC4470" s="2" t="s">
        <v>33406</v>
      </c>
      <c r="AD4470" s="2" t="s">
        <v>46</v>
      </c>
    </row>
    <row r="4471" customFormat="false" ht="15.7" hidden="false" customHeight="true" outlineLevel="0" collapsed="false">
      <c r="A4471" s="2"/>
      <c r="B4471" s="3" t="n">
        <f aca="false">DATE(2019,9,12)</f>
        <v>0</v>
      </c>
      <c r="C4471" s="3" t="n">
        <v>43720</v>
      </c>
      <c r="D4471" s="2" t="s">
        <v>33407</v>
      </c>
      <c r="F4471" s="2" t="s">
        <v>27972</v>
      </c>
      <c r="G4471" s="2" t="s">
        <v>33408</v>
      </c>
      <c r="H4471" s="2" t="s">
        <v>20376</v>
      </c>
      <c r="I4471" s="2" t="s">
        <v>3847</v>
      </c>
      <c r="J4471" s="2" t="s">
        <v>35</v>
      </c>
      <c r="K4471" s="2" t="s">
        <v>33407</v>
      </c>
      <c r="L4471" s="2" t="s">
        <v>3847</v>
      </c>
      <c r="M4471" s="2" t="s">
        <v>20376</v>
      </c>
      <c r="N4471" s="2" t="s">
        <v>33409</v>
      </c>
      <c r="O4471" s="2"/>
      <c r="P4471" s="2" t="s">
        <v>37</v>
      </c>
      <c r="Q4471" s="4" t="n">
        <v>8731</v>
      </c>
      <c r="R4471" s="2" t="s">
        <v>450</v>
      </c>
      <c r="S4471" s="2" t="s">
        <v>39</v>
      </c>
      <c r="T4471" s="2" t="s">
        <v>403</v>
      </c>
      <c r="U4471" s="2" t="s">
        <v>33410</v>
      </c>
      <c r="V4471" s="2"/>
      <c r="W4471" s="2" t="s">
        <v>23704</v>
      </c>
      <c r="X4471" s="2" t="s">
        <v>43</v>
      </c>
      <c r="Y4471" s="2" t="s">
        <v>37</v>
      </c>
      <c r="Z4471" s="2" t="s">
        <v>44</v>
      </c>
      <c r="AA4471" s="2"/>
      <c r="AB4471" s="2"/>
      <c r="AC4471" s="2" t="s">
        <v>33411</v>
      </c>
      <c r="AD4471" s="2" t="s">
        <v>46</v>
      </c>
    </row>
    <row r="4472" customFormat="false" ht="15.7" hidden="false" customHeight="true" outlineLevel="0" collapsed="false">
      <c r="A4472" s="2"/>
      <c r="B4472" s="3" t="n">
        <f aca="false">DATE(2019,9,12)</f>
        <v>0</v>
      </c>
      <c r="C4472" s="3" t="n">
        <v>43720</v>
      </c>
      <c r="D4472" s="2" t="s">
        <v>33412</v>
      </c>
      <c r="F4472" s="2" t="s">
        <v>10369</v>
      </c>
      <c r="G4472" s="2" t="s">
        <v>33413</v>
      </c>
      <c r="H4472" s="2" t="s">
        <v>1101</v>
      </c>
      <c r="I4472" s="2" t="s">
        <v>51</v>
      </c>
      <c r="J4472" s="2" t="s">
        <v>77</v>
      </c>
      <c r="K4472" s="2" t="s">
        <v>33412</v>
      </c>
      <c r="L4472" s="2" t="s">
        <v>51</v>
      </c>
      <c r="M4472" s="2" t="s">
        <v>1101</v>
      </c>
      <c r="N4472" s="2" t="s">
        <v>33414</v>
      </c>
      <c r="O4472" s="2"/>
      <c r="P4472" s="2" t="s">
        <v>37</v>
      </c>
      <c r="Q4472" s="4" t="n">
        <v>2834</v>
      </c>
      <c r="R4472" s="2" t="s">
        <v>56</v>
      </c>
      <c r="S4472" s="2" t="s">
        <v>80</v>
      </c>
      <c r="T4472" s="2" t="s">
        <v>40</v>
      </c>
      <c r="U4472" s="2" t="s">
        <v>33415</v>
      </c>
      <c r="V4472" s="2"/>
      <c r="W4472" s="2" t="s">
        <v>2056</v>
      </c>
      <c r="X4472" s="2" t="s">
        <v>43</v>
      </c>
      <c r="Y4472" s="2" t="s">
        <v>37</v>
      </c>
      <c r="Z4472" s="2" t="s">
        <v>44</v>
      </c>
      <c r="AA4472" s="2"/>
      <c r="AB4472" s="2"/>
      <c r="AC4472" s="2" t="s">
        <v>33416</v>
      </c>
      <c r="AD4472" s="2" t="s">
        <v>46</v>
      </c>
    </row>
    <row r="4473" customFormat="false" ht="15.7" hidden="false" customHeight="true" outlineLevel="0" collapsed="false">
      <c r="A4473" s="2"/>
      <c r="B4473" s="3" t="n">
        <f aca="false">DATE(2019,9,12)</f>
        <v>0</v>
      </c>
      <c r="C4473" s="3" t="n">
        <v>43720</v>
      </c>
      <c r="D4473" s="2" t="s">
        <v>33417</v>
      </c>
      <c r="F4473" s="2" t="s">
        <v>33418</v>
      </c>
      <c r="G4473" s="2" t="s">
        <v>33419</v>
      </c>
      <c r="H4473" s="2" t="s">
        <v>33420</v>
      </c>
      <c r="I4473" s="2" t="s">
        <v>33421</v>
      </c>
      <c r="J4473" s="2" t="s">
        <v>35</v>
      </c>
      <c r="K4473" s="2" t="s">
        <v>33422</v>
      </c>
      <c r="L4473" s="2" t="s">
        <v>2809</v>
      </c>
      <c r="M4473" s="2" t="s">
        <v>33423</v>
      </c>
      <c r="N4473" s="2" t="s">
        <v>33424</v>
      </c>
      <c r="O4473" s="2"/>
      <c r="P4473" s="2" t="s">
        <v>37</v>
      </c>
      <c r="Q4473" s="4" t="n">
        <v>8731</v>
      </c>
      <c r="R4473" s="2" t="s">
        <v>2201</v>
      </c>
      <c r="S4473" s="2" t="s">
        <v>39</v>
      </c>
      <c r="T4473" s="2" t="s">
        <v>40</v>
      </c>
      <c r="U4473" s="2" t="s">
        <v>33425</v>
      </c>
      <c r="V4473" s="2"/>
      <c r="W4473" s="2" t="s">
        <v>138</v>
      </c>
      <c r="X4473" s="2" t="s">
        <v>43</v>
      </c>
      <c r="Y4473" s="2" t="s">
        <v>37</v>
      </c>
      <c r="Z4473" s="2" t="s">
        <v>44</v>
      </c>
      <c r="AA4473" s="2"/>
      <c r="AB4473" s="2"/>
      <c r="AC4473" s="2" t="s">
        <v>33426</v>
      </c>
      <c r="AD4473" s="2" t="s">
        <v>46</v>
      </c>
    </row>
    <row r="4474" customFormat="false" ht="15.7" hidden="false" customHeight="true" outlineLevel="0" collapsed="false">
      <c r="A4474" s="2"/>
      <c r="B4474" s="3" t="n">
        <f aca="false">DATE(2019,9,12)</f>
        <v>0</v>
      </c>
      <c r="C4474" s="3" t="n">
        <v>43720</v>
      </c>
      <c r="D4474" s="2" t="s">
        <v>33427</v>
      </c>
      <c r="F4474" s="2" t="s">
        <v>33428</v>
      </c>
      <c r="G4474" s="2" t="s">
        <v>33429</v>
      </c>
      <c r="H4474" s="2" t="s">
        <v>19633</v>
      </c>
      <c r="I4474" s="2" t="s">
        <v>33430</v>
      </c>
      <c r="J4474" s="2" t="s">
        <v>35</v>
      </c>
      <c r="K4474" s="2" t="s">
        <v>33431</v>
      </c>
      <c r="L4474" s="2" t="s">
        <v>33430</v>
      </c>
      <c r="M4474" s="2" t="s">
        <v>19633</v>
      </c>
      <c r="N4474" s="2" t="s">
        <v>33432</v>
      </c>
      <c r="O4474" s="2"/>
      <c r="P4474" s="2" t="s">
        <v>37</v>
      </c>
      <c r="Q4474" s="4" t="n">
        <v>8731</v>
      </c>
      <c r="R4474" s="2"/>
      <c r="S4474" s="2"/>
      <c r="T4474" s="2" t="s">
        <v>403</v>
      </c>
      <c r="U4474" s="2" t="s">
        <v>33433</v>
      </c>
      <c r="V4474" s="2"/>
      <c r="W4474" s="2" t="s">
        <v>17454</v>
      </c>
      <c r="X4474" s="2" t="s">
        <v>46</v>
      </c>
      <c r="Y4474" s="2" t="s">
        <v>37</v>
      </c>
      <c r="Z4474" s="2" t="s">
        <v>44</v>
      </c>
      <c r="AA4474" s="2"/>
      <c r="AB4474" s="2"/>
      <c r="AC4474" s="2" t="s">
        <v>33434</v>
      </c>
      <c r="AD4474" s="2" t="s">
        <v>46</v>
      </c>
    </row>
    <row r="4475" customFormat="false" ht="15.7" hidden="false" customHeight="true" outlineLevel="0" collapsed="false">
      <c r="A4475" s="2"/>
      <c r="B4475" s="3" t="n">
        <f aca="false">DATE(2019,9,13)</f>
        <v>0</v>
      </c>
      <c r="C4475" s="3" t="n">
        <v>43721</v>
      </c>
      <c r="D4475" s="2" t="s">
        <v>33435</v>
      </c>
      <c r="F4475" s="2" t="s">
        <v>33436</v>
      </c>
      <c r="G4475" s="2" t="s">
        <v>33437</v>
      </c>
      <c r="H4475" s="2" t="s">
        <v>33438</v>
      </c>
      <c r="I4475" s="2" t="s">
        <v>26894</v>
      </c>
      <c r="J4475" s="2" t="s">
        <v>35</v>
      </c>
      <c r="K4475" s="2" t="s">
        <v>33439</v>
      </c>
      <c r="L4475" s="2" t="s">
        <v>26894</v>
      </c>
      <c r="M4475" s="2" t="s">
        <v>33440</v>
      </c>
      <c r="N4475" s="2" t="s">
        <v>33441</v>
      </c>
      <c r="O4475" s="2"/>
      <c r="P4475" s="2" t="s">
        <v>37</v>
      </c>
      <c r="Q4475" s="4" t="n">
        <v>7373</v>
      </c>
      <c r="R4475" s="2" t="s">
        <v>402</v>
      </c>
      <c r="S4475" s="2" t="s">
        <v>39</v>
      </c>
      <c r="T4475" s="2" t="s">
        <v>40</v>
      </c>
      <c r="U4475" s="2" t="s">
        <v>33442</v>
      </c>
      <c r="V4475" s="2"/>
      <c r="W4475" s="2" t="s">
        <v>33443</v>
      </c>
      <c r="X4475" s="2" t="s">
        <v>43</v>
      </c>
      <c r="Y4475" s="2" t="s">
        <v>37</v>
      </c>
      <c r="Z4475" s="2" t="s">
        <v>44</v>
      </c>
      <c r="AA4475" s="2"/>
      <c r="AB4475" s="2"/>
      <c r="AC4475" s="2" t="s">
        <v>33444</v>
      </c>
      <c r="AD4475" s="2" t="s">
        <v>46</v>
      </c>
    </row>
    <row r="4476" customFormat="false" ht="15.7" hidden="false" customHeight="true" outlineLevel="0" collapsed="false">
      <c r="A4476" s="2"/>
      <c r="B4476" s="3" t="n">
        <f aca="false">DATE(2019,9,16)</f>
        <v>0</v>
      </c>
      <c r="C4476" s="3" t="n">
        <v>43724</v>
      </c>
      <c r="D4476" s="2" t="s">
        <v>33445</v>
      </c>
      <c r="F4476" s="2" t="s">
        <v>33446</v>
      </c>
      <c r="G4476" s="2" t="s">
        <v>33447</v>
      </c>
      <c r="H4476" s="2" t="s">
        <v>368</v>
      </c>
      <c r="I4476" s="2" t="s">
        <v>51</v>
      </c>
      <c r="J4476" s="2" t="s">
        <v>2816</v>
      </c>
      <c r="K4476" s="2" t="s">
        <v>33445</v>
      </c>
      <c r="L4476" s="2" t="s">
        <v>51</v>
      </c>
      <c r="M4476" s="2" t="s">
        <v>368</v>
      </c>
      <c r="N4476" s="2" t="s">
        <v>33448</v>
      </c>
      <c r="O4476" s="2"/>
      <c r="P4476" s="2" t="s">
        <v>37</v>
      </c>
      <c r="Q4476" s="4" t="n">
        <v>8099</v>
      </c>
      <c r="R4476" s="2" t="s">
        <v>56</v>
      </c>
      <c r="S4476" s="2"/>
      <c r="T4476" s="2" t="s">
        <v>40</v>
      </c>
      <c r="U4476" s="2" t="s">
        <v>33449</v>
      </c>
      <c r="V4476" s="2"/>
      <c r="W4476" s="2" t="s">
        <v>4487</v>
      </c>
      <c r="X4476" s="2" t="s">
        <v>43</v>
      </c>
      <c r="Y4476" s="2" t="s">
        <v>37</v>
      </c>
      <c r="Z4476" s="2" t="s">
        <v>44</v>
      </c>
      <c r="AA4476" s="2"/>
      <c r="AB4476" s="2"/>
      <c r="AC4476" s="2" t="s">
        <v>33450</v>
      </c>
      <c r="AD4476" s="2" t="s">
        <v>46</v>
      </c>
    </row>
    <row r="4477" customFormat="false" ht="15.7" hidden="false" customHeight="true" outlineLevel="0" collapsed="false">
      <c r="A4477" s="2"/>
      <c r="B4477" s="3" t="n">
        <f aca="false">DATE(2019,9,16)</f>
        <v>0</v>
      </c>
      <c r="C4477" s="3" t="n">
        <v>43724</v>
      </c>
      <c r="D4477" s="2" t="s">
        <v>33451</v>
      </c>
      <c r="F4477" s="2" t="s">
        <v>33452</v>
      </c>
      <c r="G4477" s="2" t="s">
        <v>33453</v>
      </c>
      <c r="H4477" s="2" t="s">
        <v>9924</v>
      </c>
      <c r="I4477" s="2" t="s">
        <v>670</v>
      </c>
      <c r="J4477" s="2" t="s">
        <v>514</v>
      </c>
      <c r="K4477" s="2" t="s">
        <v>33454</v>
      </c>
      <c r="L4477" s="2" t="s">
        <v>670</v>
      </c>
      <c r="M4477" s="2" t="s">
        <v>9924</v>
      </c>
      <c r="N4477" s="2" t="s">
        <v>33455</v>
      </c>
      <c r="O4477" s="2"/>
      <c r="P4477" s="2" t="s">
        <v>37</v>
      </c>
      <c r="Q4477" s="4" t="n">
        <v>8731</v>
      </c>
      <c r="R4477" s="2" t="s">
        <v>402</v>
      </c>
      <c r="S4477" s="2" t="s">
        <v>39</v>
      </c>
      <c r="T4477" s="2" t="s">
        <v>2444</v>
      </c>
      <c r="U4477" s="2" t="s">
        <v>33456</v>
      </c>
      <c r="V4477" s="2"/>
      <c r="W4477" s="2" t="s">
        <v>18171</v>
      </c>
      <c r="X4477" s="2" t="s">
        <v>43</v>
      </c>
      <c r="Y4477" s="2" t="s">
        <v>37</v>
      </c>
      <c r="Z4477" s="2" t="s">
        <v>44</v>
      </c>
      <c r="AA4477" s="2"/>
      <c r="AB4477" s="2"/>
      <c r="AC4477" s="2" t="s">
        <v>33457</v>
      </c>
      <c r="AD4477" s="2" t="s">
        <v>46</v>
      </c>
    </row>
    <row r="4478" customFormat="false" ht="15.7" hidden="false" customHeight="true" outlineLevel="0" collapsed="false">
      <c r="A4478" s="2"/>
      <c r="B4478" s="3" t="n">
        <f aca="false">DATE(2019,9,16)</f>
        <v>0</v>
      </c>
      <c r="C4478" s="3" t="n">
        <v>43724</v>
      </c>
      <c r="D4478" s="2" t="s">
        <v>33458</v>
      </c>
      <c r="F4478" s="2" t="s">
        <v>31840</v>
      </c>
      <c r="G4478" s="2" t="s">
        <v>33459</v>
      </c>
      <c r="H4478" s="2" t="s">
        <v>3840</v>
      </c>
      <c r="I4478" s="2" t="s">
        <v>33460</v>
      </c>
      <c r="J4478" s="2" t="s">
        <v>35</v>
      </c>
      <c r="K4478" s="2" t="s">
        <v>33461</v>
      </c>
      <c r="L4478" s="2" t="s">
        <v>33462</v>
      </c>
      <c r="M4478" s="2" t="s">
        <v>20998</v>
      </c>
      <c r="N4478" s="2" t="s">
        <v>33463</v>
      </c>
      <c r="O4478" s="2"/>
      <c r="P4478" s="2" t="s">
        <v>37</v>
      </c>
      <c r="Q4478" s="4" t="n">
        <v>8099</v>
      </c>
      <c r="R4478" s="2"/>
      <c r="S4478" s="2"/>
      <c r="T4478" s="2" t="s">
        <v>40</v>
      </c>
      <c r="U4478" s="2" t="s">
        <v>33464</v>
      </c>
      <c r="V4478" s="2"/>
      <c r="W4478" s="2" t="s">
        <v>18812</v>
      </c>
      <c r="X4478" s="2" t="s">
        <v>43</v>
      </c>
      <c r="Y4478" s="2" t="s">
        <v>37</v>
      </c>
      <c r="Z4478" s="2" t="s">
        <v>44</v>
      </c>
      <c r="AA4478" s="2"/>
      <c r="AB4478" s="2"/>
      <c r="AC4478" s="2" t="s">
        <v>33465</v>
      </c>
      <c r="AD4478" s="2" t="s">
        <v>46</v>
      </c>
    </row>
    <row r="4479" customFormat="false" ht="15.7" hidden="false" customHeight="true" outlineLevel="0" collapsed="false">
      <c r="A4479" s="2"/>
      <c r="B4479" s="3" t="n">
        <f aca="false">DATE(2019,9,16)</f>
        <v>0</v>
      </c>
      <c r="C4479" s="3" t="n">
        <v>43724</v>
      </c>
      <c r="D4479" s="2" t="s">
        <v>33466</v>
      </c>
      <c r="F4479" s="2" t="s">
        <v>15541</v>
      </c>
      <c r="G4479" s="2" t="s">
        <v>33467</v>
      </c>
      <c r="H4479" s="2" t="s">
        <v>170</v>
      </c>
      <c r="I4479" s="2" t="s">
        <v>33468</v>
      </c>
      <c r="J4479" s="2" t="s">
        <v>35</v>
      </c>
      <c r="K4479" s="2" t="s">
        <v>33469</v>
      </c>
      <c r="L4479" s="2" t="s">
        <v>33468</v>
      </c>
      <c r="M4479" s="2" t="s">
        <v>551</v>
      </c>
      <c r="N4479" s="2" t="s">
        <v>33470</v>
      </c>
      <c r="O4479" s="2"/>
      <c r="P4479" s="2" t="s">
        <v>37</v>
      </c>
      <c r="Q4479" s="4" t="n">
        <v>6794</v>
      </c>
      <c r="R4479" s="2" t="s">
        <v>136</v>
      </c>
      <c r="S4479" s="2" t="s">
        <v>39</v>
      </c>
      <c r="T4479" s="2" t="s">
        <v>40</v>
      </c>
      <c r="U4479" s="2" t="s">
        <v>33471</v>
      </c>
      <c r="V4479" s="2"/>
      <c r="W4479" s="2" t="s">
        <v>26089</v>
      </c>
      <c r="X4479" s="2" t="s">
        <v>43</v>
      </c>
      <c r="Y4479" s="2" t="s">
        <v>37</v>
      </c>
      <c r="Z4479" s="2" t="s">
        <v>44</v>
      </c>
      <c r="AA4479" s="2"/>
      <c r="AB4479" s="2"/>
      <c r="AC4479" s="2" t="s">
        <v>33472</v>
      </c>
      <c r="AD4479" s="2" t="s">
        <v>46</v>
      </c>
    </row>
    <row r="4480" customFormat="false" ht="15.7" hidden="false" customHeight="true" outlineLevel="0" collapsed="false">
      <c r="A4480" s="2"/>
      <c r="B4480" s="3" t="n">
        <f aca="false">DATE(2019,9,16)</f>
        <v>0</v>
      </c>
      <c r="C4480" s="3" t="n">
        <v>43724</v>
      </c>
      <c r="D4480" s="2" t="s">
        <v>33473</v>
      </c>
      <c r="F4480" s="2" t="s">
        <v>33474</v>
      </c>
      <c r="G4480" s="2" t="s">
        <v>33475</v>
      </c>
      <c r="H4480" s="2" t="s">
        <v>33476</v>
      </c>
      <c r="I4480" s="2" t="s">
        <v>540</v>
      </c>
      <c r="J4480" s="2" t="s">
        <v>35</v>
      </c>
      <c r="K4480" s="2" t="s">
        <v>33473</v>
      </c>
      <c r="L4480" s="2" t="s">
        <v>540</v>
      </c>
      <c r="M4480" s="2" t="s">
        <v>33476</v>
      </c>
      <c r="N4480" s="2" t="s">
        <v>33477</v>
      </c>
      <c r="O4480" s="2"/>
      <c r="P4480" s="2" t="s">
        <v>37</v>
      </c>
      <c r="Q4480" s="4" t="n">
        <v>5099</v>
      </c>
      <c r="R4480" s="2" t="s">
        <v>1448</v>
      </c>
      <c r="S4480" s="2" t="s">
        <v>39</v>
      </c>
      <c r="T4480" s="2" t="s">
        <v>40</v>
      </c>
      <c r="U4480" s="2" t="s">
        <v>33478</v>
      </c>
      <c r="V4480" s="2"/>
      <c r="W4480" s="2" t="s">
        <v>33479</v>
      </c>
      <c r="X4480" s="2" t="s">
        <v>43</v>
      </c>
      <c r="Y4480" s="2" t="s">
        <v>37</v>
      </c>
      <c r="Z4480" s="2" t="s">
        <v>44</v>
      </c>
      <c r="AA4480" s="2"/>
      <c r="AB4480" s="2"/>
      <c r="AC4480" s="2" t="s">
        <v>33480</v>
      </c>
      <c r="AD4480" s="2" t="s">
        <v>46</v>
      </c>
    </row>
    <row r="4481" customFormat="false" ht="15.7" hidden="false" customHeight="true" outlineLevel="0" collapsed="false">
      <c r="A4481" s="2"/>
      <c r="B4481" s="3" t="n">
        <f aca="false">DATE(2019,9,17)</f>
        <v>0</v>
      </c>
      <c r="C4481" s="3" t="n">
        <v>43725</v>
      </c>
      <c r="D4481" s="2" t="s">
        <v>33481</v>
      </c>
      <c r="F4481" s="2" t="s">
        <v>33482</v>
      </c>
      <c r="G4481" s="2" t="s">
        <v>33483</v>
      </c>
      <c r="H4481" s="2" t="s">
        <v>33484</v>
      </c>
      <c r="I4481" s="2" t="s">
        <v>11307</v>
      </c>
      <c r="J4481" s="2" t="s">
        <v>35</v>
      </c>
      <c r="K4481" s="2" t="s">
        <v>33481</v>
      </c>
      <c r="L4481" s="2" t="s">
        <v>11307</v>
      </c>
      <c r="M4481" s="2" t="s">
        <v>33484</v>
      </c>
      <c r="N4481" s="2" t="s">
        <v>33485</v>
      </c>
      <c r="O4481" s="2"/>
      <c r="P4481" s="2" t="s">
        <v>37</v>
      </c>
      <c r="Q4481" s="4" t="n">
        <v>8731</v>
      </c>
      <c r="R4481" s="2" t="s">
        <v>2118</v>
      </c>
      <c r="S4481" s="2" t="s">
        <v>39</v>
      </c>
      <c r="T4481" s="2" t="s">
        <v>40</v>
      </c>
      <c r="U4481" s="2" t="s">
        <v>33486</v>
      </c>
      <c r="V4481" s="2"/>
      <c r="W4481" s="2" t="s">
        <v>42</v>
      </c>
      <c r="X4481" s="2" t="s">
        <v>43</v>
      </c>
      <c r="Y4481" s="2" t="s">
        <v>37</v>
      </c>
      <c r="Z4481" s="2" t="s">
        <v>44</v>
      </c>
      <c r="AA4481" s="2"/>
      <c r="AB4481" s="2"/>
      <c r="AC4481" s="2" t="s">
        <v>33487</v>
      </c>
      <c r="AD4481" s="2" t="s">
        <v>46</v>
      </c>
    </row>
    <row r="4482" customFormat="false" ht="15.7" hidden="false" customHeight="true" outlineLevel="0" collapsed="false">
      <c r="A4482" s="2"/>
      <c r="B4482" s="3" t="n">
        <f aca="false">DATE(2019,9,17)</f>
        <v>0</v>
      </c>
      <c r="C4482" s="3" t="n">
        <v>43725</v>
      </c>
      <c r="D4482" s="2" t="s">
        <v>22099</v>
      </c>
      <c r="F4482" s="2" t="s">
        <v>22100</v>
      </c>
      <c r="G4482" s="2" t="s">
        <v>22101</v>
      </c>
      <c r="H4482" s="2" t="s">
        <v>22102</v>
      </c>
      <c r="I4482" s="2" t="s">
        <v>8387</v>
      </c>
      <c r="J4482" s="2" t="s">
        <v>35</v>
      </c>
      <c r="K4482" s="2" t="s">
        <v>22103</v>
      </c>
      <c r="L4482" s="2" t="s">
        <v>8387</v>
      </c>
      <c r="M4482" s="2" t="s">
        <v>22102</v>
      </c>
      <c r="N4482" s="2" t="s">
        <v>22104</v>
      </c>
      <c r="O4482" s="2"/>
      <c r="P4482" s="2" t="s">
        <v>37</v>
      </c>
      <c r="Q4482" s="4" t="n">
        <v>8731</v>
      </c>
      <c r="R4482" s="2" t="s">
        <v>38</v>
      </c>
      <c r="S4482" s="2" t="s">
        <v>39</v>
      </c>
      <c r="T4482" s="2" t="s">
        <v>40</v>
      </c>
      <c r="U4482" s="2" t="s">
        <v>33488</v>
      </c>
      <c r="V4482" s="2"/>
      <c r="W4482" s="2" t="s">
        <v>15545</v>
      </c>
      <c r="X4482" s="2" t="s">
        <v>43</v>
      </c>
      <c r="Y4482" s="2" t="s">
        <v>37</v>
      </c>
      <c r="Z4482" s="2" t="s">
        <v>44</v>
      </c>
      <c r="AA4482" s="2" t="s">
        <v>33489</v>
      </c>
      <c r="AB4482" s="2"/>
      <c r="AC4482" s="2" t="s">
        <v>22106</v>
      </c>
      <c r="AD4482" s="2" t="s">
        <v>46</v>
      </c>
    </row>
    <row r="4483" customFormat="false" ht="15.7" hidden="false" customHeight="true" outlineLevel="0" collapsed="false">
      <c r="A4483" s="2"/>
      <c r="B4483" s="3" t="n">
        <f aca="false">DATE(2019,9,17)</f>
        <v>0</v>
      </c>
      <c r="C4483" s="3" t="n">
        <v>43725</v>
      </c>
      <c r="D4483" s="2" t="s">
        <v>33490</v>
      </c>
      <c r="F4483" s="2" t="s">
        <v>20650</v>
      </c>
      <c r="G4483" s="2" t="s">
        <v>33491</v>
      </c>
      <c r="H4483" s="2" t="s">
        <v>130</v>
      </c>
      <c r="I4483" s="2" t="s">
        <v>18530</v>
      </c>
      <c r="J4483" s="2" t="s">
        <v>35</v>
      </c>
      <c r="K4483" s="2" t="s">
        <v>33490</v>
      </c>
      <c r="L4483" s="2" t="s">
        <v>18530</v>
      </c>
      <c r="M4483" s="2" t="s">
        <v>130</v>
      </c>
      <c r="N4483" s="2" t="s">
        <v>33492</v>
      </c>
      <c r="O4483" s="2"/>
      <c r="P4483" s="2" t="s">
        <v>37</v>
      </c>
      <c r="Q4483" s="4" t="n">
        <v>8099</v>
      </c>
      <c r="R4483" s="2" t="s">
        <v>1208</v>
      </c>
      <c r="S4483" s="2" t="s">
        <v>39</v>
      </c>
      <c r="T4483" s="2" t="s">
        <v>40</v>
      </c>
      <c r="U4483" s="2" t="s">
        <v>33493</v>
      </c>
      <c r="V4483" s="2"/>
      <c r="W4483" s="2" t="s">
        <v>4487</v>
      </c>
      <c r="X4483" s="2" t="s">
        <v>43</v>
      </c>
      <c r="Y4483" s="2" t="s">
        <v>37</v>
      </c>
      <c r="Z4483" s="2" t="s">
        <v>44</v>
      </c>
      <c r="AA4483" s="2"/>
      <c r="AB4483" s="2"/>
      <c r="AC4483" s="2" t="s">
        <v>33494</v>
      </c>
      <c r="AD4483" s="2" t="s">
        <v>46</v>
      </c>
    </row>
    <row r="4484" customFormat="false" ht="15.7" hidden="false" customHeight="true" outlineLevel="0" collapsed="false">
      <c r="A4484" s="2"/>
      <c r="B4484" s="3" t="n">
        <f aca="false">DATE(2019,9,17)</f>
        <v>0</v>
      </c>
      <c r="C4484" s="3" t="n">
        <v>43725</v>
      </c>
      <c r="D4484" s="2" t="s">
        <v>33495</v>
      </c>
      <c r="F4484" s="2" t="s">
        <v>33496</v>
      </c>
      <c r="G4484" s="2" t="s">
        <v>33497</v>
      </c>
      <c r="H4484" s="2" t="s">
        <v>33498</v>
      </c>
      <c r="I4484" s="2" t="s">
        <v>51</v>
      </c>
      <c r="J4484" s="2" t="s">
        <v>33499</v>
      </c>
      <c r="K4484" s="2" t="s">
        <v>33495</v>
      </c>
      <c r="L4484" s="2" t="s">
        <v>51</v>
      </c>
      <c r="M4484" s="2" t="s">
        <v>33498</v>
      </c>
      <c r="N4484" s="2" t="s">
        <v>33500</v>
      </c>
      <c r="O4484" s="2"/>
      <c r="P4484" s="2" t="s">
        <v>37</v>
      </c>
      <c r="Q4484" s="4" t="n">
        <v>6794</v>
      </c>
      <c r="R4484" s="2" t="s">
        <v>56</v>
      </c>
      <c r="S4484" s="2" t="s">
        <v>251</v>
      </c>
      <c r="T4484" s="2" t="s">
        <v>40</v>
      </c>
      <c r="U4484" s="2" t="s">
        <v>33501</v>
      </c>
      <c r="V4484" s="2"/>
      <c r="W4484" s="2" t="s">
        <v>15545</v>
      </c>
      <c r="X4484" s="2" t="s">
        <v>43</v>
      </c>
      <c r="Y4484" s="2" t="s">
        <v>37</v>
      </c>
      <c r="Z4484" s="2" t="s">
        <v>44</v>
      </c>
      <c r="AA4484" s="2"/>
      <c r="AB4484" s="2"/>
      <c r="AC4484" s="2" t="s">
        <v>33502</v>
      </c>
      <c r="AD4484" s="2" t="s">
        <v>46</v>
      </c>
    </row>
    <row r="4485" customFormat="false" ht="15.7" hidden="false" customHeight="true" outlineLevel="0" collapsed="false">
      <c r="A4485" s="2"/>
      <c r="B4485" s="3" t="n">
        <f aca="false">DATE(2019,9,17)</f>
        <v>0</v>
      </c>
      <c r="C4485" s="3" t="n">
        <v>43725</v>
      </c>
      <c r="D4485" s="2" t="s">
        <v>33503</v>
      </c>
      <c r="F4485" s="2" t="s">
        <v>31854</v>
      </c>
      <c r="G4485" s="2" t="s">
        <v>33504</v>
      </c>
      <c r="H4485" s="2" t="s">
        <v>14314</v>
      </c>
      <c r="I4485" s="2" t="s">
        <v>821</v>
      </c>
      <c r="J4485" s="2" t="s">
        <v>514</v>
      </c>
      <c r="K4485" s="2" t="s">
        <v>33503</v>
      </c>
      <c r="L4485" s="2" t="s">
        <v>821</v>
      </c>
      <c r="M4485" s="2" t="s">
        <v>14314</v>
      </c>
      <c r="N4485" s="2" t="s">
        <v>33505</v>
      </c>
      <c r="O4485" s="2"/>
      <c r="P4485" s="2" t="s">
        <v>37</v>
      </c>
      <c r="Q4485" s="4" t="n">
        <v>8731</v>
      </c>
      <c r="R4485" s="2" t="s">
        <v>56</v>
      </c>
      <c r="S4485" s="2"/>
      <c r="T4485" s="2" t="s">
        <v>40</v>
      </c>
      <c r="U4485" s="2" t="s">
        <v>33506</v>
      </c>
      <c r="V4485" s="2"/>
      <c r="W4485" s="2" t="s">
        <v>42</v>
      </c>
      <c r="X4485" s="2" t="s">
        <v>43</v>
      </c>
      <c r="Y4485" s="2" t="s">
        <v>37</v>
      </c>
      <c r="Z4485" s="2" t="s">
        <v>44</v>
      </c>
      <c r="AA4485" s="2"/>
      <c r="AB4485" s="2"/>
      <c r="AC4485" s="2" t="s">
        <v>33507</v>
      </c>
      <c r="AD4485" s="2" t="s">
        <v>46</v>
      </c>
    </row>
    <row r="4486" customFormat="false" ht="15.7" hidden="false" customHeight="true" outlineLevel="0" collapsed="false">
      <c r="A4486" s="2"/>
      <c r="B4486" s="3" t="n">
        <f aca="false">DATE(2019,9,18)</f>
        <v>0</v>
      </c>
      <c r="C4486" s="3" t="n">
        <v>43726</v>
      </c>
      <c r="D4486" s="2" t="s">
        <v>33508</v>
      </c>
      <c r="F4486" s="2" t="s">
        <v>33509</v>
      </c>
      <c r="G4486" s="2" t="s">
        <v>33510</v>
      </c>
      <c r="H4486" s="2" t="s">
        <v>33511</v>
      </c>
      <c r="I4486" s="2" t="s">
        <v>296</v>
      </c>
      <c r="J4486" s="2" t="s">
        <v>155</v>
      </c>
      <c r="K4486" s="2" t="s">
        <v>33508</v>
      </c>
      <c r="L4486" s="2" t="s">
        <v>296</v>
      </c>
      <c r="M4486" s="2" t="s">
        <v>33511</v>
      </c>
      <c r="N4486" s="2" t="s">
        <v>33512</v>
      </c>
      <c r="O4486" s="2"/>
      <c r="P4486" s="2" t="s">
        <v>37</v>
      </c>
      <c r="Q4486" s="4" t="n">
        <v>6799</v>
      </c>
      <c r="R4486" s="2" t="s">
        <v>1448</v>
      </c>
      <c r="S4486" s="2" t="s">
        <v>39</v>
      </c>
      <c r="T4486" s="2" t="s">
        <v>40</v>
      </c>
      <c r="U4486" s="2" t="s">
        <v>33513</v>
      </c>
      <c r="V4486" s="2"/>
      <c r="W4486" s="2" t="s">
        <v>33514</v>
      </c>
      <c r="X4486" s="2" t="s">
        <v>43</v>
      </c>
      <c r="Y4486" s="2" t="s">
        <v>37</v>
      </c>
      <c r="Z4486" s="2" t="s">
        <v>44</v>
      </c>
      <c r="AA4486" s="2" t="s">
        <v>33515</v>
      </c>
      <c r="AB4486" s="2"/>
      <c r="AC4486" s="2" t="s">
        <v>33516</v>
      </c>
      <c r="AD4486" s="2" t="s">
        <v>46</v>
      </c>
    </row>
    <row r="4487" customFormat="false" ht="15.7" hidden="false" customHeight="true" outlineLevel="0" collapsed="false">
      <c r="A4487" s="2"/>
      <c r="B4487" s="3" t="n">
        <f aca="false">DATE(2019,9,19)</f>
        <v>0</v>
      </c>
      <c r="C4487" s="3" t="n">
        <v>43727</v>
      </c>
      <c r="D4487" s="2" t="s">
        <v>33517</v>
      </c>
      <c r="F4487" s="2" t="s">
        <v>27386</v>
      </c>
      <c r="G4487" s="2" t="s">
        <v>33518</v>
      </c>
      <c r="H4487" s="2" t="s">
        <v>63</v>
      </c>
      <c r="I4487" s="2" t="s">
        <v>100</v>
      </c>
      <c r="J4487" s="2" t="s">
        <v>203</v>
      </c>
      <c r="K4487" s="2" t="s">
        <v>33517</v>
      </c>
      <c r="L4487" s="2" t="s">
        <v>100</v>
      </c>
      <c r="M4487" s="2" t="s">
        <v>63</v>
      </c>
      <c r="N4487" s="2" t="s">
        <v>33519</v>
      </c>
      <c r="O4487" s="2"/>
      <c r="P4487" s="2" t="s">
        <v>37</v>
      </c>
      <c r="Q4487" s="4" t="n">
        <v>8731</v>
      </c>
      <c r="R4487" s="2" t="s">
        <v>100</v>
      </c>
      <c r="S4487" s="2" t="s">
        <v>33520</v>
      </c>
      <c r="T4487" s="2" t="s">
        <v>40</v>
      </c>
      <c r="U4487" s="2" t="s">
        <v>33521</v>
      </c>
      <c r="V4487" s="2"/>
      <c r="W4487" s="2" t="s">
        <v>344</v>
      </c>
      <c r="X4487" s="2" t="s">
        <v>43</v>
      </c>
      <c r="Y4487" s="2" t="s">
        <v>79</v>
      </c>
      <c r="Z4487" s="2" t="s">
        <v>44</v>
      </c>
      <c r="AA4487" s="2"/>
      <c r="AB4487" s="2"/>
      <c r="AC4487" s="2" t="s">
        <v>33522</v>
      </c>
      <c r="AD4487" s="2" t="s">
        <v>46</v>
      </c>
    </row>
    <row r="4488" customFormat="false" ht="15.7" hidden="false" customHeight="true" outlineLevel="0" collapsed="false">
      <c r="A4488" s="2"/>
      <c r="B4488" s="3" t="n">
        <f aca="false">DATE(2019,9,20)</f>
        <v>0</v>
      </c>
      <c r="C4488" s="3" t="n">
        <v>43728</v>
      </c>
      <c r="D4488" s="2" t="s">
        <v>33523</v>
      </c>
      <c r="F4488" s="2" t="s">
        <v>33524</v>
      </c>
      <c r="G4488" s="2" t="s">
        <v>33525</v>
      </c>
      <c r="H4488" s="2" t="s">
        <v>33526</v>
      </c>
      <c r="I4488" s="2" t="s">
        <v>435</v>
      </c>
      <c r="J4488" s="2" t="s">
        <v>331</v>
      </c>
      <c r="K4488" s="2" t="s">
        <v>33523</v>
      </c>
      <c r="L4488" s="2" t="s">
        <v>435</v>
      </c>
      <c r="M4488" s="2" t="s">
        <v>33526</v>
      </c>
      <c r="N4488" s="2" t="s">
        <v>33527</v>
      </c>
      <c r="O4488" s="2"/>
      <c r="P4488" s="2" t="s">
        <v>37</v>
      </c>
      <c r="Q4488" s="4" t="n">
        <v>8099</v>
      </c>
      <c r="R4488" s="2" t="s">
        <v>1402</v>
      </c>
      <c r="S4488" s="2" t="s">
        <v>39</v>
      </c>
      <c r="T4488" s="2" t="s">
        <v>40</v>
      </c>
      <c r="U4488" s="2" t="s">
        <v>33528</v>
      </c>
      <c r="V4488" s="2"/>
      <c r="W4488" s="2" t="s">
        <v>33529</v>
      </c>
      <c r="X4488" s="2" t="s">
        <v>43</v>
      </c>
      <c r="Y4488" s="2" t="s">
        <v>37</v>
      </c>
      <c r="Z4488" s="2" t="s">
        <v>44</v>
      </c>
      <c r="AA4488" s="2"/>
      <c r="AB4488" s="2"/>
      <c r="AC4488" s="2" t="s">
        <v>33530</v>
      </c>
      <c r="AD4488" s="2" t="s">
        <v>46</v>
      </c>
    </row>
    <row r="4489" customFormat="false" ht="15.7" hidden="false" customHeight="true" outlineLevel="0" collapsed="false">
      <c r="A4489" s="2"/>
      <c r="B4489" s="3" t="n">
        <f aca="false">DATE(2019,9,20)</f>
        <v>0</v>
      </c>
      <c r="C4489" s="3" t="n">
        <v>43728</v>
      </c>
      <c r="D4489" s="2" t="s">
        <v>33531</v>
      </c>
      <c r="F4489" s="2" t="s">
        <v>19085</v>
      </c>
      <c r="G4489" s="2" t="s">
        <v>33532</v>
      </c>
      <c r="H4489" s="2" t="s">
        <v>63</v>
      </c>
      <c r="I4489" s="2" t="s">
        <v>131</v>
      </c>
      <c r="J4489" s="2" t="s">
        <v>132</v>
      </c>
      <c r="K4489" s="2" t="s">
        <v>33531</v>
      </c>
      <c r="L4489" s="2" t="s">
        <v>131</v>
      </c>
      <c r="M4489" s="2" t="s">
        <v>63</v>
      </c>
      <c r="N4489" s="2" t="s">
        <v>33533</v>
      </c>
      <c r="O4489" s="2"/>
      <c r="P4489" s="2" t="s">
        <v>37</v>
      </c>
      <c r="Q4489" s="4" t="n">
        <v>8099</v>
      </c>
      <c r="R4489" s="2" t="s">
        <v>56</v>
      </c>
      <c r="S4489" s="2" t="s">
        <v>92</v>
      </c>
      <c r="T4489" s="2" t="s">
        <v>40</v>
      </c>
      <c r="U4489" s="2" t="s">
        <v>33534</v>
      </c>
      <c r="V4489" s="2"/>
      <c r="W4489" s="2" t="s">
        <v>4487</v>
      </c>
      <c r="X4489" s="2" t="s">
        <v>43</v>
      </c>
      <c r="Y4489" s="2" t="s">
        <v>37</v>
      </c>
      <c r="Z4489" s="2" t="s">
        <v>44</v>
      </c>
      <c r="AA4489" s="2"/>
      <c r="AB4489" s="2"/>
      <c r="AC4489" s="2" t="s">
        <v>33535</v>
      </c>
      <c r="AD4489" s="2" t="s">
        <v>46</v>
      </c>
    </row>
    <row r="4490" customFormat="false" ht="15.7" hidden="false" customHeight="true" outlineLevel="0" collapsed="false">
      <c r="A4490" s="2"/>
      <c r="B4490" s="3" t="n">
        <f aca="false">DATE(2019,9,20)</f>
        <v>0</v>
      </c>
      <c r="C4490" s="3" t="n">
        <v>43728</v>
      </c>
      <c r="D4490" s="2" t="s">
        <v>33536</v>
      </c>
      <c r="F4490" s="2" t="s">
        <v>33537</v>
      </c>
      <c r="G4490" s="2" t="s">
        <v>33538</v>
      </c>
      <c r="H4490" s="2" t="s">
        <v>16129</v>
      </c>
      <c r="I4490" s="2" t="s">
        <v>131</v>
      </c>
      <c r="J4490" s="2" t="s">
        <v>331</v>
      </c>
      <c r="K4490" s="2" t="s">
        <v>33539</v>
      </c>
      <c r="L4490" s="2" t="s">
        <v>30145</v>
      </c>
      <c r="M4490" s="2" t="s">
        <v>16129</v>
      </c>
      <c r="N4490" s="2" t="s">
        <v>33540</v>
      </c>
      <c r="O4490" s="2"/>
      <c r="P4490" s="2" t="s">
        <v>37</v>
      </c>
      <c r="Q4490" s="4" t="n">
        <v>8099</v>
      </c>
      <c r="R4490" s="2" t="s">
        <v>105</v>
      </c>
      <c r="S4490" s="2" t="s">
        <v>39</v>
      </c>
      <c r="T4490" s="2" t="s">
        <v>40</v>
      </c>
      <c r="U4490" s="2" t="s">
        <v>33541</v>
      </c>
      <c r="V4490" s="2"/>
      <c r="W4490" s="2" t="s">
        <v>18401</v>
      </c>
      <c r="X4490" s="2" t="s">
        <v>43</v>
      </c>
      <c r="Y4490" s="2" t="s">
        <v>37</v>
      </c>
      <c r="Z4490" s="2" t="s">
        <v>44</v>
      </c>
      <c r="AA4490" s="2"/>
      <c r="AB4490" s="2"/>
      <c r="AC4490" s="2" t="s">
        <v>33542</v>
      </c>
      <c r="AD4490" s="2" t="s">
        <v>46</v>
      </c>
    </row>
    <row r="4491" customFormat="false" ht="15.7" hidden="false" customHeight="true" outlineLevel="0" collapsed="false">
      <c r="A4491" s="2"/>
      <c r="B4491" s="3" t="n">
        <f aca="false">DATE(2019,9,23)</f>
        <v>0</v>
      </c>
      <c r="C4491" s="3" t="n">
        <v>43731</v>
      </c>
      <c r="D4491" s="2" t="s">
        <v>33543</v>
      </c>
      <c r="F4491" s="2" t="s">
        <v>33544</v>
      </c>
      <c r="G4491" s="2" t="s">
        <v>33545</v>
      </c>
      <c r="H4491" s="2" t="s">
        <v>33546</v>
      </c>
      <c r="I4491" s="2" t="s">
        <v>8326</v>
      </c>
      <c r="J4491" s="2" t="s">
        <v>35</v>
      </c>
      <c r="K4491" s="2" t="s">
        <v>33547</v>
      </c>
      <c r="L4491" s="2" t="s">
        <v>8326</v>
      </c>
      <c r="M4491" s="2" t="s">
        <v>32160</v>
      </c>
      <c r="N4491" s="2" t="s">
        <v>33548</v>
      </c>
      <c r="O4491" s="2"/>
      <c r="P4491" s="2" t="s">
        <v>37</v>
      </c>
      <c r="Q4491" s="4" t="n">
        <v>8731</v>
      </c>
      <c r="R4491" s="2" t="s">
        <v>121</v>
      </c>
      <c r="S4491" s="2" t="s">
        <v>39</v>
      </c>
      <c r="T4491" s="2" t="s">
        <v>403</v>
      </c>
      <c r="U4491" s="2" t="s">
        <v>33549</v>
      </c>
      <c r="V4491" s="2"/>
      <c r="W4491" s="2" t="s">
        <v>33550</v>
      </c>
      <c r="X4491" s="2" t="s">
        <v>46</v>
      </c>
      <c r="Y4491" s="2" t="s">
        <v>37</v>
      </c>
      <c r="Z4491" s="2" t="s">
        <v>44</v>
      </c>
      <c r="AA4491" s="2" t="s">
        <v>33551</v>
      </c>
      <c r="AB4491" s="2"/>
      <c r="AC4491" s="2" t="s">
        <v>33552</v>
      </c>
      <c r="AD4491" s="2" t="s">
        <v>46</v>
      </c>
    </row>
    <row r="4492" customFormat="false" ht="15.7" hidden="false" customHeight="true" outlineLevel="0" collapsed="false">
      <c r="A4492" s="2"/>
      <c r="B4492" s="3" t="n">
        <f aca="false">DATE(2019,9,23)</f>
        <v>0</v>
      </c>
      <c r="C4492" s="3" t="n">
        <v>43731</v>
      </c>
      <c r="D4492" s="2" t="s">
        <v>33553</v>
      </c>
      <c r="F4492" s="2" t="s">
        <v>33554</v>
      </c>
      <c r="G4492" s="2" t="s">
        <v>33555</v>
      </c>
      <c r="H4492" s="2" t="s">
        <v>130</v>
      </c>
      <c r="I4492" s="2" t="s">
        <v>100</v>
      </c>
      <c r="J4492" s="2" t="s">
        <v>4383</v>
      </c>
      <c r="K4492" s="2" t="s">
        <v>33553</v>
      </c>
      <c r="L4492" s="2" t="s">
        <v>100</v>
      </c>
      <c r="M4492" s="2" t="s">
        <v>130</v>
      </c>
      <c r="N4492" s="2" t="s">
        <v>33556</v>
      </c>
      <c r="O4492" s="2"/>
      <c r="P4492" s="2" t="s">
        <v>37</v>
      </c>
      <c r="Q4492" s="4" t="n">
        <v>6794</v>
      </c>
      <c r="R4492" s="2" t="s">
        <v>136</v>
      </c>
      <c r="S4492" s="2" t="s">
        <v>39</v>
      </c>
      <c r="T4492" s="2" t="s">
        <v>40</v>
      </c>
      <c r="U4492" s="2" t="s">
        <v>33557</v>
      </c>
      <c r="V4492" s="2"/>
      <c r="W4492" s="2" t="s">
        <v>15545</v>
      </c>
      <c r="X4492" s="2" t="s">
        <v>43</v>
      </c>
      <c r="Y4492" s="2" t="s">
        <v>37</v>
      </c>
      <c r="Z4492" s="2" t="s">
        <v>44</v>
      </c>
      <c r="AA4492" s="2" t="s">
        <v>33558</v>
      </c>
      <c r="AB4492" s="2"/>
      <c r="AC4492" s="2" t="s">
        <v>33559</v>
      </c>
      <c r="AD4492" s="2" t="s">
        <v>46</v>
      </c>
    </row>
    <row r="4493" customFormat="false" ht="15.7" hidden="false" customHeight="true" outlineLevel="0" collapsed="false">
      <c r="A4493" s="2"/>
      <c r="B4493" s="3" t="n">
        <f aca="false">DATE(2019,9,23)</f>
        <v>0</v>
      </c>
      <c r="C4493" s="3" t="n">
        <v>43731</v>
      </c>
      <c r="D4493" s="2" t="s">
        <v>33560</v>
      </c>
      <c r="F4493" s="2" t="s">
        <v>33561</v>
      </c>
      <c r="G4493" s="2" t="s">
        <v>33562</v>
      </c>
      <c r="H4493" s="2" t="s">
        <v>63</v>
      </c>
      <c r="I4493" s="2" t="s">
        <v>3265</v>
      </c>
      <c r="J4493" s="2" t="s">
        <v>966</v>
      </c>
      <c r="K4493" s="2" t="s">
        <v>33560</v>
      </c>
      <c r="L4493" s="2" t="s">
        <v>3265</v>
      </c>
      <c r="M4493" s="2" t="s">
        <v>63</v>
      </c>
      <c r="N4493" s="2" t="s">
        <v>33563</v>
      </c>
      <c r="O4493" s="2"/>
      <c r="P4493" s="2" t="s">
        <v>37</v>
      </c>
      <c r="Q4493" s="4" t="n">
        <v>8099</v>
      </c>
      <c r="R4493" s="2" t="s">
        <v>56</v>
      </c>
      <c r="S4493" s="2" t="s">
        <v>57</v>
      </c>
      <c r="T4493" s="2" t="s">
        <v>40</v>
      </c>
      <c r="U4493" s="2" t="s">
        <v>33564</v>
      </c>
      <c r="V4493" s="2"/>
      <c r="W4493" s="2" t="s">
        <v>4487</v>
      </c>
      <c r="X4493" s="2" t="s">
        <v>43</v>
      </c>
      <c r="Y4493" s="2" t="s">
        <v>37</v>
      </c>
      <c r="Z4493" s="2" t="s">
        <v>44</v>
      </c>
      <c r="AA4493" s="2"/>
      <c r="AB4493" s="2"/>
      <c r="AC4493" s="2" t="s">
        <v>33565</v>
      </c>
      <c r="AD4493" s="2" t="s">
        <v>46</v>
      </c>
    </row>
    <row r="4494" customFormat="false" ht="15.7" hidden="false" customHeight="true" outlineLevel="0" collapsed="false">
      <c r="A4494" s="2"/>
      <c r="B4494" s="3" t="n">
        <f aca="false">DATE(2019,9,23)</f>
        <v>0</v>
      </c>
      <c r="C4494" s="3" t="n">
        <v>43731</v>
      </c>
      <c r="D4494" s="2" t="s">
        <v>33566</v>
      </c>
      <c r="F4494" s="2" t="s">
        <v>33567</v>
      </c>
      <c r="G4494" s="2" t="s">
        <v>33568</v>
      </c>
      <c r="H4494" s="2" t="s">
        <v>8207</v>
      </c>
      <c r="I4494" s="2" t="s">
        <v>6772</v>
      </c>
      <c r="J4494" s="2" t="s">
        <v>1413</v>
      </c>
      <c r="K4494" s="2" t="s">
        <v>33566</v>
      </c>
      <c r="L4494" s="2" t="s">
        <v>6772</v>
      </c>
      <c r="M4494" s="2" t="s">
        <v>8207</v>
      </c>
      <c r="N4494" s="2" t="s">
        <v>33569</v>
      </c>
      <c r="O4494" s="2"/>
      <c r="P4494" s="2" t="s">
        <v>37</v>
      </c>
      <c r="Q4494" s="4" t="n">
        <v>4812</v>
      </c>
      <c r="R4494" s="2" t="s">
        <v>2118</v>
      </c>
      <c r="S4494" s="2" t="s">
        <v>39</v>
      </c>
      <c r="T4494" s="2" t="s">
        <v>403</v>
      </c>
      <c r="U4494" s="2" t="s">
        <v>33570</v>
      </c>
      <c r="V4494" s="2"/>
      <c r="W4494" s="2" t="s">
        <v>7275</v>
      </c>
      <c r="X4494" s="2" t="s">
        <v>43</v>
      </c>
      <c r="Y4494" s="2" t="s">
        <v>37</v>
      </c>
      <c r="Z4494" s="2" t="s">
        <v>44</v>
      </c>
      <c r="AA4494" s="2"/>
      <c r="AB4494" s="2"/>
      <c r="AC4494" s="2" t="s">
        <v>33571</v>
      </c>
      <c r="AD4494" s="2" t="s">
        <v>46</v>
      </c>
    </row>
    <row r="4495" customFormat="false" ht="15.7" hidden="false" customHeight="true" outlineLevel="0" collapsed="false">
      <c r="A4495" s="2"/>
      <c r="B4495" s="3" t="n">
        <f aca="false">DATE(2019,9,24)</f>
        <v>0</v>
      </c>
      <c r="C4495" s="3" t="n">
        <v>43732</v>
      </c>
      <c r="D4495" s="2" t="s">
        <v>33572</v>
      </c>
      <c r="F4495" s="2" t="s">
        <v>33573</v>
      </c>
      <c r="G4495" s="2" t="s">
        <v>33574</v>
      </c>
      <c r="H4495" s="2" t="s">
        <v>33575</v>
      </c>
      <c r="I4495" s="2" t="s">
        <v>965</v>
      </c>
      <c r="J4495" s="2" t="s">
        <v>795</v>
      </c>
      <c r="K4495" s="2" t="s">
        <v>33576</v>
      </c>
      <c r="L4495" s="2" t="s">
        <v>965</v>
      </c>
      <c r="M4495" s="2" t="s">
        <v>33577</v>
      </c>
      <c r="N4495" s="2" t="s">
        <v>33578</v>
      </c>
      <c r="O4495" s="2"/>
      <c r="P4495" s="2" t="s">
        <v>37</v>
      </c>
      <c r="Q4495" s="4" t="n">
        <v>7372</v>
      </c>
      <c r="R4495" s="2" t="s">
        <v>568</v>
      </c>
      <c r="S4495" s="2" t="s">
        <v>24876</v>
      </c>
      <c r="T4495" s="2" t="s">
        <v>40</v>
      </c>
      <c r="U4495" s="2" t="s">
        <v>33579</v>
      </c>
      <c r="V4495" s="2"/>
      <c r="W4495" s="2" t="s">
        <v>33580</v>
      </c>
      <c r="X4495" s="2" t="s">
        <v>43</v>
      </c>
      <c r="Y4495" s="2" t="s">
        <v>79</v>
      </c>
      <c r="Z4495" s="2" t="s">
        <v>44</v>
      </c>
      <c r="AA4495" s="2"/>
      <c r="AB4495" s="2"/>
      <c r="AC4495" s="2" t="s">
        <v>33581</v>
      </c>
      <c r="AD4495" s="2" t="s">
        <v>46</v>
      </c>
    </row>
    <row r="4496" customFormat="false" ht="15.7" hidden="false" customHeight="true" outlineLevel="0" collapsed="false">
      <c r="A4496" s="2"/>
      <c r="B4496" s="3" t="n">
        <f aca="false">DATE(2019,9,25)</f>
        <v>0</v>
      </c>
      <c r="C4496" s="3" t="n">
        <v>43733</v>
      </c>
      <c r="D4496" s="2" t="s">
        <v>33582</v>
      </c>
      <c r="F4496" s="2" t="s">
        <v>33583</v>
      </c>
      <c r="G4496" s="2" t="s">
        <v>33584</v>
      </c>
      <c r="H4496" s="2" t="s">
        <v>33585</v>
      </c>
      <c r="I4496" s="2" t="s">
        <v>51</v>
      </c>
      <c r="J4496" s="2" t="s">
        <v>16456</v>
      </c>
      <c r="K4496" s="2" t="s">
        <v>33586</v>
      </c>
      <c r="L4496" s="2" t="s">
        <v>51</v>
      </c>
      <c r="M4496" s="2" t="s">
        <v>33587</v>
      </c>
      <c r="N4496" s="2" t="s">
        <v>33588</v>
      </c>
      <c r="O4496" s="2"/>
      <c r="P4496" s="2" t="s">
        <v>37</v>
      </c>
      <c r="Q4496" s="4" t="n">
        <v>8731</v>
      </c>
      <c r="R4496" s="2"/>
      <c r="S4496" s="2"/>
      <c r="T4496" s="2" t="s">
        <v>40</v>
      </c>
      <c r="U4496" s="2" t="s">
        <v>33589</v>
      </c>
      <c r="V4496" s="2"/>
      <c r="W4496" s="2" t="s">
        <v>138</v>
      </c>
      <c r="X4496" s="2" t="s">
        <v>43</v>
      </c>
      <c r="Y4496" s="2" t="s">
        <v>37</v>
      </c>
      <c r="Z4496" s="2" t="s">
        <v>44</v>
      </c>
      <c r="AA4496" s="2"/>
      <c r="AB4496" s="2"/>
      <c r="AC4496" s="2" t="s">
        <v>33590</v>
      </c>
      <c r="AD4496" s="2" t="s">
        <v>46</v>
      </c>
    </row>
    <row r="4497" customFormat="false" ht="15.7" hidden="false" customHeight="true" outlineLevel="0" collapsed="false">
      <c r="A4497" s="2"/>
      <c r="B4497" s="3" t="n">
        <f aca="false">DATE(2019,9,25)</f>
        <v>0</v>
      </c>
      <c r="C4497" s="3" t="n">
        <v>43733</v>
      </c>
      <c r="D4497" s="2" t="s">
        <v>33591</v>
      </c>
      <c r="F4497" s="2" t="s">
        <v>33592</v>
      </c>
      <c r="G4497" s="2" t="s">
        <v>33593</v>
      </c>
      <c r="H4497" s="2" t="s">
        <v>32539</v>
      </c>
      <c r="I4497" s="2" t="s">
        <v>1080</v>
      </c>
      <c r="J4497" s="2" t="s">
        <v>35</v>
      </c>
      <c r="K4497" s="2" t="s">
        <v>33591</v>
      </c>
      <c r="L4497" s="2" t="s">
        <v>1080</v>
      </c>
      <c r="M4497" s="2" t="s">
        <v>32539</v>
      </c>
      <c r="N4497" s="2" t="s">
        <v>33594</v>
      </c>
      <c r="O4497" s="2"/>
      <c r="P4497" s="2" t="s">
        <v>37</v>
      </c>
      <c r="Q4497" s="4" t="n">
        <v>8731</v>
      </c>
      <c r="R4497" s="2" t="s">
        <v>2201</v>
      </c>
      <c r="S4497" s="2" t="s">
        <v>39</v>
      </c>
      <c r="T4497" s="2" t="s">
        <v>40</v>
      </c>
      <c r="U4497" s="2" t="s">
        <v>33595</v>
      </c>
      <c r="V4497" s="2"/>
      <c r="W4497" s="2" t="s">
        <v>42</v>
      </c>
      <c r="X4497" s="2" t="s">
        <v>43</v>
      </c>
      <c r="Y4497" s="2" t="s">
        <v>37</v>
      </c>
      <c r="Z4497" s="2" t="s">
        <v>44</v>
      </c>
      <c r="AA4497" s="2"/>
      <c r="AB4497" s="2"/>
      <c r="AC4497" s="2" t="s">
        <v>33596</v>
      </c>
      <c r="AD4497" s="2" t="s">
        <v>46</v>
      </c>
    </row>
    <row r="4498" customFormat="false" ht="15.7" hidden="false" customHeight="true" outlineLevel="0" collapsed="false">
      <c r="A4498" s="2"/>
      <c r="B4498" s="3" t="n">
        <f aca="false">DATE(2019,9,25)</f>
        <v>0</v>
      </c>
      <c r="C4498" s="3" t="n">
        <v>43733</v>
      </c>
      <c r="D4498" s="2" t="s">
        <v>33597</v>
      </c>
      <c r="F4498" s="2" t="s">
        <v>33598</v>
      </c>
      <c r="G4498" s="2" t="s">
        <v>33599</v>
      </c>
      <c r="H4498" s="2" t="s">
        <v>21794</v>
      </c>
      <c r="I4498" s="2" t="s">
        <v>7116</v>
      </c>
      <c r="J4498" s="2" t="s">
        <v>625</v>
      </c>
      <c r="K4498" s="2" t="s">
        <v>33597</v>
      </c>
      <c r="L4498" s="2" t="s">
        <v>7116</v>
      </c>
      <c r="M4498" s="2" t="s">
        <v>21794</v>
      </c>
      <c r="N4498" s="2" t="s">
        <v>33600</v>
      </c>
      <c r="O4498" s="2"/>
      <c r="P4498" s="2" t="s">
        <v>37</v>
      </c>
      <c r="Q4498" s="4" t="n">
        <v>8731</v>
      </c>
      <c r="R4498" s="2" t="s">
        <v>56</v>
      </c>
      <c r="S4498" s="2" t="s">
        <v>21398</v>
      </c>
      <c r="T4498" s="2" t="s">
        <v>40</v>
      </c>
      <c r="U4498" s="2" t="s">
        <v>33601</v>
      </c>
      <c r="V4498" s="2"/>
      <c r="W4498" s="2" t="s">
        <v>13889</v>
      </c>
      <c r="X4498" s="2" t="s">
        <v>43</v>
      </c>
      <c r="Y4498" s="2" t="s">
        <v>37</v>
      </c>
      <c r="Z4498" s="2" t="s">
        <v>44</v>
      </c>
      <c r="AA4498" s="2"/>
      <c r="AB4498" s="2"/>
      <c r="AC4498" s="2" t="s">
        <v>33602</v>
      </c>
      <c r="AD4498" s="2" t="s">
        <v>46</v>
      </c>
    </row>
    <row r="4499" customFormat="false" ht="15.7" hidden="false" customHeight="true" outlineLevel="0" collapsed="false">
      <c r="A4499" s="2"/>
      <c r="B4499" s="3" t="n">
        <f aca="false">DATE(2019,9,27)</f>
        <v>0</v>
      </c>
      <c r="C4499" s="3" t="n">
        <v>43735</v>
      </c>
      <c r="D4499" s="2" t="s">
        <v>33603</v>
      </c>
      <c r="F4499" s="2" t="s">
        <v>33604</v>
      </c>
      <c r="G4499" s="2" t="s">
        <v>33605</v>
      </c>
      <c r="H4499" s="2" t="s">
        <v>33606</v>
      </c>
      <c r="I4499" s="2" t="s">
        <v>33607</v>
      </c>
      <c r="J4499" s="2" t="s">
        <v>35</v>
      </c>
      <c r="K4499" s="2" t="s">
        <v>33608</v>
      </c>
      <c r="L4499" s="2" t="s">
        <v>11795</v>
      </c>
      <c r="M4499" s="2" t="s">
        <v>33609</v>
      </c>
      <c r="N4499" s="2" t="s">
        <v>33610</v>
      </c>
      <c r="O4499" s="2"/>
      <c r="P4499" s="2" t="s">
        <v>37</v>
      </c>
      <c r="Q4499" s="4" t="n">
        <v>8731</v>
      </c>
      <c r="R4499" s="2" t="s">
        <v>1208</v>
      </c>
      <c r="S4499" s="2" t="s">
        <v>39</v>
      </c>
      <c r="T4499" s="2" t="s">
        <v>40</v>
      </c>
      <c r="U4499" s="2" t="s">
        <v>33611</v>
      </c>
      <c r="V4499" s="2"/>
      <c r="W4499" s="2" t="s">
        <v>138</v>
      </c>
      <c r="X4499" s="2" t="s">
        <v>46</v>
      </c>
      <c r="Y4499" s="2" t="s">
        <v>37</v>
      </c>
      <c r="Z4499" s="2" t="s">
        <v>44</v>
      </c>
      <c r="AA4499" s="2"/>
      <c r="AB4499" s="2"/>
      <c r="AC4499" s="2" t="s">
        <v>33612</v>
      </c>
      <c r="AD4499" s="2" t="s">
        <v>46</v>
      </c>
    </row>
    <row r="4500" customFormat="false" ht="15.7" hidden="false" customHeight="true" outlineLevel="0" collapsed="false">
      <c r="A4500" s="2"/>
      <c r="B4500" s="3" t="n">
        <f aca="false">DATE(2019,9,27)</f>
        <v>0</v>
      </c>
      <c r="C4500" s="3" t="n">
        <v>43735</v>
      </c>
      <c r="D4500" s="2" t="s">
        <v>33613</v>
      </c>
      <c r="F4500" s="2" t="s">
        <v>33614</v>
      </c>
      <c r="G4500" s="2" t="s">
        <v>33615</v>
      </c>
      <c r="H4500" s="2" t="s">
        <v>1246</v>
      </c>
      <c r="I4500" s="2" t="s">
        <v>15906</v>
      </c>
      <c r="J4500" s="2" t="s">
        <v>35</v>
      </c>
      <c r="K4500" s="2" t="s">
        <v>33613</v>
      </c>
      <c r="L4500" s="2" t="s">
        <v>15906</v>
      </c>
      <c r="M4500" s="2" t="s">
        <v>1246</v>
      </c>
      <c r="N4500" s="2" t="s">
        <v>33616</v>
      </c>
      <c r="O4500" s="2"/>
      <c r="P4500" s="2" t="s">
        <v>37</v>
      </c>
      <c r="Q4500" s="4" t="n">
        <v>721</v>
      </c>
      <c r="R4500" s="2" t="s">
        <v>33617</v>
      </c>
      <c r="S4500" s="2" t="s">
        <v>28563</v>
      </c>
      <c r="T4500" s="2" t="s">
        <v>40</v>
      </c>
      <c r="U4500" s="2" t="s">
        <v>33618</v>
      </c>
      <c r="V4500" s="2"/>
      <c r="W4500" s="2" t="s">
        <v>8529</v>
      </c>
      <c r="X4500" s="2" t="s">
        <v>43</v>
      </c>
      <c r="Y4500" s="2" t="s">
        <v>79</v>
      </c>
      <c r="Z4500" s="2" t="s">
        <v>44</v>
      </c>
      <c r="AA4500" s="2"/>
      <c r="AB4500" s="2"/>
      <c r="AC4500" s="2" t="s">
        <v>33619</v>
      </c>
      <c r="AD4500" s="2" t="s">
        <v>46</v>
      </c>
    </row>
    <row r="4501" customFormat="false" ht="15.7" hidden="false" customHeight="true" outlineLevel="0" collapsed="false">
      <c r="A4501" s="2"/>
      <c r="B4501" s="3" t="n">
        <f aca="false">DATE(2019,9,27)</f>
        <v>0</v>
      </c>
      <c r="C4501" s="3" t="n">
        <v>43735</v>
      </c>
      <c r="D4501" s="2" t="s">
        <v>33620</v>
      </c>
      <c r="F4501" s="2" t="s">
        <v>33621</v>
      </c>
      <c r="G4501" s="2" t="s">
        <v>33622</v>
      </c>
      <c r="H4501" s="2" t="s">
        <v>33623</v>
      </c>
      <c r="I4501" s="2" t="s">
        <v>11415</v>
      </c>
      <c r="J4501" s="2" t="s">
        <v>35</v>
      </c>
      <c r="K4501" s="2" t="s">
        <v>33620</v>
      </c>
      <c r="L4501" s="2" t="s">
        <v>11415</v>
      </c>
      <c r="M4501" s="2" t="s">
        <v>33623</v>
      </c>
      <c r="N4501" s="2" t="s">
        <v>33624</v>
      </c>
      <c r="O4501" s="2"/>
      <c r="P4501" s="2" t="s">
        <v>37</v>
      </c>
      <c r="Q4501" s="4" t="n">
        <v>8099</v>
      </c>
      <c r="R4501" s="2" t="s">
        <v>402</v>
      </c>
      <c r="S4501" s="2" t="s">
        <v>39</v>
      </c>
      <c r="T4501" s="2" t="s">
        <v>403</v>
      </c>
      <c r="U4501" s="2" t="s">
        <v>33625</v>
      </c>
      <c r="V4501" s="2"/>
      <c r="W4501" s="2" t="s">
        <v>4487</v>
      </c>
      <c r="X4501" s="2" t="s">
        <v>46</v>
      </c>
      <c r="Y4501" s="2" t="s">
        <v>37</v>
      </c>
      <c r="Z4501" s="2" t="s">
        <v>44</v>
      </c>
      <c r="AA4501" s="2"/>
      <c r="AB4501" s="2"/>
      <c r="AC4501" s="2" t="s">
        <v>33626</v>
      </c>
      <c r="AD4501" s="2" t="s">
        <v>46</v>
      </c>
    </row>
    <row r="4502" customFormat="false" ht="15.7" hidden="false" customHeight="true" outlineLevel="0" collapsed="false">
      <c r="A4502" s="2"/>
      <c r="B4502" s="3" t="n">
        <f aca="false">DATE(2019,9,28)</f>
        <v>0</v>
      </c>
      <c r="C4502" s="3" t="n">
        <v>43736</v>
      </c>
      <c r="D4502" s="2" t="s">
        <v>33627</v>
      </c>
      <c r="F4502" s="2" t="s">
        <v>33628</v>
      </c>
      <c r="G4502" s="2" t="s">
        <v>33629</v>
      </c>
      <c r="H4502" s="2" t="s">
        <v>33630</v>
      </c>
      <c r="I4502" s="2" t="s">
        <v>51</v>
      </c>
      <c r="J4502" s="2" t="s">
        <v>17577</v>
      </c>
      <c r="K4502" s="2" t="s">
        <v>33631</v>
      </c>
      <c r="L4502" s="2" t="s">
        <v>51</v>
      </c>
      <c r="M4502" s="2" t="s">
        <v>33632</v>
      </c>
      <c r="N4502" s="2" t="s">
        <v>33633</v>
      </c>
      <c r="O4502" s="2"/>
      <c r="P4502" s="2" t="s">
        <v>37</v>
      </c>
      <c r="Q4502" s="4" t="n">
        <v>8099</v>
      </c>
      <c r="R4502" s="2" t="s">
        <v>56</v>
      </c>
      <c r="S4502" s="2" t="s">
        <v>788</v>
      </c>
      <c r="T4502" s="2" t="s">
        <v>40</v>
      </c>
      <c r="U4502" s="2" t="s">
        <v>33634</v>
      </c>
      <c r="V4502" s="2"/>
      <c r="W4502" s="2" t="s">
        <v>4487</v>
      </c>
      <c r="X4502" s="2" t="s">
        <v>43</v>
      </c>
      <c r="Y4502" s="2" t="s">
        <v>37</v>
      </c>
      <c r="Z4502" s="2" t="s">
        <v>44</v>
      </c>
      <c r="AA4502" s="2"/>
      <c r="AB4502" s="2"/>
      <c r="AC4502" s="2" t="s">
        <v>33635</v>
      </c>
      <c r="AD4502" s="2" t="s">
        <v>46</v>
      </c>
    </row>
    <row r="4503" customFormat="false" ht="15.7" hidden="false" customHeight="true" outlineLevel="0" collapsed="false">
      <c r="A4503" s="2"/>
      <c r="B4503" s="3" t="n">
        <f aca="false">DATE(2019,9,30)</f>
        <v>0</v>
      </c>
      <c r="C4503" s="3" t="n">
        <v>43738</v>
      </c>
      <c r="D4503" s="2" t="s">
        <v>33636</v>
      </c>
      <c r="F4503" s="2" t="s">
        <v>33637</v>
      </c>
      <c r="G4503" s="2" t="s">
        <v>33638</v>
      </c>
      <c r="H4503" s="2" t="s">
        <v>4803</v>
      </c>
      <c r="I4503" s="2" t="s">
        <v>51</v>
      </c>
      <c r="J4503" s="2" t="s">
        <v>171</v>
      </c>
      <c r="K4503" s="2" t="s">
        <v>33639</v>
      </c>
      <c r="L4503" s="2" t="s">
        <v>51</v>
      </c>
      <c r="M4503" s="2" t="s">
        <v>33640</v>
      </c>
      <c r="N4503" s="2" t="s">
        <v>33641</v>
      </c>
      <c r="O4503" s="2"/>
      <c r="P4503" s="2" t="s">
        <v>37</v>
      </c>
      <c r="Q4503" s="4" t="n">
        <v>8731</v>
      </c>
      <c r="R4503" s="2" t="s">
        <v>56</v>
      </c>
      <c r="S4503" s="2"/>
      <c r="T4503" s="2" t="s">
        <v>40</v>
      </c>
      <c r="U4503" s="2" t="s">
        <v>33642</v>
      </c>
      <c r="V4503" s="2"/>
      <c r="W4503" s="2" t="s">
        <v>42</v>
      </c>
      <c r="X4503" s="2" t="s">
        <v>43</v>
      </c>
      <c r="Y4503" s="2" t="s">
        <v>37</v>
      </c>
      <c r="Z4503" s="2" t="s">
        <v>44</v>
      </c>
      <c r="AA4503" s="2"/>
      <c r="AB4503" s="2"/>
      <c r="AC4503" s="2" t="s">
        <v>33643</v>
      </c>
      <c r="AD4503" s="2" t="s">
        <v>46</v>
      </c>
    </row>
    <row r="4504" customFormat="false" ht="15.7" hidden="false" customHeight="true" outlineLevel="0" collapsed="false">
      <c r="A4504" s="2"/>
      <c r="B4504" s="3" t="n">
        <f aca="false">DATE(2019,9,30)</f>
        <v>0</v>
      </c>
      <c r="C4504" s="3" t="n">
        <v>43738</v>
      </c>
      <c r="D4504" s="2" t="s">
        <v>33644</v>
      </c>
      <c r="F4504" s="2" t="s">
        <v>33645</v>
      </c>
      <c r="G4504" s="2" t="s">
        <v>33646</v>
      </c>
      <c r="H4504" s="2" t="s">
        <v>7288</v>
      </c>
      <c r="I4504" s="2" t="s">
        <v>31176</v>
      </c>
      <c r="J4504" s="2" t="s">
        <v>35</v>
      </c>
      <c r="K4504" s="2" t="s">
        <v>33644</v>
      </c>
      <c r="L4504" s="2" t="s">
        <v>31176</v>
      </c>
      <c r="M4504" s="2" t="s">
        <v>7288</v>
      </c>
      <c r="N4504" s="2" t="s">
        <v>33647</v>
      </c>
      <c r="O4504" s="2"/>
      <c r="P4504" s="2" t="s">
        <v>37</v>
      </c>
      <c r="Q4504" s="4" t="n">
        <v>8099</v>
      </c>
      <c r="R4504" s="2" t="s">
        <v>38</v>
      </c>
      <c r="S4504" s="2" t="s">
        <v>39</v>
      </c>
      <c r="T4504" s="2" t="s">
        <v>40</v>
      </c>
      <c r="U4504" s="2" t="s">
        <v>33648</v>
      </c>
      <c r="V4504" s="2"/>
      <c r="W4504" s="2" t="s">
        <v>4487</v>
      </c>
      <c r="X4504" s="2" t="s">
        <v>43</v>
      </c>
      <c r="Y4504" s="2" t="s">
        <v>37</v>
      </c>
      <c r="Z4504" s="2" t="s">
        <v>44</v>
      </c>
      <c r="AA4504" s="2"/>
      <c r="AB4504" s="2"/>
      <c r="AC4504" s="2" t="s">
        <v>33649</v>
      </c>
      <c r="AD4504" s="2" t="s">
        <v>46</v>
      </c>
    </row>
    <row r="4505" customFormat="false" ht="15.7" hidden="false" customHeight="true" outlineLevel="0" collapsed="false">
      <c r="A4505" s="2"/>
      <c r="B4505" s="3" t="n">
        <f aca="false">DATE(2019,9,30)</f>
        <v>0</v>
      </c>
      <c r="C4505" s="3" t="n">
        <v>43738</v>
      </c>
      <c r="D4505" s="2" t="s">
        <v>33650</v>
      </c>
      <c r="F4505" s="2" t="s">
        <v>23707</v>
      </c>
      <c r="G4505" s="2" t="s">
        <v>33651</v>
      </c>
      <c r="H4505" s="2" t="s">
        <v>1101</v>
      </c>
      <c r="I4505" s="2" t="s">
        <v>154</v>
      </c>
      <c r="J4505" s="2" t="s">
        <v>65</v>
      </c>
      <c r="K4505" s="2" t="s">
        <v>33652</v>
      </c>
      <c r="L4505" s="2" t="s">
        <v>821</v>
      </c>
      <c r="M4505" s="2" t="s">
        <v>1027</v>
      </c>
      <c r="N4505" s="2" t="s">
        <v>33653</v>
      </c>
      <c r="O4505" s="2"/>
      <c r="P4505" s="2" t="s">
        <v>37</v>
      </c>
      <c r="Q4505" s="4" t="n">
        <v>8099</v>
      </c>
      <c r="R4505" s="2" t="s">
        <v>2508</v>
      </c>
      <c r="S4505" s="2" t="s">
        <v>39</v>
      </c>
      <c r="T4505" s="2" t="s">
        <v>40</v>
      </c>
      <c r="U4505" s="2" t="s">
        <v>33654</v>
      </c>
      <c r="V4505" s="2"/>
      <c r="W4505" s="2" t="s">
        <v>19532</v>
      </c>
      <c r="X4505" s="2" t="s">
        <v>43</v>
      </c>
      <c r="Y4505" s="2" t="s">
        <v>37</v>
      </c>
      <c r="Z4505" s="2" t="s">
        <v>44</v>
      </c>
      <c r="AA4505" s="2"/>
      <c r="AB4505" s="2"/>
      <c r="AC4505" s="2" t="s">
        <v>33655</v>
      </c>
      <c r="AD4505" s="2" t="s">
        <v>46</v>
      </c>
    </row>
    <row r="4506" customFormat="false" ht="15.7" hidden="false" customHeight="true" outlineLevel="0" collapsed="false">
      <c r="A4506" s="2"/>
      <c r="B4506" s="3" t="n">
        <f aca="false">DATE(2019,9,30)</f>
        <v>0</v>
      </c>
      <c r="C4506" s="3" t="n">
        <v>43738</v>
      </c>
      <c r="D4506" s="2" t="s">
        <v>33656</v>
      </c>
      <c r="F4506" s="2" t="s">
        <v>33657</v>
      </c>
      <c r="G4506" s="2" t="s">
        <v>33658</v>
      </c>
      <c r="H4506" s="2" t="s">
        <v>30239</v>
      </c>
      <c r="I4506" s="2" t="s">
        <v>51</v>
      </c>
      <c r="J4506" s="2" t="s">
        <v>6303</v>
      </c>
      <c r="K4506" s="2" t="s">
        <v>33656</v>
      </c>
      <c r="L4506" s="2" t="s">
        <v>51</v>
      </c>
      <c r="M4506" s="2" t="s">
        <v>30239</v>
      </c>
      <c r="N4506" s="2" t="s">
        <v>33659</v>
      </c>
      <c r="O4506" s="2"/>
      <c r="P4506" s="2" t="s">
        <v>37</v>
      </c>
      <c r="Q4506" s="4" t="n">
        <v>8099</v>
      </c>
      <c r="R4506" s="2" t="s">
        <v>56</v>
      </c>
      <c r="S4506" s="2" t="s">
        <v>251</v>
      </c>
      <c r="T4506" s="2" t="s">
        <v>40</v>
      </c>
      <c r="U4506" s="2" t="s">
        <v>33660</v>
      </c>
      <c r="V4506" s="2"/>
      <c r="W4506" s="2" t="s">
        <v>4487</v>
      </c>
      <c r="X4506" s="2" t="s">
        <v>43</v>
      </c>
      <c r="Y4506" s="2" t="s">
        <v>37</v>
      </c>
      <c r="Z4506" s="2" t="s">
        <v>44</v>
      </c>
      <c r="AA4506" s="2"/>
      <c r="AB4506" s="2"/>
      <c r="AC4506" s="2" t="s">
        <v>33661</v>
      </c>
      <c r="AD4506" s="2" t="s">
        <v>46</v>
      </c>
    </row>
    <row r="4507" customFormat="false" ht="15.7" hidden="false" customHeight="true" outlineLevel="0" collapsed="false">
      <c r="A4507" s="2"/>
      <c r="B4507" s="3" t="n">
        <f aca="false">DATE(2019,10,1)</f>
        <v>0</v>
      </c>
      <c r="C4507" s="3" t="n">
        <v>43739</v>
      </c>
      <c r="D4507" s="2" t="s">
        <v>33662</v>
      </c>
      <c r="F4507" s="2" t="s">
        <v>33663</v>
      </c>
      <c r="G4507" s="2" t="s">
        <v>33664</v>
      </c>
      <c r="H4507" s="2" t="s">
        <v>30747</v>
      </c>
      <c r="I4507" s="2" t="s">
        <v>4744</v>
      </c>
      <c r="J4507" s="2" t="s">
        <v>35</v>
      </c>
      <c r="K4507" s="2" t="s">
        <v>33662</v>
      </c>
      <c r="L4507" s="2" t="s">
        <v>4744</v>
      </c>
      <c r="M4507" s="2" t="s">
        <v>30747</v>
      </c>
      <c r="N4507" s="2" t="s">
        <v>33665</v>
      </c>
      <c r="O4507" s="2"/>
      <c r="P4507" s="2" t="s">
        <v>37</v>
      </c>
      <c r="Q4507" s="4" t="n">
        <v>8731</v>
      </c>
      <c r="R4507" s="2" t="s">
        <v>2508</v>
      </c>
      <c r="S4507" s="2" t="s">
        <v>39</v>
      </c>
      <c r="T4507" s="2" t="s">
        <v>40</v>
      </c>
      <c r="U4507" s="2" t="s">
        <v>33666</v>
      </c>
      <c r="V4507" s="2"/>
      <c r="W4507" s="2" t="s">
        <v>42</v>
      </c>
      <c r="X4507" s="2" t="s">
        <v>43</v>
      </c>
      <c r="Y4507" s="2" t="s">
        <v>37</v>
      </c>
      <c r="Z4507" s="2" t="s">
        <v>44</v>
      </c>
      <c r="AA4507" s="2"/>
      <c r="AB4507" s="2"/>
      <c r="AC4507" s="2" t="s">
        <v>33667</v>
      </c>
      <c r="AD4507" s="2" t="s">
        <v>46</v>
      </c>
    </row>
    <row r="4508" customFormat="false" ht="15.7" hidden="false" customHeight="true" outlineLevel="0" collapsed="false">
      <c r="A4508" s="2"/>
      <c r="B4508" s="3" t="n">
        <f aca="false">DATE(2019,10,1)</f>
        <v>0</v>
      </c>
      <c r="C4508" s="3" t="n">
        <v>43739</v>
      </c>
      <c r="D4508" s="2" t="s">
        <v>33668</v>
      </c>
      <c r="F4508" s="2" t="s">
        <v>33669</v>
      </c>
      <c r="G4508" s="2" t="s">
        <v>33670</v>
      </c>
      <c r="H4508" s="2" t="s">
        <v>9122</v>
      </c>
      <c r="I4508" s="2" t="s">
        <v>540</v>
      </c>
      <c r="J4508" s="2" t="s">
        <v>35</v>
      </c>
      <c r="K4508" s="2" t="s">
        <v>33671</v>
      </c>
      <c r="L4508" s="2" t="s">
        <v>487</v>
      </c>
      <c r="M4508" s="2" t="s">
        <v>33672</v>
      </c>
      <c r="N4508" s="2" t="s">
        <v>33673</v>
      </c>
      <c r="O4508" s="2"/>
      <c r="P4508" s="2" t="s">
        <v>37</v>
      </c>
      <c r="Q4508" s="4" t="n">
        <v>8731</v>
      </c>
      <c r="R4508" s="2"/>
      <c r="S4508" s="2"/>
      <c r="T4508" s="2" t="s">
        <v>40</v>
      </c>
      <c r="U4508" s="2" t="s">
        <v>33674</v>
      </c>
      <c r="V4508" s="2"/>
      <c r="W4508" s="2" t="s">
        <v>13622</v>
      </c>
      <c r="X4508" s="2" t="s">
        <v>43</v>
      </c>
      <c r="Y4508" s="2" t="s">
        <v>37</v>
      </c>
      <c r="Z4508" s="2" t="s">
        <v>44</v>
      </c>
      <c r="AA4508" s="2"/>
      <c r="AB4508" s="2"/>
      <c r="AC4508" s="2" t="s">
        <v>33675</v>
      </c>
      <c r="AD4508" s="2" t="s">
        <v>46</v>
      </c>
    </row>
    <row r="4509" customFormat="false" ht="15.7" hidden="false" customHeight="true" outlineLevel="0" collapsed="false">
      <c r="A4509" s="2"/>
      <c r="B4509" s="3" t="n">
        <f aca="false">DATE(2019,10,2)</f>
        <v>0</v>
      </c>
      <c r="C4509" s="3" t="n">
        <v>43740</v>
      </c>
      <c r="D4509" s="2" t="s">
        <v>33676</v>
      </c>
      <c r="F4509" s="2" t="s">
        <v>17957</v>
      </c>
      <c r="G4509" s="2" t="s">
        <v>33677</v>
      </c>
      <c r="H4509" s="2" t="s">
        <v>1020</v>
      </c>
      <c r="I4509" s="2" t="s">
        <v>388</v>
      </c>
      <c r="J4509" s="2" t="s">
        <v>1807</v>
      </c>
      <c r="K4509" s="2" t="s">
        <v>33676</v>
      </c>
      <c r="L4509" s="2" t="s">
        <v>388</v>
      </c>
      <c r="M4509" s="2" t="s">
        <v>1020</v>
      </c>
      <c r="N4509" s="2" t="s">
        <v>33678</v>
      </c>
      <c r="O4509" s="2"/>
      <c r="P4509" s="2" t="s">
        <v>37</v>
      </c>
      <c r="Q4509" s="4" t="n">
        <v>8099</v>
      </c>
      <c r="R4509" s="2" t="s">
        <v>2201</v>
      </c>
      <c r="S4509" s="2" t="s">
        <v>39</v>
      </c>
      <c r="T4509" s="2" t="s">
        <v>40</v>
      </c>
      <c r="U4509" s="2" t="s">
        <v>33679</v>
      </c>
      <c r="V4509" s="2"/>
      <c r="W4509" s="2" t="s">
        <v>4487</v>
      </c>
      <c r="X4509" s="2" t="s">
        <v>43</v>
      </c>
      <c r="Y4509" s="2" t="s">
        <v>37</v>
      </c>
      <c r="Z4509" s="2" t="s">
        <v>44</v>
      </c>
      <c r="AA4509" s="2"/>
      <c r="AB4509" s="2"/>
      <c r="AC4509" s="2" t="s">
        <v>33680</v>
      </c>
      <c r="AD4509" s="2" t="s">
        <v>46</v>
      </c>
    </row>
    <row r="4510" customFormat="false" ht="15.7" hidden="false" customHeight="true" outlineLevel="0" collapsed="false">
      <c r="A4510" s="2"/>
      <c r="B4510" s="3" t="n">
        <f aca="false">DATE(2019,10,2)</f>
        <v>0</v>
      </c>
      <c r="C4510" s="3" t="n">
        <v>43740</v>
      </c>
      <c r="D4510" s="2" t="s">
        <v>33681</v>
      </c>
      <c r="F4510" s="2" t="s">
        <v>21003</v>
      </c>
      <c r="G4510" s="2" t="s">
        <v>33682</v>
      </c>
      <c r="H4510" s="2" t="s">
        <v>1770</v>
      </c>
      <c r="I4510" s="2" t="s">
        <v>7014</v>
      </c>
      <c r="J4510" s="2" t="s">
        <v>35</v>
      </c>
      <c r="K4510" s="2" t="s">
        <v>33681</v>
      </c>
      <c r="L4510" s="2" t="s">
        <v>7014</v>
      </c>
      <c r="M4510" s="2" t="s">
        <v>1770</v>
      </c>
      <c r="N4510" s="2" t="s">
        <v>33683</v>
      </c>
      <c r="O4510" s="2"/>
      <c r="P4510" s="2" t="s">
        <v>37</v>
      </c>
      <c r="Q4510" s="4" t="n">
        <v>8731</v>
      </c>
      <c r="R4510" s="2" t="s">
        <v>1448</v>
      </c>
      <c r="S4510" s="2" t="s">
        <v>39</v>
      </c>
      <c r="T4510" s="2" t="s">
        <v>40</v>
      </c>
      <c r="U4510" s="2" t="s">
        <v>33684</v>
      </c>
      <c r="V4510" s="2"/>
      <c r="W4510" s="2" t="s">
        <v>15545</v>
      </c>
      <c r="X4510" s="2" t="s">
        <v>43</v>
      </c>
      <c r="Y4510" s="2" t="s">
        <v>37</v>
      </c>
      <c r="Z4510" s="2" t="s">
        <v>44</v>
      </c>
      <c r="AA4510" s="2" t="s">
        <v>33685</v>
      </c>
      <c r="AB4510" s="2"/>
      <c r="AC4510" s="2" t="s">
        <v>33686</v>
      </c>
      <c r="AD4510" s="2" t="s">
        <v>46</v>
      </c>
    </row>
    <row r="4511" customFormat="false" ht="15.7" hidden="false" customHeight="true" outlineLevel="0" collapsed="false">
      <c r="A4511" s="2"/>
      <c r="B4511" s="3" t="n">
        <f aca="false">DATE(2019,10,3)</f>
        <v>0</v>
      </c>
      <c r="C4511" s="3" t="n">
        <v>43741</v>
      </c>
      <c r="D4511" s="2" t="s">
        <v>33687</v>
      </c>
      <c r="F4511" s="2" t="s">
        <v>25041</v>
      </c>
      <c r="G4511" s="2" t="s">
        <v>33688</v>
      </c>
      <c r="H4511" s="2" t="s">
        <v>1190</v>
      </c>
      <c r="I4511" s="2" t="s">
        <v>51</v>
      </c>
      <c r="J4511" s="2" t="s">
        <v>2338</v>
      </c>
      <c r="K4511" s="2" t="s">
        <v>33687</v>
      </c>
      <c r="L4511" s="2" t="s">
        <v>51</v>
      </c>
      <c r="M4511" s="2" t="s">
        <v>1190</v>
      </c>
      <c r="N4511" s="2" t="s">
        <v>33689</v>
      </c>
      <c r="O4511" s="2"/>
      <c r="P4511" s="2" t="s">
        <v>37</v>
      </c>
      <c r="Q4511" s="4" t="n">
        <v>8731</v>
      </c>
      <c r="R4511" s="2" t="s">
        <v>56</v>
      </c>
      <c r="S4511" s="2"/>
      <c r="T4511" s="2" t="s">
        <v>40</v>
      </c>
      <c r="U4511" s="2" t="s">
        <v>33690</v>
      </c>
      <c r="V4511" s="2"/>
      <c r="W4511" s="2" t="s">
        <v>344</v>
      </c>
      <c r="X4511" s="2" t="s">
        <v>43</v>
      </c>
      <c r="Y4511" s="2" t="s">
        <v>37</v>
      </c>
      <c r="Z4511" s="2" t="s">
        <v>44</v>
      </c>
      <c r="AA4511" s="2"/>
      <c r="AB4511" s="2"/>
      <c r="AC4511" s="2" t="s">
        <v>33691</v>
      </c>
      <c r="AD4511" s="2" t="s">
        <v>46</v>
      </c>
    </row>
    <row r="4512" customFormat="false" ht="15.7" hidden="false" customHeight="true" outlineLevel="0" collapsed="false">
      <c r="A4512" s="2"/>
      <c r="B4512" s="3" t="n">
        <f aca="false">DATE(2019,10,3)</f>
        <v>0</v>
      </c>
      <c r="C4512" s="3" t="n">
        <v>43741</v>
      </c>
      <c r="D4512" s="2" t="s">
        <v>33692</v>
      </c>
      <c r="F4512" s="2" t="s">
        <v>2716</v>
      </c>
      <c r="G4512" s="2" t="s">
        <v>33693</v>
      </c>
      <c r="H4512" s="2" t="s">
        <v>1027</v>
      </c>
      <c r="I4512" s="2" t="s">
        <v>219</v>
      </c>
      <c r="J4512" s="2" t="s">
        <v>625</v>
      </c>
      <c r="K4512" s="2" t="s">
        <v>33692</v>
      </c>
      <c r="L4512" s="2" t="s">
        <v>219</v>
      </c>
      <c r="M4512" s="2" t="s">
        <v>1027</v>
      </c>
      <c r="N4512" s="2" t="s">
        <v>33694</v>
      </c>
      <c r="O4512" s="2"/>
      <c r="P4512" s="2" t="s">
        <v>37</v>
      </c>
      <c r="Q4512" s="4" t="n">
        <v>8099</v>
      </c>
      <c r="R4512" s="2" t="s">
        <v>136</v>
      </c>
      <c r="S4512" s="2" t="s">
        <v>39</v>
      </c>
      <c r="T4512" s="2" t="s">
        <v>40</v>
      </c>
      <c r="U4512" s="2" t="s">
        <v>33695</v>
      </c>
      <c r="V4512" s="2"/>
      <c r="W4512" s="2" t="s">
        <v>4487</v>
      </c>
      <c r="X4512" s="2" t="s">
        <v>43</v>
      </c>
      <c r="Y4512" s="2" t="s">
        <v>37</v>
      </c>
      <c r="Z4512" s="2" t="s">
        <v>44</v>
      </c>
      <c r="AA4512" s="2"/>
      <c r="AB4512" s="2"/>
      <c r="AC4512" s="2" t="s">
        <v>33696</v>
      </c>
      <c r="AD4512" s="2" t="s">
        <v>46</v>
      </c>
    </row>
    <row r="4513" customFormat="false" ht="15.7" hidden="false" customHeight="true" outlineLevel="0" collapsed="false">
      <c r="A4513" s="2"/>
      <c r="B4513" s="3" t="n">
        <f aca="false">DATE(2019,10,3)</f>
        <v>0</v>
      </c>
      <c r="C4513" s="3" t="n">
        <v>43741</v>
      </c>
      <c r="D4513" s="2" t="s">
        <v>33697</v>
      </c>
      <c r="F4513" s="2" t="s">
        <v>33698</v>
      </c>
      <c r="G4513" s="2" t="s">
        <v>33699</v>
      </c>
      <c r="H4513" s="2" t="s">
        <v>16145</v>
      </c>
      <c r="I4513" s="2" t="s">
        <v>51</v>
      </c>
      <c r="J4513" s="2" t="s">
        <v>2980</v>
      </c>
      <c r="K4513" s="2" t="s">
        <v>33697</v>
      </c>
      <c r="L4513" s="2" t="s">
        <v>51</v>
      </c>
      <c r="M4513" s="2" t="s">
        <v>16145</v>
      </c>
      <c r="N4513" s="2" t="s">
        <v>33700</v>
      </c>
      <c r="O4513" s="2"/>
      <c r="P4513" s="2" t="s">
        <v>37</v>
      </c>
      <c r="Q4513" s="4" t="n">
        <v>8099</v>
      </c>
      <c r="R4513" s="2" t="s">
        <v>56</v>
      </c>
      <c r="S4513" s="2"/>
      <c r="T4513" s="2" t="s">
        <v>40</v>
      </c>
      <c r="U4513" s="2" t="s">
        <v>33701</v>
      </c>
      <c r="V4513" s="2"/>
      <c r="W4513" s="2" t="s">
        <v>18401</v>
      </c>
      <c r="X4513" s="2" t="s">
        <v>43</v>
      </c>
      <c r="Y4513" s="2" t="s">
        <v>37</v>
      </c>
      <c r="Z4513" s="2" t="s">
        <v>44</v>
      </c>
      <c r="AA4513" s="2"/>
      <c r="AB4513" s="2"/>
      <c r="AC4513" s="2" t="s">
        <v>33702</v>
      </c>
      <c r="AD4513" s="2" t="s">
        <v>46</v>
      </c>
    </row>
    <row r="4514" customFormat="false" ht="15.7" hidden="false" customHeight="true" outlineLevel="0" collapsed="false">
      <c r="A4514" s="2"/>
      <c r="B4514" s="3" t="n">
        <f aca="false">DATE(2019,10,3)</f>
        <v>0</v>
      </c>
      <c r="C4514" s="3" t="n">
        <v>43741</v>
      </c>
      <c r="D4514" s="2" t="s">
        <v>33703</v>
      </c>
      <c r="F4514" s="2" t="s">
        <v>33704</v>
      </c>
      <c r="G4514" s="2" t="s">
        <v>33705</v>
      </c>
      <c r="H4514" s="2" t="s">
        <v>33706</v>
      </c>
      <c r="I4514" s="2" t="s">
        <v>51</v>
      </c>
      <c r="J4514" s="2" t="s">
        <v>1697</v>
      </c>
      <c r="K4514" s="2" t="s">
        <v>33707</v>
      </c>
      <c r="L4514" s="2" t="s">
        <v>330</v>
      </c>
      <c r="M4514" s="2" t="s">
        <v>28834</v>
      </c>
      <c r="N4514" s="2" t="s">
        <v>33708</v>
      </c>
      <c r="O4514" s="2"/>
      <c r="P4514" s="2" t="s">
        <v>37</v>
      </c>
      <c r="Q4514" s="4" t="n">
        <v>7374</v>
      </c>
      <c r="R4514" s="2" t="s">
        <v>56</v>
      </c>
      <c r="S4514" s="2" t="s">
        <v>80</v>
      </c>
      <c r="T4514" s="2" t="s">
        <v>403</v>
      </c>
      <c r="U4514" s="2" t="s">
        <v>33709</v>
      </c>
      <c r="V4514" s="2"/>
      <c r="W4514" s="2" t="s">
        <v>33710</v>
      </c>
      <c r="X4514" s="2" t="s">
        <v>43</v>
      </c>
      <c r="Y4514" s="2" t="s">
        <v>37</v>
      </c>
      <c r="Z4514" s="2" t="s">
        <v>44</v>
      </c>
      <c r="AA4514" s="2"/>
      <c r="AB4514" s="2"/>
      <c r="AC4514" s="2" t="s">
        <v>33711</v>
      </c>
      <c r="AD4514" s="2" t="s">
        <v>46</v>
      </c>
    </row>
    <row r="4515" customFormat="false" ht="15.7" hidden="false" customHeight="true" outlineLevel="0" collapsed="false">
      <c r="A4515" s="2"/>
      <c r="B4515" s="3" t="n">
        <f aca="false">DATE(2019,10,3)</f>
        <v>0</v>
      </c>
      <c r="C4515" s="3" t="n">
        <v>43741</v>
      </c>
      <c r="D4515" s="2" t="s">
        <v>33712</v>
      </c>
      <c r="F4515" s="2" t="s">
        <v>33713</v>
      </c>
      <c r="G4515" s="2" t="s">
        <v>33714</v>
      </c>
      <c r="H4515" s="2" t="s">
        <v>33715</v>
      </c>
      <c r="I4515" s="2" t="s">
        <v>5161</v>
      </c>
      <c r="J4515" s="2" t="s">
        <v>35</v>
      </c>
      <c r="K4515" s="2" t="s">
        <v>33716</v>
      </c>
      <c r="L4515" s="2" t="s">
        <v>18530</v>
      </c>
      <c r="M4515" s="2" t="s">
        <v>33715</v>
      </c>
      <c r="N4515" s="2" t="s">
        <v>33717</v>
      </c>
      <c r="O4515" s="2"/>
      <c r="P4515" s="2" t="s">
        <v>37</v>
      </c>
      <c r="Q4515" s="4" t="n">
        <v>8731</v>
      </c>
      <c r="R4515" s="2" t="s">
        <v>1208</v>
      </c>
      <c r="S4515" s="2" t="s">
        <v>39</v>
      </c>
      <c r="T4515" s="2" t="s">
        <v>403</v>
      </c>
      <c r="U4515" s="2" t="s">
        <v>33718</v>
      </c>
      <c r="V4515" s="2"/>
      <c r="W4515" s="2" t="s">
        <v>19145</v>
      </c>
      <c r="X4515" s="2" t="s">
        <v>46</v>
      </c>
      <c r="Y4515" s="2" t="s">
        <v>37</v>
      </c>
      <c r="Z4515" s="2" t="s">
        <v>44</v>
      </c>
      <c r="AA4515" s="2"/>
      <c r="AB4515" s="2"/>
      <c r="AC4515" s="2" t="s">
        <v>33719</v>
      </c>
      <c r="AD4515" s="2" t="s">
        <v>46</v>
      </c>
    </row>
    <row r="4516" customFormat="false" ht="15.7" hidden="false" customHeight="true" outlineLevel="0" collapsed="false">
      <c r="A4516" s="2"/>
      <c r="B4516" s="3" t="n">
        <f aca="false">DATE(2019,10,4)</f>
        <v>0</v>
      </c>
      <c r="C4516" s="3" t="n">
        <v>43742</v>
      </c>
      <c r="D4516" s="2" t="s">
        <v>33720</v>
      </c>
      <c r="F4516" s="2" t="s">
        <v>33721</v>
      </c>
      <c r="G4516" s="2" t="s">
        <v>33722</v>
      </c>
      <c r="H4516" s="2" t="s">
        <v>33723</v>
      </c>
      <c r="I4516" s="2" t="s">
        <v>1973</v>
      </c>
      <c r="J4516" s="2" t="s">
        <v>35</v>
      </c>
      <c r="K4516" s="2" t="s">
        <v>33720</v>
      </c>
      <c r="L4516" s="2" t="s">
        <v>1973</v>
      </c>
      <c r="M4516" s="2" t="s">
        <v>33723</v>
      </c>
      <c r="N4516" s="2" t="s">
        <v>33724</v>
      </c>
      <c r="O4516" s="2"/>
      <c r="P4516" s="2" t="s">
        <v>37</v>
      </c>
      <c r="Q4516" s="4" t="n">
        <v>8731</v>
      </c>
      <c r="R4516" s="2" t="s">
        <v>1402</v>
      </c>
      <c r="S4516" s="2" t="s">
        <v>39</v>
      </c>
      <c r="T4516" s="2" t="s">
        <v>403</v>
      </c>
      <c r="U4516" s="2" t="s">
        <v>33725</v>
      </c>
      <c r="V4516" s="2"/>
      <c r="W4516" s="2" t="s">
        <v>11084</v>
      </c>
      <c r="X4516" s="2" t="s">
        <v>46</v>
      </c>
      <c r="Y4516" s="2" t="s">
        <v>37</v>
      </c>
      <c r="Z4516" s="2" t="s">
        <v>44</v>
      </c>
      <c r="AA4516" s="2"/>
      <c r="AB4516" s="2"/>
      <c r="AC4516" s="2" t="s">
        <v>33726</v>
      </c>
      <c r="AD4516" s="2" t="s">
        <v>46</v>
      </c>
    </row>
    <row r="4517" customFormat="false" ht="15.7" hidden="false" customHeight="true" outlineLevel="0" collapsed="false">
      <c r="A4517" s="2"/>
      <c r="B4517" s="3" t="n">
        <f aca="false">DATE(2019,10,4)</f>
        <v>0</v>
      </c>
      <c r="C4517" s="3" t="n">
        <v>43742</v>
      </c>
      <c r="D4517" s="2" t="s">
        <v>33727</v>
      </c>
      <c r="F4517" s="2" t="s">
        <v>33728</v>
      </c>
      <c r="G4517" s="2" t="s">
        <v>33729</v>
      </c>
      <c r="H4517" s="2" t="s">
        <v>20782</v>
      </c>
      <c r="I4517" s="2" t="s">
        <v>34</v>
      </c>
      <c r="J4517" s="2" t="s">
        <v>35</v>
      </c>
      <c r="K4517" s="2" t="s">
        <v>33727</v>
      </c>
      <c r="L4517" s="2" t="s">
        <v>34</v>
      </c>
      <c r="M4517" s="2" t="s">
        <v>20782</v>
      </c>
      <c r="N4517" s="2" t="s">
        <v>33730</v>
      </c>
      <c r="O4517" s="2" t="s">
        <v>33731</v>
      </c>
      <c r="P4517" s="2" t="s">
        <v>37</v>
      </c>
      <c r="Q4517" s="4" t="n">
        <v>8099</v>
      </c>
      <c r="R4517" s="2" t="s">
        <v>38</v>
      </c>
      <c r="S4517" s="2" t="s">
        <v>39</v>
      </c>
      <c r="T4517" s="2" t="s">
        <v>40</v>
      </c>
      <c r="U4517" s="2" t="s">
        <v>33732</v>
      </c>
      <c r="V4517" s="2"/>
      <c r="W4517" s="2" t="s">
        <v>4487</v>
      </c>
      <c r="X4517" s="2" t="s">
        <v>46</v>
      </c>
      <c r="Y4517" s="2" t="s">
        <v>37</v>
      </c>
      <c r="Z4517" s="2" t="s">
        <v>18992</v>
      </c>
      <c r="AA4517" s="2" t="s">
        <v>33733</v>
      </c>
      <c r="AB4517" s="2" t="s">
        <v>33734</v>
      </c>
      <c r="AC4517" s="2" t="s">
        <v>33735</v>
      </c>
      <c r="AD4517" s="2" t="s">
        <v>46</v>
      </c>
    </row>
    <row r="4518" customFormat="false" ht="15.7" hidden="false" customHeight="true" outlineLevel="0" collapsed="false">
      <c r="A4518" s="2"/>
      <c r="B4518" s="3" t="n">
        <f aca="false">DATE(2019,10,4)</f>
        <v>0</v>
      </c>
      <c r="C4518" s="3" t="n">
        <v>43742</v>
      </c>
      <c r="D4518" s="2" t="s">
        <v>33736</v>
      </c>
      <c r="F4518" s="2" t="s">
        <v>33737</v>
      </c>
      <c r="G4518" s="2" t="s">
        <v>33738</v>
      </c>
      <c r="H4518" s="2" t="s">
        <v>33739</v>
      </c>
      <c r="I4518" s="2" t="s">
        <v>33740</v>
      </c>
      <c r="J4518" s="2" t="s">
        <v>35</v>
      </c>
      <c r="K4518" s="2" t="s">
        <v>33736</v>
      </c>
      <c r="L4518" s="2" t="s">
        <v>33740</v>
      </c>
      <c r="M4518" s="2" t="s">
        <v>33739</v>
      </c>
      <c r="N4518" s="2" t="s">
        <v>33741</v>
      </c>
      <c r="O4518" s="2"/>
      <c r="P4518" s="2" t="s">
        <v>37</v>
      </c>
      <c r="Q4518" s="4" t="n">
        <v>8099</v>
      </c>
      <c r="R4518" s="2" t="s">
        <v>8239</v>
      </c>
      <c r="S4518" s="2" t="s">
        <v>39</v>
      </c>
      <c r="T4518" s="2" t="s">
        <v>40</v>
      </c>
      <c r="U4518" s="2" t="s">
        <v>33742</v>
      </c>
      <c r="V4518" s="2"/>
      <c r="W4518" s="2" t="s">
        <v>4487</v>
      </c>
      <c r="X4518" s="2" t="s">
        <v>43</v>
      </c>
      <c r="Y4518" s="2" t="s">
        <v>37</v>
      </c>
      <c r="Z4518" s="2" t="s">
        <v>44</v>
      </c>
      <c r="AA4518" s="2"/>
      <c r="AB4518" s="2"/>
      <c r="AC4518" s="2" t="s">
        <v>33743</v>
      </c>
      <c r="AD4518" s="2" t="s">
        <v>46</v>
      </c>
    </row>
    <row r="4519" customFormat="false" ht="15.7" hidden="false" customHeight="true" outlineLevel="0" collapsed="false">
      <c r="A4519" s="2"/>
      <c r="B4519" s="3" t="n">
        <f aca="false">DATE(2019,10,4)</f>
        <v>0</v>
      </c>
      <c r="C4519" s="3" t="n">
        <v>43742</v>
      </c>
      <c r="D4519" s="2" t="s">
        <v>33744</v>
      </c>
      <c r="F4519" s="2" t="s">
        <v>33745</v>
      </c>
      <c r="G4519" s="2" t="s">
        <v>33746</v>
      </c>
      <c r="H4519" s="2" t="s">
        <v>33747</v>
      </c>
      <c r="I4519" s="2" t="s">
        <v>4744</v>
      </c>
      <c r="J4519" s="2" t="s">
        <v>35</v>
      </c>
      <c r="K4519" s="2" t="s">
        <v>33748</v>
      </c>
      <c r="L4519" s="2" t="s">
        <v>1108</v>
      </c>
      <c r="M4519" s="2" t="s">
        <v>33749</v>
      </c>
      <c r="N4519" s="2" t="s">
        <v>33750</v>
      </c>
      <c r="O4519" s="2" t="s">
        <v>33751</v>
      </c>
      <c r="P4519" s="2" t="s">
        <v>37</v>
      </c>
      <c r="Q4519" s="2" t="s">
        <v>33752</v>
      </c>
      <c r="R4519" s="2" t="s">
        <v>2508</v>
      </c>
      <c r="S4519" s="2" t="s">
        <v>39</v>
      </c>
      <c r="T4519" s="2" t="s">
        <v>40</v>
      </c>
      <c r="U4519" s="2" t="s">
        <v>33753</v>
      </c>
      <c r="V4519" s="2"/>
      <c r="W4519" s="2" t="s">
        <v>697</v>
      </c>
      <c r="X4519" s="2" t="s">
        <v>46</v>
      </c>
      <c r="Y4519" s="2" t="s">
        <v>37</v>
      </c>
      <c r="Z4519" s="2" t="s">
        <v>44</v>
      </c>
      <c r="AA4519" s="2"/>
      <c r="AB4519" s="2" t="s">
        <v>33754</v>
      </c>
      <c r="AC4519" s="2" t="s">
        <v>33755</v>
      </c>
      <c r="AD4519" s="2" t="s">
        <v>46</v>
      </c>
    </row>
    <row r="4520" customFormat="false" ht="15.7" hidden="false" customHeight="true" outlineLevel="0" collapsed="false">
      <c r="A4520" s="2"/>
      <c r="B4520" s="3" t="n">
        <f aca="false">DATE(2019,10,4)</f>
        <v>0</v>
      </c>
      <c r="C4520" s="3" t="n">
        <v>43742</v>
      </c>
      <c r="D4520" s="2" t="s">
        <v>33756</v>
      </c>
      <c r="F4520" s="2" t="s">
        <v>33757</v>
      </c>
      <c r="G4520" s="2" t="s">
        <v>33758</v>
      </c>
      <c r="H4520" s="2" t="s">
        <v>33759</v>
      </c>
      <c r="I4520" s="2" t="s">
        <v>33760</v>
      </c>
      <c r="J4520" s="2" t="s">
        <v>116</v>
      </c>
      <c r="K4520" s="2" t="s">
        <v>33756</v>
      </c>
      <c r="L4520" s="2" t="s">
        <v>33760</v>
      </c>
      <c r="M4520" s="2" t="s">
        <v>33759</v>
      </c>
      <c r="N4520" s="2" t="s">
        <v>33761</v>
      </c>
      <c r="O4520" s="2"/>
      <c r="P4520" s="2" t="s">
        <v>37</v>
      </c>
      <c r="Q4520" s="4" t="n">
        <v>8731</v>
      </c>
      <c r="R4520" s="2" t="s">
        <v>105</v>
      </c>
      <c r="S4520" s="2" t="s">
        <v>39</v>
      </c>
      <c r="T4520" s="2" t="s">
        <v>40</v>
      </c>
      <c r="U4520" s="2" t="s">
        <v>33762</v>
      </c>
      <c r="V4520" s="2"/>
      <c r="W4520" s="2" t="s">
        <v>344</v>
      </c>
      <c r="X4520" s="2" t="s">
        <v>46</v>
      </c>
      <c r="Y4520" s="2" t="s">
        <v>37</v>
      </c>
      <c r="Z4520" s="2" t="s">
        <v>916</v>
      </c>
      <c r="AA4520" s="2"/>
      <c r="AB4520" s="2"/>
      <c r="AC4520" s="2" t="s">
        <v>33763</v>
      </c>
      <c r="AD4520" s="2" t="s">
        <v>46</v>
      </c>
    </row>
    <row r="4521" customFormat="false" ht="15.7" hidden="false" customHeight="true" outlineLevel="0" collapsed="false">
      <c r="A4521" s="2"/>
      <c r="B4521" s="3" t="n">
        <f aca="false">DATE(2019,10,6)</f>
        <v>0</v>
      </c>
      <c r="C4521" s="3" t="n">
        <v>43744</v>
      </c>
      <c r="D4521" s="2" t="s">
        <v>33764</v>
      </c>
      <c r="F4521" s="2" t="s">
        <v>33765</v>
      </c>
      <c r="G4521" s="2" t="s">
        <v>33766</v>
      </c>
      <c r="H4521" s="2" t="s">
        <v>33767</v>
      </c>
      <c r="I4521" s="2" t="s">
        <v>17785</v>
      </c>
      <c r="J4521" s="2" t="s">
        <v>35</v>
      </c>
      <c r="K4521" s="2" t="s">
        <v>33768</v>
      </c>
      <c r="L4521" s="2" t="s">
        <v>17785</v>
      </c>
      <c r="M4521" s="2" t="s">
        <v>33769</v>
      </c>
      <c r="N4521" s="2" t="s">
        <v>33770</v>
      </c>
      <c r="O4521" s="2"/>
      <c r="P4521" s="2" t="s">
        <v>37</v>
      </c>
      <c r="Q4521" s="4" t="n">
        <v>8731</v>
      </c>
      <c r="R4521" s="2" t="s">
        <v>1208</v>
      </c>
      <c r="S4521" s="2" t="s">
        <v>39</v>
      </c>
      <c r="T4521" s="2" t="s">
        <v>40</v>
      </c>
      <c r="U4521" s="2" t="s">
        <v>33771</v>
      </c>
      <c r="V4521" s="2"/>
      <c r="W4521" s="2" t="s">
        <v>42</v>
      </c>
      <c r="X4521" s="2" t="s">
        <v>43</v>
      </c>
      <c r="Y4521" s="2" t="s">
        <v>37</v>
      </c>
      <c r="Z4521" s="2" t="s">
        <v>44</v>
      </c>
      <c r="AA4521" s="2"/>
      <c r="AB4521" s="2"/>
      <c r="AC4521" s="2" t="s">
        <v>33772</v>
      </c>
      <c r="AD4521" s="2" t="s">
        <v>46</v>
      </c>
    </row>
    <row r="4522" customFormat="false" ht="15.7" hidden="false" customHeight="true" outlineLevel="0" collapsed="false">
      <c r="A4522" s="2"/>
      <c r="B4522" s="3" t="n">
        <f aca="false">DATE(2019,10,7)</f>
        <v>0</v>
      </c>
      <c r="C4522" s="3" t="n">
        <v>43745</v>
      </c>
      <c r="D4522" s="2" t="s">
        <v>33773</v>
      </c>
      <c r="F4522" s="2" t="s">
        <v>33774</v>
      </c>
      <c r="G4522" s="2" t="s">
        <v>33775</v>
      </c>
      <c r="H4522" s="2" t="s">
        <v>30703</v>
      </c>
      <c r="I4522" s="2" t="s">
        <v>1431</v>
      </c>
      <c r="J4522" s="2" t="s">
        <v>220</v>
      </c>
      <c r="K4522" s="2" t="s">
        <v>33773</v>
      </c>
      <c r="L4522" s="2" t="s">
        <v>1431</v>
      </c>
      <c r="M4522" s="2" t="s">
        <v>30703</v>
      </c>
      <c r="N4522" s="2" t="s">
        <v>33776</v>
      </c>
      <c r="O4522" s="2"/>
      <c r="P4522" s="2" t="s">
        <v>37</v>
      </c>
      <c r="Q4522" s="4" t="n">
        <v>8731</v>
      </c>
      <c r="R4522" s="2" t="s">
        <v>56</v>
      </c>
      <c r="S4522" s="2"/>
      <c r="T4522" s="2" t="s">
        <v>40</v>
      </c>
      <c r="U4522" s="2" t="s">
        <v>33777</v>
      </c>
      <c r="V4522" s="2"/>
      <c r="W4522" s="2" t="s">
        <v>18171</v>
      </c>
      <c r="X4522" s="2" t="s">
        <v>43</v>
      </c>
      <c r="Y4522" s="2" t="s">
        <v>37</v>
      </c>
      <c r="Z4522" s="2" t="s">
        <v>44</v>
      </c>
      <c r="AA4522" s="2"/>
      <c r="AB4522" s="2"/>
      <c r="AC4522" s="2" t="s">
        <v>33778</v>
      </c>
      <c r="AD4522" s="2" t="s">
        <v>46</v>
      </c>
    </row>
    <row r="4523" customFormat="false" ht="15.7" hidden="false" customHeight="true" outlineLevel="0" collapsed="false">
      <c r="A4523" s="2"/>
      <c r="B4523" s="3" t="n">
        <f aca="false">DATE(2019,10,7)</f>
        <v>0</v>
      </c>
      <c r="C4523" s="3" t="n">
        <v>43745</v>
      </c>
      <c r="D4523" s="2" t="s">
        <v>33779</v>
      </c>
      <c r="F4523" s="2" t="s">
        <v>33780</v>
      </c>
      <c r="G4523" s="2" t="s">
        <v>33781</v>
      </c>
      <c r="H4523" s="2" t="s">
        <v>33782</v>
      </c>
      <c r="I4523" s="2" t="s">
        <v>530</v>
      </c>
      <c r="J4523" s="2" t="s">
        <v>35</v>
      </c>
      <c r="K4523" s="2" t="s">
        <v>33779</v>
      </c>
      <c r="L4523" s="2" t="s">
        <v>530</v>
      </c>
      <c r="M4523" s="2" t="s">
        <v>33782</v>
      </c>
      <c r="N4523" s="2" t="s">
        <v>33783</v>
      </c>
      <c r="O4523" s="2"/>
      <c r="P4523" s="2" t="s">
        <v>37</v>
      </c>
      <c r="Q4523" s="4" t="n">
        <v>8731</v>
      </c>
      <c r="R4523" s="2" t="s">
        <v>2201</v>
      </c>
      <c r="S4523" s="2" t="s">
        <v>39</v>
      </c>
      <c r="T4523" s="2" t="s">
        <v>40</v>
      </c>
      <c r="U4523" s="2" t="s">
        <v>33784</v>
      </c>
      <c r="V4523" s="2"/>
      <c r="W4523" s="2" t="s">
        <v>3130</v>
      </c>
      <c r="X4523" s="2" t="s">
        <v>43</v>
      </c>
      <c r="Y4523" s="2" t="s">
        <v>37</v>
      </c>
      <c r="Z4523" s="2" t="s">
        <v>44</v>
      </c>
      <c r="AA4523" s="2"/>
      <c r="AB4523" s="2"/>
      <c r="AC4523" s="2" t="s">
        <v>33785</v>
      </c>
      <c r="AD4523" s="2" t="s">
        <v>46</v>
      </c>
    </row>
    <row r="4524" customFormat="false" ht="15.7" hidden="false" customHeight="true" outlineLevel="0" collapsed="false">
      <c r="A4524" s="2"/>
      <c r="B4524" s="3" t="n">
        <f aca="false">DATE(2019,10,7)</f>
        <v>0</v>
      </c>
      <c r="C4524" s="3" t="n">
        <v>43745</v>
      </c>
      <c r="D4524" s="2" t="s">
        <v>33786</v>
      </c>
      <c r="F4524" s="2" t="s">
        <v>33787</v>
      </c>
      <c r="G4524" s="2" t="s">
        <v>33788</v>
      </c>
      <c r="H4524" s="2" t="s">
        <v>63</v>
      </c>
      <c r="I4524" s="2" t="s">
        <v>51</v>
      </c>
      <c r="J4524" s="2" t="s">
        <v>77</v>
      </c>
      <c r="K4524" s="2" t="s">
        <v>33789</v>
      </c>
      <c r="L4524" s="2" t="s">
        <v>51</v>
      </c>
      <c r="M4524" s="2" t="s">
        <v>130</v>
      </c>
      <c r="N4524" s="2" t="s">
        <v>33790</v>
      </c>
      <c r="O4524" s="2"/>
      <c r="P4524" s="2" t="s">
        <v>37</v>
      </c>
      <c r="Q4524" s="4" t="n">
        <v>6794</v>
      </c>
      <c r="R4524" s="2" t="s">
        <v>56</v>
      </c>
      <c r="S4524" s="2" t="s">
        <v>80</v>
      </c>
      <c r="T4524" s="2" t="s">
        <v>122</v>
      </c>
      <c r="U4524" s="2" t="s">
        <v>33791</v>
      </c>
      <c r="V4524" s="2"/>
      <c r="W4524" s="2" t="s">
        <v>20757</v>
      </c>
      <c r="X4524" s="2" t="s">
        <v>43</v>
      </c>
      <c r="Y4524" s="2" t="s">
        <v>37</v>
      </c>
      <c r="Z4524" s="2" t="s">
        <v>44</v>
      </c>
      <c r="AA4524" s="2"/>
      <c r="AB4524" s="2"/>
      <c r="AC4524" s="2" t="s">
        <v>33792</v>
      </c>
      <c r="AD4524" s="2" t="s">
        <v>46</v>
      </c>
    </row>
    <row r="4525" customFormat="false" ht="15.7" hidden="false" customHeight="true" outlineLevel="0" collapsed="false">
      <c r="A4525" s="2"/>
      <c r="B4525" s="3" t="n">
        <f aca="false">DATE(2019,10,8)</f>
        <v>0</v>
      </c>
      <c r="C4525" s="3" t="n">
        <v>43746</v>
      </c>
      <c r="D4525" s="2" t="s">
        <v>33793</v>
      </c>
      <c r="F4525" s="2" t="s">
        <v>14130</v>
      </c>
      <c r="G4525" s="2" t="s">
        <v>33794</v>
      </c>
      <c r="H4525" s="2" t="s">
        <v>170</v>
      </c>
      <c r="I4525" s="2" t="s">
        <v>4325</v>
      </c>
      <c r="J4525" s="2" t="s">
        <v>35</v>
      </c>
      <c r="K4525" s="2" t="s">
        <v>33793</v>
      </c>
      <c r="L4525" s="2" t="s">
        <v>4325</v>
      </c>
      <c r="M4525" s="2" t="s">
        <v>170</v>
      </c>
      <c r="N4525" s="2" t="s">
        <v>33795</v>
      </c>
      <c r="O4525" s="2"/>
      <c r="P4525" s="2" t="s">
        <v>37</v>
      </c>
      <c r="Q4525" s="4" t="n">
        <v>8731</v>
      </c>
      <c r="R4525" s="2" t="s">
        <v>402</v>
      </c>
      <c r="S4525" s="2" t="s">
        <v>39</v>
      </c>
      <c r="T4525" s="2" t="s">
        <v>40</v>
      </c>
      <c r="U4525" s="2" t="s">
        <v>33796</v>
      </c>
      <c r="V4525" s="2"/>
      <c r="W4525" s="2" t="s">
        <v>344</v>
      </c>
      <c r="X4525" s="2" t="s">
        <v>43</v>
      </c>
      <c r="Y4525" s="2" t="s">
        <v>37</v>
      </c>
      <c r="Z4525" s="2" t="s">
        <v>44</v>
      </c>
      <c r="AA4525" s="2"/>
      <c r="AB4525" s="2"/>
      <c r="AC4525" s="2" t="s">
        <v>33797</v>
      </c>
      <c r="AD4525" s="2" t="s">
        <v>46</v>
      </c>
    </row>
    <row r="4526" customFormat="false" ht="15.7" hidden="false" customHeight="true" outlineLevel="0" collapsed="false">
      <c r="A4526" s="2"/>
      <c r="B4526" s="3" t="n">
        <f aca="false">DATE(2019,10,8)</f>
        <v>0</v>
      </c>
      <c r="C4526" s="3" t="n">
        <v>43746</v>
      </c>
      <c r="D4526" s="2" t="s">
        <v>33798</v>
      </c>
      <c r="F4526" s="2" t="s">
        <v>33799</v>
      </c>
      <c r="G4526" s="2" t="s">
        <v>33800</v>
      </c>
      <c r="H4526" s="2" t="s">
        <v>33801</v>
      </c>
      <c r="I4526" s="2" t="s">
        <v>51</v>
      </c>
      <c r="J4526" s="2" t="s">
        <v>171</v>
      </c>
      <c r="K4526" s="2" t="s">
        <v>33802</v>
      </c>
      <c r="L4526" s="2" t="s">
        <v>1544</v>
      </c>
      <c r="M4526" s="2" t="s">
        <v>25870</v>
      </c>
      <c r="N4526" s="2" t="s">
        <v>33803</v>
      </c>
      <c r="O4526" s="2"/>
      <c r="P4526" s="2" t="s">
        <v>37</v>
      </c>
      <c r="Q4526" s="4" t="n">
        <v>7538</v>
      </c>
      <c r="R4526" s="2" t="s">
        <v>56</v>
      </c>
      <c r="S4526" s="2"/>
      <c r="T4526" s="2" t="s">
        <v>40</v>
      </c>
      <c r="U4526" s="2" t="s">
        <v>33804</v>
      </c>
      <c r="V4526" s="2"/>
      <c r="W4526" s="2" t="s">
        <v>11301</v>
      </c>
      <c r="X4526" s="2" t="s">
        <v>43</v>
      </c>
      <c r="Y4526" s="2" t="s">
        <v>37</v>
      </c>
      <c r="Z4526" s="2" t="s">
        <v>44</v>
      </c>
      <c r="AA4526" s="2"/>
      <c r="AB4526" s="2"/>
      <c r="AC4526" s="2" t="s">
        <v>33805</v>
      </c>
      <c r="AD4526" s="2" t="s">
        <v>46</v>
      </c>
    </row>
    <row r="4527" customFormat="false" ht="15.7" hidden="false" customHeight="true" outlineLevel="0" collapsed="false">
      <c r="A4527" s="2"/>
      <c r="B4527" s="3" t="n">
        <f aca="false">DATE(2019,10,8)</f>
        <v>0</v>
      </c>
      <c r="C4527" s="3" t="n">
        <v>43746</v>
      </c>
      <c r="D4527" s="2" t="s">
        <v>33806</v>
      </c>
      <c r="F4527" s="2" t="s">
        <v>33807</v>
      </c>
      <c r="G4527" s="2" t="s">
        <v>33808</v>
      </c>
      <c r="H4527" s="2" t="s">
        <v>33809</v>
      </c>
      <c r="I4527" s="2" t="s">
        <v>51</v>
      </c>
      <c r="J4527" s="2" t="s">
        <v>33810</v>
      </c>
      <c r="K4527" s="2" t="s">
        <v>33806</v>
      </c>
      <c r="L4527" s="2" t="s">
        <v>51</v>
      </c>
      <c r="M4527" s="2" t="s">
        <v>33809</v>
      </c>
      <c r="N4527" s="2" t="s">
        <v>33811</v>
      </c>
      <c r="O4527" s="2"/>
      <c r="P4527" s="2" t="s">
        <v>37</v>
      </c>
      <c r="Q4527" s="4" t="n">
        <v>8731</v>
      </c>
      <c r="R4527" s="2" t="s">
        <v>56</v>
      </c>
      <c r="S4527" s="2"/>
      <c r="T4527" s="2" t="s">
        <v>40</v>
      </c>
      <c r="U4527" s="2" t="s">
        <v>33812</v>
      </c>
      <c r="V4527" s="2"/>
      <c r="W4527" s="2" t="s">
        <v>42</v>
      </c>
      <c r="X4527" s="2" t="s">
        <v>43</v>
      </c>
      <c r="Y4527" s="2" t="s">
        <v>37</v>
      </c>
      <c r="Z4527" s="2" t="s">
        <v>44</v>
      </c>
      <c r="AA4527" s="2"/>
      <c r="AB4527" s="2"/>
      <c r="AC4527" s="2" t="s">
        <v>33813</v>
      </c>
      <c r="AD4527" s="2" t="s">
        <v>46</v>
      </c>
    </row>
    <row r="4528" customFormat="false" ht="15.7" hidden="false" customHeight="true" outlineLevel="0" collapsed="false">
      <c r="A4528" s="2"/>
      <c r="B4528" s="3" t="n">
        <f aca="false">DATE(2019,10,9)</f>
        <v>0</v>
      </c>
      <c r="C4528" s="3" t="n">
        <v>43747</v>
      </c>
      <c r="D4528" s="2" t="s">
        <v>33814</v>
      </c>
      <c r="F4528" s="2" t="s">
        <v>33815</v>
      </c>
      <c r="G4528" s="2" t="s">
        <v>33816</v>
      </c>
      <c r="H4528" s="2" t="s">
        <v>33817</v>
      </c>
      <c r="I4528" s="2" t="s">
        <v>1080</v>
      </c>
      <c r="J4528" s="2" t="s">
        <v>35</v>
      </c>
      <c r="K4528" s="2" t="s">
        <v>33814</v>
      </c>
      <c r="L4528" s="2" t="s">
        <v>1080</v>
      </c>
      <c r="M4528" s="2" t="s">
        <v>33817</v>
      </c>
      <c r="N4528" s="2" t="s">
        <v>33818</v>
      </c>
      <c r="O4528" s="2"/>
      <c r="P4528" s="2" t="s">
        <v>37</v>
      </c>
      <c r="Q4528" s="4" t="n">
        <v>8731</v>
      </c>
      <c r="R4528" s="2" t="s">
        <v>2201</v>
      </c>
      <c r="S4528" s="2" t="s">
        <v>39</v>
      </c>
      <c r="T4528" s="2" t="s">
        <v>40</v>
      </c>
      <c r="U4528" s="2" t="s">
        <v>33819</v>
      </c>
      <c r="V4528" s="2"/>
      <c r="W4528" s="2" t="s">
        <v>42</v>
      </c>
      <c r="X4528" s="2" t="s">
        <v>43</v>
      </c>
      <c r="Y4528" s="2" t="s">
        <v>37</v>
      </c>
      <c r="Z4528" s="2" t="s">
        <v>44</v>
      </c>
      <c r="AA4528" s="2"/>
      <c r="AB4528" s="2"/>
      <c r="AC4528" s="2" t="s">
        <v>33820</v>
      </c>
      <c r="AD4528" s="2" t="s">
        <v>46</v>
      </c>
    </row>
    <row r="4529" customFormat="false" ht="15.7" hidden="false" customHeight="true" outlineLevel="0" collapsed="false">
      <c r="A4529" s="2"/>
      <c r="B4529" s="3" t="n">
        <f aca="false">DATE(2019,10,9)</f>
        <v>0</v>
      </c>
      <c r="C4529" s="3" t="n">
        <v>43747</v>
      </c>
      <c r="D4529" s="2" t="s">
        <v>33821</v>
      </c>
      <c r="F4529" s="2" t="s">
        <v>33822</v>
      </c>
      <c r="G4529" s="2" t="s">
        <v>33823</v>
      </c>
      <c r="H4529" s="2" t="s">
        <v>684</v>
      </c>
      <c r="I4529" s="2" t="s">
        <v>921</v>
      </c>
      <c r="J4529" s="2" t="s">
        <v>35</v>
      </c>
      <c r="K4529" s="2" t="s">
        <v>33821</v>
      </c>
      <c r="L4529" s="2" t="s">
        <v>921</v>
      </c>
      <c r="M4529" s="2" t="s">
        <v>684</v>
      </c>
      <c r="N4529" s="2" t="s">
        <v>33824</v>
      </c>
      <c r="O4529" s="2"/>
      <c r="P4529" s="2" t="s">
        <v>37</v>
      </c>
      <c r="Q4529" s="4" t="n">
        <v>8731</v>
      </c>
      <c r="R4529" s="2" t="s">
        <v>38</v>
      </c>
      <c r="S4529" s="2" t="s">
        <v>39</v>
      </c>
      <c r="T4529" s="2" t="s">
        <v>40</v>
      </c>
      <c r="U4529" s="2" t="s">
        <v>33825</v>
      </c>
      <c r="V4529" s="2"/>
      <c r="W4529" s="2" t="s">
        <v>344</v>
      </c>
      <c r="X4529" s="2" t="s">
        <v>43</v>
      </c>
      <c r="Y4529" s="2" t="s">
        <v>37</v>
      </c>
      <c r="Z4529" s="2" t="s">
        <v>44</v>
      </c>
      <c r="AA4529" s="2"/>
      <c r="AB4529" s="2"/>
      <c r="AC4529" s="2" t="s">
        <v>33826</v>
      </c>
      <c r="AD4529" s="2" t="s">
        <v>46</v>
      </c>
    </row>
    <row r="4530" customFormat="false" ht="15.7" hidden="false" customHeight="true" outlineLevel="0" collapsed="false">
      <c r="A4530" s="2"/>
      <c r="B4530" s="3" t="n">
        <f aca="false">DATE(2019,10,9)</f>
        <v>0</v>
      </c>
      <c r="C4530" s="3" t="n">
        <v>43747</v>
      </c>
      <c r="D4530" s="2" t="s">
        <v>33827</v>
      </c>
      <c r="F4530" s="2" t="s">
        <v>33828</v>
      </c>
      <c r="G4530" s="2" t="s">
        <v>33829</v>
      </c>
      <c r="H4530" s="2" t="s">
        <v>523</v>
      </c>
      <c r="I4530" s="2" t="s">
        <v>131</v>
      </c>
      <c r="J4530" s="2" t="s">
        <v>795</v>
      </c>
      <c r="K4530" s="2" t="s">
        <v>33827</v>
      </c>
      <c r="L4530" s="2" t="s">
        <v>131</v>
      </c>
      <c r="M4530" s="2" t="s">
        <v>523</v>
      </c>
      <c r="N4530" s="2" t="s">
        <v>33830</v>
      </c>
      <c r="O4530" s="2"/>
      <c r="P4530" s="2" t="s">
        <v>37</v>
      </c>
      <c r="Q4530" s="4" t="n">
        <v>8099</v>
      </c>
      <c r="R4530" s="2" t="s">
        <v>56</v>
      </c>
      <c r="S4530" s="2" t="s">
        <v>507</v>
      </c>
      <c r="T4530" s="2" t="s">
        <v>40</v>
      </c>
      <c r="U4530" s="2" t="s">
        <v>33831</v>
      </c>
      <c r="V4530" s="2"/>
      <c r="W4530" s="2" t="s">
        <v>4487</v>
      </c>
      <c r="X4530" s="2" t="s">
        <v>43</v>
      </c>
      <c r="Y4530" s="2" t="s">
        <v>37</v>
      </c>
      <c r="Z4530" s="2" t="s">
        <v>44</v>
      </c>
      <c r="AA4530" s="2"/>
      <c r="AB4530" s="2"/>
      <c r="AC4530" s="2" t="s">
        <v>33832</v>
      </c>
      <c r="AD4530" s="2" t="s">
        <v>46</v>
      </c>
    </row>
    <row r="4531" customFormat="false" ht="15.7" hidden="false" customHeight="true" outlineLevel="0" collapsed="false">
      <c r="A4531" s="2"/>
      <c r="B4531" s="3" t="n">
        <f aca="false">DATE(2019,10,9)</f>
        <v>0</v>
      </c>
      <c r="C4531" s="3" t="n">
        <v>43747</v>
      </c>
      <c r="D4531" s="2" t="s">
        <v>33833</v>
      </c>
      <c r="F4531" s="2" t="s">
        <v>23234</v>
      </c>
      <c r="G4531" s="2" t="s">
        <v>33834</v>
      </c>
      <c r="H4531" s="2" t="s">
        <v>12871</v>
      </c>
      <c r="I4531" s="2" t="s">
        <v>202</v>
      </c>
      <c r="J4531" s="2" t="s">
        <v>625</v>
      </c>
      <c r="K4531" s="2" t="s">
        <v>33835</v>
      </c>
      <c r="L4531" s="2" t="s">
        <v>202</v>
      </c>
      <c r="M4531" s="2" t="s">
        <v>3069</v>
      </c>
      <c r="N4531" s="2" t="s">
        <v>33836</v>
      </c>
      <c r="O4531" s="2"/>
      <c r="P4531" s="2" t="s">
        <v>37</v>
      </c>
      <c r="Q4531" s="4" t="n">
        <v>8731</v>
      </c>
      <c r="R4531" s="2" t="s">
        <v>202</v>
      </c>
      <c r="S4531" s="2" t="s">
        <v>24876</v>
      </c>
      <c r="T4531" s="2" t="s">
        <v>40</v>
      </c>
      <c r="U4531" s="2" t="s">
        <v>33837</v>
      </c>
      <c r="V4531" s="2"/>
      <c r="W4531" s="2" t="s">
        <v>344</v>
      </c>
      <c r="X4531" s="2" t="s">
        <v>43</v>
      </c>
      <c r="Y4531" s="2" t="s">
        <v>79</v>
      </c>
      <c r="Z4531" s="2" t="s">
        <v>44</v>
      </c>
      <c r="AA4531" s="2"/>
      <c r="AB4531" s="2"/>
      <c r="AC4531" s="2" t="s">
        <v>33838</v>
      </c>
      <c r="AD4531" s="2" t="s">
        <v>46</v>
      </c>
    </row>
    <row r="4532" customFormat="false" ht="15.7" hidden="false" customHeight="true" outlineLevel="0" collapsed="false">
      <c r="A4532" s="2"/>
      <c r="B4532" s="3" t="n">
        <f aca="false">DATE(2019,10,10)</f>
        <v>0</v>
      </c>
      <c r="C4532" s="3" t="n">
        <v>43748</v>
      </c>
      <c r="D4532" s="2" t="s">
        <v>33839</v>
      </c>
      <c r="F4532" s="2" t="s">
        <v>33840</v>
      </c>
      <c r="G4532" s="2" t="s">
        <v>33841</v>
      </c>
      <c r="H4532" s="2" t="s">
        <v>33842</v>
      </c>
      <c r="I4532" s="2" t="s">
        <v>11795</v>
      </c>
      <c r="J4532" s="2" t="s">
        <v>732</v>
      </c>
      <c r="K4532" s="2" t="s">
        <v>33839</v>
      </c>
      <c r="L4532" s="2" t="s">
        <v>11795</v>
      </c>
      <c r="M4532" s="2" t="s">
        <v>33842</v>
      </c>
      <c r="N4532" s="2" t="s">
        <v>33843</v>
      </c>
      <c r="O4532" s="2"/>
      <c r="P4532" s="2" t="s">
        <v>37</v>
      </c>
      <c r="Q4532" s="4" t="n">
        <v>6289</v>
      </c>
      <c r="R4532" s="2" t="s">
        <v>1208</v>
      </c>
      <c r="S4532" s="2" t="s">
        <v>39</v>
      </c>
      <c r="T4532" s="2" t="s">
        <v>40</v>
      </c>
      <c r="U4532" s="2" t="s">
        <v>33844</v>
      </c>
      <c r="V4532" s="2"/>
      <c r="W4532" s="2" t="s">
        <v>16412</v>
      </c>
      <c r="X4532" s="2" t="s">
        <v>43</v>
      </c>
      <c r="Y4532" s="2" t="s">
        <v>37</v>
      </c>
      <c r="Z4532" s="2" t="s">
        <v>44</v>
      </c>
      <c r="AA4532" s="2"/>
      <c r="AB4532" s="2"/>
      <c r="AC4532" s="2" t="s">
        <v>33845</v>
      </c>
      <c r="AD4532" s="2" t="s">
        <v>46</v>
      </c>
    </row>
    <row r="4533" customFormat="false" ht="15.7" hidden="false" customHeight="true" outlineLevel="0" collapsed="false">
      <c r="A4533" s="2"/>
      <c r="B4533" s="3" t="n">
        <f aca="false">DATE(2019,10,10)</f>
        <v>0</v>
      </c>
      <c r="C4533" s="3" t="n">
        <v>43748</v>
      </c>
      <c r="D4533" s="2" t="s">
        <v>33846</v>
      </c>
      <c r="F4533" s="2" t="s">
        <v>33847</v>
      </c>
      <c r="G4533" s="2" t="s">
        <v>33848</v>
      </c>
      <c r="H4533" s="2" t="s">
        <v>33849</v>
      </c>
      <c r="I4533" s="2" t="s">
        <v>2294</v>
      </c>
      <c r="J4533" s="2" t="s">
        <v>35</v>
      </c>
      <c r="K4533" s="2" t="s">
        <v>33846</v>
      </c>
      <c r="L4533" s="2" t="s">
        <v>2294</v>
      </c>
      <c r="M4533" s="2" t="s">
        <v>33849</v>
      </c>
      <c r="N4533" s="2" t="s">
        <v>33850</v>
      </c>
      <c r="O4533" s="2"/>
      <c r="P4533" s="2" t="s">
        <v>37</v>
      </c>
      <c r="Q4533" s="4" t="n">
        <v>8731</v>
      </c>
      <c r="R4533" s="2" t="s">
        <v>450</v>
      </c>
      <c r="S4533" s="2" t="s">
        <v>39</v>
      </c>
      <c r="T4533" s="2" t="s">
        <v>403</v>
      </c>
      <c r="U4533" s="2" t="s">
        <v>33851</v>
      </c>
      <c r="V4533" s="2"/>
      <c r="W4533" s="2" t="s">
        <v>10912</v>
      </c>
      <c r="X4533" s="2" t="s">
        <v>43</v>
      </c>
      <c r="Y4533" s="2" t="s">
        <v>37</v>
      </c>
      <c r="Z4533" s="2" t="s">
        <v>44</v>
      </c>
      <c r="AA4533" s="2"/>
      <c r="AB4533" s="2"/>
      <c r="AC4533" s="2" t="s">
        <v>33852</v>
      </c>
      <c r="AD4533" s="2" t="s">
        <v>46</v>
      </c>
    </row>
    <row r="4534" customFormat="false" ht="15.7" hidden="false" customHeight="true" outlineLevel="0" collapsed="false">
      <c r="A4534" s="2"/>
      <c r="B4534" s="3" t="n">
        <f aca="false">DATE(2019,10,10)</f>
        <v>0</v>
      </c>
      <c r="C4534" s="3" t="n">
        <v>43748</v>
      </c>
      <c r="D4534" s="2" t="s">
        <v>33853</v>
      </c>
      <c r="F4534" s="2" t="s">
        <v>19085</v>
      </c>
      <c r="G4534" s="2" t="s">
        <v>33854</v>
      </c>
      <c r="H4534" s="2" t="s">
        <v>63</v>
      </c>
      <c r="I4534" s="2" t="s">
        <v>1437</v>
      </c>
      <c r="J4534" s="2" t="s">
        <v>35</v>
      </c>
      <c r="K4534" s="2" t="s">
        <v>33853</v>
      </c>
      <c r="L4534" s="2" t="s">
        <v>1437</v>
      </c>
      <c r="M4534" s="2" t="s">
        <v>63</v>
      </c>
      <c r="N4534" s="2" t="s">
        <v>33855</v>
      </c>
      <c r="O4534" s="2"/>
      <c r="P4534" s="2" t="s">
        <v>37</v>
      </c>
      <c r="Q4534" s="4" t="n">
        <v>6794</v>
      </c>
      <c r="R4534" s="2" t="s">
        <v>1441</v>
      </c>
      <c r="S4534" s="2" t="s">
        <v>39</v>
      </c>
      <c r="T4534" s="2" t="s">
        <v>40</v>
      </c>
      <c r="U4534" s="2" t="s">
        <v>33856</v>
      </c>
      <c r="V4534" s="2"/>
      <c r="W4534" s="2" t="s">
        <v>20757</v>
      </c>
      <c r="X4534" s="2" t="s">
        <v>43</v>
      </c>
      <c r="Y4534" s="2" t="s">
        <v>37</v>
      </c>
      <c r="Z4534" s="2" t="s">
        <v>44</v>
      </c>
      <c r="AA4534" s="2"/>
      <c r="AB4534" s="2"/>
      <c r="AC4534" s="2" t="s">
        <v>33857</v>
      </c>
      <c r="AD4534" s="2" t="s">
        <v>46</v>
      </c>
    </row>
    <row r="4535" customFormat="false" ht="15.7" hidden="false" customHeight="true" outlineLevel="0" collapsed="false">
      <c r="A4535" s="2"/>
      <c r="B4535" s="3" t="n">
        <f aca="false">DATE(2019,10,10)</f>
        <v>0</v>
      </c>
      <c r="C4535" s="3" t="n">
        <v>43748</v>
      </c>
      <c r="D4535" s="2" t="s">
        <v>33858</v>
      </c>
      <c r="F4535" s="2" t="s">
        <v>33859</v>
      </c>
      <c r="G4535" s="2" t="s">
        <v>33860</v>
      </c>
      <c r="H4535" s="2" t="s">
        <v>20964</v>
      </c>
      <c r="I4535" s="2" t="s">
        <v>3103</v>
      </c>
      <c r="J4535" s="2" t="s">
        <v>625</v>
      </c>
      <c r="K4535" s="2" t="s">
        <v>33861</v>
      </c>
      <c r="L4535" s="2" t="s">
        <v>3103</v>
      </c>
      <c r="M4535" s="2" t="s">
        <v>33862</v>
      </c>
      <c r="N4535" s="2" t="s">
        <v>33863</v>
      </c>
      <c r="O4535" s="2"/>
      <c r="P4535" s="2" t="s">
        <v>37</v>
      </c>
      <c r="Q4535" s="4" t="n">
        <v>8731</v>
      </c>
      <c r="R4535" s="2" t="s">
        <v>3103</v>
      </c>
      <c r="S4535" s="2" t="s">
        <v>39</v>
      </c>
      <c r="T4535" s="2" t="s">
        <v>40</v>
      </c>
      <c r="U4535" s="2" t="s">
        <v>33864</v>
      </c>
      <c r="V4535" s="2"/>
      <c r="W4535" s="2" t="s">
        <v>42</v>
      </c>
      <c r="X4535" s="2" t="s">
        <v>43</v>
      </c>
      <c r="Y4535" s="2" t="s">
        <v>79</v>
      </c>
      <c r="Z4535" s="2" t="s">
        <v>44</v>
      </c>
      <c r="AA4535" s="2"/>
      <c r="AB4535" s="2"/>
      <c r="AC4535" s="2" t="s">
        <v>33865</v>
      </c>
      <c r="AD4535" s="2" t="s">
        <v>46</v>
      </c>
    </row>
    <row r="4536" customFormat="false" ht="15.7" hidden="false" customHeight="true" outlineLevel="0" collapsed="false">
      <c r="A4536" s="2"/>
      <c r="B4536" s="3" t="n">
        <f aca="false">DATE(2019,10,10)</f>
        <v>0</v>
      </c>
      <c r="C4536" s="3" t="n">
        <v>43748</v>
      </c>
      <c r="D4536" s="2" t="s">
        <v>33866</v>
      </c>
      <c r="F4536" s="2" t="s">
        <v>33867</v>
      </c>
      <c r="G4536" s="2" t="s">
        <v>33868</v>
      </c>
      <c r="H4536" s="2" t="s">
        <v>33869</v>
      </c>
      <c r="I4536" s="2" t="s">
        <v>1080</v>
      </c>
      <c r="J4536" s="2" t="s">
        <v>35</v>
      </c>
      <c r="K4536" s="2" t="s">
        <v>33870</v>
      </c>
      <c r="L4536" s="2" t="s">
        <v>2803</v>
      </c>
      <c r="M4536" s="2" t="s">
        <v>33869</v>
      </c>
      <c r="N4536" s="2" t="s">
        <v>33871</v>
      </c>
      <c r="O4536" s="2" t="s">
        <v>33872</v>
      </c>
      <c r="P4536" s="2" t="s">
        <v>37</v>
      </c>
      <c r="Q4536" s="4" t="n">
        <v>4911</v>
      </c>
      <c r="R4536" s="2" t="s">
        <v>2201</v>
      </c>
      <c r="S4536" s="2" t="s">
        <v>39</v>
      </c>
      <c r="T4536" s="2" t="s">
        <v>40</v>
      </c>
      <c r="U4536" s="2" t="s">
        <v>33873</v>
      </c>
      <c r="V4536" s="2"/>
      <c r="W4536" s="2" t="s">
        <v>10985</v>
      </c>
      <c r="X4536" s="2" t="s">
        <v>46</v>
      </c>
      <c r="Y4536" s="2" t="s">
        <v>37</v>
      </c>
      <c r="Z4536" s="2" t="s">
        <v>44</v>
      </c>
      <c r="AA4536" s="2"/>
      <c r="AB4536" s="2" t="s">
        <v>33874</v>
      </c>
      <c r="AC4536" s="2" t="s">
        <v>33875</v>
      </c>
      <c r="AD4536" s="2" t="s">
        <v>46</v>
      </c>
    </row>
    <row r="4537" customFormat="false" ht="15.7" hidden="false" customHeight="true" outlineLevel="0" collapsed="false">
      <c r="A4537" s="2"/>
      <c r="B4537" s="3" t="n">
        <f aca="false">DATE(2019,10,11)</f>
        <v>0</v>
      </c>
      <c r="C4537" s="3" t="n">
        <v>43749</v>
      </c>
      <c r="D4537" s="2" t="s">
        <v>33876</v>
      </c>
      <c r="F4537" s="2" t="s">
        <v>15541</v>
      </c>
      <c r="G4537" s="2" t="s">
        <v>33877</v>
      </c>
      <c r="H4537" s="2" t="s">
        <v>170</v>
      </c>
      <c r="I4537" s="2" t="s">
        <v>4325</v>
      </c>
      <c r="J4537" s="2" t="s">
        <v>35</v>
      </c>
      <c r="K4537" s="2" t="s">
        <v>33876</v>
      </c>
      <c r="L4537" s="2" t="s">
        <v>4325</v>
      </c>
      <c r="M4537" s="2" t="s">
        <v>170</v>
      </c>
      <c r="N4537" s="2" t="s">
        <v>33878</v>
      </c>
      <c r="O4537" s="2"/>
      <c r="P4537" s="2" t="s">
        <v>37</v>
      </c>
      <c r="Q4537" s="4" t="n">
        <v>8099</v>
      </c>
      <c r="R4537" s="2" t="s">
        <v>402</v>
      </c>
      <c r="S4537" s="2" t="s">
        <v>39</v>
      </c>
      <c r="T4537" s="2" t="s">
        <v>40</v>
      </c>
      <c r="U4537" s="2" t="s">
        <v>33879</v>
      </c>
      <c r="V4537" s="2"/>
      <c r="W4537" s="2" t="s">
        <v>4487</v>
      </c>
      <c r="X4537" s="2" t="s">
        <v>43</v>
      </c>
      <c r="Y4537" s="2" t="s">
        <v>37</v>
      </c>
      <c r="Z4537" s="2" t="s">
        <v>44</v>
      </c>
      <c r="AA4537" s="2"/>
      <c r="AB4537" s="2"/>
      <c r="AC4537" s="2" t="s">
        <v>33880</v>
      </c>
      <c r="AD4537" s="2" t="s">
        <v>46</v>
      </c>
    </row>
    <row r="4538" customFormat="false" ht="15.7" hidden="false" customHeight="true" outlineLevel="0" collapsed="false">
      <c r="A4538" s="2"/>
      <c r="B4538" s="3" t="n">
        <f aca="false">DATE(2019,10,11)</f>
        <v>0</v>
      </c>
      <c r="C4538" s="3" t="n">
        <v>43749</v>
      </c>
      <c r="D4538" s="2" t="s">
        <v>33881</v>
      </c>
      <c r="F4538" s="2" t="s">
        <v>33882</v>
      </c>
      <c r="G4538" s="2" t="s">
        <v>33883</v>
      </c>
      <c r="H4538" s="2" t="s">
        <v>33884</v>
      </c>
      <c r="I4538" s="2" t="s">
        <v>7513</v>
      </c>
      <c r="J4538" s="2" t="s">
        <v>35</v>
      </c>
      <c r="K4538" s="2" t="s">
        <v>33881</v>
      </c>
      <c r="L4538" s="2" t="s">
        <v>7513</v>
      </c>
      <c r="M4538" s="2" t="s">
        <v>33884</v>
      </c>
      <c r="N4538" s="2" t="s">
        <v>33885</v>
      </c>
      <c r="O4538" s="2"/>
      <c r="P4538" s="2" t="s">
        <v>37</v>
      </c>
      <c r="Q4538" s="4" t="n">
        <v>8099</v>
      </c>
      <c r="R4538" s="2" t="s">
        <v>450</v>
      </c>
      <c r="S4538" s="2" t="s">
        <v>39</v>
      </c>
      <c r="T4538" s="2" t="s">
        <v>40</v>
      </c>
      <c r="U4538" s="2" t="s">
        <v>33886</v>
      </c>
      <c r="V4538" s="2"/>
      <c r="W4538" s="2" t="s">
        <v>4487</v>
      </c>
      <c r="X4538" s="2" t="s">
        <v>43</v>
      </c>
      <c r="Y4538" s="2" t="s">
        <v>37</v>
      </c>
      <c r="Z4538" s="2" t="s">
        <v>44</v>
      </c>
      <c r="AA4538" s="2"/>
      <c r="AB4538" s="2"/>
      <c r="AC4538" s="2" t="s">
        <v>33887</v>
      </c>
      <c r="AD4538" s="2" t="s">
        <v>46</v>
      </c>
    </row>
    <row r="4539" customFormat="false" ht="15.7" hidden="false" customHeight="true" outlineLevel="0" collapsed="false">
      <c r="A4539" s="2"/>
      <c r="B4539" s="3" t="n">
        <f aca="false">DATE(2019,10,12)</f>
        <v>0</v>
      </c>
      <c r="C4539" s="3" t="n">
        <v>43750</v>
      </c>
      <c r="D4539" s="2" t="s">
        <v>33888</v>
      </c>
      <c r="F4539" s="2" t="s">
        <v>31173</v>
      </c>
      <c r="G4539" s="2" t="s">
        <v>33889</v>
      </c>
      <c r="H4539" s="2" t="s">
        <v>12871</v>
      </c>
      <c r="I4539" s="2" t="s">
        <v>2727</v>
      </c>
      <c r="J4539" s="2" t="s">
        <v>35</v>
      </c>
      <c r="K4539" s="2" t="s">
        <v>33888</v>
      </c>
      <c r="L4539" s="2" t="s">
        <v>2727</v>
      </c>
      <c r="M4539" s="2" t="s">
        <v>12871</v>
      </c>
      <c r="N4539" s="2" t="s">
        <v>33890</v>
      </c>
      <c r="O4539" s="2"/>
      <c r="P4539" s="2" t="s">
        <v>37</v>
      </c>
      <c r="Q4539" s="4" t="n">
        <v>8731</v>
      </c>
      <c r="R4539" s="2" t="s">
        <v>402</v>
      </c>
      <c r="S4539" s="2" t="s">
        <v>39</v>
      </c>
      <c r="T4539" s="2" t="s">
        <v>40</v>
      </c>
      <c r="U4539" s="2" t="s">
        <v>33891</v>
      </c>
      <c r="V4539" s="2"/>
      <c r="W4539" s="2" t="s">
        <v>344</v>
      </c>
      <c r="X4539" s="2" t="s">
        <v>46</v>
      </c>
      <c r="Y4539" s="2" t="s">
        <v>37</v>
      </c>
      <c r="Z4539" s="2" t="s">
        <v>44</v>
      </c>
      <c r="AA4539" s="2"/>
      <c r="AB4539" s="2"/>
      <c r="AC4539" s="2" t="s">
        <v>33892</v>
      </c>
      <c r="AD4539" s="2" t="s">
        <v>46</v>
      </c>
    </row>
    <row r="4540" customFormat="false" ht="15.7" hidden="false" customHeight="true" outlineLevel="0" collapsed="false">
      <c r="A4540" s="2"/>
      <c r="B4540" s="3" t="n">
        <f aca="false">DATE(2019,10,15)</f>
        <v>0</v>
      </c>
      <c r="C4540" s="3" t="n">
        <v>43753</v>
      </c>
      <c r="D4540" s="2" t="s">
        <v>33893</v>
      </c>
      <c r="F4540" s="2" t="s">
        <v>33894</v>
      </c>
      <c r="G4540" s="2" t="s">
        <v>33895</v>
      </c>
      <c r="H4540" s="2" t="s">
        <v>63</v>
      </c>
      <c r="I4540" s="2" t="s">
        <v>487</v>
      </c>
      <c r="J4540" s="2" t="s">
        <v>331</v>
      </c>
      <c r="K4540" s="2" t="s">
        <v>33896</v>
      </c>
      <c r="L4540" s="2" t="s">
        <v>17366</v>
      </c>
      <c r="M4540" s="2" t="s">
        <v>130</v>
      </c>
      <c r="N4540" s="2" t="s">
        <v>33897</v>
      </c>
      <c r="O4540" s="2"/>
      <c r="P4540" s="2" t="s">
        <v>37</v>
      </c>
      <c r="Q4540" s="4" t="n">
        <v>6794</v>
      </c>
      <c r="R4540" s="2" t="s">
        <v>136</v>
      </c>
      <c r="S4540" s="2" t="s">
        <v>39</v>
      </c>
      <c r="T4540" s="2" t="s">
        <v>40</v>
      </c>
      <c r="U4540" s="2" t="s">
        <v>33898</v>
      </c>
      <c r="V4540" s="2"/>
      <c r="W4540" s="2" t="s">
        <v>24466</v>
      </c>
      <c r="X4540" s="2" t="s">
        <v>43</v>
      </c>
      <c r="Y4540" s="2" t="s">
        <v>37</v>
      </c>
      <c r="Z4540" s="2" t="s">
        <v>44</v>
      </c>
      <c r="AA4540" s="2" t="s">
        <v>33899</v>
      </c>
      <c r="AB4540" s="2"/>
      <c r="AC4540" s="2" t="s">
        <v>33900</v>
      </c>
      <c r="AD4540" s="2" t="s">
        <v>46</v>
      </c>
    </row>
    <row r="4541" customFormat="false" ht="15.7" hidden="false" customHeight="true" outlineLevel="0" collapsed="false">
      <c r="A4541" s="2"/>
      <c r="B4541" s="3" t="n">
        <f aca="false">DATE(2019,10,15)</f>
        <v>0</v>
      </c>
      <c r="C4541" s="3" t="n">
        <v>43753</v>
      </c>
      <c r="D4541" s="2" t="s">
        <v>33901</v>
      </c>
      <c r="F4541" s="2" t="s">
        <v>33902</v>
      </c>
      <c r="G4541" s="2" t="s">
        <v>33903</v>
      </c>
      <c r="H4541" s="2" t="s">
        <v>33904</v>
      </c>
      <c r="I4541" s="2" t="s">
        <v>51</v>
      </c>
      <c r="J4541" s="2" t="s">
        <v>21969</v>
      </c>
      <c r="K4541" s="2" t="s">
        <v>33901</v>
      </c>
      <c r="L4541" s="2" t="s">
        <v>51</v>
      </c>
      <c r="M4541" s="2" t="s">
        <v>33904</v>
      </c>
      <c r="N4541" s="2" t="s">
        <v>33905</v>
      </c>
      <c r="O4541" s="2"/>
      <c r="P4541" s="2" t="s">
        <v>37</v>
      </c>
      <c r="Q4541" s="4" t="n">
        <v>8731</v>
      </c>
      <c r="R4541" s="2" t="s">
        <v>56</v>
      </c>
      <c r="S4541" s="2" t="s">
        <v>3510</v>
      </c>
      <c r="T4541" s="2" t="s">
        <v>40</v>
      </c>
      <c r="U4541" s="2" t="s">
        <v>33906</v>
      </c>
      <c r="V4541" s="2"/>
      <c r="W4541" s="2" t="s">
        <v>2475</v>
      </c>
      <c r="X4541" s="2" t="s">
        <v>43</v>
      </c>
      <c r="Y4541" s="2" t="s">
        <v>37</v>
      </c>
      <c r="Z4541" s="2" t="s">
        <v>44</v>
      </c>
      <c r="AA4541" s="2"/>
      <c r="AB4541" s="2"/>
      <c r="AC4541" s="2" t="s">
        <v>33907</v>
      </c>
      <c r="AD4541" s="2" t="s">
        <v>46</v>
      </c>
    </row>
    <row r="4542" customFormat="false" ht="15.7" hidden="false" customHeight="true" outlineLevel="0" collapsed="false">
      <c r="A4542" s="2"/>
      <c r="B4542" s="3" t="n">
        <f aca="false">DATE(2019,10,15)</f>
        <v>0</v>
      </c>
      <c r="C4542" s="3" t="n">
        <v>43753</v>
      </c>
      <c r="D4542" s="2" t="s">
        <v>33908</v>
      </c>
      <c r="F4542" s="2" t="s">
        <v>15541</v>
      </c>
      <c r="G4542" s="2" t="s">
        <v>33909</v>
      </c>
      <c r="H4542" s="2" t="s">
        <v>170</v>
      </c>
      <c r="I4542" s="2" t="s">
        <v>88</v>
      </c>
      <c r="J4542" s="2" t="s">
        <v>625</v>
      </c>
      <c r="K4542" s="2" t="s">
        <v>33908</v>
      </c>
      <c r="L4542" s="2" t="s">
        <v>88</v>
      </c>
      <c r="M4542" s="2" t="s">
        <v>170</v>
      </c>
      <c r="N4542" s="2" t="s">
        <v>33910</v>
      </c>
      <c r="O4542" s="2"/>
      <c r="P4542" s="2" t="s">
        <v>37</v>
      </c>
      <c r="Q4542" s="4" t="n">
        <v>6794</v>
      </c>
      <c r="R4542" s="2" t="s">
        <v>88</v>
      </c>
      <c r="S4542" s="2" t="s">
        <v>24876</v>
      </c>
      <c r="T4542" s="2" t="s">
        <v>403</v>
      </c>
      <c r="U4542" s="2" t="s">
        <v>33911</v>
      </c>
      <c r="V4542" s="2"/>
      <c r="W4542" s="2" t="s">
        <v>15545</v>
      </c>
      <c r="X4542" s="2" t="s">
        <v>43</v>
      </c>
      <c r="Y4542" s="2" t="s">
        <v>79</v>
      </c>
      <c r="Z4542" s="2" t="s">
        <v>44</v>
      </c>
      <c r="AA4542" s="2"/>
      <c r="AB4542" s="2"/>
      <c r="AC4542" s="2" t="s">
        <v>33912</v>
      </c>
      <c r="AD4542" s="2" t="s">
        <v>46</v>
      </c>
    </row>
    <row r="4543" customFormat="false" ht="15.7" hidden="false" customHeight="true" outlineLevel="0" collapsed="false">
      <c r="A4543" s="2"/>
      <c r="B4543" s="3" t="n">
        <f aca="false">DATE(2019,10,15)</f>
        <v>0</v>
      </c>
      <c r="C4543" s="3" t="n">
        <v>43753</v>
      </c>
      <c r="D4543" s="2" t="s">
        <v>33913</v>
      </c>
      <c r="F4543" s="2" t="s">
        <v>33914</v>
      </c>
      <c r="G4543" s="2" t="s">
        <v>33915</v>
      </c>
      <c r="H4543" s="2" t="s">
        <v>33916</v>
      </c>
      <c r="I4543" s="2" t="s">
        <v>8822</v>
      </c>
      <c r="J4543" s="2" t="s">
        <v>35</v>
      </c>
      <c r="K4543" s="2" t="s">
        <v>33913</v>
      </c>
      <c r="L4543" s="2" t="s">
        <v>8822</v>
      </c>
      <c r="M4543" s="2" t="s">
        <v>33916</v>
      </c>
      <c r="N4543" s="2" t="s">
        <v>33917</v>
      </c>
      <c r="O4543" s="2"/>
      <c r="P4543" s="2" t="s">
        <v>37</v>
      </c>
      <c r="Q4543" s="4" t="n">
        <v>8731</v>
      </c>
      <c r="R4543" s="2" t="s">
        <v>38</v>
      </c>
      <c r="S4543" s="2" t="s">
        <v>39</v>
      </c>
      <c r="T4543" s="2" t="s">
        <v>403</v>
      </c>
      <c r="U4543" s="2" t="s">
        <v>33918</v>
      </c>
      <c r="V4543" s="2"/>
      <c r="W4543" s="2" t="s">
        <v>344</v>
      </c>
      <c r="X4543" s="2" t="s">
        <v>43</v>
      </c>
      <c r="Y4543" s="2" t="s">
        <v>37</v>
      </c>
      <c r="Z4543" s="2" t="s">
        <v>44</v>
      </c>
      <c r="AA4543" s="2"/>
      <c r="AB4543" s="2"/>
      <c r="AC4543" s="2" t="s">
        <v>33919</v>
      </c>
      <c r="AD4543" s="2" t="s">
        <v>46</v>
      </c>
    </row>
    <row r="4544" customFormat="false" ht="15.7" hidden="false" customHeight="true" outlineLevel="0" collapsed="false">
      <c r="A4544" s="2"/>
      <c r="B4544" s="3" t="n">
        <f aca="false">DATE(2019,10,15)</f>
        <v>0</v>
      </c>
      <c r="C4544" s="3" t="n">
        <v>43753</v>
      </c>
      <c r="D4544" s="2" t="s">
        <v>33920</v>
      </c>
      <c r="F4544" s="2" t="s">
        <v>33921</v>
      </c>
      <c r="G4544" s="2" t="s">
        <v>33922</v>
      </c>
      <c r="H4544" s="2" t="s">
        <v>33923</v>
      </c>
      <c r="I4544" s="2" t="s">
        <v>51</v>
      </c>
      <c r="J4544" s="2" t="s">
        <v>750</v>
      </c>
      <c r="K4544" s="2" t="s">
        <v>33920</v>
      </c>
      <c r="L4544" s="2" t="s">
        <v>51</v>
      </c>
      <c r="M4544" s="2" t="s">
        <v>33923</v>
      </c>
      <c r="N4544" s="2" t="s">
        <v>33924</v>
      </c>
      <c r="O4544" s="2"/>
      <c r="P4544" s="2" t="s">
        <v>37</v>
      </c>
      <c r="Q4544" s="4" t="n">
        <v>8731</v>
      </c>
      <c r="R4544" s="2" t="s">
        <v>56</v>
      </c>
      <c r="S4544" s="2" t="s">
        <v>788</v>
      </c>
      <c r="T4544" s="2" t="s">
        <v>403</v>
      </c>
      <c r="U4544" s="2" t="s">
        <v>33925</v>
      </c>
      <c r="V4544" s="2"/>
      <c r="W4544" s="2" t="s">
        <v>42</v>
      </c>
      <c r="X4544" s="2" t="s">
        <v>43</v>
      </c>
      <c r="Y4544" s="2" t="s">
        <v>37</v>
      </c>
      <c r="Z4544" s="2" t="s">
        <v>44</v>
      </c>
      <c r="AA4544" s="2"/>
      <c r="AB4544" s="2"/>
      <c r="AC4544" s="2" t="s">
        <v>33926</v>
      </c>
      <c r="AD4544" s="2" t="s">
        <v>46</v>
      </c>
    </row>
    <row r="4545" customFormat="false" ht="15.7" hidden="false" customHeight="true" outlineLevel="0" collapsed="false">
      <c r="A4545" s="2"/>
      <c r="B4545" s="3" t="n">
        <f aca="false">DATE(2019,10,16)</f>
        <v>0</v>
      </c>
      <c r="C4545" s="3" t="n">
        <v>43754</v>
      </c>
      <c r="D4545" s="2" t="s">
        <v>33927</v>
      </c>
      <c r="F4545" s="2" t="s">
        <v>33928</v>
      </c>
      <c r="G4545" s="2" t="s">
        <v>33929</v>
      </c>
      <c r="H4545" s="2" t="s">
        <v>9068</v>
      </c>
      <c r="I4545" s="2" t="s">
        <v>33930</v>
      </c>
      <c r="J4545" s="2" t="s">
        <v>900</v>
      </c>
      <c r="K4545" s="2" t="s">
        <v>33927</v>
      </c>
      <c r="L4545" s="2" t="s">
        <v>33930</v>
      </c>
      <c r="M4545" s="2" t="s">
        <v>9068</v>
      </c>
      <c r="N4545" s="2" t="s">
        <v>33931</v>
      </c>
      <c r="O4545" s="2"/>
      <c r="P4545" s="2" t="s">
        <v>37</v>
      </c>
      <c r="Q4545" s="4" t="n">
        <v>6794</v>
      </c>
      <c r="R4545" s="2" t="s">
        <v>136</v>
      </c>
      <c r="S4545" s="2" t="s">
        <v>39</v>
      </c>
      <c r="T4545" s="2" t="s">
        <v>40</v>
      </c>
      <c r="U4545" s="2" t="s">
        <v>33932</v>
      </c>
      <c r="V4545" s="2"/>
      <c r="W4545" s="2" t="s">
        <v>33933</v>
      </c>
      <c r="X4545" s="2" t="s">
        <v>43</v>
      </c>
      <c r="Y4545" s="2" t="s">
        <v>37</v>
      </c>
      <c r="Z4545" s="2" t="s">
        <v>44</v>
      </c>
      <c r="AA4545" s="2"/>
      <c r="AB4545" s="2"/>
      <c r="AC4545" s="2" t="s">
        <v>33934</v>
      </c>
      <c r="AD4545" s="2" t="s">
        <v>46</v>
      </c>
    </row>
    <row r="4546" customFormat="false" ht="15.7" hidden="false" customHeight="true" outlineLevel="0" collapsed="false">
      <c r="A4546" s="2"/>
      <c r="B4546" s="3" t="n">
        <f aca="false">DATE(2019,10,16)</f>
        <v>0</v>
      </c>
      <c r="C4546" s="3" t="n">
        <v>43754</v>
      </c>
      <c r="D4546" s="2" t="s">
        <v>33935</v>
      </c>
      <c r="F4546" s="2" t="s">
        <v>33936</v>
      </c>
      <c r="G4546" s="2" t="s">
        <v>33937</v>
      </c>
      <c r="H4546" s="2" t="s">
        <v>24514</v>
      </c>
      <c r="I4546" s="2" t="s">
        <v>88</v>
      </c>
      <c r="J4546" s="2" t="s">
        <v>625</v>
      </c>
      <c r="K4546" s="2" t="s">
        <v>33938</v>
      </c>
      <c r="L4546" s="2" t="s">
        <v>88</v>
      </c>
      <c r="M4546" s="2" t="s">
        <v>33939</v>
      </c>
      <c r="N4546" s="2" t="s">
        <v>33940</v>
      </c>
      <c r="O4546" s="2"/>
      <c r="P4546" s="2" t="s">
        <v>37</v>
      </c>
      <c r="Q4546" s="4" t="n">
        <v>8099</v>
      </c>
      <c r="R4546" s="2" t="s">
        <v>56</v>
      </c>
      <c r="S4546" s="2" t="s">
        <v>80</v>
      </c>
      <c r="T4546" s="2" t="s">
        <v>40</v>
      </c>
      <c r="U4546" s="2" t="s">
        <v>33941</v>
      </c>
      <c r="V4546" s="2"/>
      <c r="W4546" s="2" t="s">
        <v>6955</v>
      </c>
      <c r="X4546" s="2" t="s">
        <v>43</v>
      </c>
      <c r="Y4546" s="2" t="s">
        <v>37</v>
      </c>
      <c r="Z4546" s="2" t="s">
        <v>44</v>
      </c>
      <c r="AA4546" s="2"/>
      <c r="AB4546" s="2"/>
      <c r="AC4546" s="2" t="s">
        <v>33942</v>
      </c>
      <c r="AD4546" s="2" t="s">
        <v>46</v>
      </c>
    </row>
    <row r="4547" customFormat="false" ht="15.7" hidden="false" customHeight="true" outlineLevel="0" collapsed="false">
      <c r="A4547" s="2"/>
      <c r="B4547" s="3" t="n">
        <f aca="false">DATE(2019,10,16)</f>
        <v>0</v>
      </c>
      <c r="C4547" s="3" t="n">
        <v>43754</v>
      </c>
      <c r="D4547" s="2" t="s">
        <v>33943</v>
      </c>
      <c r="F4547" s="2" t="s">
        <v>33944</v>
      </c>
      <c r="G4547" s="2" t="s">
        <v>33945</v>
      </c>
      <c r="H4547" s="2" t="s">
        <v>170</v>
      </c>
      <c r="I4547" s="2" t="s">
        <v>1388</v>
      </c>
      <c r="J4547" s="2" t="s">
        <v>35</v>
      </c>
      <c r="K4547" s="2" t="s">
        <v>33943</v>
      </c>
      <c r="L4547" s="2" t="s">
        <v>1388</v>
      </c>
      <c r="M4547" s="2" t="s">
        <v>170</v>
      </c>
      <c r="N4547" s="2" t="s">
        <v>33946</v>
      </c>
      <c r="O4547" s="2"/>
      <c r="P4547" s="2" t="s">
        <v>37</v>
      </c>
      <c r="Q4547" s="4" t="n">
        <v>8099</v>
      </c>
      <c r="R4547" s="2" t="s">
        <v>56</v>
      </c>
      <c r="S4547" s="2"/>
      <c r="T4547" s="2" t="s">
        <v>40</v>
      </c>
      <c r="U4547" s="2" t="s">
        <v>33947</v>
      </c>
      <c r="V4547" s="2"/>
      <c r="W4547" s="2" t="s">
        <v>4487</v>
      </c>
      <c r="X4547" s="2" t="s">
        <v>43</v>
      </c>
      <c r="Y4547" s="2" t="s">
        <v>37</v>
      </c>
      <c r="Z4547" s="2" t="s">
        <v>44</v>
      </c>
      <c r="AA4547" s="2"/>
      <c r="AB4547" s="2"/>
      <c r="AC4547" s="2" t="s">
        <v>33948</v>
      </c>
      <c r="AD4547" s="2" t="s">
        <v>46</v>
      </c>
    </row>
    <row r="4548" customFormat="false" ht="15.7" hidden="false" customHeight="true" outlineLevel="0" collapsed="false">
      <c r="A4548" s="2"/>
      <c r="B4548" s="3" t="n">
        <f aca="false">DATE(2019,10,16)</f>
        <v>0</v>
      </c>
      <c r="C4548" s="3" t="n">
        <v>43754</v>
      </c>
      <c r="D4548" s="2" t="s">
        <v>33949</v>
      </c>
      <c r="F4548" s="2" t="s">
        <v>33950</v>
      </c>
      <c r="G4548" s="2" t="s">
        <v>33951</v>
      </c>
      <c r="H4548" s="2" t="s">
        <v>33952</v>
      </c>
      <c r="I4548" s="2" t="s">
        <v>1236</v>
      </c>
      <c r="J4548" s="2" t="s">
        <v>35</v>
      </c>
      <c r="K4548" s="2" t="s">
        <v>33949</v>
      </c>
      <c r="L4548" s="2" t="s">
        <v>1236</v>
      </c>
      <c r="M4548" s="2" t="s">
        <v>33952</v>
      </c>
      <c r="N4548" s="2" t="s">
        <v>33953</v>
      </c>
      <c r="O4548" s="2"/>
      <c r="P4548" s="2" t="s">
        <v>37</v>
      </c>
      <c r="Q4548" s="4" t="n">
        <v>8731</v>
      </c>
      <c r="R4548" s="2" t="s">
        <v>105</v>
      </c>
      <c r="S4548" s="2" t="s">
        <v>39</v>
      </c>
      <c r="T4548" s="2" t="s">
        <v>403</v>
      </c>
      <c r="U4548" s="2" t="s">
        <v>33954</v>
      </c>
      <c r="V4548" s="2"/>
      <c r="W4548" s="2" t="s">
        <v>33955</v>
      </c>
      <c r="X4548" s="2" t="s">
        <v>46</v>
      </c>
      <c r="Y4548" s="2" t="s">
        <v>37</v>
      </c>
      <c r="Z4548" s="2" t="s">
        <v>44</v>
      </c>
      <c r="AA4548" s="2"/>
      <c r="AB4548" s="2"/>
      <c r="AC4548" s="2" t="s">
        <v>33956</v>
      </c>
      <c r="AD4548" s="2" t="s">
        <v>46</v>
      </c>
    </row>
    <row r="4549" customFormat="false" ht="15.7" hidden="false" customHeight="true" outlineLevel="0" collapsed="false">
      <c r="A4549" s="2"/>
      <c r="B4549" s="3" t="n">
        <f aca="false">DATE(2019,10,16)</f>
        <v>0</v>
      </c>
      <c r="C4549" s="3" t="n">
        <v>43754</v>
      </c>
      <c r="D4549" s="2" t="s">
        <v>33957</v>
      </c>
      <c r="F4549" s="2" t="s">
        <v>33958</v>
      </c>
      <c r="G4549" s="2" t="s">
        <v>33959</v>
      </c>
      <c r="H4549" s="2" t="s">
        <v>33960</v>
      </c>
      <c r="I4549" s="2" t="s">
        <v>34</v>
      </c>
      <c r="J4549" s="2" t="s">
        <v>35</v>
      </c>
      <c r="K4549" s="2" t="s">
        <v>33961</v>
      </c>
      <c r="L4549" s="2" t="s">
        <v>34</v>
      </c>
      <c r="M4549" s="2" t="s">
        <v>33962</v>
      </c>
      <c r="N4549" s="2" t="s">
        <v>33963</v>
      </c>
      <c r="O4549" s="2"/>
      <c r="P4549" s="2" t="s">
        <v>37</v>
      </c>
      <c r="Q4549" s="4" t="n">
        <v>8731</v>
      </c>
      <c r="R4549" s="2" t="s">
        <v>38</v>
      </c>
      <c r="S4549" s="2" t="s">
        <v>39</v>
      </c>
      <c r="T4549" s="2" t="s">
        <v>40</v>
      </c>
      <c r="U4549" s="2" t="s">
        <v>33964</v>
      </c>
      <c r="V4549" s="2"/>
      <c r="W4549" s="2" t="s">
        <v>33965</v>
      </c>
      <c r="X4549" s="2" t="s">
        <v>46</v>
      </c>
      <c r="Y4549" s="2" t="s">
        <v>37</v>
      </c>
      <c r="Z4549" s="2" t="s">
        <v>44</v>
      </c>
      <c r="AA4549" s="2"/>
      <c r="AB4549" s="2"/>
      <c r="AC4549" s="2" t="s">
        <v>33966</v>
      </c>
      <c r="AD4549" s="2" t="s">
        <v>46</v>
      </c>
    </row>
    <row r="4550" customFormat="false" ht="15.7" hidden="false" customHeight="true" outlineLevel="0" collapsed="false">
      <c r="A4550" s="2"/>
      <c r="B4550" s="3" t="n">
        <f aca="false">DATE(2019,10,18)</f>
        <v>0</v>
      </c>
      <c r="C4550" s="3" t="n">
        <v>43756</v>
      </c>
      <c r="D4550" s="2" t="s">
        <v>33967</v>
      </c>
      <c r="F4550" s="2" t="s">
        <v>33968</v>
      </c>
      <c r="G4550" s="2" t="s">
        <v>33969</v>
      </c>
      <c r="H4550" s="2" t="s">
        <v>247</v>
      </c>
      <c r="I4550" s="2" t="s">
        <v>330</v>
      </c>
      <c r="J4550" s="2" t="s">
        <v>795</v>
      </c>
      <c r="K4550" s="2" t="s">
        <v>33967</v>
      </c>
      <c r="L4550" s="2" t="s">
        <v>330</v>
      </c>
      <c r="M4550" s="2" t="s">
        <v>247</v>
      </c>
      <c r="N4550" s="2" t="s">
        <v>33970</v>
      </c>
      <c r="O4550" s="2"/>
      <c r="P4550" s="2" t="s">
        <v>37</v>
      </c>
      <c r="Q4550" s="4" t="n">
        <v>8731</v>
      </c>
      <c r="R4550" s="2" t="s">
        <v>330</v>
      </c>
      <c r="S4550" s="2" t="s">
        <v>18589</v>
      </c>
      <c r="T4550" s="2" t="s">
        <v>40</v>
      </c>
      <c r="U4550" s="2" t="s">
        <v>33971</v>
      </c>
      <c r="V4550" s="2"/>
      <c r="W4550" s="2" t="s">
        <v>24450</v>
      </c>
      <c r="X4550" s="2" t="s">
        <v>43</v>
      </c>
      <c r="Y4550" s="2" t="s">
        <v>79</v>
      </c>
      <c r="Z4550" s="2" t="s">
        <v>44</v>
      </c>
      <c r="AA4550" s="2"/>
      <c r="AB4550" s="2"/>
      <c r="AC4550" s="2" t="s">
        <v>33972</v>
      </c>
      <c r="AD4550" s="2" t="s">
        <v>46</v>
      </c>
    </row>
    <row r="4551" customFormat="false" ht="15.7" hidden="false" customHeight="true" outlineLevel="0" collapsed="false">
      <c r="A4551" s="2"/>
      <c r="B4551" s="3" t="n">
        <f aca="false">DATE(2019,10,21)</f>
        <v>0</v>
      </c>
      <c r="C4551" s="3" t="n">
        <v>43759</v>
      </c>
      <c r="D4551" s="2" t="s">
        <v>33973</v>
      </c>
      <c r="F4551" s="2" t="s">
        <v>33974</v>
      </c>
      <c r="G4551" s="2" t="s">
        <v>33975</v>
      </c>
      <c r="H4551" s="2" t="s">
        <v>33976</v>
      </c>
      <c r="I4551" s="2" t="s">
        <v>131</v>
      </c>
      <c r="J4551" s="2" t="s">
        <v>132</v>
      </c>
      <c r="K4551" s="2" t="s">
        <v>33977</v>
      </c>
      <c r="L4551" s="2" t="s">
        <v>330</v>
      </c>
      <c r="M4551" s="2" t="s">
        <v>33978</v>
      </c>
      <c r="N4551" s="2" t="s">
        <v>33979</v>
      </c>
      <c r="O4551" s="2"/>
      <c r="P4551" s="2" t="s">
        <v>37</v>
      </c>
      <c r="Q4551" s="4" t="n">
        <v>8731</v>
      </c>
      <c r="R4551" s="2" t="s">
        <v>105</v>
      </c>
      <c r="S4551" s="2" t="s">
        <v>39</v>
      </c>
      <c r="T4551" s="2" t="s">
        <v>40</v>
      </c>
      <c r="U4551" s="2" t="s">
        <v>33980</v>
      </c>
      <c r="V4551" s="2"/>
      <c r="W4551" s="2" t="s">
        <v>18171</v>
      </c>
      <c r="X4551" s="2" t="s">
        <v>43</v>
      </c>
      <c r="Y4551" s="2" t="s">
        <v>37</v>
      </c>
      <c r="Z4551" s="2" t="s">
        <v>44</v>
      </c>
      <c r="AA4551" s="2"/>
      <c r="AB4551" s="2"/>
      <c r="AC4551" s="2" t="s">
        <v>33981</v>
      </c>
      <c r="AD4551" s="2" t="s">
        <v>46</v>
      </c>
    </row>
    <row r="4552" customFormat="false" ht="15.7" hidden="false" customHeight="true" outlineLevel="0" collapsed="false">
      <c r="A4552" s="2"/>
      <c r="B4552" s="3" t="n">
        <f aca="false">DATE(2019,10,21)</f>
        <v>0</v>
      </c>
      <c r="C4552" s="3" t="n">
        <v>43759</v>
      </c>
      <c r="D4552" s="2" t="s">
        <v>33982</v>
      </c>
      <c r="F4552" s="2" t="s">
        <v>33983</v>
      </c>
      <c r="G4552" s="2" t="s">
        <v>33984</v>
      </c>
      <c r="H4552" s="2" t="s">
        <v>33985</v>
      </c>
      <c r="I4552" s="2" t="s">
        <v>180</v>
      </c>
      <c r="J4552" s="2" t="s">
        <v>331</v>
      </c>
      <c r="K4552" s="2" t="s">
        <v>33982</v>
      </c>
      <c r="L4552" s="2" t="s">
        <v>180</v>
      </c>
      <c r="M4552" s="2" t="s">
        <v>33985</v>
      </c>
      <c r="N4552" s="2" t="s">
        <v>33986</v>
      </c>
      <c r="O4552" s="2"/>
      <c r="P4552" s="2" t="s">
        <v>37</v>
      </c>
      <c r="Q4552" s="4" t="n">
        <v>8731</v>
      </c>
      <c r="R4552" s="2" t="s">
        <v>88</v>
      </c>
      <c r="S4552" s="2" t="s">
        <v>24876</v>
      </c>
      <c r="T4552" s="2" t="s">
        <v>40</v>
      </c>
      <c r="U4552" s="2" t="s">
        <v>33987</v>
      </c>
      <c r="V4552" s="2"/>
      <c r="W4552" s="2" t="s">
        <v>2536</v>
      </c>
      <c r="X4552" s="2" t="s">
        <v>43</v>
      </c>
      <c r="Y4552" s="2" t="s">
        <v>79</v>
      </c>
      <c r="Z4552" s="2" t="s">
        <v>44</v>
      </c>
      <c r="AA4552" s="2"/>
      <c r="AB4552" s="2"/>
      <c r="AC4552" s="2" t="s">
        <v>33988</v>
      </c>
      <c r="AD4552" s="2" t="s">
        <v>46</v>
      </c>
    </row>
    <row r="4553" customFormat="false" ht="15.7" hidden="false" customHeight="true" outlineLevel="0" collapsed="false">
      <c r="A4553" s="2"/>
      <c r="B4553" s="3" t="n">
        <f aca="false">DATE(2019,10,22)</f>
        <v>0</v>
      </c>
      <c r="C4553" s="3" t="n">
        <v>43760</v>
      </c>
      <c r="D4553" s="2" t="s">
        <v>33989</v>
      </c>
      <c r="F4553" s="2" t="s">
        <v>33990</v>
      </c>
      <c r="G4553" s="2" t="s">
        <v>33991</v>
      </c>
      <c r="H4553" s="2" t="s">
        <v>153</v>
      </c>
      <c r="I4553" s="2" t="s">
        <v>51</v>
      </c>
      <c r="J4553" s="2" t="s">
        <v>171</v>
      </c>
      <c r="K4553" s="2" t="s">
        <v>33989</v>
      </c>
      <c r="L4553" s="2" t="s">
        <v>51</v>
      </c>
      <c r="M4553" s="2" t="s">
        <v>153</v>
      </c>
      <c r="N4553" s="2" t="s">
        <v>33992</v>
      </c>
      <c r="O4553" s="2"/>
      <c r="P4553" s="2" t="s">
        <v>37</v>
      </c>
      <c r="Q4553" s="4" t="n">
        <v>8731</v>
      </c>
      <c r="R4553" s="2" t="s">
        <v>56</v>
      </c>
      <c r="S4553" s="2" t="s">
        <v>92</v>
      </c>
      <c r="T4553" s="2" t="s">
        <v>403</v>
      </c>
      <c r="U4553" s="2" t="s">
        <v>33993</v>
      </c>
      <c r="V4553" s="2"/>
      <c r="W4553" s="2" t="s">
        <v>344</v>
      </c>
      <c r="X4553" s="2" t="s">
        <v>46</v>
      </c>
      <c r="Y4553" s="2" t="s">
        <v>37</v>
      </c>
      <c r="Z4553" s="2" t="s">
        <v>11882</v>
      </c>
      <c r="AA4553" s="2"/>
      <c r="AB4553" s="2"/>
      <c r="AC4553" s="2" t="s">
        <v>33994</v>
      </c>
      <c r="AD4553" s="2" t="s">
        <v>46</v>
      </c>
    </row>
    <row r="4554" customFormat="false" ht="15.7" hidden="false" customHeight="true" outlineLevel="0" collapsed="false">
      <c r="A4554" s="2"/>
      <c r="B4554" s="3" t="n">
        <f aca="false">DATE(2019,10,22)</f>
        <v>0</v>
      </c>
      <c r="C4554" s="3" t="n">
        <v>43760</v>
      </c>
      <c r="D4554" s="2" t="s">
        <v>33995</v>
      </c>
      <c r="F4554" s="2" t="s">
        <v>15541</v>
      </c>
      <c r="G4554" s="2" t="s">
        <v>33996</v>
      </c>
      <c r="H4554" s="2" t="s">
        <v>170</v>
      </c>
      <c r="I4554" s="2" t="s">
        <v>51</v>
      </c>
      <c r="J4554" s="2" t="s">
        <v>3704</v>
      </c>
      <c r="K4554" s="2" t="s">
        <v>33995</v>
      </c>
      <c r="L4554" s="2" t="s">
        <v>51</v>
      </c>
      <c r="M4554" s="2" t="s">
        <v>170</v>
      </c>
      <c r="N4554" s="2" t="s">
        <v>33997</v>
      </c>
      <c r="O4554" s="2"/>
      <c r="P4554" s="2" t="s">
        <v>37</v>
      </c>
      <c r="Q4554" s="4" t="n">
        <v>6794</v>
      </c>
      <c r="R4554" s="2" t="s">
        <v>402</v>
      </c>
      <c r="S4554" s="2" t="s">
        <v>39</v>
      </c>
      <c r="T4554" s="2" t="s">
        <v>40</v>
      </c>
      <c r="U4554" s="2" t="s">
        <v>33998</v>
      </c>
      <c r="V4554" s="2"/>
      <c r="W4554" s="2" t="s">
        <v>15545</v>
      </c>
      <c r="X4554" s="2" t="s">
        <v>43</v>
      </c>
      <c r="Y4554" s="2" t="s">
        <v>37</v>
      </c>
      <c r="Z4554" s="2" t="s">
        <v>44</v>
      </c>
      <c r="AA4554" s="2"/>
      <c r="AB4554" s="2"/>
      <c r="AC4554" s="2" t="s">
        <v>33999</v>
      </c>
      <c r="AD4554" s="2" t="s">
        <v>46</v>
      </c>
    </row>
    <row r="4555" customFormat="false" ht="15.7" hidden="false" customHeight="true" outlineLevel="0" collapsed="false">
      <c r="A4555" s="2"/>
      <c r="B4555" s="3" t="n">
        <f aca="false">DATE(2019,10,23)</f>
        <v>0</v>
      </c>
      <c r="C4555" s="3" t="n">
        <v>43761</v>
      </c>
      <c r="D4555" s="2" t="s">
        <v>34000</v>
      </c>
      <c r="F4555" s="2" t="s">
        <v>34001</v>
      </c>
      <c r="G4555" s="2" t="s">
        <v>34002</v>
      </c>
      <c r="H4555" s="2" t="s">
        <v>6991</v>
      </c>
      <c r="I4555" s="2" t="s">
        <v>1439</v>
      </c>
      <c r="J4555" s="2" t="s">
        <v>35</v>
      </c>
      <c r="K4555" s="2" t="s">
        <v>34000</v>
      </c>
      <c r="L4555" s="2" t="s">
        <v>1439</v>
      </c>
      <c r="M4555" s="2" t="s">
        <v>6991</v>
      </c>
      <c r="N4555" s="2" t="s">
        <v>34003</v>
      </c>
      <c r="O4555" s="2"/>
      <c r="P4555" s="2" t="s">
        <v>37</v>
      </c>
      <c r="Q4555" s="4" t="n">
        <v>3999</v>
      </c>
      <c r="R4555" s="2" t="s">
        <v>1439</v>
      </c>
      <c r="S4555" s="2" t="s">
        <v>5334</v>
      </c>
      <c r="T4555" s="2" t="s">
        <v>403</v>
      </c>
      <c r="U4555" s="2" t="s">
        <v>34004</v>
      </c>
      <c r="V4555" s="2"/>
      <c r="W4555" s="2" t="s">
        <v>24648</v>
      </c>
      <c r="X4555" s="2" t="s">
        <v>43</v>
      </c>
      <c r="Y4555" s="2" t="s">
        <v>79</v>
      </c>
      <c r="Z4555" s="2" t="s">
        <v>44</v>
      </c>
      <c r="AA4555" s="2"/>
      <c r="AB4555" s="2"/>
      <c r="AC4555" s="2" t="s">
        <v>34005</v>
      </c>
      <c r="AD4555" s="2" t="s">
        <v>46</v>
      </c>
    </row>
    <row r="4556" customFormat="false" ht="15.7" hidden="false" customHeight="true" outlineLevel="0" collapsed="false">
      <c r="A4556" s="2"/>
      <c r="B4556" s="3" t="n">
        <f aca="false">DATE(2019,10,23)</f>
        <v>0</v>
      </c>
      <c r="C4556" s="3" t="n">
        <v>43761</v>
      </c>
      <c r="D4556" s="2" t="s">
        <v>34006</v>
      </c>
      <c r="F4556" s="2" t="s">
        <v>34007</v>
      </c>
      <c r="G4556" s="2" t="s">
        <v>34008</v>
      </c>
      <c r="H4556" s="2" t="s">
        <v>34009</v>
      </c>
      <c r="I4556" s="2" t="s">
        <v>34010</v>
      </c>
      <c r="J4556" s="2" t="s">
        <v>116</v>
      </c>
      <c r="K4556" s="2" t="s">
        <v>34011</v>
      </c>
      <c r="L4556" s="2" t="s">
        <v>34010</v>
      </c>
      <c r="M4556" s="2" t="s">
        <v>34012</v>
      </c>
      <c r="N4556" s="2" t="s">
        <v>34013</v>
      </c>
      <c r="O4556" s="2"/>
      <c r="P4556" s="2" t="s">
        <v>37</v>
      </c>
      <c r="Q4556" s="4" t="n">
        <v>8099</v>
      </c>
      <c r="R4556" s="2" t="s">
        <v>5774</v>
      </c>
      <c r="S4556" s="2" t="s">
        <v>39</v>
      </c>
      <c r="T4556" s="2" t="s">
        <v>40</v>
      </c>
      <c r="U4556" s="2" t="s">
        <v>34014</v>
      </c>
      <c r="V4556" s="2"/>
      <c r="W4556" s="2" t="s">
        <v>4487</v>
      </c>
      <c r="X4556" s="2" t="s">
        <v>43</v>
      </c>
      <c r="Y4556" s="2" t="s">
        <v>37</v>
      </c>
      <c r="Z4556" s="2" t="s">
        <v>916</v>
      </c>
      <c r="AA4556" s="2"/>
      <c r="AB4556" s="2"/>
      <c r="AC4556" s="2" t="s">
        <v>34015</v>
      </c>
      <c r="AD4556" s="2" t="s">
        <v>46</v>
      </c>
    </row>
    <row r="4557" customFormat="false" ht="15.7" hidden="false" customHeight="true" outlineLevel="0" collapsed="false">
      <c r="A4557" s="2"/>
      <c r="B4557" s="3" t="n">
        <f aca="false">DATE(2019,10,24)</f>
        <v>0</v>
      </c>
      <c r="C4557" s="3" t="n">
        <v>43762</v>
      </c>
      <c r="D4557" s="2" t="s">
        <v>34016</v>
      </c>
      <c r="F4557" s="2" t="s">
        <v>34017</v>
      </c>
      <c r="G4557" s="2" t="s">
        <v>34018</v>
      </c>
      <c r="H4557" s="2" t="s">
        <v>34019</v>
      </c>
      <c r="I4557" s="2" t="s">
        <v>1867</v>
      </c>
      <c r="J4557" s="2" t="s">
        <v>35</v>
      </c>
      <c r="K4557" s="2" t="s">
        <v>34016</v>
      </c>
      <c r="L4557" s="2" t="s">
        <v>1867</v>
      </c>
      <c r="M4557" s="2" t="s">
        <v>34019</v>
      </c>
      <c r="N4557" s="2" t="s">
        <v>34020</v>
      </c>
      <c r="O4557" s="2"/>
      <c r="P4557" s="2" t="s">
        <v>37</v>
      </c>
      <c r="Q4557" s="4" t="n">
        <v>8731</v>
      </c>
      <c r="R4557" s="2" t="s">
        <v>2201</v>
      </c>
      <c r="S4557" s="2" t="s">
        <v>39</v>
      </c>
      <c r="T4557" s="2" t="s">
        <v>403</v>
      </c>
      <c r="U4557" s="2" t="s">
        <v>34021</v>
      </c>
      <c r="V4557" s="2"/>
      <c r="W4557" s="2" t="s">
        <v>25385</v>
      </c>
      <c r="X4557" s="2" t="s">
        <v>43</v>
      </c>
      <c r="Y4557" s="2" t="s">
        <v>37</v>
      </c>
      <c r="Z4557" s="2" t="s">
        <v>44</v>
      </c>
      <c r="AA4557" s="2"/>
      <c r="AB4557" s="2"/>
      <c r="AC4557" s="2" t="s">
        <v>34022</v>
      </c>
      <c r="AD4557" s="2" t="s">
        <v>46</v>
      </c>
    </row>
    <row r="4558" customFormat="false" ht="15.7" hidden="false" customHeight="true" outlineLevel="0" collapsed="false">
      <c r="A4558" s="2"/>
      <c r="B4558" s="3" t="n">
        <f aca="false">DATE(2019,10,25)</f>
        <v>0</v>
      </c>
      <c r="C4558" s="3" t="n">
        <v>43763</v>
      </c>
      <c r="D4558" s="2" t="s">
        <v>34023</v>
      </c>
      <c r="F4558" s="2" t="s">
        <v>34024</v>
      </c>
      <c r="G4558" s="2" t="s">
        <v>34025</v>
      </c>
      <c r="H4558" s="2" t="s">
        <v>34026</v>
      </c>
      <c r="I4558" s="2" t="s">
        <v>4325</v>
      </c>
      <c r="J4558" s="2" t="s">
        <v>35</v>
      </c>
      <c r="K4558" s="2" t="s">
        <v>34023</v>
      </c>
      <c r="L4558" s="2" t="s">
        <v>4325</v>
      </c>
      <c r="M4558" s="2" t="s">
        <v>34026</v>
      </c>
      <c r="N4558" s="2" t="s">
        <v>34027</v>
      </c>
      <c r="O4558" s="2"/>
      <c r="P4558" s="2" t="s">
        <v>37</v>
      </c>
      <c r="Q4558" s="4" t="n">
        <v>8731</v>
      </c>
      <c r="R4558" s="2" t="s">
        <v>402</v>
      </c>
      <c r="S4558" s="2" t="s">
        <v>39</v>
      </c>
      <c r="T4558" s="2" t="s">
        <v>40</v>
      </c>
      <c r="U4558" s="2" t="s">
        <v>34028</v>
      </c>
      <c r="V4558" s="2"/>
      <c r="W4558" s="2" t="s">
        <v>34029</v>
      </c>
      <c r="X4558" s="2" t="s">
        <v>43</v>
      </c>
      <c r="Y4558" s="2" t="s">
        <v>37</v>
      </c>
      <c r="Z4558" s="2" t="s">
        <v>44</v>
      </c>
      <c r="AA4558" s="2"/>
      <c r="AB4558" s="2"/>
      <c r="AC4558" s="2" t="s">
        <v>34030</v>
      </c>
      <c r="AD4558" s="2" t="s">
        <v>46</v>
      </c>
    </row>
    <row r="4559" customFormat="false" ht="15.7" hidden="false" customHeight="true" outlineLevel="0" collapsed="false">
      <c r="A4559" s="2"/>
      <c r="B4559" s="3" t="n">
        <f aca="false">DATE(2019,10,25)</f>
        <v>0</v>
      </c>
      <c r="C4559" s="3" t="n">
        <v>43763</v>
      </c>
      <c r="D4559" s="2" t="s">
        <v>34031</v>
      </c>
      <c r="F4559" s="2" t="s">
        <v>34032</v>
      </c>
      <c r="G4559" s="2" t="s">
        <v>34033</v>
      </c>
      <c r="H4559" s="2" t="s">
        <v>762</v>
      </c>
      <c r="I4559" s="2" t="s">
        <v>1904</v>
      </c>
      <c r="J4559" s="2" t="s">
        <v>228</v>
      </c>
      <c r="K4559" s="2" t="s">
        <v>34034</v>
      </c>
      <c r="L4559" s="2" t="s">
        <v>1904</v>
      </c>
      <c r="M4559" s="2" t="s">
        <v>523</v>
      </c>
      <c r="N4559" s="2" t="s">
        <v>34035</v>
      </c>
      <c r="O4559" s="2"/>
      <c r="P4559" s="2" t="s">
        <v>37</v>
      </c>
      <c r="Q4559" s="4" t="n">
        <v>8731</v>
      </c>
      <c r="R4559" s="2" t="s">
        <v>56</v>
      </c>
      <c r="S4559" s="2" t="s">
        <v>977</v>
      </c>
      <c r="T4559" s="2" t="s">
        <v>40</v>
      </c>
      <c r="U4559" s="2" t="s">
        <v>34036</v>
      </c>
      <c r="V4559" s="2"/>
      <c r="W4559" s="2" t="s">
        <v>24933</v>
      </c>
      <c r="X4559" s="2" t="s">
        <v>43</v>
      </c>
      <c r="Y4559" s="2" t="s">
        <v>37</v>
      </c>
      <c r="Z4559" s="2" t="s">
        <v>44</v>
      </c>
      <c r="AA4559" s="2"/>
      <c r="AB4559" s="2"/>
      <c r="AC4559" s="2" t="s">
        <v>34037</v>
      </c>
      <c r="AD4559" s="2" t="s">
        <v>46</v>
      </c>
    </row>
    <row r="4560" customFormat="false" ht="15.7" hidden="false" customHeight="true" outlineLevel="0" collapsed="false">
      <c r="A4560" s="2"/>
      <c r="B4560" s="3" t="n">
        <f aca="false">DATE(2019,10,28)</f>
        <v>0</v>
      </c>
      <c r="C4560" s="3" t="n">
        <v>43766</v>
      </c>
      <c r="D4560" s="2" t="s">
        <v>34038</v>
      </c>
      <c r="F4560" s="2" t="s">
        <v>34039</v>
      </c>
      <c r="G4560" s="2" t="s">
        <v>34040</v>
      </c>
      <c r="H4560" s="2" t="s">
        <v>31768</v>
      </c>
      <c r="I4560" s="2" t="s">
        <v>540</v>
      </c>
      <c r="J4560" s="2" t="s">
        <v>35</v>
      </c>
      <c r="K4560" s="2" t="s">
        <v>34038</v>
      </c>
      <c r="L4560" s="2" t="s">
        <v>540</v>
      </c>
      <c r="M4560" s="2" t="s">
        <v>31768</v>
      </c>
      <c r="N4560" s="2" t="s">
        <v>34041</v>
      </c>
      <c r="O4560" s="2"/>
      <c r="P4560" s="2" t="s">
        <v>37</v>
      </c>
      <c r="Q4560" s="4" t="n">
        <v>8731</v>
      </c>
      <c r="R4560" s="2"/>
      <c r="S4560" s="2"/>
      <c r="T4560" s="2" t="s">
        <v>40</v>
      </c>
      <c r="U4560" s="2" t="s">
        <v>34042</v>
      </c>
      <c r="V4560" s="2"/>
      <c r="W4560" s="2" t="s">
        <v>34043</v>
      </c>
      <c r="X4560" s="2" t="s">
        <v>43</v>
      </c>
      <c r="Y4560" s="2" t="s">
        <v>37</v>
      </c>
      <c r="Z4560" s="2" t="s">
        <v>44</v>
      </c>
      <c r="AA4560" s="2"/>
      <c r="AB4560" s="2"/>
      <c r="AC4560" s="2" t="s">
        <v>34044</v>
      </c>
      <c r="AD4560" s="2" t="s">
        <v>46</v>
      </c>
    </row>
    <row r="4561" customFormat="false" ht="15.7" hidden="false" customHeight="true" outlineLevel="0" collapsed="false">
      <c r="A4561" s="2"/>
      <c r="B4561" s="3" t="n">
        <f aca="false">DATE(2019,10,28)</f>
        <v>0</v>
      </c>
      <c r="C4561" s="3" t="n">
        <v>43766</v>
      </c>
      <c r="D4561" s="2" t="s">
        <v>34045</v>
      </c>
      <c r="F4561" s="2" t="s">
        <v>34046</v>
      </c>
      <c r="G4561" s="2" t="s">
        <v>34047</v>
      </c>
      <c r="H4561" s="2" t="s">
        <v>1495</v>
      </c>
      <c r="I4561" s="2" t="s">
        <v>180</v>
      </c>
      <c r="J4561" s="2" t="s">
        <v>795</v>
      </c>
      <c r="K4561" s="2" t="s">
        <v>34045</v>
      </c>
      <c r="L4561" s="2" t="s">
        <v>180</v>
      </c>
      <c r="M4561" s="2" t="s">
        <v>1495</v>
      </c>
      <c r="N4561" s="2" t="s">
        <v>34048</v>
      </c>
      <c r="O4561" s="2"/>
      <c r="P4561" s="2" t="s">
        <v>37</v>
      </c>
      <c r="Q4561" s="4" t="n">
        <v>8099</v>
      </c>
      <c r="R4561" s="2" t="s">
        <v>56</v>
      </c>
      <c r="S4561" s="2" t="s">
        <v>507</v>
      </c>
      <c r="T4561" s="2" t="s">
        <v>40</v>
      </c>
      <c r="U4561" s="2" t="s">
        <v>34049</v>
      </c>
      <c r="V4561" s="2"/>
      <c r="W4561" s="2" t="s">
        <v>19532</v>
      </c>
      <c r="X4561" s="2" t="s">
        <v>43</v>
      </c>
      <c r="Y4561" s="2" t="s">
        <v>37</v>
      </c>
      <c r="Z4561" s="2" t="s">
        <v>44</v>
      </c>
      <c r="AA4561" s="2"/>
      <c r="AB4561" s="2"/>
      <c r="AC4561" s="2" t="s">
        <v>34050</v>
      </c>
      <c r="AD4561" s="2" t="s">
        <v>46</v>
      </c>
    </row>
    <row r="4562" customFormat="false" ht="15.7" hidden="false" customHeight="true" outlineLevel="0" collapsed="false">
      <c r="A4562" s="2"/>
      <c r="B4562" s="3" t="n">
        <f aca="false">DATE(2019,10,28)</f>
        <v>0</v>
      </c>
      <c r="C4562" s="3" t="n">
        <v>43766</v>
      </c>
      <c r="D4562" s="2" t="s">
        <v>34051</v>
      </c>
      <c r="F4562" s="2" t="s">
        <v>34052</v>
      </c>
      <c r="G4562" s="2" t="s">
        <v>34053</v>
      </c>
      <c r="H4562" s="2" t="s">
        <v>9068</v>
      </c>
      <c r="I4562" s="2" t="s">
        <v>1904</v>
      </c>
      <c r="J4562" s="2" t="s">
        <v>795</v>
      </c>
      <c r="K4562" s="2" t="s">
        <v>34051</v>
      </c>
      <c r="L4562" s="2" t="s">
        <v>1904</v>
      </c>
      <c r="M4562" s="2" t="s">
        <v>9068</v>
      </c>
      <c r="N4562" s="2" t="s">
        <v>34054</v>
      </c>
      <c r="O4562" s="2"/>
      <c r="P4562" s="2" t="s">
        <v>37</v>
      </c>
      <c r="Q4562" s="4" t="n">
        <v>6794</v>
      </c>
      <c r="R4562" s="2" t="s">
        <v>136</v>
      </c>
      <c r="S4562" s="2" t="s">
        <v>39</v>
      </c>
      <c r="T4562" s="2" t="s">
        <v>40</v>
      </c>
      <c r="U4562" s="2" t="s">
        <v>34055</v>
      </c>
      <c r="V4562" s="2"/>
      <c r="W4562" s="2" t="s">
        <v>15545</v>
      </c>
      <c r="X4562" s="2" t="s">
        <v>43</v>
      </c>
      <c r="Y4562" s="2" t="s">
        <v>37</v>
      </c>
      <c r="Z4562" s="2" t="s">
        <v>44</v>
      </c>
      <c r="AA4562" s="2"/>
      <c r="AB4562" s="2"/>
      <c r="AC4562" s="2" t="s">
        <v>34056</v>
      </c>
      <c r="AD4562" s="2" t="s">
        <v>46</v>
      </c>
    </row>
    <row r="4563" customFormat="false" ht="15.7" hidden="false" customHeight="true" outlineLevel="0" collapsed="false">
      <c r="A4563" s="2"/>
      <c r="B4563" s="3" t="n">
        <f aca="false">DATE(2019,10,28)</f>
        <v>0</v>
      </c>
      <c r="C4563" s="3" t="n">
        <v>43766</v>
      </c>
      <c r="D4563" s="2" t="s">
        <v>34057</v>
      </c>
      <c r="F4563" s="2" t="s">
        <v>34058</v>
      </c>
      <c r="G4563" s="2" t="s">
        <v>34059</v>
      </c>
      <c r="H4563" s="2" t="s">
        <v>34060</v>
      </c>
      <c r="I4563" s="2" t="s">
        <v>34061</v>
      </c>
      <c r="J4563" s="2" t="s">
        <v>1305</v>
      </c>
      <c r="K4563" s="2" t="s">
        <v>34062</v>
      </c>
      <c r="L4563" s="2" t="s">
        <v>34061</v>
      </c>
      <c r="M4563" s="2" t="s">
        <v>34063</v>
      </c>
      <c r="N4563" s="2" t="s">
        <v>34064</v>
      </c>
      <c r="O4563" s="2"/>
      <c r="P4563" s="2" t="s">
        <v>37</v>
      </c>
      <c r="Q4563" s="4" t="n">
        <v>8731</v>
      </c>
      <c r="R4563" s="2" t="s">
        <v>1195</v>
      </c>
      <c r="S4563" s="2" t="s">
        <v>39</v>
      </c>
      <c r="T4563" s="2" t="s">
        <v>40</v>
      </c>
      <c r="U4563" s="2" t="s">
        <v>34065</v>
      </c>
      <c r="V4563" s="2"/>
      <c r="W4563" s="2" t="s">
        <v>34066</v>
      </c>
      <c r="X4563" s="2" t="s">
        <v>43</v>
      </c>
      <c r="Y4563" s="2" t="s">
        <v>37</v>
      </c>
      <c r="Z4563" s="2" t="s">
        <v>11148</v>
      </c>
      <c r="AA4563" s="2"/>
      <c r="AB4563" s="2"/>
      <c r="AC4563" s="2" t="s">
        <v>34067</v>
      </c>
      <c r="AD4563" s="2" t="s">
        <v>46</v>
      </c>
    </row>
    <row r="4564" customFormat="false" ht="15.7" hidden="false" customHeight="true" outlineLevel="0" collapsed="false">
      <c r="A4564" s="2"/>
      <c r="B4564" s="3" t="n">
        <f aca="false">DATE(2019,10,28)</f>
        <v>0</v>
      </c>
      <c r="C4564" s="3" t="n">
        <v>43766</v>
      </c>
      <c r="D4564" s="2" t="s">
        <v>34068</v>
      </c>
      <c r="F4564" s="2" t="s">
        <v>20280</v>
      </c>
      <c r="G4564" s="2" t="s">
        <v>34069</v>
      </c>
      <c r="H4564" s="2" t="s">
        <v>170</v>
      </c>
      <c r="I4564" s="2" t="s">
        <v>51</v>
      </c>
      <c r="J4564" s="2" t="s">
        <v>3176</v>
      </c>
      <c r="K4564" s="2" t="s">
        <v>34070</v>
      </c>
      <c r="L4564" s="2" t="s">
        <v>664</v>
      </c>
      <c r="M4564" s="2" t="s">
        <v>34071</v>
      </c>
      <c r="N4564" s="2" t="s">
        <v>34072</v>
      </c>
      <c r="O4564" s="2"/>
      <c r="P4564" s="2" t="s">
        <v>37</v>
      </c>
      <c r="Q4564" s="4" t="n">
        <v>8731</v>
      </c>
      <c r="R4564" s="2" t="s">
        <v>56</v>
      </c>
      <c r="S4564" s="2" t="s">
        <v>92</v>
      </c>
      <c r="T4564" s="2" t="s">
        <v>403</v>
      </c>
      <c r="U4564" s="2" t="s">
        <v>34073</v>
      </c>
      <c r="V4564" s="2"/>
      <c r="W4564" s="2" t="s">
        <v>344</v>
      </c>
      <c r="X4564" s="2" t="s">
        <v>43</v>
      </c>
      <c r="Y4564" s="2" t="s">
        <v>37</v>
      </c>
      <c r="Z4564" s="2" t="s">
        <v>44</v>
      </c>
      <c r="AA4564" s="2"/>
      <c r="AB4564" s="2"/>
      <c r="AC4564" s="2" t="s">
        <v>34074</v>
      </c>
      <c r="AD4564" s="2" t="s">
        <v>46</v>
      </c>
    </row>
    <row r="4565" customFormat="false" ht="15.7" hidden="false" customHeight="true" outlineLevel="0" collapsed="false">
      <c r="A4565" s="2"/>
      <c r="B4565" s="3" t="n">
        <f aca="false">DATE(2019,10,29)</f>
        <v>0</v>
      </c>
      <c r="C4565" s="3" t="n">
        <v>43767</v>
      </c>
      <c r="D4565" s="2" t="s">
        <v>34075</v>
      </c>
      <c r="F4565" s="2" t="s">
        <v>34076</v>
      </c>
      <c r="G4565" s="2" t="s">
        <v>34077</v>
      </c>
      <c r="H4565" s="2" t="s">
        <v>34078</v>
      </c>
      <c r="I4565" s="2" t="s">
        <v>51</v>
      </c>
      <c r="J4565" s="2" t="s">
        <v>8734</v>
      </c>
      <c r="K4565" s="2" t="s">
        <v>34075</v>
      </c>
      <c r="L4565" s="2" t="s">
        <v>51</v>
      </c>
      <c r="M4565" s="2" t="s">
        <v>34078</v>
      </c>
      <c r="N4565" s="2" t="s">
        <v>34079</v>
      </c>
      <c r="O4565" s="2"/>
      <c r="P4565" s="2" t="s">
        <v>37</v>
      </c>
      <c r="Q4565" s="4" t="n">
        <v>8742</v>
      </c>
      <c r="R4565" s="2" t="s">
        <v>56</v>
      </c>
      <c r="S4565" s="2" t="s">
        <v>92</v>
      </c>
      <c r="T4565" s="2" t="s">
        <v>403</v>
      </c>
      <c r="U4565" s="2" t="s">
        <v>34080</v>
      </c>
      <c r="V4565" s="2"/>
      <c r="W4565" s="2" t="s">
        <v>34081</v>
      </c>
      <c r="X4565" s="2" t="s">
        <v>43</v>
      </c>
      <c r="Y4565" s="2" t="s">
        <v>37</v>
      </c>
      <c r="Z4565" s="2" t="s">
        <v>44</v>
      </c>
      <c r="AA4565" s="2"/>
      <c r="AB4565" s="2"/>
      <c r="AC4565" s="2" t="s">
        <v>34082</v>
      </c>
      <c r="AD4565" s="2" t="s">
        <v>46</v>
      </c>
    </row>
    <row r="4566" customFormat="false" ht="15.7" hidden="false" customHeight="true" outlineLevel="0" collapsed="false">
      <c r="A4566" s="2"/>
      <c r="B4566" s="3" t="n">
        <f aca="false">DATE(2019,10,29)</f>
        <v>0</v>
      </c>
      <c r="C4566" s="3" t="n">
        <v>43767</v>
      </c>
      <c r="D4566" s="2" t="s">
        <v>34083</v>
      </c>
      <c r="F4566" s="2" t="s">
        <v>34084</v>
      </c>
      <c r="G4566" s="2" t="s">
        <v>34085</v>
      </c>
      <c r="H4566" s="2" t="s">
        <v>34086</v>
      </c>
      <c r="I4566" s="2" t="s">
        <v>13218</v>
      </c>
      <c r="J4566" s="2" t="s">
        <v>35</v>
      </c>
      <c r="K4566" s="2" t="s">
        <v>34083</v>
      </c>
      <c r="L4566" s="2" t="s">
        <v>13218</v>
      </c>
      <c r="M4566" s="2" t="s">
        <v>34086</v>
      </c>
      <c r="N4566" s="2" t="s">
        <v>34087</v>
      </c>
      <c r="O4566" s="2"/>
      <c r="P4566" s="2" t="s">
        <v>37</v>
      </c>
      <c r="Q4566" s="4" t="n">
        <v>8731</v>
      </c>
      <c r="R4566" s="2" t="s">
        <v>13218</v>
      </c>
      <c r="S4566" s="2" t="s">
        <v>5334</v>
      </c>
      <c r="T4566" s="2" t="s">
        <v>40</v>
      </c>
      <c r="U4566" s="2" t="s">
        <v>34088</v>
      </c>
      <c r="V4566" s="2"/>
      <c r="W4566" s="2" t="s">
        <v>15225</v>
      </c>
      <c r="X4566" s="2" t="s">
        <v>43</v>
      </c>
      <c r="Y4566" s="2" t="s">
        <v>79</v>
      </c>
      <c r="Z4566" s="2" t="s">
        <v>44</v>
      </c>
      <c r="AA4566" s="2"/>
      <c r="AB4566" s="2"/>
      <c r="AC4566" s="2" t="s">
        <v>34089</v>
      </c>
      <c r="AD4566" s="2" t="s">
        <v>46</v>
      </c>
    </row>
    <row r="4567" customFormat="false" ht="15.7" hidden="false" customHeight="true" outlineLevel="0" collapsed="false">
      <c r="A4567" s="2"/>
      <c r="B4567" s="3" t="n">
        <f aca="false">DATE(2019,10,30)</f>
        <v>0</v>
      </c>
      <c r="C4567" s="3" t="n">
        <v>43768</v>
      </c>
      <c r="D4567" s="2" t="s">
        <v>34090</v>
      </c>
      <c r="F4567" s="2" t="s">
        <v>21003</v>
      </c>
      <c r="G4567" s="2" t="s">
        <v>34091</v>
      </c>
      <c r="H4567" s="2" t="s">
        <v>1770</v>
      </c>
      <c r="I4567" s="2" t="s">
        <v>11415</v>
      </c>
      <c r="J4567" s="2" t="s">
        <v>35</v>
      </c>
      <c r="K4567" s="2" t="s">
        <v>34092</v>
      </c>
      <c r="L4567" s="2" t="s">
        <v>11415</v>
      </c>
      <c r="M4567" s="2" t="s">
        <v>1770</v>
      </c>
      <c r="N4567" s="2" t="s">
        <v>34093</v>
      </c>
      <c r="O4567" s="2"/>
      <c r="P4567" s="2" t="s">
        <v>37</v>
      </c>
      <c r="Q4567" s="4" t="n">
        <v>8099</v>
      </c>
      <c r="R4567" s="2" t="s">
        <v>121</v>
      </c>
      <c r="S4567" s="2" t="s">
        <v>39</v>
      </c>
      <c r="T4567" s="2" t="s">
        <v>403</v>
      </c>
      <c r="U4567" s="2" t="s">
        <v>34094</v>
      </c>
      <c r="V4567" s="2"/>
      <c r="W4567" s="2" t="s">
        <v>4487</v>
      </c>
      <c r="X4567" s="2" t="s">
        <v>46</v>
      </c>
      <c r="Y4567" s="2" t="s">
        <v>37</v>
      </c>
      <c r="Z4567" s="2" t="s">
        <v>44</v>
      </c>
      <c r="AA4567" s="2"/>
      <c r="AB4567" s="2"/>
      <c r="AC4567" s="2" t="s">
        <v>34095</v>
      </c>
      <c r="AD4567" s="2" t="s">
        <v>46</v>
      </c>
    </row>
    <row r="4568" customFormat="false" ht="15.7" hidden="false" customHeight="true" outlineLevel="0" collapsed="false">
      <c r="A4568" s="2"/>
      <c r="B4568" s="3" t="n">
        <f aca="false">DATE(2019,10,30)</f>
        <v>0</v>
      </c>
      <c r="C4568" s="3" t="n">
        <v>43768</v>
      </c>
      <c r="D4568" s="2" t="s">
        <v>34096</v>
      </c>
      <c r="F4568" s="2" t="s">
        <v>34097</v>
      </c>
      <c r="G4568" s="2" t="s">
        <v>34098</v>
      </c>
      <c r="H4568" s="2" t="s">
        <v>63</v>
      </c>
      <c r="I4568" s="2" t="s">
        <v>219</v>
      </c>
      <c r="J4568" s="2" t="s">
        <v>625</v>
      </c>
      <c r="K4568" s="2" t="s">
        <v>34096</v>
      </c>
      <c r="L4568" s="2" t="s">
        <v>219</v>
      </c>
      <c r="M4568" s="2" t="s">
        <v>63</v>
      </c>
      <c r="N4568" s="2" t="s">
        <v>34099</v>
      </c>
      <c r="O4568" s="2"/>
      <c r="P4568" s="2" t="s">
        <v>37</v>
      </c>
      <c r="Q4568" s="4" t="n">
        <v>6794</v>
      </c>
      <c r="R4568" s="2" t="s">
        <v>56</v>
      </c>
      <c r="S4568" s="2" t="s">
        <v>80</v>
      </c>
      <c r="T4568" s="2" t="s">
        <v>40</v>
      </c>
      <c r="U4568" s="2" t="s">
        <v>34100</v>
      </c>
      <c r="V4568" s="2"/>
      <c r="W4568" s="2" t="s">
        <v>24466</v>
      </c>
      <c r="X4568" s="2" t="s">
        <v>43</v>
      </c>
      <c r="Y4568" s="2" t="s">
        <v>37</v>
      </c>
      <c r="Z4568" s="2" t="s">
        <v>44</v>
      </c>
      <c r="AA4568" s="2"/>
      <c r="AB4568" s="2"/>
      <c r="AC4568" s="2" t="s">
        <v>34101</v>
      </c>
      <c r="AD4568" s="2" t="s">
        <v>46</v>
      </c>
    </row>
    <row r="4569" customFormat="false" ht="15.7" hidden="false" customHeight="true" outlineLevel="0" collapsed="false">
      <c r="A4569" s="2"/>
      <c r="B4569" s="3" t="n">
        <f aca="false">DATE(2019,10,30)</f>
        <v>0</v>
      </c>
      <c r="C4569" s="3" t="n">
        <v>43768</v>
      </c>
      <c r="D4569" s="2" t="s">
        <v>34102</v>
      </c>
      <c r="F4569" s="2" t="s">
        <v>34103</v>
      </c>
      <c r="G4569" s="2" t="s">
        <v>34104</v>
      </c>
      <c r="H4569" s="2" t="s">
        <v>34105</v>
      </c>
      <c r="I4569" s="2" t="s">
        <v>51</v>
      </c>
      <c r="J4569" s="2" t="s">
        <v>34106</v>
      </c>
      <c r="K4569" s="2" t="s">
        <v>34102</v>
      </c>
      <c r="L4569" s="2" t="s">
        <v>51</v>
      </c>
      <c r="M4569" s="2" t="s">
        <v>34105</v>
      </c>
      <c r="N4569" s="2" t="s">
        <v>34107</v>
      </c>
      <c r="O4569" s="2"/>
      <c r="P4569" s="2" t="s">
        <v>37</v>
      </c>
      <c r="Q4569" s="4" t="n">
        <v>7011</v>
      </c>
      <c r="R4569" s="2" t="s">
        <v>56</v>
      </c>
      <c r="S4569" s="2" t="s">
        <v>34108</v>
      </c>
      <c r="T4569" s="2" t="s">
        <v>40</v>
      </c>
      <c r="U4569" s="2" t="s">
        <v>34109</v>
      </c>
      <c r="V4569" s="2"/>
      <c r="W4569" s="2" t="s">
        <v>22694</v>
      </c>
      <c r="X4569" s="2" t="s">
        <v>43</v>
      </c>
      <c r="Y4569" s="2" t="s">
        <v>37</v>
      </c>
      <c r="Z4569" s="2" t="s">
        <v>44</v>
      </c>
      <c r="AA4569" s="2"/>
      <c r="AB4569" s="2"/>
      <c r="AC4569" s="2" t="s">
        <v>34110</v>
      </c>
      <c r="AD4569" s="2" t="s">
        <v>46</v>
      </c>
    </row>
    <row r="4570" customFormat="false" ht="15.7" hidden="false" customHeight="true" outlineLevel="0" collapsed="false">
      <c r="A4570" s="2"/>
      <c r="B4570" s="3" t="n">
        <f aca="false">DATE(2019,10,30)</f>
        <v>0</v>
      </c>
      <c r="C4570" s="3" t="n">
        <v>43768</v>
      </c>
      <c r="D4570" s="2" t="s">
        <v>34111</v>
      </c>
      <c r="F4570" s="2" t="s">
        <v>26762</v>
      </c>
      <c r="G4570" s="2" t="s">
        <v>34112</v>
      </c>
      <c r="H4570" s="2" t="s">
        <v>7288</v>
      </c>
      <c r="I4570" s="2" t="s">
        <v>540</v>
      </c>
      <c r="J4570" s="2" t="s">
        <v>35</v>
      </c>
      <c r="K4570" s="2" t="s">
        <v>34111</v>
      </c>
      <c r="L4570" s="2" t="s">
        <v>540</v>
      </c>
      <c r="M4570" s="2" t="s">
        <v>7288</v>
      </c>
      <c r="N4570" s="2" t="s">
        <v>34113</v>
      </c>
      <c r="O4570" s="2"/>
      <c r="P4570" s="2" t="s">
        <v>37</v>
      </c>
      <c r="Q4570" s="4" t="n">
        <v>8099</v>
      </c>
      <c r="R4570" s="2" t="s">
        <v>1448</v>
      </c>
      <c r="S4570" s="2" t="s">
        <v>39</v>
      </c>
      <c r="T4570" s="2" t="s">
        <v>40</v>
      </c>
      <c r="U4570" s="2" t="s">
        <v>34114</v>
      </c>
      <c r="V4570" s="2"/>
      <c r="W4570" s="2" t="s">
        <v>4487</v>
      </c>
      <c r="X4570" s="2" t="s">
        <v>43</v>
      </c>
      <c r="Y4570" s="2" t="s">
        <v>37</v>
      </c>
      <c r="Z4570" s="2" t="s">
        <v>44</v>
      </c>
      <c r="AA4570" s="2"/>
      <c r="AB4570" s="2"/>
      <c r="AC4570" s="2" t="s">
        <v>34115</v>
      </c>
      <c r="AD4570" s="2" t="s">
        <v>46</v>
      </c>
    </row>
    <row r="4571" customFormat="false" ht="15.7" hidden="false" customHeight="true" outlineLevel="0" collapsed="false">
      <c r="A4571" s="2"/>
      <c r="B4571" s="3" t="n">
        <f aca="false">DATE(2019,10,30)</f>
        <v>0</v>
      </c>
      <c r="C4571" s="3" t="n">
        <v>43768</v>
      </c>
      <c r="D4571" s="2" t="s">
        <v>34116</v>
      </c>
      <c r="F4571" s="2" t="s">
        <v>347</v>
      </c>
      <c r="G4571" s="2" t="s">
        <v>34117</v>
      </c>
      <c r="H4571" s="2" t="s">
        <v>63</v>
      </c>
      <c r="I4571" s="2" t="s">
        <v>670</v>
      </c>
      <c r="J4571" s="2" t="s">
        <v>203</v>
      </c>
      <c r="K4571" s="2" t="s">
        <v>34116</v>
      </c>
      <c r="L4571" s="2" t="s">
        <v>670</v>
      </c>
      <c r="M4571" s="2" t="s">
        <v>63</v>
      </c>
      <c r="N4571" s="2" t="s">
        <v>34118</v>
      </c>
      <c r="O4571" s="2"/>
      <c r="P4571" s="2" t="s">
        <v>37</v>
      </c>
      <c r="Q4571" s="4" t="n">
        <v>6794</v>
      </c>
      <c r="R4571" s="2" t="s">
        <v>136</v>
      </c>
      <c r="S4571" s="2" t="s">
        <v>39</v>
      </c>
      <c r="T4571" s="2" t="s">
        <v>403</v>
      </c>
      <c r="U4571" s="2" t="s">
        <v>34119</v>
      </c>
      <c r="V4571" s="2"/>
      <c r="W4571" s="2" t="s">
        <v>24466</v>
      </c>
      <c r="X4571" s="2" t="s">
        <v>43</v>
      </c>
      <c r="Y4571" s="2" t="s">
        <v>37</v>
      </c>
      <c r="Z4571" s="2" t="s">
        <v>44</v>
      </c>
      <c r="AA4571" s="2"/>
      <c r="AB4571" s="2"/>
      <c r="AC4571" s="2" t="s">
        <v>34120</v>
      </c>
      <c r="AD4571" s="2" t="s">
        <v>46</v>
      </c>
    </row>
    <row r="4572" customFormat="false" ht="15.7" hidden="false" customHeight="true" outlineLevel="0" collapsed="false">
      <c r="A4572" s="2"/>
      <c r="B4572" s="3" t="n">
        <f aca="false">DATE(2019,10,30)</f>
        <v>0</v>
      </c>
      <c r="C4572" s="3" t="n">
        <v>43768</v>
      </c>
      <c r="D4572" s="2" t="s">
        <v>34121</v>
      </c>
      <c r="F4572" s="2" t="s">
        <v>34122</v>
      </c>
      <c r="G4572" s="2" t="s">
        <v>34123</v>
      </c>
      <c r="H4572" s="2" t="s">
        <v>2215</v>
      </c>
      <c r="I4572" s="2" t="s">
        <v>51</v>
      </c>
      <c r="J4572" s="2" t="s">
        <v>5635</v>
      </c>
      <c r="K4572" s="2" t="s">
        <v>34121</v>
      </c>
      <c r="L4572" s="2" t="s">
        <v>51</v>
      </c>
      <c r="M4572" s="2" t="s">
        <v>2215</v>
      </c>
      <c r="N4572" s="2" t="s">
        <v>34124</v>
      </c>
      <c r="O4572" s="2"/>
      <c r="P4572" s="2" t="s">
        <v>37</v>
      </c>
      <c r="Q4572" s="4" t="n">
        <v>8099</v>
      </c>
      <c r="R4572" s="2" t="s">
        <v>56</v>
      </c>
      <c r="S4572" s="2" t="s">
        <v>931</v>
      </c>
      <c r="T4572" s="2" t="s">
        <v>40</v>
      </c>
      <c r="U4572" s="2" t="s">
        <v>34125</v>
      </c>
      <c r="V4572" s="2"/>
      <c r="W4572" s="2" t="s">
        <v>4487</v>
      </c>
      <c r="X4572" s="2" t="s">
        <v>43</v>
      </c>
      <c r="Y4572" s="2" t="s">
        <v>37</v>
      </c>
      <c r="Z4572" s="2" t="s">
        <v>44</v>
      </c>
      <c r="AA4572" s="2"/>
      <c r="AB4572" s="2"/>
      <c r="AC4572" s="2" t="s">
        <v>34126</v>
      </c>
      <c r="AD4572" s="2" t="s">
        <v>46</v>
      </c>
    </row>
    <row r="4573" customFormat="false" ht="15.7" hidden="false" customHeight="true" outlineLevel="0" collapsed="false">
      <c r="A4573" s="2"/>
      <c r="B4573" s="3" t="n">
        <f aca="false">DATE(2019,10,30)</f>
        <v>0</v>
      </c>
      <c r="C4573" s="3" t="n">
        <v>43768</v>
      </c>
      <c r="D4573" s="2" t="s">
        <v>34127</v>
      </c>
      <c r="F4573" s="2" t="s">
        <v>34128</v>
      </c>
      <c r="G4573" s="2" t="s">
        <v>34129</v>
      </c>
      <c r="H4573" s="2" t="s">
        <v>34130</v>
      </c>
      <c r="I4573" s="2" t="s">
        <v>26589</v>
      </c>
      <c r="J4573" s="2" t="s">
        <v>35</v>
      </c>
      <c r="K4573" s="2" t="s">
        <v>34127</v>
      </c>
      <c r="L4573" s="2" t="s">
        <v>26589</v>
      </c>
      <c r="M4573" s="2" t="s">
        <v>34130</v>
      </c>
      <c r="N4573" s="2" t="s">
        <v>34131</v>
      </c>
      <c r="O4573" s="2"/>
      <c r="P4573" s="2" t="s">
        <v>37</v>
      </c>
      <c r="Q4573" s="4" t="n">
        <v>7373</v>
      </c>
      <c r="R4573" s="2" t="s">
        <v>136</v>
      </c>
      <c r="S4573" s="2" t="s">
        <v>39</v>
      </c>
      <c r="T4573" s="2" t="s">
        <v>403</v>
      </c>
      <c r="U4573" s="2" t="s">
        <v>34132</v>
      </c>
      <c r="V4573" s="2"/>
      <c r="W4573" s="2" t="s">
        <v>34133</v>
      </c>
      <c r="X4573" s="2" t="s">
        <v>43</v>
      </c>
      <c r="Y4573" s="2" t="s">
        <v>37</v>
      </c>
      <c r="Z4573" s="2" t="s">
        <v>44</v>
      </c>
      <c r="AA4573" s="2"/>
      <c r="AB4573" s="2"/>
      <c r="AC4573" s="2" t="s">
        <v>34134</v>
      </c>
      <c r="AD4573" s="2" t="s">
        <v>46</v>
      </c>
    </row>
    <row r="4574" customFormat="false" ht="15.7" hidden="false" customHeight="true" outlineLevel="0" collapsed="false">
      <c r="A4574" s="2"/>
      <c r="B4574" s="3" t="n">
        <f aca="false">DATE(2019,10,30)</f>
        <v>0</v>
      </c>
      <c r="C4574" s="3" t="n">
        <v>43768</v>
      </c>
      <c r="D4574" s="2" t="s">
        <v>34135</v>
      </c>
      <c r="F4574" s="2" t="s">
        <v>34136</v>
      </c>
      <c r="G4574" s="2" t="s">
        <v>34137</v>
      </c>
      <c r="H4574" s="2" t="s">
        <v>34138</v>
      </c>
      <c r="I4574" s="2" t="s">
        <v>51</v>
      </c>
      <c r="J4574" s="2" t="s">
        <v>34139</v>
      </c>
      <c r="K4574" s="2" t="s">
        <v>34135</v>
      </c>
      <c r="L4574" s="2" t="s">
        <v>51</v>
      </c>
      <c r="M4574" s="2" t="s">
        <v>34138</v>
      </c>
      <c r="N4574" s="2" t="s">
        <v>34140</v>
      </c>
      <c r="O4574" s="2"/>
      <c r="P4574" s="2" t="s">
        <v>37</v>
      </c>
      <c r="Q4574" s="4" t="n">
        <v>8731</v>
      </c>
      <c r="R4574" s="2" t="s">
        <v>56</v>
      </c>
      <c r="S4574" s="2"/>
      <c r="T4574" s="2" t="s">
        <v>40</v>
      </c>
      <c r="U4574" s="2" t="s">
        <v>34141</v>
      </c>
      <c r="V4574" s="2"/>
      <c r="W4574" s="2" t="s">
        <v>42</v>
      </c>
      <c r="X4574" s="2" t="s">
        <v>43</v>
      </c>
      <c r="Y4574" s="2" t="s">
        <v>37</v>
      </c>
      <c r="Z4574" s="2" t="s">
        <v>44</v>
      </c>
      <c r="AA4574" s="2"/>
      <c r="AB4574" s="2"/>
      <c r="AC4574" s="2" t="s">
        <v>34142</v>
      </c>
      <c r="AD4574" s="2" t="s">
        <v>46</v>
      </c>
    </row>
    <row r="4575" customFormat="false" ht="15.7" hidden="false" customHeight="true" outlineLevel="0" collapsed="false">
      <c r="A4575" s="2"/>
      <c r="B4575" s="3" t="n">
        <f aca="false">DATE(2019,10,31)</f>
        <v>0</v>
      </c>
      <c r="C4575" s="3" t="n">
        <v>43769</v>
      </c>
      <c r="D4575" s="2" t="s">
        <v>34143</v>
      </c>
      <c r="F4575" s="2" t="s">
        <v>34144</v>
      </c>
      <c r="G4575" s="2" t="s">
        <v>34145</v>
      </c>
      <c r="H4575" s="2" t="s">
        <v>34146</v>
      </c>
      <c r="I4575" s="2" t="s">
        <v>25205</v>
      </c>
      <c r="J4575" s="2" t="s">
        <v>35</v>
      </c>
      <c r="K4575" s="2" t="s">
        <v>34147</v>
      </c>
      <c r="L4575" s="2" t="s">
        <v>25205</v>
      </c>
      <c r="M4575" s="2" t="s">
        <v>34148</v>
      </c>
      <c r="N4575" s="2" t="s">
        <v>34149</v>
      </c>
      <c r="O4575" s="2"/>
      <c r="P4575" s="2" t="s">
        <v>37</v>
      </c>
      <c r="Q4575" s="4" t="n">
        <v>8731</v>
      </c>
      <c r="R4575" s="2" t="s">
        <v>121</v>
      </c>
      <c r="S4575" s="2" t="s">
        <v>39</v>
      </c>
      <c r="T4575" s="2" t="s">
        <v>403</v>
      </c>
      <c r="U4575" s="2" t="s">
        <v>34150</v>
      </c>
      <c r="V4575" s="2"/>
      <c r="W4575" s="2" t="s">
        <v>18171</v>
      </c>
      <c r="X4575" s="2" t="s">
        <v>46</v>
      </c>
      <c r="Y4575" s="2" t="s">
        <v>37</v>
      </c>
      <c r="Z4575" s="2" t="s">
        <v>44</v>
      </c>
      <c r="AA4575" s="2"/>
      <c r="AB4575" s="2"/>
      <c r="AC4575" s="2" t="s">
        <v>34151</v>
      </c>
      <c r="AD4575" s="2" t="s">
        <v>46</v>
      </c>
    </row>
    <row r="4576" customFormat="false" ht="15.7" hidden="false" customHeight="true" outlineLevel="0" collapsed="false">
      <c r="A4576" s="2"/>
      <c r="B4576" s="3" t="n">
        <f aca="false">DATE(2019,10,31)</f>
        <v>0</v>
      </c>
      <c r="C4576" s="3" t="n">
        <v>43769</v>
      </c>
      <c r="D4576" s="2" t="s">
        <v>34152</v>
      </c>
      <c r="F4576" s="2" t="s">
        <v>34153</v>
      </c>
      <c r="G4576" s="2" t="s">
        <v>34154</v>
      </c>
      <c r="H4576" s="2" t="s">
        <v>34155</v>
      </c>
      <c r="I4576" s="2" t="s">
        <v>540</v>
      </c>
      <c r="J4576" s="2" t="s">
        <v>35</v>
      </c>
      <c r="K4576" s="2" t="s">
        <v>34156</v>
      </c>
      <c r="L4576" s="2" t="s">
        <v>487</v>
      </c>
      <c r="M4576" s="2" t="s">
        <v>34157</v>
      </c>
      <c r="N4576" s="2" t="s">
        <v>34158</v>
      </c>
      <c r="O4576" s="2"/>
      <c r="P4576" s="2" t="s">
        <v>37</v>
      </c>
      <c r="Q4576" s="4" t="n">
        <v>8731</v>
      </c>
      <c r="R4576" s="2" t="s">
        <v>1448</v>
      </c>
      <c r="S4576" s="2" t="s">
        <v>39</v>
      </c>
      <c r="T4576" s="2" t="s">
        <v>403</v>
      </c>
      <c r="U4576" s="2" t="s">
        <v>34159</v>
      </c>
      <c r="V4576" s="2"/>
      <c r="W4576" s="2" t="s">
        <v>10841</v>
      </c>
      <c r="X4576" s="2" t="s">
        <v>46</v>
      </c>
      <c r="Y4576" s="2" t="s">
        <v>37</v>
      </c>
      <c r="Z4576" s="2" t="s">
        <v>44</v>
      </c>
      <c r="AA4576" s="2"/>
      <c r="AB4576" s="2"/>
      <c r="AC4576" s="2" t="s">
        <v>34160</v>
      </c>
      <c r="AD4576" s="2" t="s">
        <v>46</v>
      </c>
    </row>
    <row r="4577" customFormat="false" ht="15.7" hidden="false" customHeight="true" outlineLevel="0" collapsed="false">
      <c r="A4577" s="2"/>
      <c r="B4577" s="3" t="n">
        <f aca="false">DATE(2019,11,1)</f>
        <v>0</v>
      </c>
      <c r="C4577" s="3" t="n">
        <v>43770</v>
      </c>
      <c r="D4577" s="2" t="s">
        <v>34161</v>
      </c>
      <c r="F4577" s="2" t="s">
        <v>34162</v>
      </c>
      <c r="G4577" s="2" t="s">
        <v>34163</v>
      </c>
      <c r="H4577" s="2" t="s">
        <v>34164</v>
      </c>
      <c r="I4577" s="2" t="s">
        <v>540</v>
      </c>
      <c r="J4577" s="2" t="s">
        <v>35</v>
      </c>
      <c r="K4577" s="2" t="s">
        <v>34165</v>
      </c>
      <c r="L4577" s="2" t="s">
        <v>296</v>
      </c>
      <c r="M4577" s="2" t="s">
        <v>34166</v>
      </c>
      <c r="N4577" s="2" t="s">
        <v>34167</v>
      </c>
      <c r="O4577" s="2"/>
      <c r="P4577" s="2" t="s">
        <v>37</v>
      </c>
      <c r="Q4577" s="4" t="n">
        <v>8731</v>
      </c>
      <c r="R4577" s="2" t="s">
        <v>1448</v>
      </c>
      <c r="S4577" s="2" t="s">
        <v>39</v>
      </c>
      <c r="T4577" s="2" t="s">
        <v>40</v>
      </c>
      <c r="U4577" s="2" t="s">
        <v>34168</v>
      </c>
      <c r="V4577" s="2"/>
      <c r="W4577" s="2" t="s">
        <v>21331</v>
      </c>
      <c r="X4577" s="2" t="s">
        <v>43</v>
      </c>
      <c r="Y4577" s="2" t="s">
        <v>37</v>
      </c>
      <c r="Z4577" s="2" t="s">
        <v>44</v>
      </c>
      <c r="AA4577" s="2"/>
      <c r="AB4577" s="2"/>
      <c r="AC4577" s="2" t="s">
        <v>34169</v>
      </c>
      <c r="AD4577" s="2" t="s">
        <v>46</v>
      </c>
    </row>
    <row r="4578" customFormat="false" ht="15.7" hidden="false" customHeight="true" outlineLevel="0" collapsed="false">
      <c r="A4578" s="2"/>
      <c r="B4578" s="3" t="n">
        <f aca="false">DATE(2019,11,1)</f>
        <v>0</v>
      </c>
      <c r="C4578" s="3" t="n">
        <v>43770</v>
      </c>
      <c r="D4578" s="2" t="s">
        <v>34170</v>
      </c>
      <c r="F4578" s="2" t="s">
        <v>34171</v>
      </c>
      <c r="G4578" s="2" t="s">
        <v>34172</v>
      </c>
      <c r="H4578" s="2" t="s">
        <v>34173</v>
      </c>
      <c r="I4578" s="2" t="s">
        <v>34</v>
      </c>
      <c r="J4578" s="2" t="s">
        <v>35</v>
      </c>
      <c r="K4578" s="2" t="s">
        <v>34170</v>
      </c>
      <c r="L4578" s="2" t="s">
        <v>34</v>
      </c>
      <c r="M4578" s="2" t="s">
        <v>34173</v>
      </c>
      <c r="N4578" s="2" t="s">
        <v>34174</v>
      </c>
      <c r="O4578" s="2"/>
      <c r="P4578" s="2" t="s">
        <v>37</v>
      </c>
      <c r="Q4578" s="4" t="n">
        <v>8099</v>
      </c>
      <c r="R4578" s="2" t="s">
        <v>38</v>
      </c>
      <c r="S4578" s="2" t="s">
        <v>39</v>
      </c>
      <c r="T4578" s="2" t="s">
        <v>403</v>
      </c>
      <c r="U4578" s="2" t="s">
        <v>34175</v>
      </c>
      <c r="V4578" s="2"/>
      <c r="W4578" s="2" t="s">
        <v>28234</v>
      </c>
      <c r="X4578" s="2" t="s">
        <v>46</v>
      </c>
      <c r="Y4578" s="2" t="s">
        <v>37</v>
      </c>
      <c r="Z4578" s="2" t="s">
        <v>44</v>
      </c>
      <c r="AA4578" s="2"/>
      <c r="AB4578" s="2"/>
      <c r="AC4578" s="2" t="s">
        <v>34176</v>
      </c>
      <c r="AD4578" s="2" t="s">
        <v>46</v>
      </c>
    </row>
    <row r="4579" customFormat="false" ht="15.7" hidden="false" customHeight="true" outlineLevel="0" collapsed="false">
      <c r="A4579" s="2"/>
      <c r="B4579" s="3" t="n">
        <f aca="false">DATE(2019,11,1)</f>
        <v>0</v>
      </c>
      <c r="C4579" s="3" t="n">
        <v>43770</v>
      </c>
      <c r="D4579" s="2" t="s">
        <v>34177</v>
      </c>
      <c r="F4579" s="2" t="s">
        <v>19085</v>
      </c>
      <c r="G4579" s="2" t="s">
        <v>34178</v>
      </c>
      <c r="H4579" s="2" t="s">
        <v>63</v>
      </c>
      <c r="I4579" s="2" t="s">
        <v>670</v>
      </c>
      <c r="J4579" s="2" t="s">
        <v>65</v>
      </c>
      <c r="K4579" s="2" t="s">
        <v>34179</v>
      </c>
      <c r="L4579" s="2" t="s">
        <v>34180</v>
      </c>
      <c r="M4579" s="2" t="s">
        <v>34181</v>
      </c>
      <c r="N4579" s="2" t="s">
        <v>34182</v>
      </c>
      <c r="O4579" s="2"/>
      <c r="P4579" s="2" t="s">
        <v>37</v>
      </c>
      <c r="Q4579" s="4" t="n">
        <v>8099</v>
      </c>
      <c r="R4579" s="2" t="s">
        <v>402</v>
      </c>
      <c r="S4579" s="2" t="s">
        <v>39</v>
      </c>
      <c r="T4579" s="2" t="s">
        <v>2444</v>
      </c>
      <c r="U4579" s="2" t="s">
        <v>34183</v>
      </c>
      <c r="V4579" s="2"/>
      <c r="W4579" s="2" t="s">
        <v>4487</v>
      </c>
      <c r="X4579" s="2" t="s">
        <v>43</v>
      </c>
      <c r="Y4579" s="2" t="s">
        <v>37</v>
      </c>
      <c r="Z4579" s="2" t="s">
        <v>44</v>
      </c>
      <c r="AA4579" s="2"/>
      <c r="AB4579" s="2"/>
      <c r="AC4579" s="2" t="s">
        <v>34184</v>
      </c>
      <c r="AD4579" s="2" t="s">
        <v>46</v>
      </c>
    </row>
    <row r="4580" customFormat="false" ht="15.7" hidden="false" customHeight="true" outlineLevel="0" collapsed="false">
      <c r="A4580" s="2"/>
      <c r="B4580" s="3" t="n">
        <f aca="false">DATE(2019,11,4)</f>
        <v>0</v>
      </c>
      <c r="C4580" s="3" t="n">
        <v>43773</v>
      </c>
      <c r="D4580" s="2" t="s">
        <v>34185</v>
      </c>
      <c r="F4580" s="2" t="s">
        <v>18520</v>
      </c>
      <c r="G4580" s="2" t="s">
        <v>34186</v>
      </c>
      <c r="H4580" s="2" t="s">
        <v>1027</v>
      </c>
      <c r="I4580" s="2" t="s">
        <v>670</v>
      </c>
      <c r="J4580" s="2" t="s">
        <v>220</v>
      </c>
      <c r="K4580" s="2" t="s">
        <v>34185</v>
      </c>
      <c r="L4580" s="2" t="s">
        <v>670</v>
      </c>
      <c r="M4580" s="2" t="s">
        <v>1027</v>
      </c>
      <c r="N4580" s="2" t="s">
        <v>34187</v>
      </c>
      <c r="O4580" s="2"/>
      <c r="P4580" s="2" t="s">
        <v>37</v>
      </c>
      <c r="Q4580" s="4" t="n">
        <v>8731</v>
      </c>
      <c r="R4580" s="2" t="s">
        <v>402</v>
      </c>
      <c r="S4580" s="2" t="s">
        <v>39</v>
      </c>
      <c r="T4580" s="2" t="s">
        <v>40</v>
      </c>
      <c r="U4580" s="2" t="s">
        <v>34188</v>
      </c>
      <c r="V4580" s="2"/>
      <c r="W4580" s="2" t="s">
        <v>344</v>
      </c>
      <c r="X4580" s="2" t="s">
        <v>43</v>
      </c>
      <c r="Y4580" s="2" t="s">
        <v>37</v>
      </c>
      <c r="Z4580" s="2" t="s">
        <v>44</v>
      </c>
      <c r="AA4580" s="2"/>
      <c r="AB4580" s="2"/>
      <c r="AC4580" s="2" t="s">
        <v>34189</v>
      </c>
      <c r="AD4580" s="2" t="s">
        <v>46</v>
      </c>
    </row>
    <row r="4581" customFormat="false" ht="15.7" hidden="false" customHeight="true" outlineLevel="0" collapsed="false">
      <c r="A4581" s="2"/>
      <c r="B4581" s="3" t="n">
        <f aca="false">DATE(2019,11,4)</f>
        <v>0</v>
      </c>
      <c r="C4581" s="3" t="n">
        <v>43773</v>
      </c>
      <c r="D4581" s="2" t="s">
        <v>34190</v>
      </c>
      <c r="F4581" s="2" t="s">
        <v>34191</v>
      </c>
      <c r="G4581" s="2" t="s">
        <v>34192</v>
      </c>
      <c r="H4581" s="2" t="s">
        <v>34193</v>
      </c>
      <c r="I4581" s="2" t="s">
        <v>51</v>
      </c>
      <c r="J4581" s="2" t="s">
        <v>34194</v>
      </c>
      <c r="K4581" s="2" t="s">
        <v>34195</v>
      </c>
      <c r="L4581" s="2" t="s">
        <v>51</v>
      </c>
      <c r="M4581" s="2" t="s">
        <v>34196</v>
      </c>
      <c r="N4581" s="2" t="s">
        <v>34197</v>
      </c>
      <c r="O4581" s="2"/>
      <c r="P4581" s="2" t="s">
        <v>37</v>
      </c>
      <c r="Q4581" s="4" t="n">
        <v>8099</v>
      </c>
      <c r="R4581" s="2" t="s">
        <v>56</v>
      </c>
      <c r="S4581" s="2"/>
      <c r="T4581" s="2" t="s">
        <v>40</v>
      </c>
      <c r="U4581" s="2" t="s">
        <v>34198</v>
      </c>
      <c r="V4581" s="2"/>
      <c r="W4581" s="2" t="s">
        <v>4487</v>
      </c>
      <c r="X4581" s="2" t="s">
        <v>43</v>
      </c>
      <c r="Y4581" s="2" t="s">
        <v>37</v>
      </c>
      <c r="Z4581" s="2" t="s">
        <v>44</v>
      </c>
      <c r="AA4581" s="2"/>
      <c r="AB4581" s="2"/>
      <c r="AC4581" s="2" t="s">
        <v>34199</v>
      </c>
      <c r="AD4581" s="2" t="s">
        <v>46</v>
      </c>
    </row>
    <row r="4582" customFormat="false" ht="15.7" hidden="false" customHeight="true" outlineLevel="0" collapsed="false">
      <c r="A4582" s="2"/>
      <c r="B4582" s="3" t="n">
        <f aca="false">DATE(2019,11,4)</f>
        <v>0</v>
      </c>
      <c r="C4582" s="3" t="n">
        <v>43773</v>
      </c>
      <c r="D4582" s="2" t="s">
        <v>34200</v>
      </c>
      <c r="F4582" s="2" t="s">
        <v>23409</v>
      </c>
      <c r="G4582" s="2" t="s">
        <v>34201</v>
      </c>
      <c r="H4582" s="2" t="s">
        <v>523</v>
      </c>
      <c r="I4582" s="2" t="s">
        <v>24731</v>
      </c>
      <c r="J4582" s="2" t="s">
        <v>35</v>
      </c>
      <c r="K4582" s="2" t="s">
        <v>34200</v>
      </c>
      <c r="L4582" s="2" t="s">
        <v>24731</v>
      </c>
      <c r="M4582" s="2" t="s">
        <v>523</v>
      </c>
      <c r="N4582" s="2" t="s">
        <v>34202</v>
      </c>
      <c r="O4582" s="2"/>
      <c r="P4582" s="2" t="s">
        <v>37</v>
      </c>
      <c r="Q4582" s="4" t="n">
        <v>6794</v>
      </c>
      <c r="R4582" s="2" t="s">
        <v>24731</v>
      </c>
      <c r="S4582" s="2" t="s">
        <v>5334</v>
      </c>
      <c r="T4582" s="2" t="s">
        <v>40</v>
      </c>
      <c r="U4582" s="2" t="s">
        <v>34203</v>
      </c>
      <c r="V4582" s="2"/>
      <c r="W4582" s="2" t="s">
        <v>15545</v>
      </c>
      <c r="X4582" s="2" t="s">
        <v>43</v>
      </c>
      <c r="Y4582" s="2" t="s">
        <v>79</v>
      </c>
      <c r="Z4582" s="2" t="s">
        <v>44</v>
      </c>
      <c r="AA4582" s="2"/>
      <c r="AB4582" s="2"/>
      <c r="AC4582" s="2" t="s">
        <v>34204</v>
      </c>
      <c r="AD4582" s="2" t="s">
        <v>46</v>
      </c>
    </row>
    <row r="4583" customFormat="false" ht="15.7" hidden="false" customHeight="true" outlineLevel="0" collapsed="false">
      <c r="A4583" s="2"/>
      <c r="B4583" s="3" t="n">
        <f aca="false">DATE(2019,11,4)</f>
        <v>0</v>
      </c>
      <c r="C4583" s="3" t="n">
        <v>43773</v>
      </c>
      <c r="D4583" s="2" t="s">
        <v>34205</v>
      </c>
      <c r="F4583" s="2" t="s">
        <v>19085</v>
      </c>
      <c r="G4583" s="2" t="s">
        <v>34206</v>
      </c>
      <c r="H4583" s="2" t="s">
        <v>63</v>
      </c>
      <c r="I4583" s="2" t="s">
        <v>1544</v>
      </c>
      <c r="J4583" s="2" t="s">
        <v>966</v>
      </c>
      <c r="K4583" s="2" t="s">
        <v>34205</v>
      </c>
      <c r="L4583" s="2" t="s">
        <v>1544</v>
      </c>
      <c r="M4583" s="2" t="s">
        <v>63</v>
      </c>
      <c r="N4583" s="2" t="s">
        <v>34207</v>
      </c>
      <c r="O4583" s="2"/>
      <c r="P4583" s="2" t="s">
        <v>37</v>
      </c>
      <c r="Q4583" s="4" t="n">
        <v>8099</v>
      </c>
      <c r="R4583" s="2" t="s">
        <v>56</v>
      </c>
      <c r="S4583" s="2"/>
      <c r="T4583" s="2" t="s">
        <v>40</v>
      </c>
      <c r="U4583" s="2" t="s">
        <v>34208</v>
      </c>
      <c r="V4583" s="2"/>
      <c r="W4583" s="2" t="s">
        <v>4487</v>
      </c>
      <c r="X4583" s="2" t="s">
        <v>43</v>
      </c>
      <c r="Y4583" s="2" t="s">
        <v>37</v>
      </c>
      <c r="Z4583" s="2" t="s">
        <v>44</v>
      </c>
      <c r="AA4583" s="2"/>
      <c r="AB4583" s="2"/>
      <c r="AC4583" s="2" t="s">
        <v>34209</v>
      </c>
      <c r="AD4583" s="2" t="s">
        <v>46</v>
      </c>
    </row>
    <row r="4584" customFormat="false" ht="15.7" hidden="false" customHeight="true" outlineLevel="0" collapsed="false">
      <c r="A4584" s="2"/>
      <c r="B4584" s="3" t="n">
        <f aca="false">DATE(2019,11,5)</f>
        <v>0</v>
      </c>
      <c r="C4584" s="3" t="n">
        <v>43774</v>
      </c>
      <c r="D4584" s="2" t="s">
        <v>34210</v>
      </c>
      <c r="F4584" s="2" t="s">
        <v>34211</v>
      </c>
      <c r="G4584" s="2" t="s">
        <v>34212</v>
      </c>
      <c r="H4584" s="2" t="s">
        <v>34166</v>
      </c>
      <c r="I4584" s="2" t="s">
        <v>34213</v>
      </c>
      <c r="J4584" s="2" t="s">
        <v>35</v>
      </c>
      <c r="K4584" s="2" t="s">
        <v>34210</v>
      </c>
      <c r="L4584" s="2" t="s">
        <v>34213</v>
      </c>
      <c r="M4584" s="2" t="s">
        <v>34166</v>
      </c>
      <c r="N4584" s="2" t="s">
        <v>34214</v>
      </c>
      <c r="O4584" s="2"/>
      <c r="P4584" s="2" t="s">
        <v>37</v>
      </c>
      <c r="Q4584" s="4" t="n">
        <v>8731</v>
      </c>
      <c r="R4584" s="2" t="s">
        <v>688</v>
      </c>
      <c r="S4584" s="2" t="s">
        <v>39</v>
      </c>
      <c r="T4584" s="2" t="s">
        <v>403</v>
      </c>
      <c r="U4584" s="2" t="s">
        <v>34215</v>
      </c>
      <c r="V4584" s="2"/>
      <c r="W4584" s="2" t="s">
        <v>34216</v>
      </c>
      <c r="X4584" s="2" t="s">
        <v>46</v>
      </c>
      <c r="Y4584" s="2" t="s">
        <v>37</v>
      </c>
      <c r="Z4584" s="2" t="s">
        <v>44</v>
      </c>
      <c r="AA4584" s="2"/>
      <c r="AB4584" s="2"/>
      <c r="AC4584" s="2" t="s">
        <v>34217</v>
      </c>
      <c r="AD4584" s="2" t="s">
        <v>46</v>
      </c>
    </row>
    <row r="4585" customFormat="false" ht="15.7" hidden="false" customHeight="true" outlineLevel="0" collapsed="false">
      <c r="A4585" s="2"/>
      <c r="B4585" s="3" t="n">
        <f aca="false">DATE(2019,11,5)</f>
        <v>0</v>
      </c>
      <c r="C4585" s="3" t="n">
        <v>43774</v>
      </c>
      <c r="D4585" s="2" t="s">
        <v>34218</v>
      </c>
      <c r="F4585" s="2" t="s">
        <v>32725</v>
      </c>
      <c r="G4585" s="2" t="s">
        <v>34219</v>
      </c>
      <c r="H4585" s="2" t="s">
        <v>1163</v>
      </c>
      <c r="I4585" s="2" t="s">
        <v>51</v>
      </c>
      <c r="J4585" s="2" t="s">
        <v>15068</v>
      </c>
      <c r="K4585" s="2" t="s">
        <v>34218</v>
      </c>
      <c r="L4585" s="2" t="s">
        <v>51</v>
      </c>
      <c r="M4585" s="2" t="s">
        <v>1163</v>
      </c>
      <c r="N4585" s="2" t="s">
        <v>34220</v>
      </c>
      <c r="O4585" s="2"/>
      <c r="P4585" s="2" t="s">
        <v>37</v>
      </c>
      <c r="Q4585" s="4" t="n">
        <v>8099</v>
      </c>
      <c r="R4585" s="2" t="s">
        <v>56</v>
      </c>
      <c r="S4585" s="2"/>
      <c r="T4585" s="2" t="s">
        <v>40</v>
      </c>
      <c r="U4585" s="2" t="s">
        <v>34221</v>
      </c>
      <c r="V4585" s="2"/>
      <c r="W4585" s="2" t="s">
        <v>4487</v>
      </c>
      <c r="X4585" s="2" t="s">
        <v>43</v>
      </c>
      <c r="Y4585" s="2" t="s">
        <v>37</v>
      </c>
      <c r="Z4585" s="2" t="s">
        <v>44</v>
      </c>
      <c r="AA4585" s="2"/>
      <c r="AB4585" s="2"/>
      <c r="AC4585" s="2" t="s">
        <v>34222</v>
      </c>
      <c r="AD4585" s="2" t="s">
        <v>46</v>
      </c>
    </row>
    <row r="4586" customFormat="false" ht="15.7" hidden="false" customHeight="true" outlineLevel="0" collapsed="false">
      <c r="A4586" s="2"/>
      <c r="B4586" s="3" t="n">
        <f aca="false">DATE(2019,11,5)</f>
        <v>0</v>
      </c>
      <c r="C4586" s="3" t="n">
        <v>43774</v>
      </c>
      <c r="D4586" s="2" t="s">
        <v>34223</v>
      </c>
      <c r="F4586" s="2" t="s">
        <v>34224</v>
      </c>
      <c r="G4586" s="2" t="s">
        <v>34225</v>
      </c>
      <c r="H4586" s="2" t="s">
        <v>34226</v>
      </c>
      <c r="I4586" s="2" t="s">
        <v>51</v>
      </c>
      <c r="J4586" s="2" t="s">
        <v>7971</v>
      </c>
      <c r="K4586" s="2" t="s">
        <v>34223</v>
      </c>
      <c r="L4586" s="2" t="s">
        <v>51</v>
      </c>
      <c r="M4586" s="2" t="s">
        <v>34226</v>
      </c>
      <c r="N4586" s="2" t="s">
        <v>34227</v>
      </c>
      <c r="O4586" s="2"/>
      <c r="P4586" s="2" t="s">
        <v>37</v>
      </c>
      <c r="Q4586" s="4" t="n">
        <v>721</v>
      </c>
      <c r="R4586" s="2" t="s">
        <v>56</v>
      </c>
      <c r="S4586" s="2" t="s">
        <v>315</v>
      </c>
      <c r="T4586" s="2" t="s">
        <v>40</v>
      </c>
      <c r="U4586" s="2" t="s">
        <v>34228</v>
      </c>
      <c r="V4586" s="2"/>
      <c r="W4586" s="2" t="s">
        <v>34229</v>
      </c>
      <c r="X4586" s="2" t="s">
        <v>43</v>
      </c>
      <c r="Y4586" s="2" t="s">
        <v>37</v>
      </c>
      <c r="Z4586" s="2" t="s">
        <v>44</v>
      </c>
      <c r="AA4586" s="2"/>
      <c r="AB4586" s="2"/>
      <c r="AC4586" s="2" t="s">
        <v>34230</v>
      </c>
      <c r="AD4586" s="2" t="s">
        <v>46</v>
      </c>
    </row>
    <row r="4587" customFormat="false" ht="15.7" hidden="false" customHeight="true" outlineLevel="0" collapsed="false">
      <c r="A4587" s="2"/>
      <c r="B4587" s="3" t="n">
        <f aca="false">DATE(2019,11,5)</f>
        <v>0</v>
      </c>
      <c r="C4587" s="3" t="n">
        <v>43774</v>
      </c>
      <c r="D4587" s="2" t="s">
        <v>34231</v>
      </c>
      <c r="F4587" s="2" t="s">
        <v>34232</v>
      </c>
      <c r="G4587" s="2" t="s">
        <v>34233</v>
      </c>
      <c r="H4587" s="2" t="s">
        <v>34234</v>
      </c>
      <c r="I4587" s="2" t="s">
        <v>51</v>
      </c>
      <c r="J4587" s="2" t="s">
        <v>34235</v>
      </c>
      <c r="K4587" s="2" t="s">
        <v>34236</v>
      </c>
      <c r="L4587" s="2" t="s">
        <v>435</v>
      </c>
      <c r="M4587" s="2" t="s">
        <v>25034</v>
      </c>
      <c r="N4587" s="2" t="s">
        <v>34237</v>
      </c>
      <c r="O4587" s="2"/>
      <c r="P4587" s="2" t="s">
        <v>37</v>
      </c>
      <c r="Q4587" s="4" t="n">
        <v>8731</v>
      </c>
      <c r="R4587" s="2" t="s">
        <v>56</v>
      </c>
      <c r="S4587" s="2"/>
      <c r="T4587" s="2" t="s">
        <v>40</v>
      </c>
      <c r="U4587" s="2" t="s">
        <v>34238</v>
      </c>
      <c r="V4587" s="2"/>
      <c r="W4587" s="2" t="s">
        <v>344</v>
      </c>
      <c r="X4587" s="2" t="s">
        <v>43</v>
      </c>
      <c r="Y4587" s="2" t="s">
        <v>37</v>
      </c>
      <c r="Z4587" s="2" t="s">
        <v>44</v>
      </c>
      <c r="AA4587" s="2"/>
      <c r="AB4587" s="2"/>
      <c r="AC4587" s="2" t="s">
        <v>34239</v>
      </c>
      <c r="AD4587" s="2" t="s">
        <v>46</v>
      </c>
    </row>
    <row r="4588" customFormat="false" ht="15.7" hidden="false" customHeight="true" outlineLevel="0" collapsed="false">
      <c r="A4588" s="2"/>
      <c r="B4588" s="3" t="n">
        <f aca="false">DATE(2019,11,5)</f>
        <v>0</v>
      </c>
      <c r="C4588" s="3" t="n">
        <v>43774</v>
      </c>
      <c r="D4588" s="2" t="s">
        <v>34240</v>
      </c>
      <c r="F4588" s="2" t="s">
        <v>34241</v>
      </c>
      <c r="G4588" s="2" t="s">
        <v>34242</v>
      </c>
      <c r="H4588" s="2" t="s">
        <v>28174</v>
      </c>
      <c r="I4588" s="2" t="s">
        <v>330</v>
      </c>
      <c r="J4588" s="2" t="s">
        <v>132</v>
      </c>
      <c r="K4588" s="2" t="s">
        <v>34240</v>
      </c>
      <c r="L4588" s="2" t="s">
        <v>330</v>
      </c>
      <c r="M4588" s="2" t="s">
        <v>28174</v>
      </c>
      <c r="N4588" s="2" t="s">
        <v>34243</v>
      </c>
      <c r="O4588" s="2"/>
      <c r="P4588" s="2" t="s">
        <v>37</v>
      </c>
      <c r="Q4588" s="4" t="n">
        <v>8099</v>
      </c>
      <c r="R4588" s="2" t="s">
        <v>2201</v>
      </c>
      <c r="S4588" s="2" t="s">
        <v>39</v>
      </c>
      <c r="T4588" s="2" t="s">
        <v>40</v>
      </c>
      <c r="U4588" s="2" t="s">
        <v>34244</v>
      </c>
      <c r="V4588" s="2"/>
      <c r="W4588" s="2" t="s">
        <v>344</v>
      </c>
      <c r="X4588" s="2" t="s">
        <v>43</v>
      </c>
      <c r="Y4588" s="2" t="s">
        <v>37</v>
      </c>
      <c r="Z4588" s="2" t="s">
        <v>44</v>
      </c>
      <c r="AA4588" s="2"/>
      <c r="AB4588" s="2"/>
      <c r="AC4588" s="2" t="s">
        <v>34245</v>
      </c>
      <c r="AD4588" s="2" t="s">
        <v>46</v>
      </c>
    </row>
    <row r="4589" customFormat="false" ht="15.7" hidden="false" customHeight="true" outlineLevel="0" collapsed="false">
      <c r="A4589" s="2"/>
      <c r="B4589" s="3" t="n">
        <f aca="false">DATE(2019,11,5)</f>
        <v>0</v>
      </c>
      <c r="C4589" s="3" t="n">
        <v>43774</v>
      </c>
      <c r="D4589" s="2" t="s">
        <v>34246</v>
      </c>
      <c r="F4589" s="2" t="s">
        <v>34247</v>
      </c>
      <c r="G4589" s="2" t="s">
        <v>34248</v>
      </c>
      <c r="H4589" s="2" t="s">
        <v>387</v>
      </c>
      <c r="I4589" s="2" t="s">
        <v>163</v>
      </c>
      <c r="J4589" s="2" t="s">
        <v>35</v>
      </c>
      <c r="K4589" s="2" t="s">
        <v>34246</v>
      </c>
      <c r="L4589" s="2" t="s">
        <v>163</v>
      </c>
      <c r="M4589" s="2" t="s">
        <v>387</v>
      </c>
      <c r="N4589" s="2" t="s">
        <v>34249</v>
      </c>
      <c r="O4589" s="2"/>
      <c r="P4589" s="2" t="s">
        <v>37</v>
      </c>
      <c r="Q4589" s="4" t="n">
        <v>8731</v>
      </c>
      <c r="R4589" s="2" t="s">
        <v>105</v>
      </c>
      <c r="S4589" s="2" t="s">
        <v>39</v>
      </c>
      <c r="T4589" s="2" t="s">
        <v>40</v>
      </c>
      <c r="U4589" s="2" t="s">
        <v>34250</v>
      </c>
      <c r="V4589" s="2"/>
      <c r="W4589" s="2" t="s">
        <v>344</v>
      </c>
      <c r="X4589" s="2" t="s">
        <v>43</v>
      </c>
      <c r="Y4589" s="2" t="s">
        <v>37</v>
      </c>
      <c r="Z4589" s="2" t="s">
        <v>44</v>
      </c>
      <c r="AA4589" s="2"/>
      <c r="AB4589" s="2"/>
      <c r="AC4589" s="2" t="s">
        <v>34251</v>
      </c>
      <c r="AD4589" s="2" t="s">
        <v>46</v>
      </c>
    </row>
    <row r="4590" customFormat="false" ht="15.7" hidden="false" customHeight="true" outlineLevel="0" collapsed="false">
      <c r="A4590" s="2"/>
      <c r="B4590" s="3" t="n">
        <f aca="false">DATE(2019,11,5)</f>
        <v>0</v>
      </c>
      <c r="C4590" s="3" t="n">
        <v>43774</v>
      </c>
      <c r="D4590" s="2" t="s">
        <v>34252</v>
      </c>
      <c r="F4590" s="2" t="s">
        <v>34253</v>
      </c>
      <c r="G4590" s="2" t="s">
        <v>34254</v>
      </c>
      <c r="H4590" s="2" t="s">
        <v>7948</v>
      </c>
      <c r="I4590" s="2" t="s">
        <v>24731</v>
      </c>
      <c r="J4590" s="2" t="s">
        <v>35</v>
      </c>
      <c r="K4590" s="2" t="s">
        <v>34252</v>
      </c>
      <c r="L4590" s="2" t="s">
        <v>24731</v>
      </c>
      <c r="M4590" s="2" t="s">
        <v>7948</v>
      </c>
      <c r="N4590" s="2" t="s">
        <v>34255</v>
      </c>
      <c r="O4590" s="2"/>
      <c r="P4590" s="2" t="s">
        <v>37</v>
      </c>
      <c r="Q4590" s="4" t="n">
        <v>8099</v>
      </c>
      <c r="R4590" s="2" t="s">
        <v>2354</v>
      </c>
      <c r="S4590" s="2" t="s">
        <v>5334</v>
      </c>
      <c r="T4590" s="2" t="s">
        <v>40</v>
      </c>
      <c r="U4590" s="2" t="s">
        <v>34256</v>
      </c>
      <c r="V4590" s="2"/>
      <c r="W4590" s="2" t="s">
        <v>4487</v>
      </c>
      <c r="X4590" s="2" t="s">
        <v>43</v>
      </c>
      <c r="Y4590" s="2" t="s">
        <v>79</v>
      </c>
      <c r="Z4590" s="2" t="s">
        <v>44</v>
      </c>
      <c r="AA4590" s="2"/>
      <c r="AB4590" s="2"/>
      <c r="AC4590" s="2" t="s">
        <v>34257</v>
      </c>
      <c r="AD4590" s="2" t="s">
        <v>46</v>
      </c>
    </row>
    <row r="4591" customFormat="false" ht="15.7" hidden="false" customHeight="true" outlineLevel="0" collapsed="false">
      <c r="A4591" s="2"/>
      <c r="B4591" s="3" t="n">
        <f aca="false">DATE(2019,11,5)</f>
        <v>0</v>
      </c>
      <c r="C4591" s="3" t="n">
        <v>43774</v>
      </c>
      <c r="D4591" s="2" t="s">
        <v>34258</v>
      </c>
      <c r="F4591" s="2" t="s">
        <v>18520</v>
      </c>
      <c r="G4591" s="2" t="s">
        <v>34259</v>
      </c>
      <c r="H4591" s="2" t="s">
        <v>63</v>
      </c>
      <c r="I4591" s="2" t="s">
        <v>296</v>
      </c>
      <c r="J4591" s="2" t="s">
        <v>65</v>
      </c>
      <c r="K4591" s="2" t="s">
        <v>34258</v>
      </c>
      <c r="L4591" s="2" t="s">
        <v>296</v>
      </c>
      <c r="M4591" s="2" t="s">
        <v>1027</v>
      </c>
      <c r="N4591" s="2" t="s">
        <v>34260</v>
      </c>
      <c r="O4591" s="2"/>
      <c r="P4591" s="2" t="s">
        <v>37</v>
      </c>
      <c r="Q4591" s="4" t="n">
        <v>8099</v>
      </c>
      <c r="R4591" s="2" t="s">
        <v>56</v>
      </c>
      <c r="S4591" s="2" t="s">
        <v>92</v>
      </c>
      <c r="T4591" s="2" t="s">
        <v>40</v>
      </c>
      <c r="U4591" s="2" t="s">
        <v>34261</v>
      </c>
      <c r="V4591" s="2"/>
      <c r="W4591" s="2" t="s">
        <v>4487</v>
      </c>
      <c r="X4591" s="2" t="s">
        <v>43</v>
      </c>
      <c r="Y4591" s="2" t="s">
        <v>37</v>
      </c>
      <c r="Z4591" s="2" t="s">
        <v>44</v>
      </c>
      <c r="AA4591" s="2"/>
      <c r="AB4591" s="2"/>
      <c r="AC4591" s="2" t="s">
        <v>34262</v>
      </c>
      <c r="AD4591" s="2" t="s">
        <v>46</v>
      </c>
    </row>
    <row r="4592" customFormat="false" ht="15.7" hidden="false" customHeight="true" outlineLevel="0" collapsed="false">
      <c r="A4592" s="2"/>
      <c r="B4592" s="3" t="n">
        <f aca="false">DATE(2019,11,5)</f>
        <v>0</v>
      </c>
      <c r="C4592" s="3" t="n">
        <v>43774</v>
      </c>
      <c r="D4592" s="2" t="s">
        <v>34263</v>
      </c>
      <c r="F4592" s="2" t="s">
        <v>34264</v>
      </c>
      <c r="G4592" s="2" t="s">
        <v>34265</v>
      </c>
      <c r="H4592" s="2" t="s">
        <v>34266</v>
      </c>
      <c r="I4592" s="2" t="s">
        <v>88</v>
      </c>
      <c r="J4592" s="2" t="s">
        <v>65</v>
      </c>
      <c r="K4592" s="2" t="s">
        <v>34263</v>
      </c>
      <c r="L4592" s="2" t="s">
        <v>88</v>
      </c>
      <c r="M4592" s="2" t="s">
        <v>34266</v>
      </c>
      <c r="N4592" s="2" t="s">
        <v>34267</v>
      </c>
      <c r="O4592" s="2"/>
      <c r="P4592" s="2" t="s">
        <v>37</v>
      </c>
      <c r="Q4592" s="4" t="n">
        <v>8731</v>
      </c>
      <c r="R4592" s="2" t="s">
        <v>2105</v>
      </c>
      <c r="S4592" s="2" t="s">
        <v>39</v>
      </c>
      <c r="T4592" s="2" t="s">
        <v>40</v>
      </c>
      <c r="U4592" s="2" t="s">
        <v>34268</v>
      </c>
      <c r="V4592" s="2"/>
      <c r="W4592" s="2" t="s">
        <v>344</v>
      </c>
      <c r="X4592" s="2" t="s">
        <v>43</v>
      </c>
      <c r="Y4592" s="2" t="s">
        <v>37</v>
      </c>
      <c r="Z4592" s="2" t="s">
        <v>44</v>
      </c>
      <c r="AA4592" s="2"/>
      <c r="AB4592" s="2"/>
      <c r="AC4592" s="2" t="s">
        <v>34269</v>
      </c>
      <c r="AD4592" s="2" t="s">
        <v>46</v>
      </c>
    </row>
    <row r="4593" customFormat="false" ht="15.7" hidden="false" customHeight="true" outlineLevel="0" collapsed="false">
      <c r="A4593" s="2"/>
      <c r="B4593" s="3" t="n">
        <f aca="false">DATE(2019,11,6)</f>
        <v>0</v>
      </c>
      <c r="C4593" s="3" t="n">
        <v>43775</v>
      </c>
      <c r="D4593" s="2" t="s">
        <v>34270</v>
      </c>
      <c r="F4593" s="2" t="s">
        <v>34271</v>
      </c>
      <c r="G4593" s="2" t="s">
        <v>34272</v>
      </c>
      <c r="H4593" s="2" t="s">
        <v>130</v>
      </c>
      <c r="I4593" s="2" t="s">
        <v>51</v>
      </c>
      <c r="J4593" s="2" t="s">
        <v>3460</v>
      </c>
      <c r="K4593" s="2" t="s">
        <v>34270</v>
      </c>
      <c r="L4593" s="2" t="s">
        <v>51</v>
      </c>
      <c r="M4593" s="2" t="s">
        <v>130</v>
      </c>
      <c r="N4593" s="2" t="s">
        <v>34273</v>
      </c>
      <c r="O4593" s="2"/>
      <c r="P4593" s="2" t="s">
        <v>37</v>
      </c>
      <c r="Q4593" s="4" t="n">
        <v>8731</v>
      </c>
      <c r="R4593" s="2" t="s">
        <v>56</v>
      </c>
      <c r="S4593" s="2"/>
      <c r="T4593" s="2" t="s">
        <v>40</v>
      </c>
      <c r="U4593" s="2" t="s">
        <v>34274</v>
      </c>
      <c r="V4593" s="2"/>
      <c r="W4593" s="2" t="s">
        <v>344</v>
      </c>
      <c r="X4593" s="2" t="s">
        <v>43</v>
      </c>
      <c r="Y4593" s="2" t="s">
        <v>37</v>
      </c>
      <c r="Z4593" s="2" t="s">
        <v>44</v>
      </c>
      <c r="AA4593" s="2"/>
      <c r="AB4593" s="2"/>
      <c r="AC4593" s="2" t="s">
        <v>34275</v>
      </c>
      <c r="AD4593" s="2" t="s">
        <v>46</v>
      </c>
    </row>
    <row r="4594" customFormat="false" ht="15.7" hidden="false" customHeight="true" outlineLevel="0" collapsed="false">
      <c r="A4594" s="2"/>
      <c r="B4594" s="3" t="n">
        <f aca="false">DATE(2019,11,6)</f>
        <v>0</v>
      </c>
      <c r="C4594" s="3" t="n">
        <v>43775</v>
      </c>
      <c r="D4594" s="2" t="s">
        <v>34276</v>
      </c>
      <c r="F4594" s="2" t="s">
        <v>19085</v>
      </c>
      <c r="G4594" s="2" t="s">
        <v>34277</v>
      </c>
      <c r="H4594" s="2" t="s">
        <v>63</v>
      </c>
      <c r="I4594" s="2" t="s">
        <v>51</v>
      </c>
      <c r="J4594" s="2" t="s">
        <v>306</v>
      </c>
      <c r="K4594" s="2" t="s">
        <v>34276</v>
      </c>
      <c r="L4594" s="2" t="s">
        <v>51</v>
      </c>
      <c r="M4594" s="2" t="s">
        <v>63</v>
      </c>
      <c r="N4594" s="2" t="s">
        <v>34278</v>
      </c>
      <c r="O4594" s="2"/>
      <c r="P4594" s="2" t="s">
        <v>37</v>
      </c>
      <c r="Q4594" s="4" t="n">
        <v>6794</v>
      </c>
      <c r="R4594" s="2" t="s">
        <v>56</v>
      </c>
      <c r="S4594" s="2" t="s">
        <v>57</v>
      </c>
      <c r="T4594" s="2" t="s">
        <v>40</v>
      </c>
      <c r="U4594" s="2" t="s">
        <v>34279</v>
      </c>
      <c r="V4594" s="2"/>
      <c r="W4594" s="2" t="s">
        <v>24466</v>
      </c>
      <c r="X4594" s="2" t="s">
        <v>43</v>
      </c>
      <c r="Y4594" s="2" t="s">
        <v>37</v>
      </c>
      <c r="Z4594" s="2" t="s">
        <v>44</v>
      </c>
      <c r="AA4594" s="2"/>
      <c r="AB4594" s="2"/>
      <c r="AC4594" s="2" t="s">
        <v>34280</v>
      </c>
      <c r="AD4594" s="2" t="s">
        <v>46</v>
      </c>
    </row>
    <row r="4595" customFormat="false" ht="15.7" hidden="false" customHeight="true" outlineLevel="0" collapsed="false">
      <c r="A4595" s="2"/>
      <c r="B4595" s="3" t="n">
        <f aca="false">DATE(2019,11,6)</f>
        <v>0</v>
      </c>
      <c r="C4595" s="3" t="n">
        <v>43775</v>
      </c>
      <c r="D4595" s="2" t="s">
        <v>34281</v>
      </c>
      <c r="F4595" s="2" t="s">
        <v>34282</v>
      </c>
      <c r="G4595" s="2" t="s">
        <v>34283</v>
      </c>
      <c r="H4595" s="2" t="s">
        <v>130</v>
      </c>
      <c r="I4595" s="2" t="s">
        <v>4570</v>
      </c>
      <c r="J4595" s="2" t="s">
        <v>35</v>
      </c>
      <c r="K4595" s="2" t="s">
        <v>34284</v>
      </c>
      <c r="L4595" s="2" t="s">
        <v>4570</v>
      </c>
      <c r="M4595" s="2" t="s">
        <v>130</v>
      </c>
      <c r="N4595" s="2" t="s">
        <v>34285</v>
      </c>
      <c r="O4595" s="2"/>
      <c r="P4595" s="2" t="s">
        <v>37</v>
      </c>
      <c r="Q4595" s="4" t="n">
        <v>8099</v>
      </c>
      <c r="R4595" s="2" t="s">
        <v>105</v>
      </c>
      <c r="S4595" s="2" t="s">
        <v>39</v>
      </c>
      <c r="T4595" s="2" t="s">
        <v>403</v>
      </c>
      <c r="U4595" s="2" t="s">
        <v>34286</v>
      </c>
      <c r="V4595" s="2"/>
      <c r="W4595" s="2" t="s">
        <v>42</v>
      </c>
      <c r="X4595" s="2" t="s">
        <v>46</v>
      </c>
      <c r="Y4595" s="2" t="s">
        <v>37</v>
      </c>
      <c r="Z4595" s="2" t="s">
        <v>362</v>
      </c>
      <c r="AA4595" s="2" t="s">
        <v>34287</v>
      </c>
      <c r="AB4595" s="2"/>
      <c r="AC4595" s="2" t="s">
        <v>34288</v>
      </c>
      <c r="AD4595" s="2" t="s">
        <v>46</v>
      </c>
    </row>
    <row r="4596" customFormat="false" ht="15.7" hidden="false" customHeight="true" outlineLevel="0" collapsed="false">
      <c r="A4596" s="2"/>
      <c r="B4596" s="3" t="n">
        <f aca="false">DATE(2019,11,6)</f>
        <v>0</v>
      </c>
      <c r="C4596" s="3" t="n">
        <v>43775</v>
      </c>
      <c r="D4596" s="2" t="s">
        <v>34289</v>
      </c>
      <c r="F4596" s="2" t="s">
        <v>34290</v>
      </c>
      <c r="G4596" s="2" t="s">
        <v>34291</v>
      </c>
      <c r="H4596" s="2" t="s">
        <v>31691</v>
      </c>
      <c r="I4596" s="2" t="s">
        <v>540</v>
      </c>
      <c r="J4596" s="2" t="s">
        <v>35</v>
      </c>
      <c r="K4596" s="2" t="s">
        <v>34289</v>
      </c>
      <c r="L4596" s="2" t="s">
        <v>540</v>
      </c>
      <c r="M4596" s="2" t="s">
        <v>31691</v>
      </c>
      <c r="N4596" s="2" t="s">
        <v>34292</v>
      </c>
      <c r="O4596" s="2"/>
      <c r="P4596" s="2" t="s">
        <v>37</v>
      </c>
      <c r="Q4596" s="4" t="n">
        <v>8731</v>
      </c>
      <c r="R4596" s="2" t="s">
        <v>1448</v>
      </c>
      <c r="S4596" s="2" t="s">
        <v>39</v>
      </c>
      <c r="T4596" s="2" t="s">
        <v>40</v>
      </c>
      <c r="U4596" s="2" t="s">
        <v>34293</v>
      </c>
      <c r="V4596" s="2"/>
      <c r="W4596" s="2" t="s">
        <v>42</v>
      </c>
      <c r="X4596" s="2" t="s">
        <v>43</v>
      </c>
      <c r="Y4596" s="2" t="s">
        <v>37</v>
      </c>
      <c r="Z4596" s="2" t="s">
        <v>44</v>
      </c>
      <c r="AA4596" s="2"/>
      <c r="AB4596" s="2"/>
      <c r="AC4596" s="2" t="s">
        <v>34294</v>
      </c>
      <c r="AD4596" s="2" t="s">
        <v>46</v>
      </c>
    </row>
    <row r="4597" customFormat="false" ht="15.7" hidden="false" customHeight="true" outlineLevel="0" collapsed="false">
      <c r="A4597" s="2"/>
      <c r="B4597" s="3" t="n">
        <f aca="false">DATE(2019,11,7)</f>
        <v>0</v>
      </c>
      <c r="C4597" s="3" t="n">
        <v>43776</v>
      </c>
      <c r="D4597" s="2" t="s">
        <v>34295</v>
      </c>
      <c r="F4597" s="2" t="s">
        <v>34296</v>
      </c>
      <c r="G4597" s="2" t="s">
        <v>34297</v>
      </c>
      <c r="H4597" s="2" t="s">
        <v>34298</v>
      </c>
      <c r="I4597" s="2" t="s">
        <v>369</v>
      </c>
      <c r="J4597" s="2" t="s">
        <v>35</v>
      </c>
      <c r="K4597" s="2" t="s">
        <v>34299</v>
      </c>
      <c r="L4597" s="2" t="s">
        <v>369</v>
      </c>
      <c r="M4597" s="2" t="s">
        <v>34300</v>
      </c>
      <c r="N4597" s="2" t="s">
        <v>34301</v>
      </c>
      <c r="O4597" s="2"/>
      <c r="P4597" s="2" t="s">
        <v>37</v>
      </c>
      <c r="Q4597" s="4" t="n">
        <v>8731</v>
      </c>
      <c r="R4597" s="2" t="s">
        <v>105</v>
      </c>
      <c r="S4597" s="2" t="s">
        <v>39</v>
      </c>
      <c r="T4597" s="2" t="s">
        <v>40</v>
      </c>
      <c r="U4597" s="2" t="s">
        <v>34302</v>
      </c>
      <c r="V4597" s="2"/>
      <c r="W4597" s="2" t="s">
        <v>34303</v>
      </c>
      <c r="X4597" s="2" t="s">
        <v>43</v>
      </c>
      <c r="Y4597" s="2" t="s">
        <v>37</v>
      </c>
      <c r="Z4597" s="2" t="s">
        <v>44</v>
      </c>
      <c r="AA4597" s="2"/>
      <c r="AB4597" s="2"/>
      <c r="AC4597" s="2" t="s">
        <v>34304</v>
      </c>
      <c r="AD4597" s="2" t="s">
        <v>46</v>
      </c>
    </row>
    <row r="4598" customFormat="false" ht="15.7" hidden="false" customHeight="true" outlineLevel="0" collapsed="false">
      <c r="A4598" s="2"/>
      <c r="B4598" s="3" t="n">
        <f aca="false">DATE(2019,11,7)</f>
        <v>0</v>
      </c>
      <c r="C4598" s="3" t="n">
        <v>43776</v>
      </c>
      <c r="D4598" s="2" t="s">
        <v>34305</v>
      </c>
      <c r="F4598" s="2" t="s">
        <v>5969</v>
      </c>
      <c r="G4598" s="2" t="s">
        <v>34306</v>
      </c>
      <c r="H4598" s="2" t="s">
        <v>3500</v>
      </c>
      <c r="I4598" s="2" t="s">
        <v>10571</v>
      </c>
      <c r="J4598" s="2" t="s">
        <v>35</v>
      </c>
      <c r="K4598" s="2" t="s">
        <v>34305</v>
      </c>
      <c r="L4598" s="2" t="s">
        <v>10571</v>
      </c>
      <c r="M4598" s="2" t="s">
        <v>3500</v>
      </c>
      <c r="N4598" s="2" t="s">
        <v>34307</v>
      </c>
      <c r="O4598" s="2"/>
      <c r="P4598" s="2" t="s">
        <v>37</v>
      </c>
      <c r="Q4598" s="4" t="n">
        <v>8731</v>
      </c>
      <c r="R4598" s="2" t="s">
        <v>402</v>
      </c>
      <c r="S4598" s="2" t="s">
        <v>39</v>
      </c>
      <c r="T4598" s="2" t="s">
        <v>403</v>
      </c>
      <c r="U4598" s="2" t="s">
        <v>34308</v>
      </c>
      <c r="V4598" s="2"/>
      <c r="W4598" s="2" t="s">
        <v>27123</v>
      </c>
      <c r="X4598" s="2" t="s">
        <v>46</v>
      </c>
      <c r="Y4598" s="2" t="s">
        <v>37</v>
      </c>
      <c r="Z4598" s="2" t="s">
        <v>44</v>
      </c>
      <c r="AA4598" s="2"/>
      <c r="AB4598" s="2"/>
      <c r="AC4598" s="2" t="s">
        <v>34309</v>
      </c>
      <c r="AD4598" s="2" t="s">
        <v>46</v>
      </c>
    </row>
    <row r="4599" customFormat="false" ht="15.7" hidden="false" customHeight="true" outlineLevel="0" collapsed="false">
      <c r="A4599" s="2"/>
      <c r="B4599" s="3" t="n">
        <f aca="false">DATE(2019,11,7)</f>
        <v>0</v>
      </c>
      <c r="C4599" s="3" t="n">
        <v>43776</v>
      </c>
      <c r="D4599" s="2" t="s">
        <v>34310</v>
      </c>
      <c r="F4599" s="2" t="s">
        <v>20650</v>
      </c>
      <c r="G4599" s="2" t="s">
        <v>34311</v>
      </c>
      <c r="H4599" s="2" t="s">
        <v>130</v>
      </c>
      <c r="I4599" s="2" t="s">
        <v>3265</v>
      </c>
      <c r="J4599" s="2" t="s">
        <v>795</v>
      </c>
      <c r="K4599" s="2" t="s">
        <v>34310</v>
      </c>
      <c r="L4599" s="2" t="s">
        <v>3265</v>
      </c>
      <c r="M4599" s="2" t="s">
        <v>130</v>
      </c>
      <c r="N4599" s="2" t="s">
        <v>34312</v>
      </c>
      <c r="O4599" s="2"/>
      <c r="P4599" s="2" t="s">
        <v>37</v>
      </c>
      <c r="Q4599" s="4" t="n">
        <v>8099</v>
      </c>
      <c r="R4599" s="2" t="s">
        <v>121</v>
      </c>
      <c r="S4599" s="2" t="s">
        <v>39</v>
      </c>
      <c r="T4599" s="2" t="s">
        <v>403</v>
      </c>
      <c r="U4599" s="2" t="s">
        <v>34313</v>
      </c>
      <c r="V4599" s="2"/>
      <c r="W4599" s="2" t="s">
        <v>4487</v>
      </c>
      <c r="X4599" s="2" t="s">
        <v>46</v>
      </c>
      <c r="Y4599" s="2" t="s">
        <v>37</v>
      </c>
      <c r="Z4599" s="2" t="s">
        <v>44</v>
      </c>
      <c r="AA4599" s="2" t="s">
        <v>34314</v>
      </c>
      <c r="AB4599" s="2"/>
      <c r="AC4599" s="2" t="s">
        <v>34315</v>
      </c>
      <c r="AD4599" s="2" t="s">
        <v>46</v>
      </c>
    </row>
    <row r="4600" customFormat="false" ht="15.7" hidden="false" customHeight="true" outlineLevel="0" collapsed="false">
      <c r="A4600" s="2"/>
      <c r="B4600" s="3" t="n">
        <f aca="false">DATE(2019,11,7)</f>
        <v>0</v>
      </c>
      <c r="C4600" s="3" t="n">
        <v>43776</v>
      </c>
      <c r="D4600" s="2" t="s">
        <v>34316</v>
      </c>
      <c r="F4600" s="2" t="s">
        <v>17957</v>
      </c>
      <c r="G4600" s="2" t="s">
        <v>34317</v>
      </c>
      <c r="H4600" s="2" t="s">
        <v>1020</v>
      </c>
      <c r="I4600" s="2" t="s">
        <v>670</v>
      </c>
      <c r="J4600" s="2" t="s">
        <v>65</v>
      </c>
      <c r="K4600" s="2" t="s">
        <v>34316</v>
      </c>
      <c r="L4600" s="2" t="s">
        <v>670</v>
      </c>
      <c r="M4600" s="2" t="s">
        <v>1020</v>
      </c>
      <c r="N4600" s="2" t="s">
        <v>34318</v>
      </c>
      <c r="O4600" s="2"/>
      <c r="P4600" s="2" t="s">
        <v>37</v>
      </c>
      <c r="Q4600" s="4" t="n">
        <v>8062</v>
      </c>
      <c r="R4600" s="2" t="s">
        <v>3265</v>
      </c>
      <c r="S4600" s="2" t="s">
        <v>28195</v>
      </c>
      <c r="T4600" s="2" t="s">
        <v>40</v>
      </c>
      <c r="U4600" s="2" t="s">
        <v>34319</v>
      </c>
      <c r="V4600" s="2"/>
      <c r="W4600" s="2" t="s">
        <v>15969</v>
      </c>
      <c r="X4600" s="2" t="s">
        <v>43</v>
      </c>
      <c r="Y4600" s="2" t="s">
        <v>79</v>
      </c>
      <c r="Z4600" s="2" t="s">
        <v>44</v>
      </c>
      <c r="AA4600" s="2"/>
      <c r="AB4600" s="2"/>
      <c r="AC4600" s="2" t="s">
        <v>34320</v>
      </c>
      <c r="AD4600" s="2" t="s">
        <v>46</v>
      </c>
    </row>
    <row r="4601" customFormat="false" ht="15.7" hidden="false" customHeight="true" outlineLevel="0" collapsed="false">
      <c r="A4601" s="2"/>
      <c r="B4601" s="3" t="n">
        <f aca="false">DATE(2019,11,8)</f>
        <v>0</v>
      </c>
      <c r="C4601" s="3" t="n">
        <v>43777</v>
      </c>
      <c r="D4601" s="2" t="s">
        <v>34321</v>
      </c>
      <c r="F4601" s="2" t="s">
        <v>34322</v>
      </c>
      <c r="G4601" s="2" t="s">
        <v>34323</v>
      </c>
      <c r="H4601" s="2" t="s">
        <v>34324</v>
      </c>
      <c r="I4601" s="2" t="s">
        <v>30510</v>
      </c>
      <c r="J4601" s="2" t="s">
        <v>35</v>
      </c>
      <c r="K4601" s="2" t="s">
        <v>34321</v>
      </c>
      <c r="L4601" s="2" t="s">
        <v>30510</v>
      </c>
      <c r="M4601" s="2" t="s">
        <v>34324</v>
      </c>
      <c r="N4601" s="2" t="s">
        <v>34325</v>
      </c>
      <c r="O4601" s="2"/>
      <c r="P4601" s="2" t="s">
        <v>37</v>
      </c>
      <c r="Q4601" s="4" t="n">
        <v>8731</v>
      </c>
      <c r="R4601" s="2" t="s">
        <v>450</v>
      </c>
      <c r="S4601" s="2" t="s">
        <v>39</v>
      </c>
      <c r="T4601" s="2" t="s">
        <v>403</v>
      </c>
      <c r="U4601" s="2" t="s">
        <v>34326</v>
      </c>
      <c r="V4601" s="2"/>
      <c r="W4601" s="2" t="s">
        <v>10985</v>
      </c>
      <c r="X4601" s="2" t="s">
        <v>46</v>
      </c>
      <c r="Y4601" s="2" t="s">
        <v>37</v>
      </c>
      <c r="Z4601" s="2" t="s">
        <v>44</v>
      </c>
      <c r="AA4601" s="2"/>
      <c r="AB4601" s="2"/>
      <c r="AC4601" s="2" t="s">
        <v>34327</v>
      </c>
      <c r="AD4601" s="2" t="s">
        <v>46</v>
      </c>
    </row>
    <row r="4602" customFormat="false" ht="15.7" hidden="false" customHeight="true" outlineLevel="0" collapsed="false">
      <c r="A4602" s="2"/>
      <c r="B4602" s="3" t="n">
        <f aca="false">DATE(2019,11,8)</f>
        <v>0</v>
      </c>
      <c r="C4602" s="3" t="n">
        <v>43777</v>
      </c>
      <c r="D4602" s="2" t="s">
        <v>34328</v>
      </c>
      <c r="F4602" s="2" t="s">
        <v>34329</v>
      </c>
      <c r="G4602" s="2" t="s">
        <v>34330</v>
      </c>
      <c r="H4602" s="2" t="s">
        <v>523</v>
      </c>
      <c r="I4602" s="2" t="s">
        <v>330</v>
      </c>
      <c r="J4602" s="2" t="s">
        <v>331</v>
      </c>
      <c r="K4602" s="2" t="s">
        <v>34328</v>
      </c>
      <c r="L4602" s="2" t="s">
        <v>330</v>
      </c>
      <c r="M4602" s="2" t="s">
        <v>523</v>
      </c>
      <c r="N4602" s="2" t="s">
        <v>34331</v>
      </c>
      <c r="O4602" s="2"/>
      <c r="P4602" s="2" t="s">
        <v>37</v>
      </c>
      <c r="Q4602" s="4" t="n">
        <v>8099</v>
      </c>
      <c r="R4602" s="2" t="s">
        <v>330</v>
      </c>
      <c r="S4602" s="2" t="s">
        <v>39</v>
      </c>
      <c r="T4602" s="2" t="s">
        <v>40</v>
      </c>
      <c r="U4602" s="2" t="s">
        <v>34332</v>
      </c>
      <c r="V4602" s="2"/>
      <c r="W4602" s="2" t="s">
        <v>34333</v>
      </c>
      <c r="X4602" s="2" t="s">
        <v>43</v>
      </c>
      <c r="Y4602" s="2" t="s">
        <v>79</v>
      </c>
      <c r="Z4602" s="2" t="s">
        <v>44</v>
      </c>
      <c r="AA4602" s="2"/>
      <c r="AB4602" s="2"/>
      <c r="AC4602" s="2" t="s">
        <v>34334</v>
      </c>
      <c r="AD4602" s="2" t="s">
        <v>46</v>
      </c>
    </row>
    <row r="4603" customFormat="false" ht="15.7" hidden="false" customHeight="true" outlineLevel="0" collapsed="false">
      <c r="A4603" s="2"/>
      <c r="B4603" s="3" t="n">
        <f aca="false">DATE(2019,11,11)</f>
        <v>0</v>
      </c>
      <c r="C4603" s="3" t="n">
        <v>43780</v>
      </c>
      <c r="D4603" s="2" t="s">
        <v>34335</v>
      </c>
      <c r="F4603" s="2" t="s">
        <v>34336</v>
      </c>
      <c r="G4603" s="2" t="s">
        <v>34337</v>
      </c>
      <c r="H4603" s="2" t="s">
        <v>34338</v>
      </c>
      <c r="I4603" s="2" t="s">
        <v>9268</v>
      </c>
      <c r="J4603" s="2" t="s">
        <v>35</v>
      </c>
      <c r="K4603" s="2" t="s">
        <v>34339</v>
      </c>
      <c r="L4603" s="2" t="s">
        <v>9268</v>
      </c>
      <c r="M4603" s="2" t="s">
        <v>34340</v>
      </c>
      <c r="N4603" s="2" t="s">
        <v>34341</v>
      </c>
      <c r="O4603" s="2"/>
      <c r="P4603" s="2" t="s">
        <v>37</v>
      </c>
      <c r="Q4603" s="4" t="n">
        <v>8731</v>
      </c>
      <c r="R4603" s="2" t="s">
        <v>402</v>
      </c>
      <c r="S4603" s="2" t="s">
        <v>39</v>
      </c>
      <c r="T4603" s="2" t="s">
        <v>40</v>
      </c>
      <c r="U4603" s="2" t="s">
        <v>34342</v>
      </c>
      <c r="V4603" s="2"/>
      <c r="W4603" s="2" t="s">
        <v>10912</v>
      </c>
      <c r="X4603" s="2" t="s">
        <v>46</v>
      </c>
      <c r="Y4603" s="2" t="s">
        <v>37</v>
      </c>
      <c r="Z4603" s="2" t="s">
        <v>44</v>
      </c>
      <c r="AA4603" s="2"/>
      <c r="AB4603" s="2"/>
      <c r="AC4603" s="2" t="s">
        <v>34343</v>
      </c>
      <c r="AD4603" s="2" t="s">
        <v>46</v>
      </c>
    </row>
    <row r="4604" customFormat="false" ht="15.7" hidden="false" customHeight="true" outlineLevel="0" collapsed="false">
      <c r="A4604" s="2"/>
      <c r="B4604" s="3" t="n">
        <f aca="false">DATE(2019,11,11)</f>
        <v>0</v>
      </c>
      <c r="C4604" s="3" t="n">
        <v>43780</v>
      </c>
      <c r="D4604" s="2" t="s">
        <v>34344</v>
      </c>
      <c r="F4604" s="2" t="s">
        <v>34345</v>
      </c>
      <c r="G4604" s="2" t="s">
        <v>34346</v>
      </c>
      <c r="H4604" s="2" t="s">
        <v>34347</v>
      </c>
      <c r="I4604" s="2" t="s">
        <v>6772</v>
      </c>
      <c r="J4604" s="2" t="s">
        <v>21603</v>
      </c>
      <c r="K4604" s="2" t="s">
        <v>34344</v>
      </c>
      <c r="L4604" s="2" t="s">
        <v>6772</v>
      </c>
      <c r="M4604" s="2" t="s">
        <v>34347</v>
      </c>
      <c r="N4604" s="2" t="s">
        <v>34348</v>
      </c>
      <c r="O4604" s="2"/>
      <c r="P4604" s="2" t="s">
        <v>37</v>
      </c>
      <c r="Q4604" s="4" t="n">
        <v>8731</v>
      </c>
      <c r="R4604" s="2" t="s">
        <v>3125</v>
      </c>
      <c r="S4604" s="2" t="s">
        <v>34349</v>
      </c>
      <c r="T4604" s="2" t="s">
        <v>40</v>
      </c>
      <c r="U4604" s="2" t="s">
        <v>34350</v>
      </c>
      <c r="V4604" s="2"/>
      <c r="W4604" s="2" t="s">
        <v>7275</v>
      </c>
      <c r="X4604" s="2" t="s">
        <v>43</v>
      </c>
      <c r="Y4604" s="2" t="s">
        <v>79</v>
      </c>
      <c r="Z4604" s="2" t="s">
        <v>44</v>
      </c>
      <c r="AA4604" s="2"/>
      <c r="AB4604" s="2"/>
      <c r="AC4604" s="2" t="s">
        <v>34351</v>
      </c>
      <c r="AD4604" s="2" t="s">
        <v>46</v>
      </c>
    </row>
    <row r="4605" customFormat="false" ht="15.7" hidden="false" customHeight="true" outlineLevel="0" collapsed="false">
      <c r="A4605" s="2"/>
      <c r="B4605" s="3" t="n">
        <f aca="false">DATE(2019,11,11)</f>
        <v>0</v>
      </c>
      <c r="C4605" s="3" t="n">
        <v>43780</v>
      </c>
      <c r="D4605" s="2" t="s">
        <v>34352</v>
      </c>
      <c r="F4605" s="2" t="s">
        <v>34353</v>
      </c>
      <c r="G4605" s="2" t="s">
        <v>34354</v>
      </c>
      <c r="H4605" s="2" t="s">
        <v>34355</v>
      </c>
      <c r="I4605" s="2" t="s">
        <v>487</v>
      </c>
      <c r="J4605" s="2" t="s">
        <v>34356</v>
      </c>
      <c r="K4605" s="2" t="s">
        <v>34352</v>
      </c>
      <c r="L4605" s="2" t="s">
        <v>487</v>
      </c>
      <c r="M4605" s="2" t="s">
        <v>34355</v>
      </c>
      <c r="N4605" s="2" t="s">
        <v>34357</v>
      </c>
      <c r="O4605" s="2"/>
      <c r="P4605" s="2" t="s">
        <v>37</v>
      </c>
      <c r="Q4605" s="4" t="n">
        <v>8731</v>
      </c>
      <c r="R4605" s="2" t="s">
        <v>1448</v>
      </c>
      <c r="S4605" s="2" t="s">
        <v>39</v>
      </c>
      <c r="T4605" s="2" t="s">
        <v>403</v>
      </c>
      <c r="U4605" s="2" t="s">
        <v>34358</v>
      </c>
      <c r="V4605" s="2"/>
      <c r="W4605" s="2" t="s">
        <v>31711</v>
      </c>
      <c r="X4605" s="2" t="s">
        <v>46</v>
      </c>
      <c r="Y4605" s="2" t="s">
        <v>37</v>
      </c>
      <c r="Z4605" s="2" t="s">
        <v>44</v>
      </c>
      <c r="AA4605" s="2"/>
      <c r="AB4605" s="2"/>
      <c r="AC4605" s="2" t="s">
        <v>34359</v>
      </c>
      <c r="AD4605" s="2" t="s">
        <v>46</v>
      </c>
    </row>
    <row r="4606" customFormat="false" ht="15.7" hidden="false" customHeight="true" outlineLevel="0" collapsed="false">
      <c r="A4606" s="2"/>
      <c r="B4606" s="3" t="n">
        <f aca="false">DATE(2019,11,11)</f>
        <v>0</v>
      </c>
      <c r="C4606" s="3" t="n">
        <v>43780</v>
      </c>
      <c r="D4606" s="2" t="s">
        <v>34360</v>
      </c>
      <c r="F4606" s="2" t="s">
        <v>34361</v>
      </c>
      <c r="G4606" s="2" t="s">
        <v>34362</v>
      </c>
      <c r="H4606" s="2" t="s">
        <v>170</v>
      </c>
      <c r="I4606" s="2" t="s">
        <v>4179</v>
      </c>
      <c r="J4606" s="2" t="s">
        <v>331</v>
      </c>
      <c r="K4606" s="2" t="s">
        <v>34360</v>
      </c>
      <c r="L4606" s="2" t="s">
        <v>4179</v>
      </c>
      <c r="M4606" s="2" t="s">
        <v>170</v>
      </c>
      <c r="N4606" s="2" t="s">
        <v>34363</v>
      </c>
      <c r="O4606" s="2"/>
      <c r="P4606" s="2" t="s">
        <v>37</v>
      </c>
      <c r="Q4606" s="4" t="n">
        <v>6794</v>
      </c>
      <c r="R4606" s="2" t="s">
        <v>136</v>
      </c>
      <c r="S4606" s="2" t="s">
        <v>39</v>
      </c>
      <c r="T4606" s="2" t="s">
        <v>40</v>
      </c>
      <c r="U4606" s="2" t="s">
        <v>34364</v>
      </c>
      <c r="V4606" s="2"/>
      <c r="W4606" s="2" t="s">
        <v>24466</v>
      </c>
      <c r="X4606" s="2" t="s">
        <v>43</v>
      </c>
      <c r="Y4606" s="2" t="s">
        <v>37</v>
      </c>
      <c r="Z4606" s="2" t="s">
        <v>44</v>
      </c>
      <c r="AA4606" s="2" t="s">
        <v>34365</v>
      </c>
      <c r="AB4606" s="2"/>
      <c r="AC4606" s="2" t="s">
        <v>34366</v>
      </c>
      <c r="AD4606" s="2" t="s">
        <v>46</v>
      </c>
    </row>
    <row r="4607" customFormat="false" ht="15.7" hidden="false" customHeight="true" outlineLevel="0" collapsed="false">
      <c r="A4607" s="2"/>
      <c r="B4607" s="3" t="n">
        <f aca="false">DATE(2019,11,11)</f>
        <v>0</v>
      </c>
      <c r="C4607" s="3" t="n">
        <v>43780</v>
      </c>
      <c r="D4607" s="2" t="s">
        <v>34367</v>
      </c>
      <c r="F4607" s="2" t="s">
        <v>34368</v>
      </c>
      <c r="G4607" s="2" t="s">
        <v>34369</v>
      </c>
      <c r="H4607" s="2" t="s">
        <v>34370</v>
      </c>
      <c r="I4607" s="2" t="s">
        <v>670</v>
      </c>
      <c r="J4607" s="2" t="s">
        <v>65</v>
      </c>
      <c r="K4607" s="2" t="s">
        <v>34367</v>
      </c>
      <c r="L4607" s="2" t="s">
        <v>670</v>
      </c>
      <c r="M4607" s="2" t="s">
        <v>34370</v>
      </c>
      <c r="N4607" s="2" t="s">
        <v>34371</v>
      </c>
      <c r="O4607" s="2"/>
      <c r="P4607" s="2" t="s">
        <v>37</v>
      </c>
      <c r="Q4607" s="4" t="n">
        <v>6794</v>
      </c>
      <c r="R4607" s="2" t="s">
        <v>136</v>
      </c>
      <c r="S4607" s="2" t="s">
        <v>39</v>
      </c>
      <c r="T4607" s="2" t="s">
        <v>40</v>
      </c>
      <c r="U4607" s="2" t="s">
        <v>34372</v>
      </c>
      <c r="V4607" s="2"/>
      <c r="W4607" s="2" t="s">
        <v>15545</v>
      </c>
      <c r="X4607" s="2" t="s">
        <v>43</v>
      </c>
      <c r="Y4607" s="2" t="s">
        <v>37</v>
      </c>
      <c r="Z4607" s="2" t="s">
        <v>44</v>
      </c>
      <c r="AA4607" s="2"/>
      <c r="AB4607" s="2"/>
      <c r="AC4607" s="2" t="s">
        <v>34373</v>
      </c>
      <c r="AD4607" s="2" t="s">
        <v>46</v>
      </c>
    </row>
    <row r="4608" customFormat="false" ht="15.7" hidden="false" customHeight="true" outlineLevel="0" collapsed="false">
      <c r="A4608" s="2"/>
      <c r="B4608" s="3" t="n">
        <f aca="false">DATE(2019,11,12)</f>
        <v>0</v>
      </c>
      <c r="C4608" s="3" t="n">
        <v>43781</v>
      </c>
      <c r="D4608" s="2" t="s">
        <v>34374</v>
      </c>
      <c r="F4608" s="2" t="s">
        <v>34375</v>
      </c>
      <c r="G4608" s="2" t="s">
        <v>34376</v>
      </c>
      <c r="H4608" s="2" t="s">
        <v>18515</v>
      </c>
      <c r="I4608" s="2" t="s">
        <v>20129</v>
      </c>
      <c r="J4608" s="2" t="s">
        <v>35</v>
      </c>
      <c r="K4608" s="2" t="s">
        <v>34377</v>
      </c>
      <c r="L4608" s="2" t="s">
        <v>20129</v>
      </c>
      <c r="M4608" s="2" t="s">
        <v>14339</v>
      </c>
      <c r="N4608" s="2" t="s">
        <v>34378</v>
      </c>
      <c r="O4608" s="2"/>
      <c r="P4608" s="2" t="s">
        <v>37</v>
      </c>
      <c r="Q4608" s="4" t="n">
        <v>8731</v>
      </c>
      <c r="R4608" s="2" t="s">
        <v>2225</v>
      </c>
      <c r="S4608" s="2" t="s">
        <v>39</v>
      </c>
      <c r="T4608" s="2" t="s">
        <v>403</v>
      </c>
      <c r="U4608" s="2" t="s">
        <v>34379</v>
      </c>
      <c r="V4608" s="2"/>
      <c r="W4608" s="2" t="s">
        <v>10985</v>
      </c>
      <c r="X4608" s="2" t="s">
        <v>46</v>
      </c>
      <c r="Y4608" s="2" t="s">
        <v>37</v>
      </c>
      <c r="Z4608" s="2" t="s">
        <v>44</v>
      </c>
      <c r="AA4608" s="2" t="s">
        <v>34380</v>
      </c>
      <c r="AB4608" s="2"/>
      <c r="AC4608" s="2" t="s">
        <v>34381</v>
      </c>
      <c r="AD4608" s="2" t="s">
        <v>46</v>
      </c>
    </row>
    <row r="4609" customFormat="false" ht="15.7" hidden="false" customHeight="true" outlineLevel="0" collapsed="false">
      <c r="A4609" s="2"/>
      <c r="B4609" s="3" t="n">
        <f aca="false">DATE(2019,11,12)</f>
        <v>0</v>
      </c>
      <c r="C4609" s="3" t="n">
        <v>43781</v>
      </c>
      <c r="D4609" s="2" t="s">
        <v>34382</v>
      </c>
      <c r="F4609" s="2" t="s">
        <v>30150</v>
      </c>
      <c r="G4609" s="2" t="s">
        <v>34383</v>
      </c>
      <c r="H4609" s="2" t="s">
        <v>34384</v>
      </c>
      <c r="I4609" s="2" t="s">
        <v>51</v>
      </c>
      <c r="J4609" s="2" t="s">
        <v>27078</v>
      </c>
      <c r="K4609" s="2" t="s">
        <v>34382</v>
      </c>
      <c r="L4609" s="2" t="s">
        <v>51</v>
      </c>
      <c r="M4609" s="2" t="s">
        <v>34384</v>
      </c>
      <c r="N4609" s="2" t="s">
        <v>34385</v>
      </c>
      <c r="O4609" s="2"/>
      <c r="P4609" s="2" t="s">
        <v>37</v>
      </c>
      <c r="Q4609" s="4" t="n">
        <v>8734</v>
      </c>
      <c r="R4609" s="2" t="s">
        <v>56</v>
      </c>
      <c r="S4609" s="2"/>
      <c r="T4609" s="2" t="s">
        <v>40</v>
      </c>
      <c r="U4609" s="2" t="s">
        <v>34386</v>
      </c>
      <c r="V4609" s="2"/>
      <c r="W4609" s="2" t="s">
        <v>4487</v>
      </c>
      <c r="X4609" s="2" t="s">
        <v>43</v>
      </c>
      <c r="Y4609" s="2" t="s">
        <v>37</v>
      </c>
      <c r="Z4609" s="2" t="s">
        <v>44</v>
      </c>
      <c r="AA4609" s="2"/>
      <c r="AB4609" s="2"/>
      <c r="AC4609" s="2" t="s">
        <v>34387</v>
      </c>
      <c r="AD4609" s="2" t="s">
        <v>46</v>
      </c>
    </row>
    <row r="4610" customFormat="false" ht="15.7" hidden="false" customHeight="true" outlineLevel="0" collapsed="false">
      <c r="A4610" s="2"/>
      <c r="B4610" s="3" t="n">
        <f aca="false">DATE(2019,11,12)</f>
        <v>0</v>
      </c>
      <c r="C4610" s="3" t="n">
        <v>43781</v>
      </c>
      <c r="D4610" s="2" t="s">
        <v>34388</v>
      </c>
      <c r="F4610" s="2" t="s">
        <v>34389</v>
      </c>
      <c r="G4610" s="2" t="s">
        <v>34390</v>
      </c>
      <c r="H4610" s="2" t="s">
        <v>5477</v>
      </c>
      <c r="I4610" s="2" t="s">
        <v>296</v>
      </c>
      <c r="J4610" s="2" t="s">
        <v>575</v>
      </c>
      <c r="K4610" s="2" t="s">
        <v>34391</v>
      </c>
      <c r="L4610" s="2" t="s">
        <v>296</v>
      </c>
      <c r="M4610" s="2" t="s">
        <v>5477</v>
      </c>
      <c r="N4610" s="2" t="s">
        <v>34392</v>
      </c>
      <c r="O4610" s="2"/>
      <c r="P4610" s="2" t="s">
        <v>37</v>
      </c>
      <c r="Q4610" s="4" t="n">
        <v>8731</v>
      </c>
      <c r="R4610" s="2" t="s">
        <v>1448</v>
      </c>
      <c r="S4610" s="2" t="s">
        <v>39</v>
      </c>
      <c r="T4610" s="2" t="s">
        <v>40</v>
      </c>
      <c r="U4610" s="2" t="s">
        <v>34393</v>
      </c>
      <c r="V4610" s="2"/>
      <c r="W4610" s="2" t="s">
        <v>34394</v>
      </c>
      <c r="X4610" s="2" t="s">
        <v>43</v>
      </c>
      <c r="Y4610" s="2" t="s">
        <v>37</v>
      </c>
      <c r="Z4610" s="2" t="s">
        <v>44</v>
      </c>
      <c r="AA4610" s="2"/>
      <c r="AB4610" s="2"/>
      <c r="AC4610" s="2" t="s">
        <v>34395</v>
      </c>
      <c r="AD4610" s="2" t="s">
        <v>46</v>
      </c>
    </row>
    <row r="4611" customFormat="false" ht="15.7" hidden="false" customHeight="true" outlineLevel="0" collapsed="false">
      <c r="A4611" s="2"/>
      <c r="B4611" s="3" t="n">
        <f aca="false">DATE(2019,11,12)</f>
        <v>0</v>
      </c>
      <c r="C4611" s="3" t="n">
        <v>43781</v>
      </c>
      <c r="D4611" s="2" t="s">
        <v>34396</v>
      </c>
      <c r="F4611" s="2" t="s">
        <v>34397</v>
      </c>
      <c r="G4611" s="2" t="s">
        <v>34398</v>
      </c>
      <c r="H4611" s="2" t="s">
        <v>34399</v>
      </c>
      <c r="I4611" s="2" t="s">
        <v>5173</v>
      </c>
      <c r="J4611" s="2" t="s">
        <v>35</v>
      </c>
      <c r="K4611" s="2" t="s">
        <v>34400</v>
      </c>
      <c r="L4611" s="2" t="s">
        <v>5173</v>
      </c>
      <c r="M4611" s="2" t="s">
        <v>34401</v>
      </c>
      <c r="N4611" s="2" t="s">
        <v>34402</v>
      </c>
      <c r="O4611" s="2"/>
      <c r="P4611" s="2" t="s">
        <v>37</v>
      </c>
      <c r="Q4611" s="4" t="n">
        <v>8731</v>
      </c>
      <c r="R4611" s="2" t="s">
        <v>2201</v>
      </c>
      <c r="S4611" s="2" t="s">
        <v>39</v>
      </c>
      <c r="T4611" s="2" t="s">
        <v>40</v>
      </c>
      <c r="U4611" s="2" t="s">
        <v>34403</v>
      </c>
      <c r="V4611" s="2"/>
      <c r="W4611" s="2" t="s">
        <v>6901</v>
      </c>
      <c r="X4611" s="2" t="s">
        <v>43</v>
      </c>
      <c r="Y4611" s="2" t="s">
        <v>37</v>
      </c>
      <c r="Z4611" s="2" t="s">
        <v>44</v>
      </c>
      <c r="AA4611" s="2"/>
      <c r="AB4611" s="2"/>
      <c r="AC4611" s="2" t="s">
        <v>34404</v>
      </c>
      <c r="AD4611" s="2" t="s">
        <v>46</v>
      </c>
    </row>
    <row r="4612" customFormat="false" ht="15.7" hidden="false" customHeight="true" outlineLevel="0" collapsed="false">
      <c r="A4612" s="2"/>
      <c r="B4612" s="3" t="n">
        <f aca="false">DATE(2019,11,12)</f>
        <v>0</v>
      </c>
      <c r="C4612" s="3" t="n">
        <v>43781</v>
      </c>
      <c r="D4612" s="2" t="s">
        <v>34405</v>
      </c>
      <c r="F4612" s="2" t="s">
        <v>34406</v>
      </c>
      <c r="G4612" s="2" t="s">
        <v>34407</v>
      </c>
      <c r="H4612" s="2" t="s">
        <v>21486</v>
      </c>
      <c r="I4612" s="2" t="s">
        <v>219</v>
      </c>
      <c r="J4612" s="2" t="s">
        <v>671</v>
      </c>
      <c r="K4612" s="2" t="s">
        <v>34408</v>
      </c>
      <c r="L4612" s="2" t="s">
        <v>219</v>
      </c>
      <c r="M4612" s="2" t="s">
        <v>21486</v>
      </c>
      <c r="N4612" s="2" t="s">
        <v>34409</v>
      </c>
      <c r="O4612" s="2"/>
      <c r="P4612" s="2" t="s">
        <v>37</v>
      </c>
      <c r="Q4612" s="4" t="n">
        <v>7373</v>
      </c>
      <c r="R4612" s="2" t="s">
        <v>136</v>
      </c>
      <c r="S4612" s="2" t="s">
        <v>39</v>
      </c>
      <c r="T4612" s="2" t="s">
        <v>40</v>
      </c>
      <c r="U4612" s="2" t="s">
        <v>34410</v>
      </c>
      <c r="V4612" s="2"/>
      <c r="W4612" s="2" t="s">
        <v>2367</v>
      </c>
      <c r="X4612" s="2" t="s">
        <v>43</v>
      </c>
      <c r="Y4612" s="2" t="s">
        <v>37</v>
      </c>
      <c r="Z4612" s="2" t="s">
        <v>44</v>
      </c>
      <c r="AA4612" s="2"/>
      <c r="AB4612" s="2"/>
      <c r="AC4612" s="2" t="s">
        <v>34411</v>
      </c>
      <c r="AD4612" s="2" t="s">
        <v>46</v>
      </c>
    </row>
    <row r="4613" customFormat="false" ht="15.7" hidden="false" customHeight="true" outlineLevel="0" collapsed="false">
      <c r="A4613" s="2"/>
      <c r="B4613" s="3" t="n">
        <f aca="false">DATE(2019,11,12)</f>
        <v>0</v>
      </c>
      <c r="C4613" s="3" t="n">
        <v>43781</v>
      </c>
      <c r="D4613" s="2" t="s">
        <v>34412</v>
      </c>
      <c r="F4613" s="2" t="s">
        <v>34413</v>
      </c>
      <c r="G4613" s="2" t="s">
        <v>34414</v>
      </c>
      <c r="H4613" s="2" t="s">
        <v>32360</v>
      </c>
      <c r="I4613" s="2" t="s">
        <v>51</v>
      </c>
      <c r="J4613" s="2" t="s">
        <v>2633</v>
      </c>
      <c r="K4613" s="2" t="s">
        <v>34412</v>
      </c>
      <c r="L4613" s="2" t="s">
        <v>51</v>
      </c>
      <c r="M4613" s="2" t="s">
        <v>32360</v>
      </c>
      <c r="N4613" s="2" t="s">
        <v>34415</v>
      </c>
      <c r="O4613" s="2"/>
      <c r="P4613" s="2" t="s">
        <v>37</v>
      </c>
      <c r="Q4613" s="4" t="n">
        <v>7373</v>
      </c>
      <c r="R4613" s="2" t="s">
        <v>56</v>
      </c>
      <c r="S4613" s="2" t="s">
        <v>80</v>
      </c>
      <c r="T4613" s="2" t="s">
        <v>403</v>
      </c>
      <c r="U4613" s="2" t="s">
        <v>34416</v>
      </c>
      <c r="V4613" s="2"/>
      <c r="W4613" s="2" t="s">
        <v>34417</v>
      </c>
      <c r="X4613" s="2" t="s">
        <v>43</v>
      </c>
      <c r="Y4613" s="2" t="s">
        <v>37</v>
      </c>
      <c r="Z4613" s="2" t="s">
        <v>44</v>
      </c>
      <c r="AA4613" s="2"/>
      <c r="AB4613" s="2"/>
      <c r="AC4613" s="2" t="s">
        <v>34418</v>
      </c>
      <c r="AD4613" s="2" t="s">
        <v>46</v>
      </c>
    </row>
    <row r="4614" customFormat="false" ht="15.7" hidden="false" customHeight="true" outlineLevel="0" collapsed="false">
      <c r="A4614" s="2"/>
      <c r="B4614" s="3" t="n">
        <f aca="false">DATE(2019,11,12)</f>
        <v>0</v>
      </c>
      <c r="C4614" s="3" t="n">
        <v>43781</v>
      </c>
      <c r="D4614" s="2" t="s">
        <v>34419</v>
      </c>
      <c r="F4614" s="2" t="s">
        <v>34420</v>
      </c>
      <c r="G4614" s="2" t="s">
        <v>34421</v>
      </c>
      <c r="H4614" s="2" t="s">
        <v>305</v>
      </c>
      <c r="I4614" s="2" t="s">
        <v>9832</v>
      </c>
      <c r="J4614" s="2" t="s">
        <v>35</v>
      </c>
      <c r="K4614" s="2" t="s">
        <v>34422</v>
      </c>
      <c r="L4614" s="2" t="s">
        <v>9832</v>
      </c>
      <c r="M4614" s="2" t="s">
        <v>814</v>
      </c>
      <c r="N4614" s="2" t="s">
        <v>34423</v>
      </c>
      <c r="O4614" s="2"/>
      <c r="P4614" s="2" t="s">
        <v>37</v>
      </c>
      <c r="Q4614" s="4" t="n">
        <v>6794</v>
      </c>
      <c r="R4614" s="2" t="s">
        <v>136</v>
      </c>
      <c r="S4614" s="2" t="s">
        <v>39</v>
      </c>
      <c r="T4614" s="2" t="s">
        <v>40</v>
      </c>
      <c r="U4614" s="2" t="s">
        <v>34424</v>
      </c>
      <c r="V4614" s="2"/>
      <c r="W4614" s="2" t="s">
        <v>15545</v>
      </c>
      <c r="X4614" s="2" t="s">
        <v>43</v>
      </c>
      <c r="Y4614" s="2" t="s">
        <v>37</v>
      </c>
      <c r="Z4614" s="2" t="s">
        <v>44</v>
      </c>
      <c r="AA4614" s="2"/>
      <c r="AB4614" s="2"/>
      <c r="AC4614" s="2" t="s">
        <v>34425</v>
      </c>
      <c r="AD4614" s="2" t="s">
        <v>46</v>
      </c>
    </row>
    <row r="4615" customFormat="false" ht="15.7" hidden="false" customHeight="true" outlineLevel="0" collapsed="false">
      <c r="A4615" s="2"/>
      <c r="B4615" s="3" t="n">
        <f aca="false">DATE(2019,11,12)</f>
        <v>0</v>
      </c>
      <c r="C4615" s="3" t="n">
        <v>43781</v>
      </c>
      <c r="D4615" s="2" t="s">
        <v>34426</v>
      </c>
      <c r="F4615" s="2" t="s">
        <v>34427</v>
      </c>
      <c r="G4615" s="2" t="s">
        <v>34428</v>
      </c>
      <c r="H4615" s="2" t="s">
        <v>6597</v>
      </c>
      <c r="I4615" s="2" t="s">
        <v>32318</v>
      </c>
      <c r="J4615" s="2" t="s">
        <v>35</v>
      </c>
      <c r="K4615" s="2" t="s">
        <v>34426</v>
      </c>
      <c r="L4615" s="2" t="s">
        <v>32318</v>
      </c>
      <c r="M4615" s="2" t="s">
        <v>6597</v>
      </c>
      <c r="N4615" s="2" t="s">
        <v>34429</v>
      </c>
      <c r="O4615" s="2"/>
      <c r="P4615" s="2" t="s">
        <v>37</v>
      </c>
      <c r="Q4615" s="4" t="n">
        <v>8731</v>
      </c>
      <c r="R4615" s="2" t="s">
        <v>38</v>
      </c>
      <c r="S4615" s="2" t="s">
        <v>39</v>
      </c>
      <c r="T4615" s="2" t="s">
        <v>403</v>
      </c>
      <c r="U4615" s="2" t="s">
        <v>34430</v>
      </c>
      <c r="V4615" s="2"/>
      <c r="W4615" s="2" t="s">
        <v>42</v>
      </c>
      <c r="X4615" s="2" t="s">
        <v>46</v>
      </c>
      <c r="Y4615" s="2" t="s">
        <v>37</v>
      </c>
      <c r="Z4615" s="2" t="s">
        <v>44</v>
      </c>
      <c r="AA4615" s="2"/>
      <c r="AB4615" s="2"/>
      <c r="AC4615" s="2" t="s">
        <v>34431</v>
      </c>
      <c r="AD4615" s="2" t="s">
        <v>46</v>
      </c>
    </row>
    <row r="4616" customFormat="false" ht="15.7" hidden="false" customHeight="true" outlineLevel="0" collapsed="false">
      <c r="A4616" s="2"/>
      <c r="B4616" s="3" t="n">
        <f aca="false">DATE(2019,11,12)</f>
        <v>0</v>
      </c>
      <c r="C4616" s="3" t="n">
        <v>43781</v>
      </c>
      <c r="D4616" s="2" t="s">
        <v>34432</v>
      </c>
      <c r="F4616" s="2" t="s">
        <v>34433</v>
      </c>
      <c r="G4616" s="2" t="s">
        <v>34434</v>
      </c>
      <c r="H4616" s="2" t="s">
        <v>130</v>
      </c>
      <c r="I4616" s="2" t="s">
        <v>369</v>
      </c>
      <c r="J4616" s="2" t="s">
        <v>35</v>
      </c>
      <c r="K4616" s="2" t="s">
        <v>34432</v>
      </c>
      <c r="L4616" s="2" t="s">
        <v>369</v>
      </c>
      <c r="M4616" s="2" t="s">
        <v>130</v>
      </c>
      <c r="N4616" s="2" t="s">
        <v>34435</v>
      </c>
      <c r="O4616" s="2"/>
      <c r="P4616" s="2" t="s">
        <v>37</v>
      </c>
      <c r="Q4616" s="4" t="n">
        <v>6794</v>
      </c>
      <c r="R4616" s="2" t="s">
        <v>105</v>
      </c>
      <c r="S4616" s="2" t="s">
        <v>39</v>
      </c>
      <c r="T4616" s="2" t="s">
        <v>40</v>
      </c>
      <c r="U4616" s="2" t="s">
        <v>34436</v>
      </c>
      <c r="V4616" s="2"/>
      <c r="W4616" s="2" t="s">
        <v>15545</v>
      </c>
      <c r="X4616" s="2" t="s">
        <v>43</v>
      </c>
      <c r="Y4616" s="2" t="s">
        <v>37</v>
      </c>
      <c r="Z4616" s="2" t="s">
        <v>44</v>
      </c>
      <c r="AA4616" s="2"/>
      <c r="AB4616" s="2"/>
      <c r="AC4616" s="2" t="s">
        <v>34437</v>
      </c>
      <c r="AD4616" s="2" t="s">
        <v>46</v>
      </c>
    </row>
    <row r="4617" customFormat="false" ht="15.7" hidden="false" customHeight="true" outlineLevel="0" collapsed="false">
      <c r="A4617" s="2"/>
      <c r="B4617" s="3" t="n">
        <f aca="false">DATE(2019,11,13)</f>
        <v>0</v>
      </c>
      <c r="C4617" s="3" t="n">
        <v>43782</v>
      </c>
      <c r="D4617" s="2" t="s">
        <v>34438</v>
      </c>
      <c r="F4617" s="2" t="s">
        <v>34439</v>
      </c>
      <c r="G4617" s="2" t="s">
        <v>34440</v>
      </c>
      <c r="H4617" s="2" t="s">
        <v>34441</v>
      </c>
      <c r="I4617" s="2" t="s">
        <v>51</v>
      </c>
      <c r="J4617" s="2" t="s">
        <v>9507</v>
      </c>
      <c r="K4617" s="2" t="s">
        <v>34438</v>
      </c>
      <c r="L4617" s="2" t="s">
        <v>51</v>
      </c>
      <c r="M4617" s="2" t="s">
        <v>34441</v>
      </c>
      <c r="N4617" s="2" t="s">
        <v>34442</v>
      </c>
      <c r="O4617" s="2"/>
      <c r="P4617" s="2" t="s">
        <v>37</v>
      </c>
      <c r="Q4617" s="4" t="n">
        <v>8099</v>
      </c>
      <c r="R4617" s="2" t="s">
        <v>56</v>
      </c>
      <c r="S4617" s="2" t="s">
        <v>481</v>
      </c>
      <c r="T4617" s="2" t="s">
        <v>673</v>
      </c>
      <c r="U4617" s="2" t="s">
        <v>34443</v>
      </c>
      <c r="V4617" s="2"/>
      <c r="W4617" s="2" t="s">
        <v>4487</v>
      </c>
      <c r="X4617" s="2" t="s">
        <v>46</v>
      </c>
      <c r="Y4617" s="2" t="s">
        <v>37</v>
      </c>
      <c r="Z4617" s="2" t="s">
        <v>44</v>
      </c>
      <c r="AA4617" s="2"/>
      <c r="AB4617" s="2"/>
      <c r="AC4617" s="2" t="s">
        <v>34444</v>
      </c>
      <c r="AD4617" s="2" t="s">
        <v>46</v>
      </c>
    </row>
    <row r="4618" customFormat="false" ht="15.7" hidden="false" customHeight="true" outlineLevel="0" collapsed="false">
      <c r="A4618" s="2"/>
      <c r="B4618" s="3" t="n">
        <f aca="false">DATE(2019,11,13)</f>
        <v>0</v>
      </c>
      <c r="C4618" s="3" t="n">
        <v>43782</v>
      </c>
      <c r="D4618" s="2" t="s">
        <v>34445</v>
      </c>
      <c r="F4618" s="2" t="s">
        <v>34446</v>
      </c>
      <c r="G4618" s="2" t="s">
        <v>34447</v>
      </c>
      <c r="H4618" s="2" t="s">
        <v>34448</v>
      </c>
      <c r="I4618" s="2" t="s">
        <v>1439</v>
      </c>
      <c r="J4618" s="2" t="s">
        <v>35</v>
      </c>
      <c r="K4618" s="2" t="s">
        <v>34449</v>
      </c>
      <c r="L4618" s="2" t="s">
        <v>1439</v>
      </c>
      <c r="M4618" s="2" t="s">
        <v>34448</v>
      </c>
      <c r="N4618" s="2" t="s">
        <v>34450</v>
      </c>
      <c r="O4618" s="2"/>
      <c r="P4618" s="2" t="s">
        <v>37</v>
      </c>
      <c r="Q4618" s="4" t="n">
        <v>8731</v>
      </c>
      <c r="R4618" s="2" t="s">
        <v>1441</v>
      </c>
      <c r="S4618" s="2" t="s">
        <v>39</v>
      </c>
      <c r="T4618" s="2" t="s">
        <v>40</v>
      </c>
      <c r="U4618" s="2" t="s">
        <v>34451</v>
      </c>
      <c r="V4618" s="2"/>
      <c r="W4618" s="2" t="s">
        <v>34452</v>
      </c>
      <c r="X4618" s="2" t="s">
        <v>46</v>
      </c>
      <c r="Y4618" s="2" t="s">
        <v>37</v>
      </c>
      <c r="Z4618" s="2" t="s">
        <v>44</v>
      </c>
      <c r="AA4618" s="2"/>
      <c r="AB4618" s="2"/>
      <c r="AC4618" s="2" t="s">
        <v>34453</v>
      </c>
      <c r="AD4618" s="2" t="s">
        <v>46</v>
      </c>
    </row>
    <row r="4619" customFormat="false" ht="15.7" hidden="false" customHeight="true" outlineLevel="0" collapsed="false">
      <c r="A4619" s="2"/>
      <c r="B4619" s="3" t="n">
        <f aca="false">DATE(2019,11,13)</f>
        <v>0</v>
      </c>
      <c r="C4619" s="3" t="n">
        <v>43782</v>
      </c>
      <c r="D4619" s="2" t="s">
        <v>34454</v>
      </c>
      <c r="F4619" s="2" t="s">
        <v>22731</v>
      </c>
      <c r="G4619" s="2" t="s">
        <v>34455</v>
      </c>
      <c r="H4619" s="2" t="s">
        <v>3469</v>
      </c>
      <c r="I4619" s="2" t="s">
        <v>540</v>
      </c>
      <c r="J4619" s="2" t="s">
        <v>35</v>
      </c>
      <c r="K4619" s="2" t="s">
        <v>34456</v>
      </c>
      <c r="L4619" s="2" t="s">
        <v>540</v>
      </c>
      <c r="M4619" s="2" t="s">
        <v>34457</v>
      </c>
      <c r="N4619" s="2" t="s">
        <v>34458</v>
      </c>
      <c r="O4619" s="2"/>
      <c r="P4619" s="2" t="s">
        <v>37</v>
      </c>
      <c r="Q4619" s="4" t="n">
        <v>8731</v>
      </c>
      <c r="R4619" s="2" t="s">
        <v>136</v>
      </c>
      <c r="S4619" s="2" t="s">
        <v>39</v>
      </c>
      <c r="T4619" s="2" t="s">
        <v>40</v>
      </c>
      <c r="U4619" s="2" t="s">
        <v>34459</v>
      </c>
      <c r="V4619" s="2"/>
      <c r="W4619" s="2" t="s">
        <v>344</v>
      </c>
      <c r="X4619" s="2" t="s">
        <v>43</v>
      </c>
      <c r="Y4619" s="2" t="s">
        <v>37</v>
      </c>
      <c r="Z4619" s="2" t="s">
        <v>44</v>
      </c>
      <c r="AA4619" s="2"/>
      <c r="AB4619" s="2"/>
      <c r="AC4619" s="2" t="s">
        <v>34460</v>
      </c>
      <c r="AD4619" s="2" t="s">
        <v>46</v>
      </c>
    </row>
    <row r="4620" customFormat="false" ht="15.7" hidden="false" customHeight="true" outlineLevel="0" collapsed="false">
      <c r="A4620" s="2"/>
      <c r="B4620" s="3" t="n">
        <f aca="false">DATE(2019,11,14)</f>
        <v>0</v>
      </c>
      <c r="C4620" s="3" t="n">
        <v>43783</v>
      </c>
      <c r="D4620" s="2" t="s">
        <v>34461</v>
      </c>
      <c r="F4620" s="2" t="s">
        <v>34462</v>
      </c>
      <c r="G4620" s="2" t="s">
        <v>34463</v>
      </c>
      <c r="H4620" s="2" t="s">
        <v>3840</v>
      </c>
      <c r="I4620" s="2" t="s">
        <v>540</v>
      </c>
      <c r="J4620" s="2" t="s">
        <v>35</v>
      </c>
      <c r="K4620" s="2" t="s">
        <v>34461</v>
      </c>
      <c r="L4620" s="2" t="s">
        <v>540</v>
      </c>
      <c r="M4620" s="2" t="s">
        <v>3840</v>
      </c>
      <c r="N4620" s="2" t="s">
        <v>34464</v>
      </c>
      <c r="O4620" s="2"/>
      <c r="P4620" s="2" t="s">
        <v>37</v>
      </c>
      <c r="Q4620" s="4" t="n">
        <v>8731</v>
      </c>
      <c r="R4620" s="2" t="s">
        <v>1448</v>
      </c>
      <c r="S4620" s="2" t="s">
        <v>39</v>
      </c>
      <c r="T4620" s="2" t="s">
        <v>40</v>
      </c>
      <c r="U4620" s="2" t="s">
        <v>34465</v>
      </c>
      <c r="V4620" s="2"/>
      <c r="W4620" s="2" t="s">
        <v>34466</v>
      </c>
      <c r="X4620" s="2" t="s">
        <v>46</v>
      </c>
      <c r="Y4620" s="2" t="s">
        <v>37</v>
      </c>
      <c r="Z4620" s="2" t="s">
        <v>44</v>
      </c>
      <c r="AA4620" s="2"/>
      <c r="AB4620" s="2"/>
      <c r="AC4620" s="2" t="s">
        <v>34467</v>
      </c>
      <c r="AD4620" s="2" t="s">
        <v>46</v>
      </c>
    </row>
    <row r="4621" customFormat="false" ht="15.7" hidden="false" customHeight="true" outlineLevel="0" collapsed="false">
      <c r="A4621" s="2"/>
      <c r="B4621" s="3" t="n">
        <f aca="false">DATE(2019,11,14)</f>
        <v>0</v>
      </c>
      <c r="C4621" s="3" t="n">
        <v>43783</v>
      </c>
      <c r="D4621" s="2" t="s">
        <v>34468</v>
      </c>
      <c r="F4621" s="2" t="s">
        <v>34469</v>
      </c>
      <c r="G4621" s="2" t="s">
        <v>34470</v>
      </c>
      <c r="H4621" s="2" t="s">
        <v>34471</v>
      </c>
      <c r="I4621" s="2" t="s">
        <v>34472</v>
      </c>
      <c r="J4621" s="2" t="s">
        <v>65</v>
      </c>
      <c r="K4621" s="2" t="s">
        <v>34473</v>
      </c>
      <c r="L4621" s="2" t="s">
        <v>388</v>
      </c>
      <c r="M4621" s="2" t="s">
        <v>34474</v>
      </c>
      <c r="N4621" s="2" t="s">
        <v>34475</v>
      </c>
      <c r="O4621" s="2"/>
      <c r="P4621" s="2" t="s">
        <v>37</v>
      </c>
      <c r="Q4621" s="4" t="n">
        <v>8731</v>
      </c>
      <c r="R4621" s="2" t="s">
        <v>136</v>
      </c>
      <c r="S4621" s="2" t="s">
        <v>39</v>
      </c>
      <c r="T4621" s="2" t="s">
        <v>403</v>
      </c>
      <c r="U4621" s="2" t="s">
        <v>34476</v>
      </c>
      <c r="V4621" s="2"/>
      <c r="W4621" s="2" t="s">
        <v>34477</v>
      </c>
      <c r="X4621" s="2" t="s">
        <v>43</v>
      </c>
      <c r="Y4621" s="2" t="s">
        <v>37</v>
      </c>
      <c r="Z4621" s="2" t="s">
        <v>44</v>
      </c>
      <c r="AA4621" s="2"/>
      <c r="AB4621" s="2"/>
      <c r="AC4621" s="2" t="s">
        <v>34478</v>
      </c>
      <c r="AD4621" s="2" t="s">
        <v>46</v>
      </c>
    </row>
    <row r="4622" customFormat="false" ht="15.7" hidden="false" customHeight="true" outlineLevel="0" collapsed="false">
      <c r="A4622" s="2"/>
      <c r="B4622" s="3" t="n">
        <f aca="false">DATE(2019,11,14)</f>
        <v>0</v>
      </c>
      <c r="C4622" s="3" t="n">
        <v>43783</v>
      </c>
      <c r="D4622" s="2" t="s">
        <v>34479</v>
      </c>
      <c r="F4622" s="2" t="s">
        <v>20650</v>
      </c>
      <c r="G4622" s="2" t="s">
        <v>34480</v>
      </c>
      <c r="H4622" s="2" t="s">
        <v>130</v>
      </c>
      <c r="I4622" s="2" t="s">
        <v>2052</v>
      </c>
      <c r="J4622" s="2" t="s">
        <v>1983</v>
      </c>
      <c r="K4622" s="2" t="s">
        <v>34481</v>
      </c>
      <c r="L4622" s="2" t="s">
        <v>51</v>
      </c>
      <c r="M4622" s="2" t="s">
        <v>130</v>
      </c>
      <c r="N4622" s="2" t="s">
        <v>34482</v>
      </c>
      <c r="O4622" s="2"/>
      <c r="P4622" s="2" t="s">
        <v>37</v>
      </c>
      <c r="Q4622" s="4" t="n">
        <v>8099</v>
      </c>
      <c r="R4622" s="2" t="s">
        <v>56</v>
      </c>
      <c r="S4622" s="2" t="s">
        <v>360</v>
      </c>
      <c r="T4622" s="2" t="s">
        <v>40</v>
      </c>
      <c r="U4622" s="2" t="s">
        <v>34483</v>
      </c>
      <c r="V4622" s="2"/>
      <c r="W4622" s="2" t="s">
        <v>4487</v>
      </c>
      <c r="X4622" s="2" t="s">
        <v>43</v>
      </c>
      <c r="Y4622" s="2" t="s">
        <v>37</v>
      </c>
      <c r="Z4622" s="2" t="s">
        <v>44</v>
      </c>
      <c r="AA4622" s="2"/>
      <c r="AB4622" s="2"/>
      <c r="AC4622" s="2" t="s">
        <v>34484</v>
      </c>
      <c r="AD4622" s="2" t="s">
        <v>46</v>
      </c>
    </row>
    <row r="4623" customFormat="false" ht="15.7" hidden="false" customHeight="true" outlineLevel="0" collapsed="false">
      <c r="A4623" s="2"/>
      <c r="B4623" s="3" t="n">
        <f aca="false">DATE(2019,11,14)</f>
        <v>0</v>
      </c>
      <c r="C4623" s="3" t="n">
        <v>43783</v>
      </c>
      <c r="D4623" s="2" t="s">
        <v>34485</v>
      </c>
      <c r="F4623" s="2" t="s">
        <v>17484</v>
      </c>
      <c r="G4623" s="2" t="s">
        <v>34486</v>
      </c>
      <c r="H4623" s="2" t="s">
        <v>305</v>
      </c>
      <c r="I4623" s="2" t="s">
        <v>51</v>
      </c>
      <c r="J4623" s="2" t="s">
        <v>14850</v>
      </c>
      <c r="K4623" s="2" t="s">
        <v>34485</v>
      </c>
      <c r="L4623" s="2" t="s">
        <v>51</v>
      </c>
      <c r="M4623" s="2" t="s">
        <v>305</v>
      </c>
      <c r="N4623" s="2" t="s">
        <v>34487</v>
      </c>
      <c r="O4623" s="2"/>
      <c r="P4623" s="2" t="s">
        <v>37</v>
      </c>
      <c r="Q4623" s="4" t="n">
        <v>6794</v>
      </c>
      <c r="R4623" s="2" t="s">
        <v>56</v>
      </c>
      <c r="S4623" s="2" t="s">
        <v>80</v>
      </c>
      <c r="T4623" s="2" t="s">
        <v>40</v>
      </c>
      <c r="U4623" s="2" t="s">
        <v>34488</v>
      </c>
      <c r="V4623" s="2"/>
      <c r="W4623" s="2" t="s">
        <v>15545</v>
      </c>
      <c r="X4623" s="2" t="s">
        <v>43</v>
      </c>
      <c r="Y4623" s="2" t="s">
        <v>37</v>
      </c>
      <c r="Z4623" s="2" t="s">
        <v>44</v>
      </c>
      <c r="AA4623" s="2" t="s">
        <v>34489</v>
      </c>
      <c r="AB4623" s="2"/>
      <c r="AC4623" s="2" t="s">
        <v>34490</v>
      </c>
      <c r="AD4623" s="2" t="s">
        <v>46</v>
      </c>
    </row>
    <row r="4624" customFormat="false" ht="15.7" hidden="false" customHeight="true" outlineLevel="0" collapsed="false">
      <c r="A4624" s="2"/>
      <c r="B4624" s="3" t="n">
        <f aca="false">DATE(2019,11,15)</f>
        <v>0</v>
      </c>
      <c r="C4624" s="3" t="n">
        <v>43784</v>
      </c>
      <c r="D4624" s="2" t="s">
        <v>34491</v>
      </c>
      <c r="F4624" s="2" t="s">
        <v>34492</v>
      </c>
      <c r="G4624" s="2" t="s">
        <v>34493</v>
      </c>
      <c r="H4624" s="2" t="s">
        <v>34494</v>
      </c>
      <c r="I4624" s="2" t="s">
        <v>51</v>
      </c>
      <c r="J4624" s="2" t="s">
        <v>3854</v>
      </c>
      <c r="K4624" s="2" t="s">
        <v>34491</v>
      </c>
      <c r="L4624" s="2" t="s">
        <v>51</v>
      </c>
      <c r="M4624" s="2" t="s">
        <v>34494</v>
      </c>
      <c r="N4624" s="2" t="s">
        <v>34495</v>
      </c>
      <c r="O4624" s="2"/>
      <c r="P4624" s="2" t="s">
        <v>37</v>
      </c>
      <c r="Q4624" s="4" t="n">
        <v>8731</v>
      </c>
      <c r="R4624" s="2" t="s">
        <v>2201</v>
      </c>
      <c r="S4624" s="2" t="s">
        <v>39</v>
      </c>
      <c r="T4624" s="2" t="s">
        <v>40</v>
      </c>
      <c r="U4624" s="2" t="s">
        <v>34496</v>
      </c>
      <c r="V4624" s="2"/>
      <c r="W4624" s="2" t="s">
        <v>138</v>
      </c>
      <c r="X4624" s="2" t="s">
        <v>43</v>
      </c>
      <c r="Y4624" s="2" t="s">
        <v>37</v>
      </c>
      <c r="Z4624" s="2" t="s">
        <v>44</v>
      </c>
      <c r="AA4624" s="2"/>
      <c r="AB4624" s="2"/>
      <c r="AC4624" s="2" t="s">
        <v>34497</v>
      </c>
      <c r="AD4624" s="2" t="s">
        <v>46</v>
      </c>
    </row>
    <row r="4625" customFormat="false" ht="15.7" hidden="false" customHeight="true" outlineLevel="0" collapsed="false">
      <c r="A4625" s="2"/>
      <c r="B4625" s="3" t="n">
        <f aca="false">DATE(2019,11,18)</f>
        <v>0</v>
      </c>
      <c r="C4625" s="3" t="n">
        <v>43787</v>
      </c>
      <c r="D4625" s="2" t="s">
        <v>34498</v>
      </c>
      <c r="F4625" s="2" t="s">
        <v>22407</v>
      </c>
      <c r="G4625" s="2" t="s">
        <v>34499</v>
      </c>
      <c r="H4625" s="2" t="s">
        <v>762</v>
      </c>
      <c r="I4625" s="2" t="s">
        <v>12602</v>
      </c>
      <c r="J4625" s="2" t="s">
        <v>35</v>
      </c>
      <c r="K4625" s="2" t="s">
        <v>34500</v>
      </c>
      <c r="L4625" s="2" t="s">
        <v>64</v>
      </c>
      <c r="M4625" s="2" t="s">
        <v>2832</v>
      </c>
      <c r="N4625" s="2" t="s">
        <v>34501</v>
      </c>
      <c r="O4625" s="2"/>
      <c r="P4625" s="2" t="s">
        <v>37</v>
      </c>
      <c r="Q4625" s="4" t="n">
        <v>8099</v>
      </c>
      <c r="R4625" s="2" t="s">
        <v>70</v>
      </c>
      <c r="S4625" s="2" t="s">
        <v>39</v>
      </c>
      <c r="T4625" s="2" t="s">
        <v>40</v>
      </c>
      <c r="U4625" s="2" t="s">
        <v>34502</v>
      </c>
      <c r="V4625" s="2"/>
      <c r="W4625" s="2" t="s">
        <v>4487</v>
      </c>
      <c r="X4625" s="2" t="s">
        <v>43</v>
      </c>
      <c r="Y4625" s="2" t="s">
        <v>37</v>
      </c>
      <c r="Z4625" s="2" t="s">
        <v>44</v>
      </c>
      <c r="AA4625" s="2"/>
      <c r="AB4625" s="2"/>
      <c r="AC4625" s="2" t="s">
        <v>34503</v>
      </c>
      <c r="AD4625" s="2" t="s">
        <v>46</v>
      </c>
    </row>
    <row r="4626" customFormat="false" ht="15.7" hidden="false" customHeight="true" outlineLevel="0" collapsed="false">
      <c r="A4626" s="2"/>
      <c r="B4626" s="3" t="n">
        <f aca="false">DATE(2019,11,18)</f>
        <v>0</v>
      </c>
      <c r="C4626" s="3" t="n">
        <v>43787</v>
      </c>
      <c r="D4626" s="2" t="s">
        <v>34504</v>
      </c>
      <c r="F4626" s="2" t="s">
        <v>34505</v>
      </c>
      <c r="G4626" s="2" t="s">
        <v>34506</v>
      </c>
      <c r="H4626" s="2" t="s">
        <v>7288</v>
      </c>
      <c r="I4626" s="2" t="s">
        <v>202</v>
      </c>
      <c r="J4626" s="2" t="s">
        <v>625</v>
      </c>
      <c r="K4626" s="2" t="s">
        <v>34507</v>
      </c>
      <c r="L4626" s="2" t="s">
        <v>202</v>
      </c>
      <c r="M4626" s="2" t="s">
        <v>6991</v>
      </c>
      <c r="N4626" s="2" t="s">
        <v>34508</v>
      </c>
      <c r="O4626" s="2"/>
      <c r="P4626" s="2" t="s">
        <v>37</v>
      </c>
      <c r="Q4626" s="4" t="n">
        <v>8099</v>
      </c>
      <c r="R4626" s="2" t="s">
        <v>869</v>
      </c>
      <c r="S4626" s="2" t="s">
        <v>39</v>
      </c>
      <c r="T4626" s="2" t="s">
        <v>40</v>
      </c>
      <c r="U4626" s="2" t="s">
        <v>34509</v>
      </c>
      <c r="V4626" s="2"/>
      <c r="W4626" s="2" t="s">
        <v>4487</v>
      </c>
      <c r="X4626" s="2" t="s">
        <v>43</v>
      </c>
      <c r="Y4626" s="2" t="s">
        <v>37</v>
      </c>
      <c r="Z4626" s="2" t="s">
        <v>44</v>
      </c>
      <c r="AA4626" s="2"/>
      <c r="AB4626" s="2"/>
      <c r="AC4626" s="2" t="s">
        <v>34510</v>
      </c>
      <c r="AD4626" s="2" t="s">
        <v>46</v>
      </c>
    </row>
    <row r="4627" customFormat="false" ht="15.7" hidden="false" customHeight="true" outlineLevel="0" collapsed="false">
      <c r="A4627" s="2"/>
      <c r="B4627" s="3" t="n">
        <f aca="false">DATE(2019,11,19)</f>
        <v>0</v>
      </c>
      <c r="C4627" s="3" t="n">
        <v>43788</v>
      </c>
      <c r="D4627" s="2" t="s">
        <v>34511</v>
      </c>
      <c r="F4627" s="2" t="s">
        <v>34512</v>
      </c>
      <c r="G4627" s="2" t="s">
        <v>34513</v>
      </c>
      <c r="H4627" s="2" t="s">
        <v>1528</v>
      </c>
      <c r="I4627" s="2" t="s">
        <v>257</v>
      </c>
      <c r="J4627" s="2" t="s">
        <v>132</v>
      </c>
      <c r="K4627" s="2" t="s">
        <v>34511</v>
      </c>
      <c r="L4627" s="2" t="s">
        <v>257</v>
      </c>
      <c r="M4627" s="2" t="s">
        <v>1528</v>
      </c>
      <c r="N4627" s="2" t="s">
        <v>34514</v>
      </c>
      <c r="O4627" s="2"/>
      <c r="P4627" s="2" t="s">
        <v>37</v>
      </c>
      <c r="Q4627" s="4" t="n">
        <v>8099</v>
      </c>
      <c r="R4627" s="2" t="s">
        <v>56</v>
      </c>
      <c r="S4627" s="2" t="s">
        <v>92</v>
      </c>
      <c r="T4627" s="2" t="s">
        <v>40</v>
      </c>
      <c r="U4627" s="2" t="s">
        <v>34515</v>
      </c>
      <c r="V4627" s="2"/>
      <c r="W4627" s="2" t="s">
        <v>4487</v>
      </c>
      <c r="X4627" s="2" t="s">
        <v>43</v>
      </c>
      <c r="Y4627" s="2" t="s">
        <v>37</v>
      </c>
      <c r="Z4627" s="2" t="s">
        <v>44</v>
      </c>
      <c r="AA4627" s="2"/>
      <c r="AB4627" s="2"/>
      <c r="AC4627" s="2" t="s">
        <v>34516</v>
      </c>
      <c r="AD4627" s="2" t="s">
        <v>46</v>
      </c>
    </row>
    <row r="4628" customFormat="false" ht="15.7" hidden="false" customHeight="true" outlineLevel="0" collapsed="false">
      <c r="A4628" s="2"/>
      <c r="B4628" s="3" t="n">
        <f aca="false">DATE(2019,11,19)</f>
        <v>0</v>
      </c>
      <c r="C4628" s="3" t="n">
        <v>43788</v>
      </c>
      <c r="D4628" s="2" t="s">
        <v>34517</v>
      </c>
      <c r="F4628" s="2" t="s">
        <v>17957</v>
      </c>
      <c r="G4628" s="2" t="s">
        <v>34518</v>
      </c>
      <c r="H4628" s="2" t="s">
        <v>1020</v>
      </c>
      <c r="I4628" s="2" t="s">
        <v>12894</v>
      </c>
      <c r="J4628" s="2" t="s">
        <v>35</v>
      </c>
      <c r="K4628" s="2" t="s">
        <v>34517</v>
      </c>
      <c r="L4628" s="2" t="s">
        <v>12894</v>
      </c>
      <c r="M4628" s="2" t="s">
        <v>1020</v>
      </c>
      <c r="N4628" s="2" t="s">
        <v>34519</v>
      </c>
      <c r="O4628" s="2"/>
      <c r="P4628" s="2" t="s">
        <v>37</v>
      </c>
      <c r="Q4628" s="4" t="n">
        <v>8099</v>
      </c>
      <c r="R4628" s="2" t="s">
        <v>2508</v>
      </c>
      <c r="S4628" s="2" t="s">
        <v>39</v>
      </c>
      <c r="T4628" s="2" t="s">
        <v>40</v>
      </c>
      <c r="U4628" s="2" t="s">
        <v>34520</v>
      </c>
      <c r="V4628" s="2"/>
      <c r="W4628" s="2" t="s">
        <v>18401</v>
      </c>
      <c r="X4628" s="2" t="s">
        <v>43</v>
      </c>
      <c r="Y4628" s="2" t="s">
        <v>37</v>
      </c>
      <c r="Z4628" s="2" t="s">
        <v>44</v>
      </c>
      <c r="AA4628" s="2"/>
      <c r="AB4628" s="2"/>
      <c r="AC4628" s="2" t="s">
        <v>34521</v>
      </c>
      <c r="AD4628" s="2" t="s">
        <v>46</v>
      </c>
    </row>
    <row r="4629" customFormat="false" ht="15.7" hidden="false" customHeight="true" outlineLevel="0" collapsed="false">
      <c r="A4629" s="2"/>
      <c r="B4629" s="3" t="n">
        <f aca="false">DATE(2019,11,19)</f>
        <v>0</v>
      </c>
      <c r="C4629" s="3" t="n">
        <v>43788</v>
      </c>
      <c r="D4629" s="2" t="s">
        <v>34522</v>
      </c>
      <c r="F4629" s="2" t="s">
        <v>34523</v>
      </c>
      <c r="G4629" s="2" t="s">
        <v>34524</v>
      </c>
      <c r="H4629" s="2" t="s">
        <v>523</v>
      </c>
      <c r="I4629" s="2" t="s">
        <v>88</v>
      </c>
      <c r="J4629" s="2" t="s">
        <v>514</v>
      </c>
      <c r="K4629" s="2" t="s">
        <v>34522</v>
      </c>
      <c r="L4629" s="2" t="s">
        <v>88</v>
      </c>
      <c r="M4629" s="2" t="s">
        <v>523</v>
      </c>
      <c r="N4629" s="2" t="s">
        <v>34525</v>
      </c>
      <c r="O4629" s="2"/>
      <c r="P4629" s="2" t="s">
        <v>37</v>
      </c>
      <c r="Q4629" s="4" t="n">
        <v>8099</v>
      </c>
      <c r="R4629" s="2" t="s">
        <v>2105</v>
      </c>
      <c r="S4629" s="2" t="s">
        <v>39</v>
      </c>
      <c r="T4629" s="2" t="s">
        <v>40</v>
      </c>
      <c r="U4629" s="2" t="s">
        <v>34526</v>
      </c>
      <c r="V4629" s="2"/>
      <c r="W4629" s="2" t="s">
        <v>4487</v>
      </c>
      <c r="X4629" s="2" t="s">
        <v>43</v>
      </c>
      <c r="Y4629" s="2" t="s">
        <v>37</v>
      </c>
      <c r="Z4629" s="2" t="s">
        <v>44</v>
      </c>
      <c r="AA4629" s="2"/>
      <c r="AB4629" s="2"/>
      <c r="AC4629" s="2" t="s">
        <v>34527</v>
      </c>
      <c r="AD4629" s="2" t="s">
        <v>46</v>
      </c>
    </row>
    <row r="4630" customFormat="false" ht="15.7" hidden="false" customHeight="true" outlineLevel="0" collapsed="false">
      <c r="A4630" s="2"/>
      <c r="B4630" s="3" t="n">
        <f aca="false">DATE(2019,11,20)</f>
        <v>0</v>
      </c>
      <c r="C4630" s="3" t="n">
        <v>43789</v>
      </c>
      <c r="D4630" s="2" t="s">
        <v>34528</v>
      </c>
      <c r="F4630" s="2" t="s">
        <v>34529</v>
      </c>
      <c r="G4630" s="2" t="s">
        <v>34530</v>
      </c>
      <c r="H4630" s="2" t="s">
        <v>1027</v>
      </c>
      <c r="I4630" s="2" t="s">
        <v>51</v>
      </c>
      <c r="J4630" s="2" t="s">
        <v>4151</v>
      </c>
      <c r="K4630" s="2" t="s">
        <v>34528</v>
      </c>
      <c r="L4630" s="2" t="s">
        <v>51</v>
      </c>
      <c r="M4630" s="2" t="s">
        <v>1027</v>
      </c>
      <c r="N4630" s="2" t="s">
        <v>34531</v>
      </c>
      <c r="O4630" s="2"/>
      <c r="P4630" s="2" t="s">
        <v>37</v>
      </c>
      <c r="Q4630" s="4" t="n">
        <v>6794</v>
      </c>
      <c r="R4630" s="2" t="s">
        <v>136</v>
      </c>
      <c r="S4630" s="2" t="s">
        <v>39</v>
      </c>
      <c r="T4630" s="2" t="s">
        <v>40</v>
      </c>
      <c r="U4630" s="2" t="s">
        <v>34532</v>
      </c>
      <c r="V4630" s="2"/>
      <c r="W4630" s="2" t="s">
        <v>15545</v>
      </c>
      <c r="X4630" s="2" t="s">
        <v>43</v>
      </c>
      <c r="Y4630" s="2" t="s">
        <v>37</v>
      </c>
      <c r="Z4630" s="2" t="s">
        <v>44</v>
      </c>
      <c r="AA4630" s="2" t="s">
        <v>34533</v>
      </c>
      <c r="AB4630" s="2"/>
      <c r="AC4630" s="2" t="s">
        <v>34534</v>
      </c>
      <c r="AD4630" s="2" t="s">
        <v>46</v>
      </c>
    </row>
    <row r="4631" customFormat="false" ht="15.7" hidden="false" customHeight="true" outlineLevel="0" collapsed="false">
      <c r="A4631" s="2"/>
      <c r="B4631" s="3" t="n">
        <f aca="false">DATE(2019,11,20)</f>
        <v>0</v>
      </c>
      <c r="C4631" s="3" t="n">
        <v>43789</v>
      </c>
      <c r="D4631" s="2" t="s">
        <v>34535</v>
      </c>
      <c r="F4631" s="2" t="s">
        <v>22407</v>
      </c>
      <c r="G4631" s="2" t="s">
        <v>34536</v>
      </c>
      <c r="H4631" s="2" t="s">
        <v>762</v>
      </c>
      <c r="I4631" s="2" t="s">
        <v>180</v>
      </c>
      <c r="J4631" s="2" t="s">
        <v>258</v>
      </c>
      <c r="K4631" s="2" t="s">
        <v>34537</v>
      </c>
      <c r="L4631" s="2" t="s">
        <v>180</v>
      </c>
      <c r="M4631" s="2" t="s">
        <v>762</v>
      </c>
      <c r="N4631" s="2" t="s">
        <v>34538</v>
      </c>
      <c r="O4631" s="2"/>
      <c r="P4631" s="2" t="s">
        <v>37</v>
      </c>
      <c r="Q4631" s="4" t="n">
        <v>8099</v>
      </c>
      <c r="R4631" s="2" t="s">
        <v>56</v>
      </c>
      <c r="S4631" s="2" t="s">
        <v>251</v>
      </c>
      <c r="T4631" s="2" t="s">
        <v>40</v>
      </c>
      <c r="U4631" s="2" t="s">
        <v>34539</v>
      </c>
      <c r="V4631" s="2"/>
      <c r="W4631" s="2" t="s">
        <v>20757</v>
      </c>
      <c r="X4631" s="2" t="s">
        <v>43</v>
      </c>
      <c r="Y4631" s="2" t="s">
        <v>37</v>
      </c>
      <c r="Z4631" s="2" t="s">
        <v>44</v>
      </c>
      <c r="AA4631" s="2"/>
      <c r="AB4631" s="2"/>
      <c r="AC4631" s="2" t="s">
        <v>34540</v>
      </c>
      <c r="AD4631" s="2" t="s">
        <v>46</v>
      </c>
    </row>
    <row r="4632" customFormat="false" ht="15.7" hidden="false" customHeight="true" outlineLevel="0" collapsed="false">
      <c r="A4632" s="2"/>
      <c r="B4632" s="3" t="n">
        <f aca="false">DATE(2019,11,20)</f>
        <v>0</v>
      </c>
      <c r="C4632" s="3" t="n">
        <v>43789</v>
      </c>
      <c r="D4632" s="2" t="s">
        <v>34541</v>
      </c>
      <c r="F4632" s="2" t="s">
        <v>33944</v>
      </c>
      <c r="G4632" s="2" t="s">
        <v>34542</v>
      </c>
      <c r="H4632" s="2" t="s">
        <v>63</v>
      </c>
      <c r="I4632" s="2" t="s">
        <v>965</v>
      </c>
      <c r="J4632" s="2" t="s">
        <v>331</v>
      </c>
      <c r="K4632" s="2" t="s">
        <v>34541</v>
      </c>
      <c r="L4632" s="2" t="s">
        <v>965</v>
      </c>
      <c r="M4632" s="2" t="s">
        <v>63</v>
      </c>
      <c r="N4632" s="2" t="s">
        <v>34543</v>
      </c>
      <c r="O4632" s="2"/>
      <c r="P4632" s="2" t="s">
        <v>37</v>
      </c>
      <c r="Q4632" s="4" t="n">
        <v>8731</v>
      </c>
      <c r="R4632" s="2"/>
      <c r="S4632" s="2"/>
      <c r="T4632" s="2" t="s">
        <v>40</v>
      </c>
      <c r="U4632" s="2" t="s">
        <v>34544</v>
      </c>
      <c r="V4632" s="2"/>
      <c r="W4632" s="2" t="s">
        <v>20940</v>
      </c>
      <c r="X4632" s="2" t="s">
        <v>43</v>
      </c>
      <c r="Y4632" s="2" t="s">
        <v>37</v>
      </c>
      <c r="Z4632" s="2" t="s">
        <v>44</v>
      </c>
      <c r="AA4632" s="2"/>
      <c r="AB4632" s="2"/>
      <c r="AC4632" s="2" t="s">
        <v>34545</v>
      </c>
      <c r="AD4632" s="2" t="s">
        <v>46</v>
      </c>
    </row>
    <row r="4633" customFormat="false" ht="15.7" hidden="false" customHeight="true" outlineLevel="0" collapsed="false">
      <c r="A4633" s="2"/>
      <c r="B4633" s="3" t="n">
        <f aca="false">DATE(2019,11,21)</f>
        <v>0</v>
      </c>
      <c r="C4633" s="3" t="n">
        <v>43790</v>
      </c>
      <c r="D4633" s="2" t="s">
        <v>34546</v>
      </c>
      <c r="F4633" s="2" t="s">
        <v>34547</v>
      </c>
      <c r="G4633" s="2" t="s">
        <v>34548</v>
      </c>
      <c r="H4633" s="2" t="s">
        <v>34549</v>
      </c>
      <c r="I4633" s="2" t="s">
        <v>4325</v>
      </c>
      <c r="J4633" s="2" t="s">
        <v>35</v>
      </c>
      <c r="K4633" s="2" t="s">
        <v>34550</v>
      </c>
      <c r="L4633" s="2" t="s">
        <v>4325</v>
      </c>
      <c r="M4633" s="2" t="s">
        <v>34551</v>
      </c>
      <c r="N4633" s="2" t="s">
        <v>34552</v>
      </c>
      <c r="O4633" s="2"/>
      <c r="P4633" s="2" t="s">
        <v>37</v>
      </c>
      <c r="Q4633" s="4" t="n">
        <v>8731</v>
      </c>
      <c r="R4633" s="2" t="s">
        <v>402</v>
      </c>
      <c r="S4633" s="2" t="s">
        <v>39</v>
      </c>
      <c r="T4633" s="2" t="s">
        <v>40</v>
      </c>
      <c r="U4633" s="2" t="s">
        <v>34553</v>
      </c>
      <c r="V4633" s="2"/>
      <c r="W4633" s="2" t="s">
        <v>382</v>
      </c>
      <c r="X4633" s="2" t="s">
        <v>43</v>
      </c>
      <c r="Y4633" s="2" t="s">
        <v>37</v>
      </c>
      <c r="Z4633" s="2" t="s">
        <v>44</v>
      </c>
      <c r="AA4633" s="2"/>
      <c r="AB4633" s="2"/>
      <c r="AC4633" s="2" t="s">
        <v>34554</v>
      </c>
      <c r="AD4633" s="2" t="s">
        <v>46</v>
      </c>
    </row>
    <row r="4634" customFormat="false" ht="15.7" hidden="false" customHeight="true" outlineLevel="0" collapsed="false">
      <c r="A4634" s="2"/>
      <c r="B4634" s="3" t="n">
        <f aca="false">DATE(2019,11,21)</f>
        <v>0</v>
      </c>
      <c r="C4634" s="3" t="n">
        <v>43790</v>
      </c>
      <c r="D4634" s="2" t="s">
        <v>34555</v>
      </c>
      <c r="F4634" s="2" t="s">
        <v>34556</v>
      </c>
      <c r="G4634" s="2" t="s">
        <v>34557</v>
      </c>
      <c r="H4634" s="2" t="s">
        <v>63</v>
      </c>
      <c r="I4634" s="2" t="s">
        <v>286</v>
      </c>
      <c r="J4634" s="2" t="s">
        <v>35</v>
      </c>
      <c r="K4634" s="2" t="s">
        <v>34558</v>
      </c>
      <c r="L4634" s="2" t="s">
        <v>286</v>
      </c>
      <c r="M4634" s="2" t="s">
        <v>22102</v>
      </c>
      <c r="N4634" s="2" t="s">
        <v>34559</v>
      </c>
      <c r="O4634" s="2"/>
      <c r="P4634" s="2" t="s">
        <v>37</v>
      </c>
      <c r="Q4634" s="4" t="n">
        <v>6794</v>
      </c>
      <c r="R4634" s="2" t="s">
        <v>136</v>
      </c>
      <c r="S4634" s="2" t="s">
        <v>39</v>
      </c>
      <c r="T4634" s="2" t="s">
        <v>40</v>
      </c>
      <c r="U4634" s="2" t="s">
        <v>34560</v>
      </c>
      <c r="V4634" s="2"/>
      <c r="W4634" s="2" t="s">
        <v>24466</v>
      </c>
      <c r="X4634" s="2" t="s">
        <v>43</v>
      </c>
      <c r="Y4634" s="2" t="s">
        <v>37</v>
      </c>
      <c r="Z4634" s="2" t="s">
        <v>44</v>
      </c>
      <c r="AA4634" s="2"/>
      <c r="AB4634" s="2"/>
      <c r="AC4634" s="2" t="s">
        <v>34561</v>
      </c>
      <c r="AD4634" s="2" t="s">
        <v>46</v>
      </c>
    </row>
    <row r="4635" customFormat="false" ht="15.7" hidden="false" customHeight="true" outlineLevel="0" collapsed="false">
      <c r="A4635" s="2"/>
      <c r="B4635" s="3" t="n">
        <f aca="false">DATE(2019,11,21)</f>
        <v>0</v>
      </c>
      <c r="C4635" s="3" t="n">
        <v>43790</v>
      </c>
      <c r="D4635" s="2" t="s">
        <v>34562</v>
      </c>
      <c r="F4635" s="2" t="s">
        <v>23409</v>
      </c>
      <c r="G4635" s="2" t="s">
        <v>34563</v>
      </c>
      <c r="H4635" s="2" t="s">
        <v>26938</v>
      </c>
      <c r="I4635" s="2" t="s">
        <v>51</v>
      </c>
      <c r="J4635" s="2" t="s">
        <v>34564</v>
      </c>
      <c r="K4635" s="2" t="s">
        <v>34562</v>
      </c>
      <c r="L4635" s="2" t="s">
        <v>51</v>
      </c>
      <c r="M4635" s="2" t="s">
        <v>26938</v>
      </c>
      <c r="N4635" s="2" t="s">
        <v>34565</v>
      </c>
      <c r="O4635" s="2"/>
      <c r="P4635" s="2" t="s">
        <v>37</v>
      </c>
      <c r="Q4635" s="4" t="n">
        <v>8099</v>
      </c>
      <c r="R4635" s="2" t="s">
        <v>56</v>
      </c>
      <c r="S4635" s="2" t="s">
        <v>1249</v>
      </c>
      <c r="T4635" s="2" t="s">
        <v>40</v>
      </c>
      <c r="U4635" s="2" t="s">
        <v>34566</v>
      </c>
      <c r="V4635" s="2"/>
      <c r="W4635" s="2" t="s">
        <v>19532</v>
      </c>
      <c r="X4635" s="2" t="s">
        <v>43</v>
      </c>
      <c r="Y4635" s="2" t="s">
        <v>37</v>
      </c>
      <c r="Z4635" s="2" t="s">
        <v>44</v>
      </c>
      <c r="AA4635" s="2"/>
      <c r="AB4635" s="2"/>
      <c r="AC4635" s="2" t="s">
        <v>34567</v>
      </c>
      <c r="AD4635" s="2" t="s">
        <v>46</v>
      </c>
    </row>
    <row r="4636" customFormat="false" ht="15.7" hidden="false" customHeight="true" outlineLevel="0" collapsed="false">
      <c r="A4636" s="2"/>
      <c r="B4636" s="3" t="n">
        <f aca="false">DATE(2019,11,21)</f>
        <v>0</v>
      </c>
      <c r="C4636" s="3" t="n">
        <v>43790</v>
      </c>
      <c r="D4636" s="2" t="s">
        <v>34568</v>
      </c>
      <c r="F4636" s="2" t="s">
        <v>15541</v>
      </c>
      <c r="G4636" s="2" t="s">
        <v>34569</v>
      </c>
      <c r="H4636" s="2" t="s">
        <v>170</v>
      </c>
      <c r="I4636" s="2" t="s">
        <v>51</v>
      </c>
      <c r="J4636" s="2" t="s">
        <v>3704</v>
      </c>
      <c r="K4636" s="2" t="s">
        <v>34568</v>
      </c>
      <c r="L4636" s="2" t="s">
        <v>51</v>
      </c>
      <c r="M4636" s="2" t="s">
        <v>170</v>
      </c>
      <c r="N4636" s="2" t="s">
        <v>34570</v>
      </c>
      <c r="O4636" s="2"/>
      <c r="P4636" s="2" t="s">
        <v>37</v>
      </c>
      <c r="Q4636" s="4" t="n">
        <v>6794</v>
      </c>
      <c r="R4636" s="2" t="s">
        <v>402</v>
      </c>
      <c r="S4636" s="2" t="s">
        <v>39</v>
      </c>
      <c r="T4636" s="2" t="s">
        <v>40</v>
      </c>
      <c r="U4636" s="2" t="s">
        <v>34571</v>
      </c>
      <c r="V4636" s="2"/>
      <c r="W4636" s="2" t="s">
        <v>24132</v>
      </c>
      <c r="X4636" s="2" t="s">
        <v>43</v>
      </c>
      <c r="Y4636" s="2" t="s">
        <v>37</v>
      </c>
      <c r="Z4636" s="2" t="s">
        <v>44</v>
      </c>
      <c r="AA4636" s="2"/>
      <c r="AB4636" s="2"/>
      <c r="AC4636" s="2" t="s">
        <v>34572</v>
      </c>
      <c r="AD4636" s="2" t="s">
        <v>46</v>
      </c>
    </row>
    <row r="4637" customFormat="false" ht="15.7" hidden="false" customHeight="true" outlineLevel="0" collapsed="false">
      <c r="A4637" s="2"/>
      <c r="B4637" s="3" t="n">
        <f aca="false">DATE(2019,11,22)</f>
        <v>0</v>
      </c>
      <c r="C4637" s="3" t="n">
        <v>43791</v>
      </c>
      <c r="D4637" s="2" t="s">
        <v>34573</v>
      </c>
      <c r="F4637" s="2" t="s">
        <v>14371</v>
      </c>
      <c r="G4637" s="2" t="s">
        <v>34574</v>
      </c>
      <c r="H4637" s="2" t="s">
        <v>63</v>
      </c>
      <c r="I4637" s="2" t="s">
        <v>10571</v>
      </c>
      <c r="J4637" s="2" t="s">
        <v>35</v>
      </c>
      <c r="K4637" s="2" t="s">
        <v>34573</v>
      </c>
      <c r="L4637" s="2" t="s">
        <v>10571</v>
      </c>
      <c r="M4637" s="2" t="s">
        <v>63</v>
      </c>
      <c r="N4637" s="2" t="s">
        <v>34575</v>
      </c>
      <c r="O4637" s="2"/>
      <c r="P4637" s="2" t="s">
        <v>37</v>
      </c>
      <c r="Q4637" s="4" t="n">
        <v>8731</v>
      </c>
      <c r="R4637" s="2"/>
      <c r="S4637" s="2"/>
      <c r="T4637" s="2" t="s">
        <v>40</v>
      </c>
      <c r="U4637" s="2" t="s">
        <v>34576</v>
      </c>
      <c r="V4637" s="2"/>
      <c r="W4637" s="2" t="s">
        <v>18171</v>
      </c>
      <c r="X4637" s="2" t="s">
        <v>43</v>
      </c>
      <c r="Y4637" s="2" t="s">
        <v>37</v>
      </c>
      <c r="Z4637" s="2" t="s">
        <v>44</v>
      </c>
      <c r="AA4637" s="2"/>
      <c r="AB4637" s="2"/>
      <c r="AC4637" s="2" t="s">
        <v>34577</v>
      </c>
      <c r="AD4637" s="2" t="s">
        <v>46</v>
      </c>
    </row>
    <row r="4638" customFormat="false" ht="15.7" hidden="false" customHeight="true" outlineLevel="0" collapsed="false">
      <c r="A4638" s="2"/>
      <c r="B4638" s="3" t="n">
        <f aca="false">DATE(2019,11,25)</f>
        <v>0</v>
      </c>
      <c r="C4638" s="3" t="n">
        <v>43794</v>
      </c>
      <c r="D4638" s="2" t="s">
        <v>34578</v>
      </c>
      <c r="F4638" s="2" t="s">
        <v>34579</v>
      </c>
      <c r="G4638" s="2" t="s">
        <v>34580</v>
      </c>
      <c r="H4638" s="2" t="s">
        <v>34581</v>
      </c>
      <c r="I4638" s="2" t="s">
        <v>369</v>
      </c>
      <c r="J4638" s="2" t="s">
        <v>35</v>
      </c>
      <c r="K4638" s="2" t="s">
        <v>34578</v>
      </c>
      <c r="L4638" s="2" t="s">
        <v>369</v>
      </c>
      <c r="M4638" s="2" t="s">
        <v>34581</v>
      </c>
      <c r="N4638" s="2" t="s">
        <v>34582</v>
      </c>
      <c r="O4638" s="2"/>
      <c r="P4638" s="2" t="s">
        <v>37</v>
      </c>
      <c r="Q4638" s="4" t="n">
        <v>8731</v>
      </c>
      <c r="R4638" s="2" t="s">
        <v>105</v>
      </c>
      <c r="S4638" s="2" t="s">
        <v>39</v>
      </c>
      <c r="T4638" s="2" t="s">
        <v>403</v>
      </c>
      <c r="U4638" s="2" t="s">
        <v>34583</v>
      </c>
      <c r="V4638" s="2"/>
      <c r="W4638" s="2" t="s">
        <v>31155</v>
      </c>
      <c r="X4638" s="2" t="s">
        <v>43</v>
      </c>
      <c r="Y4638" s="2" t="s">
        <v>37</v>
      </c>
      <c r="Z4638" s="2" t="s">
        <v>44</v>
      </c>
      <c r="AA4638" s="2"/>
      <c r="AB4638" s="2"/>
      <c r="AC4638" s="2" t="s">
        <v>34584</v>
      </c>
      <c r="AD4638" s="2" t="s">
        <v>46</v>
      </c>
    </row>
    <row r="4639" customFormat="false" ht="15.7" hidden="false" customHeight="true" outlineLevel="0" collapsed="false">
      <c r="A4639" s="2"/>
      <c r="B4639" s="3" t="n">
        <f aca="false">DATE(2019,11,25)</f>
        <v>0</v>
      </c>
      <c r="C4639" s="3" t="n">
        <v>43794</v>
      </c>
      <c r="D4639" s="2" t="s">
        <v>34585</v>
      </c>
      <c r="F4639" s="2" t="s">
        <v>14319</v>
      </c>
      <c r="G4639" s="2" t="s">
        <v>34586</v>
      </c>
      <c r="H4639" s="2" t="s">
        <v>130</v>
      </c>
      <c r="I4639" s="2" t="s">
        <v>219</v>
      </c>
      <c r="J4639" s="2" t="s">
        <v>575</v>
      </c>
      <c r="K4639" s="2" t="s">
        <v>34587</v>
      </c>
      <c r="L4639" s="2" t="s">
        <v>219</v>
      </c>
      <c r="M4639" s="2" t="s">
        <v>2398</v>
      </c>
      <c r="N4639" s="2" t="s">
        <v>34588</v>
      </c>
      <c r="O4639" s="2"/>
      <c r="P4639" s="2" t="s">
        <v>37</v>
      </c>
      <c r="Q4639" s="4" t="n">
        <v>6794</v>
      </c>
      <c r="R4639" s="2" t="s">
        <v>136</v>
      </c>
      <c r="S4639" s="2" t="s">
        <v>39</v>
      </c>
      <c r="T4639" s="2" t="s">
        <v>40</v>
      </c>
      <c r="U4639" s="2" t="s">
        <v>34589</v>
      </c>
      <c r="V4639" s="2"/>
      <c r="W4639" s="2" t="s">
        <v>24466</v>
      </c>
      <c r="X4639" s="2" t="s">
        <v>43</v>
      </c>
      <c r="Y4639" s="2" t="s">
        <v>37</v>
      </c>
      <c r="Z4639" s="2" t="s">
        <v>44</v>
      </c>
      <c r="AA4639" s="2"/>
      <c r="AB4639" s="2"/>
      <c r="AC4639" s="2" t="s">
        <v>34590</v>
      </c>
      <c r="AD4639" s="2" t="s">
        <v>46</v>
      </c>
    </row>
    <row r="4640" customFormat="false" ht="15.7" hidden="false" customHeight="true" outlineLevel="0" collapsed="false">
      <c r="A4640" s="2"/>
      <c r="B4640" s="3" t="n">
        <f aca="false">DATE(2019,11,25)</f>
        <v>0</v>
      </c>
      <c r="C4640" s="3" t="n">
        <v>43794</v>
      </c>
      <c r="D4640" s="2" t="s">
        <v>34591</v>
      </c>
      <c r="F4640" s="2" t="s">
        <v>34592</v>
      </c>
      <c r="G4640" s="2" t="s">
        <v>34593</v>
      </c>
      <c r="H4640" s="2" t="s">
        <v>551</v>
      </c>
      <c r="I4640" s="2" t="s">
        <v>180</v>
      </c>
      <c r="J4640" s="2" t="s">
        <v>795</v>
      </c>
      <c r="K4640" s="2" t="s">
        <v>34591</v>
      </c>
      <c r="L4640" s="2" t="s">
        <v>180</v>
      </c>
      <c r="M4640" s="2" t="s">
        <v>551</v>
      </c>
      <c r="N4640" s="2" t="s">
        <v>34594</v>
      </c>
      <c r="O4640" s="2" t="s">
        <v>34595</v>
      </c>
      <c r="P4640" s="2" t="s">
        <v>37</v>
      </c>
      <c r="Q4640" s="4" t="n">
        <v>8742</v>
      </c>
      <c r="R4640" s="2" t="s">
        <v>56</v>
      </c>
      <c r="S4640" s="2" t="s">
        <v>2265</v>
      </c>
      <c r="T4640" s="2" t="s">
        <v>40</v>
      </c>
      <c r="U4640" s="2" t="s">
        <v>34596</v>
      </c>
      <c r="V4640" s="2"/>
      <c r="W4640" s="2" t="s">
        <v>18591</v>
      </c>
      <c r="X4640" s="2" t="s">
        <v>46</v>
      </c>
      <c r="Y4640" s="2" t="s">
        <v>37</v>
      </c>
      <c r="Z4640" s="2" t="s">
        <v>44</v>
      </c>
      <c r="AA4640" s="2" t="s">
        <v>34597</v>
      </c>
      <c r="AB4640" s="2" t="s">
        <v>34598</v>
      </c>
      <c r="AC4640" s="2" t="s">
        <v>34599</v>
      </c>
      <c r="AD4640" s="2" t="s">
        <v>46</v>
      </c>
    </row>
    <row r="4641" customFormat="false" ht="15.7" hidden="false" customHeight="true" outlineLevel="0" collapsed="false">
      <c r="A4641" s="2"/>
      <c r="B4641" s="3" t="n">
        <f aca="false">DATE(2019,11,25)</f>
        <v>0</v>
      </c>
      <c r="C4641" s="3" t="n">
        <v>43794</v>
      </c>
      <c r="D4641" s="2" t="s">
        <v>34600</v>
      </c>
      <c r="F4641" s="2" t="s">
        <v>20591</v>
      </c>
      <c r="G4641" s="2" t="s">
        <v>34601</v>
      </c>
      <c r="H4641" s="2" t="s">
        <v>305</v>
      </c>
      <c r="I4641" s="2" t="s">
        <v>51</v>
      </c>
      <c r="J4641" s="2" t="s">
        <v>171</v>
      </c>
      <c r="K4641" s="2" t="s">
        <v>34600</v>
      </c>
      <c r="L4641" s="2" t="s">
        <v>51</v>
      </c>
      <c r="M4641" s="2" t="s">
        <v>305</v>
      </c>
      <c r="N4641" s="2" t="s">
        <v>34602</v>
      </c>
      <c r="O4641" s="2"/>
      <c r="P4641" s="2" t="s">
        <v>37</v>
      </c>
      <c r="Q4641" s="4" t="n">
        <v>6794</v>
      </c>
      <c r="R4641" s="2" t="s">
        <v>56</v>
      </c>
      <c r="S4641" s="2" t="s">
        <v>92</v>
      </c>
      <c r="T4641" s="2" t="s">
        <v>40</v>
      </c>
      <c r="U4641" s="2" t="s">
        <v>34603</v>
      </c>
      <c r="V4641" s="2"/>
      <c r="W4641" s="2" t="s">
        <v>15545</v>
      </c>
      <c r="X4641" s="2" t="s">
        <v>43</v>
      </c>
      <c r="Y4641" s="2" t="s">
        <v>37</v>
      </c>
      <c r="Z4641" s="2" t="s">
        <v>44</v>
      </c>
      <c r="AA4641" s="2"/>
      <c r="AB4641" s="2"/>
      <c r="AC4641" s="2" t="s">
        <v>34604</v>
      </c>
      <c r="AD4641" s="2" t="s">
        <v>46</v>
      </c>
    </row>
    <row r="4642" customFormat="false" ht="15.7" hidden="false" customHeight="true" outlineLevel="0" collapsed="false">
      <c r="A4642" s="2"/>
      <c r="B4642" s="3" t="n">
        <f aca="false">DATE(2019,11,26)</f>
        <v>0</v>
      </c>
      <c r="C4642" s="3" t="n">
        <v>43795</v>
      </c>
      <c r="D4642" s="2" t="s">
        <v>34605</v>
      </c>
      <c r="F4642" s="2" t="s">
        <v>15884</v>
      </c>
      <c r="G4642" s="2" t="s">
        <v>34606</v>
      </c>
      <c r="H4642" s="2" t="s">
        <v>1027</v>
      </c>
      <c r="I4642" s="2" t="s">
        <v>7737</v>
      </c>
      <c r="J4642" s="2" t="s">
        <v>35</v>
      </c>
      <c r="K4642" s="2" t="s">
        <v>34605</v>
      </c>
      <c r="L4642" s="2" t="s">
        <v>7737</v>
      </c>
      <c r="M4642" s="2" t="s">
        <v>1027</v>
      </c>
      <c r="N4642" s="2" t="s">
        <v>34607</v>
      </c>
      <c r="O4642" s="2"/>
      <c r="P4642" s="2" t="s">
        <v>37</v>
      </c>
      <c r="Q4642" s="4" t="n">
        <v>8731</v>
      </c>
      <c r="R4642" s="2" t="s">
        <v>1448</v>
      </c>
      <c r="S4642" s="2" t="s">
        <v>39</v>
      </c>
      <c r="T4642" s="2" t="s">
        <v>403</v>
      </c>
      <c r="U4642" s="2" t="s">
        <v>34608</v>
      </c>
      <c r="V4642" s="2"/>
      <c r="W4642" s="2" t="s">
        <v>344</v>
      </c>
      <c r="X4642" s="2" t="s">
        <v>46</v>
      </c>
      <c r="Y4642" s="2" t="s">
        <v>37</v>
      </c>
      <c r="Z4642" s="2" t="s">
        <v>44</v>
      </c>
      <c r="AA4642" s="2"/>
      <c r="AB4642" s="2"/>
      <c r="AC4642" s="2" t="s">
        <v>34609</v>
      </c>
      <c r="AD4642" s="2" t="s">
        <v>46</v>
      </c>
    </row>
    <row r="4643" customFormat="false" ht="15.7" hidden="false" customHeight="true" outlineLevel="0" collapsed="false">
      <c r="A4643" s="2"/>
      <c r="B4643" s="3" t="n">
        <f aca="false">DATE(2019,11,26)</f>
        <v>0</v>
      </c>
      <c r="C4643" s="3" t="n">
        <v>43795</v>
      </c>
      <c r="D4643" s="2" t="s">
        <v>34610</v>
      </c>
      <c r="F4643" s="2" t="s">
        <v>26873</v>
      </c>
      <c r="G4643" s="2" t="s">
        <v>34611</v>
      </c>
      <c r="H4643" s="2" t="s">
        <v>8167</v>
      </c>
      <c r="I4643" s="2" t="s">
        <v>51</v>
      </c>
      <c r="J4643" s="2" t="s">
        <v>5866</v>
      </c>
      <c r="K4643" s="2" t="s">
        <v>34610</v>
      </c>
      <c r="L4643" s="2" t="s">
        <v>51</v>
      </c>
      <c r="M4643" s="2" t="s">
        <v>8167</v>
      </c>
      <c r="N4643" s="2" t="s">
        <v>34612</v>
      </c>
      <c r="O4643" s="2"/>
      <c r="P4643" s="2" t="s">
        <v>37</v>
      </c>
      <c r="Q4643" s="4" t="n">
        <v>6794</v>
      </c>
      <c r="R4643" s="2" t="s">
        <v>56</v>
      </c>
      <c r="S4643" s="2" t="s">
        <v>507</v>
      </c>
      <c r="T4643" s="2" t="s">
        <v>40</v>
      </c>
      <c r="U4643" s="2" t="s">
        <v>34613</v>
      </c>
      <c r="V4643" s="2"/>
      <c r="W4643" s="2" t="s">
        <v>34614</v>
      </c>
      <c r="X4643" s="2" t="s">
        <v>43</v>
      </c>
      <c r="Y4643" s="2" t="s">
        <v>37</v>
      </c>
      <c r="Z4643" s="2" t="s">
        <v>44</v>
      </c>
      <c r="AA4643" s="2"/>
      <c r="AB4643" s="2"/>
      <c r="AC4643" s="2" t="s">
        <v>34615</v>
      </c>
      <c r="AD4643" s="2" t="s">
        <v>46</v>
      </c>
    </row>
    <row r="4644" customFormat="false" ht="15.7" hidden="false" customHeight="true" outlineLevel="0" collapsed="false">
      <c r="A4644" s="2"/>
      <c r="B4644" s="3" t="n">
        <f aca="false">DATE(2019,11,26)</f>
        <v>0</v>
      </c>
      <c r="C4644" s="3" t="n">
        <v>43795</v>
      </c>
      <c r="D4644" s="2" t="s">
        <v>34616</v>
      </c>
      <c r="F4644" s="2" t="s">
        <v>34617</v>
      </c>
      <c r="G4644" s="2" t="s">
        <v>34618</v>
      </c>
      <c r="H4644" s="2" t="s">
        <v>34370</v>
      </c>
      <c r="I4644" s="2" t="s">
        <v>2103</v>
      </c>
      <c r="J4644" s="2" t="s">
        <v>35</v>
      </c>
      <c r="K4644" s="2" t="s">
        <v>34616</v>
      </c>
      <c r="L4644" s="2" t="s">
        <v>2103</v>
      </c>
      <c r="M4644" s="2" t="s">
        <v>34370</v>
      </c>
      <c r="N4644" s="2" t="s">
        <v>34619</v>
      </c>
      <c r="O4644" s="2"/>
      <c r="P4644" s="2" t="s">
        <v>37</v>
      </c>
      <c r="Q4644" s="4" t="n">
        <v>8099</v>
      </c>
      <c r="R4644" s="2" t="s">
        <v>34620</v>
      </c>
      <c r="S4644" s="2" t="s">
        <v>39</v>
      </c>
      <c r="T4644" s="2" t="s">
        <v>40</v>
      </c>
      <c r="U4644" s="2" t="s">
        <v>34621</v>
      </c>
      <c r="V4644" s="2"/>
      <c r="W4644" s="2" t="s">
        <v>4487</v>
      </c>
      <c r="X4644" s="2" t="s">
        <v>43</v>
      </c>
      <c r="Y4644" s="2" t="s">
        <v>37</v>
      </c>
      <c r="Z4644" s="2" t="s">
        <v>44</v>
      </c>
      <c r="AA4644" s="2"/>
      <c r="AB4644" s="2"/>
      <c r="AC4644" s="2" t="s">
        <v>34622</v>
      </c>
      <c r="AD4644" s="2" t="s">
        <v>46</v>
      </c>
    </row>
    <row r="4645" customFormat="false" ht="15.7" hidden="false" customHeight="true" outlineLevel="0" collapsed="false">
      <c r="A4645" s="2"/>
      <c r="B4645" s="3" t="n">
        <f aca="false">DATE(2019,11,26)</f>
        <v>0</v>
      </c>
      <c r="C4645" s="3" t="n">
        <v>43795</v>
      </c>
      <c r="D4645" s="2" t="s">
        <v>34623</v>
      </c>
      <c r="F4645" s="2" t="s">
        <v>34624</v>
      </c>
      <c r="G4645" s="2" t="s">
        <v>34625</v>
      </c>
      <c r="H4645" s="2" t="s">
        <v>34626</v>
      </c>
      <c r="I4645" s="2" t="s">
        <v>31399</v>
      </c>
      <c r="J4645" s="2" t="s">
        <v>35</v>
      </c>
      <c r="K4645" s="2" t="s">
        <v>34627</v>
      </c>
      <c r="L4645" s="2" t="s">
        <v>34628</v>
      </c>
      <c r="M4645" s="2" t="s">
        <v>34626</v>
      </c>
      <c r="N4645" s="2" t="s">
        <v>34629</v>
      </c>
      <c r="O4645" s="2"/>
      <c r="P4645" s="2" t="s">
        <v>37</v>
      </c>
      <c r="Q4645" s="4" t="n">
        <v>4812</v>
      </c>
      <c r="R4645" s="2" t="s">
        <v>24961</v>
      </c>
      <c r="S4645" s="2" t="s">
        <v>39</v>
      </c>
      <c r="T4645" s="2" t="s">
        <v>40</v>
      </c>
      <c r="U4645" s="2" t="s">
        <v>34630</v>
      </c>
      <c r="V4645" s="2"/>
      <c r="W4645" s="2" t="s">
        <v>14079</v>
      </c>
      <c r="X4645" s="2" t="s">
        <v>43</v>
      </c>
      <c r="Y4645" s="2" t="s">
        <v>37</v>
      </c>
      <c r="Z4645" s="2" t="s">
        <v>44</v>
      </c>
      <c r="AA4645" s="2"/>
      <c r="AB4645" s="2"/>
      <c r="AC4645" s="2" t="s">
        <v>34631</v>
      </c>
      <c r="AD4645" s="2" t="s">
        <v>46</v>
      </c>
    </row>
    <row r="4646" customFormat="false" ht="15.7" hidden="false" customHeight="true" outlineLevel="0" collapsed="false">
      <c r="A4646" s="2"/>
      <c r="B4646" s="3" t="n">
        <f aca="false">DATE(2019,11,28)</f>
        <v>0</v>
      </c>
      <c r="C4646" s="3" t="n">
        <v>43797</v>
      </c>
      <c r="D4646" s="2" t="s">
        <v>34632</v>
      </c>
      <c r="F4646" s="2" t="s">
        <v>34633</v>
      </c>
      <c r="G4646" s="2" t="s">
        <v>34634</v>
      </c>
      <c r="H4646" s="2" t="s">
        <v>1411</v>
      </c>
      <c r="I4646" s="2" t="s">
        <v>12602</v>
      </c>
      <c r="J4646" s="2" t="s">
        <v>35</v>
      </c>
      <c r="K4646" s="2" t="s">
        <v>34635</v>
      </c>
      <c r="L4646" s="2" t="s">
        <v>12602</v>
      </c>
      <c r="M4646" s="2" t="s">
        <v>1411</v>
      </c>
      <c r="N4646" s="2" t="s">
        <v>34636</v>
      </c>
      <c r="O4646" s="2"/>
      <c r="P4646" s="2" t="s">
        <v>37</v>
      </c>
      <c r="Q4646" s="4" t="n">
        <v>8099</v>
      </c>
      <c r="R4646" s="2" t="s">
        <v>70</v>
      </c>
      <c r="S4646" s="2" t="s">
        <v>39</v>
      </c>
      <c r="T4646" s="2" t="s">
        <v>40</v>
      </c>
      <c r="U4646" s="2" t="s">
        <v>34637</v>
      </c>
      <c r="V4646" s="2"/>
      <c r="W4646" s="2" t="s">
        <v>4487</v>
      </c>
      <c r="X4646" s="2" t="s">
        <v>43</v>
      </c>
      <c r="Y4646" s="2" t="s">
        <v>37</v>
      </c>
      <c r="Z4646" s="2" t="s">
        <v>44</v>
      </c>
      <c r="AA4646" s="2"/>
      <c r="AB4646" s="2"/>
      <c r="AC4646" s="2" t="s">
        <v>34638</v>
      </c>
      <c r="AD4646" s="2" t="s">
        <v>46</v>
      </c>
    </row>
    <row r="4647" customFormat="false" ht="15.7" hidden="false" customHeight="true" outlineLevel="0" collapsed="false">
      <c r="A4647" s="2"/>
      <c r="B4647" s="3" t="n">
        <f aca="false">DATE(2019,11,30)</f>
        <v>0</v>
      </c>
      <c r="C4647" s="3" t="n">
        <v>43799</v>
      </c>
      <c r="D4647" s="2" t="s">
        <v>34639</v>
      </c>
      <c r="F4647" s="2" t="s">
        <v>24576</v>
      </c>
      <c r="G4647" s="2" t="s">
        <v>34640</v>
      </c>
      <c r="H4647" s="2" t="s">
        <v>34641</v>
      </c>
      <c r="I4647" s="2" t="s">
        <v>34642</v>
      </c>
      <c r="J4647" s="2" t="s">
        <v>35</v>
      </c>
      <c r="K4647" s="2" t="s">
        <v>34639</v>
      </c>
      <c r="L4647" s="2" t="s">
        <v>34642</v>
      </c>
      <c r="M4647" s="2" t="s">
        <v>34641</v>
      </c>
      <c r="N4647" s="2" t="s">
        <v>34643</v>
      </c>
      <c r="O4647" s="2"/>
      <c r="P4647" s="2" t="s">
        <v>37</v>
      </c>
      <c r="Q4647" s="4" t="n">
        <v>8731</v>
      </c>
      <c r="R4647" s="2" t="s">
        <v>8239</v>
      </c>
      <c r="S4647" s="2" t="s">
        <v>39</v>
      </c>
      <c r="T4647" s="2" t="s">
        <v>403</v>
      </c>
      <c r="U4647" s="2" t="s">
        <v>34644</v>
      </c>
      <c r="V4647" s="2"/>
      <c r="W4647" s="2" t="s">
        <v>9400</v>
      </c>
      <c r="X4647" s="2" t="s">
        <v>46</v>
      </c>
      <c r="Y4647" s="2" t="s">
        <v>37</v>
      </c>
      <c r="Z4647" s="2" t="s">
        <v>362</v>
      </c>
      <c r="AA4647" s="2"/>
      <c r="AB4647" s="2"/>
      <c r="AC4647" s="2" t="s">
        <v>34645</v>
      </c>
      <c r="AD4647" s="2" t="s">
        <v>46</v>
      </c>
    </row>
    <row r="4648" customFormat="false" ht="15.7" hidden="false" customHeight="true" outlineLevel="0" collapsed="false">
      <c r="A4648" s="2"/>
      <c r="B4648" s="3" t="n">
        <f aca="false">DATE(2019,12,2)</f>
        <v>0</v>
      </c>
      <c r="C4648" s="3" t="n">
        <v>43801</v>
      </c>
      <c r="D4648" s="2" t="s">
        <v>34646</v>
      </c>
      <c r="F4648" s="2" t="s">
        <v>34647</v>
      </c>
      <c r="G4648" s="2" t="s">
        <v>34648</v>
      </c>
      <c r="H4648" s="2" t="s">
        <v>34649</v>
      </c>
      <c r="I4648" s="2" t="s">
        <v>34650</v>
      </c>
      <c r="J4648" s="2" t="s">
        <v>35</v>
      </c>
      <c r="K4648" s="2" t="s">
        <v>34651</v>
      </c>
      <c r="L4648" s="2" t="s">
        <v>34650</v>
      </c>
      <c r="M4648" s="2" t="s">
        <v>34652</v>
      </c>
      <c r="N4648" s="2" t="s">
        <v>34653</v>
      </c>
      <c r="O4648" s="2"/>
      <c r="P4648" s="2" t="s">
        <v>37</v>
      </c>
      <c r="Q4648" s="4" t="n">
        <v>8731</v>
      </c>
      <c r="R4648" s="2" t="s">
        <v>19637</v>
      </c>
      <c r="S4648" s="2" t="s">
        <v>39</v>
      </c>
      <c r="T4648" s="2" t="s">
        <v>403</v>
      </c>
      <c r="U4648" s="2" t="s">
        <v>34654</v>
      </c>
      <c r="V4648" s="2"/>
      <c r="W4648" s="2" t="s">
        <v>19997</v>
      </c>
      <c r="X4648" s="2" t="s">
        <v>46</v>
      </c>
      <c r="Y4648" s="2" t="s">
        <v>37</v>
      </c>
      <c r="Z4648" s="2" t="s">
        <v>44</v>
      </c>
      <c r="AA4648" s="2"/>
      <c r="AB4648" s="2"/>
      <c r="AC4648" s="2" t="s">
        <v>34655</v>
      </c>
      <c r="AD4648" s="2" t="s">
        <v>46</v>
      </c>
    </row>
    <row r="4649" customFormat="false" ht="15.7" hidden="false" customHeight="true" outlineLevel="0" collapsed="false">
      <c r="A4649" s="2"/>
      <c r="B4649" s="3" t="n">
        <f aca="false">DATE(2019,12,2)</f>
        <v>0</v>
      </c>
      <c r="C4649" s="3" t="n">
        <v>43801</v>
      </c>
      <c r="D4649" s="2" t="s">
        <v>34656</v>
      </c>
      <c r="F4649" s="2" t="s">
        <v>15541</v>
      </c>
      <c r="G4649" s="2" t="s">
        <v>34657</v>
      </c>
      <c r="H4649" s="2" t="s">
        <v>170</v>
      </c>
      <c r="I4649" s="2" t="s">
        <v>4325</v>
      </c>
      <c r="J4649" s="2" t="s">
        <v>35</v>
      </c>
      <c r="K4649" s="2" t="s">
        <v>34656</v>
      </c>
      <c r="L4649" s="2" t="s">
        <v>4325</v>
      </c>
      <c r="M4649" s="2" t="s">
        <v>170</v>
      </c>
      <c r="N4649" s="2" t="s">
        <v>34658</v>
      </c>
      <c r="O4649" s="2"/>
      <c r="P4649" s="2" t="s">
        <v>37</v>
      </c>
      <c r="Q4649" s="4" t="n">
        <v>8731</v>
      </c>
      <c r="R4649" s="2" t="s">
        <v>402</v>
      </c>
      <c r="S4649" s="2" t="s">
        <v>39</v>
      </c>
      <c r="T4649" s="2" t="s">
        <v>403</v>
      </c>
      <c r="U4649" s="2" t="s">
        <v>34659</v>
      </c>
      <c r="V4649" s="2"/>
      <c r="W4649" s="2" t="s">
        <v>2056</v>
      </c>
      <c r="X4649" s="2" t="s">
        <v>43</v>
      </c>
      <c r="Y4649" s="2" t="s">
        <v>37</v>
      </c>
      <c r="Z4649" s="2" t="s">
        <v>44</v>
      </c>
      <c r="AA4649" s="2"/>
      <c r="AB4649" s="2"/>
      <c r="AC4649" s="2" t="s">
        <v>34660</v>
      </c>
      <c r="AD4649" s="2" t="s">
        <v>46</v>
      </c>
    </row>
    <row r="4650" customFormat="false" ht="15.7" hidden="false" customHeight="true" outlineLevel="0" collapsed="false">
      <c r="A4650" s="2"/>
      <c r="B4650" s="3" t="n">
        <f aca="false">DATE(2019,12,2)</f>
        <v>0</v>
      </c>
      <c r="C4650" s="3" t="n">
        <v>43801</v>
      </c>
      <c r="D4650" s="2" t="s">
        <v>34661</v>
      </c>
      <c r="F4650" s="2" t="s">
        <v>34662</v>
      </c>
      <c r="G4650" s="2" t="s">
        <v>34663</v>
      </c>
      <c r="H4650" s="2" t="s">
        <v>5386</v>
      </c>
      <c r="I4650" s="2" t="s">
        <v>34</v>
      </c>
      <c r="J4650" s="2" t="s">
        <v>35</v>
      </c>
      <c r="K4650" s="2" t="s">
        <v>34661</v>
      </c>
      <c r="L4650" s="2" t="s">
        <v>34</v>
      </c>
      <c r="M4650" s="2" t="s">
        <v>5386</v>
      </c>
      <c r="N4650" s="2" t="s">
        <v>34664</v>
      </c>
      <c r="O4650" s="2"/>
      <c r="P4650" s="2" t="s">
        <v>37</v>
      </c>
      <c r="Q4650" s="4" t="n">
        <v>8742</v>
      </c>
      <c r="R4650" s="2" t="s">
        <v>38</v>
      </c>
      <c r="S4650" s="2" t="s">
        <v>39</v>
      </c>
      <c r="T4650" s="2" t="s">
        <v>403</v>
      </c>
      <c r="U4650" s="2" t="s">
        <v>34665</v>
      </c>
      <c r="V4650" s="2"/>
      <c r="W4650" s="2" t="s">
        <v>7958</v>
      </c>
      <c r="X4650" s="2" t="s">
        <v>43</v>
      </c>
      <c r="Y4650" s="2" t="s">
        <v>37</v>
      </c>
      <c r="Z4650" s="2" t="s">
        <v>44</v>
      </c>
      <c r="AA4650" s="2"/>
      <c r="AB4650" s="2"/>
      <c r="AC4650" s="2" t="s">
        <v>34666</v>
      </c>
      <c r="AD4650" s="2" t="s">
        <v>46</v>
      </c>
    </row>
    <row r="4651" customFormat="false" ht="15.7" hidden="false" customHeight="true" outlineLevel="0" collapsed="false">
      <c r="A4651" s="2"/>
      <c r="B4651" s="3" t="n">
        <f aca="false">DATE(2019,12,3)</f>
        <v>0</v>
      </c>
      <c r="C4651" s="3" t="n">
        <v>43802</v>
      </c>
      <c r="D4651" s="2" t="s">
        <v>34667</v>
      </c>
      <c r="F4651" s="2" t="s">
        <v>2471</v>
      </c>
      <c r="G4651" s="2" t="s">
        <v>34668</v>
      </c>
      <c r="H4651" s="2" t="s">
        <v>130</v>
      </c>
      <c r="I4651" s="2" t="s">
        <v>10332</v>
      </c>
      <c r="J4651" s="2" t="s">
        <v>35</v>
      </c>
      <c r="K4651" s="2" t="s">
        <v>34667</v>
      </c>
      <c r="L4651" s="2" t="s">
        <v>10332</v>
      </c>
      <c r="M4651" s="2" t="s">
        <v>130</v>
      </c>
      <c r="N4651" s="2" t="s">
        <v>34669</v>
      </c>
      <c r="O4651" s="2"/>
      <c r="P4651" s="2" t="s">
        <v>37</v>
      </c>
      <c r="Q4651" s="4" t="n">
        <v>8731</v>
      </c>
      <c r="R4651" s="2"/>
      <c r="S4651" s="2"/>
      <c r="T4651" s="2" t="s">
        <v>40</v>
      </c>
      <c r="U4651" s="2" t="s">
        <v>34670</v>
      </c>
      <c r="V4651" s="2"/>
      <c r="W4651" s="2" t="s">
        <v>34043</v>
      </c>
      <c r="X4651" s="2" t="s">
        <v>43</v>
      </c>
      <c r="Y4651" s="2" t="s">
        <v>37</v>
      </c>
      <c r="Z4651" s="2" t="s">
        <v>44</v>
      </c>
      <c r="AA4651" s="2"/>
      <c r="AB4651" s="2"/>
      <c r="AC4651" s="2" t="s">
        <v>34671</v>
      </c>
      <c r="AD4651" s="2" t="s">
        <v>46</v>
      </c>
    </row>
    <row r="4652" customFormat="false" ht="15.7" hidden="false" customHeight="true" outlineLevel="0" collapsed="false">
      <c r="A4652" s="2"/>
      <c r="B4652" s="3" t="n">
        <f aca="false">DATE(2019,12,3)</f>
        <v>0</v>
      </c>
      <c r="C4652" s="3" t="n">
        <v>43802</v>
      </c>
      <c r="D4652" s="2" t="s">
        <v>34672</v>
      </c>
      <c r="F4652" s="2" t="s">
        <v>34673</v>
      </c>
      <c r="G4652" s="2" t="s">
        <v>34674</v>
      </c>
      <c r="H4652" s="2" t="s">
        <v>34675</v>
      </c>
      <c r="I4652" s="2" t="s">
        <v>2891</v>
      </c>
      <c r="J4652" s="2" t="s">
        <v>35</v>
      </c>
      <c r="K4652" s="2" t="s">
        <v>34676</v>
      </c>
      <c r="L4652" s="2" t="s">
        <v>4705</v>
      </c>
      <c r="M4652" s="2" t="s">
        <v>34677</v>
      </c>
      <c r="N4652" s="2" t="s">
        <v>34678</v>
      </c>
      <c r="O4652" s="2"/>
      <c r="P4652" s="2" t="s">
        <v>37</v>
      </c>
      <c r="Q4652" s="4" t="n">
        <v>6794</v>
      </c>
      <c r="R4652" s="2" t="s">
        <v>136</v>
      </c>
      <c r="S4652" s="2" t="s">
        <v>39</v>
      </c>
      <c r="T4652" s="2" t="s">
        <v>40</v>
      </c>
      <c r="U4652" s="2" t="s">
        <v>34679</v>
      </c>
      <c r="V4652" s="2"/>
      <c r="W4652" s="2" t="s">
        <v>23630</v>
      </c>
      <c r="X4652" s="2" t="s">
        <v>43</v>
      </c>
      <c r="Y4652" s="2" t="s">
        <v>37</v>
      </c>
      <c r="Z4652" s="2" t="s">
        <v>44</v>
      </c>
      <c r="AA4652" s="2"/>
      <c r="AB4652" s="2"/>
      <c r="AC4652" s="2" t="s">
        <v>34680</v>
      </c>
      <c r="AD4652" s="2" t="s">
        <v>46</v>
      </c>
    </row>
    <row r="4653" customFormat="false" ht="15.7" hidden="false" customHeight="true" outlineLevel="0" collapsed="false">
      <c r="A4653" s="2"/>
      <c r="B4653" s="3" t="n">
        <f aca="false">DATE(2019,12,3)</f>
        <v>0</v>
      </c>
      <c r="C4653" s="3" t="n">
        <v>43802</v>
      </c>
      <c r="D4653" s="2" t="s">
        <v>34681</v>
      </c>
      <c r="F4653" s="2" t="s">
        <v>34682</v>
      </c>
      <c r="G4653" s="2" t="s">
        <v>34683</v>
      </c>
      <c r="H4653" s="2" t="s">
        <v>22366</v>
      </c>
      <c r="I4653" s="2" t="s">
        <v>330</v>
      </c>
      <c r="J4653" s="2" t="s">
        <v>732</v>
      </c>
      <c r="K4653" s="2" t="s">
        <v>34681</v>
      </c>
      <c r="L4653" s="2" t="s">
        <v>330</v>
      </c>
      <c r="M4653" s="2" t="s">
        <v>22366</v>
      </c>
      <c r="N4653" s="2" t="s">
        <v>34684</v>
      </c>
      <c r="O4653" s="2"/>
      <c r="P4653" s="2" t="s">
        <v>37</v>
      </c>
      <c r="Q4653" s="4" t="n">
        <v>8099</v>
      </c>
      <c r="R4653" s="2" t="s">
        <v>2201</v>
      </c>
      <c r="S4653" s="2" t="s">
        <v>39</v>
      </c>
      <c r="T4653" s="2" t="s">
        <v>40</v>
      </c>
      <c r="U4653" s="2" t="s">
        <v>34685</v>
      </c>
      <c r="V4653" s="2"/>
      <c r="W4653" s="2" t="s">
        <v>4487</v>
      </c>
      <c r="X4653" s="2" t="s">
        <v>43</v>
      </c>
      <c r="Y4653" s="2" t="s">
        <v>37</v>
      </c>
      <c r="Z4653" s="2" t="s">
        <v>44</v>
      </c>
      <c r="AA4653" s="2"/>
      <c r="AB4653" s="2"/>
      <c r="AC4653" s="2" t="s">
        <v>34686</v>
      </c>
      <c r="AD4653" s="2" t="s">
        <v>46</v>
      </c>
    </row>
    <row r="4654" customFormat="false" ht="15.7" hidden="false" customHeight="true" outlineLevel="0" collapsed="false">
      <c r="A4654" s="2"/>
      <c r="B4654" s="3" t="n">
        <f aca="false">DATE(2019,12,3)</f>
        <v>0</v>
      </c>
      <c r="C4654" s="3" t="n">
        <v>43802</v>
      </c>
      <c r="D4654" s="2" t="s">
        <v>34687</v>
      </c>
      <c r="F4654" s="2" t="s">
        <v>24008</v>
      </c>
      <c r="G4654" s="2" t="s">
        <v>34688</v>
      </c>
      <c r="H4654" s="2" t="s">
        <v>1473</v>
      </c>
      <c r="I4654" s="2" t="s">
        <v>540</v>
      </c>
      <c r="J4654" s="2" t="s">
        <v>35</v>
      </c>
      <c r="K4654" s="2" t="s">
        <v>34687</v>
      </c>
      <c r="L4654" s="2" t="s">
        <v>540</v>
      </c>
      <c r="M4654" s="2" t="s">
        <v>1473</v>
      </c>
      <c r="N4654" s="2" t="s">
        <v>34689</v>
      </c>
      <c r="O4654" s="2"/>
      <c r="P4654" s="2" t="s">
        <v>37</v>
      </c>
      <c r="Q4654" s="4" t="n">
        <v>8731</v>
      </c>
      <c r="R4654" s="2" t="s">
        <v>1448</v>
      </c>
      <c r="S4654" s="2" t="s">
        <v>39</v>
      </c>
      <c r="T4654" s="2" t="s">
        <v>403</v>
      </c>
      <c r="U4654" s="2" t="s">
        <v>34690</v>
      </c>
      <c r="V4654" s="2"/>
      <c r="W4654" s="2" t="s">
        <v>344</v>
      </c>
      <c r="X4654" s="2" t="s">
        <v>43</v>
      </c>
      <c r="Y4654" s="2" t="s">
        <v>37</v>
      </c>
      <c r="Z4654" s="2" t="s">
        <v>44</v>
      </c>
      <c r="AA4654" s="2"/>
      <c r="AB4654" s="2"/>
      <c r="AC4654" s="2" t="s">
        <v>34691</v>
      </c>
      <c r="AD4654" s="2" t="s">
        <v>46</v>
      </c>
    </row>
    <row r="4655" customFormat="false" ht="15.7" hidden="false" customHeight="true" outlineLevel="0" collapsed="false">
      <c r="A4655" s="2"/>
      <c r="B4655" s="3" t="n">
        <f aca="false">DATE(2019,12,3)</f>
        <v>0</v>
      </c>
      <c r="C4655" s="3" t="n">
        <v>43802</v>
      </c>
      <c r="D4655" s="2" t="s">
        <v>34692</v>
      </c>
      <c r="F4655" s="2" t="s">
        <v>34693</v>
      </c>
      <c r="G4655" s="2" t="s">
        <v>34694</v>
      </c>
      <c r="H4655" s="2" t="s">
        <v>130</v>
      </c>
      <c r="I4655" s="2" t="s">
        <v>296</v>
      </c>
      <c r="J4655" s="2" t="s">
        <v>514</v>
      </c>
      <c r="K4655" s="2" t="s">
        <v>34692</v>
      </c>
      <c r="L4655" s="2" t="s">
        <v>296</v>
      </c>
      <c r="M4655" s="2" t="s">
        <v>130</v>
      </c>
      <c r="N4655" s="2" t="s">
        <v>34695</v>
      </c>
      <c r="O4655" s="2"/>
      <c r="P4655" s="2" t="s">
        <v>37</v>
      </c>
      <c r="Q4655" s="4" t="n">
        <v>8731</v>
      </c>
      <c r="R4655" s="2" t="s">
        <v>56</v>
      </c>
      <c r="S4655" s="2"/>
      <c r="T4655" s="2" t="s">
        <v>40</v>
      </c>
      <c r="U4655" s="2" t="s">
        <v>34696</v>
      </c>
      <c r="V4655" s="2"/>
      <c r="W4655" s="2" t="s">
        <v>42</v>
      </c>
      <c r="X4655" s="2" t="s">
        <v>43</v>
      </c>
      <c r="Y4655" s="2" t="s">
        <v>37</v>
      </c>
      <c r="Z4655" s="2" t="s">
        <v>44</v>
      </c>
      <c r="AA4655" s="2"/>
      <c r="AB4655" s="2"/>
      <c r="AC4655" s="2" t="s">
        <v>34697</v>
      </c>
      <c r="AD4655" s="2" t="s">
        <v>46</v>
      </c>
    </row>
    <row r="4656" customFormat="false" ht="15.7" hidden="false" customHeight="true" outlineLevel="0" collapsed="false">
      <c r="A4656" s="2"/>
      <c r="B4656" s="3" t="n">
        <f aca="false">DATE(2019,12,4)</f>
        <v>0</v>
      </c>
      <c r="C4656" s="3" t="n">
        <v>43803</v>
      </c>
      <c r="D4656" s="2" t="s">
        <v>34698</v>
      </c>
      <c r="F4656" s="2" t="s">
        <v>15541</v>
      </c>
      <c r="G4656" s="2" t="s">
        <v>34699</v>
      </c>
      <c r="H4656" s="2" t="s">
        <v>170</v>
      </c>
      <c r="I4656" s="2" t="s">
        <v>51</v>
      </c>
      <c r="J4656" s="2" t="s">
        <v>2412</v>
      </c>
      <c r="K4656" s="2" t="s">
        <v>34698</v>
      </c>
      <c r="L4656" s="2" t="s">
        <v>51</v>
      </c>
      <c r="M4656" s="2" t="s">
        <v>170</v>
      </c>
      <c r="N4656" s="2" t="s">
        <v>34700</v>
      </c>
      <c r="O4656" s="2"/>
      <c r="P4656" s="2" t="s">
        <v>37</v>
      </c>
      <c r="Q4656" s="4" t="n">
        <v>6794</v>
      </c>
      <c r="R4656" s="2" t="s">
        <v>56</v>
      </c>
      <c r="S4656" s="2" t="s">
        <v>80</v>
      </c>
      <c r="T4656" s="2" t="s">
        <v>40</v>
      </c>
      <c r="U4656" s="2" t="s">
        <v>34701</v>
      </c>
      <c r="V4656" s="2"/>
      <c r="W4656" s="2" t="s">
        <v>24466</v>
      </c>
      <c r="X4656" s="2" t="s">
        <v>43</v>
      </c>
      <c r="Y4656" s="2" t="s">
        <v>37</v>
      </c>
      <c r="Z4656" s="2" t="s">
        <v>44</v>
      </c>
      <c r="AA4656" s="2"/>
      <c r="AB4656" s="2"/>
      <c r="AC4656" s="2" t="s">
        <v>34702</v>
      </c>
      <c r="AD4656" s="2" t="s">
        <v>46</v>
      </c>
    </row>
    <row r="4657" customFormat="false" ht="15.7" hidden="false" customHeight="true" outlineLevel="0" collapsed="false">
      <c r="A4657" s="2"/>
      <c r="B4657" s="3" t="n">
        <f aca="false">DATE(2019,12,5)</f>
        <v>0</v>
      </c>
      <c r="C4657" s="3" t="n">
        <v>43804</v>
      </c>
      <c r="D4657" s="2" t="s">
        <v>34703</v>
      </c>
      <c r="F4657" s="2" t="s">
        <v>34704</v>
      </c>
      <c r="G4657" s="2" t="s">
        <v>34705</v>
      </c>
      <c r="H4657" s="2" t="s">
        <v>34706</v>
      </c>
      <c r="I4657" s="2" t="s">
        <v>51</v>
      </c>
      <c r="J4657" s="2" t="s">
        <v>2338</v>
      </c>
      <c r="K4657" s="2" t="s">
        <v>34707</v>
      </c>
      <c r="L4657" s="2" t="s">
        <v>330</v>
      </c>
      <c r="M4657" s="2" t="s">
        <v>34708</v>
      </c>
      <c r="N4657" s="2" t="s">
        <v>34709</v>
      </c>
      <c r="O4657" s="2"/>
      <c r="P4657" s="2" t="s">
        <v>37</v>
      </c>
      <c r="Q4657" s="4" t="n">
        <v>8731</v>
      </c>
      <c r="R4657" s="2" t="s">
        <v>56</v>
      </c>
      <c r="S4657" s="2" t="s">
        <v>92</v>
      </c>
      <c r="T4657" s="2" t="s">
        <v>40</v>
      </c>
      <c r="U4657" s="2" t="s">
        <v>34710</v>
      </c>
      <c r="V4657" s="2"/>
      <c r="W4657" s="2" t="s">
        <v>34711</v>
      </c>
      <c r="X4657" s="2" t="s">
        <v>43</v>
      </c>
      <c r="Y4657" s="2" t="s">
        <v>37</v>
      </c>
      <c r="Z4657" s="2" t="s">
        <v>44</v>
      </c>
      <c r="AA4657" s="2"/>
      <c r="AB4657" s="2"/>
      <c r="AC4657" s="2" t="s">
        <v>34712</v>
      </c>
      <c r="AD4657" s="2" t="s">
        <v>46</v>
      </c>
    </row>
    <row r="4658" customFormat="false" ht="15.7" hidden="false" customHeight="true" outlineLevel="0" collapsed="false">
      <c r="A4658" s="2"/>
      <c r="B4658" s="3" t="n">
        <f aca="false">DATE(2019,12,5)</f>
        <v>0</v>
      </c>
      <c r="C4658" s="3" t="n">
        <v>43804</v>
      </c>
      <c r="D4658" s="2" t="s">
        <v>34713</v>
      </c>
      <c r="F4658" s="2" t="s">
        <v>34714</v>
      </c>
      <c r="G4658" s="2" t="s">
        <v>34715</v>
      </c>
      <c r="H4658" s="2" t="s">
        <v>34716</v>
      </c>
      <c r="I4658" s="2" t="s">
        <v>487</v>
      </c>
      <c r="J4658" s="2" t="s">
        <v>17914</v>
      </c>
      <c r="K4658" s="2" t="s">
        <v>34713</v>
      </c>
      <c r="L4658" s="2" t="s">
        <v>487</v>
      </c>
      <c r="M4658" s="2" t="s">
        <v>34716</v>
      </c>
      <c r="N4658" s="2" t="s">
        <v>34717</v>
      </c>
      <c r="O4658" s="2"/>
      <c r="P4658" s="2" t="s">
        <v>37</v>
      </c>
      <c r="Q4658" s="4" t="n">
        <v>8731</v>
      </c>
      <c r="R4658" s="2" t="s">
        <v>56</v>
      </c>
      <c r="S4658" s="2" t="s">
        <v>4060</v>
      </c>
      <c r="T4658" s="2" t="s">
        <v>403</v>
      </c>
      <c r="U4658" s="2" t="s">
        <v>34718</v>
      </c>
      <c r="V4658" s="2"/>
      <c r="W4658" s="2" t="s">
        <v>138</v>
      </c>
      <c r="X4658" s="2" t="s">
        <v>43</v>
      </c>
      <c r="Y4658" s="2" t="s">
        <v>37</v>
      </c>
      <c r="Z4658" s="2" t="s">
        <v>44</v>
      </c>
      <c r="AA4658" s="2"/>
      <c r="AB4658" s="2"/>
      <c r="AC4658" s="2" t="s">
        <v>34719</v>
      </c>
      <c r="AD4658" s="2" t="s">
        <v>46</v>
      </c>
    </row>
    <row r="4659" customFormat="false" ht="15.7" hidden="false" customHeight="true" outlineLevel="0" collapsed="false">
      <c r="A4659" s="2"/>
      <c r="B4659" s="3" t="n">
        <f aca="false">DATE(2019,12,5)</f>
        <v>0</v>
      </c>
      <c r="C4659" s="3" t="n">
        <v>43804</v>
      </c>
      <c r="D4659" s="2" t="s">
        <v>34720</v>
      </c>
      <c r="F4659" s="2" t="s">
        <v>34721</v>
      </c>
      <c r="G4659" s="2" t="s">
        <v>34722</v>
      </c>
      <c r="H4659" s="2" t="s">
        <v>34723</v>
      </c>
      <c r="I4659" s="2" t="s">
        <v>51</v>
      </c>
      <c r="J4659" s="2" t="s">
        <v>34724</v>
      </c>
      <c r="K4659" s="2" t="s">
        <v>34725</v>
      </c>
      <c r="L4659" s="2" t="s">
        <v>51</v>
      </c>
      <c r="M4659" s="2" t="s">
        <v>551</v>
      </c>
      <c r="N4659" s="2" t="s">
        <v>34726</v>
      </c>
      <c r="O4659" s="2"/>
      <c r="P4659" s="2" t="s">
        <v>37</v>
      </c>
      <c r="Q4659" s="4" t="n">
        <v>8099</v>
      </c>
      <c r="R4659" s="2" t="s">
        <v>56</v>
      </c>
      <c r="S4659" s="2" t="s">
        <v>26283</v>
      </c>
      <c r="T4659" s="2" t="s">
        <v>40</v>
      </c>
      <c r="U4659" s="2" t="s">
        <v>34727</v>
      </c>
      <c r="V4659" s="2"/>
      <c r="W4659" s="2" t="s">
        <v>28234</v>
      </c>
      <c r="X4659" s="2" t="s">
        <v>43</v>
      </c>
      <c r="Y4659" s="2" t="s">
        <v>37</v>
      </c>
      <c r="Z4659" s="2" t="s">
        <v>44</v>
      </c>
      <c r="AA4659" s="2"/>
      <c r="AB4659" s="2"/>
      <c r="AC4659" s="2" t="s">
        <v>34728</v>
      </c>
      <c r="AD4659" s="2" t="s">
        <v>46</v>
      </c>
    </row>
    <row r="4660" customFormat="false" ht="15.7" hidden="false" customHeight="true" outlineLevel="0" collapsed="false">
      <c r="A4660" s="2"/>
      <c r="B4660" s="3" t="n">
        <f aca="false">DATE(2019,12,5)</f>
        <v>0</v>
      </c>
      <c r="C4660" s="3" t="n">
        <v>43804</v>
      </c>
      <c r="D4660" s="2" t="s">
        <v>34729</v>
      </c>
      <c r="F4660" s="2" t="s">
        <v>34730</v>
      </c>
      <c r="G4660" s="2" t="s">
        <v>34731</v>
      </c>
      <c r="H4660" s="2" t="s">
        <v>34732</v>
      </c>
      <c r="I4660" s="2" t="s">
        <v>1437</v>
      </c>
      <c r="J4660" s="2" t="s">
        <v>35</v>
      </c>
      <c r="K4660" s="2" t="s">
        <v>34733</v>
      </c>
      <c r="L4660" s="2" t="s">
        <v>34734</v>
      </c>
      <c r="M4660" s="2" t="s">
        <v>29897</v>
      </c>
      <c r="N4660" s="2" t="s">
        <v>34735</v>
      </c>
      <c r="O4660" s="2"/>
      <c r="P4660" s="2" t="s">
        <v>37</v>
      </c>
      <c r="Q4660" s="4" t="n">
        <v>8099</v>
      </c>
      <c r="R4660" s="2" t="s">
        <v>1441</v>
      </c>
      <c r="S4660" s="2" t="s">
        <v>39</v>
      </c>
      <c r="T4660" s="2" t="s">
        <v>403</v>
      </c>
      <c r="U4660" s="2" t="s">
        <v>34736</v>
      </c>
      <c r="V4660" s="2"/>
      <c r="W4660" s="2" t="s">
        <v>25722</v>
      </c>
      <c r="X4660" s="2" t="s">
        <v>46</v>
      </c>
      <c r="Y4660" s="2" t="s">
        <v>37</v>
      </c>
      <c r="Z4660" s="2" t="s">
        <v>44</v>
      </c>
      <c r="AA4660" s="2"/>
      <c r="AB4660" s="2"/>
      <c r="AC4660" s="2" t="s">
        <v>34737</v>
      </c>
      <c r="AD4660" s="2" t="s">
        <v>46</v>
      </c>
    </row>
    <row r="4661" customFormat="false" ht="15.7" hidden="false" customHeight="true" outlineLevel="0" collapsed="false">
      <c r="A4661" s="2"/>
      <c r="B4661" s="3" t="n">
        <f aca="false">DATE(2019,12,9)</f>
        <v>0</v>
      </c>
      <c r="C4661" s="3" t="n">
        <v>43808</v>
      </c>
      <c r="D4661" s="2" t="s">
        <v>34738</v>
      </c>
      <c r="F4661" s="2" t="s">
        <v>34739</v>
      </c>
      <c r="G4661" s="2" t="s">
        <v>34740</v>
      </c>
      <c r="H4661" s="2" t="s">
        <v>24696</v>
      </c>
      <c r="I4661" s="2" t="s">
        <v>487</v>
      </c>
      <c r="J4661" s="2" t="s">
        <v>132</v>
      </c>
      <c r="K4661" s="2" t="s">
        <v>34738</v>
      </c>
      <c r="L4661" s="2" t="s">
        <v>487</v>
      </c>
      <c r="M4661" s="2" t="s">
        <v>24696</v>
      </c>
      <c r="N4661" s="2" t="s">
        <v>34741</v>
      </c>
      <c r="O4661" s="2"/>
      <c r="P4661" s="2" t="s">
        <v>37</v>
      </c>
      <c r="Q4661" s="4" t="n">
        <v>8731</v>
      </c>
      <c r="R4661" s="2" t="s">
        <v>56</v>
      </c>
      <c r="S4661" s="2" t="s">
        <v>3510</v>
      </c>
      <c r="T4661" s="2" t="s">
        <v>40</v>
      </c>
      <c r="U4661" s="2" t="s">
        <v>34742</v>
      </c>
      <c r="V4661" s="2"/>
      <c r="W4661" s="2" t="s">
        <v>344</v>
      </c>
      <c r="X4661" s="2" t="s">
        <v>43</v>
      </c>
      <c r="Y4661" s="2" t="s">
        <v>37</v>
      </c>
      <c r="Z4661" s="2" t="s">
        <v>44</v>
      </c>
      <c r="AA4661" s="2"/>
      <c r="AB4661" s="2"/>
      <c r="AC4661" s="2" t="s">
        <v>34743</v>
      </c>
      <c r="AD4661" s="2" t="s">
        <v>46</v>
      </c>
    </row>
    <row r="4662" customFormat="false" ht="15.7" hidden="false" customHeight="true" outlineLevel="0" collapsed="false">
      <c r="A4662" s="2"/>
      <c r="B4662" s="3" t="n">
        <f aca="false">DATE(2019,12,9)</f>
        <v>0</v>
      </c>
      <c r="C4662" s="3" t="n">
        <v>43808</v>
      </c>
      <c r="D4662" s="2" t="s">
        <v>34744</v>
      </c>
      <c r="F4662" s="2" t="s">
        <v>19085</v>
      </c>
      <c r="G4662" s="2" t="s">
        <v>34745</v>
      </c>
      <c r="H4662" s="2" t="s">
        <v>63</v>
      </c>
      <c r="I4662" s="2" t="s">
        <v>487</v>
      </c>
      <c r="J4662" s="2" t="s">
        <v>331</v>
      </c>
      <c r="K4662" s="2" t="s">
        <v>34744</v>
      </c>
      <c r="L4662" s="2" t="s">
        <v>487</v>
      </c>
      <c r="M4662" s="2" t="s">
        <v>63</v>
      </c>
      <c r="N4662" s="2" t="s">
        <v>34746</v>
      </c>
      <c r="O4662" s="2"/>
      <c r="P4662" s="2" t="s">
        <v>37</v>
      </c>
      <c r="Q4662" s="4" t="n">
        <v>8742</v>
      </c>
      <c r="R4662" s="2" t="s">
        <v>56</v>
      </c>
      <c r="S4662" s="2"/>
      <c r="T4662" s="2" t="s">
        <v>40</v>
      </c>
      <c r="U4662" s="2" t="s">
        <v>34747</v>
      </c>
      <c r="V4662" s="2"/>
      <c r="W4662" s="2" t="s">
        <v>18591</v>
      </c>
      <c r="X4662" s="2" t="s">
        <v>43</v>
      </c>
      <c r="Y4662" s="2" t="s">
        <v>37</v>
      </c>
      <c r="Z4662" s="2" t="s">
        <v>44</v>
      </c>
      <c r="AA4662" s="2"/>
      <c r="AB4662" s="2"/>
      <c r="AC4662" s="2" t="s">
        <v>34748</v>
      </c>
      <c r="AD4662" s="2" t="s">
        <v>46</v>
      </c>
    </row>
    <row r="4663" customFormat="false" ht="15.7" hidden="false" customHeight="true" outlineLevel="0" collapsed="false">
      <c r="A4663" s="2"/>
      <c r="B4663" s="3" t="n">
        <f aca="false">DATE(2019,12,9)</f>
        <v>0</v>
      </c>
      <c r="C4663" s="3" t="n">
        <v>43808</v>
      </c>
      <c r="D4663" s="2" t="s">
        <v>34749</v>
      </c>
      <c r="F4663" s="2" t="s">
        <v>34750</v>
      </c>
      <c r="G4663" s="2" t="s">
        <v>34751</v>
      </c>
      <c r="H4663" s="2" t="s">
        <v>34752</v>
      </c>
      <c r="I4663" s="2" t="s">
        <v>131</v>
      </c>
      <c r="J4663" s="2" t="s">
        <v>4433</v>
      </c>
      <c r="K4663" s="2" t="s">
        <v>34753</v>
      </c>
      <c r="L4663" s="2" t="s">
        <v>330</v>
      </c>
      <c r="M4663" s="2" t="s">
        <v>34752</v>
      </c>
      <c r="N4663" s="2" t="s">
        <v>34754</v>
      </c>
      <c r="O4663" s="2"/>
      <c r="P4663" s="2" t="s">
        <v>37</v>
      </c>
      <c r="Q4663" s="4" t="n">
        <v>8731</v>
      </c>
      <c r="R4663" s="2" t="s">
        <v>56</v>
      </c>
      <c r="S4663" s="2"/>
      <c r="T4663" s="2" t="s">
        <v>40</v>
      </c>
      <c r="U4663" s="2" t="s">
        <v>34755</v>
      </c>
      <c r="V4663" s="2"/>
      <c r="W4663" s="2" t="s">
        <v>34756</v>
      </c>
      <c r="X4663" s="2" t="s">
        <v>43</v>
      </c>
      <c r="Y4663" s="2" t="s">
        <v>37</v>
      </c>
      <c r="Z4663" s="2" t="s">
        <v>44</v>
      </c>
      <c r="AA4663" s="2"/>
      <c r="AB4663" s="2"/>
      <c r="AC4663" s="2" t="s">
        <v>34757</v>
      </c>
      <c r="AD4663" s="2" t="s">
        <v>46</v>
      </c>
    </row>
    <row r="4664" customFormat="false" ht="15.7" hidden="false" customHeight="true" outlineLevel="0" collapsed="false">
      <c r="A4664" s="2"/>
      <c r="B4664" s="3" t="n">
        <f aca="false">DATE(2019,12,10)</f>
        <v>0</v>
      </c>
      <c r="C4664" s="3" t="n">
        <v>43809</v>
      </c>
      <c r="D4664" s="2" t="s">
        <v>34758</v>
      </c>
      <c r="F4664" s="2" t="s">
        <v>23707</v>
      </c>
      <c r="G4664" s="2" t="s">
        <v>34759</v>
      </c>
      <c r="H4664" s="2" t="s">
        <v>1101</v>
      </c>
      <c r="I4664" s="2" t="s">
        <v>388</v>
      </c>
      <c r="J4664" s="2" t="s">
        <v>625</v>
      </c>
      <c r="K4664" s="2" t="s">
        <v>34758</v>
      </c>
      <c r="L4664" s="2" t="s">
        <v>388</v>
      </c>
      <c r="M4664" s="2" t="s">
        <v>1101</v>
      </c>
      <c r="N4664" s="2" t="s">
        <v>34760</v>
      </c>
      <c r="O4664" s="2"/>
      <c r="P4664" s="2" t="s">
        <v>37</v>
      </c>
      <c r="Q4664" s="4" t="n">
        <v>8099</v>
      </c>
      <c r="R4664" s="2" t="s">
        <v>2201</v>
      </c>
      <c r="S4664" s="2" t="s">
        <v>39</v>
      </c>
      <c r="T4664" s="2" t="s">
        <v>40</v>
      </c>
      <c r="U4664" s="2" t="s">
        <v>34761</v>
      </c>
      <c r="V4664" s="2"/>
      <c r="W4664" s="2" t="s">
        <v>4487</v>
      </c>
      <c r="X4664" s="2" t="s">
        <v>43</v>
      </c>
      <c r="Y4664" s="2" t="s">
        <v>37</v>
      </c>
      <c r="Z4664" s="2" t="s">
        <v>44</v>
      </c>
      <c r="AA4664" s="2"/>
      <c r="AB4664" s="2"/>
      <c r="AC4664" s="2" t="s">
        <v>34762</v>
      </c>
      <c r="AD4664" s="2" t="s">
        <v>46</v>
      </c>
    </row>
    <row r="4665" customFormat="false" ht="15.7" hidden="false" customHeight="true" outlineLevel="0" collapsed="false">
      <c r="A4665" s="2"/>
      <c r="B4665" s="3" t="n">
        <f aca="false">DATE(2019,12,10)</f>
        <v>0</v>
      </c>
      <c r="C4665" s="3" t="n">
        <v>43809</v>
      </c>
      <c r="D4665" s="2" t="s">
        <v>34763</v>
      </c>
      <c r="F4665" s="2" t="s">
        <v>34764</v>
      </c>
      <c r="G4665" s="2" t="s">
        <v>34765</v>
      </c>
      <c r="H4665" s="2" t="s">
        <v>1020</v>
      </c>
      <c r="I4665" s="2" t="s">
        <v>154</v>
      </c>
      <c r="J4665" s="2" t="s">
        <v>2421</v>
      </c>
      <c r="K4665" s="2" t="s">
        <v>34766</v>
      </c>
      <c r="L4665" s="2" t="s">
        <v>17366</v>
      </c>
      <c r="M4665" s="2" t="s">
        <v>16455</v>
      </c>
      <c r="N4665" s="2" t="s">
        <v>34767</v>
      </c>
      <c r="O4665" s="2"/>
      <c r="P4665" s="2" t="s">
        <v>37</v>
      </c>
      <c r="Q4665" s="4" t="n">
        <v>8731</v>
      </c>
      <c r="R4665" s="2" t="s">
        <v>136</v>
      </c>
      <c r="S4665" s="2" t="s">
        <v>39</v>
      </c>
      <c r="T4665" s="2" t="s">
        <v>403</v>
      </c>
      <c r="U4665" s="2" t="s">
        <v>34768</v>
      </c>
      <c r="V4665" s="2"/>
      <c r="W4665" s="2" t="s">
        <v>4101</v>
      </c>
      <c r="X4665" s="2" t="s">
        <v>43</v>
      </c>
      <c r="Y4665" s="2" t="s">
        <v>37</v>
      </c>
      <c r="Z4665" s="2" t="s">
        <v>44</v>
      </c>
      <c r="AA4665" s="2"/>
      <c r="AB4665" s="2"/>
      <c r="AC4665" s="2" t="s">
        <v>34769</v>
      </c>
      <c r="AD4665" s="2" t="s">
        <v>46</v>
      </c>
    </row>
    <row r="4666" customFormat="false" ht="15.7" hidden="false" customHeight="true" outlineLevel="0" collapsed="false">
      <c r="A4666" s="2"/>
      <c r="B4666" s="3" t="n">
        <f aca="false">DATE(2019,12,10)</f>
        <v>0</v>
      </c>
      <c r="C4666" s="3" t="n">
        <v>43809</v>
      </c>
      <c r="D4666" s="2" t="s">
        <v>34770</v>
      </c>
      <c r="F4666" s="2" t="s">
        <v>34771</v>
      </c>
      <c r="G4666" s="2" t="s">
        <v>34772</v>
      </c>
      <c r="H4666" s="2" t="s">
        <v>18928</v>
      </c>
      <c r="I4666" s="2" t="s">
        <v>296</v>
      </c>
      <c r="J4666" s="2" t="s">
        <v>22864</v>
      </c>
      <c r="K4666" s="2" t="s">
        <v>34770</v>
      </c>
      <c r="L4666" s="2" t="s">
        <v>296</v>
      </c>
      <c r="M4666" s="2" t="s">
        <v>18928</v>
      </c>
      <c r="N4666" s="2" t="s">
        <v>34773</v>
      </c>
      <c r="O4666" s="2"/>
      <c r="P4666" s="2" t="s">
        <v>37</v>
      </c>
      <c r="Q4666" s="4" t="n">
        <v>8099</v>
      </c>
      <c r="R4666" s="2" t="s">
        <v>56</v>
      </c>
      <c r="S4666" s="2"/>
      <c r="T4666" s="2" t="s">
        <v>40</v>
      </c>
      <c r="U4666" s="2" t="s">
        <v>34774</v>
      </c>
      <c r="V4666" s="2"/>
      <c r="W4666" s="2" t="s">
        <v>25722</v>
      </c>
      <c r="X4666" s="2" t="s">
        <v>43</v>
      </c>
      <c r="Y4666" s="2" t="s">
        <v>37</v>
      </c>
      <c r="Z4666" s="2" t="s">
        <v>44</v>
      </c>
      <c r="AA4666" s="2"/>
      <c r="AB4666" s="2"/>
      <c r="AC4666" s="2" t="s">
        <v>34775</v>
      </c>
      <c r="AD4666" s="2" t="s">
        <v>46</v>
      </c>
    </row>
    <row r="4667" customFormat="false" ht="15.7" hidden="false" customHeight="true" outlineLevel="0" collapsed="false">
      <c r="A4667" s="2"/>
      <c r="B4667" s="3" t="n">
        <f aca="false">DATE(2019,12,10)</f>
        <v>0</v>
      </c>
      <c r="C4667" s="3" t="n">
        <v>43809</v>
      </c>
      <c r="D4667" s="2" t="s">
        <v>34776</v>
      </c>
      <c r="F4667" s="2" t="s">
        <v>9823</v>
      </c>
      <c r="G4667" s="2" t="s">
        <v>34777</v>
      </c>
      <c r="H4667" s="2" t="s">
        <v>8443</v>
      </c>
      <c r="I4667" s="2" t="s">
        <v>5999</v>
      </c>
      <c r="J4667" s="2" t="s">
        <v>65</v>
      </c>
      <c r="K4667" s="2" t="s">
        <v>34776</v>
      </c>
      <c r="L4667" s="2" t="s">
        <v>5999</v>
      </c>
      <c r="M4667" s="2" t="s">
        <v>8443</v>
      </c>
      <c r="N4667" s="2" t="s">
        <v>34778</v>
      </c>
      <c r="O4667" s="2"/>
      <c r="P4667" s="2" t="s">
        <v>37</v>
      </c>
      <c r="Q4667" s="4" t="n">
        <v>8731</v>
      </c>
      <c r="R4667" s="2" t="s">
        <v>56</v>
      </c>
      <c r="S4667" s="2" t="s">
        <v>92</v>
      </c>
      <c r="T4667" s="2" t="s">
        <v>403</v>
      </c>
      <c r="U4667" s="2" t="s">
        <v>34779</v>
      </c>
      <c r="V4667" s="2"/>
      <c r="W4667" s="2" t="s">
        <v>34780</v>
      </c>
      <c r="X4667" s="2" t="s">
        <v>43</v>
      </c>
      <c r="Y4667" s="2" t="s">
        <v>37</v>
      </c>
      <c r="Z4667" s="2" t="s">
        <v>44</v>
      </c>
      <c r="AA4667" s="2"/>
      <c r="AB4667" s="2"/>
      <c r="AC4667" s="2" t="s">
        <v>34781</v>
      </c>
      <c r="AD4667" s="2" t="s">
        <v>46</v>
      </c>
    </row>
    <row r="4668" customFormat="false" ht="15.7" hidden="false" customHeight="true" outlineLevel="0" collapsed="false">
      <c r="A4668" s="2"/>
      <c r="B4668" s="3" t="n">
        <f aca="false">DATE(2019,12,11)</f>
        <v>0</v>
      </c>
      <c r="C4668" s="3" t="n">
        <v>43810</v>
      </c>
      <c r="D4668" s="2" t="s">
        <v>34782</v>
      </c>
      <c r="F4668" s="2" t="s">
        <v>34783</v>
      </c>
      <c r="G4668" s="2" t="s">
        <v>34784</v>
      </c>
      <c r="H4668" s="2" t="s">
        <v>34785</v>
      </c>
      <c r="I4668" s="2" t="s">
        <v>51</v>
      </c>
      <c r="J4668" s="2" t="s">
        <v>33303</v>
      </c>
      <c r="K4668" s="2" t="s">
        <v>34782</v>
      </c>
      <c r="L4668" s="2" t="s">
        <v>51</v>
      </c>
      <c r="M4668" s="2" t="s">
        <v>34785</v>
      </c>
      <c r="N4668" s="2" t="s">
        <v>34786</v>
      </c>
      <c r="O4668" s="2"/>
      <c r="P4668" s="2" t="s">
        <v>37</v>
      </c>
      <c r="Q4668" s="4" t="n">
        <v>8731</v>
      </c>
      <c r="R4668" s="2" t="s">
        <v>56</v>
      </c>
      <c r="S4668" s="2" t="s">
        <v>472</v>
      </c>
      <c r="T4668" s="2" t="s">
        <v>40</v>
      </c>
      <c r="U4668" s="2" t="s">
        <v>34787</v>
      </c>
      <c r="V4668" s="2"/>
      <c r="W4668" s="2" t="s">
        <v>21114</v>
      </c>
      <c r="X4668" s="2" t="s">
        <v>43</v>
      </c>
      <c r="Y4668" s="2" t="s">
        <v>37</v>
      </c>
      <c r="Z4668" s="2" t="s">
        <v>44</v>
      </c>
      <c r="AA4668" s="2" t="s">
        <v>34788</v>
      </c>
      <c r="AB4668" s="2"/>
      <c r="AC4668" s="2" t="s">
        <v>34789</v>
      </c>
      <c r="AD4668" s="2" t="s">
        <v>46</v>
      </c>
    </row>
    <row r="4669" customFormat="false" ht="15.7" hidden="false" customHeight="true" outlineLevel="0" collapsed="false">
      <c r="A4669" s="2"/>
      <c r="B4669" s="3" t="n">
        <f aca="false">DATE(2019,12,11)</f>
        <v>0</v>
      </c>
      <c r="C4669" s="3" t="n">
        <v>43810</v>
      </c>
      <c r="D4669" s="2" t="s">
        <v>34790</v>
      </c>
      <c r="F4669" s="2" t="s">
        <v>21967</v>
      </c>
      <c r="G4669" s="2" t="s">
        <v>34791</v>
      </c>
      <c r="H4669" s="2" t="s">
        <v>368</v>
      </c>
      <c r="I4669" s="2" t="s">
        <v>540</v>
      </c>
      <c r="J4669" s="2" t="s">
        <v>35</v>
      </c>
      <c r="K4669" s="2" t="s">
        <v>34790</v>
      </c>
      <c r="L4669" s="2" t="s">
        <v>540</v>
      </c>
      <c r="M4669" s="2" t="s">
        <v>368</v>
      </c>
      <c r="N4669" s="2" t="s">
        <v>34792</v>
      </c>
      <c r="O4669" s="2"/>
      <c r="P4669" s="2" t="s">
        <v>37</v>
      </c>
      <c r="Q4669" s="4" t="n">
        <v>8731</v>
      </c>
      <c r="R4669" s="2" t="s">
        <v>1448</v>
      </c>
      <c r="S4669" s="2" t="s">
        <v>39</v>
      </c>
      <c r="T4669" s="2" t="s">
        <v>40</v>
      </c>
      <c r="U4669" s="2" t="s">
        <v>34793</v>
      </c>
      <c r="V4669" s="2"/>
      <c r="W4669" s="2" t="s">
        <v>344</v>
      </c>
      <c r="X4669" s="2" t="s">
        <v>43</v>
      </c>
      <c r="Y4669" s="2" t="s">
        <v>37</v>
      </c>
      <c r="Z4669" s="2" t="s">
        <v>44</v>
      </c>
      <c r="AA4669" s="2"/>
      <c r="AB4669" s="2"/>
      <c r="AC4669" s="2" t="s">
        <v>34794</v>
      </c>
      <c r="AD4669" s="2" t="s">
        <v>46</v>
      </c>
    </row>
    <row r="4670" customFormat="false" ht="15.7" hidden="false" customHeight="true" outlineLevel="0" collapsed="false">
      <c r="A4670" s="2"/>
      <c r="B4670" s="3" t="n">
        <f aca="false">DATE(2019,12,11)</f>
        <v>0</v>
      </c>
      <c r="C4670" s="3" t="n">
        <v>43810</v>
      </c>
      <c r="D4670" s="2" t="s">
        <v>34795</v>
      </c>
      <c r="F4670" s="2" t="s">
        <v>22407</v>
      </c>
      <c r="G4670" s="2" t="s">
        <v>34796</v>
      </c>
      <c r="H4670" s="2" t="s">
        <v>762</v>
      </c>
      <c r="I4670" s="2" t="s">
        <v>51</v>
      </c>
      <c r="J4670" s="2" t="s">
        <v>2190</v>
      </c>
      <c r="K4670" s="2" t="s">
        <v>34795</v>
      </c>
      <c r="L4670" s="2" t="s">
        <v>51</v>
      </c>
      <c r="M4670" s="2" t="s">
        <v>762</v>
      </c>
      <c r="N4670" s="2" t="s">
        <v>34797</v>
      </c>
      <c r="O4670" s="2"/>
      <c r="P4670" s="2" t="s">
        <v>37</v>
      </c>
      <c r="Q4670" s="4" t="n">
        <v>8099</v>
      </c>
      <c r="R4670" s="2" t="s">
        <v>136</v>
      </c>
      <c r="S4670" s="2" t="s">
        <v>39</v>
      </c>
      <c r="T4670" s="2" t="s">
        <v>40</v>
      </c>
      <c r="U4670" s="2" t="s">
        <v>34798</v>
      </c>
      <c r="V4670" s="2"/>
      <c r="W4670" s="2" t="s">
        <v>19532</v>
      </c>
      <c r="X4670" s="2" t="s">
        <v>43</v>
      </c>
      <c r="Y4670" s="2" t="s">
        <v>37</v>
      </c>
      <c r="Z4670" s="2" t="s">
        <v>44</v>
      </c>
      <c r="AA4670" s="2"/>
      <c r="AB4670" s="2"/>
      <c r="AC4670" s="2" t="s">
        <v>34799</v>
      </c>
      <c r="AD4670" s="2" t="s">
        <v>46</v>
      </c>
    </row>
    <row r="4671" customFormat="false" ht="15.7" hidden="false" customHeight="true" outlineLevel="0" collapsed="false">
      <c r="A4671" s="2"/>
      <c r="B4671" s="3" t="n">
        <f aca="false">DATE(2019,12,11)</f>
        <v>0</v>
      </c>
      <c r="C4671" s="3" t="n">
        <v>43810</v>
      </c>
      <c r="D4671" s="2" t="s">
        <v>34800</v>
      </c>
      <c r="F4671" s="2" t="s">
        <v>18520</v>
      </c>
      <c r="G4671" s="2" t="s">
        <v>34801</v>
      </c>
      <c r="H4671" s="2" t="s">
        <v>1027</v>
      </c>
      <c r="I4671" s="2" t="s">
        <v>7530</v>
      </c>
      <c r="J4671" s="2" t="s">
        <v>35</v>
      </c>
      <c r="K4671" s="2" t="s">
        <v>34800</v>
      </c>
      <c r="L4671" s="2" t="s">
        <v>7530</v>
      </c>
      <c r="M4671" s="2" t="s">
        <v>1027</v>
      </c>
      <c r="N4671" s="2" t="s">
        <v>34802</v>
      </c>
      <c r="O4671" s="2"/>
      <c r="P4671" s="2" t="s">
        <v>37</v>
      </c>
      <c r="Q4671" s="4" t="n">
        <v>8099</v>
      </c>
      <c r="R4671" s="2" t="s">
        <v>2118</v>
      </c>
      <c r="S4671" s="2" t="s">
        <v>39</v>
      </c>
      <c r="T4671" s="2" t="s">
        <v>40</v>
      </c>
      <c r="U4671" s="2" t="s">
        <v>34803</v>
      </c>
      <c r="V4671" s="2"/>
      <c r="W4671" s="2" t="s">
        <v>19532</v>
      </c>
      <c r="X4671" s="2" t="s">
        <v>43</v>
      </c>
      <c r="Y4671" s="2" t="s">
        <v>37</v>
      </c>
      <c r="Z4671" s="2" t="s">
        <v>44</v>
      </c>
      <c r="AA4671" s="2"/>
      <c r="AB4671" s="2"/>
      <c r="AC4671" s="2" t="s">
        <v>34804</v>
      </c>
      <c r="AD4671" s="2" t="s">
        <v>46</v>
      </c>
    </row>
    <row r="4672" customFormat="false" ht="15.7" hidden="false" customHeight="true" outlineLevel="0" collapsed="false">
      <c r="A4672" s="2"/>
      <c r="B4672" s="3" t="n">
        <f aca="false">DATE(2019,12,11)</f>
        <v>0</v>
      </c>
      <c r="C4672" s="3" t="n">
        <v>43810</v>
      </c>
      <c r="D4672" s="2" t="s">
        <v>34805</v>
      </c>
      <c r="F4672" s="2" t="s">
        <v>34806</v>
      </c>
      <c r="G4672" s="2" t="s">
        <v>34807</v>
      </c>
      <c r="H4672" s="2" t="s">
        <v>34808</v>
      </c>
      <c r="I4672" s="2" t="s">
        <v>685</v>
      </c>
      <c r="J4672" s="2" t="s">
        <v>35</v>
      </c>
      <c r="K4672" s="2" t="s">
        <v>34805</v>
      </c>
      <c r="L4672" s="2" t="s">
        <v>685</v>
      </c>
      <c r="M4672" s="2" t="s">
        <v>34808</v>
      </c>
      <c r="N4672" s="2" t="s">
        <v>34809</v>
      </c>
      <c r="O4672" s="2"/>
      <c r="P4672" s="2" t="s">
        <v>37</v>
      </c>
      <c r="Q4672" s="4" t="n">
        <v>8099</v>
      </c>
      <c r="R4672" s="2" t="s">
        <v>688</v>
      </c>
      <c r="S4672" s="2" t="s">
        <v>39</v>
      </c>
      <c r="T4672" s="2" t="s">
        <v>40</v>
      </c>
      <c r="U4672" s="2" t="s">
        <v>34810</v>
      </c>
      <c r="V4672" s="2"/>
      <c r="W4672" s="2" t="s">
        <v>4487</v>
      </c>
      <c r="X4672" s="2" t="s">
        <v>43</v>
      </c>
      <c r="Y4672" s="2" t="s">
        <v>37</v>
      </c>
      <c r="Z4672" s="2" t="s">
        <v>44</v>
      </c>
      <c r="AA4672" s="2"/>
      <c r="AB4672" s="2"/>
      <c r="AC4672" s="2" t="s">
        <v>34811</v>
      </c>
      <c r="AD4672" s="2" t="s">
        <v>46</v>
      </c>
    </row>
    <row r="4673" customFormat="false" ht="15.7" hidden="false" customHeight="true" outlineLevel="0" collapsed="false">
      <c r="A4673" s="2"/>
      <c r="B4673" s="3" t="n">
        <f aca="false">DATE(2019,12,12)</f>
        <v>0</v>
      </c>
      <c r="C4673" s="3" t="n">
        <v>43811</v>
      </c>
      <c r="D4673" s="2" t="s">
        <v>34812</v>
      </c>
      <c r="F4673" s="2" t="s">
        <v>25771</v>
      </c>
      <c r="G4673" s="2" t="s">
        <v>34813</v>
      </c>
      <c r="H4673" s="2" t="s">
        <v>32386</v>
      </c>
      <c r="I4673" s="2" t="s">
        <v>965</v>
      </c>
      <c r="J4673" s="2" t="s">
        <v>6730</v>
      </c>
      <c r="K4673" s="2" t="s">
        <v>34812</v>
      </c>
      <c r="L4673" s="2" t="s">
        <v>965</v>
      </c>
      <c r="M4673" s="2" t="s">
        <v>32386</v>
      </c>
      <c r="N4673" s="2" t="s">
        <v>34814</v>
      </c>
      <c r="O4673" s="2"/>
      <c r="P4673" s="2" t="s">
        <v>37</v>
      </c>
      <c r="Q4673" s="4" t="n">
        <v>6794</v>
      </c>
      <c r="R4673" s="2" t="s">
        <v>688</v>
      </c>
      <c r="S4673" s="2" t="s">
        <v>39</v>
      </c>
      <c r="T4673" s="2" t="s">
        <v>403</v>
      </c>
      <c r="U4673" s="2" t="s">
        <v>34815</v>
      </c>
      <c r="V4673" s="2"/>
      <c r="W4673" s="2" t="s">
        <v>20757</v>
      </c>
      <c r="X4673" s="2" t="s">
        <v>43</v>
      </c>
      <c r="Y4673" s="2" t="s">
        <v>37</v>
      </c>
      <c r="Z4673" s="2" t="s">
        <v>44</v>
      </c>
      <c r="AA4673" s="2"/>
      <c r="AB4673" s="2"/>
      <c r="AC4673" s="2" t="s">
        <v>34816</v>
      </c>
      <c r="AD4673" s="2" t="s">
        <v>46</v>
      </c>
    </row>
    <row r="4674" customFormat="false" ht="15.7" hidden="false" customHeight="true" outlineLevel="0" collapsed="false">
      <c r="A4674" s="2"/>
      <c r="B4674" s="3" t="n">
        <f aca="false">DATE(2019,12,12)</f>
        <v>0</v>
      </c>
      <c r="C4674" s="3" t="n">
        <v>43811</v>
      </c>
      <c r="D4674" s="2" t="s">
        <v>34817</v>
      </c>
      <c r="F4674" s="2" t="s">
        <v>27972</v>
      </c>
      <c r="G4674" s="2" t="s">
        <v>34818</v>
      </c>
      <c r="H4674" s="2" t="s">
        <v>25910</v>
      </c>
      <c r="I4674" s="2" t="s">
        <v>34819</v>
      </c>
      <c r="J4674" s="2" t="s">
        <v>35</v>
      </c>
      <c r="K4674" s="2" t="s">
        <v>34820</v>
      </c>
      <c r="L4674" s="2" t="s">
        <v>34819</v>
      </c>
      <c r="M4674" s="2" t="s">
        <v>34821</v>
      </c>
      <c r="N4674" s="2" t="s">
        <v>34822</v>
      </c>
      <c r="O4674" s="2"/>
      <c r="P4674" s="2" t="s">
        <v>37</v>
      </c>
      <c r="Q4674" s="4" t="n">
        <v>8731</v>
      </c>
      <c r="R4674" s="2" t="s">
        <v>136</v>
      </c>
      <c r="S4674" s="2" t="s">
        <v>39</v>
      </c>
      <c r="T4674" s="2" t="s">
        <v>403</v>
      </c>
      <c r="U4674" s="2" t="s">
        <v>34823</v>
      </c>
      <c r="V4674" s="2"/>
      <c r="W4674" s="2" t="s">
        <v>13346</v>
      </c>
      <c r="X4674" s="2" t="s">
        <v>43</v>
      </c>
      <c r="Y4674" s="2" t="s">
        <v>37</v>
      </c>
      <c r="Z4674" s="2" t="s">
        <v>44</v>
      </c>
      <c r="AA4674" s="2"/>
      <c r="AB4674" s="2"/>
      <c r="AC4674" s="2" t="s">
        <v>34824</v>
      </c>
      <c r="AD4674" s="2" t="s">
        <v>46</v>
      </c>
    </row>
    <row r="4675" customFormat="false" ht="15.7" hidden="false" customHeight="true" outlineLevel="0" collapsed="false">
      <c r="A4675" s="2"/>
      <c r="B4675" s="3" t="n">
        <f aca="false">DATE(2019,12,12)</f>
        <v>0</v>
      </c>
      <c r="C4675" s="3" t="n">
        <v>43811</v>
      </c>
      <c r="D4675" s="2" t="s">
        <v>34825</v>
      </c>
      <c r="F4675" s="2" t="s">
        <v>34826</v>
      </c>
      <c r="G4675" s="2" t="s">
        <v>34827</v>
      </c>
      <c r="H4675" s="2" t="s">
        <v>29218</v>
      </c>
      <c r="I4675" s="2" t="s">
        <v>10571</v>
      </c>
      <c r="J4675" s="2" t="s">
        <v>35</v>
      </c>
      <c r="K4675" s="2" t="s">
        <v>34828</v>
      </c>
      <c r="L4675" s="2" t="s">
        <v>34829</v>
      </c>
      <c r="M4675" s="2" t="s">
        <v>31356</v>
      </c>
      <c r="N4675" s="2" t="s">
        <v>34830</v>
      </c>
      <c r="O4675" s="2"/>
      <c r="P4675" s="2" t="s">
        <v>37</v>
      </c>
      <c r="Q4675" s="4" t="n">
        <v>8731</v>
      </c>
      <c r="R4675" s="2" t="s">
        <v>10571</v>
      </c>
      <c r="S4675" s="2" t="s">
        <v>5334</v>
      </c>
      <c r="T4675" s="2" t="s">
        <v>40</v>
      </c>
      <c r="U4675" s="2" t="s">
        <v>34831</v>
      </c>
      <c r="V4675" s="2"/>
      <c r="W4675" s="2" t="s">
        <v>34832</v>
      </c>
      <c r="X4675" s="2" t="s">
        <v>43</v>
      </c>
      <c r="Y4675" s="2" t="s">
        <v>79</v>
      </c>
      <c r="Z4675" s="2" t="s">
        <v>44</v>
      </c>
      <c r="AA4675" s="2"/>
      <c r="AB4675" s="2"/>
      <c r="AC4675" s="2" t="s">
        <v>34833</v>
      </c>
      <c r="AD4675" s="2" t="s">
        <v>46</v>
      </c>
    </row>
    <row r="4676" customFormat="false" ht="15.7" hidden="false" customHeight="true" outlineLevel="0" collapsed="false">
      <c r="A4676" s="2"/>
      <c r="B4676" s="3" t="n">
        <f aca="false">DATE(2019,12,12)</f>
        <v>0</v>
      </c>
      <c r="C4676" s="3" t="n">
        <v>43811</v>
      </c>
      <c r="D4676" s="2" t="s">
        <v>34834</v>
      </c>
      <c r="F4676" s="2" t="s">
        <v>19085</v>
      </c>
      <c r="G4676" s="2" t="s">
        <v>34835</v>
      </c>
      <c r="H4676" s="2" t="s">
        <v>63</v>
      </c>
      <c r="I4676" s="2" t="s">
        <v>11507</v>
      </c>
      <c r="J4676" s="2" t="s">
        <v>35</v>
      </c>
      <c r="K4676" s="2" t="s">
        <v>34836</v>
      </c>
      <c r="L4676" s="2" t="s">
        <v>11507</v>
      </c>
      <c r="M4676" s="2" t="s">
        <v>63</v>
      </c>
      <c r="N4676" s="2" t="s">
        <v>34837</v>
      </c>
      <c r="O4676" s="2"/>
      <c r="P4676" s="2" t="s">
        <v>37</v>
      </c>
      <c r="Q4676" s="4" t="n">
        <v>8099</v>
      </c>
      <c r="R4676" s="2" t="s">
        <v>402</v>
      </c>
      <c r="S4676" s="2" t="s">
        <v>39</v>
      </c>
      <c r="T4676" s="2" t="s">
        <v>40</v>
      </c>
      <c r="U4676" s="2" t="s">
        <v>34838</v>
      </c>
      <c r="V4676" s="2"/>
      <c r="W4676" s="2" t="s">
        <v>4487</v>
      </c>
      <c r="X4676" s="2" t="s">
        <v>43</v>
      </c>
      <c r="Y4676" s="2" t="s">
        <v>37</v>
      </c>
      <c r="Z4676" s="2" t="s">
        <v>44</v>
      </c>
      <c r="AA4676" s="2"/>
      <c r="AB4676" s="2"/>
      <c r="AC4676" s="2" t="s">
        <v>34839</v>
      </c>
      <c r="AD4676" s="2" t="s">
        <v>46</v>
      </c>
    </row>
    <row r="4677" customFormat="false" ht="15.7" hidden="false" customHeight="true" outlineLevel="0" collapsed="false">
      <c r="A4677" s="2"/>
      <c r="B4677" s="3" t="n">
        <f aca="false">DATE(2019,12,12)</f>
        <v>0</v>
      </c>
      <c r="C4677" s="3" t="n">
        <v>43811</v>
      </c>
      <c r="D4677" s="2" t="s">
        <v>34840</v>
      </c>
      <c r="F4677" s="2" t="s">
        <v>34841</v>
      </c>
      <c r="G4677" s="2" t="s">
        <v>34842</v>
      </c>
      <c r="H4677" s="2" t="s">
        <v>34843</v>
      </c>
      <c r="I4677" s="2" t="s">
        <v>51</v>
      </c>
      <c r="J4677" s="2" t="s">
        <v>31050</v>
      </c>
      <c r="K4677" s="2" t="s">
        <v>34840</v>
      </c>
      <c r="L4677" s="2" t="s">
        <v>51</v>
      </c>
      <c r="M4677" s="2" t="s">
        <v>34843</v>
      </c>
      <c r="N4677" s="2" t="s">
        <v>34844</v>
      </c>
      <c r="O4677" s="2"/>
      <c r="P4677" s="2" t="s">
        <v>37</v>
      </c>
      <c r="Q4677" s="4" t="n">
        <v>8731</v>
      </c>
      <c r="R4677" s="2" t="s">
        <v>56</v>
      </c>
      <c r="S4677" s="2"/>
      <c r="T4677" s="2" t="s">
        <v>403</v>
      </c>
      <c r="U4677" s="2" t="s">
        <v>34845</v>
      </c>
      <c r="V4677" s="2"/>
      <c r="W4677" s="2" t="s">
        <v>138</v>
      </c>
      <c r="X4677" s="2" t="s">
        <v>43</v>
      </c>
      <c r="Y4677" s="2" t="s">
        <v>37</v>
      </c>
      <c r="Z4677" s="2" t="s">
        <v>44</v>
      </c>
      <c r="AA4677" s="2"/>
      <c r="AB4677" s="2"/>
      <c r="AC4677" s="2" t="s">
        <v>34846</v>
      </c>
      <c r="AD4677" s="2" t="s">
        <v>46</v>
      </c>
    </row>
    <row r="4678" customFormat="false" ht="15.7" hidden="false" customHeight="true" outlineLevel="0" collapsed="false">
      <c r="A4678" s="2"/>
      <c r="B4678" s="3" t="n">
        <f aca="false">DATE(2019,12,12)</f>
        <v>0</v>
      </c>
      <c r="C4678" s="3" t="n">
        <v>43811</v>
      </c>
      <c r="D4678" s="2" t="s">
        <v>34847</v>
      </c>
      <c r="F4678" s="2" t="s">
        <v>34848</v>
      </c>
      <c r="G4678" s="2" t="s">
        <v>34849</v>
      </c>
      <c r="H4678" s="2" t="s">
        <v>34850</v>
      </c>
      <c r="I4678" s="2" t="s">
        <v>487</v>
      </c>
      <c r="J4678" s="2" t="s">
        <v>132</v>
      </c>
      <c r="K4678" s="2" t="s">
        <v>34847</v>
      </c>
      <c r="L4678" s="2" t="s">
        <v>487</v>
      </c>
      <c r="M4678" s="2" t="s">
        <v>34850</v>
      </c>
      <c r="N4678" s="2" t="s">
        <v>34851</v>
      </c>
      <c r="O4678" s="2"/>
      <c r="P4678" s="2" t="s">
        <v>37</v>
      </c>
      <c r="Q4678" s="4" t="n">
        <v>8731</v>
      </c>
      <c r="R4678" s="2" t="s">
        <v>1448</v>
      </c>
      <c r="S4678" s="2" t="s">
        <v>39</v>
      </c>
      <c r="T4678" s="2" t="s">
        <v>40</v>
      </c>
      <c r="U4678" s="2" t="s">
        <v>34852</v>
      </c>
      <c r="V4678" s="2"/>
      <c r="W4678" s="2" t="s">
        <v>138</v>
      </c>
      <c r="X4678" s="2" t="s">
        <v>46</v>
      </c>
      <c r="Y4678" s="2" t="s">
        <v>37</v>
      </c>
      <c r="Z4678" s="2" t="s">
        <v>44</v>
      </c>
      <c r="AA4678" s="2"/>
      <c r="AB4678" s="2"/>
      <c r="AC4678" s="2" t="s">
        <v>34853</v>
      </c>
      <c r="AD4678" s="2" t="s">
        <v>46</v>
      </c>
    </row>
    <row r="4679" customFormat="false" ht="15.7" hidden="false" customHeight="true" outlineLevel="0" collapsed="false">
      <c r="A4679" s="2"/>
      <c r="B4679" s="3" t="n">
        <f aca="false">DATE(2019,12,13)</f>
        <v>0</v>
      </c>
      <c r="C4679" s="3" t="n">
        <v>43812</v>
      </c>
      <c r="D4679" s="2" t="s">
        <v>34854</v>
      </c>
      <c r="F4679" s="2" t="s">
        <v>34855</v>
      </c>
      <c r="G4679" s="2" t="s">
        <v>34856</v>
      </c>
      <c r="H4679" s="2" t="s">
        <v>34857</v>
      </c>
      <c r="I4679" s="2" t="s">
        <v>648</v>
      </c>
      <c r="J4679" s="2" t="s">
        <v>35</v>
      </c>
      <c r="K4679" s="2" t="s">
        <v>34854</v>
      </c>
      <c r="L4679" s="2" t="s">
        <v>648</v>
      </c>
      <c r="M4679" s="2" t="s">
        <v>34857</v>
      </c>
      <c r="N4679" s="2" t="s">
        <v>34858</v>
      </c>
      <c r="O4679" s="2"/>
      <c r="P4679" s="2" t="s">
        <v>37</v>
      </c>
      <c r="Q4679" s="4" t="n">
        <v>8099</v>
      </c>
      <c r="R4679" s="2" t="s">
        <v>2118</v>
      </c>
      <c r="S4679" s="2" t="s">
        <v>39</v>
      </c>
      <c r="T4679" s="2" t="s">
        <v>40</v>
      </c>
      <c r="U4679" s="2" t="s">
        <v>34859</v>
      </c>
      <c r="V4679" s="2"/>
      <c r="W4679" s="2" t="s">
        <v>6955</v>
      </c>
      <c r="X4679" s="2" t="s">
        <v>43</v>
      </c>
      <c r="Y4679" s="2" t="s">
        <v>37</v>
      </c>
      <c r="Z4679" s="2" t="s">
        <v>44</v>
      </c>
      <c r="AA4679" s="2"/>
      <c r="AB4679" s="2"/>
      <c r="AC4679" s="2" t="s">
        <v>34860</v>
      </c>
      <c r="AD4679" s="2" t="s">
        <v>46</v>
      </c>
    </row>
    <row r="4680" customFormat="false" ht="15.7" hidden="false" customHeight="true" outlineLevel="0" collapsed="false">
      <c r="A4680" s="2"/>
      <c r="B4680" s="3" t="n">
        <f aca="false">DATE(2019,12,13)</f>
        <v>0</v>
      </c>
      <c r="C4680" s="3" t="n">
        <v>43812</v>
      </c>
      <c r="D4680" s="2" t="s">
        <v>34861</v>
      </c>
      <c r="F4680" s="2" t="s">
        <v>34862</v>
      </c>
      <c r="G4680" s="2" t="s">
        <v>34863</v>
      </c>
      <c r="H4680" s="2" t="s">
        <v>20780</v>
      </c>
      <c r="I4680" s="2" t="s">
        <v>51</v>
      </c>
      <c r="J4680" s="2" t="s">
        <v>34864</v>
      </c>
      <c r="K4680" s="2" t="s">
        <v>34861</v>
      </c>
      <c r="L4680" s="2" t="s">
        <v>51</v>
      </c>
      <c r="M4680" s="2" t="s">
        <v>20780</v>
      </c>
      <c r="N4680" s="2" t="s">
        <v>34865</v>
      </c>
      <c r="O4680" s="2"/>
      <c r="P4680" s="2" t="s">
        <v>37</v>
      </c>
      <c r="Q4680" s="4" t="n">
        <v>1522</v>
      </c>
      <c r="R4680" s="2"/>
      <c r="S4680" s="2"/>
      <c r="T4680" s="2" t="s">
        <v>403</v>
      </c>
      <c r="U4680" s="2" t="s">
        <v>34866</v>
      </c>
      <c r="V4680" s="2"/>
      <c r="W4680" s="2" t="s">
        <v>18958</v>
      </c>
      <c r="X4680" s="2" t="s">
        <v>46</v>
      </c>
      <c r="Y4680" s="2" t="s">
        <v>37</v>
      </c>
      <c r="Z4680" s="2" t="s">
        <v>44</v>
      </c>
      <c r="AA4680" s="2"/>
      <c r="AB4680" s="2"/>
      <c r="AC4680" s="2" t="s">
        <v>34867</v>
      </c>
      <c r="AD4680" s="2" t="s">
        <v>46</v>
      </c>
    </row>
    <row r="4681" customFormat="false" ht="15.7" hidden="false" customHeight="true" outlineLevel="0" collapsed="false">
      <c r="A4681" s="2"/>
      <c r="B4681" s="3" t="n">
        <f aca="false">DATE(2019,12,14)</f>
        <v>0</v>
      </c>
      <c r="C4681" s="3" t="n">
        <v>43813</v>
      </c>
      <c r="D4681" s="2" t="s">
        <v>34868</v>
      </c>
      <c r="F4681" s="2" t="s">
        <v>34869</v>
      </c>
      <c r="G4681" s="2" t="s">
        <v>34870</v>
      </c>
      <c r="H4681" s="2" t="s">
        <v>523</v>
      </c>
      <c r="I4681" s="2" t="s">
        <v>51</v>
      </c>
      <c r="J4681" s="2" t="s">
        <v>15570</v>
      </c>
      <c r="K4681" s="2" t="s">
        <v>34871</v>
      </c>
      <c r="L4681" s="2" t="s">
        <v>664</v>
      </c>
      <c r="M4681" s="2" t="s">
        <v>523</v>
      </c>
      <c r="N4681" s="2" t="s">
        <v>34872</v>
      </c>
      <c r="O4681" s="2"/>
      <c r="P4681" s="2" t="s">
        <v>37</v>
      </c>
      <c r="Q4681" s="4" t="n">
        <v>8099</v>
      </c>
      <c r="R4681" s="2" t="s">
        <v>56</v>
      </c>
      <c r="S4681" s="2" t="s">
        <v>360</v>
      </c>
      <c r="T4681" s="2" t="s">
        <v>40</v>
      </c>
      <c r="U4681" s="2" t="s">
        <v>34873</v>
      </c>
      <c r="V4681" s="2"/>
      <c r="W4681" s="2" t="s">
        <v>4487</v>
      </c>
      <c r="X4681" s="2" t="s">
        <v>43</v>
      </c>
      <c r="Y4681" s="2" t="s">
        <v>37</v>
      </c>
      <c r="Z4681" s="2" t="s">
        <v>44</v>
      </c>
      <c r="AA4681" s="2"/>
      <c r="AB4681" s="2"/>
      <c r="AC4681" s="2" t="s">
        <v>34874</v>
      </c>
      <c r="AD4681" s="2" t="s">
        <v>46</v>
      </c>
    </row>
    <row r="4682" customFormat="false" ht="15.7" hidden="false" customHeight="true" outlineLevel="0" collapsed="false">
      <c r="A4682" s="2"/>
      <c r="B4682" s="3" t="n">
        <f aca="false">DATE(2019,12,14)</f>
        <v>0</v>
      </c>
      <c r="C4682" s="3" t="n">
        <v>43813</v>
      </c>
      <c r="D4682" s="2" t="s">
        <v>34875</v>
      </c>
      <c r="F4682" s="2" t="s">
        <v>34876</v>
      </c>
      <c r="G4682" s="2" t="s">
        <v>34877</v>
      </c>
      <c r="H4682" s="2" t="s">
        <v>34878</v>
      </c>
      <c r="I4682" s="2" t="s">
        <v>51</v>
      </c>
      <c r="J4682" s="2" t="s">
        <v>25299</v>
      </c>
      <c r="K4682" s="2" t="s">
        <v>34875</v>
      </c>
      <c r="L4682" s="2" t="s">
        <v>51</v>
      </c>
      <c r="M4682" s="2" t="s">
        <v>34878</v>
      </c>
      <c r="N4682" s="2" t="s">
        <v>34879</v>
      </c>
      <c r="O4682" s="2"/>
      <c r="P4682" s="2" t="s">
        <v>37</v>
      </c>
      <c r="Q4682" s="4" t="n">
        <v>8731</v>
      </c>
      <c r="R4682" s="2"/>
      <c r="S4682" s="2"/>
      <c r="T4682" s="2" t="s">
        <v>40</v>
      </c>
      <c r="U4682" s="2" t="s">
        <v>34880</v>
      </c>
      <c r="V4682" s="2"/>
      <c r="W4682" s="2" t="s">
        <v>34881</v>
      </c>
      <c r="X4682" s="2" t="s">
        <v>46</v>
      </c>
      <c r="Y4682" s="2" t="s">
        <v>37</v>
      </c>
      <c r="Z4682" s="2" t="s">
        <v>44</v>
      </c>
      <c r="AA4682" s="2"/>
      <c r="AB4682" s="2"/>
      <c r="AC4682" s="2" t="s">
        <v>34882</v>
      </c>
      <c r="AD4682" s="2" t="s">
        <v>46</v>
      </c>
    </row>
    <row r="4683" customFormat="false" ht="15.7" hidden="false" customHeight="true" outlineLevel="0" collapsed="false">
      <c r="A4683" s="2"/>
      <c r="B4683" s="3" t="n">
        <f aca="false">DATE(2019,12,16)</f>
        <v>0</v>
      </c>
      <c r="C4683" s="3" t="n">
        <v>43815</v>
      </c>
      <c r="D4683" s="2" t="s">
        <v>34883</v>
      </c>
      <c r="F4683" s="2" t="s">
        <v>23269</v>
      </c>
      <c r="G4683" s="2" t="s">
        <v>34884</v>
      </c>
      <c r="H4683" s="2" t="s">
        <v>1473</v>
      </c>
      <c r="I4683" s="2" t="s">
        <v>487</v>
      </c>
      <c r="J4683" s="2" t="s">
        <v>331</v>
      </c>
      <c r="K4683" s="2" t="s">
        <v>34883</v>
      </c>
      <c r="L4683" s="2" t="s">
        <v>487</v>
      </c>
      <c r="M4683" s="2" t="s">
        <v>1473</v>
      </c>
      <c r="N4683" s="2" t="s">
        <v>34885</v>
      </c>
      <c r="O4683" s="2"/>
      <c r="P4683" s="2" t="s">
        <v>37</v>
      </c>
      <c r="Q4683" s="4" t="n">
        <v>6794</v>
      </c>
      <c r="R4683" s="2" t="s">
        <v>56</v>
      </c>
      <c r="S4683" s="2" t="s">
        <v>80</v>
      </c>
      <c r="T4683" s="2" t="s">
        <v>40</v>
      </c>
      <c r="U4683" s="2" t="s">
        <v>34886</v>
      </c>
      <c r="V4683" s="2"/>
      <c r="W4683" s="2" t="s">
        <v>34887</v>
      </c>
      <c r="X4683" s="2" t="s">
        <v>43</v>
      </c>
      <c r="Y4683" s="2" t="s">
        <v>37</v>
      </c>
      <c r="Z4683" s="2" t="s">
        <v>44</v>
      </c>
      <c r="AA4683" s="2"/>
      <c r="AB4683" s="2"/>
      <c r="AC4683" s="2" t="s">
        <v>34888</v>
      </c>
      <c r="AD4683" s="2" t="s">
        <v>46</v>
      </c>
    </row>
    <row r="4684" customFormat="false" ht="15.7" hidden="false" customHeight="true" outlineLevel="0" collapsed="false">
      <c r="A4684" s="2"/>
      <c r="B4684" s="3" t="n">
        <f aca="false">DATE(2019,12,16)</f>
        <v>0</v>
      </c>
      <c r="C4684" s="3" t="n">
        <v>43815</v>
      </c>
      <c r="D4684" s="2" t="s">
        <v>34889</v>
      </c>
      <c r="F4684" s="2" t="s">
        <v>34890</v>
      </c>
      <c r="G4684" s="2" t="s">
        <v>34891</v>
      </c>
      <c r="H4684" s="2" t="s">
        <v>34892</v>
      </c>
      <c r="I4684" s="2" t="s">
        <v>2933</v>
      </c>
      <c r="J4684" s="2" t="s">
        <v>35</v>
      </c>
      <c r="K4684" s="2" t="s">
        <v>34889</v>
      </c>
      <c r="L4684" s="2" t="s">
        <v>2933</v>
      </c>
      <c r="M4684" s="2" t="s">
        <v>34892</v>
      </c>
      <c r="N4684" s="2" t="s">
        <v>34893</v>
      </c>
      <c r="O4684" s="2"/>
      <c r="P4684" s="2" t="s">
        <v>37</v>
      </c>
      <c r="Q4684" s="4" t="n">
        <v>8099</v>
      </c>
      <c r="R4684" s="2" t="s">
        <v>688</v>
      </c>
      <c r="S4684" s="2" t="s">
        <v>39</v>
      </c>
      <c r="T4684" s="2" t="s">
        <v>40</v>
      </c>
      <c r="U4684" s="2" t="s">
        <v>34894</v>
      </c>
      <c r="V4684" s="2"/>
      <c r="W4684" s="2" t="s">
        <v>18401</v>
      </c>
      <c r="X4684" s="2" t="s">
        <v>43</v>
      </c>
      <c r="Y4684" s="2" t="s">
        <v>37</v>
      </c>
      <c r="Z4684" s="2" t="s">
        <v>44</v>
      </c>
      <c r="AA4684" s="2"/>
      <c r="AB4684" s="2"/>
      <c r="AC4684" s="2" t="s">
        <v>34895</v>
      </c>
      <c r="AD4684" s="2" t="s">
        <v>46</v>
      </c>
    </row>
    <row r="4685" customFormat="false" ht="15.7" hidden="false" customHeight="true" outlineLevel="0" collapsed="false">
      <c r="A4685" s="2"/>
      <c r="B4685" s="3" t="n">
        <f aca="false">DATE(2019,12,16)</f>
        <v>0</v>
      </c>
      <c r="C4685" s="3" t="n">
        <v>43815</v>
      </c>
      <c r="D4685" s="2" t="s">
        <v>34896</v>
      </c>
      <c r="F4685" s="2" t="s">
        <v>34897</v>
      </c>
      <c r="G4685" s="2" t="s">
        <v>34898</v>
      </c>
      <c r="H4685" s="2" t="s">
        <v>34899</v>
      </c>
      <c r="I4685" s="2" t="s">
        <v>51</v>
      </c>
      <c r="J4685" s="2" t="s">
        <v>34900</v>
      </c>
      <c r="K4685" s="2" t="s">
        <v>34901</v>
      </c>
      <c r="L4685" s="2" t="s">
        <v>51</v>
      </c>
      <c r="M4685" s="2" t="s">
        <v>230</v>
      </c>
      <c r="N4685" s="2" t="s">
        <v>34902</v>
      </c>
      <c r="O4685" s="2"/>
      <c r="P4685" s="2" t="s">
        <v>37</v>
      </c>
      <c r="Q4685" s="4" t="n">
        <v>7372</v>
      </c>
      <c r="R4685" s="2" t="s">
        <v>56</v>
      </c>
      <c r="S4685" s="2"/>
      <c r="T4685" s="2" t="s">
        <v>40</v>
      </c>
      <c r="U4685" s="2" t="s">
        <v>34903</v>
      </c>
      <c r="V4685" s="2"/>
      <c r="W4685" s="2" t="s">
        <v>34904</v>
      </c>
      <c r="X4685" s="2" t="s">
        <v>43</v>
      </c>
      <c r="Y4685" s="2" t="s">
        <v>37</v>
      </c>
      <c r="Z4685" s="2" t="s">
        <v>44</v>
      </c>
      <c r="AA4685" s="2"/>
      <c r="AB4685" s="2"/>
      <c r="AC4685" s="2" t="s">
        <v>34905</v>
      </c>
      <c r="AD4685" s="2" t="s">
        <v>46</v>
      </c>
    </row>
    <row r="4686" customFormat="false" ht="15.7" hidden="false" customHeight="true" outlineLevel="0" collapsed="false">
      <c r="A4686" s="2"/>
      <c r="B4686" s="3" t="n">
        <f aca="false">DATE(2019,12,17)</f>
        <v>0</v>
      </c>
      <c r="C4686" s="3" t="n">
        <v>43816</v>
      </c>
      <c r="D4686" s="2" t="s">
        <v>34906</v>
      </c>
      <c r="F4686" s="2" t="s">
        <v>34907</v>
      </c>
      <c r="G4686" s="2" t="s">
        <v>34908</v>
      </c>
      <c r="H4686" s="2" t="s">
        <v>34909</v>
      </c>
      <c r="I4686" s="2" t="s">
        <v>34910</v>
      </c>
      <c r="J4686" s="2" t="s">
        <v>35</v>
      </c>
      <c r="K4686" s="2" t="s">
        <v>34906</v>
      </c>
      <c r="L4686" s="2" t="s">
        <v>7014</v>
      </c>
      <c r="M4686" s="2" t="s">
        <v>34909</v>
      </c>
      <c r="N4686" s="2" t="s">
        <v>34911</v>
      </c>
      <c r="O4686" s="2"/>
      <c r="P4686" s="2" t="s">
        <v>37</v>
      </c>
      <c r="Q4686" s="4" t="n">
        <v>8099</v>
      </c>
      <c r="R4686" s="2" t="s">
        <v>5774</v>
      </c>
      <c r="S4686" s="2" t="s">
        <v>39</v>
      </c>
      <c r="T4686" s="2" t="s">
        <v>403</v>
      </c>
      <c r="U4686" s="2" t="s">
        <v>34912</v>
      </c>
      <c r="V4686" s="2"/>
      <c r="W4686" s="2" t="s">
        <v>4487</v>
      </c>
      <c r="X4686" s="2" t="s">
        <v>43</v>
      </c>
      <c r="Y4686" s="2" t="s">
        <v>37</v>
      </c>
      <c r="Z4686" s="2" t="s">
        <v>44</v>
      </c>
      <c r="AA4686" s="2"/>
      <c r="AB4686" s="2"/>
      <c r="AC4686" s="2" t="s">
        <v>34913</v>
      </c>
      <c r="AD4686" s="2" t="s">
        <v>46</v>
      </c>
    </row>
    <row r="4687" customFormat="false" ht="15.7" hidden="false" customHeight="true" outlineLevel="0" collapsed="false">
      <c r="A4687" s="2"/>
      <c r="B4687" s="3" t="n">
        <f aca="false">DATE(2019,12,17)</f>
        <v>0</v>
      </c>
      <c r="C4687" s="3" t="n">
        <v>43816</v>
      </c>
      <c r="D4687" s="2" t="s">
        <v>34914</v>
      </c>
      <c r="F4687" s="2" t="s">
        <v>34915</v>
      </c>
      <c r="G4687" s="2" t="s">
        <v>34916</v>
      </c>
      <c r="H4687" s="2" t="s">
        <v>34917</v>
      </c>
      <c r="I4687" s="2" t="s">
        <v>34918</v>
      </c>
      <c r="J4687" s="2" t="s">
        <v>35</v>
      </c>
      <c r="K4687" s="2" t="s">
        <v>34919</v>
      </c>
      <c r="L4687" s="2" t="s">
        <v>11584</v>
      </c>
      <c r="M4687" s="2" t="s">
        <v>34920</v>
      </c>
      <c r="N4687" s="2" t="s">
        <v>34921</v>
      </c>
      <c r="O4687" s="2"/>
      <c r="P4687" s="2" t="s">
        <v>37</v>
      </c>
      <c r="Q4687" s="4" t="n">
        <v>8731</v>
      </c>
      <c r="R4687" s="2" t="s">
        <v>2201</v>
      </c>
      <c r="S4687" s="2" t="s">
        <v>39</v>
      </c>
      <c r="T4687" s="2" t="s">
        <v>403</v>
      </c>
      <c r="U4687" s="2" t="s">
        <v>34922</v>
      </c>
      <c r="V4687" s="2"/>
      <c r="W4687" s="2" t="s">
        <v>878</v>
      </c>
      <c r="X4687" s="2" t="s">
        <v>43</v>
      </c>
      <c r="Y4687" s="2" t="s">
        <v>37</v>
      </c>
      <c r="Z4687" s="2" t="s">
        <v>44</v>
      </c>
      <c r="AA4687" s="2"/>
      <c r="AB4687" s="2"/>
      <c r="AC4687" s="2" t="s">
        <v>34923</v>
      </c>
      <c r="AD4687" s="2" t="s">
        <v>46</v>
      </c>
    </row>
    <row r="4688" customFormat="false" ht="15.7" hidden="false" customHeight="true" outlineLevel="0" collapsed="false">
      <c r="A4688" s="2"/>
      <c r="B4688" s="3" t="n">
        <f aca="false">DATE(2019,12,17)</f>
        <v>0</v>
      </c>
      <c r="C4688" s="3" t="n">
        <v>43816</v>
      </c>
      <c r="D4688" s="2" t="s">
        <v>34924</v>
      </c>
      <c r="F4688" s="2" t="s">
        <v>34925</v>
      </c>
      <c r="G4688" s="2" t="s">
        <v>34926</v>
      </c>
      <c r="H4688" s="2" t="s">
        <v>34927</v>
      </c>
      <c r="I4688" s="2" t="s">
        <v>51</v>
      </c>
      <c r="J4688" s="2" t="s">
        <v>10768</v>
      </c>
      <c r="K4688" s="2" t="s">
        <v>34928</v>
      </c>
      <c r="L4688" s="2" t="s">
        <v>51</v>
      </c>
      <c r="M4688" s="2" t="s">
        <v>34927</v>
      </c>
      <c r="N4688" s="2" t="s">
        <v>34929</v>
      </c>
      <c r="O4688" s="2"/>
      <c r="P4688" s="2" t="s">
        <v>37</v>
      </c>
      <c r="Q4688" s="4" t="n">
        <v>8731</v>
      </c>
      <c r="R4688" s="2" t="s">
        <v>56</v>
      </c>
      <c r="S4688" s="2" t="s">
        <v>1576</v>
      </c>
      <c r="T4688" s="2" t="s">
        <v>40</v>
      </c>
      <c r="U4688" s="2" t="s">
        <v>34930</v>
      </c>
      <c r="V4688" s="2"/>
      <c r="W4688" s="2" t="s">
        <v>42</v>
      </c>
      <c r="X4688" s="2" t="s">
        <v>43</v>
      </c>
      <c r="Y4688" s="2" t="s">
        <v>37</v>
      </c>
      <c r="Z4688" s="2" t="s">
        <v>44</v>
      </c>
      <c r="AA4688" s="2"/>
      <c r="AB4688" s="2"/>
      <c r="AC4688" s="2" t="s">
        <v>34931</v>
      </c>
      <c r="AD4688" s="2" t="s">
        <v>46</v>
      </c>
    </row>
    <row r="4689" customFormat="false" ht="15.7" hidden="false" customHeight="true" outlineLevel="0" collapsed="false">
      <c r="A4689" s="2"/>
      <c r="B4689" s="3" t="n">
        <f aca="false">DATE(2019,12,17)</f>
        <v>0</v>
      </c>
      <c r="C4689" s="3" t="n">
        <v>43816</v>
      </c>
      <c r="D4689" s="2" t="s">
        <v>34932</v>
      </c>
      <c r="F4689" s="2" t="s">
        <v>1138</v>
      </c>
      <c r="G4689" s="2" t="s">
        <v>34933</v>
      </c>
      <c r="H4689" s="2" t="s">
        <v>305</v>
      </c>
      <c r="I4689" s="2" t="s">
        <v>3265</v>
      </c>
      <c r="J4689" s="2" t="s">
        <v>258</v>
      </c>
      <c r="K4689" s="2" t="s">
        <v>34934</v>
      </c>
      <c r="L4689" s="2" t="s">
        <v>3265</v>
      </c>
      <c r="M4689" s="2" t="s">
        <v>130</v>
      </c>
      <c r="N4689" s="2" t="s">
        <v>34935</v>
      </c>
      <c r="O4689" s="2"/>
      <c r="P4689" s="2" t="s">
        <v>37</v>
      </c>
      <c r="Q4689" s="4" t="n">
        <v>8099</v>
      </c>
      <c r="R4689" s="2" t="s">
        <v>34936</v>
      </c>
      <c r="S4689" s="2" t="s">
        <v>28563</v>
      </c>
      <c r="T4689" s="2" t="s">
        <v>40</v>
      </c>
      <c r="U4689" s="2" t="s">
        <v>34937</v>
      </c>
      <c r="V4689" s="2"/>
      <c r="W4689" s="2" t="s">
        <v>6955</v>
      </c>
      <c r="X4689" s="2" t="s">
        <v>43</v>
      </c>
      <c r="Y4689" s="2" t="s">
        <v>79</v>
      </c>
      <c r="Z4689" s="2" t="s">
        <v>44</v>
      </c>
      <c r="AA4689" s="2"/>
      <c r="AB4689" s="2"/>
      <c r="AC4689" s="2" t="s">
        <v>34938</v>
      </c>
      <c r="AD4689" s="2" t="s">
        <v>46</v>
      </c>
    </row>
    <row r="4690" customFormat="false" ht="15.7" hidden="false" customHeight="true" outlineLevel="0" collapsed="false">
      <c r="A4690" s="2"/>
      <c r="B4690" s="3" t="n">
        <f aca="false">DATE(2019,12,17)</f>
        <v>0</v>
      </c>
      <c r="C4690" s="3" t="n">
        <v>43816</v>
      </c>
      <c r="D4690" s="2" t="s">
        <v>34939</v>
      </c>
      <c r="F4690" s="2" t="s">
        <v>22407</v>
      </c>
      <c r="G4690" s="2" t="s">
        <v>34940</v>
      </c>
      <c r="H4690" s="2" t="s">
        <v>762</v>
      </c>
      <c r="I4690" s="2" t="s">
        <v>34941</v>
      </c>
      <c r="J4690" s="2" t="s">
        <v>35</v>
      </c>
      <c r="K4690" s="2" t="s">
        <v>34939</v>
      </c>
      <c r="L4690" s="2" t="s">
        <v>34941</v>
      </c>
      <c r="M4690" s="2" t="s">
        <v>762</v>
      </c>
      <c r="N4690" s="2" t="s">
        <v>34942</v>
      </c>
      <c r="O4690" s="2"/>
      <c r="P4690" s="2" t="s">
        <v>37</v>
      </c>
      <c r="Q4690" s="4" t="n">
        <v>5099</v>
      </c>
      <c r="R4690" s="2" t="s">
        <v>688</v>
      </c>
      <c r="S4690" s="2" t="s">
        <v>39</v>
      </c>
      <c r="T4690" s="2" t="s">
        <v>40</v>
      </c>
      <c r="U4690" s="2" t="s">
        <v>34943</v>
      </c>
      <c r="V4690" s="2"/>
      <c r="W4690" s="2" t="s">
        <v>13100</v>
      </c>
      <c r="X4690" s="2" t="s">
        <v>43</v>
      </c>
      <c r="Y4690" s="2" t="s">
        <v>37</v>
      </c>
      <c r="Z4690" s="2" t="s">
        <v>44</v>
      </c>
      <c r="AA4690" s="2"/>
      <c r="AB4690" s="2"/>
      <c r="AC4690" s="2" t="s">
        <v>34944</v>
      </c>
      <c r="AD4690" s="2" t="s">
        <v>46</v>
      </c>
    </row>
    <row r="4691" customFormat="false" ht="15.7" hidden="false" customHeight="true" outlineLevel="0" collapsed="false">
      <c r="A4691" s="2"/>
      <c r="B4691" s="3" t="n">
        <f aca="false">DATE(2019,12,18)</f>
        <v>0</v>
      </c>
      <c r="C4691" s="3" t="n">
        <v>43817</v>
      </c>
      <c r="D4691" s="2" t="s">
        <v>34945</v>
      </c>
      <c r="F4691" s="2" t="s">
        <v>34946</v>
      </c>
      <c r="G4691" s="2" t="s">
        <v>34947</v>
      </c>
      <c r="H4691" s="2" t="s">
        <v>34948</v>
      </c>
      <c r="I4691" s="2" t="s">
        <v>32096</v>
      </c>
      <c r="J4691" s="2" t="s">
        <v>35</v>
      </c>
      <c r="K4691" s="2" t="s">
        <v>34949</v>
      </c>
      <c r="L4691" s="2" t="s">
        <v>32096</v>
      </c>
      <c r="M4691" s="2" t="s">
        <v>1574</v>
      </c>
      <c r="N4691" s="2" t="s">
        <v>34950</v>
      </c>
      <c r="O4691" s="2"/>
      <c r="P4691" s="2" t="s">
        <v>37</v>
      </c>
      <c r="Q4691" s="4" t="n">
        <v>8731</v>
      </c>
      <c r="R4691" s="2" t="s">
        <v>1691</v>
      </c>
      <c r="S4691" s="2" t="s">
        <v>39</v>
      </c>
      <c r="T4691" s="2" t="s">
        <v>40</v>
      </c>
      <c r="U4691" s="2" t="s">
        <v>34951</v>
      </c>
      <c r="V4691" s="2"/>
      <c r="W4691" s="2" t="s">
        <v>33245</v>
      </c>
      <c r="X4691" s="2" t="s">
        <v>46</v>
      </c>
      <c r="Y4691" s="2" t="s">
        <v>37</v>
      </c>
      <c r="Z4691" s="2" t="s">
        <v>2565</v>
      </c>
      <c r="AA4691" s="2" t="s">
        <v>34952</v>
      </c>
      <c r="AB4691" s="2"/>
      <c r="AC4691" s="2" t="s">
        <v>34953</v>
      </c>
      <c r="AD4691" s="2" t="s">
        <v>46</v>
      </c>
    </row>
    <row r="4692" customFormat="false" ht="15.7" hidden="false" customHeight="true" outlineLevel="0" collapsed="false">
      <c r="A4692" s="2"/>
      <c r="B4692" s="3" t="n">
        <f aca="false">DATE(2019,12,18)</f>
        <v>0</v>
      </c>
      <c r="C4692" s="3" t="n">
        <v>43817</v>
      </c>
      <c r="D4692" s="2" t="s">
        <v>34954</v>
      </c>
      <c r="F4692" s="2" t="s">
        <v>34955</v>
      </c>
      <c r="G4692" s="2" t="s">
        <v>34956</v>
      </c>
      <c r="H4692" s="2" t="s">
        <v>34957</v>
      </c>
      <c r="I4692" s="2" t="s">
        <v>51</v>
      </c>
      <c r="J4692" s="2" t="s">
        <v>34958</v>
      </c>
      <c r="K4692" s="2" t="s">
        <v>34959</v>
      </c>
      <c r="L4692" s="2" t="s">
        <v>51</v>
      </c>
      <c r="M4692" s="2" t="s">
        <v>34960</v>
      </c>
      <c r="N4692" s="2" t="s">
        <v>34961</v>
      </c>
      <c r="O4692" s="2"/>
      <c r="P4692" s="2" t="s">
        <v>37</v>
      </c>
      <c r="Q4692" s="4" t="n">
        <v>8731</v>
      </c>
      <c r="R4692" s="2" t="s">
        <v>56</v>
      </c>
      <c r="S4692" s="2" t="s">
        <v>80</v>
      </c>
      <c r="T4692" s="2" t="s">
        <v>403</v>
      </c>
      <c r="U4692" s="2" t="s">
        <v>34962</v>
      </c>
      <c r="V4692" s="2"/>
      <c r="W4692" s="2" t="s">
        <v>34963</v>
      </c>
      <c r="X4692" s="2" t="s">
        <v>46</v>
      </c>
      <c r="Y4692" s="2" t="s">
        <v>37</v>
      </c>
      <c r="Z4692" s="2" t="s">
        <v>44</v>
      </c>
      <c r="AA4692" s="2" t="s">
        <v>34964</v>
      </c>
      <c r="AB4692" s="2"/>
      <c r="AC4692" s="2" t="s">
        <v>34965</v>
      </c>
      <c r="AD4692" s="2" t="s">
        <v>46</v>
      </c>
    </row>
    <row r="4693" customFormat="false" ht="15.7" hidden="false" customHeight="true" outlineLevel="0" collapsed="false">
      <c r="A4693" s="2"/>
      <c r="B4693" s="3" t="n">
        <f aca="false">DATE(2019,12,19)</f>
        <v>0</v>
      </c>
      <c r="C4693" s="3" t="n">
        <v>43818</v>
      </c>
      <c r="D4693" s="2" t="s">
        <v>34966</v>
      </c>
      <c r="F4693" s="2" t="s">
        <v>256</v>
      </c>
      <c r="G4693" s="2" t="s">
        <v>34967</v>
      </c>
      <c r="H4693" s="2" t="s">
        <v>170</v>
      </c>
      <c r="I4693" s="2" t="s">
        <v>2850</v>
      </c>
      <c r="J4693" s="2" t="s">
        <v>35</v>
      </c>
      <c r="K4693" s="2" t="s">
        <v>34968</v>
      </c>
      <c r="L4693" s="2" t="s">
        <v>2850</v>
      </c>
      <c r="M4693" s="2" t="s">
        <v>1770</v>
      </c>
      <c r="N4693" s="2" t="s">
        <v>34969</v>
      </c>
      <c r="O4693" s="2"/>
      <c r="P4693" s="2" t="s">
        <v>37</v>
      </c>
      <c r="Q4693" s="4" t="n">
        <v>8731</v>
      </c>
      <c r="R4693" s="2" t="s">
        <v>136</v>
      </c>
      <c r="S4693" s="2" t="s">
        <v>39</v>
      </c>
      <c r="T4693" s="2" t="s">
        <v>40</v>
      </c>
      <c r="U4693" s="2" t="s">
        <v>34970</v>
      </c>
      <c r="V4693" s="2"/>
      <c r="W4693" s="2" t="s">
        <v>22456</v>
      </c>
      <c r="X4693" s="2" t="s">
        <v>43</v>
      </c>
      <c r="Y4693" s="2" t="s">
        <v>37</v>
      </c>
      <c r="Z4693" s="2" t="s">
        <v>44</v>
      </c>
      <c r="AA4693" s="2" t="s">
        <v>34365</v>
      </c>
      <c r="AB4693" s="2"/>
      <c r="AC4693" s="2" t="s">
        <v>34971</v>
      </c>
      <c r="AD4693" s="2" t="s">
        <v>46</v>
      </c>
    </row>
    <row r="4694" customFormat="false" ht="15.7" hidden="false" customHeight="true" outlineLevel="0" collapsed="false">
      <c r="A4694" s="2"/>
      <c r="B4694" s="3" t="n">
        <f aca="false">DATE(2019,12,19)</f>
        <v>0</v>
      </c>
      <c r="C4694" s="3" t="n">
        <v>43818</v>
      </c>
      <c r="D4694" s="2" t="s">
        <v>34972</v>
      </c>
      <c r="F4694" s="2" t="s">
        <v>34973</v>
      </c>
      <c r="G4694" s="2" t="s">
        <v>34974</v>
      </c>
      <c r="H4694" s="2" t="s">
        <v>29492</v>
      </c>
      <c r="I4694" s="2" t="s">
        <v>219</v>
      </c>
      <c r="J4694" s="2" t="s">
        <v>575</v>
      </c>
      <c r="K4694" s="2" t="s">
        <v>34972</v>
      </c>
      <c r="L4694" s="2" t="s">
        <v>219</v>
      </c>
      <c r="M4694" s="2" t="s">
        <v>29492</v>
      </c>
      <c r="N4694" s="2" t="s">
        <v>34975</v>
      </c>
      <c r="O4694" s="2"/>
      <c r="P4694" s="2" t="s">
        <v>37</v>
      </c>
      <c r="Q4694" s="4" t="n">
        <v>8299</v>
      </c>
      <c r="R4694" s="2" t="s">
        <v>38</v>
      </c>
      <c r="S4694" s="2" t="s">
        <v>39</v>
      </c>
      <c r="T4694" s="2" t="s">
        <v>403</v>
      </c>
      <c r="U4694" s="2" t="s">
        <v>34976</v>
      </c>
      <c r="V4694" s="2"/>
      <c r="W4694" s="2" t="s">
        <v>21677</v>
      </c>
      <c r="X4694" s="2" t="s">
        <v>43</v>
      </c>
      <c r="Y4694" s="2" t="s">
        <v>37</v>
      </c>
      <c r="Z4694" s="2" t="s">
        <v>44</v>
      </c>
      <c r="AA4694" s="2"/>
      <c r="AB4694" s="2"/>
      <c r="AC4694" s="2" t="s">
        <v>34977</v>
      </c>
      <c r="AD4694" s="2" t="s">
        <v>46</v>
      </c>
    </row>
    <row r="4695" customFormat="false" ht="15.7" hidden="false" customHeight="true" outlineLevel="0" collapsed="false">
      <c r="A4695" s="2"/>
      <c r="B4695" s="3" t="n">
        <f aca="false">DATE(2019,12,19)</f>
        <v>0</v>
      </c>
      <c r="C4695" s="3" t="n">
        <v>43818</v>
      </c>
      <c r="D4695" s="2" t="s">
        <v>34978</v>
      </c>
      <c r="F4695" s="2" t="s">
        <v>20591</v>
      </c>
      <c r="G4695" s="2" t="s">
        <v>34979</v>
      </c>
      <c r="H4695" s="2" t="s">
        <v>305</v>
      </c>
      <c r="I4695" s="2" t="s">
        <v>51</v>
      </c>
      <c r="J4695" s="2" t="s">
        <v>2190</v>
      </c>
      <c r="K4695" s="2" t="s">
        <v>34978</v>
      </c>
      <c r="L4695" s="2" t="s">
        <v>51</v>
      </c>
      <c r="M4695" s="2" t="s">
        <v>305</v>
      </c>
      <c r="N4695" s="2" t="s">
        <v>34980</v>
      </c>
      <c r="O4695" s="2"/>
      <c r="P4695" s="2" t="s">
        <v>37</v>
      </c>
      <c r="Q4695" s="4" t="n">
        <v>8099</v>
      </c>
      <c r="R4695" s="2" t="s">
        <v>56</v>
      </c>
      <c r="S4695" s="2"/>
      <c r="T4695" s="2" t="s">
        <v>40</v>
      </c>
      <c r="U4695" s="2" t="s">
        <v>34981</v>
      </c>
      <c r="V4695" s="2"/>
      <c r="W4695" s="2" t="s">
        <v>19532</v>
      </c>
      <c r="X4695" s="2" t="s">
        <v>43</v>
      </c>
      <c r="Y4695" s="2" t="s">
        <v>37</v>
      </c>
      <c r="Z4695" s="2" t="s">
        <v>44</v>
      </c>
      <c r="AA4695" s="2"/>
      <c r="AB4695" s="2"/>
      <c r="AC4695" s="2" t="s">
        <v>34982</v>
      </c>
      <c r="AD4695" s="2" t="s">
        <v>46</v>
      </c>
    </row>
    <row r="4696" customFormat="false" ht="15.7" hidden="false" customHeight="true" outlineLevel="0" collapsed="false">
      <c r="A4696" s="2"/>
      <c r="B4696" s="3" t="n">
        <f aca="false">DATE(2019,12,19)</f>
        <v>0</v>
      </c>
      <c r="C4696" s="3" t="n">
        <v>43818</v>
      </c>
      <c r="D4696" s="2" t="s">
        <v>34983</v>
      </c>
      <c r="F4696" s="2" t="s">
        <v>20591</v>
      </c>
      <c r="G4696" s="2" t="s">
        <v>34984</v>
      </c>
      <c r="H4696" s="2" t="s">
        <v>305</v>
      </c>
      <c r="I4696" s="2" t="s">
        <v>51</v>
      </c>
      <c r="J4696" s="2" t="s">
        <v>2190</v>
      </c>
      <c r="K4696" s="2" t="s">
        <v>34983</v>
      </c>
      <c r="L4696" s="2" t="s">
        <v>51</v>
      </c>
      <c r="M4696" s="2" t="s">
        <v>305</v>
      </c>
      <c r="N4696" s="2" t="s">
        <v>34985</v>
      </c>
      <c r="O4696" s="2"/>
      <c r="P4696" s="2" t="s">
        <v>37</v>
      </c>
      <c r="Q4696" s="4" t="n">
        <v>8099</v>
      </c>
      <c r="R4696" s="2" t="s">
        <v>56</v>
      </c>
      <c r="S4696" s="2"/>
      <c r="T4696" s="2" t="s">
        <v>40</v>
      </c>
      <c r="U4696" s="2" t="s">
        <v>34986</v>
      </c>
      <c r="V4696" s="2"/>
      <c r="W4696" s="2" t="s">
        <v>4487</v>
      </c>
      <c r="X4696" s="2" t="s">
        <v>43</v>
      </c>
      <c r="Y4696" s="2" t="s">
        <v>37</v>
      </c>
      <c r="Z4696" s="2" t="s">
        <v>44</v>
      </c>
      <c r="AA4696" s="2"/>
      <c r="AB4696" s="2"/>
      <c r="AC4696" s="2" t="s">
        <v>34987</v>
      </c>
      <c r="AD4696" s="2" t="s">
        <v>46</v>
      </c>
    </row>
    <row r="4697" customFormat="false" ht="15.7" hidden="false" customHeight="true" outlineLevel="0" collapsed="false">
      <c r="A4697" s="2"/>
      <c r="B4697" s="3" t="n">
        <f aca="false">DATE(2019,12,19)</f>
        <v>0</v>
      </c>
      <c r="C4697" s="3" t="n">
        <v>43818</v>
      </c>
      <c r="D4697" s="2" t="s">
        <v>34988</v>
      </c>
      <c r="F4697" s="2" t="s">
        <v>2716</v>
      </c>
      <c r="G4697" s="2" t="s">
        <v>34989</v>
      </c>
      <c r="H4697" s="2" t="s">
        <v>1027</v>
      </c>
      <c r="I4697" s="2" t="s">
        <v>286</v>
      </c>
      <c r="J4697" s="2" t="s">
        <v>35</v>
      </c>
      <c r="K4697" s="2" t="s">
        <v>34988</v>
      </c>
      <c r="L4697" s="2" t="s">
        <v>286</v>
      </c>
      <c r="M4697" s="2" t="s">
        <v>1027</v>
      </c>
      <c r="N4697" s="2" t="s">
        <v>34990</v>
      </c>
      <c r="O4697" s="2"/>
      <c r="P4697" s="2" t="s">
        <v>37</v>
      </c>
      <c r="Q4697" s="4" t="n">
        <v>8099</v>
      </c>
      <c r="R4697" s="2" t="s">
        <v>38</v>
      </c>
      <c r="S4697" s="2" t="s">
        <v>39</v>
      </c>
      <c r="T4697" s="2" t="s">
        <v>40</v>
      </c>
      <c r="U4697" s="2" t="s">
        <v>34991</v>
      </c>
      <c r="V4697" s="2"/>
      <c r="W4697" s="2" t="s">
        <v>4487</v>
      </c>
      <c r="X4697" s="2" t="s">
        <v>43</v>
      </c>
      <c r="Y4697" s="2" t="s">
        <v>37</v>
      </c>
      <c r="Z4697" s="2" t="s">
        <v>44</v>
      </c>
      <c r="AA4697" s="2"/>
      <c r="AB4697" s="2"/>
      <c r="AC4697" s="2" t="s">
        <v>34992</v>
      </c>
      <c r="AD4697" s="2" t="s">
        <v>46</v>
      </c>
    </row>
    <row r="4698" customFormat="false" ht="15.7" hidden="false" customHeight="true" outlineLevel="0" collapsed="false">
      <c r="A4698" s="2"/>
      <c r="B4698" s="3" t="n">
        <f aca="false">DATE(2019,12,19)</f>
        <v>0</v>
      </c>
      <c r="C4698" s="3" t="n">
        <v>43818</v>
      </c>
      <c r="D4698" s="2" t="s">
        <v>34993</v>
      </c>
      <c r="F4698" s="2" t="s">
        <v>34994</v>
      </c>
      <c r="G4698" s="2" t="s">
        <v>34995</v>
      </c>
      <c r="H4698" s="2" t="s">
        <v>762</v>
      </c>
      <c r="I4698" s="2" t="s">
        <v>51</v>
      </c>
      <c r="J4698" s="2" t="s">
        <v>18604</v>
      </c>
      <c r="K4698" s="2" t="s">
        <v>34996</v>
      </c>
      <c r="L4698" s="2" t="s">
        <v>100</v>
      </c>
      <c r="M4698" s="2" t="s">
        <v>230</v>
      </c>
      <c r="N4698" s="2" t="s">
        <v>34997</v>
      </c>
      <c r="O4698" s="2"/>
      <c r="P4698" s="2" t="s">
        <v>37</v>
      </c>
      <c r="Q4698" s="4" t="n">
        <v>8731</v>
      </c>
      <c r="R4698" s="2" t="s">
        <v>56</v>
      </c>
      <c r="S4698" s="2"/>
      <c r="T4698" s="2" t="s">
        <v>40</v>
      </c>
      <c r="U4698" s="2" t="s">
        <v>34998</v>
      </c>
      <c r="V4698" s="2"/>
      <c r="W4698" s="2" t="s">
        <v>42</v>
      </c>
      <c r="X4698" s="2" t="s">
        <v>43</v>
      </c>
      <c r="Y4698" s="2" t="s">
        <v>37</v>
      </c>
      <c r="Z4698" s="2" t="s">
        <v>44</v>
      </c>
      <c r="AA4698" s="2"/>
      <c r="AB4698" s="2"/>
      <c r="AC4698" s="2" t="s">
        <v>34999</v>
      </c>
      <c r="AD4698" s="2" t="s">
        <v>46</v>
      </c>
    </row>
    <row r="4699" customFormat="false" ht="15.7" hidden="false" customHeight="true" outlineLevel="0" collapsed="false">
      <c r="A4699" s="2"/>
      <c r="B4699" s="3" t="n">
        <f aca="false">DATE(2019,12,20)</f>
        <v>0</v>
      </c>
      <c r="C4699" s="3" t="n">
        <v>43819</v>
      </c>
      <c r="D4699" s="2" t="s">
        <v>35000</v>
      </c>
      <c r="F4699" s="2" t="s">
        <v>35001</v>
      </c>
      <c r="G4699" s="2" t="s">
        <v>35002</v>
      </c>
      <c r="H4699" s="2" t="s">
        <v>305</v>
      </c>
      <c r="I4699" s="2" t="s">
        <v>1882</v>
      </c>
      <c r="J4699" s="2" t="s">
        <v>35</v>
      </c>
      <c r="K4699" s="2" t="s">
        <v>35000</v>
      </c>
      <c r="L4699" s="2" t="s">
        <v>1882</v>
      </c>
      <c r="M4699" s="2" t="s">
        <v>305</v>
      </c>
      <c r="N4699" s="2" t="s">
        <v>35003</v>
      </c>
      <c r="O4699" s="2"/>
      <c r="P4699" s="2" t="s">
        <v>37</v>
      </c>
      <c r="Q4699" s="4" t="n">
        <v>8099</v>
      </c>
      <c r="R4699" s="2" t="s">
        <v>2105</v>
      </c>
      <c r="S4699" s="2" t="s">
        <v>39</v>
      </c>
      <c r="T4699" s="2" t="s">
        <v>40</v>
      </c>
      <c r="U4699" s="2" t="s">
        <v>35004</v>
      </c>
      <c r="V4699" s="2"/>
      <c r="W4699" s="2" t="s">
        <v>4487</v>
      </c>
      <c r="X4699" s="2" t="s">
        <v>43</v>
      </c>
      <c r="Y4699" s="2" t="s">
        <v>37</v>
      </c>
      <c r="Z4699" s="2" t="s">
        <v>44</v>
      </c>
      <c r="AA4699" s="2"/>
      <c r="AB4699" s="2"/>
      <c r="AC4699" s="2" t="s">
        <v>35005</v>
      </c>
      <c r="AD4699" s="2" t="s">
        <v>46</v>
      </c>
    </row>
    <row r="4700" customFormat="false" ht="15.7" hidden="false" customHeight="true" outlineLevel="0" collapsed="false">
      <c r="A4700" s="2"/>
      <c r="B4700" s="3" t="n">
        <f aca="false">DATE(2019,12,20)</f>
        <v>0</v>
      </c>
      <c r="C4700" s="3" t="n">
        <v>43819</v>
      </c>
      <c r="D4700" s="2" t="s">
        <v>35006</v>
      </c>
      <c r="F4700" s="2" t="s">
        <v>35007</v>
      </c>
      <c r="G4700" s="2" t="s">
        <v>35008</v>
      </c>
      <c r="H4700" s="2" t="s">
        <v>35009</v>
      </c>
      <c r="I4700" s="2" t="s">
        <v>3275</v>
      </c>
      <c r="J4700" s="2" t="s">
        <v>3276</v>
      </c>
      <c r="K4700" s="2" t="s">
        <v>35010</v>
      </c>
      <c r="L4700" s="2" t="s">
        <v>3275</v>
      </c>
      <c r="M4700" s="2" t="s">
        <v>35009</v>
      </c>
      <c r="N4700" s="2" t="s">
        <v>35011</v>
      </c>
      <c r="O4700" s="2"/>
      <c r="P4700" s="2" t="s">
        <v>37</v>
      </c>
      <c r="Q4700" s="4" t="n">
        <v>8099</v>
      </c>
      <c r="R4700" s="2" t="s">
        <v>136</v>
      </c>
      <c r="S4700" s="2" t="s">
        <v>39</v>
      </c>
      <c r="T4700" s="2" t="s">
        <v>40</v>
      </c>
      <c r="U4700" s="2" t="s">
        <v>35012</v>
      </c>
      <c r="V4700" s="2"/>
      <c r="W4700" s="2" t="s">
        <v>4487</v>
      </c>
      <c r="X4700" s="2" t="s">
        <v>43</v>
      </c>
      <c r="Y4700" s="2" t="s">
        <v>37</v>
      </c>
      <c r="Z4700" s="2" t="s">
        <v>916</v>
      </c>
      <c r="AA4700" s="2"/>
      <c r="AB4700" s="2"/>
      <c r="AC4700" s="2" t="s">
        <v>35013</v>
      </c>
      <c r="AD4700" s="2" t="s">
        <v>46</v>
      </c>
    </row>
    <row r="4701" customFormat="false" ht="15.7" hidden="false" customHeight="true" outlineLevel="0" collapsed="false">
      <c r="A4701" s="2"/>
      <c r="B4701" s="3" t="n">
        <f aca="false">DATE(2019,12,20)</f>
        <v>0</v>
      </c>
      <c r="C4701" s="3" t="n">
        <v>43819</v>
      </c>
      <c r="D4701" s="2" t="s">
        <v>35014</v>
      </c>
      <c r="F4701" s="2" t="s">
        <v>35015</v>
      </c>
      <c r="G4701" s="2" t="s">
        <v>35016</v>
      </c>
      <c r="H4701" s="2" t="s">
        <v>35017</v>
      </c>
      <c r="I4701" s="2" t="s">
        <v>17785</v>
      </c>
      <c r="J4701" s="2" t="s">
        <v>35</v>
      </c>
      <c r="K4701" s="2" t="s">
        <v>35014</v>
      </c>
      <c r="L4701" s="2" t="s">
        <v>17785</v>
      </c>
      <c r="M4701" s="2" t="s">
        <v>35017</v>
      </c>
      <c r="N4701" s="2" t="s">
        <v>35018</v>
      </c>
      <c r="O4701" s="2"/>
      <c r="P4701" s="2" t="s">
        <v>37</v>
      </c>
      <c r="Q4701" s="4" t="n">
        <v>8731</v>
      </c>
      <c r="R4701" s="2" t="s">
        <v>1208</v>
      </c>
      <c r="S4701" s="2" t="s">
        <v>39</v>
      </c>
      <c r="T4701" s="2" t="s">
        <v>40</v>
      </c>
      <c r="U4701" s="2" t="s">
        <v>35019</v>
      </c>
      <c r="V4701" s="2"/>
      <c r="W4701" s="2" t="s">
        <v>13346</v>
      </c>
      <c r="X4701" s="2" t="s">
        <v>43</v>
      </c>
      <c r="Y4701" s="2" t="s">
        <v>37</v>
      </c>
      <c r="Z4701" s="2" t="s">
        <v>44</v>
      </c>
      <c r="AA4701" s="2"/>
      <c r="AB4701" s="2"/>
      <c r="AC4701" s="2" t="s">
        <v>35020</v>
      </c>
      <c r="AD4701" s="2" t="s">
        <v>46</v>
      </c>
    </row>
    <row r="4702" customFormat="false" ht="15.7" hidden="false" customHeight="true" outlineLevel="0" collapsed="false">
      <c r="A4702" s="2"/>
      <c r="B4702" s="3" t="n">
        <f aca="false">DATE(2019,12,21)</f>
        <v>0</v>
      </c>
      <c r="C4702" s="3" t="n">
        <v>43820</v>
      </c>
      <c r="D4702" s="2" t="s">
        <v>35021</v>
      </c>
      <c r="F4702" s="2" t="s">
        <v>35022</v>
      </c>
      <c r="G4702" s="2" t="s">
        <v>35023</v>
      </c>
      <c r="H4702" s="2" t="s">
        <v>130</v>
      </c>
      <c r="I4702" s="2" t="s">
        <v>20096</v>
      </c>
      <c r="J4702" s="2" t="s">
        <v>132</v>
      </c>
      <c r="K4702" s="2" t="s">
        <v>35024</v>
      </c>
      <c r="L4702" s="2" t="s">
        <v>51</v>
      </c>
      <c r="M4702" s="2" t="s">
        <v>130</v>
      </c>
      <c r="N4702" s="2" t="s">
        <v>35025</v>
      </c>
      <c r="O4702" s="2"/>
      <c r="P4702" s="2" t="s">
        <v>37</v>
      </c>
      <c r="Q4702" s="4" t="n">
        <v>8099</v>
      </c>
      <c r="R4702" s="2" t="s">
        <v>56</v>
      </c>
      <c r="S4702" s="2"/>
      <c r="T4702" s="2" t="s">
        <v>40</v>
      </c>
      <c r="U4702" s="2" t="s">
        <v>35026</v>
      </c>
      <c r="V4702" s="2"/>
      <c r="W4702" s="2" t="s">
        <v>19532</v>
      </c>
      <c r="X4702" s="2" t="s">
        <v>43</v>
      </c>
      <c r="Y4702" s="2" t="s">
        <v>37</v>
      </c>
      <c r="Z4702" s="2" t="s">
        <v>44</v>
      </c>
      <c r="AA4702" s="2"/>
      <c r="AB4702" s="2"/>
      <c r="AC4702" s="2" t="s">
        <v>35027</v>
      </c>
      <c r="AD4702" s="2" t="s">
        <v>46</v>
      </c>
    </row>
    <row r="4703" customFormat="false" ht="15.7" hidden="false" customHeight="true" outlineLevel="0" collapsed="false">
      <c r="A4703" s="2"/>
      <c r="B4703" s="3" t="n">
        <f aca="false">DATE(2019,12,23)</f>
        <v>0</v>
      </c>
      <c r="C4703" s="3" t="n">
        <v>43822</v>
      </c>
      <c r="D4703" s="2" t="s">
        <v>35028</v>
      </c>
      <c r="F4703" s="2" t="s">
        <v>15628</v>
      </c>
      <c r="G4703" s="2" t="s">
        <v>35029</v>
      </c>
      <c r="H4703" s="2" t="s">
        <v>551</v>
      </c>
      <c r="I4703" s="2" t="s">
        <v>821</v>
      </c>
      <c r="J4703" s="2" t="s">
        <v>1413</v>
      </c>
      <c r="K4703" s="2" t="s">
        <v>35028</v>
      </c>
      <c r="L4703" s="2" t="s">
        <v>821</v>
      </c>
      <c r="M4703" s="2" t="s">
        <v>551</v>
      </c>
      <c r="N4703" s="2" t="s">
        <v>35030</v>
      </c>
      <c r="O4703" s="2"/>
      <c r="P4703" s="2" t="s">
        <v>37</v>
      </c>
      <c r="Q4703" s="4" t="n">
        <v>8099</v>
      </c>
      <c r="R4703" s="2" t="s">
        <v>56</v>
      </c>
      <c r="S4703" s="2"/>
      <c r="T4703" s="2" t="s">
        <v>40</v>
      </c>
      <c r="U4703" s="2" t="s">
        <v>35031</v>
      </c>
      <c r="V4703" s="2"/>
      <c r="W4703" s="2" t="s">
        <v>4487</v>
      </c>
      <c r="X4703" s="2" t="s">
        <v>43</v>
      </c>
      <c r="Y4703" s="2" t="s">
        <v>37</v>
      </c>
      <c r="Z4703" s="2" t="s">
        <v>44</v>
      </c>
      <c r="AA4703" s="2"/>
      <c r="AB4703" s="2"/>
      <c r="AC4703" s="2" t="s">
        <v>35032</v>
      </c>
      <c r="AD4703" s="2" t="s">
        <v>46</v>
      </c>
    </row>
    <row r="4704" customFormat="false" ht="15.7" hidden="false" customHeight="true" outlineLevel="0" collapsed="false">
      <c r="A4704" s="2"/>
      <c r="B4704" s="3" t="n">
        <f aca="false">DATE(2019,12,24)</f>
        <v>0</v>
      </c>
      <c r="C4704" s="3" t="n">
        <v>43823</v>
      </c>
      <c r="D4704" s="2" t="s">
        <v>35033</v>
      </c>
      <c r="F4704" s="2" t="s">
        <v>20650</v>
      </c>
      <c r="G4704" s="2" t="s">
        <v>35034</v>
      </c>
      <c r="H4704" s="2" t="s">
        <v>130</v>
      </c>
      <c r="I4704" s="2" t="s">
        <v>4325</v>
      </c>
      <c r="J4704" s="2" t="s">
        <v>35</v>
      </c>
      <c r="K4704" s="2" t="s">
        <v>35035</v>
      </c>
      <c r="L4704" s="2" t="s">
        <v>2727</v>
      </c>
      <c r="M4704" s="2" t="s">
        <v>130</v>
      </c>
      <c r="N4704" s="2" t="s">
        <v>35036</v>
      </c>
      <c r="O4704" s="2"/>
      <c r="P4704" s="2" t="s">
        <v>37</v>
      </c>
      <c r="Q4704" s="4" t="n">
        <v>8731</v>
      </c>
      <c r="R4704" s="2" t="s">
        <v>402</v>
      </c>
      <c r="S4704" s="2" t="s">
        <v>39</v>
      </c>
      <c r="T4704" s="2" t="s">
        <v>40</v>
      </c>
      <c r="U4704" s="2" t="s">
        <v>35037</v>
      </c>
      <c r="V4704" s="2"/>
      <c r="W4704" s="2" t="s">
        <v>35038</v>
      </c>
      <c r="X4704" s="2" t="s">
        <v>43</v>
      </c>
      <c r="Y4704" s="2" t="s">
        <v>37</v>
      </c>
      <c r="Z4704" s="2" t="s">
        <v>44</v>
      </c>
      <c r="AA4704" s="2"/>
      <c r="AB4704" s="2"/>
      <c r="AC4704" s="2" t="s">
        <v>35039</v>
      </c>
      <c r="AD4704" s="2" t="s">
        <v>46</v>
      </c>
    </row>
    <row r="4705" customFormat="false" ht="15.7" hidden="false" customHeight="true" outlineLevel="0" collapsed="false">
      <c r="A4705" s="2"/>
      <c r="B4705" s="3" t="n">
        <f aca="false">DATE(2019,12,26)</f>
        <v>0</v>
      </c>
      <c r="C4705" s="3" t="n">
        <v>43825</v>
      </c>
      <c r="D4705" s="2" t="s">
        <v>35040</v>
      </c>
      <c r="F4705" s="2" t="s">
        <v>23707</v>
      </c>
      <c r="G4705" s="2" t="s">
        <v>35041</v>
      </c>
      <c r="H4705" s="2" t="s">
        <v>1101</v>
      </c>
      <c r="I4705" s="2" t="s">
        <v>12227</v>
      </c>
      <c r="J4705" s="2" t="s">
        <v>35</v>
      </c>
      <c r="K4705" s="2" t="s">
        <v>35042</v>
      </c>
      <c r="L4705" s="2" t="s">
        <v>1544</v>
      </c>
      <c r="M4705" s="2" t="s">
        <v>3840</v>
      </c>
      <c r="N4705" s="2" t="s">
        <v>35043</v>
      </c>
      <c r="O4705" s="2"/>
      <c r="P4705" s="2" t="s">
        <v>37</v>
      </c>
      <c r="Q4705" s="4" t="n">
        <v>8099</v>
      </c>
      <c r="R4705" s="2" t="s">
        <v>2952</v>
      </c>
      <c r="S4705" s="2" t="s">
        <v>39</v>
      </c>
      <c r="T4705" s="2" t="s">
        <v>40</v>
      </c>
      <c r="U4705" s="2" t="s">
        <v>35044</v>
      </c>
      <c r="V4705" s="2"/>
      <c r="W4705" s="2" t="s">
        <v>4487</v>
      </c>
      <c r="X4705" s="2" t="s">
        <v>43</v>
      </c>
      <c r="Y4705" s="2" t="s">
        <v>37</v>
      </c>
      <c r="Z4705" s="2" t="s">
        <v>44</v>
      </c>
      <c r="AA4705" s="2"/>
      <c r="AB4705" s="2"/>
      <c r="AC4705" s="2" t="s">
        <v>35045</v>
      </c>
      <c r="AD4705" s="2" t="s">
        <v>46</v>
      </c>
    </row>
    <row r="4706" customFormat="false" ht="15.7" hidden="false" customHeight="true" outlineLevel="0" collapsed="false">
      <c r="A4706" s="2"/>
      <c r="B4706" s="3" t="n">
        <f aca="false">DATE(2019,12,26)</f>
        <v>0</v>
      </c>
      <c r="C4706" s="3" t="n">
        <v>43825</v>
      </c>
      <c r="D4706" s="2" t="s">
        <v>35046</v>
      </c>
      <c r="F4706" s="2" t="s">
        <v>35047</v>
      </c>
      <c r="G4706" s="2" t="s">
        <v>35048</v>
      </c>
      <c r="H4706" s="2" t="s">
        <v>7521</v>
      </c>
      <c r="I4706" s="2" t="s">
        <v>51</v>
      </c>
      <c r="J4706" s="2" t="s">
        <v>35049</v>
      </c>
      <c r="K4706" s="2" t="s">
        <v>35046</v>
      </c>
      <c r="L4706" s="2" t="s">
        <v>51</v>
      </c>
      <c r="M4706" s="2" t="s">
        <v>7521</v>
      </c>
      <c r="N4706" s="2" t="s">
        <v>35050</v>
      </c>
      <c r="O4706" s="2"/>
      <c r="P4706" s="2" t="s">
        <v>37</v>
      </c>
      <c r="Q4706" s="4" t="n">
        <v>8111</v>
      </c>
      <c r="R4706" s="2" t="s">
        <v>56</v>
      </c>
      <c r="S4706" s="2" t="s">
        <v>2743</v>
      </c>
      <c r="T4706" s="2" t="s">
        <v>40</v>
      </c>
      <c r="U4706" s="2" t="s">
        <v>35051</v>
      </c>
      <c r="V4706" s="2"/>
      <c r="W4706" s="2" t="s">
        <v>35052</v>
      </c>
      <c r="X4706" s="2" t="s">
        <v>43</v>
      </c>
      <c r="Y4706" s="2" t="s">
        <v>37</v>
      </c>
      <c r="Z4706" s="2" t="s">
        <v>44</v>
      </c>
      <c r="AA4706" s="2"/>
      <c r="AB4706" s="2"/>
      <c r="AC4706" s="2" t="s">
        <v>35053</v>
      </c>
      <c r="AD4706" s="2" t="s">
        <v>46</v>
      </c>
    </row>
    <row r="4707" customFormat="false" ht="15.7" hidden="false" customHeight="true" outlineLevel="0" collapsed="false">
      <c r="A4707" s="2"/>
      <c r="B4707" s="3" t="n">
        <f aca="false">DATE(2019,12,26)</f>
        <v>0</v>
      </c>
      <c r="C4707" s="3" t="n">
        <v>43825</v>
      </c>
      <c r="D4707" s="2" t="s">
        <v>35054</v>
      </c>
      <c r="F4707" s="2" t="s">
        <v>31457</v>
      </c>
      <c r="G4707" s="2" t="s">
        <v>35055</v>
      </c>
      <c r="H4707" s="2" t="s">
        <v>35056</v>
      </c>
      <c r="I4707" s="2" t="s">
        <v>51</v>
      </c>
      <c r="J4707" s="2" t="s">
        <v>4656</v>
      </c>
      <c r="K4707" s="2" t="s">
        <v>35054</v>
      </c>
      <c r="L4707" s="2" t="s">
        <v>51</v>
      </c>
      <c r="M4707" s="2" t="s">
        <v>35056</v>
      </c>
      <c r="N4707" s="2" t="s">
        <v>35057</v>
      </c>
      <c r="O4707" s="2"/>
      <c r="P4707" s="2" t="s">
        <v>37</v>
      </c>
      <c r="Q4707" s="4" t="n">
        <v>8731</v>
      </c>
      <c r="R4707" s="2" t="s">
        <v>56</v>
      </c>
      <c r="S4707" s="2" t="s">
        <v>1484</v>
      </c>
      <c r="T4707" s="2" t="s">
        <v>403</v>
      </c>
      <c r="U4707" s="2" t="s">
        <v>35058</v>
      </c>
      <c r="V4707" s="2"/>
      <c r="W4707" s="2" t="s">
        <v>35059</v>
      </c>
      <c r="X4707" s="2" t="s">
        <v>43</v>
      </c>
      <c r="Y4707" s="2" t="s">
        <v>37</v>
      </c>
      <c r="Z4707" s="2" t="s">
        <v>44</v>
      </c>
      <c r="AA4707" s="2"/>
      <c r="AB4707" s="2"/>
      <c r="AC4707" s="2" t="s">
        <v>35060</v>
      </c>
      <c r="AD4707" s="2" t="s">
        <v>46</v>
      </c>
    </row>
    <row r="4708" customFormat="false" ht="15.7" hidden="false" customHeight="true" outlineLevel="0" collapsed="false">
      <c r="A4708" s="2"/>
      <c r="B4708" s="3" t="n">
        <f aca="false">DATE(2019,12,31)</f>
        <v>0</v>
      </c>
      <c r="C4708" s="3" t="n">
        <v>43830</v>
      </c>
      <c r="D4708" s="2" t="s">
        <v>35061</v>
      </c>
      <c r="F4708" s="2" t="s">
        <v>35062</v>
      </c>
      <c r="G4708" s="2" t="s">
        <v>35063</v>
      </c>
      <c r="H4708" s="2" t="s">
        <v>35064</v>
      </c>
      <c r="I4708" s="2" t="s">
        <v>51</v>
      </c>
      <c r="J4708" s="2" t="s">
        <v>3045</v>
      </c>
      <c r="K4708" s="2" t="s">
        <v>35061</v>
      </c>
      <c r="L4708" s="2" t="s">
        <v>51</v>
      </c>
      <c r="M4708" s="2" t="s">
        <v>35064</v>
      </c>
      <c r="N4708" s="2" t="s">
        <v>35065</v>
      </c>
      <c r="O4708" s="2"/>
      <c r="P4708" s="2" t="s">
        <v>37</v>
      </c>
      <c r="Q4708" s="4" t="n">
        <v>8099</v>
      </c>
      <c r="R4708" s="2" t="s">
        <v>56</v>
      </c>
      <c r="S4708" s="2"/>
      <c r="T4708" s="2" t="s">
        <v>40</v>
      </c>
      <c r="U4708" s="2" t="s">
        <v>35066</v>
      </c>
      <c r="V4708" s="2"/>
      <c r="W4708" s="2" t="s">
        <v>4487</v>
      </c>
      <c r="X4708" s="2" t="s">
        <v>43</v>
      </c>
      <c r="Y4708" s="2" t="s">
        <v>37</v>
      </c>
      <c r="Z4708" s="2" t="s">
        <v>44</v>
      </c>
      <c r="AA4708" s="2"/>
      <c r="AB4708" s="2"/>
      <c r="AC4708" s="2" t="s">
        <v>35067</v>
      </c>
      <c r="AD4708" s="2" t="s">
        <v>46</v>
      </c>
    </row>
  </sheetData>
  <printOptions headings="false" gridLines="true" gridLinesSet="true" horizontalCentered="false" verticalCentered="false"/>
  <pageMargins left="1.8" right="1.8" top="1.9" bottom="1.9"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9.77"/>
    <col collapsed="false" customWidth="true" hidden="false" outlineLevel="0" max="2" min="2" style="0" width="8.6"/>
    <col collapsed="false" customWidth="true" hidden="false" outlineLevel="0" max="3" min="3" style="0" width="63.47"/>
    <col collapsed="false" customWidth="true" hidden="false" outlineLevel="0" max="4" min="4" style="0" width="12.5"/>
    <col collapsed="false" customWidth="true" hidden="false" outlineLevel="0" max="1025" min="5" style="0" width="9.14"/>
  </cols>
  <sheetData>
    <row r="1" customFormat="false" ht="15" hidden="false" customHeight="false" outlineLevel="0" collapsed="false">
      <c r="A1" s="1" t="s">
        <v>0</v>
      </c>
    </row>
    <row r="2" customFormat="false" ht="15" hidden="false" customHeight="false" outlineLevel="0" collapsed="false">
      <c r="A2" s="5" t="s">
        <v>35068</v>
      </c>
      <c r="B2" s="5" t="s">
        <v>35069</v>
      </c>
      <c r="C2" s="5" t="s">
        <v>35070</v>
      </c>
    </row>
    <row r="3" customFormat="false" ht="15" hidden="false" customHeight="false" outlineLevel="0" collapsed="false">
      <c r="A3" s="6" t="s">
        <v>35071</v>
      </c>
      <c r="B3" s="5" t="s">
        <v>35072</v>
      </c>
      <c r="C3" s="5" t="s">
        <v>35073</v>
      </c>
    </row>
    <row r="4" customFormat="false" ht="15" hidden="false" customHeight="false" outlineLevel="0" collapsed="false">
      <c r="A4" s="7" t="s">
        <v>35074</v>
      </c>
      <c r="B4" s="5" t="s">
        <v>35072</v>
      </c>
      <c r="C4" s="5" t="s">
        <v>35075</v>
      </c>
    </row>
    <row r="5" customFormat="false" ht="15" hidden="false" customHeight="false" outlineLevel="0" collapsed="false">
      <c r="A5" s="7" t="s">
        <v>35076</v>
      </c>
      <c r="B5" s="7" t="s">
        <v>35077</v>
      </c>
      <c r="C5" s="5" t="s">
        <v>35078</v>
      </c>
    </row>
    <row r="6" customFormat="false" ht="15" hidden="false" customHeight="false" outlineLevel="0" collapsed="false">
      <c r="A6" s="7" t="s">
        <v>35079</v>
      </c>
      <c r="B6" s="5"/>
      <c r="C6" s="5" t="s">
        <v>35080</v>
      </c>
    </row>
    <row r="7" customFormat="false" ht="15" hidden="false" customHeight="false" outlineLevel="0" collapsed="false">
      <c r="A7" s="5"/>
      <c r="B7" s="5"/>
      <c r="C7" s="5" t="s">
        <v>35081</v>
      </c>
    </row>
    <row r="8" customFormat="false" ht="15" hidden="false" customHeight="false" outlineLevel="0" collapsed="false">
      <c r="A8" s="5"/>
      <c r="B8" s="5"/>
      <c r="C8" s="5" t="s">
        <v>35082</v>
      </c>
    </row>
    <row r="9" customFormat="false" ht="15" hidden="false" customHeight="false" outlineLevel="0" collapsed="false">
      <c r="A9" s="5"/>
      <c r="B9" s="5"/>
      <c r="C9" s="5" t="s">
        <v>35083</v>
      </c>
    </row>
  </sheetData>
  <printOptions headings="false" gridLines="true" gridLinesSet="true" horizontalCentered="false" verticalCentered="false"/>
  <pageMargins left="1.8" right="1.8" top="1.9" bottom="1.9"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2020-09-01T15:06:36Z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